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codeName="ThisWorkbook"/>
  <mc:AlternateContent xmlns:mc="http://schemas.openxmlformats.org/markup-compatibility/2006">
    <mc:Choice Requires="x15">
      <x15ac:absPath xmlns:x15ac="http://schemas.microsoft.com/office/spreadsheetml/2010/11/ac" url="C:\Users\Manager\Downloads\"/>
    </mc:Choice>
  </mc:AlternateContent>
  <xr:revisionPtr revIDLastSave="0" documentId="13_ncr:1_{C6E30E48-6A77-4FB9-8ECB-A744AE192482}" xr6:coauthVersionLast="47" xr6:coauthVersionMax="47" xr10:uidLastSave="{00000000-0000-0000-0000-000000000000}"/>
  <workbookProtection workbookPassword="CCD2" lockStructure="1"/>
  <bookViews>
    <workbookView xWindow="-120" yWindow="-120" windowWidth="29040" windowHeight="15840" tabRatio="761" firstSheet="4" activeTab="8" xr2:uid="{00000000-000D-0000-FFFF-FFFF00000000}"/>
  </bookViews>
  <sheets>
    <sheet name="Terms and Conditions" sheetId="49" r:id="rId1"/>
    <sheet name="Instructions." sheetId="30" r:id="rId2"/>
    <sheet name="Codes to drop in other software" sheetId="43" state="veryHidden" r:id="rId3"/>
    <sheet name="FP Calcs" sheetId="31" r:id="rId4"/>
    <sheet name="Regular and QuickBrace Systems" sheetId="40" r:id="rId5"/>
    <sheet name="Project Demand" sheetId="38" r:id="rId6"/>
    <sheet name="WindCalc" sheetId="29" state="veryHidden" r:id="rId7"/>
    <sheet name="Table" sheetId="33" state="veryHidden" r:id="rId8"/>
    <sheet name="Custom Elements" sheetId="36" r:id="rId9"/>
    <sheet name="Single or Upper Along" sheetId="19" r:id="rId10"/>
    <sheet name="Single or Upper Across " sheetId="45" r:id="rId11"/>
    <sheet name="Lower Along" sheetId="47" r:id="rId12"/>
    <sheet name="Lower Across " sheetId="41" r:id="rId13"/>
    <sheet name="Sub Floor Along" sheetId="32" r:id="rId14"/>
    <sheet name="Sub Floor Across" sheetId="22" r:id="rId15"/>
  </sheets>
  <definedNames>
    <definedName name="_xlnm._FilterDatabase" localSheetId="12" hidden="1">'Lower Across '!$C$1:$V$109</definedName>
    <definedName name="_xlnm._FilterDatabase" localSheetId="9" hidden="1">'Single or Upper Along'!$C$1:$V$135</definedName>
    <definedName name="_xlnm._FilterDatabase" localSheetId="14" hidden="1">'Sub Floor Across'!$C$1:$N$83</definedName>
    <definedName name="_xlnm._FilterDatabase" localSheetId="13" hidden="1">'Sub Floor Along'!$C$1:$V$116</definedName>
    <definedName name="Alost">'FP Calcs'!$E$26</definedName>
    <definedName name="Calculated_Eaves_Height">'FP Calcs'!$N$25</definedName>
    <definedName name="Calculated_Roof_Pitch">'FP Calcs'!$N$27</definedName>
    <definedName name="Calculated_Roof_Width">'FP Calcs'!$N$23</definedName>
    <definedName name="CPR">'FP Calcs'!$H$101</definedName>
    <definedName name="CprAlong">'FP Calcs'!$H$102</definedName>
    <definedName name="CPs" localSheetId="3">'FP Calcs'!$C$106:$C$115</definedName>
    <definedName name="CPW">'FP Calcs'!$C$115</definedName>
    <definedName name="FP">'Terms and Conditions'!$B$19</definedName>
    <definedName name="GableEnded">'FP Calcs'!$E$25</definedName>
    <definedName name="HEI">'FP Calcs'!$O$104</definedName>
    <definedName name="Height_Above_Eaves">'FP Calcs'!$M$25</definedName>
    <definedName name="HLE">'FP Calcs'!$F$44</definedName>
    <definedName name="HLI">'FP Calcs'!$F$45</definedName>
    <definedName name="HS">'FP Calcs'!$F$50</definedName>
    <definedName name="HUE">'FP Calcs'!$F$38</definedName>
    <definedName name="HUI">'FP Calcs'!$F$39</definedName>
    <definedName name="LE">'FP Calcs'!$O$105</definedName>
    <definedName name="LL">'FP Calcs'!$J$93</definedName>
    <definedName name="LR">'FP Calcs'!$J$91</definedName>
    <definedName name="LS">'FP Calcs'!$J$94</definedName>
    <definedName name="LU">'FP Calcs'!$J$92</definedName>
    <definedName name="Monoroof">'FP Calcs'!$E$24</definedName>
    <definedName name="NumStoreys" localSheetId="3">'FP Calcs'!$D$52</definedName>
    <definedName name="_xlnm.Print_Area" localSheetId="8">'Custom Elements'!$A$1:$K$31</definedName>
    <definedName name="_xlnm.Print_Area" localSheetId="3">'FP Calcs'!$B$26:$N$54</definedName>
    <definedName name="_xlnm.Print_Area" localSheetId="12">'Lower Across '!$B$1:$O$85</definedName>
    <definedName name="_xlnm.Print_Area" localSheetId="11">'Lower Along'!$B$1:$O$85</definedName>
    <definedName name="_xlnm.Print_Area" localSheetId="5">'Project Demand'!$B$4:$P$75</definedName>
    <definedName name="_xlnm.Print_Area" localSheetId="4">'Regular and QuickBrace Systems'!$C$4:$M$59</definedName>
    <definedName name="_xlnm.Print_Area" localSheetId="10">'Single or Upper Across '!$B$1:$O$85</definedName>
    <definedName name="_xlnm.Print_Area" localSheetId="9">'Single or Upper Along'!$B$1:$O$85</definedName>
    <definedName name="_xlnm.Print_Area" localSheetId="14">'Sub Floor Across'!$B$1:$O$85</definedName>
    <definedName name="_xlnm.Print_Area" localSheetId="13">'Sub Floor Along'!$B$1:$O$85</definedName>
    <definedName name="_xlnm.Print_Area" localSheetId="6">WindCalc!$B$2:$N$14</definedName>
    <definedName name="Prodlink" localSheetId="12">'Lower Across '!$BV$11:$BW$96</definedName>
    <definedName name="Prodlink" localSheetId="11">'Lower Along'!$BV$11:$BW$96</definedName>
    <definedName name="Prodlink" localSheetId="10">'Single or Upper Across '!$BV$11:$BW$96</definedName>
    <definedName name="Prodlink" localSheetId="9">'Single or Upper Along'!$BV$11:$BW$96</definedName>
    <definedName name="Prodlink" localSheetId="14">'Sub Floor Across'!$BV$11:$BW$96</definedName>
    <definedName name="Prodlink" localSheetId="13">'Sub Floor Along'!$BV$11:$BW$96</definedName>
    <definedName name="QQQ">'FP Calcs'!$C$91</definedName>
    <definedName name="Roof_Pitch">'FP Calcs'!$M$27</definedName>
    <definedName name="Roof_Width">'FP Calcs'!$M$23</definedName>
    <definedName name="RoofAngle">'FP Calcs'!$D$105:$D$115</definedName>
    <definedName name="RoofH">'FP Calcs'!$F$28</definedName>
    <definedName name="Roofht" localSheetId="3">'FP Calcs'!$B$106:$B$114</definedName>
    <definedName name="RoofType">'FP Calcs'!$F$34</definedName>
    <definedName name="SCoeff">'FP Calcs'!$G$199:$J$203</definedName>
    <definedName name="SeismicFactor" localSheetId="3">'FP Calcs'!$C$201</definedName>
    <definedName name="Slab" localSheetId="3">'FP Calcs'!$D$53</definedName>
    <definedName name="SoilClass">'FP Calcs'!$D$56</definedName>
    <definedName name="TanSlope">'FP Calcs'!$H$177</definedName>
    <definedName name="TotH">'FP Calcs'!$F$27</definedName>
    <definedName name="WE">'FP Calcs'!$O$106</definedName>
    <definedName name="WL">'FP Calcs'!$K$93</definedName>
    <definedName name="WR">'FP Calcs'!$K$91</definedName>
    <definedName name="WS">'FP Calcs'!$K$94</definedName>
    <definedName name="WU">'FP Calcs'!$K$92</definedName>
    <definedName name="XX">'FP Calcs'!$E$46</definedName>
    <definedName name="YY">'FP Calcs'!$K$105</definedName>
    <definedName name="Zone">'FP Calcs'!$D$55</definedName>
    <definedName name="ZZ">'FP Calcs'!$K$106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5" i="38" l="1"/>
  <c r="C21" i="38" l="1"/>
  <c r="C20" i="38"/>
  <c r="I7" i="19"/>
  <c r="BX96" i="22"/>
  <c r="BX95" i="22"/>
  <c r="BX94" i="22"/>
  <c r="BX93" i="22"/>
  <c r="BX92" i="22"/>
  <c r="BX90" i="22"/>
  <c r="BX89" i="22"/>
  <c r="BX88" i="22"/>
  <c r="BX87" i="22"/>
  <c r="BX86" i="22"/>
  <c r="BX84" i="22"/>
  <c r="BX83" i="22"/>
  <c r="BX82" i="22"/>
  <c r="BX81" i="22"/>
  <c r="BX80" i="22"/>
  <c r="BX78" i="22"/>
  <c r="BX77" i="22"/>
  <c r="BX76" i="22"/>
  <c r="BX75" i="22"/>
  <c r="BX74" i="22"/>
  <c r="BX72" i="22"/>
  <c r="BX71" i="22"/>
  <c r="BX70" i="22"/>
  <c r="BX69" i="22"/>
  <c r="BX68" i="22"/>
  <c r="BX66" i="22"/>
  <c r="BX65" i="22"/>
  <c r="BX64" i="22"/>
  <c r="BX63" i="22"/>
  <c r="BX62" i="22"/>
  <c r="BX60" i="22"/>
  <c r="BX59" i="22"/>
  <c r="BX58" i="22"/>
  <c r="BX57" i="22"/>
  <c r="BX56" i="22"/>
  <c r="BX54" i="22"/>
  <c r="BX53" i="22"/>
  <c r="BX52" i="22"/>
  <c r="BX51" i="22"/>
  <c r="BX50" i="22"/>
  <c r="BX48" i="22"/>
  <c r="BX47" i="22"/>
  <c r="BX46" i="22"/>
  <c r="BX45" i="22"/>
  <c r="BX44" i="22"/>
  <c r="BX42" i="22"/>
  <c r="BX41" i="22"/>
  <c r="BX39" i="22"/>
  <c r="BX38" i="22"/>
  <c r="BX37" i="22"/>
  <c r="BX36" i="22"/>
  <c r="BX35" i="22"/>
  <c r="BX34" i="22"/>
  <c r="BX33" i="22"/>
  <c r="BX96" i="41"/>
  <c r="BX95" i="41"/>
  <c r="BX94" i="41"/>
  <c r="BX93" i="41"/>
  <c r="BX92" i="41"/>
  <c r="BX90" i="41"/>
  <c r="BX89" i="41"/>
  <c r="BX88" i="41"/>
  <c r="BX87" i="41"/>
  <c r="BX86" i="41"/>
  <c r="BX84" i="41"/>
  <c r="BX83" i="41"/>
  <c r="BX82" i="41"/>
  <c r="BX81" i="41"/>
  <c r="BX80" i="41"/>
  <c r="BX78" i="41"/>
  <c r="BX77" i="41"/>
  <c r="BX76" i="41"/>
  <c r="BX75" i="41"/>
  <c r="BX74" i="41"/>
  <c r="BX72" i="41"/>
  <c r="BX71" i="41"/>
  <c r="BX70" i="41"/>
  <c r="BX69" i="41"/>
  <c r="BX68" i="41"/>
  <c r="BX66" i="41"/>
  <c r="BX65" i="41"/>
  <c r="BX64" i="41"/>
  <c r="BX63" i="41"/>
  <c r="BX62" i="41"/>
  <c r="BX60" i="41"/>
  <c r="BX59" i="41"/>
  <c r="BX58" i="41"/>
  <c r="BX57" i="41"/>
  <c r="BX56" i="41"/>
  <c r="BX54" i="41"/>
  <c r="BX53" i="41"/>
  <c r="BX52" i="41"/>
  <c r="BX51" i="41"/>
  <c r="BX50" i="41"/>
  <c r="BX48" i="41"/>
  <c r="BX47" i="41"/>
  <c r="BX46" i="41"/>
  <c r="BX45" i="41"/>
  <c r="BX44" i="41"/>
  <c r="BX42" i="41"/>
  <c r="BX41" i="41"/>
  <c r="BX39" i="41"/>
  <c r="BX38" i="41"/>
  <c r="BX37" i="41"/>
  <c r="BX36" i="41"/>
  <c r="BX35" i="41"/>
  <c r="BX34" i="41"/>
  <c r="BX33" i="41"/>
  <c r="BX96" i="47"/>
  <c r="BX95" i="47"/>
  <c r="BX94" i="47"/>
  <c r="BX93" i="47"/>
  <c r="BX92" i="47"/>
  <c r="BX90" i="47"/>
  <c r="BX89" i="47"/>
  <c r="BX88" i="47"/>
  <c r="BX87" i="47"/>
  <c r="BX86" i="47"/>
  <c r="BX84" i="47"/>
  <c r="BX83" i="47"/>
  <c r="BX82" i="47"/>
  <c r="BX81" i="47"/>
  <c r="BX80" i="47"/>
  <c r="BX78" i="47"/>
  <c r="BX77" i="47"/>
  <c r="BX76" i="47"/>
  <c r="BX75" i="47"/>
  <c r="BX74" i="47"/>
  <c r="BX72" i="47"/>
  <c r="BX71" i="47"/>
  <c r="BX70" i="47"/>
  <c r="BX69" i="47"/>
  <c r="BX68" i="47"/>
  <c r="BX66" i="47"/>
  <c r="BX65" i="47"/>
  <c r="BX64" i="47"/>
  <c r="BX63" i="47"/>
  <c r="BX62" i="47"/>
  <c r="BX60" i="47"/>
  <c r="BX59" i="47"/>
  <c r="BX58" i="47"/>
  <c r="BX57" i="47"/>
  <c r="BX56" i="47"/>
  <c r="BX54" i="47"/>
  <c r="BX53" i="47"/>
  <c r="BX52" i="47"/>
  <c r="BX51" i="47"/>
  <c r="BX50" i="47"/>
  <c r="BX48" i="47"/>
  <c r="BX47" i="47"/>
  <c r="BX46" i="47"/>
  <c r="BX45" i="47"/>
  <c r="BX44" i="47"/>
  <c r="BX42" i="47"/>
  <c r="BX41" i="47"/>
  <c r="BX39" i="47"/>
  <c r="BX38" i="47"/>
  <c r="BX37" i="47"/>
  <c r="BX36" i="47"/>
  <c r="BX35" i="47"/>
  <c r="BX34" i="47"/>
  <c r="BX33" i="47"/>
  <c r="BX96" i="45"/>
  <c r="BX95" i="45"/>
  <c r="BX94" i="45"/>
  <c r="BX93" i="45"/>
  <c r="BX92" i="45"/>
  <c r="BX90" i="45"/>
  <c r="BX89" i="45"/>
  <c r="BX88" i="45"/>
  <c r="BX87" i="45"/>
  <c r="BX86" i="45"/>
  <c r="BX84" i="45"/>
  <c r="BX83" i="45"/>
  <c r="BX82" i="45"/>
  <c r="BX81" i="45"/>
  <c r="BX80" i="45"/>
  <c r="BX78" i="45"/>
  <c r="BX77" i="45"/>
  <c r="BX76" i="45"/>
  <c r="BX75" i="45"/>
  <c r="BX74" i="45"/>
  <c r="BX72" i="45"/>
  <c r="BX71" i="45"/>
  <c r="BX70" i="45"/>
  <c r="BX69" i="45"/>
  <c r="BX68" i="45"/>
  <c r="BX66" i="45"/>
  <c r="BX65" i="45"/>
  <c r="BX64" i="45"/>
  <c r="BX63" i="45"/>
  <c r="BX62" i="45"/>
  <c r="BX60" i="45"/>
  <c r="BX59" i="45"/>
  <c r="BX58" i="45"/>
  <c r="BX57" i="45"/>
  <c r="BX56" i="45"/>
  <c r="BX54" i="45"/>
  <c r="BX53" i="45"/>
  <c r="BX52" i="45"/>
  <c r="BX51" i="45"/>
  <c r="BX50" i="45"/>
  <c r="BX48" i="45"/>
  <c r="BX47" i="45"/>
  <c r="BX46" i="45"/>
  <c r="BX45" i="45"/>
  <c r="BX44" i="45"/>
  <c r="BX42" i="45"/>
  <c r="BX41" i="45"/>
  <c r="BX39" i="45"/>
  <c r="BX38" i="45"/>
  <c r="BX37" i="45"/>
  <c r="BX36" i="45"/>
  <c r="BX35" i="45"/>
  <c r="BX34" i="45"/>
  <c r="BX33" i="45"/>
  <c r="AQ67" i="22"/>
  <c r="BX31" i="22" s="1"/>
  <c r="AQ66" i="22"/>
  <c r="BX30" i="22" s="1"/>
  <c r="AQ65" i="22"/>
  <c r="BX29" i="22" s="1"/>
  <c r="AQ64" i="22"/>
  <c r="BX28" i="22" s="1"/>
  <c r="AQ63" i="22"/>
  <c r="BX27" i="22" s="1"/>
  <c r="AQ62" i="22"/>
  <c r="BX26" i="22" s="1"/>
  <c r="AQ61" i="22"/>
  <c r="BX25" i="22" s="1"/>
  <c r="AQ60" i="22"/>
  <c r="BX24" i="22" s="1"/>
  <c r="AQ59" i="22"/>
  <c r="BX23" i="22" s="1"/>
  <c r="AQ58" i="22"/>
  <c r="BX22" i="22" s="1"/>
  <c r="AQ57" i="22"/>
  <c r="BX21" i="22" s="1"/>
  <c r="AQ56" i="22"/>
  <c r="BX20" i="22" s="1"/>
  <c r="AQ55" i="22"/>
  <c r="BX19" i="22" s="1"/>
  <c r="AQ54" i="22"/>
  <c r="BX18" i="22" s="1"/>
  <c r="AQ53" i="22"/>
  <c r="BX17" i="22" s="1"/>
  <c r="AQ52" i="22"/>
  <c r="BX16" i="22" s="1"/>
  <c r="AQ51" i="22"/>
  <c r="BX15" i="22" s="1"/>
  <c r="AQ50" i="22"/>
  <c r="BX14" i="22" s="1"/>
  <c r="AQ49" i="22"/>
  <c r="BX13" i="22" s="1"/>
  <c r="AQ48" i="22"/>
  <c r="BX12" i="22" s="1"/>
  <c r="AQ45" i="22"/>
  <c r="AP67" i="32"/>
  <c r="BT31" i="32" s="1"/>
  <c r="AP66" i="32"/>
  <c r="BT30" i="32" s="1"/>
  <c r="AP65" i="32"/>
  <c r="BT29" i="32" s="1"/>
  <c r="AP64" i="32"/>
  <c r="BT28" i="32" s="1"/>
  <c r="AP63" i="32"/>
  <c r="BT27" i="32" s="1"/>
  <c r="AP62" i="32"/>
  <c r="BT26" i="32" s="1"/>
  <c r="AP61" i="32"/>
  <c r="BT25" i="32" s="1"/>
  <c r="AP60" i="32"/>
  <c r="BT24" i="32" s="1"/>
  <c r="AP59" i="32"/>
  <c r="BT23" i="32" s="1"/>
  <c r="AP58" i="32"/>
  <c r="BT22" i="32" s="1"/>
  <c r="AP57" i="32"/>
  <c r="BT21" i="32" s="1"/>
  <c r="AP56" i="32"/>
  <c r="BT20" i="32" s="1"/>
  <c r="AP55" i="32"/>
  <c r="BT19" i="32" s="1"/>
  <c r="AP54" i="32"/>
  <c r="BT18" i="32" s="1"/>
  <c r="AP53" i="32"/>
  <c r="BT17" i="32" s="1"/>
  <c r="AP52" i="32"/>
  <c r="BT16" i="32" s="1"/>
  <c r="AP51" i="32"/>
  <c r="BT15" i="32" s="1"/>
  <c r="AP50" i="32"/>
  <c r="BT14" i="32" s="1"/>
  <c r="AP49" i="32"/>
  <c r="BT13" i="32" s="1"/>
  <c r="AP48" i="32"/>
  <c r="BT12" i="32" s="1"/>
  <c r="AQ67" i="41" l="1"/>
  <c r="BX31" i="41" s="1"/>
  <c r="AQ66" i="41"/>
  <c r="BX30" i="41" s="1"/>
  <c r="AQ65" i="41"/>
  <c r="BX29" i="41" s="1"/>
  <c r="AQ64" i="41"/>
  <c r="BX28" i="41" s="1"/>
  <c r="AQ63" i="41"/>
  <c r="BX27" i="41" s="1"/>
  <c r="AQ62" i="41"/>
  <c r="BX26" i="41" s="1"/>
  <c r="AQ61" i="41"/>
  <c r="BX25" i="41" s="1"/>
  <c r="AQ60" i="41"/>
  <c r="BX24" i="41" s="1"/>
  <c r="AQ59" i="41"/>
  <c r="BX23" i="41" s="1"/>
  <c r="AQ58" i="41"/>
  <c r="BX22" i="41" s="1"/>
  <c r="AQ57" i="41"/>
  <c r="BX21" i="41" s="1"/>
  <c r="AQ56" i="41"/>
  <c r="BX20" i="41" s="1"/>
  <c r="AQ55" i="41"/>
  <c r="BX19" i="41" s="1"/>
  <c r="AQ54" i="41"/>
  <c r="BX18" i="41" s="1"/>
  <c r="AQ53" i="41"/>
  <c r="BX17" i="41" s="1"/>
  <c r="AQ52" i="41"/>
  <c r="BX16" i="41" s="1"/>
  <c r="AQ51" i="41"/>
  <c r="BX15" i="41" s="1"/>
  <c r="AQ50" i="41"/>
  <c r="BX14" i="41" s="1"/>
  <c r="AQ49" i="41"/>
  <c r="BX13" i="41" s="1"/>
  <c r="AQ48" i="41"/>
  <c r="BX12" i="41" s="1"/>
  <c r="AQ45" i="41"/>
  <c r="AQ67" i="47"/>
  <c r="BX31" i="47" s="1"/>
  <c r="AQ66" i="47"/>
  <c r="BX30" i="47" s="1"/>
  <c r="AQ65" i="47"/>
  <c r="BX29" i="47" s="1"/>
  <c r="AQ64" i="47"/>
  <c r="BX28" i="47" s="1"/>
  <c r="AQ63" i="47"/>
  <c r="BX27" i="47" s="1"/>
  <c r="AQ62" i="47"/>
  <c r="BX26" i="47" s="1"/>
  <c r="AQ61" i="47"/>
  <c r="BX25" i="47" s="1"/>
  <c r="AQ60" i="47"/>
  <c r="BX24" i="47" s="1"/>
  <c r="AQ59" i="47"/>
  <c r="BX23" i="47" s="1"/>
  <c r="AQ58" i="47"/>
  <c r="BX22" i="47" s="1"/>
  <c r="AQ57" i="47"/>
  <c r="BX21" i="47" s="1"/>
  <c r="AQ56" i="47"/>
  <c r="BX20" i="47" s="1"/>
  <c r="AQ55" i="47"/>
  <c r="BX19" i="47" s="1"/>
  <c r="AQ54" i="47"/>
  <c r="BX18" i="47" s="1"/>
  <c r="AQ53" i="47"/>
  <c r="BX17" i="47" s="1"/>
  <c r="AQ52" i="47"/>
  <c r="BX16" i="47" s="1"/>
  <c r="AQ51" i="47"/>
  <c r="BX15" i="47" s="1"/>
  <c r="AQ50" i="47"/>
  <c r="BX14" i="47" s="1"/>
  <c r="AQ49" i="47"/>
  <c r="BX13" i="47" s="1"/>
  <c r="AQ48" i="47"/>
  <c r="BX12" i="47" s="1"/>
  <c r="AQ45" i="47"/>
  <c r="AQ67" i="45"/>
  <c r="BX31" i="45" s="1"/>
  <c r="AQ66" i="45"/>
  <c r="BX30" i="45" s="1"/>
  <c r="AQ65" i="45"/>
  <c r="BX29" i="45" s="1"/>
  <c r="AQ64" i="45"/>
  <c r="BX28" i="45" s="1"/>
  <c r="AQ63" i="45"/>
  <c r="BX27" i="45" s="1"/>
  <c r="AQ62" i="45"/>
  <c r="BX26" i="45" s="1"/>
  <c r="AQ61" i="45"/>
  <c r="BX25" i="45" s="1"/>
  <c r="AQ60" i="45"/>
  <c r="BX24" i="45" s="1"/>
  <c r="AQ59" i="45"/>
  <c r="BX23" i="45" s="1"/>
  <c r="AQ58" i="45"/>
  <c r="BX22" i="45" s="1"/>
  <c r="AQ57" i="45"/>
  <c r="BX21" i="45" s="1"/>
  <c r="AQ56" i="45"/>
  <c r="BX20" i="45" s="1"/>
  <c r="AQ55" i="45"/>
  <c r="BX19" i="45" s="1"/>
  <c r="AQ54" i="45"/>
  <c r="BX18" i="45" s="1"/>
  <c r="AQ53" i="45"/>
  <c r="BX17" i="45" s="1"/>
  <c r="AQ52" i="45"/>
  <c r="BX16" i="45" s="1"/>
  <c r="AQ51" i="45"/>
  <c r="BX15" i="45" s="1"/>
  <c r="AQ50" i="45"/>
  <c r="BX14" i="45" s="1"/>
  <c r="AQ49" i="45"/>
  <c r="BX13" i="45" s="1"/>
  <c r="AQ48" i="45"/>
  <c r="BX12" i="45" s="1"/>
  <c r="AQ45" i="45"/>
  <c r="BX96" i="32"/>
  <c r="BX95" i="32"/>
  <c r="BX94" i="32"/>
  <c r="BX93" i="32"/>
  <c r="BX92" i="32"/>
  <c r="BX90" i="32"/>
  <c r="BX89" i="32"/>
  <c r="BX88" i="32"/>
  <c r="BX87" i="32"/>
  <c r="BX86" i="32"/>
  <c r="BX84" i="32"/>
  <c r="BX83" i="32"/>
  <c r="BX82" i="32"/>
  <c r="BX81" i="32"/>
  <c r="BX80" i="32"/>
  <c r="BX78" i="32"/>
  <c r="BX77" i="32"/>
  <c r="BX76" i="32"/>
  <c r="BX75" i="32"/>
  <c r="BX74" i="32"/>
  <c r="BX72" i="32"/>
  <c r="BX71" i="32"/>
  <c r="BX70" i="32"/>
  <c r="BX69" i="32"/>
  <c r="BX68" i="32"/>
  <c r="BX66" i="32"/>
  <c r="BX65" i="32"/>
  <c r="BX64" i="32"/>
  <c r="BX63" i="32"/>
  <c r="BX62" i="32"/>
  <c r="BX60" i="32"/>
  <c r="BX59" i="32"/>
  <c r="BX58" i="32"/>
  <c r="BX57" i="32"/>
  <c r="BX56" i="32"/>
  <c r="BX54" i="32"/>
  <c r="BX53" i="32"/>
  <c r="BX52" i="32"/>
  <c r="BX51" i="32"/>
  <c r="BX50" i="32"/>
  <c r="BX48" i="32"/>
  <c r="BX47" i="32"/>
  <c r="BX46" i="32"/>
  <c r="BX45" i="32"/>
  <c r="BX44" i="32"/>
  <c r="BX42" i="32"/>
  <c r="BX41" i="32"/>
  <c r="BX39" i="32"/>
  <c r="BX38" i="32"/>
  <c r="BX37" i="32"/>
  <c r="BX36" i="32"/>
  <c r="BX35" i="32"/>
  <c r="BX34" i="32"/>
  <c r="BX33" i="32"/>
  <c r="BX25" i="32"/>
  <c r="BX29" i="32"/>
  <c r="BX30" i="32"/>
  <c r="AQ67" i="32"/>
  <c r="BX31" i="32" s="1"/>
  <c r="AQ66" i="32"/>
  <c r="AQ65" i="32"/>
  <c r="AQ64" i="32"/>
  <c r="BX28" i="32" s="1"/>
  <c r="AQ63" i="32"/>
  <c r="BX27" i="32" s="1"/>
  <c r="AQ62" i="32"/>
  <c r="BX26" i="32" s="1"/>
  <c r="AQ61" i="32"/>
  <c r="AQ60" i="32"/>
  <c r="BX24" i="32" s="1"/>
  <c r="AQ59" i="32"/>
  <c r="BX23" i="32" s="1"/>
  <c r="AQ58" i="32"/>
  <c r="BX22" i="32" s="1"/>
  <c r="AQ57" i="32"/>
  <c r="BX21" i="32" s="1"/>
  <c r="AQ56" i="32"/>
  <c r="BX20" i="32" s="1"/>
  <c r="AQ55" i="32"/>
  <c r="BX19" i="32" s="1"/>
  <c r="AQ54" i="32"/>
  <c r="BX18" i="32" s="1"/>
  <c r="AQ53" i="32"/>
  <c r="BX17" i="32" s="1"/>
  <c r="AQ52" i="32"/>
  <c r="BX16" i="32" s="1"/>
  <c r="AQ51" i="32"/>
  <c r="BX15" i="32" s="1"/>
  <c r="AQ50" i="32"/>
  <c r="BX14" i="32" s="1"/>
  <c r="AQ49" i="32"/>
  <c r="BX13" i="32" s="1"/>
  <c r="AQ48" i="32"/>
  <c r="BX12" i="32" s="1"/>
  <c r="AQ45" i="32"/>
  <c r="BX78" i="19"/>
  <c r="BX77" i="19"/>
  <c r="BX76" i="19"/>
  <c r="BX75" i="19"/>
  <c r="BX74" i="19"/>
  <c r="BX72" i="19"/>
  <c r="BX71" i="19"/>
  <c r="BX70" i="19"/>
  <c r="BX69" i="19"/>
  <c r="BX68" i="19"/>
  <c r="BX66" i="19"/>
  <c r="BX34" i="19"/>
  <c r="BX35" i="19"/>
  <c r="BX36" i="19"/>
  <c r="BX37" i="19"/>
  <c r="BX38" i="19"/>
  <c r="BX39" i="19"/>
  <c r="BX33" i="19"/>
  <c r="BX96" i="19"/>
  <c r="BX95" i="19"/>
  <c r="BX94" i="19"/>
  <c r="BX93" i="19"/>
  <c r="BX92" i="19"/>
  <c r="BX90" i="19"/>
  <c r="BX89" i="19"/>
  <c r="BX88" i="19"/>
  <c r="BX87" i="19"/>
  <c r="BX86" i="19"/>
  <c r="BX84" i="19"/>
  <c r="BX83" i="19"/>
  <c r="BX82" i="19"/>
  <c r="BX81" i="19"/>
  <c r="BX80" i="19"/>
  <c r="BX60" i="19"/>
  <c r="BX59" i="19"/>
  <c r="BX58" i="19"/>
  <c r="BX57" i="19"/>
  <c r="BX56" i="19"/>
  <c r="BX54" i="19"/>
  <c r="BX53" i="19"/>
  <c r="BX52" i="19"/>
  <c r="BX51" i="19"/>
  <c r="BX50" i="19"/>
  <c r="BX47" i="19"/>
  <c r="BX46" i="19"/>
  <c r="BX48" i="19"/>
  <c r="BX45" i="19"/>
  <c r="BX44" i="19"/>
  <c r="BX42" i="19"/>
  <c r="BX41" i="19"/>
  <c r="AQ67" i="19"/>
  <c r="BX31" i="19" s="1"/>
  <c r="AQ66" i="19"/>
  <c r="BX30" i="19" s="1"/>
  <c r="AQ65" i="19"/>
  <c r="BX29" i="19" s="1"/>
  <c r="AQ64" i="19"/>
  <c r="BX28" i="19" s="1"/>
  <c r="AQ63" i="19"/>
  <c r="BX27" i="19" s="1"/>
  <c r="AQ62" i="19"/>
  <c r="BX26" i="19" s="1"/>
  <c r="AQ61" i="19"/>
  <c r="BX25" i="19" s="1"/>
  <c r="AQ60" i="19"/>
  <c r="BX24" i="19" s="1"/>
  <c r="AQ59" i="19"/>
  <c r="BX23" i="19" s="1"/>
  <c r="AQ58" i="19"/>
  <c r="BX22" i="19" s="1"/>
  <c r="AQ57" i="19"/>
  <c r="BX21" i="19" s="1"/>
  <c r="AQ56" i="19"/>
  <c r="BX20" i="19" s="1"/>
  <c r="AQ55" i="19"/>
  <c r="BX19" i="19" s="1"/>
  <c r="AQ54" i="19"/>
  <c r="BX18" i="19" s="1"/>
  <c r="AQ53" i="19"/>
  <c r="BX17" i="19" s="1"/>
  <c r="AQ52" i="19"/>
  <c r="BX16" i="19" s="1"/>
  <c r="AQ51" i="19"/>
  <c r="BX15" i="19" s="1"/>
  <c r="AQ50" i="19"/>
  <c r="BX14" i="19" s="1"/>
  <c r="AQ49" i="19"/>
  <c r="BX13" i="19" s="1"/>
  <c r="AQ48" i="19"/>
  <c r="BX12" i="19" s="1"/>
  <c r="AQ45" i="19"/>
  <c r="BX63" i="19" l="1"/>
  <c r="BX65" i="19"/>
  <c r="BX62" i="19"/>
  <c r="BX64" i="19"/>
  <c r="I7" i="22"/>
  <c r="I7" i="41"/>
  <c r="I7" i="47"/>
  <c r="I7" i="45"/>
  <c r="I7" i="32"/>
  <c r="M10" i="38" l="1"/>
  <c r="AS67" i="22" l="1"/>
  <c r="AR67" i="22"/>
  <c r="AP67" i="22"/>
  <c r="BT31" i="22" s="1"/>
  <c r="AO67" i="22"/>
  <c r="AN67" i="22"/>
  <c r="AM67" i="22"/>
  <c r="AL67" i="22"/>
  <c r="AK67" i="22"/>
  <c r="AS66" i="22"/>
  <c r="AR66" i="22"/>
  <c r="AP66" i="22"/>
  <c r="BT30" i="22" s="1"/>
  <c r="AO66" i="22"/>
  <c r="AN66" i="22"/>
  <c r="AM66" i="22"/>
  <c r="AL66" i="22"/>
  <c r="AK66" i="22"/>
  <c r="AS65" i="22"/>
  <c r="AR65" i="22"/>
  <c r="AP65" i="22"/>
  <c r="BT29" i="22" s="1"/>
  <c r="AO65" i="22"/>
  <c r="AN65" i="22"/>
  <c r="AM65" i="22"/>
  <c r="AL65" i="22"/>
  <c r="AK65" i="22"/>
  <c r="AS64" i="22"/>
  <c r="AR64" i="22"/>
  <c r="AP64" i="22"/>
  <c r="BT28" i="22" s="1"/>
  <c r="AO64" i="22"/>
  <c r="AN64" i="22"/>
  <c r="AM64" i="22"/>
  <c r="AL64" i="22"/>
  <c r="AK64" i="22"/>
  <c r="AS63" i="22"/>
  <c r="AR63" i="22"/>
  <c r="AP63" i="22"/>
  <c r="BT27" i="22" s="1"/>
  <c r="AO63" i="22"/>
  <c r="AN63" i="22"/>
  <c r="AM63" i="22"/>
  <c r="AL63" i="22"/>
  <c r="AK63" i="22"/>
  <c r="AS62" i="22"/>
  <c r="AR62" i="22"/>
  <c r="AP62" i="22"/>
  <c r="BT26" i="22" s="1"/>
  <c r="AO62" i="22"/>
  <c r="AN62" i="22"/>
  <c r="AM62" i="22"/>
  <c r="AL62" i="22"/>
  <c r="AK62" i="22"/>
  <c r="AS61" i="22"/>
  <c r="AR61" i="22"/>
  <c r="AP61" i="22"/>
  <c r="BT25" i="22" s="1"/>
  <c r="AO61" i="22"/>
  <c r="AN61" i="22"/>
  <c r="AM61" i="22"/>
  <c r="AL61" i="22"/>
  <c r="AK61" i="22"/>
  <c r="AS60" i="22"/>
  <c r="AR60" i="22"/>
  <c r="AP60" i="22"/>
  <c r="BT24" i="22" s="1"/>
  <c r="AO60" i="22"/>
  <c r="AN60" i="22"/>
  <c r="AM60" i="22"/>
  <c r="AL60" i="22"/>
  <c r="AK60" i="22"/>
  <c r="AS59" i="22"/>
  <c r="AR59" i="22"/>
  <c r="AP59" i="22"/>
  <c r="BT23" i="22" s="1"/>
  <c r="AO59" i="22"/>
  <c r="AN59" i="22"/>
  <c r="AM59" i="22"/>
  <c r="AL59" i="22"/>
  <c r="AK59" i="22"/>
  <c r="AS58" i="22"/>
  <c r="AR58" i="22"/>
  <c r="AP58" i="22"/>
  <c r="BT22" i="22" s="1"/>
  <c r="AO58" i="22"/>
  <c r="AN58" i="22"/>
  <c r="AM58" i="22"/>
  <c r="AL58" i="22"/>
  <c r="AK58" i="22"/>
  <c r="AS57" i="22"/>
  <c r="AR57" i="22"/>
  <c r="AP57" i="22"/>
  <c r="BT21" i="22" s="1"/>
  <c r="AO57" i="22"/>
  <c r="AN57" i="22"/>
  <c r="AM57" i="22"/>
  <c r="AL57" i="22"/>
  <c r="AK57" i="22"/>
  <c r="AS56" i="22"/>
  <c r="AR56" i="22"/>
  <c r="AP56" i="22"/>
  <c r="BT20" i="22" s="1"/>
  <c r="AO56" i="22"/>
  <c r="AN56" i="22"/>
  <c r="AM56" i="22"/>
  <c r="AL56" i="22"/>
  <c r="AK56" i="22"/>
  <c r="AS55" i="22"/>
  <c r="AR55" i="22"/>
  <c r="AP55" i="22"/>
  <c r="BT19" i="22" s="1"/>
  <c r="AO55" i="22"/>
  <c r="AN55" i="22"/>
  <c r="AM55" i="22"/>
  <c r="AL55" i="22"/>
  <c r="AK55" i="22"/>
  <c r="AS54" i="22"/>
  <c r="AR54" i="22"/>
  <c r="AP54" i="22"/>
  <c r="BT18" i="22" s="1"/>
  <c r="AO54" i="22"/>
  <c r="AN54" i="22"/>
  <c r="AM54" i="22"/>
  <c r="AL54" i="22"/>
  <c r="AK54" i="22"/>
  <c r="AS53" i="22"/>
  <c r="AR53" i="22"/>
  <c r="AP53" i="22"/>
  <c r="BT17" i="22" s="1"/>
  <c r="AO53" i="22"/>
  <c r="AN53" i="22"/>
  <c r="AM53" i="22"/>
  <c r="AL53" i="22"/>
  <c r="AK53" i="22"/>
  <c r="AS52" i="22"/>
  <c r="AR52" i="22"/>
  <c r="AP52" i="22"/>
  <c r="BT16" i="22" s="1"/>
  <c r="AO52" i="22"/>
  <c r="AN52" i="22"/>
  <c r="AM52" i="22"/>
  <c r="AL52" i="22"/>
  <c r="AK52" i="22"/>
  <c r="AS51" i="22"/>
  <c r="AR51" i="22"/>
  <c r="AP51" i="22"/>
  <c r="BT15" i="22" s="1"/>
  <c r="AO51" i="22"/>
  <c r="AN51" i="22"/>
  <c r="AM51" i="22"/>
  <c r="AL51" i="22"/>
  <c r="AK51" i="22"/>
  <c r="AS50" i="22"/>
  <c r="AR50" i="22"/>
  <c r="AP50" i="22"/>
  <c r="BT14" i="22" s="1"/>
  <c r="AO50" i="22"/>
  <c r="AN50" i="22"/>
  <c r="AM50" i="22"/>
  <c r="AL50" i="22"/>
  <c r="AK50" i="22"/>
  <c r="AS49" i="22"/>
  <c r="AR49" i="22"/>
  <c r="AP49" i="22"/>
  <c r="BT13" i="22" s="1"/>
  <c r="AO49" i="22"/>
  <c r="AN49" i="22"/>
  <c r="AM49" i="22"/>
  <c r="AL49" i="22"/>
  <c r="AK49" i="22"/>
  <c r="AS48" i="22"/>
  <c r="AR48" i="22"/>
  <c r="AP48" i="22"/>
  <c r="BT12" i="22" s="1"/>
  <c r="AO48" i="22"/>
  <c r="AN48" i="22"/>
  <c r="AM48" i="22"/>
  <c r="AL48" i="22"/>
  <c r="AK48" i="22"/>
  <c r="AS45" i="22"/>
  <c r="AR45" i="22"/>
  <c r="AM45" i="22"/>
  <c r="AL45" i="22"/>
  <c r="AK45" i="22"/>
  <c r="AT8" i="22"/>
  <c r="AR20" i="22"/>
  <c r="AQ20" i="22"/>
  <c r="AO20" i="22"/>
  <c r="AN20" i="22"/>
  <c r="AM20" i="22"/>
  <c r="AL20" i="22"/>
  <c r="AR19" i="22"/>
  <c r="AQ19" i="22"/>
  <c r="AO19" i="22"/>
  <c r="AN19" i="22"/>
  <c r="AM19" i="22"/>
  <c r="AL19" i="22"/>
  <c r="AR18" i="22"/>
  <c r="AQ18" i="22"/>
  <c r="AO18" i="22"/>
  <c r="AN18" i="22"/>
  <c r="AM18" i="22"/>
  <c r="AL18" i="22"/>
  <c r="AR16" i="22"/>
  <c r="AQ16" i="22"/>
  <c r="AO16" i="22"/>
  <c r="AN16" i="22"/>
  <c r="AM16" i="22"/>
  <c r="AL16" i="22"/>
  <c r="AR15" i="22"/>
  <c r="AQ15" i="22"/>
  <c r="AO15" i="22"/>
  <c r="AN15" i="22"/>
  <c r="AM15" i="22"/>
  <c r="AL15" i="22"/>
  <c r="AR14" i="22"/>
  <c r="AQ14" i="22"/>
  <c r="AO14" i="22"/>
  <c r="AN14" i="22"/>
  <c r="AM14" i="22"/>
  <c r="AL14" i="22"/>
  <c r="AR13" i="22"/>
  <c r="AQ13" i="22"/>
  <c r="AO13" i="22"/>
  <c r="AN13" i="22"/>
  <c r="AM13" i="22"/>
  <c r="AL13" i="22"/>
  <c r="AJ12" i="22"/>
  <c r="AM9" i="22"/>
  <c r="AR8" i="22"/>
  <c r="AQ8" i="22"/>
  <c r="AM8" i="22"/>
  <c r="AL8" i="22"/>
  <c r="AJ8" i="22"/>
  <c r="Q18" i="36" l="1"/>
  <c r="Q5" i="36"/>
  <c r="AR20" i="32" l="1"/>
  <c r="AR19" i="32"/>
  <c r="AR18" i="32"/>
  <c r="AR16" i="32"/>
  <c r="AR15" i="32"/>
  <c r="AR14" i="32"/>
  <c r="AR13" i="32"/>
  <c r="AR8" i="32"/>
  <c r="AT8" i="32"/>
  <c r="M39" i="38" l="1"/>
  <c r="M38" i="38"/>
  <c r="M37" i="38"/>
  <c r="M49" i="38"/>
  <c r="M48" i="38"/>
  <c r="M47" i="38"/>
  <c r="E41" i="38"/>
  <c r="AZ67" i="22"/>
  <c r="AZ66" i="22"/>
  <c r="AZ65" i="22"/>
  <c r="AZ64" i="22"/>
  <c r="AZ63" i="22"/>
  <c r="AZ62" i="22"/>
  <c r="AZ61" i="22"/>
  <c r="AZ60" i="22"/>
  <c r="AZ59" i="22"/>
  <c r="AZ58" i="22"/>
  <c r="AZ57" i="22"/>
  <c r="AZ56" i="22"/>
  <c r="AZ55" i="22"/>
  <c r="AZ54" i="22"/>
  <c r="AZ53" i="22"/>
  <c r="AZ52" i="22"/>
  <c r="AZ51" i="22"/>
  <c r="AZ50" i="22"/>
  <c r="AZ49" i="22"/>
  <c r="AZ48" i="22"/>
  <c r="AZ67" i="32"/>
  <c r="AS67" i="32"/>
  <c r="AR67" i="32"/>
  <c r="AZ66" i="32"/>
  <c r="AS66" i="32"/>
  <c r="AR66" i="32"/>
  <c r="AZ65" i="32"/>
  <c r="AS65" i="32"/>
  <c r="AR65" i="32"/>
  <c r="AZ64" i="32"/>
  <c r="AS64" i="32"/>
  <c r="AR64" i="32"/>
  <c r="AZ63" i="32"/>
  <c r="AS63" i="32"/>
  <c r="AR63" i="32"/>
  <c r="AZ62" i="32"/>
  <c r="AS62" i="32"/>
  <c r="AR62" i="32"/>
  <c r="AZ61" i="32"/>
  <c r="AS61" i="32"/>
  <c r="AR61" i="32"/>
  <c r="AZ60" i="32"/>
  <c r="AS60" i="32"/>
  <c r="AR60" i="32"/>
  <c r="AZ59" i="32"/>
  <c r="AS59" i="32"/>
  <c r="AR59" i="32"/>
  <c r="AZ58" i="32"/>
  <c r="AS58" i="32"/>
  <c r="AR58" i="32"/>
  <c r="AZ57" i="32"/>
  <c r="AS57" i="32"/>
  <c r="AR57" i="32"/>
  <c r="AZ56" i="32"/>
  <c r="AS56" i="32"/>
  <c r="AR56" i="32"/>
  <c r="AZ55" i="32"/>
  <c r="AS55" i="32"/>
  <c r="AR55" i="32"/>
  <c r="AZ54" i="32"/>
  <c r="AS54" i="32"/>
  <c r="AR54" i="32"/>
  <c r="AZ53" i="32"/>
  <c r="AS53" i="32"/>
  <c r="AR53" i="32"/>
  <c r="AZ52" i="32"/>
  <c r="AS52" i="32"/>
  <c r="AR52" i="32"/>
  <c r="AZ51" i="32"/>
  <c r="AS51" i="32"/>
  <c r="AR51" i="32"/>
  <c r="AZ50" i="32"/>
  <c r="AS50" i="32"/>
  <c r="AR50" i="32"/>
  <c r="AZ49" i="32"/>
  <c r="AS49" i="32"/>
  <c r="AR49" i="32"/>
  <c r="AZ48" i="32"/>
  <c r="AS48" i="32"/>
  <c r="AR48" i="32"/>
  <c r="AS45" i="32"/>
  <c r="AR45" i="32"/>
  <c r="AZ67" i="41"/>
  <c r="AS67" i="41"/>
  <c r="AR67" i="41"/>
  <c r="AZ66" i="41"/>
  <c r="AS66" i="41"/>
  <c r="AR66" i="41"/>
  <c r="AZ65" i="41"/>
  <c r="AS65" i="41"/>
  <c r="AR65" i="41"/>
  <c r="AZ64" i="41"/>
  <c r="AS64" i="41"/>
  <c r="AR64" i="41"/>
  <c r="AZ63" i="41"/>
  <c r="AS63" i="41"/>
  <c r="AR63" i="41"/>
  <c r="AZ62" i="41"/>
  <c r="AS62" i="41"/>
  <c r="AR62" i="41"/>
  <c r="AZ61" i="41"/>
  <c r="AS61" i="41"/>
  <c r="AR61" i="41"/>
  <c r="AZ60" i="41"/>
  <c r="AS60" i="41"/>
  <c r="AR60" i="41"/>
  <c r="AZ59" i="41"/>
  <c r="AS59" i="41"/>
  <c r="AR59" i="41"/>
  <c r="AZ58" i="41"/>
  <c r="AS58" i="41"/>
  <c r="AR58" i="41"/>
  <c r="AZ57" i="41"/>
  <c r="AS57" i="41"/>
  <c r="AR57" i="41"/>
  <c r="AZ56" i="41"/>
  <c r="AS56" i="41"/>
  <c r="AR56" i="41"/>
  <c r="AZ55" i="41"/>
  <c r="AS55" i="41"/>
  <c r="AR55" i="41"/>
  <c r="AZ54" i="41"/>
  <c r="AS54" i="41"/>
  <c r="AR54" i="41"/>
  <c r="AZ53" i="41"/>
  <c r="AS53" i="41"/>
  <c r="AR53" i="41"/>
  <c r="AZ52" i="41"/>
  <c r="AS52" i="41"/>
  <c r="AR52" i="41"/>
  <c r="AZ51" i="41"/>
  <c r="AS51" i="41"/>
  <c r="AR51" i="41"/>
  <c r="AZ50" i="41"/>
  <c r="AS50" i="41"/>
  <c r="AR50" i="41"/>
  <c r="AZ49" i="41"/>
  <c r="AS49" i="41"/>
  <c r="AR49" i="41"/>
  <c r="AZ48" i="41"/>
  <c r="AS48" i="41"/>
  <c r="AR48" i="41"/>
  <c r="AS45" i="41"/>
  <c r="AR45" i="41"/>
  <c r="AZ67" i="47"/>
  <c r="AS67" i="47"/>
  <c r="AR67" i="47"/>
  <c r="AZ66" i="47"/>
  <c r="AS66" i="47"/>
  <c r="AR66" i="47"/>
  <c r="AZ65" i="47"/>
  <c r="AS65" i="47"/>
  <c r="AR65" i="47"/>
  <c r="AZ64" i="47"/>
  <c r="AS64" i="47"/>
  <c r="AR64" i="47"/>
  <c r="AZ63" i="47"/>
  <c r="AS63" i="47"/>
  <c r="AR63" i="47"/>
  <c r="AZ62" i="47"/>
  <c r="AS62" i="47"/>
  <c r="AR62" i="47"/>
  <c r="AZ61" i="47"/>
  <c r="AS61" i="47"/>
  <c r="AR61" i="47"/>
  <c r="AZ60" i="47"/>
  <c r="AS60" i="47"/>
  <c r="AR60" i="47"/>
  <c r="AZ59" i="47"/>
  <c r="AS59" i="47"/>
  <c r="AR59" i="47"/>
  <c r="AZ58" i="47"/>
  <c r="AS58" i="47"/>
  <c r="AR58" i="47"/>
  <c r="AZ57" i="47"/>
  <c r="AS57" i="47"/>
  <c r="AR57" i="47"/>
  <c r="AZ56" i="47"/>
  <c r="AS56" i="47"/>
  <c r="AR56" i="47"/>
  <c r="AZ55" i="47"/>
  <c r="AS55" i="47"/>
  <c r="AR55" i="47"/>
  <c r="AZ54" i="47"/>
  <c r="AS54" i="47"/>
  <c r="AR54" i="47"/>
  <c r="AZ53" i="47"/>
  <c r="AS53" i="47"/>
  <c r="AR53" i="47"/>
  <c r="AZ52" i="47"/>
  <c r="AS52" i="47"/>
  <c r="AR52" i="47"/>
  <c r="AZ51" i="47"/>
  <c r="AS51" i="47"/>
  <c r="AR51" i="47"/>
  <c r="AZ50" i="47"/>
  <c r="AS50" i="47"/>
  <c r="AR50" i="47"/>
  <c r="AZ49" i="47"/>
  <c r="AS49" i="47"/>
  <c r="AR49" i="47"/>
  <c r="AZ48" i="47"/>
  <c r="AS48" i="47"/>
  <c r="AR48" i="47"/>
  <c r="AS45" i="47"/>
  <c r="AR45" i="47"/>
  <c r="AZ67" i="45"/>
  <c r="AS67" i="45"/>
  <c r="AR67" i="45"/>
  <c r="AZ66" i="45"/>
  <c r="AS66" i="45"/>
  <c r="AR66" i="45"/>
  <c r="AZ65" i="45"/>
  <c r="AS65" i="45"/>
  <c r="AR65" i="45"/>
  <c r="AZ64" i="45"/>
  <c r="AS64" i="45"/>
  <c r="AR64" i="45"/>
  <c r="AZ63" i="45"/>
  <c r="AS63" i="45"/>
  <c r="AR63" i="45"/>
  <c r="AZ62" i="45"/>
  <c r="AS62" i="45"/>
  <c r="AR62" i="45"/>
  <c r="AZ61" i="45"/>
  <c r="AS61" i="45"/>
  <c r="AR61" i="45"/>
  <c r="AZ60" i="45"/>
  <c r="AS60" i="45"/>
  <c r="AR60" i="45"/>
  <c r="AZ59" i="45"/>
  <c r="AS59" i="45"/>
  <c r="AR59" i="45"/>
  <c r="AZ58" i="45"/>
  <c r="AS58" i="45"/>
  <c r="AR58" i="45"/>
  <c r="AZ57" i="45"/>
  <c r="AS57" i="45"/>
  <c r="AR57" i="45"/>
  <c r="AZ56" i="45"/>
  <c r="AS56" i="45"/>
  <c r="AR56" i="45"/>
  <c r="AZ55" i="45"/>
  <c r="AS55" i="45"/>
  <c r="AR55" i="45"/>
  <c r="AZ54" i="45"/>
  <c r="AS54" i="45"/>
  <c r="AR54" i="45"/>
  <c r="AZ53" i="45"/>
  <c r="AS53" i="45"/>
  <c r="AR53" i="45"/>
  <c r="AZ52" i="45"/>
  <c r="AS52" i="45"/>
  <c r="AR52" i="45"/>
  <c r="AZ51" i="45"/>
  <c r="AS51" i="45"/>
  <c r="AR51" i="45"/>
  <c r="AZ50" i="45"/>
  <c r="AS50" i="45"/>
  <c r="AR50" i="45"/>
  <c r="AZ49" i="45"/>
  <c r="AS49" i="45"/>
  <c r="AR49" i="45"/>
  <c r="AZ48" i="45"/>
  <c r="AS48" i="45"/>
  <c r="AR48" i="45"/>
  <c r="AS45" i="45"/>
  <c r="AR45" i="45"/>
  <c r="AZ67" i="19" l="1"/>
  <c r="AZ66" i="19"/>
  <c r="AZ65" i="19"/>
  <c r="AZ64" i="19"/>
  <c r="AZ63" i="19"/>
  <c r="AZ62" i="19"/>
  <c r="AZ61" i="19"/>
  <c r="AZ60" i="19"/>
  <c r="AZ59" i="19"/>
  <c r="AZ58" i="19"/>
  <c r="AZ57" i="19"/>
  <c r="AZ56" i="19"/>
  <c r="AZ55" i="19"/>
  <c r="AZ54" i="19"/>
  <c r="AZ53" i="19"/>
  <c r="AZ52" i="19"/>
  <c r="AZ51" i="19"/>
  <c r="AZ50" i="19"/>
  <c r="AZ49" i="19"/>
  <c r="AZ48" i="19"/>
  <c r="AS67" i="19"/>
  <c r="AS66" i="19"/>
  <c r="AS65" i="19"/>
  <c r="AS64" i="19"/>
  <c r="AS63" i="19"/>
  <c r="AS62" i="19"/>
  <c r="AS61" i="19"/>
  <c r="AS60" i="19"/>
  <c r="AS59" i="19"/>
  <c r="AS58" i="19"/>
  <c r="AS57" i="19"/>
  <c r="AS56" i="19"/>
  <c r="AS55" i="19"/>
  <c r="AS54" i="19"/>
  <c r="AS53" i="19"/>
  <c r="AS52" i="19"/>
  <c r="AS51" i="19"/>
  <c r="AS50" i="19"/>
  <c r="AS49" i="19"/>
  <c r="AS48" i="19"/>
  <c r="AR67" i="19"/>
  <c r="AR66" i="19"/>
  <c r="AR65" i="19"/>
  <c r="AR64" i="19"/>
  <c r="AR63" i="19"/>
  <c r="AR62" i="19"/>
  <c r="AR61" i="19"/>
  <c r="AR60" i="19"/>
  <c r="AR59" i="19"/>
  <c r="AR58" i="19"/>
  <c r="AR57" i="19"/>
  <c r="AR56" i="19"/>
  <c r="AR55" i="19"/>
  <c r="AR54" i="19"/>
  <c r="AR53" i="19"/>
  <c r="AR52" i="19"/>
  <c r="AR51" i="19"/>
  <c r="AR50" i="19"/>
  <c r="AR49" i="19"/>
  <c r="AR48" i="19"/>
  <c r="BU31" i="22" l="1"/>
  <c r="BU30" i="22"/>
  <c r="BU29" i="22"/>
  <c r="BU28" i="22"/>
  <c r="BU27" i="22"/>
  <c r="BU26" i="22"/>
  <c r="BU25" i="22"/>
  <c r="BU24" i="22"/>
  <c r="BU23" i="22"/>
  <c r="BU22" i="22"/>
  <c r="BU21" i="22"/>
  <c r="BU20" i="22"/>
  <c r="BU19" i="22"/>
  <c r="BU18" i="22"/>
  <c r="BU17" i="22"/>
  <c r="BU16" i="22"/>
  <c r="BU15" i="22"/>
  <c r="BU14" i="22"/>
  <c r="BU13" i="22"/>
  <c r="BU12" i="22"/>
  <c r="BU31" i="32"/>
  <c r="AO67" i="32"/>
  <c r="AN67" i="32"/>
  <c r="AM67" i="32"/>
  <c r="AL67" i="32"/>
  <c r="AK67" i="32"/>
  <c r="BU30" i="32"/>
  <c r="AO66" i="32"/>
  <c r="AN66" i="32"/>
  <c r="AM66" i="32"/>
  <c r="AL66" i="32"/>
  <c r="AK66" i="32"/>
  <c r="BU29" i="32"/>
  <c r="AO65" i="32"/>
  <c r="AN65" i="32"/>
  <c r="AM65" i="32"/>
  <c r="AL65" i="32"/>
  <c r="AK65" i="32"/>
  <c r="BU28" i="32"/>
  <c r="AO64" i="32"/>
  <c r="AN64" i="32"/>
  <c r="AM64" i="32"/>
  <c r="AL64" i="32"/>
  <c r="AK64" i="32"/>
  <c r="BU27" i="32"/>
  <c r="AO63" i="32"/>
  <c r="AN63" i="32"/>
  <c r="AM63" i="32"/>
  <c r="AL63" i="32"/>
  <c r="AK63" i="32"/>
  <c r="BU26" i="32"/>
  <c r="AO62" i="32"/>
  <c r="AN62" i="32"/>
  <c r="AM62" i="32"/>
  <c r="AL62" i="32"/>
  <c r="AK62" i="32"/>
  <c r="BU25" i="32"/>
  <c r="AO61" i="32"/>
  <c r="AN61" i="32"/>
  <c r="AM61" i="32"/>
  <c r="AL61" i="32"/>
  <c r="AK61" i="32"/>
  <c r="BU24" i="32"/>
  <c r="AO60" i="32"/>
  <c r="AN60" i="32"/>
  <c r="AM60" i="32"/>
  <c r="AL60" i="32"/>
  <c r="AK60" i="32"/>
  <c r="BU23" i="32"/>
  <c r="AO59" i="32"/>
  <c r="AN59" i="32"/>
  <c r="AM59" i="32"/>
  <c r="AL59" i="32"/>
  <c r="AK59" i="32"/>
  <c r="BU22" i="32"/>
  <c r="AO58" i="32"/>
  <c r="AN58" i="32"/>
  <c r="AM58" i="32"/>
  <c r="AL58" i="32"/>
  <c r="AK58" i="32"/>
  <c r="BU21" i="32"/>
  <c r="AO57" i="32"/>
  <c r="AN57" i="32"/>
  <c r="AM57" i="32"/>
  <c r="AL57" i="32"/>
  <c r="AK57" i="32"/>
  <c r="BU20" i="32"/>
  <c r="AO56" i="32"/>
  <c r="AN56" i="32"/>
  <c r="AM56" i="32"/>
  <c r="AL56" i="32"/>
  <c r="AK56" i="32"/>
  <c r="BU19" i="32"/>
  <c r="AO55" i="32"/>
  <c r="AN55" i="32"/>
  <c r="AM55" i="32"/>
  <c r="AL55" i="32"/>
  <c r="AK55" i="32"/>
  <c r="BU18" i="32"/>
  <c r="AO54" i="32"/>
  <c r="AN54" i="32"/>
  <c r="AM54" i="32"/>
  <c r="AL54" i="32"/>
  <c r="AK54" i="32"/>
  <c r="BU17" i="32"/>
  <c r="AO53" i="32"/>
  <c r="AN53" i="32"/>
  <c r="AM53" i="32"/>
  <c r="AL53" i="32"/>
  <c r="AK53" i="32"/>
  <c r="BU16" i="32"/>
  <c r="AO52" i="32"/>
  <c r="AN52" i="32"/>
  <c r="AM52" i="32"/>
  <c r="AL52" i="32"/>
  <c r="AK52" i="32"/>
  <c r="BU15" i="32"/>
  <c r="AO51" i="32"/>
  <c r="AN51" i="32"/>
  <c r="AM51" i="32"/>
  <c r="AL51" i="32"/>
  <c r="AK51" i="32"/>
  <c r="BU14" i="32"/>
  <c r="AO50" i="32"/>
  <c r="AN50" i="32"/>
  <c r="AM50" i="32"/>
  <c r="AL50" i="32"/>
  <c r="AK50" i="32"/>
  <c r="BU13" i="32"/>
  <c r="AO49" i="32"/>
  <c r="AN49" i="32"/>
  <c r="AM49" i="32"/>
  <c r="AL49" i="32"/>
  <c r="AK49" i="32"/>
  <c r="BU12" i="32"/>
  <c r="AO48" i="32"/>
  <c r="AN48" i="32"/>
  <c r="AM48" i="32"/>
  <c r="AL48" i="32"/>
  <c r="AK48" i="32"/>
  <c r="AM45" i="32"/>
  <c r="AL45" i="32"/>
  <c r="AK45" i="32"/>
  <c r="BU31" i="41"/>
  <c r="AP67" i="41"/>
  <c r="BT31" i="41" s="1"/>
  <c r="AO67" i="41"/>
  <c r="AN67" i="41"/>
  <c r="AM67" i="41"/>
  <c r="AL67" i="41"/>
  <c r="AK67" i="41"/>
  <c r="BU30" i="41"/>
  <c r="AP66" i="41"/>
  <c r="BT30" i="41" s="1"/>
  <c r="AO66" i="41"/>
  <c r="AN66" i="41"/>
  <c r="AM66" i="41"/>
  <c r="AL66" i="41"/>
  <c r="AK66" i="41"/>
  <c r="BU29" i="41"/>
  <c r="AP65" i="41"/>
  <c r="BT29" i="41" s="1"/>
  <c r="AO65" i="41"/>
  <c r="AN65" i="41"/>
  <c r="AM65" i="41"/>
  <c r="AL65" i="41"/>
  <c r="AK65" i="41"/>
  <c r="BU28" i="41"/>
  <c r="AP64" i="41"/>
  <c r="BT28" i="41" s="1"/>
  <c r="AO64" i="41"/>
  <c r="AN64" i="41"/>
  <c r="AM64" i="41"/>
  <c r="AL64" i="41"/>
  <c r="AK64" i="41"/>
  <c r="BU27" i="41"/>
  <c r="AP63" i="41"/>
  <c r="BT27" i="41" s="1"/>
  <c r="AO63" i="41"/>
  <c r="AN63" i="41"/>
  <c r="AM63" i="41"/>
  <c r="AL63" i="41"/>
  <c r="AK63" i="41"/>
  <c r="BU26" i="41"/>
  <c r="AP62" i="41"/>
  <c r="BT26" i="41" s="1"/>
  <c r="AO62" i="41"/>
  <c r="AN62" i="41"/>
  <c r="AM62" i="41"/>
  <c r="AL62" i="41"/>
  <c r="AK62" i="41"/>
  <c r="BU25" i="41"/>
  <c r="AP61" i="41"/>
  <c r="BT25" i="41" s="1"/>
  <c r="AO61" i="41"/>
  <c r="AN61" i="41"/>
  <c r="AM61" i="41"/>
  <c r="AL61" i="41"/>
  <c r="AK61" i="41"/>
  <c r="BU24" i="41"/>
  <c r="AP60" i="41"/>
  <c r="BT24" i="41" s="1"/>
  <c r="AO60" i="41"/>
  <c r="AN60" i="41"/>
  <c r="AM60" i="41"/>
  <c r="AL60" i="41"/>
  <c r="AK60" i="41"/>
  <c r="BU23" i="41"/>
  <c r="AP59" i="41"/>
  <c r="BT23" i="41" s="1"/>
  <c r="AO59" i="41"/>
  <c r="AN59" i="41"/>
  <c r="AM59" i="41"/>
  <c r="AL59" i="41"/>
  <c r="AK59" i="41"/>
  <c r="BU22" i="41"/>
  <c r="AP58" i="41"/>
  <c r="BT22" i="41" s="1"/>
  <c r="AO58" i="41"/>
  <c r="AN58" i="41"/>
  <c r="AM58" i="41"/>
  <c r="AL58" i="41"/>
  <c r="AK58" i="41"/>
  <c r="BU21" i="41"/>
  <c r="AP57" i="41"/>
  <c r="BT21" i="41" s="1"/>
  <c r="AO57" i="41"/>
  <c r="AN57" i="41"/>
  <c r="AM57" i="41"/>
  <c r="AL57" i="41"/>
  <c r="AK57" i="41"/>
  <c r="BU20" i="41"/>
  <c r="AP56" i="41"/>
  <c r="BT20" i="41" s="1"/>
  <c r="AO56" i="41"/>
  <c r="AN56" i="41"/>
  <c r="AM56" i="41"/>
  <c r="AL56" i="41"/>
  <c r="AK56" i="41"/>
  <c r="BU19" i="41"/>
  <c r="AP55" i="41"/>
  <c r="BT19" i="41" s="1"/>
  <c r="AO55" i="41"/>
  <c r="AN55" i="41"/>
  <c r="AM55" i="41"/>
  <c r="AL55" i="41"/>
  <c r="AK55" i="41"/>
  <c r="BU18" i="41"/>
  <c r="AP54" i="41"/>
  <c r="BT18" i="41" s="1"/>
  <c r="AO54" i="41"/>
  <c r="AN54" i="41"/>
  <c r="AM54" i="41"/>
  <c r="AL54" i="41"/>
  <c r="AK54" i="41"/>
  <c r="BU17" i="41"/>
  <c r="AP53" i="41"/>
  <c r="BT17" i="41" s="1"/>
  <c r="AO53" i="41"/>
  <c r="AN53" i="41"/>
  <c r="AM53" i="41"/>
  <c r="AL53" i="41"/>
  <c r="AK53" i="41"/>
  <c r="BU16" i="41"/>
  <c r="AP52" i="41"/>
  <c r="BT16" i="41" s="1"/>
  <c r="AO52" i="41"/>
  <c r="AN52" i="41"/>
  <c r="AM52" i="41"/>
  <c r="AL52" i="41"/>
  <c r="AK52" i="41"/>
  <c r="BU15" i="41"/>
  <c r="AP51" i="41"/>
  <c r="BT15" i="41" s="1"/>
  <c r="AO51" i="41"/>
  <c r="AN51" i="41"/>
  <c r="AM51" i="41"/>
  <c r="AL51" i="41"/>
  <c r="AK51" i="41"/>
  <c r="BU14" i="41"/>
  <c r="AP50" i="41"/>
  <c r="BT14" i="41" s="1"/>
  <c r="AO50" i="41"/>
  <c r="AN50" i="41"/>
  <c r="AM50" i="41"/>
  <c r="AL50" i="41"/>
  <c r="AK50" i="41"/>
  <c r="BU13" i="41"/>
  <c r="AP49" i="41"/>
  <c r="BT13" i="41" s="1"/>
  <c r="AO49" i="41"/>
  <c r="AN49" i="41"/>
  <c r="AM49" i="41"/>
  <c r="AL49" i="41"/>
  <c r="AK49" i="41"/>
  <c r="BU12" i="41"/>
  <c r="AP48" i="41"/>
  <c r="BT12" i="41" s="1"/>
  <c r="AO48" i="41"/>
  <c r="AN48" i="41"/>
  <c r="AM48" i="41"/>
  <c r="AL48" i="41"/>
  <c r="AK48" i="41"/>
  <c r="AM45" i="41"/>
  <c r="AL45" i="41"/>
  <c r="AK45" i="41"/>
  <c r="AJ42" i="41"/>
  <c r="AX41" i="41"/>
  <c r="AW41" i="41"/>
  <c r="AM41" i="41"/>
  <c r="AX40" i="41"/>
  <c r="AW40" i="41"/>
  <c r="AM40" i="41"/>
  <c r="AX39" i="41"/>
  <c r="AW39" i="41"/>
  <c r="AS39" i="41"/>
  <c r="AM39" i="41"/>
  <c r="AX38" i="41"/>
  <c r="AW38" i="41"/>
  <c r="AM38" i="41"/>
  <c r="AX37" i="41"/>
  <c r="AW37" i="41"/>
  <c r="AM37" i="41"/>
  <c r="AX36" i="41"/>
  <c r="AW36" i="41"/>
  <c r="AS36" i="41"/>
  <c r="AM36" i="41"/>
  <c r="AX34" i="41"/>
  <c r="AW34" i="41"/>
  <c r="AM34" i="41"/>
  <c r="AX33" i="41"/>
  <c r="AW33" i="41"/>
  <c r="AM33" i="41"/>
  <c r="AX32" i="41"/>
  <c r="AW32" i="41"/>
  <c r="AS32" i="41"/>
  <c r="AM32" i="41"/>
  <c r="AX31" i="41"/>
  <c r="AW31" i="41"/>
  <c r="AM31" i="41"/>
  <c r="AX30" i="41"/>
  <c r="AW30" i="41"/>
  <c r="AM30" i="41"/>
  <c r="AX29" i="41"/>
  <c r="AW29" i="41"/>
  <c r="AS29" i="41"/>
  <c r="AM29" i="41"/>
  <c r="AX28" i="41"/>
  <c r="AW28" i="41"/>
  <c r="AM28" i="41"/>
  <c r="AX27" i="41"/>
  <c r="AW27" i="41"/>
  <c r="AM27" i="41"/>
  <c r="AX26" i="41"/>
  <c r="AW26" i="41"/>
  <c r="AS26" i="41"/>
  <c r="AM26" i="41"/>
  <c r="AX25" i="41"/>
  <c r="AW25" i="41"/>
  <c r="AM25" i="41"/>
  <c r="AX24" i="41"/>
  <c r="AW24" i="41"/>
  <c r="AS24" i="41"/>
  <c r="AQ24" i="41"/>
  <c r="AM24" i="41"/>
  <c r="AX22" i="41"/>
  <c r="AW22" i="41"/>
  <c r="AM22" i="41"/>
  <c r="AX21" i="41"/>
  <c r="AW21" i="41"/>
  <c r="AM21" i="41"/>
  <c r="AX20" i="41"/>
  <c r="AW20" i="41"/>
  <c r="AS20" i="41"/>
  <c r="AQ20" i="41"/>
  <c r="AM20" i="41"/>
  <c r="AX19" i="41"/>
  <c r="AW19" i="41"/>
  <c r="AM19" i="41"/>
  <c r="AX18" i="41"/>
  <c r="AW18" i="41"/>
  <c r="AM18" i="41"/>
  <c r="AX17" i="41"/>
  <c r="AW17" i="41"/>
  <c r="AS17" i="41"/>
  <c r="AQ17" i="41"/>
  <c r="AM17" i="41"/>
  <c r="AX16" i="41"/>
  <c r="AW16" i="41"/>
  <c r="AM16" i="41"/>
  <c r="AX15" i="41"/>
  <c r="AW15" i="41"/>
  <c r="AM15" i="41"/>
  <c r="AX14" i="41"/>
  <c r="AW14" i="41"/>
  <c r="AS14" i="41"/>
  <c r="AQ14" i="41"/>
  <c r="AM14" i="41"/>
  <c r="AX13" i="41"/>
  <c r="AW13" i="41"/>
  <c r="AS13" i="41"/>
  <c r="AQ13" i="41"/>
  <c r="AM13" i="41"/>
  <c r="AX9" i="41"/>
  <c r="AW9" i="41"/>
  <c r="AS9" i="41"/>
  <c r="AQ9" i="41"/>
  <c r="AM9" i="41"/>
  <c r="AW8" i="41"/>
  <c r="AU8" i="41"/>
  <c r="AQ8" i="41"/>
  <c r="AM8" i="41"/>
  <c r="AJ6" i="41"/>
  <c r="AJ5" i="41"/>
  <c r="AV3" i="41"/>
  <c r="AZ2" i="41"/>
  <c r="BU31" i="47"/>
  <c r="AP67" i="47"/>
  <c r="BT31" i="47" s="1"/>
  <c r="AO67" i="47"/>
  <c r="AN67" i="47"/>
  <c r="AM67" i="47"/>
  <c r="AL67" i="47"/>
  <c r="AK67" i="47"/>
  <c r="BU30" i="47"/>
  <c r="AP66" i="47"/>
  <c r="BT30" i="47" s="1"/>
  <c r="AO66" i="47"/>
  <c r="AN66" i="47"/>
  <c r="AM66" i="47"/>
  <c r="AL66" i="47"/>
  <c r="AK66" i="47"/>
  <c r="BU29" i="47"/>
  <c r="AP65" i="47"/>
  <c r="BT29" i="47" s="1"/>
  <c r="AO65" i="47"/>
  <c r="AN65" i="47"/>
  <c r="AM65" i="47"/>
  <c r="AL65" i="47"/>
  <c r="AK65" i="47"/>
  <c r="BU28" i="47"/>
  <c r="AP64" i="47"/>
  <c r="BT28" i="47" s="1"/>
  <c r="AO64" i="47"/>
  <c r="AN64" i="47"/>
  <c r="AM64" i="47"/>
  <c r="AL64" i="47"/>
  <c r="AK64" i="47"/>
  <c r="BU27" i="47"/>
  <c r="AP63" i="47"/>
  <c r="BT27" i="47" s="1"/>
  <c r="AO63" i="47"/>
  <c r="AN63" i="47"/>
  <c r="AM63" i="47"/>
  <c r="AL63" i="47"/>
  <c r="AK63" i="47"/>
  <c r="BU26" i="47"/>
  <c r="AP62" i="47"/>
  <c r="BT26" i="47" s="1"/>
  <c r="AO62" i="47"/>
  <c r="AN62" i="47"/>
  <c r="AM62" i="47"/>
  <c r="AL62" i="47"/>
  <c r="AK62" i="47"/>
  <c r="BU25" i="47"/>
  <c r="AP61" i="47"/>
  <c r="BT25" i="47" s="1"/>
  <c r="AO61" i="47"/>
  <c r="AN61" i="47"/>
  <c r="AM61" i="47"/>
  <c r="AL61" i="47"/>
  <c r="AK61" i="47"/>
  <c r="BU24" i="47"/>
  <c r="AP60" i="47"/>
  <c r="BT24" i="47" s="1"/>
  <c r="AO60" i="47"/>
  <c r="AN60" i="47"/>
  <c r="AM60" i="47"/>
  <c r="AL60" i="47"/>
  <c r="AK60" i="47"/>
  <c r="BU23" i="47"/>
  <c r="AP59" i="47"/>
  <c r="BT23" i="47" s="1"/>
  <c r="AO59" i="47"/>
  <c r="AN59" i="47"/>
  <c r="AM59" i="47"/>
  <c r="AL59" i="47"/>
  <c r="AK59" i="47"/>
  <c r="BU22" i="47"/>
  <c r="AP58" i="47"/>
  <c r="BT22" i="47" s="1"/>
  <c r="AO58" i="47"/>
  <c r="AN58" i="47"/>
  <c r="AM58" i="47"/>
  <c r="AL58" i="47"/>
  <c r="AK58" i="47"/>
  <c r="BU21" i="47"/>
  <c r="AP57" i="47"/>
  <c r="BT21" i="47" s="1"/>
  <c r="AO57" i="47"/>
  <c r="AN57" i="47"/>
  <c r="AM57" i="47"/>
  <c r="AL57" i="47"/>
  <c r="AK57" i="47"/>
  <c r="BU20" i="47"/>
  <c r="AP56" i="47"/>
  <c r="BT20" i="47" s="1"/>
  <c r="AO56" i="47"/>
  <c r="AN56" i="47"/>
  <c r="AM56" i="47"/>
  <c r="AL56" i="47"/>
  <c r="AK56" i="47"/>
  <c r="BU19" i="47"/>
  <c r="AP55" i="47"/>
  <c r="BT19" i="47" s="1"/>
  <c r="AO55" i="47"/>
  <c r="AN55" i="47"/>
  <c r="AM55" i="47"/>
  <c r="AL55" i="47"/>
  <c r="AK55" i="47"/>
  <c r="BU18" i="47"/>
  <c r="AP54" i="47"/>
  <c r="BT18" i="47" s="1"/>
  <c r="AO54" i="47"/>
  <c r="AN54" i="47"/>
  <c r="AM54" i="47"/>
  <c r="AL54" i="47"/>
  <c r="AK54" i="47"/>
  <c r="BU17" i="47"/>
  <c r="AP53" i="47"/>
  <c r="BT17" i="47" s="1"/>
  <c r="AO53" i="47"/>
  <c r="AN53" i="47"/>
  <c r="AM53" i="47"/>
  <c r="AL53" i="47"/>
  <c r="AK53" i="47"/>
  <c r="BU16" i="47"/>
  <c r="AP52" i="47"/>
  <c r="BT16" i="47" s="1"/>
  <c r="AO52" i="47"/>
  <c r="AN52" i="47"/>
  <c r="AM52" i="47"/>
  <c r="AL52" i="47"/>
  <c r="AK52" i="47"/>
  <c r="BU15" i="47"/>
  <c r="AP51" i="47"/>
  <c r="BT15" i="47" s="1"/>
  <c r="AO51" i="47"/>
  <c r="AN51" i="47"/>
  <c r="AM51" i="47"/>
  <c r="AL51" i="47"/>
  <c r="AK51" i="47"/>
  <c r="BU14" i="47"/>
  <c r="AP50" i="47"/>
  <c r="BT14" i="47" s="1"/>
  <c r="AO50" i="47"/>
  <c r="AN50" i="47"/>
  <c r="AM50" i="47"/>
  <c r="AL50" i="47"/>
  <c r="AK50" i="47"/>
  <c r="BU13" i="47"/>
  <c r="AP49" i="47"/>
  <c r="BT13" i="47" s="1"/>
  <c r="AO49" i="47"/>
  <c r="AN49" i="47"/>
  <c r="AM49" i="47"/>
  <c r="AL49" i="47"/>
  <c r="AK49" i="47"/>
  <c r="BU12" i="47"/>
  <c r="AP48" i="47"/>
  <c r="BT12" i="47" s="1"/>
  <c r="AO48" i="47"/>
  <c r="AN48" i="47"/>
  <c r="AM48" i="47"/>
  <c r="AL48" i="47"/>
  <c r="AK48" i="47"/>
  <c r="AM45" i="47"/>
  <c r="AL45" i="47"/>
  <c r="AK45" i="47"/>
  <c r="AJ42" i="47"/>
  <c r="AX41" i="47"/>
  <c r="AW41" i="47"/>
  <c r="AM41" i="47"/>
  <c r="AX40" i="47"/>
  <c r="AW40" i="47"/>
  <c r="AM40" i="47"/>
  <c r="AX39" i="47"/>
  <c r="AW39" i="47"/>
  <c r="AS39" i="47"/>
  <c r="AM39" i="47"/>
  <c r="AX38" i="47"/>
  <c r="AW38" i="47"/>
  <c r="AM38" i="47"/>
  <c r="AX37" i="47"/>
  <c r="AW37" i="47"/>
  <c r="AM37" i="47"/>
  <c r="AX36" i="47"/>
  <c r="AW36" i="47"/>
  <c r="AS36" i="47"/>
  <c r="AM36" i="47"/>
  <c r="AX34" i="47"/>
  <c r="AW34" i="47"/>
  <c r="AM34" i="47"/>
  <c r="AX33" i="47"/>
  <c r="AW33" i="47"/>
  <c r="AM33" i="47"/>
  <c r="AX32" i="47"/>
  <c r="AW32" i="47"/>
  <c r="AS32" i="47"/>
  <c r="AM32" i="47"/>
  <c r="AX31" i="47"/>
  <c r="AW31" i="47"/>
  <c r="AM31" i="47"/>
  <c r="AX30" i="47"/>
  <c r="AW30" i="47"/>
  <c r="AM30" i="47"/>
  <c r="AX29" i="47"/>
  <c r="AW29" i="47"/>
  <c r="AS29" i="47"/>
  <c r="AM29" i="47"/>
  <c r="AX28" i="47"/>
  <c r="AW28" i="47"/>
  <c r="AM28" i="47"/>
  <c r="AX27" i="47"/>
  <c r="AW27" i="47"/>
  <c r="AM27" i="47"/>
  <c r="AX26" i="47"/>
  <c r="AW26" i="47"/>
  <c r="AS26" i="47"/>
  <c r="AM26" i="47"/>
  <c r="AX25" i="47"/>
  <c r="AW25" i="47"/>
  <c r="AM25" i="47"/>
  <c r="AX24" i="47"/>
  <c r="AW24" i="47"/>
  <c r="AS24" i="47"/>
  <c r="AQ24" i="47"/>
  <c r="AM24" i="47"/>
  <c r="AX22" i="47"/>
  <c r="AW22" i="47"/>
  <c r="AM22" i="47"/>
  <c r="AX21" i="47"/>
  <c r="AW21" i="47"/>
  <c r="AM21" i="47"/>
  <c r="AX20" i="47"/>
  <c r="AW20" i="47"/>
  <c r="AS20" i="47"/>
  <c r="AQ20" i="47"/>
  <c r="AM20" i="47"/>
  <c r="AX19" i="47"/>
  <c r="AW19" i="47"/>
  <c r="AM19" i="47"/>
  <c r="AX18" i="47"/>
  <c r="AW18" i="47"/>
  <c r="AM18" i="47"/>
  <c r="AX17" i="47"/>
  <c r="AW17" i="47"/>
  <c r="AS17" i="47"/>
  <c r="AQ17" i="47"/>
  <c r="AM17" i="47"/>
  <c r="AX16" i="47"/>
  <c r="AW16" i="47"/>
  <c r="AM16" i="47"/>
  <c r="AX15" i="47"/>
  <c r="AW15" i="47"/>
  <c r="AM15" i="47"/>
  <c r="AX14" i="47"/>
  <c r="AW14" i="47"/>
  <c r="AS14" i="47"/>
  <c r="AQ14" i="47"/>
  <c r="AM14" i="47"/>
  <c r="AX13" i="47"/>
  <c r="AW13" i="47"/>
  <c r="AS13" i="47"/>
  <c r="AQ13" i="47"/>
  <c r="AM13" i="47"/>
  <c r="AX9" i="47"/>
  <c r="AW9" i="47"/>
  <c r="AS9" i="47"/>
  <c r="AQ9" i="47"/>
  <c r="AM9" i="47"/>
  <c r="AW8" i="47"/>
  <c r="AU8" i="47"/>
  <c r="AQ8" i="47"/>
  <c r="AM8" i="47"/>
  <c r="AJ6" i="47"/>
  <c r="AJ5" i="47"/>
  <c r="AV3" i="47"/>
  <c r="AZ2" i="47"/>
  <c r="AX41" i="45"/>
  <c r="AW41" i="45"/>
  <c r="AX40" i="45"/>
  <c r="AW40" i="45"/>
  <c r="AX39" i="45"/>
  <c r="AW39" i="45"/>
  <c r="AX38" i="45"/>
  <c r="AW38" i="45"/>
  <c r="AX37" i="45"/>
  <c r="AW37" i="45"/>
  <c r="AX36" i="45"/>
  <c r="AW36" i="45"/>
  <c r="AX34" i="45"/>
  <c r="AW34" i="45"/>
  <c r="AX33" i="45"/>
  <c r="AW33" i="45"/>
  <c r="AX32" i="45"/>
  <c r="AW32" i="45"/>
  <c r="AX31" i="45"/>
  <c r="AW31" i="45"/>
  <c r="AX30" i="45"/>
  <c r="AW30" i="45"/>
  <c r="AX29" i="45"/>
  <c r="AW29" i="45"/>
  <c r="AX28" i="45"/>
  <c r="AW28" i="45"/>
  <c r="AX27" i="45"/>
  <c r="AW27" i="45"/>
  <c r="AX26" i="45"/>
  <c r="AW26" i="45"/>
  <c r="AX25" i="45"/>
  <c r="AW25" i="45"/>
  <c r="AX24" i="45"/>
  <c r="AW24" i="45"/>
  <c r="AX22" i="45"/>
  <c r="AW22" i="45"/>
  <c r="AX21" i="45"/>
  <c r="AW21" i="45"/>
  <c r="AX20" i="45"/>
  <c r="AW20" i="45"/>
  <c r="AX19" i="45"/>
  <c r="AW19" i="45"/>
  <c r="AX18" i="45"/>
  <c r="AW18" i="45"/>
  <c r="AX17" i="45"/>
  <c r="AW17" i="45"/>
  <c r="AX16" i="45"/>
  <c r="AW16" i="45"/>
  <c r="AX15" i="45"/>
  <c r="AW15" i="45"/>
  <c r="AX14" i="45"/>
  <c r="AW14" i="45"/>
  <c r="AX13" i="45"/>
  <c r="AW13" i="45"/>
  <c r="AX9" i="45"/>
  <c r="AW9" i="45"/>
  <c r="AW8" i="45"/>
  <c r="BU31" i="45"/>
  <c r="AP67" i="45"/>
  <c r="BT31" i="45" s="1"/>
  <c r="BU30" i="45"/>
  <c r="AP66" i="45"/>
  <c r="BT30" i="45" s="1"/>
  <c r="BU29" i="45"/>
  <c r="AP65" i="45"/>
  <c r="BT29" i="45" s="1"/>
  <c r="BU28" i="45"/>
  <c r="AP64" i="45"/>
  <c r="BT28" i="45" s="1"/>
  <c r="BU27" i="45"/>
  <c r="AP63" i="45"/>
  <c r="BT27" i="45" s="1"/>
  <c r="BU26" i="45"/>
  <c r="AP62" i="45"/>
  <c r="BT26" i="45" s="1"/>
  <c r="BU25" i="45"/>
  <c r="AP61" i="45"/>
  <c r="BT25" i="45" s="1"/>
  <c r="BU24" i="45"/>
  <c r="AP60" i="45"/>
  <c r="BT24" i="45" s="1"/>
  <c r="BU23" i="45"/>
  <c r="AP59" i="45"/>
  <c r="BT23" i="45" s="1"/>
  <c r="BU22" i="45"/>
  <c r="AP58" i="45"/>
  <c r="BT22" i="45" s="1"/>
  <c r="BU21" i="45"/>
  <c r="AP57" i="45"/>
  <c r="BT21" i="45" s="1"/>
  <c r="BU20" i="45"/>
  <c r="AP56" i="45"/>
  <c r="BT20" i="45" s="1"/>
  <c r="BU19" i="45"/>
  <c r="AP55" i="45"/>
  <c r="BT19" i="45" s="1"/>
  <c r="BU18" i="45"/>
  <c r="AP54" i="45"/>
  <c r="BT18" i="45" s="1"/>
  <c r="BU17" i="45"/>
  <c r="AP53" i="45"/>
  <c r="BT17" i="45" s="1"/>
  <c r="BU16" i="45"/>
  <c r="AP52" i="45"/>
  <c r="BT16" i="45" s="1"/>
  <c r="BU15" i="45"/>
  <c r="AP51" i="45"/>
  <c r="BT15" i="45" s="1"/>
  <c r="BU14" i="45"/>
  <c r="AP50" i="45"/>
  <c r="BT14" i="45" s="1"/>
  <c r="BU13" i="45"/>
  <c r="AP49" i="45"/>
  <c r="BT13" i="45" s="1"/>
  <c r="BU12" i="45"/>
  <c r="AP48" i="45"/>
  <c r="BT12" i="45" s="1"/>
  <c r="AS9" i="19"/>
  <c r="AX25" i="19" l="1"/>
  <c r="AX24" i="19"/>
  <c r="AW25" i="19"/>
  <c r="AW24" i="19"/>
  <c r="AX13" i="19"/>
  <c r="AW13" i="19"/>
  <c r="AS45" i="19"/>
  <c r="AX41" i="19"/>
  <c r="AX40" i="19"/>
  <c r="AX39" i="19"/>
  <c r="AX38" i="19"/>
  <c r="AX37" i="19"/>
  <c r="AX36" i="19"/>
  <c r="AX34" i="19"/>
  <c r="AX33" i="19"/>
  <c r="AX32" i="19"/>
  <c r="AX31" i="19"/>
  <c r="AX30" i="19"/>
  <c r="AX29" i="19"/>
  <c r="AX28" i="19"/>
  <c r="AX27" i="19"/>
  <c r="AX26" i="19"/>
  <c r="AX22" i="19"/>
  <c r="AX21" i="19"/>
  <c r="AX20" i="19"/>
  <c r="AX19" i="19"/>
  <c r="AX18" i="19"/>
  <c r="AX17" i="19"/>
  <c r="AX16" i="19"/>
  <c r="AX15" i="19"/>
  <c r="AX14" i="19"/>
  <c r="AX9" i="19"/>
  <c r="AW9" i="19"/>
  <c r="AR45" i="19"/>
  <c r="BU13" i="19" l="1"/>
  <c r="BU14" i="19"/>
  <c r="BU15" i="19"/>
  <c r="BU12" i="19"/>
  <c r="E51" i="38" l="1"/>
  <c r="AP28" i="38"/>
  <c r="AP27" i="38"/>
  <c r="AJ6" i="19" l="1"/>
  <c r="AJ5" i="19"/>
  <c r="AA20" i="19" l="1"/>
  <c r="AA21" i="19"/>
  <c r="AA12" i="19" l="1"/>
  <c r="AA11" i="19"/>
  <c r="AA10" i="19"/>
  <c r="AA9" i="19"/>
  <c r="AA8" i="19"/>
  <c r="AB78" i="22" l="1"/>
  <c r="I78" i="22" s="1"/>
  <c r="DF78" i="22" s="1"/>
  <c r="AB77" i="22"/>
  <c r="I77" i="22" s="1"/>
  <c r="DF77" i="22" s="1"/>
  <c r="AB76" i="22"/>
  <c r="I76" i="22" s="1"/>
  <c r="DF76" i="22" s="1"/>
  <c r="AB75" i="22"/>
  <c r="I75" i="22" s="1"/>
  <c r="DF75" i="22" s="1"/>
  <c r="AB74" i="22"/>
  <c r="I74" i="22" s="1"/>
  <c r="DF74" i="22" s="1"/>
  <c r="AB72" i="22"/>
  <c r="I72" i="22" s="1"/>
  <c r="DF72" i="22" s="1"/>
  <c r="AB71" i="22"/>
  <c r="I71" i="22" s="1"/>
  <c r="DF71" i="22" s="1"/>
  <c r="AB70" i="22"/>
  <c r="I70" i="22" s="1"/>
  <c r="DF70" i="22" s="1"/>
  <c r="AB69" i="22"/>
  <c r="I69" i="22" s="1"/>
  <c r="DF69" i="22" s="1"/>
  <c r="AB68" i="22"/>
  <c r="I68" i="22" s="1"/>
  <c r="DF68" i="22" s="1"/>
  <c r="AB66" i="22"/>
  <c r="I66" i="22" s="1"/>
  <c r="DF66" i="22" s="1"/>
  <c r="AB65" i="22"/>
  <c r="I65" i="22" s="1"/>
  <c r="DF65" i="22" s="1"/>
  <c r="AB64" i="22"/>
  <c r="I64" i="22" s="1"/>
  <c r="DF64" i="22" s="1"/>
  <c r="AB63" i="22"/>
  <c r="I63" i="22" s="1"/>
  <c r="DF63" i="22" s="1"/>
  <c r="AB62" i="22"/>
  <c r="I62" i="22" s="1"/>
  <c r="DF62" i="22" s="1"/>
  <c r="AB60" i="22"/>
  <c r="I60" i="22" s="1"/>
  <c r="DF60" i="22" s="1"/>
  <c r="AB59" i="22"/>
  <c r="I59" i="22" s="1"/>
  <c r="DF59" i="22" s="1"/>
  <c r="AB58" i="22"/>
  <c r="I58" i="22" s="1"/>
  <c r="DF58" i="22" s="1"/>
  <c r="AB57" i="22"/>
  <c r="I57" i="22" s="1"/>
  <c r="DF57" i="22" s="1"/>
  <c r="AB56" i="22"/>
  <c r="I56" i="22" s="1"/>
  <c r="DF56" i="22" s="1"/>
  <c r="AB54" i="22"/>
  <c r="I54" i="22" s="1"/>
  <c r="DF54" i="22" s="1"/>
  <c r="AB53" i="22"/>
  <c r="I53" i="22" s="1"/>
  <c r="DF53" i="22" s="1"/>
  <c r="AB52" i="22"/>
  <c r="I52" i="22" s="1"/>
  <c r="DF52" i="22" s="1"/>
  <c r="AB51" i="22"/>
  <c r="I51" i="22" s="1"/>
  <c r="DF51" i="22" s="1"/>
  <c r="AB50" i="22"/>
  <c r="I50" i="22" s="1"/>
  <c r="DF50" i="22" s="1"/>
  <c r="AB48" i="22"/>
  <c r="I48" i="22" s="1"/>
  <c r="DF48" i="22" s="1"/>
  <c r="AB47" i="22"/>
  <c r="I47" i="22" s="1"/>
  <c r="DF47" i="22" s="1"/>
  <c r="AB46" i="22"/>
  <c r="I46" i="22" s="1"/>
  <c r="DF46" i="22" s="1"/>
  <c r="AB45" i="22"/>
  <c r="I45" i="22" s="1"/>
  <c r="DF45" i="22" s="1"/>
  <c r="AB44" i="22"/>
  <c r="I44" i="22" s="1"/>
  <c r="DF44" i="22" s="1"/>
  <c r="AB42" i="22"/>
  <c r="I42" i="22" s="1"/>
  <c r="DF42" i="22" s="1"/>
  <c r="AB41" i="22"/>
  <c r="I41" i="22" s="1"/>
  <c r="DF41" i="22" s="1"/>
  <c r="AB40" i="22"/>
  <c r="I40" i="22" s="1"/>
  <c r="DF40" i="22" s="1"/>
  <c r="AB39" i="22"/>
  <c r="I39" i="22" s="1"/>
  <c r="DF39" i="22" s="1"/>
  <c r="AB38" i="22"/>
  <c r="I38" i="22" s="1"/>
  <c r="DF38" i="22" s="1"/>
  <c r="AB36" i="22"/>
  <c r="I36" i="22" s="1"/>
  <c r="DF36" i="22" s="1"/>
  <c r="AB35" i="22"/>
  <c r="I35" i="22" s="1"/>
  <c r="DF35" i="22" s="1"/>
  <c r="AB34" i="22"/>
  <c r="I34" i="22" s="1"/>
  <c r="DF34" i="22" s="1"/>
  <c r="AB33" i="22"/>
  <c r="I33" i="22" s="1"/>
  <c r="DF33" i="22" s="1"/>
  <c r="AB32" i="22"/>
  <c r="I32" i="22" s="1"/>
  <c r="DF32" i="22" s="1"/>
  <c r="AB30" i="22"/>
  <c r="I30" i="22" s="1"/>
  <c r="AB28" i="22"/>
  <c r="I28" i="22" s="1"/>
  <c r="AB27" i="22"/>
  <c r="I27" i="22" s="1"/>
  <c r="AB24" i="22"/>
  <c r="I24" i="22" s="1"/>
  <c r="AB22" i="22"/>
  <c r="I22" i="22" s="1"/>
  <c r="AB21" i="22"/>
  <c r="I21" i="22" s="1"/>
  <c r="AB20" i="22"/>
  <c r="I20" i="22" s="1"/>
  <c r="AB18" i="22"/>
  <c r="I18" i="22" s="1"/>
  <c r="AB17" i="22"/>
  <c r="I17" i="22" s="1"/>
  <c r="AB11" i="22"/>
  <c r="I11" i="22" s="1"/>
  <c r="AB78" i="32"/>
  <c r="I78" i="32" s="1"/>
  <c r="DF78" i="32" s="1"/>
  <c r="AB77" i="32"/>
  <c r="I77" i="32" s="1"/>
  <c r="DF77" i="32" s="1"/>
  <c r="AB76" i="32"/>
  <c r="I76" i="32" s="1"/>
  <c r="DF76" i="32" s="1"/>
  <c r="AB75" i="32"/>
  <c r="I75" i="32" s="1"/>
  <c r="DF75" i="32" s="1"/>
  <c r="AB74" i="32"/>
  <c r="I74" i="32" s="1"/>
  <c r="DF74" i="32" s="1"/>
  <c r="AB72" i="32"/>
  <c r="I72" i="32" s="1"/>
  <c r="DF72" i="32" s="1"/>
  <c r="AB71" i="32"/>
  <c r="I71" i="32" s="1"/>
  <c r="DF71" i="32" s="1"/>
  <c r="AB70" i="32"/>
  <c r="I70" i="32" s="1"/>
  <c r="DF70" i="32" s="1"/>
  <c r="AB69" i="32"/>
  <c r="I69" i="32" s="1"/>
  <c r="DF69" i="32" s="1"/>
  <c r="AB68" i="32"/>
  <c r="I68" i="32" s="1"/>
  <c r="DF68" i="32" s="1"/>
  <c r="AB66" i="32"/>
  <c r="I66" i="32" s="1"/>
  <c r="DF66" i="32" s="1"/>
  <c r="AB65" i="32"/>
  <c r="I65" i="32" s="1"/>
  <c r="DF65" i="32" s="1"/>
  <c r="AB64" i="32"/>
  <c r="I64" i="32" s="1"/>
  <c r="DF64" i="32" s="1"/>
  <c r="AB63" i="32"/>
  <c r="I63" i="32" s="1"/>
  <c r="DF63" i="32" s="1"/>
  <c r="AB62" i="32"/>
  <c r="I62" i="32" s="1"/>
  <c r="DF62" i="32" s="1"/>
  <c r="AB60" i="32"/>
  <c r="I60" i="32" s="1"/>
  <c r="DF60" i="32" s="1"/>
  <c r="AB59" i="32"/>
  <c r="I59" i="32" s="1"/>
  <c r="DF59" i="32" s="1"/>
  <c r="AB58" i="32"/>
  <c r="I58" i="32" s="1"/>
  <c r="DF58" i="32" s="1"/>
  <c r="AB57" i="32"/>
  <c r="I57" i="32" s="1"/>
  <c r="DF57" i="32" s="1"/>
  <c r="AB56" i="32"/>
  <c r="I56" i="32" s="1"/>
  <c r="DF56" i="32" s="1"/>
  <c r="AB54" i="32"/>
  <c r="I54" i="32" s="1"/>
  <c r="DF54" i="32" s="1"/>
  <c r="AB53" i="32"/>
  <c r="I53" i="32" s="1"/>
  <c r="DF53" i="32" s="1"/>
  <c r="AB52" i="32"/>
  <c r="I52" i="32" s="1"/>
  <c r="DF52" i="32" s="1"/>
  <c r="AB51" i="32"/>
  <c r="I51" i="32" s="1"/>
  <c r="DF51" i="32" s="1"/>
  <c r="AB50" i="32"/>
  <c r="I50" i="32" s="1"/>
  <c r="DF50" i="32" s="1"/>
  <c r="AB48" i="32"/>
  <c r="I48" i="32" s="1"/>
  <c r="DF48" i="32" s="1"/>
  <c r="AB47" i="32"/>
  <c r="I47" i="32" s="1"/>
  <c r="DF47" i="32" s="1"/>
  <c r="AB46" i="32"/>
  <c r="I46" i="32" s="1"/>
  <c r="DF46" i="32" s="1"/>
  <c r="AB45" i="32"/>
  <c r="I45" i="32" s="1"/>
  <c r="DF45" i="32" s="1"/>
  <c r="AB44" i="32"/>
  <c r="I44" i="32" s="1"/>
  <c r="DF44" i="32" s="1"/>
  <c r="AB42" i="32"/>
  <c r="I42" i="32" s="1"/>
  <c r="DF42" i="32" s="1"/>
  <c r="AB41" i="32"/>
  <c r="I41" i="32" s="1"/>
  <c r="DF41" i="32" s="1"/>
  <c r="AB40" i="32"/>
  <c r="I40" i="32" s="1"/>
  <c r="DF40" i="32" s="1"/>
  <c r="AB39" i="32"/>
  <c r="I39" i="32" s="1"/>
  <c r="DF39" i="32" s="1"/>
  <c r="AB38" i="32"/>
  <c r="I38" i="32" s="1"/>
  <c r="DF38" i="32" s="1"/>
  <c r="AB36" i="32"/>
  <c r="I36" i="32" s="1"/>
  <c r="DF36" i="32" s="1"/>
  <c r="AB35" i="32"/>
  <c r="I35" i="32" s="1"/>
  <c r="DF35" i="32" s="1"/>
  <c r="AB34" i="32"/>
  <c r="I34" i="32" s="1"/>
  <c r="DF34" i="32" s="1"/>
  <c r="AB33" i="32"/>
  <c r="I33" i="32" s="1"/>
  <c r="DF33" i="32" s="1"/>
  <c r="AB32" i="32"/>
  <c r="I32" i="32" s="1"/>
  <c r="DF32" i="32" s="1"/>
  <c r="AB30" i="32"/>
  <c r="I30" i="32" s="1"/>
  <c r="AB28" i="32"/>
  <c r="I28" i="32" s="1"/>
  <c r="AB27" i="32"/>
  <c r="I27" i="32" s="1"/>
  <c r="AB26" i="32"/>
  <c r="I26" i="32" s="1"/>
  <c r="AB24" i="32"/>
  <c r="I24" i="32" s="1"/>
  <c r="AB23" i="32"/>
  <c r="I23" i="32" s="1"/>
  <c r="AB22" i="32"/>
  <c r="I22" i="32" s="1"/>
  <c r="AB18" i="32"/>
  <c r="I18" i="32" s="1"/>
  <c r="AB12" i="32"/>
  <c r="I12" i="32" s="1"/>
  <c r="AB78" i="41"/>
  <c r="I78" i="41" s="1"/>
  <c r="DF78" i="41" s="1"/>
  <c r="AB77" i="41"/>
  <c r="I77" i="41" s="1"/>
  <c r="DF77" i="41" s="1"/>
  <c r="AB76" i="41"/>
  <c r="I76" i="41" s="1"/>
  <c r="DF76" i="41" s="1"/>
  <c r="AB75" i="41"/>
  <c r="I75" i="41" s="1"/>
  <c r="DF75" i="41" s="1"/>
  <c r="AB74" i="41"/>
  <c r="I74" i="41" s="1"/>
  <c r="DF74" i="41" s="1"/>
  <c r="AB72" i="41"/>
  <c r="I72" i="41" s="1"/>
  <c r="DF72" i="41" s="1"/>
  <c r="AB71" i="41"/>
  <c r="I71" i="41" s="1"/>
  <c r="DF71" i="41" s="1"/>
  <c r="AB70" i="41"/>
  <c r="I70" i="41" s="1"/>
  <c r="DF70" i="41" s="1"/>
  <c r="AB69" i="41"/>
  <c r="I69" i="41" s="1"/>
  <c r="DF69" i="41" s="1"/>
  <c r="AB68" i="41"/>
  <c r="I68" i="41" s="1"/>
  <c r="DF68" i="41" s="1"/>
  <c r="AB66" i="41"/>
  <c r="I66" i="41" s="1"/>
  <c r="DF66" i="41" s="1"/>
  <c r="AB65" i="41"/>
  <c r="I65" i="41" s="1"/>
  <c r="DF65" i="41" s="1"/>
  <c r="AB64" i="41"/>
  <c r="I64" i="41" s="1"/>
  <c r="DF64" i="41" s="1"/>
  <c r="AB63" i="41"/>
  <c r="I63" i="41" s="1"/>
  <c r="DF63" i="41" s="1"/>
  <c r="AB62" i="41"/>
  <c r="I62" i="41" s="1"/>
  <c r="DF62" i="41" s="1"/>
  <c r="AB60" i="41"/>
  <c r="I60" i="41" s="1"/>
  <c r="DF60" i="41" s="1"/>
  <c r="AB59" i="41"/>
  <c r="I59" i="41" s="1"/>
  <c r="DF59" i="41" s="1"/>
  <c r="AB58" i="41"/>
  <c r="I58" i="41" s="1"/>
  <c r="DF58" i="41" s="1"/>
  <c r="AB57" i="41"/>
  <c r="I57" i="41" s="1"/>
  <c r="DF57" i="41" s="1"/>
  <c r="AB56" i="41"/>
  <c r="I56" i="41" s="1"/>
  <c r="DF56" i="41" s="1"/>
  <c r="AB54" i="41"/>
  <c r="I54" i="41" s="1"/>
  <c r="DF54" i="41" s="1"/>
  <c r="AB53" i="41"/>
  <c r="I53" i="41" s="1"/>
  <c r="DF53" i="41" s="1"/>
  <c r="AB52" i="41"/>
  <c r="I52" i="41" s="1"/>
  <c r="DF52" i="41" s="1"/>
  <c r="AB51" i="41"/>
  <c r="I51" i="41" s="1"/>
  <c r="DF51" i="41" s="1"/>
  <c r="AB50" i="41"/>
  <c r="I50" i="41" s="1"/>
  <c r="DF50" i="41" s="1"/>
  <c r="AB48" i="41"/>
  <c r="I48" i="41" s="1"/>
  <c r="DF48" i="41" s="1"/>
  <c r="AB47" i="41"/>
  <c r="I47" i="41" s="1"/>
  <c r="DF47" i="41" s="1"/>
  <c r="AB46" i="41"/>
  <c r="I46" i="41" s="1"/>
  <c r="DF46" i="41" s="1"/>
  <c r="AB45" i="41"/>
  <c r="I45" i="41" s="1"/>
  <c r="DF45" i="41" s="1"/>
  <c r="AB44" i="41"/>
  <c r="I44" i="41" s="1"/>
  <c r="DF44" i="41" s="1"/>
  <c r="AB42" i="41"/>
  <c r="I42" i="41" s="1"/>
  <c r="DF42" i="41" s="1"/>
  <c r="AB41" i="41"/>
  <c r="I41" i="41" s="1"/>
  <c r="DF41" i="41" s="1"/>
  <c r="AB40" i="41"/>
  <c r="I40" i="41" s="1"/>
  <c r="DF40" i="41" s="1"/>
  <c r="AB39" i="41"/>
  <c r="I39" i="41" s="1"/>
  <c r="DF39" i="41" s="1"/>
  <c r="AB38" i="41"/>
  <c r="I38" i="41" s="1"/>
  <c r="DF38" i="41" s="1"/>
  <c r="AB36" i="41"/>
  <c r="I36" i="41" s="1"/>
  <c r="DF36" i="41" s="1"/>
  <c r="AB35" i="41"/>
  <c r="I35" i="41" s="1"/>
  <c r="DF35" i="41" s="1"/>
  <c r="AB34" i="41"/>
  <c r="I34" i="41" s="1"/>
  <c r="DF34" i="41" s="1"/>
  <c r="AB33" i="41"/>
  <c r="I33" i="41" s="1"/>
  <c r="DF33" i="41" s="1"/>
  <c r="AB32" i="41"/>
  <c r="I32" i="41" s="1"/>
  <c r="DF32" i="41" s="1"/>
  <c r="AB30" i="41"/>
  <c r="I30" i="41" s="1"/>
  <c r="AB29" i="41"/>
  <c r="I29" i="41" s="1"/>
  <c r="AB24" i="41"/>
  <c r="I24" i="41" s="1"/>
  <c r="AB23" i="41"/>
  <c r="I23" i="41" s="1"/>
  <c r="AB22" i="41"/>
  <c r="I22" i="41" s="1"/>
  <c r="AB18" i="41"/>
  <c r="I18" i="41" s="1"/>
  <c r="AB17" i="41"/>
  <c r="I17" i="41" s="1"/>
  <c r="AB78" i="47"/>
  <c r="I78" i="47" s="1"/>
  <c r="DF78" i="47" s="1"/>
  <c r="AB77" i="47"/>
  <c r="I77" i="47" s="1"/>
  <c r="DF77" i="47" s="1"/>
  <c r="AB76" i="47"/>
  <c r="I76" i="47" s="1"/>
  <c r="DF76" i="47" s="1"/>
  <c r="AB75" i="47"/>
  <c r="I75" i="47" s="1"/>
  <c r="DF75" i="47" s="1"/>
  <c r="AB74" i="47"/>
  <c r="I74" i="47" s="1"/>
  <c r="DF74" i="47" s="1"/>
  <c r="AB72" i="47"/>
  <c r="I72" i="47" s="1"/>
  <c r="DF72" i="47" s="1"/>
  <c r="AB71" i="47"/>
  <c r="I71" i="47" s="1"/>
  <c r="DF71" i="47" s="1"/>
  <c r="AB70" i="47"/>
  <c r="I70" i="47" s="1"/>
  <c r="DF70" i="47" s="1"/>
  <c r="AB69" i="47"/>
  <c r="I69" i="47" s="1"/>
  <c r="DF69" i="47" s="1"/>
  <c r="AB68" i="47"/>
  <c r="I68" i="47" s="1"/>
  <c r="DF68" i="47" s="1"/>
  <c r="AB66" i="47"/>
  <c r="I66" i="47" s="1"/>
  <c r="DF66" i="47" s="1"/>
  <c r="AB65" i="47"/>
  <c r="I65" i="47" s="1"/>
  <c r="DF65" i="47" s="1"/>
  <c r="AB64" i="47"/>
  <c r="I64" i="47" s="1"/>
  <c r="DF64" i="47" s="1"/>
  <c r="AB63" i="47"/>
  <c r="I63" i="47" s="1"/>
  <c r="DF63" i="47" s="1"/>
  <c r="AB62" i="47"/>
  <c r="I62" i="47" s="1"/>
  <c r="DF62" i="47" s="1"/>
  <c r="AB60" i="47"/>
  <c r="I60" i="47" s="1"/>
  <c r="DF60" i="47" s="1"/>
  <c r="AB59" i="47"/>
  <c r="I59" i="47" s="1"/>
  <c r="DF59" i="47" s="1"/>
  <c r="AB58" i="47"/>
  <c r="I58" i="47" s="1"/>
  <c r="DF58" i="47" s="1"/>
  <c r="AB57" i="47"/>
  <c r="I57" i="47" s="1"/>
  <c r="DF57" i="47" s="1"/>
  <c r="AB56" i="47"/>
  <c r="I56" i="47" s="1"/>
  <c r="DF56" i="47" s="1"/>
  <c r="AB54" i="47"/>
  <c r="I54" i="47" s="1"/>
  <c r="DF54" i="47" s="1"/>
  <c r="AB53" i="47"/>
  <c r="I53" i="47" s="1"/>
  <c r="DF53" i="47" s="1"/>
  <c r="AB52" i="47"/>
  <c r="I52" i="47" s="1"/>
  <c r="DF52" i="47" s="1"/>
  <c r="AB51" i="47"/>
  <c r="I51" i="47" s="1"/>
  <c r="DF51" i="47" s="1"/>
  <c r="AB50" i="47"/>
  <c r="I50" i="47" s="1"/>
  <c r="DF50" i="47" s="1"/>
  <c r="AB48" i="47"/>
  <c r="I48" i="47" s="1"/>
  <c r="DF48" i="47" s="1"/>
  <c r="AB47" i="47"/>
  <c r="I47" i="47" s="1"/>
  <c r="DF47" i="47" s="1"/>
  <c r="AB46" i="47"/>
  <c r="I46" i="47" s="1"/>
  <c r="DF46" i="47" s="1"/>
  <c r="AB45" i="47"/>
  <c r="I45" i="47" s="1"/>
  <c r="DF45" i="47" s="1"/>
  <c r="AB44" i="47"/>
  <c r="I44" i="47" s="1"/>
  <c r="DF44" i="47" s="1"/>
  <c r="AB42" i="47"/>
  <c r="I42" i="47" s="1"/>
  <c r="DF42" i="47" s="1"/>
  <c r="AB41" i="47"/>
  <c r="I41" i="47" s="1"/>
  <c r="DF41" i="47" s="1"/>
  <c r="AB40" i="47"/>
  <c r="I40" i="47" s="1"/>
  <c r="DF40" i="47" s="1"/>
  <c r="AB39" i="47"/>
  <c r="I39" i="47" s="1"/>
  <c r="DF39" i="47" s="1"/>
  <c r="AB38" i="47"/>
  <c r="I38" i="47" s="1"/>
  <c r="DF38" i="47" s="1"/>
  <c r="AB36" i="47"/>
  <c r="I36" i="47" s="1"/>
  <c r="DF36" i="47" s="1"/>
  <c r="AB35" i="47"/>
  <c r="I35" i="47" s="1"/>
  <c r="DF35" i="47" s="1"/>
  <c r="AB34" i="47"/>
  <c r="I34" i="47" s="1"/>
  <c r="DF34" i="47" s="1"/>
  <c r="AB30" i="47"/>
  <c r="I30" i="47" s="1"/>
  <c r="AB29" i="47"/>
  <c r="I29" i="47" s="1"/>
  <c r="AB18" i="47"/>
  <c r="I18" i="47" s="1"/>
  <c r="AB12" i="47"/>
  <c r="I12" i="47" s="1"/>
  <c r="AB78" i="45"/>
  <c r="I78" i="45" s="1"/>
  <c r="DF78" i="45" s="1"/>
  <c r="AB77" i="45"/>
  <c r="I77" i="45" s="1"/>
  <c r="DF77" i="45" s="1"/>
  <c r="AB76" i="45"/>
  <c r="I76" i="45" s="1"/>
  <c r="DF76" i="45" s="1"/>
  <c r="AB75" i="45"/>
  <c r="I75" i="45" s="1"/>
  <c r="DF75" i="45" s="1"/>
  <c r="AB74" i="45"/>
  <c r="I74" i="45" s="1"/>
  <c r="DF74" i="45" s="1"/>
  <c r="AB72" i="45"/>
  <c r="I72" i="45" s="1"/>
  <c r="DF72" i="45" s="1"/>
  <c r="AB71" i="45"/>
  <c r="I71" i="45" s="1"/>
  <c r="DF71" i="45" s="1"/>
  <c r="AB70" i="45"/>
  <c r="I70" i="45" s="1"/>
  <c r="DF70" i="45" s="1"/>
  <c r="AB69" i="45"/>
  <c r="I69" i="45" s="1"/>
  <c r="DF69" i="45" s="1"/>
  <c r="AB68" i="45"/>
  <c r="I68" i="45" s="1"/>
  <c r="DF68" i="45" s="1"/>
  <c r="AB66" i="45"/>
  <c r="I66" i="45" s="1"/>
  <c r="DF66" i="45" s="1"/>
  <c r="AB65" i="45"/>
  <c r="I65" i="45" s="1"/>
  <c r="DF65" i="45" s="1"/>
  <c r="AB64" i="45"/>
  <c r="I64" i="45" s="1"/>
  <c r="DF64" i="45" s="1"/>
  <c r="AB63" i="45"/>
  <c r="I63" i="45" s="1"/>
  <c r="DF63" i="45" s="1"/>
  <c r="AB62" i="45"/>
  <c r="I62" i="45" s="1"/>
  <c r="DF62" i="45" s="1"/>
  <c r="AB60" i="45"/>
  <c r="I60" i="45" s="1"/>
  <c r="DF60" i="45" s="1"/>
  <c r="AB59" i="45"/>
  <c r="I59" i="45" s="1"/>
  <c r="DF59" i="45" s="1"/>
  <c r="AB58" i="45"/>
  <c r="I58" i="45" s="1"/>
  <c r="DF58" i="45" s="1"/>
  <c r="AB57" i="45"/>
  <c r="I57" i="45" s="1"/>
  <c r="DF57" i="45" s="1"/>
  <c r="AB56" i="45"/>
  <c r="I56" i="45" s="1"/>
  <c r="DF56" i="45" s="1"/>
  <c r="AB54" i="45"/>
  <c r="I54" i="45" s="1"/>
  <c r="DF54" i="45" s="1"/>
  <c r="AB53" i="45"/>
  <c r="I53" i="45" s="1"/>
  <c r="DF53" i="45" s="1"/>
  <c r="AB52" i="45"/>
  <c r="I52" i="45" s="1"/>
  <c r="DF52" i="45" s="1"/>
  <c r="AB51" i="45"/>
  <c r="I51" i="45" s="1"/>
  <c r="DF51" i="45" s="1"/>
  <c r="AB50" i="45"/>
  <c r="I50" i="45" s="1"/>
  <c r="DF50" i="45" s="1"/>
  <c r="AB48" i="45"/>
  <c r="I48" i="45" s="1"/>
  <c r="DF48" i="45" s="1"/>
  <c r="AB47" i="45"/>
  <c r="I47" i="45" s="1"/>
  <c r="DF47" i="45" s="1"/>
  <c r="AB46" i="45"/>
  <c r="I46" i="45" s="1"/>
  <c r="DF46" i="45" s="1"/>
  <c r="AB45" i="45"/>
  <c r="I45" i="45" s="1"/>
  <c r="DF45" i="45" s="1"/>
  <c r="AB44" i="45"/>
  <c r="I44" i="45" s="1"/>
  <c r="DF44" i="45" s="1"/>
  <c r="AB42" i="45"/>
  <c r="I42" i="45" s="1"/>
  <c r="DF42" i="45" s="1"/>
  <c r="AB41" i="45"/>
  <c r="I41" i="45" s="1"/>
  <c r="DF41" i="45" s="1"/>
  <c r="AB40" i="45"/>
  <c r="I40" i="45" s="1"/>
  <c r="DF40" i="45" s="1"/>
  <c r="AB39" i="45"/>
  <c r="I39" i="45" s="1"/>
  <c r="DF39" i="45" s="1"/>
  <c r="AB38" i="45"/>
  <c r="I38" i="45" s="1"/>
  <c r="DF38" i="45" s="1"/>
  <c r="AB36" i="45"/>
  <c r="I36" i="45" s="1"/>
  <c r="DF36" i="45" s="1"/>
  <c r="AB35" i="45"/>
  <c r="I35" i="45" s="1"/>
  <c r="DF35" i="45" s="1"/>
  <c r="AB34" i="45"/>
  <c r="I34" i="45" s="1"/>
  <c r="DF34" i="45" s="1"/>
  <c r="AB33" i="45"/>
  <c r="I33" i="45" s="1"/>
  <c r="DF33" i="45" s="1"/>
  <c r="AB32" i="45"/>
  <c r="I32" i="45" s="1"/>
  <c r="DF32" i="45" s="1"/>
  <c r="AB30" i="45"/>
  <c r="I30" i="45" s="1"/>
  <c r="AB29" i="45"/>
  <c r="I29" i="45" s="1"/>
  <c r="AB24" i="45"/>
  <c r="I24" i="45" s="1"/>
  <c r="AB78" i="19"/>
  <c r="AB77" i="19"/>
  <c r="I77" i="19" s="1"/>
  <c r="DF77" i="19" s="1"/>
  <c r="AB76" i="19"/>
  <c r="AB75" i="19"/>
  <c r="I75" i="19" s="1"/>
  <c r="DF75" i="19" s="1"/>
  <c r="AB74" i="19"/>
  <c r="I74" i="19" s="1"/>
  <c r="DF74" i="19" s="1"/>
  <c r="AB72" i="19"/>
  <c r="I72" i="19" s="1"/>
  <c r="DF72" i="19" s="1"/>
  <c r="AB71" i="19"/>
  <c r="I71" i="19" s="1"/>
  <c r="DF71" i="19" s="1"/>
  <c r="AB70" i="19"/>
  <c r="I70" i="19" s="1"/>
  <c r="DF70" i="19" s="1"/>
  <c r="AB69" i="19"/>
  <c r="AB68" i="19"/>
  <c r="AB66" i="19"/>
  <c r="I66" i="19" s="1"/>
  <c r="DF66" i="19" s="1"/>
  <c r="AB65" i="19"/>
  <c r="I65" i="19" s="1"/>
  <c r="DF65" i="19" s="1"/>
  <c r="AB64" i="19"/>
  <c r="I64" i="19" s="1"/>
  <c r="DF64" i="19" s="1"/>
  <c r="AB63" i="19"/>
  <c r="I63" i="19" s="1"/>
  <c r="DF63" i="19" s="1"/>
  <c r="AB62" i="19"/>
  <c r="I62" i="19" s="1"/>
  <c r="DF62" i="19" s="1"/>
  <c r="AB60" i="19"/>
  <c r="AB59" i="19"/>
  <c r="I59" i="19" s="1"/>
  <c r="DF59" i="19" s="1"/>
  <c r="AB58" i="19"/>
  <c r="I58" i="19" s="1"/>
  <c r="DF58" i="19" s="1"/>
  <c r="AB57" i="19"/>
  <c r="I57" i="19" s="1"/>
  <c r="DF57" i="19" s="1"/>
  <c r="AB56" i="19"/>
  <c r="I56" i="19" s="1"/>
  <c r="DF56" i="19" s="1"/>
  <c r="AB54" i="19"/>
  <c r="AB53" i="19"/>
  <c r="I53" i="19" s="1"/>
  <c r="DF53" i="19" s="1"/>
  <c r="AB51" i="19"/>
  <c r="AB50" i="19"/>
  <c r="AB42" i="19"/>
  <c r="I42" i="19" s="1"/>
  <c r="DF42" i="19" s="1"/>
  <c r="AB41" i="19"/>
  <c r="I41" i="19" s="1"/>
  <c r="AB40" i="19"/>
  <c r="AB39" i="19"/>
  <c r="I39" i="19" s="1"/>
  <c r="AB38" i="19"/>
  <c r="I38" i="19" s="1"/>
  <c r="DF38" i="19" s="1"/>
  <c r="AB36" i="19"/>
  <c r="I36" i="19" s="1"/>
  <c r="DF36" i="19" s="1"/>
  <c r="I50" i="19" l="1"/>
  <c r="I54" i="19"/>
  <c r="I60" i="19"/>
  <c r="I40" i="19"/>
  <c r="I76" i="19"/>
  <c r="I68" i="19"/>
  <c r="I51" i="19"/>
  <c r="I69" i="19"/>
  <c r="I78" i="19"/>
  <c r="AV3" i="19"/>
  <c r="AV3" i="45"/>
  <c r="AQ9" i="45"/>
  <c r="AM9" i="45"/>
  <c r="AU8" i="45"/>
  <c r="AS8" i="45"/>
  <c r="AQ8" i="45"/>
  <c r="AP8" i="45"/>
  <c r="AM8" i="45"/>
  <c r="AJ6" i="45"/>
  <c r="AJ5" i="45"/>
  <c r="AQ9" i="19"/>
  <c r="AQ8" i="19"/>
  <c r="AU8" i="19"/>
  <c r="M21" i="40"/>
  <c r="M6" i="40"/>
  <c r="C20" i="40"/>
  <c r="D13" i="40"/>
  <c r="E13" i="40"/>
  <c r="D9" i="40"/>
  <c r="E9" i="40"/>
  <c r="K78" i="19" l="1"/>
  <c r="DF78" i="19"/>
  <c r="K54" i="19"/>
  <c r="DF54" i="19"/>
  <c r="K69" i="19"/>
  <c r="DF69" i="19"/>
  <c r="K50" i="19"/>
  <c r="DF50" i="19"/>
  <c r="K51" i="19"/>
  <c r="DF51" i="19"/>
  <c r="K68" i="19"/>
  <c r="DF68" i="19"/>
  <c r="K60" i="19"/>
  <c r="DF60" i="19"/>
  <c r="K76" i="19"/>
  <c r="DF76" i="19"/>
  <c r="AU9" i="47"/>
  <c r="AU9" i="41"/>
  <c r="AU9" i="19"/>
  <c r="AU9" i="45"/>
  <c r="H21" i="40"/>
  <c r="G21" i="40"/>
  <c r="C9" i="40"/>
  <c r="M160" i="40"/>
  <c r="E160" i="40"/>
  <c r="D160" i="40"/>
  <c r="C160" i="40"/>
  <c r="M97" i="40"/>
  <c r="E97" i="40"/>
  <c r="D97" i="40"/>
  <c r="C97" i="40"/>
  <c r="E20" i="40"/>
  <c r="D20" i="40"/>
  <c r="AL9" i="47" l="1"/>
  <c r="AL9" i="41"/>
  <c r="AL9" i="45"/>
  <c r="AL9" i="19"/>
  <c r="AQ87" i="33"/>
  <c r="AQ86" i="33"/>
  <c r="AS87" i="33"/>
  <c r="AS86" i="33"/>
  <c r="D4" i="22" l="1"/>
  <c r="D4" i="32"/>
  <c r="D4" i="41"/>
  <c r="D4" i="47"/>
  <c r="D4" i="45"/>
  <c r="M14" i="40" l="1"/>
  <c r="M10" i="40"/>
  <c r="H92" i="40"/>
  <c r="H155" i="40" s="1"/>
  <c r="H91" i="40"/>
  <c r="H15" i="40" s="1"/>
  <c r="H90" i="40"/>
  <c r="H14" i="40" s="1"/>
  <c r="G92" i="40"/>
  <c r="G155" i="40" s="1"/>
  <c r="G91" i="40"/>
  <c r="G154" i="40" s="1"/>
  <c r="G90" i="40"/>
  <c r="G153" i="40" s="1"/>
  <c r="W90" i="40"/>
  <c r="H88" i="40"/>
  <c r="H151" i="40" s="1"/>
  <c r="H87" i="40"/>
  <c r="H11" i="40" s="1"/>
  <c r="H86" i="40"/>
  <c r="H149" i="40" s="1"/>
  <c r="G86" i="40"/>
  <c r="G149" i="40" s="1"/>
  <c r="M153" i="40"/>
  <c r="E152" i="40"/>
  <c r="M149" i="40"/>
  <c r="E148" i="40"/>
  <c r="M90" i="40"/>
  <c r="E89" i="40"/>
  <c r="M86" i="40"/>
  <c r="E85" i="40"/>
  <c r="W153" i="40"/>
  <c r="W14" i="40"/>
  <c r="AU13" i="41" l="1"/>
  <c r="AU13" i="47"/>
  <c r="AU24" i="47"/>
  <c r="AU24" i="41"/>
  <c r="AU13" i="19"/>
  <c r="AU13" i="45"/>
  <c r="AU24" i="45"/>
  <c r="AU24" i="19"/>
  <c r="H153" i="40"/>
  <c r="H150" i="40"/>
  <c r="G10" i="40"/>
  <c r="G15" i="40"/>
  <c r="H154" i="40"/>
  <c r="H10" i="40"/>
  <c r="G14" i="40"/>
  <c r="G16" i="40"/>
  <c r="H16" i="40"/>
  <c r="H12" i="40"/>
  <c r="T8" i="22"/>
  <c r="T8" i="32"/>
  <c r="T8" i="41"/>
  <c r="T8" i="47"/>
  <c r="T8" i="45"/>
  <c r="B2" i="19"/>
  <c r="R8" i="22"/>
  <c r="R8" i="32"/>
  <c r="R8" i="47"/>
  <c r="R14" i="41"/>
  <c r="R8" i="41"/>
  <c r="R14" i="22"/>
  <c r="R8" i="45"/>
  <c r="R14" i="32"/>
  <c r="R14" i="47"/>
  <c r="R14" i="45"/>
  <c r="S14" i="22" l="1"/>
  <c r="B14" i="22" s="1"/>
  <c r="S8" i="22"/>
  <c r="S14" i="32"/>
  <c r="B14" i="32" s="1"/>
  <c r="S8" i="32"/>
  <c r="S14" i="41"/>
  <c r="B14" i="41" s="1"/>
  <c r="S8" i="41"/>
  <c r="S14" i="47"/>
  <c r="B14" i="47" s="1"/>
  <c r="S8" i="47"/>
  <c r="S14" i="45"/>
  <c r="B14" i="45" s="1"/>
  <c r="S8" i="45"/>
  <c r="T14" i="22" l="1"/>
  <c r="T14" i="32"/>
  <c r="T14" i="41"/>
  <c r="T14" i="47"/>
  <c r="T14" i="45"/>
  <c r="R20" i="41"/>
  <c r="R20" i="32"/>
  <c r="R20" i="47"/>
  <c r="R20" i="45"/>
  <c r="R20" i="22"/>
  <c r="S20" i="22" l="1"/>
  <c r="B20" i="22" s="1"/>
  <c r="S20" i="32"/>
  <c r="B20" i="32" s="1"/>
  <c r="S20" i="41"/>
  <c r="B20" i="41" s="1"/>
  <c r="S20" i="47"/>
  <c r="B20" i="47" s="1"/>
  <c r="S20" i="45"/>
  <c r="B20" i="45" s="1"/>
  <c r="K20" i="38"/>
  <c r="K19" i="38"/>
  <c r="T20" i="22" l="1"/>
  <c r="T20" i="32"/>
  <c r="T20" i="47"/>
  <c r="T20" i="41"/>
  <c r="T20" i="45"/>
  <c r="AI75" i="38"/>
  <c r="R26" i="22"/>
  <c r="R26" i="32"/>
  <c r="R26" i="41"/>
  <c r="R26" i="47"/>
  <c r="R26" i="45"/>
  <c r="S26" i="22" l="1"/>
  <c r="B26" i="22" s="1"/>
  <c r="S26" i="32"/>
  <c r="B26" i="32" s="1"/>
  <c r="S26" i="47"/>
  <c r="B26" i="47" s="1"/>
  <c r="S26" i="41"/>
  <c r="B26" i="41" s="1"/>
  <c r="S26" i="45"/>
  <c r="B26" i="45" s="1"/>
  <c r="AI74" i="38"/>
  <c r="T26" i="22" l="1"/>
  <c r="T26" i="32"/>
  <c r="T26" i="47"/>
  <c r="T26" i="41"/>
  <c r="T26" i="45"/>
  <c r="R32" i="22"/>
  <c r="R32" i="32"/>
  <c r="R32" i="45"/>
  <c r="R32" i="47"/>
  <c r="R32" i="41"/>
  <c r="S32" i="22" l="1"/>
  <c r="B32" i="22" s="1"/>
  <c r="S32" i="32"/>
  <c r="B32" i="32" s="1"/>
  <c r="S32" i="47"/>
  <c r="B32" i="47" s="1"/>
  <c r="S32" i="41"/>
  <c r="B32" i="41" s="1"/>
  <c r="S32" i="45"/>
  <c r="B32" i="45" s="1"/>
  <c r="T32" i="22" l="1"/>
  <c r="T32" i="32"/>
  <c r="T32" i="47"/>
  <c r="T32" i="41"/>
  <c r="T32" i="45"/>
  <c r="R38" i="22"/>
  <c r="R38" i="32"/>
  <c r="R38" i="47"/>
  <c r="R38" i="41"/>
  <c r="R38" i="45"/>
  <c r="S38" i="22" l="1"/>
  <c r="B38" i="22" s="1"/>
  <c r="S38" i="32"/>
  <c r="B38" i="32" s="1"/>
  <c r="S38" i="47"/>
  <c r="B38" i="47" s="1"/>
  <c r="S38" i="41"/>
  <c r="B38" i="41" s="1"/>
  <c r="S38" i="45"/>
  <c r="B38" i="45" s="1"/>
  <c r="K78" i="22"/>
  <c r="K75" i="22"/>
  <c r="K74" i="22"/>
  <c r="K70" i="22"/>
  <c r="K69" i="22"/>
  <c r="K65" i="22"/>
  <c r="K64" i="22"/>
  <c r="K60" i="22"/>
  <c r="K59" i="22"/>
  <c r="K56" i="22"/>
  <c r="K54" i="22"/>
  <c r="K51" i="22"/>
  <c r="K50" i="22"/>
  <c r="K46" i="22"/>
  <c r="K45" i="22"/>
  <c r="K41" i="22"/>
  <c r="K40" i="22"/>
  <c r="K36" i="22"/>
  <c r="K35" i="22"/>
  <c r="K78" i="32"/>
  <c r="K74" i="32"/>
  <c r="K69" i="32"/>
  <c r="K64" i="32"/>
  <c r="K59" i="32"/>
  <c r="K54" i="32"/>
  <c r="K50" i="32"/>
  <c r="K45" i="32"/>
  <c r="K40" i="32"/>
  <c r="K35" i="32"/>
  <c r="K77" i="22"/>
  <c r="K76" i="22"/>
  <c r="K72" i="22"/>
  <c r="K71" i="22"/>
  <c r="K68" i="22"/>
  <c r="K66" i="22"/>
  <c r="K63" i="22"/>
  <c r="K62" i="22"/>
  <c r="K58" i="22"/>
  <c r="K57" i="22"/>
  <c r="K53" i="22"/>
  <c r="K52" i="22"/>
  <c r="K48" i="22"/>
  <c r="K47" i="22"/>
  <c r="K44" i="22"/>
  <c r="K42" i="22"/>
  <c r="K39" i="22"/>
  <c r="K38" i="22"/>
  <c r="K34" i="22"/>
  <c r="K77" i="32"/>
  <c r="K76" i="32"/>
  <c r="K75" i="32"/>
  <c r="K72" i="32"/>
  <c r="K71" i="32"/>
  <c r="K70" i="32"/>
  <c r="K68" i="32"/>
  <c r="K66" i="32"/>
  <c r="K65" i="32"/>
  <c r="K63" i="32"/>
  <c r="K62" i="32"/>
  <c r="K60" i="32"/>
  <c r="K58" i="32"/>
  <c r="K57" i="32"/>
  <c r="K56" i="32"/>
  <c r="K53" i="32"/>
  <c r="K52" i="32"/>
  <c r="K51" i="32"/>
  <c r="K48" i="32"/>
  <c r="K47" i="32"/>
  <c r="K46" i="32"/>
  <c r="K44" i="32"/>
  <c r="K42" i="32"/>
  <c r="K41" i="32"/>
  <c r="K39" i="32"/>
  <c r="K38" i="32"/>
  <c r="K36" i="32"/>
  <c r="K34" i="32"/>
  <c r="K33" i="32"/>
  <c r="K78" i="41"/>
  <c r="K77" i="41"/>
  <c r="K76" i="41"/>
  <c r="K75" i="41"/>
  <c r="K74" i="41"/>
  <c r="K72" i="41"/>
  <c r="K71" i="41"/>
  <c r="K70" i="41"/>
  <c r="K69" i="41"/>
  <c r="K68" i="41"/>
  <c r="K66" i="41"/>
  <c r="K65" i="41"/>
  <c r="K64" i="41"/>
  <c r="K63" i="41"/>
  <c r="K62" i="41"/>
  <c r="K60" i="41"/>
  <c r="K59" i="41"/>
  <c r="K58" i="41"/>
  <c r="K57" i="41"/>
  <c r="K56" i="41"/>
  <c r="K54" i="41"/>
  <c r="K53" i="41"/>
  <c r="K52" i="41"/>
  <c r="K51" i="41"/>
  <c r="K50" i="41"/>
  <c r="K48" i="41"/>
  <c r="K47" i="41"/>
  <c r="K46" i="41"/>
  <c r="K45" i="41"/>
  <c r="K44" i="41"/>
  <c r="K42" i="41"/>
  <c r="K41" i="41"/>
  <c r="K40" i="41"/>
  <c r="K39" i="41"/>
  <c r="K38" i="41"/>
  <c r="K36" i="41"/>
  <c r="K35" i="41"/>
  <c r="K78" i="47"/>
  <c r="K77" i="47"/>
  <c r="K76" i="47"/>
  <c r="K75" i="47"/>
  <c r="K74" i="47"/>
  <c r="K72" i="47"/>
  <c r="K71" i="47"/>
  <c r="K70" i="47"/>
  <c r="K69" i="47"/>
  <c r="K68" i="47"/>
  <c r="K66" i="47"/>
  <c r="K65" i="47"/>
  <c r="K64" i="47"/>
  <c r="K63" i="47"/>
  <c r="K62" i="47"/>
  <c r="K60" i="47"/>
  <c r="K59" i="47"/>
  <c r="K58" i="47"/>
  <c r="K57" i="47"/>
  <c r="K56" i="47"/>
  <c r="K54" i="47"/>
  <c r="K53" i="47"/>
  <c r="K52" i="47"/>
  <c r="K51" i="47"/>
  <c r="K50" i="47"/>
  <c r="K48" i="47"/>
  <c r="K47" i="47"/>
  <c r="K46" i="47"/>
  <c r="K45" i="47"/>
  <c r="K44" i="47"/>
  <c r="K42" i="47"/>
  <c r="K41" i="47"/>
  <c r="K40" i="47"/>
  <c r="K39" i="47"/>
  <c r="K36" i="47"/>
  <c r="K35" i="47"/>
  <c r="K78" i="45"/>
  <c r="K77" i="45"/>
  <c r="K76" i="45"/>
  <c r="K75" i="45"/>
  <c r="K74" i="45"/>
  <c r="K72" i="45"/>
  <c r="K71" i="45"/>
  <c r="K70" i="45"/>
  <c r="K69" i="45"/>
  <c r="K68" i="45"/>
  <c r="K66" i="45"/>
  <c r="K65" i="45"/>
  <c r="K64" i="45"/>
  <c r="K63" i="45"/>
  <c r="K62" i="45"/>
  <c r="K60" i="45"/>
  <c r="K59" i="45"/>
  <c r="K58" i="45"/>
  <c r="K57" i="45"/>
  <c r="K56" i="45"/>
  <c r="K54" i="45"/>
  <c r="K53" i="45"/>
  <c r="K52" i="45"/>
  <c r="K51" i="45"/>
  <c r="K50" i="45"/>
  <c r="K48" i="45"/>
  <c r="K47" i="45"/>
  <c r="K46" i="45"/>
  <c r="K45" i="45"/>
  <c r="K44" i="45"/>
  <c r="K42" i="45"/>
  <c r="K41" i="45"/>
  <c r="K40" i="45"/>
  <c r="K39" i="45"/>
  <c r="K38" i="45"/>
  <c r="K36" i="45"/>
  <c r="K35" i="45"/>
  <c r="K34" i="45"/>
  <c r="K33" i="45"/>
  <c r="K32" i="45"/>
  <c r="T38" i="22" l="1"/>
  <c r="T38" i="32"/>
  <c r="T38" i="47"/>
  <c r="T38" i="41"/>
  <c r="T38" i="45"/>
  <c r="C39" i="22"/>
  <c r="C58" i="22"/>
  <c r="C68" i="22"/>
  <c r="C77" i="22"/>
  <c r="C40" i="22"/>
  <c r="C50" i="22"/>
  <c r="C59" i="22"/>
  <c r="C69" i="22"/>
  <c r="C78" i="22"/>
  <c r="C42" i="22"/>
  <c r="C52" i="22"/>
  <c r="C62" i="22"/>
  <c r="C71" i="22"/>
  <c r="C41" i="22"/>
  <c r="C51" i="22"/>
  <c r="C60" i="22"/>
  <c r="C70" i="22"/>
  <c r="C48" i="22"/>
  <c r="C34" i="22"/>
  <c r="C44" i="22"/>
  <c r="C53" i="22"/>
  <c r="C63" i="22"/>
  <c r="C72" i="22"/>
  <c r="C35" i="22"/>
  <c r="C45" i="22"/>
  <c r="C54" i="22"/>
  <c r="C64" i="22"/>
  <c r="C74" i="22"/>
  <c r="C38" i="22"/>
  <c r="C47" i="22"/>
  <c r="C57" i="22"/>
  <c r="C66" i="22"/>
  <c r="C76" i="22"/>
  <c r="C36" i="22"/>
  <c r="C46" i="22"/>
  <c r="C56" i="22"/>
  <c r="C65" i="22"/>
  <c r="C75" i="22"/>
  <c r="C33" i="32"/>
  <c r="C52" i="32"/>
  <c r="C77" i="32"/>
  <c r="C34" i="32"/>
  <c r="C41" i="32"/>
  <c r="C47" i="32"/>
  <c r="C53" i="32"/>
  <c r="C60" i="32"/>
  <c r="C66" i="32"/>
  <c r="C72" i="32"/>
  <c r="C35" i="32"/>
  <c r="C54" i="32"/>
  <c r="C74" i="32"/>
  <c r="C46" i="32"/>
  <c r="C65" i="32"/>
  <c r="C69" i="32"/>
  <c r="C36" i="32"/>
  <c r="C42" i="32"/>
  <c r="C48" i="32"/>
  <c r="C56" i="32"/>
  <c r="C62" i="32"/>
  <c r="C68" i="32"/>
  <c r="C75" i="32"/>
  <c r="C40" i="32"/>
  <c r="C59" i="32"/>
  <c r="C78" i="32"/>
  <c r="C39" i="32"/>
  <c r="C58" i="32"/>
  <c r="C71" i="32"/>
  <c r="C50" i="32"/>
  <c r="C38" i="32"/>
  <c r="C44" i="32"/>
  <c r="C51" i="32"/>
  <c r="C57" i="32"/>
  <c r="C63" i="32"/>
  <c r="C70" i="32"/>
  <c r="C76" i="32"/>
  <c r="C45" i="32"/>
  <c r="C64" i="32"/>
  <c r="C36" i="41"/>
  <c r="C46" i="41"/>
  <c r="C56" i="41"/>
  <c r="C65" i="41"/>
  <c r="C70" i="41"/>
  <c r="C39" i="41"/>
  <c r="C44" i="41"/>
  <c r="C48" i="41"/>
  <c r="C53" i="41"/>
  <c r="C58" i="41"/>
  <c r="C63" i="41"/>
  <c r="C68" i="41"/>
  <c r="C72" i="41"/>
  <c r="C77" i="41"/>
  <c r="C35" i="41"/>
  <c r="C40" i="41"/>
  <c r="C45" i="41"/>
  <c r="C50" i="41"/>
  <c r="C54" i="41"/>
  <c r="C59" i="41"/>
  <c r="C64" i="41"/>
  <c r="C69" i="41"/>
  <c r="C74" i="41"/>
  <c r="C78" i="41"/>
  <c r="C41" i="41"/>
  <c r="C51" i="41"/>
  <c r="C60" i="41"/>
  <c r="C75" i="41"/>
  <c r="C38" i="41"/>
  <c r="C42" i="41"/>
  <c r="C47" i="41"/>
  <c r="C52" i="41"/>
  <c r="C57" i="41"/>
  <c r="C62" i="41"/>
  <c r="C66" i="41"/>
  <c r="C71" i="41"/>
  <c r="C76" i="41"/>
  <c r="C39" i="45"/>
  <c r="C53" i="45"/>
  <c r="C68" i="45"/>
  <c r="C33" i="45"/>
  <c r="C38" i="45"/>
  <c r="C42" i="45"/>
  <c r="C47" i="45"/>
  <c r="C52" i="45"/>
  <c r="C57" i="45"/>
  <c r="C62" i="45"/>
  <c r="C66" i="45"/>
  <c r="C71" i="45"/>
  <c r="C76" i="45"/>
  <c r="C34" i="45"/>
  <c r="C48" i="45"/>
  <c r="C63" i="45"/>
  <c r="C77" i="45"/>
  <c r="C35" i="45"/>
  <c r="C40" i="45"/>
  <c r="C45" i="45"/>
  <c r="C50" i="45"/>
  <c r="C54" i="45"/>
  <c r="C59" i="45"/>
  <c r="C64" i="45"/>
  <c r="C69" i="45"/>
  <c r="C74" i="45"/>
  <c r="C78" i="45"/>
  <c r="C44" i="45"/>
  <c r="C58" i="45"/>
  <c r="C72" i="45"/>
  <c r="C32" i="45"/>
  <c r="C36" i="45"/>
  <c r="C41" i="45"/>
  <c r="C46" i="45"/>
  <c r="C51" i="45"/>
  <c r="C56" i="45"/>
  <c r="C60" i="45"/>
  <c r="C65" i="45"/>
  <c r="C70" i="45"/>
  <c r="C75" i="45"/>
  <c r="C47" i="47"/>
  <c r="C57" i="47"/>
  <c r="C66" i="47"/>
  <c r="C76" i="47"/>
  <c r="C39" i="47"/>
  <c r="C48" i="47"/>
  <c r="C53" i="47"/>
  <c r="C63" i="47"/>
  <c r="C72" i="47"/>
  <c r="C35" i="47"/>
  <c r="C40" i="47"/>
  <c r="C45" i="47"/>
  <c r="C50" i="47"/>
  <c r="C54" i="47"/>
  <c r="C59" i="47"/>
  <c r="C64" i="47"/>
  <c r="C69" i="47"/>
  <c r="C74" i="47"/>
  <c r="C78" i="47"/>
  <c r="C42" i="47"/>
  <c r="C52" i="47"/>
  <c r="C62" i="47"/>
  <c r="C71" i="47"/>
  <c r="C44" i="47"/>
  <c r="C58" i="47"/>
  <c r="C68" i="47"/>
  <c r="C77" i="47"/>
  <c r="C36" i="47"/>
  <c r="C41" i="47"/>
  <c r="C46" i="47"/>
  <c r="C51" i="47"/>
  <c r="C56" i="47"/>
  <c r="C60" i="47"/>
  <c r="C65" i="47"/>
  <c r="C70" i="47"/>
  <c r="C75" i="47"/>
  <c r="J78" i="32"/>
  <c r="J77" i="32"/>
  <c r="J76" i="32"/>
  <c r="J75" i="32"/>
  <c r="J74" i="32"/>
  <c r="J72" i="32"/>
  <c r="J71" i="32"/>
  <c r="J70" i="32"/>
  <c r="J69" i="32"/>
  <c r="J68" i="32"/>
  <c r="R44" i="22"/>
  <c r="R44" i="47"/>
  <c r="R44" i="45"/>
  <c r="R44" i="41"/>
  <c r="R44" i="32"/>
  <c r="S44" i="22" l="1"/>
  <c r="B44" i="22" s="1"/>
  <c r="S44" i="32"/>
  <c r="B44" i="32" s="1"/>
  <c r="S44" i="47"/>
  <c r="B44" i="47" s="1"/>
  <c r="S44" i="41"/>
  <c r="B44" i="41" s="1"/>
  <c r="S44" i="45"/>
  <c r="B44" i="45" s="1"/>
  <c r="K77" i="19"/>
  <c r="K75" i="19"/>
  <c r="K74" i="19"/>
  <c r="K72" i="19"/>
  <c r="K71" i="19"/>
  <c r="K70" i="19"/>
  <c r="T44" i="22" l="1"/>
  <c r="T44" i="32"/>
  <c r="T44" i="47"/>
  <c r="T44" i="41"/>
  <c r="T44" i="45"/>
  <c r="K66" i="19"/>
  <c r="K65" i="19"/>
  <c r="K64" i="19"/>
  <c r="K63" i="19"/>
  <c r="K62" i="19"/>
  <c r="K59" i="19"/>
  <c r="K58" i="19"/>
  <c r="K57" i="19"/>
  <c r="K56" i="19"/>
  <c r="K53" i="19"/>
  <c r="K42" i="19"/>
  <c r="K36" i="19"/>
  <c r="R50" i="22"/>
  <c r="R50" i="32"/>
  <c r="R50" i="47"/>
  <c r="R50" i="41"/>
  <c r="R50" i="45"/>
  <c r="S50" i="22" l="1"/>
  <c r="B50" i="22" s="1"/>
  <c r="S50" i="32"/>
  <c r="B50" i="32" s="1"/>
  <c r="S50" i="47"/>
  <c r="B50" i="47" s="1"/>
  <c r="S50" i="41"/>
  <c r="B50" i="41" s="1"/>
  <c r="S50" i="45"/>
  <c r="B50" i="45" s="1"/>
  <c r="T50" i="22" l="1"/>
  <c r="T50" i="32"/>
  <c r="T50" i="47"/>
  <c r="T50" i="41"/>
  <c r="T50" i="45"/>
  <c r="AM13" i="45"/>
  <c r="AQ13" i="45"/>
  <c r="AS13" i="45"/>
  <c r="AM14" i="45"/>
  <c r="AQ14" i="45"/>
  <c r="AS14" i="45"/>
  <c r="AM15" i="45"/>
  <c r="AM16" i="45"/>
  <c r="AM17" i="45"/>
  <c r="AQ17" i="45"/>
  <c r="AS17" i="45"/>
  <c r="AM18" i="45"/>
  <c r="AM19" i="45"/>
  <c r="AM20" i="45"/>
  <c r="AQ20" i="45"/>
  <c r="AS20" i="45"/>
  <c r="AM21" i="45"/>
  <c r="AM22" i="45"/>
  <c r="AM24" i="45"/>
  <c r="AQ24" i="45"/>
  <c r="AS24" i="45"/>
  <c r="AM25" i="45"/>
  <c r="AM26" i="45"/>
  <c r="AS26" i="45"/>
  <c r="AM27" i="45"/>
  <c r="AM28" i="45"/>
  <c r="AM29" i="45"/>
  <c r="AS29" i="45"/>
  <c r="AM30" i="45"/>
  <c r="AM31" i="45"/>
  <c r="AM32" i="45"/>
  <c r="AS32" i="45"/>
  <c r="AM33" i="45"/>
  <c r="AM34" i="45"/>
  <c r="AM36" i="45"/>
  <c r="AS36" i="45"/>
  <c r="AM37" i="45"/>
  <c r="AM38" i="45"/>
  <c r="AM39" i="45"/>
  <c r="AS39" i="45"/>
  <c r="AM40" i="45"/>
  <c r="AM41" i="45"/>
  <c r="AJ42" i="45"/>
  <c r="AK45" i="45"/>
  <c r="AL45" i="45"/>
  <c r="AM45" i="45"/>
  <c r="AK48" i="45"/>
  <c r="AL48" i="45"/>
  <c r="AM48" i="45"/>
  <c r="AN48" i="45"/>
  <c r="AO48" i="45"/>
  <c r="AK49" i="45"/>
  <c r="AL49" i="45"/>
  <c r="AM49" i="45"/>
  <c r="AN49" i="45"/>
  <c r="AO49" i="45"/>
  <c r="AK50" i="45"/>
  <c r="AL50" i="45"/>
  <c r="AM50" i="45"/>
  <c r="AN50" i="45"/>
  <c r="AO50" i="45"/>
  <c r="AK51" i="45"/>
  <c r="AL51" i="45"/>
  <c r="AM51" i="45"/>
  <c r="AN51" i="45"/>
  <c r="AO51" i="45"/>
  <c r="AK52" i="45"/>
  <c r="AL52" i="45"/>
  <c r="AM52" i="45"/>
  <c r="AN52" i="45"/>
  <c r="AO52" i="45"/>
  <c r="AK53" i="45"/>
  <c r="AL53" i="45"/>
  <c r="AM53" i="45"/>
  <c r="AN53" i="45"/>
  <c r="AO53" i="45"/>
  <c r="AK54" i="45"/>
  <c r="AL54" i="45"/>
  <c r="AM54" i="45"/>
  <c r="AN54" i="45"/>
  <c r="AO54" i="45"/>
  <c r="AK55" i="45"/>
  <c r="AL55" i="45"/>
  <c r="AM55" i="45"/>
  <c r="AN55" i="45"/>
  <c r="AO55" i="45"/>
  <c r="AK56" i="45"/>
  <c r="AL56" i="45"/>
  <c r="AM56" i="45"/>
  <c r="AN56" i="45"/>
  <c r="AO56" i="45"/>
  <c r="AK57" i="45"/>
  <c r="AL57" i="45"/>
  <c r="AM57" i="45"/>
  <c r="AN57" i="45"/>
  <c r="AO57" i="45"/>
  <c r="AK58" i="45"/>
  <c r="AL58" i="45"/>
  <c r="AM58" i="45"/>
  <c r="AN58" i="45"/>
  <c r="AO58" i="45"/>
  <c r="AK59" i="45"/>
  <c r="AL59" i="45"/>
  <c r="AM59" i="45"/>
  <c r="AN59" i="45"/>
  <c r="AO59" i="45"/>
  <c r="AK60" i="45"/>
  <c r="AL60" i="45"/>
  <c r="AM60" i="45"/>
  <c r="AN60" i="45"/>
  <c r="AO60" i="45"/>
  <c r="AK61" i="45"/>
  <c r="AL61" i="45"/>
  <c r="AM61" i="45"/>
  <c r="AN61" i="45"/>
  <c r="AO61" i="45"/>
  <c r="AK62" i="45"/>
  <c r="AL62" i="45"/>
  <c r="AM62" i="45"/>
  <c r="AN62" i="45"/>
  <c r="AO62" i="45"/>
  <c r="AK63" i="45"/>
  <c r="AL63" i="45"/>
  <c r="AM63" i="45"/>
  <c r="AN63" i="45"/>
  <c r="AO63" i="45"/>
  <c r="AK64" i="45"/>
  <c r="AL64" i="45"/>
  <c r="AM64" i="45"/>
  <c r="AN64" i="45"/>
  <c r="AO64" i="45"/>
  <c r="AK65" i="45"/>
  <c r="AL65" i="45"/>
  <c r="AM65" i="45"/>
  <c r="AN65" i="45"/>
  <c r="AO65" i="45"/>
  <c r="AK66" i="45"/>
  <c r="AL66" i="45"/>
  <c r="AM66" i="45"/>
  <c r="AN66" i="45"/>
  <c r="AO66" i="45"/>
  <c r="AK67" i="45"/>
  <c r="AL67" i="45"/>
  <c r="AM67" i="45"/>
  <c r="AN67" i="45"/>
  <c r="AO67" i="45"/>
  <c r="R56" i="47"/>
  <c r="R56" i="41"/>
  <c r="R56" i="32"/>
  <c r="R56" i="22"/>
  <c r="R56" i="45"/>
  <c r="S56" i="22" l="1"/>
  <c r="B56" i="22" s="1"/>
  <c r="S56" i="32"/>
  <c r="B56" i="32" s="1"/>
  <c r="S56" i="47"/>
  <c r="B56" i="47" s="1"/>
  <c r="S56" i="41"/>
  <c r="B56" i="41" s="1"/>
  <c r="S56" i="45"/>
  <c r="B56" i="45" s="1"/>
  <c r="I44" i="40"/>
  <c r="I57" i="40"/>
  <c r="I54" i="40"/>
  <c r="I47" i="40"/>
  <c r="I41" i="40"/>
  <c r="I34" i="40"/>
  <c r="I31" i="40"/>
  <c r="AQ36" i="41" l="1"/>
  <c r="AQ39" i="47"/>
  <c r="AQ39" i="41"/>
  <c r="AQ36" i="47"/>
  <c r="AQ32" i="41"/>
  <c r="AQ26" i="41"/>
  <c r="AQ29" i="47"/>
  <c r="AQ29" i="41"/>
  <c r="AQ32" i="47"/>
  <c r="AQ26" i="47"/>
  <c r="T56" i="22"/>
  <c r="T56" i="32"/>
  <c r="T56" i="47"/>
  <c r="T56" i="41"/>
  <c r="AQ39" i="45"/>
  <c r="AQ36" i="45"/>
  <c r="AQ32" i="45"/>
  <c r="AQ29" i="45"/>
  <c r="AQ26" i="45"/>
  <c r="T56" i="45"/>
  <c r="H103" i="40"/>
  <c r="R62" i="22"/>
  <c r="R62" i="32"/>
  <c r="R62" i="45"/>
  <c r="R62" i="41"/>
  <c r="R62" i="47"/>
  <c r="S62" i="22" l="1"/>
  <c r="B62" i="22" s="1"/>
  <c r="S62" i="32"/>
  <c r="B62" i="32" s="1"/>
  <c r="S62" i="47"/>
  <c r="B62" i="47" s="1"/>
  <c r="S62" i="41"/>
  <c r="B62" i="41" s="1"/>
  <c r="S62" i="45"/>
  <c r="B62" i="45" s="1"/>
  <c r="T62" i="22" l="1"/>
  <c r="T62" i="32"/>
  <c r="T62" i="47"/>
  <c r="T62" i="41"/>
  <c r="T62" i="45"/>
  <c r="F45" i="31"/>
  <c r="E39" i="31"/>
  <c r="R68" i="22"/>
  <c r="R68" i="47"/>
  <c r="R68" i="32"/>
  <c r="R68" i="41"/>
  <c r="R68" i="45"/>
  <c r="S68" i="22" l="1"/>
  <c r="B68" i="22" s="1"/>
  <c r="S68" i="32"/>
  <c r="B68" i="32" s="1"/>
  <c r="S68" i="47"/>
  <c r="B68" i="47" s="1"/>
  <c r="S68" i="41"/>
  <c r="B68" i="41" s="1"/>
  <c r="S68" i="45"/>
  <c r="B68" i="45" s="1"/>
  <c r="T68" i="22" l="1"/>
  <c r="T68" i="32"/>
  <c r="T68" i="47"/>
  <c r="T68" i="41"/>
  <c r="T68" i="45"/>
  <c r="G44" i="31"/>
  <c r="R74" i="22"/>
  <c r="R74" i="47"/>
  <c r="R74" i="41"/>
  <c r="R74" i="32"/>
  <c r="R74" i="45"/>
  <c r="S74" i="22" l="1"/>
  <c r="B74" i="22" s="1"/>
  <c r="S74" i="32"/>
  <c r="B74" i="32" s="1"/>
  <c r="S74" i="47"/>
  <c r="B74" i="47" s="1"/>
  <c r="S74" i="41"/>
  <c r="B74" i="41" s="1"/>
  <c r="S74" i="45"/>
  <c r="B74" i="45" s="1"/>
  <c r="AC201" i="31"/>
  <c r="AB201" i="31"/>
  <c r="AA201" i="31"/>
  <c r="Z201" i="31"/>
  <c r="CI96" i="22"/>
  <c r="CH96" i="22"/>
  <c r="CI90" i="22"/>
  <c r="CH90" i="22"/>
  <c r="T74" i="22" l="1"/>
  <c r="T74" i="32"/>
  <c r="T74" i="47"/>
  <c r="T74" i="41"/>
  <c r="T74" i="45"/>
  <c r="AC203" i="31"/>
  <c r="AB203" i="31"/>
  <c r="AA203" i="31"/>
  <c r="Z203" i="31"/>
  <c r="AC202" i="31"/>
  <c r="AB202" i="31"/>
  <c r="AA202" i="31"/>
  <c r="Z202" i="31"/>
  <c r="AC200" i="31"/>
  <c r="AB200" i="31"/>
  <c r="AA200" i="31"/>
  <c r="Z200" i="31"/>
  <c r="AC199" i="31"/>
  <c r="AB199" i="31"/>
  <c r="AA199" i="31"/>
  <c r="Z199" i="31"/>
  <c r="AQ20" i="32" l="1"/>
  <c r="AO20" i="32"/>
  <c r="AN20" i="32"/>
  <c r="AM20" i="32"/>
  <c r="AL20" i="32"/>
  <c r="AQ19" i="32"/>
  <c r="AO19" i="32"/>
  <c r="AN19" i="32"/>
  <c r="AM19" i="32"/>
  <c r="AL19" i="32"/>
  <c r="AQ18" i="32"/>
  <c r="AO18" i="32"/>
  <c r="AN18" i="32"/>
  <c r="AM18" i="32"/>
  <c r="AL18" i="32"/>
  <c r="AQ16" i="32"/>
  <c r="AO16" i="32"/>
  <c r="AN16" i="32"/>
  <c r="AM16" i="32"/>
  <c r="AL16" i="32"/>
  <c r="AQ15" i="32"/>
  <c r="AO15" i="32"/>
  <c r="AN15" i="32"/>
  <c r="AM15" i="32"/>
  <c r="AL15" i="32"/>
  <c r="AQ14" i="32"/>
  <c r="AO14" i="32"/>
  <c r="AN14" i="32"/>
  <c r="AM14" i="32"/>
  <c r="AL14" i="32"/>
  <c r="AQ13" i="32"/>
  <c r="AO13" i="32"/>
  <c r="AN13" i="32"/>
  <c r="AM13" i="32"/>
  <c r="AL13" i="32"/>
  <c r="AJ12" i="32"/>
  <c r="AM9" i="32"/>
  <c r="AQ8" i="32"/>
  <c r="AM8" i="32"/>
  <c r="AL8" i="32"/>
  <c r="AJ8" i="32"/>
  <c r="AV73" i="38"/>
  <c r="AV72" i="38"/>
  <c r="AW41" i="19"/>
  <c r="AM41" i="19"/>
  <c r="AW40" i="19"/>
  <c r="AM40" i="19"/>
  <c r="AS39" i="19"/>
  <c r="AQ39" i="19"/>
  <c r="AW39" i="19"/>
  <c r="AM39" i="19"/>
  <c r="AW38" i="19"/>
  <c r="AM38" i="19"/>
  <c r="AW37" i="19"/>
  <c r="AM37" i="19"/>
  <c r="AS36" i="19"/>
  <c r="AQ36" i="19"/>
  <c r="AW36" i="19"/>
  <c r="AM36" i="19"/>
  <c r="AW34" i="19"/>
  <c r="AM34" i="19"/>
  <c r="AW33" i="19"/>
  <c r="AM33" i="19"/>
  <c r="AS32" i="19"/>
  <c r="AQ32" i="19"/>
  <c r="AW32" i="19"/>
  <c r="AM32" i="19"/>
  <c r="AW31" i="19"/>
  <c r="AM31" i="19"/>
  <c r="AW30" i="19"/>
  <c r="AM30" i="19"/>
  <c r="AS29" i="19"/>
  <c r="AQ29" i="19"/>
  <c r="AW29" i="19"/>
  <c r="AM29" i="19"/>
  <c r="AW28" i="19"/>
  <c r="AM28" i="19"/>
  <c r="AW27" i="19"/>
  <c r="AM27" i="19"/>
  <c r="AS26" i="19"/>
  <c r="AQ26" i="19"/>
  <c r="AW26" i="19"/>
  <c r="AM26" i="19"/>
  <c r="AM25" i="19"/>
  <c r="AS24" i="19"/>
  <c r="AQ24" i="19"/>
  <c r="AM24" i="19"/>
  <c r="AW22" i="19"/>
  <c r="AM22" i="19"/>
  <c r="AW21" i="19"/>
  <c r="AM21" i="19"/>
  <c r="AS20" i="19"/>
  <c r="AQ20" i="19"/>
  <c r="AW20" i="19"/>
  <c r="AM20" i="19"/>
  <c r="AW19" i="19"/>
  <c r="AM19" i="19"/>
  <c r="AW18" i="19"/>
  <c r="AM18" i="19"/>
  <c r="AS17" i="19"/>
  <c r="AQ17" i="19"/>
  <c r="AW17" i="19"/>
  <c r="AM17" i="19"/>
  <c r="AW16" i="19"/>
  <c r="AM16" i="19"/>
  <c r="AW15" i="19"/>
  <c r="AM15" i="19"/>
  <c r="AS14" i="19"/>
  <c r="AQ14" i="19"/>
  <c r="AW14" i="19"/>
  <c r="AM14" i="19"/>
  <c r="AS13" i="19"/>
  <c r="AQ13" i="19"/>
  <c r="AM13" i="19"/>
  <c r="AM9" i="19"/>
  <c r="AW8" i="19"/>
  <c r="AM8" i="19"/>
  <c r="D54" i="40"/>
  <c r="D38" i="40"/>
  <c r="D25" i="40"/>
  <c r="AK24" i="41" l="1"/>
  <c r="AK24" i="47"/>
  <c r="AK13" i="45"/>
  <c r="AK13" i="47"/>
  <c r="AK13" i="41"/>
  <c r="AK36" i="47"/>
  <c r="AK36" i="41"/>
  <c r="AK24" i="45"/>
  <c r="AK36" i="45"/>
  <c r="AK36" i="19"/>
  <c r="AK13" i="19"/>
  <c r="AK24" i="19"/>
  <c r="CI96" i="47" l="1"/>
  <c r="CH96" i="47"/>
  <c r="BT92" i="47"/>
  <c r="CI90" i="47"/>
  <c r="CH90" i="47"/>
  <c r="BT86" i="47"/>
  <c r="CI84" i="47"/>
  <c r="CH84" i="47"/>
  <c r="BT80" i="47"/>
  <c r="CI78" i="47"/>
  <c r="CH78" i="47"/>
  <c r="BT74" i="47"/>
  <c r="CI72" i="47"/>
  <c r="CH72" i="47"/>
  <c r="BT68" i="47"/>
  <c r="CI66" i="47"/>
  <c r="CH66" i="47"/>
  <c r="BT62" i="47"/>
  <c r="CI60" i="47"/>
  <c r="CH60" i="47"/>
  <c r="BT56" i="47"/>
  <c r="CI54" i="47"/>
  <c r="CH54" i="47"/>
  <c r="BT50" i="47"/>
  <c r="BS50" i="47"/>
  <c r="BR50" i="47"/>
  <c r="CI48" i="47"/>
  <c r="CH48" i="47"/>
  <c r="BT44" i="47"/>
  <c r="BS44" i="47"/>
  <c r="BR44" i="47"/>
  <c r="CI42" i="47"/>
  <c r="CH42" i="47"/>
  <c r="BT41" i="47"/>
  <c r="BS41" i="47"/>
  <c r="BR41" i="47"/>
  <c r="CI39" i="47"/>
  <c r="CH39" i="47"/>
  <c r="BP39" i="47"/>
  <c r="BO39" i="47"/>
  <c r="BM39" i="47"/>
  <c r="BL39" i="47"/>
  <c r="BV39" i="47" s="1"/>
  <c r="BK39" i="47"/>
  <c r="CI38" i="47"/>
  <c r="CH38" i="47"/>
  <c r="BP38" i="47"/>
  <c r="BO38" i="47"/>
  <c r="BM38" i="47"/>
  <c r="BL38" i="47"/>
  <c r="BV38" i="47" s="1"/>
  <c r="BK38" i="47"/>
  <c r="CI37" i="47"/>
  <c r="CH37" i="47"/>
  <c r="BP37" i="47"/>
  <c r="BO37" i="47"/>
  <c r="BM37" i="47"/>
  <c r="BL37" i="47"/>
  <c r="BV37" i="47" s="1"/>
  <c r="BK37" i="47"/>
  <c r="CI36" i="47"/>
  <c r="CH36" i="47"/>
  <c r="BP36" i="47"/>
  <c r="BO36" i="47"/>
  <c r="BM36" i="47"/>
  <c r="BL36" i="47"/>
  <c r="BV36" i="47" s="1"/>
  <c r="BK36" i="47"/>
  <c r="CI35" i="47"/>
  <c r="CH35" i="47"/>
  <c r="BP35" i="47"/>
  <c r="BO35" i="47"/>
  <c r="BM35" i="47"/>
  <c r="BL35" i="47"/>
  <c r="BV35" i="47" s="1"/>
  <c r="BK35" i="47"/>
  <c r="CI34" i="47"/>
  <c r="CH34" i="47"/>
  <c r="BP34" i="47"/>
  <c r="BO34" i="47"/>
  <c r="BM34" i="47"/>
  <c r="BL34" i="47"/>
  <c r="BV34" i="47" s="1"/>
  <c r="BK34" i="47"/>
  <c r="CI33" i="47"/>
  <c r="CH33" i="47"/>
  <c r="BP33" i="47"/>
  <c r="BO33" i="47"/>
  <c r="BM33" i="47"/>
  <c r="BL33" i="47"/>
  <c r="BV33" i="47" s="1"/>
  <c r="BK33" i="47"/>
  <c r="CI31" i="47"/>
  <c r="CH31" i="47"/>
  <c r="CI30" i="47"/>
  <c r="CH30" i="47"/>
  <c r="CI29" i="47"/>
  <c r="CH29" i="47"/>
  <c r="CI28" i="47"/>
  <c r="CH28" i="47"/>
  <c r="CI27" i="47"/>
  <c r="CH27" i="47"/>
  <c r="CI26" i="47"/>
  <c r="CH26" i="47"/>
  <c r="CI25" i="47"/>
  <c r="CH25" i="47"/>
  <c r="CI24" i="47"/>
  <c r="CH24" i="47"/>
  <c r="CI23" i="47"/>
  <c r="CH23" i="47"/>
  <c r="CI22" i="47"/>
  <c r="CH22" i="47"/>
  <c r="CI21" i="47"/>
  <c r="CH21" i="47"/>
  <c r="CI20" i="47"/>
  <c r="CH20" i="47"/>
  <c r="CI19" i="47"/>
  <c r="CH19" i="47"/>
  <c r="CI18" i="47"/>
  <c r="CH18" i="47"/>
  <c r="CI17" i="47"/>
  <c r="CH17" i="47"/>
  <c r="CI16" i="47"/>
  <c r="CH16" i="47"/>
  <c r="CI15" i="47"/>
  <c r="CH15" i="47"/>
  <c r="CI14" i="47"/>
  <c r="CH14" i="47"/>
  <c r="CI13" i="47"/>
  <c r="CH13" i="47"/>
  <c r="CI12" i="47"/>
  <c r="CH12" i="47"/>
  <c r="CI11" i="47"/>
  <c r="CH11" i="47"/>
  <c r="BO11" i="47"/>
  <c r="CI90" i="32"/>
  <c r="CI96" i="32"/>
  <c r="CH96" i="32"/>
  <c r="CH90" i="32"/>
  <c r="CI42" i="32"/>
  <c r="CH42" i="32"/>
  <c r="CI42" i="41"/>
  <c r="CH42" i="41"/>
  <c r="BT92" i="22"/>
  <c r="BT86" i="22"/>
  <c r="CI84" i="22"/>
  <c r="CH84" i="22"/>
  <c r="BT80" i="22"/>
  <c r="CI78" i="22"/>
  <c r="CH78" i="22"/>
  <c r="BT74" i="22"/>
  <c r="CI72" i="22"/>
  <c r="CH72" i="22"/>
  <c r="BT68" i="22"/>
  <c r="CI66" i="22"/>
  <c r="CH66" i="22"/>
  <c r="BT62" i="22"/>
  <c r="CI60" i="22"/>
  <c r="CH60" i="22"/>
  <c r="BT56" i="22"/>
  <c r="CI54" i="22"/>
  <c r="CH54" i="22"/>
  <c r="BT50" i="22"/>
  <c r="BS50" i="22"/>
  <c r="BR50" i="22"/>
  <c r="CI48" i="22"/>
  <c r="CH48" i="22"/>
  <c r="BT44" i="22"/>
  <c r="BS44" i="22"/>
  <c r="BR44" i="22"/>
  <c r="CI42" i="22"/>
  <c r="CH42" i="22"/>
  <c r="BT41" i="22"/>
  <c r="BS41" i="22"/>
  <c r="BR41" i="22"/>
  <c r="CI39" i="22"/>
  <c r="CH39" i="22"/>
  <c r="BP39" i="22"/>
  <c r="BO39" i="22"/>
  <c r="BM39" i="22"/>
  <c r="BL39" i="22"/>
  <c r="BV39" i="22" s="1"/>
  <c r="BK39" i="22"/>
  <c r="CI38" i="22"/>
  <c r="CH38" i="22"/>
  <c r="BP38" i="22"/>
  <c r="BO38" i="22"/>
  <c r="BM38" i="22"/>
  <c r="BL38" i="22"/>
  <c r="BV38" i="22" s="1"/>
  <c r="BK38" i="22"/>
  <c r="CI37" i="22"/>
  <c r="CH37" i="22"/>
  <c r="BP37" i="22"/>
  <c r="BO37" i="22"/>
  <c r="BM37" i="22"/>
  <c r="BL37" i="22"/>
  <c r="BV37" i="22" s="1"/>
  <c r="BK37" i="22"/>
  <c r="CI36" i="22"/>
  <c r="CH36" i="22"/>
  <c r="BP36" i="22"/>
  <c r="BO36" i="22"/>
  <c r="BM36" i="22"/>
  <c r="BL36" i="22"/>
  <c r="BV36" i="22" s="1"/>
  <c r="BK36" i="22"/>
  <c r="CI35" i="22"/>
  <c r="CH35" i="22"/>
  <c r="BP35" i="22"/>
  <c r="BO35" i="22"/>
  <c r="BM35" i="22"/>
  <c r="BL35" i="22"/>
  <c r="BV35" i="22" s="1"/>
  <c r="BK35" i="22"/>
  <c r="CI34" i="22"/>
  <c r="CH34" i="22"/>
  <c r="BP34" i="22"/>
  <c r="BO34" i="22"/>
  <c r="BM34" i="22"/>
  <c r="BL34" i="22"/>
  <c r="BV34" i="22" s="1"/>
  <c r="BK34" i="22"/>
  <c r="CI33" i="22"/>
  <c r="CH33" i="22"/>
  <c r="BP33" i="22"/>
  <c r="BO33" i="22"/>
  <c r="BM33" i="22"/>
  <c r="BL33" i="22"/>
  <c r="BV33" i="22" s="1"/>
  <c r="BK33" i="22"/>
  <c r="CI96" i="19"/>
  <c r="CH96" i="19"/>
  <c r="BT92" i="19"/>
  <c r="CI90" i="19"/>
  <c r="CH90" i="19"/>
  <c r="BT86" i="19"/>
  <c r="CI84" i="19"/>
  <c r="CH84" i="19"/>
  <c r="BT80" i="19"/>
  <c r="CI78" i="19"/>
  <c r="CH78" i="19"/>
  <c r="BT74" i="19"/>
  <c r="CI72" i="19"/>
  <c r="CH72" i="19"/>
  <c r="BT68" i="19"/>
  <c r="CI66" i="19"/>
  <c r="CH66" i="19"/>
  <c r="BT62" i="19"/>
  <c r="CI60" i="19"/>
  <c r="CH60" i="19"/>
  <c r="BT56" i="19"/>
  <c r="CI54" i="19"/>
  <c r="CH54" i="19"/>
  <c r="BT50" i="19"/>
  <c r="BS50" i="19"/>
  <c r="BR50" i="19"/>
  <c r="CI48" i="19"/>
  <c r="CH48" i="19"/>
  <c r="BT44" i="19"/>
  <c r="BS44" i="19"/>
  <c r="BR44" i="19"/>
  <c r="CI42" i="19"/>
  <c r="CH42" i="19"/>
  <c r="BT41" i="19"/>
  <c r="BS41" i="19"/>
  <c r="BR41" i="19"/>
  <c r="CI39" i="19"/>
  <c r="CH39" i="19"/>
  <c r="BP39" i="19"/>
  <c r="BO39" i="19"/>
  <c r="BM39" i="19"/>
  <c r="BL39" i="19"/>
  <c r="BV39" i="19" s="1"/>
  <c r="BK39" i="19"/>
  <c r="CI38" i="19"/>
  <c r="CH38" i="19"/>
  <c r="BP38" i="19"/>
  <c r="BO38" i="19"/>
  <c r="BM38" i="19"/>
  <c r="BL38" i="19"/>
  <c r="BV38" i="19" s="1"/>
  <c r="BK38" i="19"/>
  <c r="CI37" i="19"/>
  <c r="CH37" i="19"/>
  <c r="BP37" i="19"/>
  <c r="BO37" i="19"/>
  <c r="BM37" i="19"/>
  <c r="BL37" i="19"/>
  <c r="BV37" i="19" s="1"/>
  <c r="BK37" i="19"/>
  <c r="CI36" i="19"/>
  <c r="CH36" i="19"/>
  <c r="BP36" i="19"/>
  <c r="BO36" i="19"/>
  <c r="BM36" i="19"/>
  <c r="BL36" i="19"/>
  <c r="BV36" i="19" s="1"/>
  <c r="BK36" i="19"/>
  <c r="CI35" i="19"/>
  <c r="CH35" i="19"/>
  <c r="BP35" i="19"/>
  <c r="BO35" i="19"/>
  <c r="BM35" i="19"/>
  <c r="BL35" i="19"/>
  <c r="BV35" i="19" s="1"/>
  <c r="BK35" i="19"/>
  <c r="CI34" i="19"/>
  <c r="CH34" i="19"/>
  <c r="BP34" i="19"/>
  <c r="BO34" i="19"/>
  <c r="BM34" i="19"/>
  <c r="BL34" i="19"/>
  <c r="BV34" i="19" s="1"/>
  <c r="BK34" i="19"/>
  <c r="CI33" i="19"/>
  <c r="CH33" i="19"/>
  <c r="BP33" i="19"/>
  <c r="BO33" i="19"/>
  <c r="BM33" i="19"/>
  <c r="BL33" i="19"/>
  <c r="BV33" i="19" s="1"/>
  <c r="BK33" i="19"/>
  <c r="CI96" i="45"/>
  <c r="CH96" i="45"/>
  <c r="BT92" i="45"/>
  <c r="CI90" i="45"/>
  <c r="CH90" i="45"/>
  <c r="BT86" i="45"/>
  <c r="CI84" i="45"/>
  <c r="CH84" i="45"/>
  <c r="BT80" i="45"/>
  <c r="CI78" i="45"/>
  <c r="CH78" i="45"/>
  <c r="BT74" i="45"/>
  <c r="CI72" i="45"/>
  <c r="CH72" i="45"/>
  <c r="BT68" i="45"/>
  <c r="CI66" i="45"/>
  <c r="CH66" i="45"/>
  <c r="BT62" i="45"/>
  <c r="CI60" i="45"/>
  <c r="CH60" i="45"/>
  <c r="BT56" i="45"/>
  <c r="CI54" i="45"/>
  <c r="CH54" i="45"/>
  <c r="BT50" i="45"/>
  <c r="BS50" i="45"/>
  <c r="BR50" i="45"/>
  <c r="CI48" i="45"/>
  <c r="CH48" i="45"/>
  <c r="BT44" i="45"/>
  <c r="BS44" i="45"/>
  <c r="BR44" i="45"/>
  <c r="CI42" i="45"/>
  <c r="CH42" i="45"/>
  <c r="BT41" i="45"/>
  <c r="BS41" i="45"/>
  <c r="BR41" i="45"/>
  <c r="CI39" i="45"/>
  <c r="CH39" i="45"/>
  <c r="BP39" i="45"/>
  <c r="BO39" i="45"/>
  <c r="BM39" i="45"/>
  <c r="BL39" i="45"/>
  <c r="BV39" i="45" s="1"/>
  <c r="BK39" i="45"/>
  <c r="CI38" i="45"/>
  <c r="CH38" i="45"/>
  <c r="BP38" i="45"/>
  <c r="BO38" i="45"/>
  <c r="BM38" i="45"/>
  <c r="BL38" i="45"/>
  <c r="BV38" i="45" s="1"/>
  <c r="BK38" i="45"/>
  <c r="CI37" i="45"/>
  <c r="CH37" i="45"/>
  <c r="BP37" i="45"/>
  <c r="BO37" i="45"/>
  <c r="BM37" i="45"/>
  <c r="BL37" i="45"/>
  <c r="BV37" i="45" s="1"/>
  <c r="BK37" i="45"/>
  <c r="CI36" i="45"/>
  <c r="CH36" i="45"/>
  <c r="BP36" i="45"/>
  <c r="BO36" i="45"/>
  <c r="BM36" i="45"/>
  <c r="BL36" i="45"/>
  <c r="BV36" i="45" s="1"/>
  <c r="BK36" i="45"/>
  <c r="CI35" i="45"/>
  <c r="CH35" i="45"/>
  <c r="BP35" i="45"/>
  <c r="BO35" i="45"/>
  <c r="BM35" i="45"/>
  <c r="BL35" i="45"/>
  <c r="BV35" i="45" s="1"/>
  <c r="BK35" i="45"/>
  <c r="CI34" i="45"/>
  <c r="CH34" i="45"/>
  <c r="BP34" i="45"/>
  <c r="BO34" i="45"/>
  <c r="BM34" i="45"/>
  <c r="BL34" i="45"/>
  <c r="BV34" i="45" s="1"/>
  <c r="BK34" i="45"/>
  <c r="CI33" i="45"/>
  <c r="CH33" i="45"/>
  <c r="BP33" i="45"/>
  <c r="BO33" i="45"/>
  <c r="BM33" i="45"/>
  <c r="BL33" i="45"/>
  <c r="BV33" i="45" s="1"/>
  <c r="BK33" i="45"/>
  <c r="BT92" i="32"/>
  <c r="BT86" i="32"/>
  <c r="CI84" i="32"/>
  <c r="CH84" i="32"/>
  <c r="BT80" i="32"/>
  <c r="CI78" i="32"/>
  <c r="CH78" i="32"/>
  <c r="BT74" i="32"/>
  <c r="CI72" i="32"/>
  <c r="CH72" i="32"/>
  <c r="BT68" i="32"/>
  <c r="CI66" i="32"/>
  <c r="CH66" i="32"/>
  <c r="BT62" i="32"/>
  <c r="CI60" i="32"/>
  <c r="CH60" i="32"/>
  <c r="BT56" i="32"/>
  <c r="CI54" i="32"/>
  <c r="CH54" i="32"/>
  <c r="BT50" i="32"/>
  <c r="BS50" i="32"/>
  <c r="BR50" i="32"/>
  <c r="CI48" i="32"/>
  <c r="CH48" i="32"/>
  <c r="BT44" i="32"/>
  <c r="BS44" i="32"/>
  <c r="BR44" i="32"/>
  <c r="BT41" i="32"/>
  <c r="BS41" i="32"/>
  <c r="BR41" i="32"/>
  <c r="CI39" i="32"/>
  <c r="CH39" i="32"/>
  <c r="BP39" i="32"/>
  <c r="BO39" i="32"/>
  <c r="BM39" i="32"/>
  <c r="BL39" i="32"/>
  <c r="BV39" i="32" s="1"/>
  <c r="BK39" i="32"/>
  <c r="CI38" i="32"/>
  <c r="CH38" i="32"/>
  <c r="BP38" i="32"/>
  <c r="BO38" i="32"/>
  <c r="BM38" i="32"/>
  <c r="BL38" i="32"/>
  <c r="BV38" i="32" s="1"/>
  <c r="BK38" i="32"/>
  <c r="CI37" i="32"/>
  <c r="CH37" i="32"/>
  <c r="BP37" i="32"/>
  <c r="BO37" i="32"/>
  <c r="BM37" i="32"/>
  <c r="BL37" i="32"/>
  <c r="BV37" i="32" s="1"/>
  <c r="BK37" i="32"/>
  <c r="CI36" i="32"/>
  <c r="CH36" i="32"/>
  <c r="BP36" i="32"/>
  <c r="BO36" i="32"/>
  <c r="BM36" i="32"/>
  <c r="BL36" i="32"/>
  <c r="BV36" i="32" s="1"/>
  <c r="BK36" i="32"/>
  <c r="CI35" i="32"/>
  <c r="CH35" i="32"/>
  <c r="BP35" i="32"/>
  <c r="BO35" i="32"/>
  <c r="BM35" i="32"/>
  <c r="BL35" i="32"/>
  <c r="BV35" i="32" s="1"/>
  <c r="BK35" i="32"/>
  <c r="CI34" i="32"/>
  <c r="CH34" i="32"/>
  <c r="BP34" i="32"/>
  <c r="BO34" i="32"/>
  <c r="BM34" i="32"/>
  <c r="BL34" i="32"/>
  <c r="BV34" i="32" s="1"/>
  <c r="BK34" i="32"/>
  <c r="CI33" i="32"/>
  <c r="CH33" i="32"/>
  <c r="BP33" i="32"/>
  <c r="BO33" i="32"/>
  <c r="BM33" i="32"/>
  <c r="BL33" i="32"/>
  <c r="BV33" i="32" s="1"/>
  <c r="BK33" i="32"/>
  <c r="CI39" i="41"/>
  <c r="CH39" i="41"/>
  <c r="BP39" i="41"/>
  <c r="BO39" i="41"/>
  <c r="BM39" i="41"/>
  <c r="BL39" i="41"/>
  <c r="BV39" i="41" s="1"/>
  <c r="BK39" i="41"/>
  <c r="CI38" i="41"/>
  <c r="CH38" i="41"/>
  <c r="BP38" i="41"/>
  <c r="BO38" i="41"/>
  <c r="BM38" i="41"/>
  <c r="BL38" i="41"/>
  <c r="BV38" i="41" s="1"/>
  <c r="BK38" i="41"/>
  <c r="CI37" i="41"/>
  <c r="CH37" i="41"/>
  <c r="BP37" i="41"/>
  <c r="BO37" i="41"/>
  <c r="BM37" i="41"/>
  <c r="BL37" i="41"/>
  <c r="BV37" i="41" s="1"/>
  <c r="BK37" i="41"/>
  <c r="CI36" i="41"/>
  <c r="CH36" i="41"/>
  <c r="BU36" i="41"/>
  <c r="BP36" i="41"/>
  <c r="BO36" i="41"/>
  <c r="BM36" i="41"/>
  <c r="BL36" i="41"/>
  <c r="BV36" i="41" s="1"/>
  <c r="BK36" i="41"/>
  <c r="CI35" i="41"/>
  <c r="CH35" i="41"/>
  <c r="BU35" i="41"/>
  <c r="BP35" i="41"/>
  <c r="BO35" i="41"/>
  <c r="BM35" i="41"/>
  <c r="BL35" i="41"/>
  <c r="BV35" i="41" s="1"/>
  <c r="BK35" i="41"/>
  <c r="CI34" i="41"/>
  <c r="CH34" i="41"/>
  <c r="BU34" i="41"/>
  <c r="BP34" i="41"/>
  <c r="BO34" i="41"/>
  <c r="BM34" i="41"/>
  <c r="BL34" i="41"/>
  <c r="BV34" i="41" s="1"/>
  <c r="BK34" i="41"/>
  <c r="CI33" i="41"/>
  <c r="CH33" i="41"/>
  <c r="BU33" i="41"/>
  <c r="BP33" i="41"/>
  <c r="BO33" i="41"/>
  <c r="BM33" i="41"/>
  <c r="BL33" i="41"/>
  <c r="BV33" i="41" s="1"/>
  <c r="BK33" i="41"/>
  <c r="CI90" i="41"/>
  <c r="CH90" i="41"/>
  <c r="CI48" i="41"/>
  <c r="CH48" i="41"/>
  <c r="G135" i="40" l="1"/>
  <c r="G134" i="40"/>
  <c r="G132" i="40"/>
  <c r="G131" i="40"/>
  <c r="H126" i="40"/>
  <c r="H120" i="40"/>
  <c r="G120" i="40"/>
  <c r="H117" i="40"/>
  <c r="H116" i="40"/>
  <c r="H115" i="40"/>
  <c r="H38" i="40" s="1"/>
  <c r="G117" i="40"/>
  <c r="G116" i="40"/>
  <c r="G115" i="40"/>
  <c r="G38" i="40" s="1"/>
  <c r="H104" i="40"/>
  <c r="H102" i="40"/>
  <c r="G102" i="40"/>
  <c r="AO24" i="45" l="1"/>
  <c r="AO24" i="41"/>
  <c r="AO24" i="47"/>
  <c r="AN24" i="45"/>
  <c r="AN24" i="41"/>
  <c r="AN24" i="47"/>
  <c r="AO24" i="19"/>
  <c r="AN24" i="19"/>
  <c r="H1" i="33"/>
  <c r="H25" i="40" l="1"/>
  <c r="G25" i="40"/>
  <c r="AO13" i="45" l="1"/>
  <c r="AO13" i="41"/>
  <c r="AO13" i="47"/>
  <c r="AN13" i="45"/>
  <c r="AN13" i="41"/>
  <c r="AN13" i="47"/>
  <c r="AN13" i="19"/>
  <c r="AO13" i="19"/>
  <c r="AN60" i="38" l="1"/>
  <c r="AN59" i="38"/>
  <c r="K14" i="38"/>
  <c r="F1" i="33"/>
  <c r="AN37" i="38"/>
  <c r="AN36" i="38"/>
  <c r="AN35" i="38"/>
  <c r="AN34" i="38"/>
  <c r="H134" i="40" l="1"/>
  <c r="H132" i="40"/>
  <c r="H131" i="40"/>
  <c r="H123" i="40"/>
  <c r="H118" i="40"/>
  <c r="H125" i="40"/>
  <c r="G125" i="40"/>
  <c r="H124" i="40"/>
  <c r="G124" i="40"/>
  <c r="H40" i="40" l="1"/>
  <c r="H39" i="40"/>
  <c r="G40" i="40"/>
  <c r="G39" i="40"/>
  <c r="AJ28" i="38"/>
  <c r="AN25" i="45" l="1"/>
  <c r="AN25" i="41"/>
  <c r="AN25" i="47"/>
  <c r="AO25" i="45"/>
  <c r="AO25" i="41"/>
  <c r="AO25" i="47"/>
  <c r="AN25" i="19"/>
  <c r="AO25" i="19"/>
  <c r="B82" i="22"/>
  <c r="B2" i="22"/>
  <c r="B82" i="32"/>
  <c r="B82" i="41"/>
  <c r="B82" i="47"/>
  <c r="B82" i="45"/>
  <c r="B2" i="45"/>
  <c r="B2" i="32"/>
  <c r="B2" i="41"/>
  <c r="B2" i="47"/>
  <c r="B82" i="19"/>
  <c r="AX21" i="38"/>
  <c r="B30" i="36"/>
  <c r="C63" i="38"/>
  <c r="C5" i="38"/>
  <c r="B45" i="30"/>
  <c r="B2" i="30"/>
  <c r="C69" i="40"/>
  <c r="C2" i="49"/>
  <c r="BG12" i="32" l="1"/>
  <c r="D8" i="32" s="1"/>
  <c r="BG12" i="47"/>
  <c r="D8" i="47" s="1"/>
  <c r="BG12" i="22"/>
  <c r="D8" i="22" s="1"/>
  <c r="BG12" i="41"/>
  <c r="D8" i="41" s="1"/>
  <c r="BG13" i="22"/>
  <c r="BG13" i="41"/>
  <c r="BG13" i="45"/>
  <c r="BG12" i="45"/>
  <c r="D8" i="45" s="1"/>
  <c r="BG13" i="32"/>
  <c r="BG13" i="47"/>
  <c r="BT44" i="41"/>
  <c r="BS44" i="41"/>
  <c r="BR44" i="41"/>
  <c r="BT41" i="41"/>
  <c r="BS41" i="41"/>
  <c r="BR41" i="41"/>
  <c r="H180" i="40" l="1"/>
  <c r="G180" i="40"/>
  <c r="H179" i="40"/>
  <c r="G179" i="40"/>
  <c r="M178" i="40"/>
  <c r="H178" i="40"/>
  <c r="G178" i="40"/>
  <c r="H167" i="40"/>
  <c r="H166" i="40"/>
  <c r="M165" i="40"/>
  <c r="H165" i="40"/>
  <c r="G165" i="40"/>
  <c r="M115" i="40"/>
  <c r="M102" i="40"/>
  <c r="W178" i="40"/>
  <c r="W115" i="40"/>
  <c r="M38" i="40"/>
  <c r="M25" i="40"/>
  <c r="W38" i="40"/>
  <c r="AJ87" i="33"/>
  <c r="AJ86" i="33"/>
  <c r="AJ77" i="33"/>
  <c r="AJ72" i="33"/>
  <c r="K26" i="33" l="1"/>
  <c r="K27" i="33" s="1"/>
  <c r="G87" i="40" s="1"/>
  <c r="G150" i="40" l="1"/>
  <c r="G11" i="40"/>
  <c r="G88" i="40"/>
  <c r="G103" i="40"/>
  <c r="AQ29" i="36"/>
  <c r="AN29" i="36"/>
  <c r="AM29" i="36"/>
  <c r="AH29" i="36"/>
  <c r="AQ28" i="36"/>
  <c r="AN28" i="36"/>
  <c r="AM28" i="36"/>
  <c r="AH28" i="36"/>
  <c r="AQ27" i="36"/>
  <c r="AN27" i="36"/>
  <c r="AM27" i="36"/>
  <c r="AH27" i="36"/>
  <c r="AQ26" i="36"/>
  <c r="AN26" i="36"/>
  <c r="AM26" i="36"/>
  <c r="AH26" i="36"/>
  <c r="AQ25" i="36"/>
  <c r="AN25" i="36"/>
  <c r="AM25" i="36"/>
  <c r="AH25" i="36"/>
  <c r="AQ24" i="36"/>
  <c r="AN24" i="36"/>
  <c r="AM24" i="36"/>
  <c r="AH24" i="36"/>
  <c r="AQ23" i="36"/>
  <c r="AN23" i="36"/>
  <c r="AM23" i="36"/>
  <c r="AJ23" i="36"/>
  <c r="AJ24" i="36" s="1"/>
  <c r="AJ25" i="36" s="1"/>
  <c r="AJ26" i="36" s="1"/>
  <c r="AJ27" i="36" s="1"/>
  <c r="AJ28" i="36" s="1"/>
  <c r="AJ29" i="36" s="1"/>
  <c r="AH23" i="36"/>
  <c r="AA23" i="36"/>
  <c r="AA24" i="36" s="1"/>
  <c r="AA25" i="36" s="1"/>
  <c r="AA26" i="36" s="1"/>
  <c r="AA27" i="36" s="1"/>
  <c r="AA28" i="36" s="1"/>
  <c r="AA29" i="36" s="1"/>
  <c r="O23" i="36"/>
  <c r="O24" i="36" s="1"/>
  <c r="O25" i="36" s="1"/>
  <c r="O26" i="36" s="1"/>
  <c r="O27" i="36" s="1"/>
  <c r="O28" i="36" s="1"/>
  <c r="O29" i="36" s="1"/>
  <c r="AQ22" i="36"/>
  <c r="AN22" i="36"/>
  <c r="AM22" i="36"/>
  <c r="AH22" i="36"/>
  <c r="D56" i="33"/>
  <c r="D55" i="33"/>
  <c r="D54" i="33"/>
  <c r="D53" i="33"/>
  <c r="D52" i="33"/>
  <c r="D50" i="33"/>
  <c r="D49" i="33"/>
  <c r="D48" i="33"/>
  <c r="D47" i="33"/>
  <c r="D46" i="33"/>
  <c r="J62" i="33"/>
  <c r="J61" i="33"/>
  <c r="J60" i="33"/>
  <c r="J59" i="33"/>
  <c r="J58" i="33"/>
  <c r="J56" i="33"/>
  <c r="J55" i="33"/>
  <c r="J54" i="33"/>
  <c r="J53" i="33"/>
  <c r="J52" i="33"/>
  <c r="J50" i="33"/>
  <c r="J49" i="33"/>
  <c r="J48" i="33"/>
  <c r="J47" i="33"/>
  <c r="J46" i="33"/>
  <c r="P62" i="33"/>
  <c r="P61" i="33"/>
  <c r="P60" i="33"/>
  <c r="P59" i="33"/>
  <c r="P58" i="33"/>
  <c r="P56" i="33"/>
  <c r="P55" i="33"/>
  <c r="P54" i="33"/>
  <c r="P53" i="33"/>
  <c r="P52" i="33"/>
  <c r="P50" i="33"/>
  <c r="P49" i="33"/>
  <c r="P48" i="33"/>
  <c r="P47" i="33"/>
  <c r="P46" i="33"/>
  <c r="V62" i="33"/>
  <c r="V61" i="33"/>
  <c r="V60" i="33"/>
  <c r="V59" i="33"/>
  <c r="V58" i="33"/>
  <c r="V56" i="33"/>
  <c r="V55" i="33"/>
  <c r="V54" i="33"/>
  <c r="V53" i="33"/>
  <c r="V52" i="33"/>
  <c r="V50" i="33"/>
  <c r="V49" i="33"/>
  <c r="V48" i="33"/>
  <c r="V47" i="33"/>
  <c r="V46" i="33"/>
  <c r="AB62" i="33"/>
  <c r="AB61" i="33"/>
  <c r="AB60" i="33"/>
  <c r="AB59" i="33"/>
  <c r="AB58" i="33"/>
  <c r="AB56" i="33"/>
  <c r="AB55" i="33"/>
  <c r="AB54" i="33"/>
  <c r="AB53" i="33"/>
  <c r="AB52" i="33"/>
  <c r="AB50" i="33"/>
  <c r="AB49" i="33"/>
  <c r="AB48" i="33"/>
  <c r="AB47" i="33"/>
  <c r="AB46" i="33"/>
  <c r="D14" i="33"/>
  <c r="BM60" i="47" s="1"/>
  <c r="BN59" i="47" s="1"/>
  <c r="D13" i="33"/>
  <c r="BM59" i="47" s="1"/>
  <c r="BN58" i="47" s="1"/>
  <c r="D12" i="33"/>
  <c r="BM58" i="47" s="1"/>
  <c r="BN57" i="47" s="1"/>
  <c r="D11" i="33"/>
  <c r="BM57" i="47" s="1"/>
  <c r="BN56" i="47" s="1"/>
  <c r="D10" i="33"/>
  <c r="BM56" i="47" s="1"/>
  <c r="D20" i="33"/>
  <c r="D19" i="33"/>
  <c r="D18" i="33"/>
  <c r="D17" i="33"/>
  <c r="D16" i="33"/>
  <c r="J14" i="33"/>
  <c r="BM48" i="47" s="1"/>
  <c r="BN47" i="47" s="1"/>
  <c r="J13" i="33"/>
  <c r="BM47" i="47" s="1"/>
  <c r="BN46" i="47" s="1"/>
  <c r="J12" i="33"/>
  <c r="BM46" i="47" s="1"/>
  <c r="BN45" i="47" s="1"/>
  <c r="J11" i="33"/>
  <c r="BM45" i="47" s="1"/>
  <c r="BN44" i="47" s="1"/>
  <c r="J10" i="33"/>
  <c r="BM44" i="47" s="1"/>
  <c r="J20" i="33"/>
  <c r="J19" i="33"/>
  <c r="J18" i="33"/>
  <c r="J17" i="33"/>
  <c r="J16" i="33"/>
  <c r="P20" i="33"/>
  <c r="BM78" i="47" s="1"/>
  <c r="BN77" i="47" s="1"/>
  <c r="P19" i="33"/>
  <c r="BM77" i="47" s="1"/>
  <c r="BN76" i="47" s="1"/>
  <c r="P18" i="33"/>
  <c r="BM76" i="47" s="1"/>
  <c r="BN75" i="47" s="1"/>
  <c r="P17" i="33"/>
  <c r="BM75" i="47" s="1"/>
  <c r="BN74" i="47" s="1"/>
  <c r="P16" i="33"/>
  <c r="BM74" i="47" s="1"/>
  <c r="P14" i="33"/>
  <c r="BM72" i="47" s="1"/>
  <c r="BN71" i="47" s="1"/>
  <c r="P13" i="33"/>
  <c r="BM71" i="47" s="1"/>
  <c r="BN70" i="47" s="1"/>
  <c r="P12" i="33"/>
  <c r="BM70" i="47" s="1"/>
  <c r="BN69" i="47" s="1"/>
  <c r="P11" i="33"/>
  <c r="BM69" i="47" s="1"/>
  <c r="BN68" i="47" s="1"/>
  <c r="P10" i="33"/>
  <c r="BM68" i="47" s="1"/>
  <c r="V14" i="33"/>
  <c r="V13" i="33"/>
  <c r="V12" i="33"/>
  <c r="V11" i="33"/>
  <c r="V10" i="33"/>
  <c r="V20" i="33"/>
  <c r="V19" i="33"/>
  <c r="V18" i="33"/>
  <c r="V17" i="33"/>
  <c r="V16" i="33"/>
  <c r="AB20" i="33"/>
  <c r="BM96" i="47" s="1"/>
  <c r="BN95" i="47" s="1"/>
  <c r="AB19" i="33"/>
  <c r="BM95" i="47" s="1"/>
  <c r="BN94" i="47" s="1"/>
  <c r="AB18" i="33"/>
  <c r="BM94" i="47" s="1"/>
  <c r="BN93" i="47" s="1"/>
  <c r="AB17" i="33"/>
  <c r="BM93" i="47" s="1"/>
  <c r="BN92" i="47" s="1"/>
  <c r="AB16" i="33"/>
  <c r="BM92" i="47" s="1"/>
  <c r="AB14" i="33"/>
  <c r="BM90" i="47" s="1"/>
  <c r="BN89" i="47" s="1"/>
  <c r="AB13" i="33"/>
  <c r="BM89" i="47" s="1"/>
  <c r="BN88" i="47" s="1"/>
  <c r="AB12" i="33"/>
  <c r="BM88" i="47" s="1"/>
  <c r="BN87" i="47" s="1"/>
  <c r="AB11" i="33"/>
  <c r="BM87" i="47" s="1"/>
  <c r="BN86" i="47" s="1"/>
  <c r="AB10" i="33"/>
  <c r="BM86" i="47" s="1"/>
  <c r="AB8" i="33"/>
  <c r="BM84" i="47" s="1"/>
  <c r="BN83" i="47" s="1"/>
  <c r="AB7" i="33"/>
  <c r="BM83" i="47" s="1"/>
  <c r="BN82" i="47" s="1"/>
  <c r="AB6" i="33"/>
  <c r="BM82" i="47" s="1"/>
  <c r="BN81" i="47" s="1"/>
  <c r="AB5" i="33"/>
  <c r="BM81" i="47" s="1"/>
  <c r="BN80" i="47" s="1"/>
  <c r="AB4" i="33"/>
  <c r="BM80" i="47" s="1"/>
  <c r="V8" i="33"/>
  <c r="V7" i="33"/>
  <c r="V6" i="33"/>
  <c r="V5" i="33"/>
  <c r="V4" i="33"/>
  <c r="P8" i="33"/>
  <c r="BM66" i="47" s="1"/>
  <c r="BN65" i="47" s="1"/>
  <c r="P7" i="33"/>
  <c r="BM65" i="47" s="1"/>
  <c r="BN64" i="47" s="1"/>
  <c r="P6" i="33"/>
  <c r="BM64" i="47" s="1"/>
  <c r="BN63" i="47" s="1"/>
  <c r="P5" i="33"/>
  <c r="BM63" i="47" s="1"/>
  <c r="BN62" i="47" s="1"/>
  <c r="P4" i="33"/>
  <c r="BM62" i="47" s="1"/>
  <c r="J8" i="33"/>
  <c r="J7" i="33"/>
  <c r="BM42" i="47" s="1"/>
  <c r="BN41" i="47" s="1"/>
  <c r="J6" i="33"/>
  <c r="J5" i="33"/>
  <c r="J4" i="33"/>
  <c r="BM41" i="47" s="1"/>
  <c r="D8" i="33"/>
  <c r="BM54" i="47" s="1"/>
  <c r="BN53" i="47" s="1"/>
  <c r="D7" i="33"/>
  <c r="BM53" i="47" s="1"/>
  <c r="BN52" i="47" s="1"/>
  <c r="D6" i="33"/>
  <c r="BM52" i="47" s="1"/>
  <c r="BN51" i="47" s="1"/>
  <c r="D5" i="33"/>
  <c r="BM51" i="47" s="1"/>
  <c r="BN50" i="47" s="1"/>
  <c r="D4" i="33"/>
  <c r="BM50" i="47" s="1"/>
  <c r="H122" i="40"/>
  <c r="G122" i="40"/>
  <c r="H121" i="40"/>
  <c r="G121" i="40"/>
  <c r="H119" i="40"/>
  <c r="G119" i="40"/>
  <c r="G118" i="40"/>
  <c r="H112" i="40"/>
  <c r="G112" i="40"/>
  <c r="H113" i="40"/>
  <c r="H111" i="40"/>
  <c r="H110" i="40"/>
  <c r="H109" i="40"/>
  <c r="H108" i="40"/>
  <c r="H107" i="40"/>
  <c r="H106" i="40"/>
  <c r="G106" i="40"/>
  <c r="G166" i="40" l="1"/>
  <c r="G12" i="40"/>
  <c r="G151" i="40"/>
  <c r="G104" i="40"/>
  <c r="G167" i="40" s="1"/>
  <c r="BM51" i="19"/>
  <c r="BN50" i="19" s="1"/>
  <c r="BM51" i="45"/>
  <c r="BN50" i="45" s="1"/>
  <c r="BM51" i="22"/>
  <c r="BN50" i="22" s="1"/>
  <c r="BM51" i="32"/>
  <c r="BN50" i="32" s="1"/>
  <c r="BM41" i="22"/>
  <c r="BM41" i="32"/>
  <c r="BM41" i="45"/>
  <c r="BM41" i="19"/>
  <c r="BM65" i="22"/>
  <c r="BN64" i="22" s="1"/>
  <c r="BM65" i="45"/>
  <c r="BN64" i="45" s="1"/>
  <c r="BM65" i="19"/>
  <c r="BN64" i="19" s="1"/>
  <c r="BM65" i="32"/>
  <c r="BM81" i="22"/>
  <c r="BM81" i="32"/>
  <c r="BN80" i="32" s="1"/>
  <c r="BM81" i="19"/>
  <c r="BN80" i="19" s="1"/>
  <c r="BM81" i="45"/>
  <c r="BN80" i="45" s="1"/>
  <c r="BM86" i="22"/>
  <c r="BM86" i="19"/>
  <c r="BM86" i="32"/>
  <c r="BM86" i="45"/>
  <c r="BM90" i="22"/>
  <c r="BN89" i="22" s="1"/>
  <c r="BM90" i="19"/>
  <c r="BN89" i="19" s="1"/>
  <c r="BM90" i="45"/>
  <c r="BN89" i="45" s="1"/>
  <c r="BM90" i="32"/>
  <c r="BN89" i="32" s="1"/>
  <c r="BM95" i="19"/>
  <c r="BN94" i="19" s="1"/>
  <c r="BM95" i="22"/>
  <c r="BN94" i="22" s="1"/>
  <c r="BM95" i="45"/>
  <c r="BN94" i="45" s="1"/>
  <c r="BM95" i="32"/>
  <c r="BN94" i="32" s="1"/>
  <c r="BM68" i="22"/>
  <c r="BM68" i="19"/>
  <c r="BM68" i="32"/>
  <c r="BM68" i="45"/>
  <c r="BM72" i="45"/>
  <c r="BN71" i="45" s="1"/>
  <c r="BM72" i="19"/>
  <c r="BN71" i="19" s="1"/>
  <c r="BM72" i="22"/>
  <c r="BN71" i="22" s="1"/>
  <c r="BM72" i="32"/>
  <c r="BN71" i="32" s="1"/>
  <c r="BM77" i="22"/>
  <c r="BN76" i="22" s="1"/>
  <c r="BM77" i="19"/>
  <c r="BM77" i="45"/>
  <c r="BN76" i="45" s="1"/>
  <c r="BM77" i="32"/>
  <c r="BN76" i="32" s="1"/>
  <c r="BM45" i="22"/>
  <c r="BN44" i="22" s="1"/>
  <c r="BM45" i="45"/>
  <c r="BN44" i="45" s="1"/>
  <c r="BM45" i="32"/>
  <c r="BN44" i="32" s="1"/>
  <c r="BM45" i="41"/>
  <c r="BN44" i="41" s="1"/>
  <c r="BM45" i="19"/>
  <c r="BN44" i="19" s="1"/>
  <c r="BM59" i="22"/>
  <c r="BN58" i="22" s="1"/>
  <c r="BM59" i="45"/>
  <c r="BN58" i="45" s="1"/>
  <c r="BM59" i="32"/>
  <c r="BN58" i="32" s="1"/>
  <c r="BM59" i="19"/>
  <c r="BN58" i="19" s="1"/>
  <c r="BM52" i="22"/>
  <c r="BN51" i="22" s="1"/>
  <c r="BM52" i="19"/>
  <c r="BN51" i="19" s="1"/>
  <c r="BM52" i="45"/>
  <c r="BN51" i="45" s="1"/>
  <c r="BM52" i="32"/>
  <c r="BN51" i="32" s="1"/>
  <c r="BM62" i="19"/>
  <c r="BM62" i="22"/>
  <c r="BM62" i="45"/>
  <c r="BM62" i="32"/>
  <c r="BM66" i="22"/>
  <c r="BN65" i="22" s="1"/>
  <c r="BM66" i="45"/>
  <c r="BN65" i="45" s="1"/>
  <c r="BM66" i="19"/>
  <c r="BN65" i="19" s="1"/>
  <c r="BM66" i="32"/>
  <c r="BN65" i="32" s="1"/>
  <c r="BM82" i="22"/>
  <c r="BN81" i="22" s="1"/>
  <c r="BM82" i="19"/>
  <c r="BN81" i="19" s="1"/>
  <c r="BM82" i="45"/>
  <c r="BN81" i="45" s="1"/>
  <c r="BM82" i="32"/>
  <c r="BN81" i="32" s="1"/>
  <c r="BM87" i="22"/>
  <c r="BN86" i="22" s="1"/>
  <c r="BM87" i="32"/>
  <c r="BN86" i="32" s="1"/>
  <c r="BM87" i="19"/>
  <c r="BN86" i="19" s="1"/>
  <c r="BM87" i="45"/>
  <c r="BN86" i="45" s="1"/>
  <c r="BM92" i="22"/>
  <c r="BM92" i="19"/>
  <c r="BM92" i="45"/>
  <c r="BM92" i="32"/>
  <c r="BM96" i="22"/>
  <c r="BN95" i="22" s="1"/>
  <c r="BM96" i="19"/>
  <c r="BN95" i="19" s="1"/>
  <c r="BM96" i="32"/>
  <c r="BN95" i="32" s="1"/>
  <c r="BM96" i="45"/>
  <c r="BN95" i="45" s="1"/>
  <c r="BM69" i="19"/>
  <c r="BN68" i="19" s="1"/>
  <c r="BM69" i="45"/>
  <c r="BN68" i="45" s="1"/>
  <c r="BM69" i="32"/>
  <c r="BN68" i="32" s="1"/>
  <c r="BM69" i="22"/>
  <c r="BN68" i="22" s="1"/>
  <c r="BM74" i="32"/>
  <c r="BM74" i="19"/>
  <c r="BM74" i="22"/>
  <c r="BM74" i="45"/>
  <c r="BM78" i="22"/>
  <c r="BN77" i="22" s="1"/>
  <c r="BM78" i="19"/>
  <c r="BN77" i="19" s="1"/>
  <c r="BM78" i="45"/>
  <c r="BN77" i="45" s="1"/>
  <c r="BM78" i="32"/>
  <c r="BN77" i="32" s="1"/>
  <c r="BM46" i="19"/>
  <c r="BN45" i="19" s="1"/>
  <c r="BM46" i="32"/>
  <c r="BN45" i="32" s="1"/>
  <c r="BM46" i="22"/>
  <c r="BN45" i="22" s="1"/>
  <c r="BM46" i="45"/>
  <c r="BN45" i="45" s="1"/>
  <c r="BM46" i="41"/>
  <c r="BN45" i="41" s="1"/>
  <c r="BM56" i="19"/>
  <c r="BM56" i="22"/>
  <c r="BM56" i="45"/>
  <c r="BM56" i="32"/>
  <c r="BM60" i="19"/>
  <c r="BN59" i="19" s="1"/>
  <c r="BM60" i="22"/>
  <c r="BN59" i="22" s="1"/>
  <c r="BM60" i="45"/>
  <c r="BN59" i="45" s="1"/>
  <c r="BM60" i="32"/>
  <c r="BN59" i="32" s="1"/>
  <c r="BM53" i="22"/>
  <c r="BN52" i="22" s="1"/>
  <c r="BM53" i="19"/>
  <c r="BM53" i="45"/>
  <c r="BN52" i="45" s="1"/>
  <c r="BM53" i="32"/>
  <c r="BN52" i="32" s="1"/>
  <c r="BM63" i="22"/>
  <c r="BN62" i="22" s="1"/>
  <c r="BM63" i="45"/>
  <c r="BN62" i="45" s="1"/>
  <c r="BM63" i="19"/>
  <c r="BN62" i="19" s="1"/>
  <c r="BM63" i="32"/>
  <c r="BN62" i="32" s="1"/>
  <c r="BM83" i="22"/>
  <c r="BN82" i="22" s="1"/>
  <c r="BM83" i="19"/>
  <c r="BN82" i="19" s="1"/>
  <c r="BM83" i="32"/>
  <c r="BN82" i="32" s="1"/>
  <c r="BM83" i="45"/>
  <c r="BN82" i="45" s="1"/>
  <c r="BM88" i="22"/>
  <c r="BN87" i="22" s="1"/>
  <c r="BM88" i="19"/>
  <c r="BN87" i="19" s="1"/>
  <c r="BM88" i="45"/>
  <c r="BN87" i="45" s="1"/>
  <c r="BM88" i="32"/>
  <c r="BN87" i="32" s="1"/>
  <c r="BM93" i="19"/>
  <c r="BN92" i="19" s="1"/>
  <c r="BM93" i="22"/>
  <c r="BN92" i="22" s="1"/>
  <c r="BM93" i="45"/>
  <c r="BN92" i="45" s="1"/>
  <c r="BM93" i="32"/>
  <c r="BN92" i="32" s="1"/>
  <c r="BM70" i="22"/>
  <c r="BN69" i="22" s="1"/>
  <c r="BM70" i="19"/>
  <c r="BN69" i="19" s="1"/>
  <c r="BM70" i="32"/>
  <c r="BN69" i="32" s="1"/>
  <c r="BM70" i="45"/>
  <c r="BN69" i="45" s="1"/>
  <c r="BM75" i="22"/>
  <c r="BN74" i="22" s="1"/>
  <c r="BM75" i="19"/>
  <c r="BN74" i="19" s="1"/>
  <c r="BM75" i="45"/>
  <c r="BN74" i="45" s="1"/>
  <c r="BM75" i="32"/>
  <c r="BN74" i="32" s="1"/>
  <c r="BM47" i="22"/>
  <c r="BN46" i="22" s="1"/>
  <c r="BM47" i="45"/>
  <c r="BN46" i="45" s="1"/>
  <c r="BM47" i="32"/>
  <c r="BN46" i="32" s="1"/>
  <c r="BM47" i="41"/>
  <c r="BN46" i="41" s="1"/>
  <c r="BM47" i="19"/>
  <c r="BM57" i="22"/>
  <c r="BN56" i="22" s="1"/>
  <c r="BM57" i="45"/>
  <c r="BN56" i="45" s="1"/>
  <c r="BM57" i="32"/>
  <c r="BN56" i="32" s="1"/>
  <c r="BM57" i="19"/>
  <c r="BN56" i="19" s="1"/>
  <c r="BM50" i="22"/>
  <c r="BM50" i="32"/>
  <c r="BM50" i="19"/>
  <c r="BM50" i="45"/>
  <c r="BM54" i="45"/>
  <c r="BN53" i="45" s="1"/>
  <c r="BM54" i="22"/>
  <c r="BN53" i="22" s="1"/>
  <c r="BM54" i="19"/>
  <c r="BN53" i="19" s="1"/>
  <c r="BM54" i="32"/>
  <c r="BN53" i="32" s="1"/>
  <c r="BM42" i="32"/>
  <c r="BN41" i="32" s="1"/>
  <c r="BM42" i="22"/>
  <c r="BN41" i="22" s="1"/>
  <c r="BM42" i="19"/>
  <c r="BN41" i="19" s="1"/>
  <c r="BM42" i="45"/>
  <c r="BN41" i="45" s="1"/>
  <c r="BM64" i="19"/>
  <c r="BN63" i="19" s="1"/>
  <c r="BM64" i="22"/>
  <c r="BN63" i="22" s="1"/>
  <c r="BM64" i="45"/>
  <c r="BN63" i="45" s="1"/>
  <c r="BM64" i="32"/>
  <c r="BN63" i="32" s="1"/>
  <c r="BM80" i="22"/>
  <c r="BM80" i="19"/>
  <c r="BM80" i="45"/>
  <c r="BM80" i="32"/>
  <c r="BM84" i="22"/>
  <c r="BN83" i="22" s="1"/>
  <c r="BM84" i="19"/>
  <c r="BN83" i="19" s="1"/>
  <c r="BM84" i="32"/>
  <c r="BN83" i="32" s="1"/>
  <c r="BM84" i="45"/>
  <c r="BN83" i="45" s="1"/>
  <c r="BM89" i="22"/>
  <c r="BN88" i="22" s="1"/>
  <c r="BM89" i="19"/>
  <c r="BM89" i="32"/>
  <c r="BN88" i="32" s="1"/>
  <c r="BM89" i="45"/>
  <c r="BN88" i="45" s="1"/>
  <c r="BM94" i="19"/>
  <c r="BN93" i="19" s="1"/>
  <c r="BM94" i="22"/>
  <c r="BN93" i="22" s="1"/>
  <c r="BM94" i="45"/>
  <c r="BN93" i="45" s="1"/>
  <c r="BM94" i="32"/>
  <c r="BN93" i="32" s="1"/>
  <c r="BM71" i="22"/>
  <c r="BN70" i="22" s="1"/>
  <c r="BM71" i="19"/>
  <c r="BN70" i="19" s="1"/>
  <c r="BM71" i="45"/>
  <c r="BN70" i="45" s="1"/>
  <c r="BM71" i="32"/>
  <c r="BN70" i="32" s="1"/>
  <c r="BM76" i="45"/>
  <c r="BN75" i="45" s="1"/>
  <c r="BM76" i="19"/>
  <c r="BN75" i="19" s="1"/>
  <c r="BM76" i="22"/>
  <c r="BN75" i="22" s="1"/>
  <c r="BM76" i="32"/>
  <c r="BN75" i="32" s="1"/>
  <c r="BM44" i="19"/>
  <c r="BM44" i="45"/>
  <c r="BM44" i="22"/>
  <c r="BM44" i="32"/>
  <c r="BM48" i="45"/>
  <c r="BN47" i="45" s="1"/>
  <c r="BM48" i="22"/>
  <c r="BN47" i="22" s="1"/>
  <c r="BM48" i="19"/>
  <c r="BN47" i="19" s="1"/>
  <c r="BM48" i="32"/>
  <c r="BN47" i="32" s="1"/>
  <c r="BM58" i="22"/>
  <c r="BN57" i="22" s="1"/>
  <c r="BM58" i="32"/>
  <c r="BN57" i="32" s="1"/>
  <c r="BM58" i="19"/>
  <c r="BN57" i="19" s="1"/>
  <c r="BM58" i="45"/>
  <c r="BN57" i="45" s="1"/>
  <c r="BM41" i="41"/>
  <c r="BM42" i="41"/>
  <c r="BN41" i="41" s="1"/>
  <c r="BM44" i="41"/>
  <c r="BM48" i="41"/>
  <c r="BN47" i="41" s="1"/>
  <c r="AN73" i="38"/>
  <c r="AN72" i="38"/>
  <c r="AN65" i="38"/>
  <c r="AN64" i="38"/>
  <c r="AN51" i="38"/>
  <c r="AN52" i="38"/>
  <c r="AN53" i="38"/>
  <c r="AN50" i="38"/>
  <c r="AN41" i="38"/>
  <c r="AN42" i="38"/>
  <c r="AN43" i="38"/>
  <c r="AN40" i="38"/>
  <c r="BN64" i="32" l="1"/>
  <c r="BN88" i="19"/>
  <c r="BN52" i="19"/>
  <c r="BN80" i="22"/>
  <c r="BN46" i="19"/>
  <c r="BN76" i="19"/>
  <c r="AQ72" i="38"/>
  <c r="AQ59" i="38"/>
  <c r="I3" i="19" s="1"/>
  <c r="AX78" i="38"/>
  <c r="AQ50" i="38"/>
  <c r="AX25" i="38"/>
  <c r="AQ25" i="38"/>
  <c r="AQ34" i="38"/>
  <c r="AQ18" i="38"/>
  <c r="C18" i="38" s="1"/>
  <c r="AQ21" i="38"/>
  <c r="F34" i="31" s="1"/>
  <c r="AW62" i="38"/>
  <c r="AK64" i="38"/>
  <c r="AK59" i="38"/>
  <c r="AQ13" i="38"/>
  <c r="AQ9" i="38"/>
  <c r="AH46" i="38"/>
  <c r="A53" i="38" l="1"/>
  <c r="A27" i="38"/>
  <c r="N54" i="38"/>
  <c r="N34" i="38"/>
  <c r="I3" i="45"/>
  <c r="AK44" i="38"/>
  <c r="AK41" i="38"/>
  <c r="AH51" i="38" l="1"/>
  <c r="AH50" i="38"/>
  <c r="AH49" i="38"/>
  <c r="AH48" i="38"/>
  <c r="AH47" i="38"/>
  <c r="AK47" i="38"/>
  <c r="AK23" i="38"/>
  <c r="AK15" i="38"/>
  <c r="AK17" i="38"/>
  <c r="AK12" i="38"/>
  <c r="K25" i="38"/>
  <c r="K24" i="38"/>
  <c r="K23" i="38"/>
  <c r="K22" i="38"/>
  <c r="K18" i="38"/>
  <c r="K16" i="38"/>
  <c r="AK37" i="38"/>
  <c r="AK34" i="38"/>
  <c r="AQ6" i="38"/>
  <c r="C41" i="38" s="1"/>
  <c r="A43" i="38" l="1"/>
  <c r="C19" i="38"/>
  <c r="E58" i="38"/>
  <c r="A13" i="38"/>
  <c r="C40" i="38"/>
  <c r="E57" i="38"/>
  <c r="E22" i="31" s="1"/>
  <c r="E56" i="38"/>
  <c r="D22" i="31" s="1"/>
  <c r="J94" i="31" s="1"/>
  <c r="Q100" i="31" s="1"/>
  <c r="AX72" i="38"/>
  <c r="BG23" i="45" s="1"/>
  <c r="Z82" i="29"/>
  <c r="AK6" i="38"/>
  <c r="AH34" i="38" s="1"/>
  <c r="AK48" i="38"/>
  <c r="BP12" i="22"/>
  <c r="J13" i="47"/>
  <c r="J79" i="45"/>
  <c r="J73" i="45"/>
  <c r="J67" i="45"/>
  <c r="J61" i="45"/>
  <c r="J55" i="45"/>
  <c r="J49" i="45"/>
  <c r="J43" i="45"/>
  <c r="J37" i="45"/>
  <c r="J31" i="45"/>
  <c r="J25" i="45"/>
  <c r="J19" i="45"/>
  <c r="J78" i="45"/>
  <c r="J77" i="45"/>
  <c r="J76" i="45"/>
  <c r="J75" i="45"/>
  <c r="J74" i="45"/>
  <c r="J72" i="45"/>
  <c r="J71" i="45"/>
  <c r="J70" i="45"/>
  <c r="J69" i="45"/>
  <c r="J68" i="45"/>
  <c r="J66" i="45"/>
  <c r="J65" i="45"/>
  <c r="J64" i="45"/>
  <c r="J63" i="45"/>
  <c r="J62" i="45"/>
  <c r="J60" i="45"/>
  <c r="J59" i="45"/>
  <c r="J58" i="45"/>
  <c r="J57" i="45"/>
  <c r="J56" i="45"/>
  <c r="J54" i="45"/>
  <c r="J53" i="45"/>
  <c r="J52" i="45"/>
  <c r="J51" i="45"/>
  <c r="J50" i="45"/>
  <c r="J48" i="45"/>
  <c r="J47" i="45"/>
  <c r="J46" i="45"/>
  <c r="J45" i="45"/>
  <c r="J44" i="45"/>
  <c r="J42" i="45"/>
  <c r="J41" i="45"/>
  <c r="J40" i="45"/>
  <c r="J39" i="45"/>
  <c r="J38" i="45"/>
  <c r="J36" i="45"/>
  <c r="J35" i="45"/>
  <c r="J34" i="45"/>
  <c r="J33" i="45"/>
  <c r="J32" i="45"/>
  <c r="R61" i="38"/>
  <c r="J71" i="38" s="1"/>
  <c r="P71" i="38" s="1"/>
  <c r="EO78" i="22"/>
  <c r="EO77" i="22"/>
  <c r="EO76" i="22"/>
  <c r="EO75" i="22"/>
  <c r="EO74" i="22"/>
  <c r="EO72" i="22"/>
  <c r="EO71" i="22"/>
  <c r="EO70" i="22"/>
  <c r="EO69" i="22"/>
  <c r="EO68" i="22"/>
  <c r="EO66" i="22"/>
  <c r="EO65" i="22"/>
  <c r="EO64" i="22"/>
  <c r="EO63" i="22"/>
  <c r="EO62" i="22"/>
  <c r="EO60" i="22"/>
  <c r="EO59" i="22"/>
  <c r="EO58" i="22"/>
  <c r="EO57" i="22"/>
  <c r="EO56" i="22"/>
  <c r="EO54" i="22"/>
  <c r="EO53" i="22"/>
  <c r="EO52" i="22"/>
  <c r="EO51" i="22"/>
  <c r="EO50" i="22"/>
  <c r="EO48" i="22"/>
  <c r="EO47" i="22"/>
  <c r="EO46" i="22"/>
  <c r="EO45" i="22"/>
  <c r="EO44" i="22"/>
  <c r="EO42" i="22"/>
  <c r="EO41" i="22"/>
  <c r="EO40" i="22"/>
  <c r="EO39" i="22"/>
  <c r="EO38" i="22"/>
  <c r="EO36" i="22"/>
  <c r="EO35" i="22"/>
  <c r="EO34" i="22"/>
  <c r="EO78" i="32"/>
  <c r="EO77" i="32"/>
  <c r="EO76" i="32"/>
  <c r="EO75" i="32"/>
  <c r="EO74" i="32"/>
  <c r="EO72" i="32"/>
  <c r="EO71" i="32"/>
  <c r="EO70" i="32"/>
  <c r="EO69" i="32"/>
  <c r="EO66" i="32"/>
  <c r="EO65" i="32"/>
  <c r="EO64" i="32"/>
  <c r="EO63" i="32"/>
  <c r="EO62" i="32"/>
  <c r="EO60" i="32"/>
  <c r="EO59" i="32"/>
  <c r="EO58" i="32"/>
  <c r="EO57" i="32"/>
  <c r="EO56" i="32"/>
  <c r="EO54" i="32"/>
  <c r="EO53" i="32"/>
  <c r="EO52" i="32"/>
  <c r="EO51" i="32"/>
  <c r="EO50" i="32"/>
  <c r="EO48" i="32"/>
  <c r="EO47" i="32"/>
  <c r="EO46" i="32"/>
  <c r="EO45" i="32"/>
  <c r="EO44" i="32"/>
  <c r="EO42" i="32"/>
  <c r="EO41" i="32"/>
  <c r="EO40" i="32"/>
  <c r="EO39" i="32"/>
  <c r="EO38" i="32"/>
  <c r="EO36" i="32"/>
  <c r="EO35" i="32"/>
  <c r="EO34" i="32"/>
  <c r="EO33" i="32"/>
  <c r="EO76" i="41"/>
  <c r="EO75" i="41"/>
  <c r="EO72" i="41"/>
  <c r="EO70" i="41"/>
  <c r="EO69" i="41"/>
  <c r="EO68" i="41"/>
  <c r="EO66" i="41"/>
  <c r="EO64" i="41"/>
  <c r="EO60" i="41"/>
  <c r="EO57" i="41"/>
  <c r="EO52" i="41"/>
  <c r="EO51" i="41"/>
  <c r="EO42" i="41"/>
  <c r="EO40" i="41"/>
  <c r="EO39" i="41"/>
  <c r="EO78" i="47"/>
  <c r="EO77" i="47"/>
  <c r="EO76" i="47"/>
  <c r="EO75" i="47"/>
  <c r="EO71" i="47"/>
  <c r="EO70" i="47"/>
  <c r="EO69" i="47"/>
  <c r="EO64" i="47"/>
  <c r="EO63" i="47"/>
  <c r="EO62" i="47"/>
  <c r="EO60" i="47"/>
  <c r="EO57" i="47"/>
  <c r="EO53" i="47"/>
  <c r="EO50" i="47"/>
  <c r="EO48" i="47"/>
  <c r="EO47" i="47"/>
  <c r="EO45" i="47"/>
  <c r="EO44" i="47"/>
  <c r="EO42" i="47"/>
  <c r="EO39" i="47"/>
  <c r="EO78" i="45"/>
  <c r="EO77" i="45"/>
  <c r="EO76" i="45"/>
  <c r="EO74" i="45"/>
  <c r="EO72" i="45"/>
  <c r="EO71" i="45"/>
  <c r="EO69" i="45"/>
  <c r="EO68" i="45"/>
  <c r="EO66" i="45"/>
  <c r="EO60" i="45"/>
  <c r="EO59" i="45"/>
  <c r="EO57" i="45"/>
  <c r="EO56" i="45"/>
  <c r="EO53" i="45"/>
  <c r="EO50" i="45"/>
  <c r="EO48" i="45"/>
  <c r="EO46" i="45"/>
  <c r="EO45" i="45"/>
  <c r="EO44" i="45"/>
  <c r="EO42" i="45"/>
  <c r="EO41" i="45"/>
  <c r="EO38" i="45"/>
  <c r="EO36" i="45"/>
  <c r="EO34" i="45"/>
  <c r="EO33" i="45"/>
  <c r="Q78" i="41"/>
  <c r="Q77" i="41"/>
  <c r="Q76" i="41"/>
  <c r="Q75" i="41"/>
  <c r="Q74" i="41"/>
  <c r="Q72" i="41"/>
  <c r="Q71" i="41"/>
  <c r="Q70" i="41"/>
  <c r="Q69" i="41"/>
  <c r="Q68" i="41"/>
  <c r="Q78" i="47"/>
  <c r="Q77" i="47"/>
  <c r="Q76" i="47"/>
  <c r="Q75" i="47"/>
  <c r="Q74" i="47"/>
  <c r="Q72" i="47"/>
  <c r="Q71" i="47"/>
  <c r="Q70" i="47"/>
  <c r="Q69" i="47"/>
  <c r="Q78" i="45"/>
  <c r="Q77" i="45"/>
  <c r="Q76" i="45"/>
  <c r="Q74" i="45"/>
  <c r="Q72" i="45"/>
  <c r="Q71" i="45"/>
  <c r="Q69" i="45"/>
  <c r="Q68" i="45"/>
  <c r="J78" i="47"/>
  <c r="J77" i="47"/>
  <c r="J76" i="47"/>
  <c r="J75" i="47"/>
  <c r="J74" i="47"/>
  <c r="J72" i="47"/>
  <c r="J71" i="47"/>
  <c r="J70" i="47"/>
  <c r="J69" i="47"/>
  <c r="J66" i="47"/>
  <c r="J65" i="47"/>
  <c r="J64" i="47"/>
  <c r="J63" i="47"/>
  <c r="J62" i="47"/>
  <c r="J60" i="47"/>
  <c r="J59" i="47"/>
  <c r="J58" i="47"/>
  <c r="J57" i="47"/>
  <c r="J56" i="47"/>
  <c r="J54" i="47"/>
  <c r="J53" i="47"/>
  <c r="J52" i="47"/>
  <c r="J51" i="47"/>
  <c r="J50" i="47"/>
  <c r="J48" i="47"/>
  <c r="J47" i="47"/>
  <c r="J46" i="47"/>
  <c r="J45" i="47"/>
  <c r="J44" i="47"/>
  <c r="J42" i="47"/>
  <c r="J41" i="47"/>
  <c r="J40" i="47"/>
  <c r="J39" i="47"/>
  <c r="J36" i="47"/>
  <c r="J35" i="47"/>
  <c r="J78" i="41"/>
  <c r="J77" i="41"/>
  <c r="J76" i="41"/>
  <c r="J75" i="41"/>
  <c r="J74" i="41"/>
  <c r="J72" i="41"/>
  <c r="J71" i="41"/>
  <c r="J70" i="41"/>
  <c r="J69" i="41"/>
  <c r="J68" i="41"/>
  <c r="J66" i="41"/>
  <c r="J65" i="41"/>
  <c r="J64" i="41"/>
  <c r="J63" i="41"/>
  <c r="J62" i="41"/>
  <c r="J60" i="41"/>
  <c r="J59" i="41"/>
  <c r="J58" i="41"/>
  <c r="J57" i="41"/>
  <c r="J54" i="41"/>
  <c r="J52" i="41"/>
  <c r="J51" i="41"/>
  <c r="J50" i="41"/>
  <c r="J48" i="41"/>
  <c r="J47" i="41"/>
  <c r="J46" i="41"/>
  <c r="J45" i="41"/>
  <c r="J44" i="41"/>
  <c r="J42" i="41"/>
  <c r="J41" i="41"/>
  <c r="J40" i="41"/>
  <c r="J39" i="41"/>
  <c r="J38" i="41"/>
  <c r="J66" i="32"/>
  <c r="J65" i="32"/>
  <c r="J64" i="32"/>
  <c r="J63" i="32"/>
  <c r="J62" i="32"/>
  <c r="J60" i="32"/>
  <c r="J59" i="32"/>
  <c r="J58" i="32"/>
  <c r="J57" i="32"/>
  <c r="J56" i="32"/>
  <c r="J54" i="32"/>
  <c r="J53" i="32"/>
  <c r="J52" i="32"/>
  <c r="J51" i="32"/>
  <c r="J50" i="32"/>
  <c r="J48" i="32"/>
  <c r="J47" i="32"/>
  <c r="J46" i="32"/>
  <c r="J45" i="32"/>
  <c r="J44" i="32"/>
  <c r="J42" i="32"/>
  <c r="J41" i="32"/>
  <c r="J40" i="32"/>
  <c r="J39" i="32"/>
  <c r="J38" i="32"/>
  <c r="J36" i="32"/>
  <c r="J35" i="32"/>
  <c r="J34" i="32"/>
  <c r="J33" i="32"/>
  <c r="J78" i="22"/>
  <c r="J77" i="22"/>
  <c r="J76" i="22"/>
  <c r="J75" i="22"/>
  <c r="J74" i="22"/>
  <c r="J72" i="22"/>
  <c r="J71" i="22"/>
  <c r="J70" i="22"/>
  <c r="J69" i="22"/>
  <c r="J68" i="22"/>
  <c r="J66" i="22"/>
  <c r="J65" i="22"/>
  <c r="J64" i="22"/>
  <c r="J63" i="22"/>
  <c r="J62" i="22"/>
  <c r="J60" i="22"/>
  <c r="J59" i="22"/>
  <c r="J58" i="22"/>
  <c r="J57" i="22"/>
  <c r="J56" i="22"/>
  <c r="J54" i="22"/>
  <c r="J53" i="22"/>
  <c r="J52" i="22"/>
  <c r="J51" i="22"/>
  <c r="J50" i="22"/>
  <c r="J48" i="22"/>
  <c r="J47" i="22"/>
  <c r="J46" i="22"/>
  <c r="J45" i="22"/>
  <c r="J44" i="22"/>
  <c r="J42" i="22"/>
  <c r="J41" i="22"/>
  <c r="J40" i="22"/>
  <c r="J39" i="22"/>
  <c r="J38" i="22"/>
  <c r="J36" i="22"/>
  <c r="J35" i="22"/>
  <c r="J34" i="22"/>
  <c r="G83" i="22"/>
  <c r="G98" i="22" s="1"/>
  <c r="BH30" i="22"/>
  <c r="EQ4" i="22" s="1"/>
  <c r="BH30" i="32"/>
  <c r="EQ4" i="32" s="1"/>
  <c r="R58" i="38"/>
  <c r="C89" i="38" s="1"/>
  <c r="H89" i="38" s="1"/>
  <c r="BG23" i="22"/>
  <c r="BG23" i="32"/>
  <c r="G83" i="47"/>
  <c r="H81" i="47"/>
  <c r="F81" i="47"/>
  <c r="J79" i="47"/>
  <c r="AA78" i="47"/>
  <c r="AA77" i="47"/>
  <c r="AA76" i="47"/>
  <c r="AA75" i="47"/>
  <c r="AA74" i="47"/>
  <c r="J73" i="47"/>
  <c r="AA72" i="47"/>
  <c r="AA71" i="47"/>
  <c r="AA70" i="47"/>
  <c r="AA69" i="47"/>
  <c r="AA68" i="47"/>
  <c r="J67" i="47"/>
  <c r="BP31" i="47"/>
  <c r="BO31" i="47"/>
  <c r="BM31" i="47"/>
  <c r="BK31" i="47"/>
  <c r="AA66" i="47"/>
  <c r="BP30" i="47"/>
  <c r="BO30" i="47"/>
  <c r="BM30" i="47"/>
  <c r="BK30" i="47"/>
  <c r="AA65" i="47"/>
  <c r="BP29" i="47"/>
  <c r="BO29" i="47"/>
  <c r="BM29" i="47"/>
  <c r="BK29" i="47"/>
  <c r="AA64" i="47"/>
  <c r="BP28" i="47"/>
  <c r="BO28" i="47"/>
  <c r="BM28" i="47"/>
  <c r="BK28" i="47"/>
  <c r="AA63" i="47"/>
  <c r="BP27" i="47"/>
  <c r="BO27" i="47"/>
  <c r="BM27" i="47"/>
  <c r="BK27" i="47"/>
  <c r="AA62" i="47"/>
  <c r="BP26" i="47"/>
  <c r="BO26" i="47"/>
  <c r="BM26" i="47"/>
  <c r="BK26" i="47"/>
  <c r="J61" i="47"/>
  <c r="BP25" i="47"/>
  <c r="BO25" i="47"/>
  <c r="BM25" i="47"/>
  <c r="BK25" i="47"/>
  <c r="AA60" i="47"/>
  <c r="BP24" i="47"/>
  <c r="BO24" i="47"/>
  <c r="BM24" i="47"/>
  <c r="BK24" i="47"/>
  <c r="AA59" i="47"/>
  <c r="BP23" i="47"/>
  <c r="BO23" i="47"/>
  <c r="BM23" i="47"/>
  <c r="BK23" i="47"/>
  <c r="AA58" i="47"/>
  <c r="BP22" i="47"/>
  <c r="BO22" i="47"/>
  <c r="BM22" i="47"/>
  <c r="BK22" i="47"/>
  <c r="AA57" i="47"/>
  <c r="BP21" i="47"/>
  <c r="BO21" i="47"/>
  <c r="BM21" i="47"/>
  <c r="BK21" i="47"/>
  <c r="AA56" i="47"/>
  <c r="BP20" i="47"/>
  <c r="BO20" i="47"/>
  <c r="BM20" i="47"/>
  <c r="BK20" i="47"/>
  <c r="J55" i="47"/>
  <c r="BP19" i="47"/>
  <c r="BO19" i="47"/>
  <c r="BM19" i="47"/>
  <c r="BK19" i="47"/>
  <c r="AA54" i="47"/>
  <c r="BP18" i="47"/>
  <c r="BO18" i="47"/>
  <c r="BM18" i="47"/>
  <c r="BK18" i="47"/>
  <c r="AA53" i="47"/>
  <c r="BP17" i="47"/>
  <c r="BO17" i="47"/>
  <c r="BM17" i="47"/>
  <c r="BK17" i="47"/>
  <c r="AA52" i="47"/>
  <c r="BP16" i="47"/>
  <c r="BO16" i="47"/>
  <c r="BM16" i="47"/>
  <c r="BK16" i="47"/>
  <c r="AA51" i="47"/>
  <c r="BP15" i="47"/>
  <c r="BO15" i="47"/>
  <c r="BM15" i="47"/>
  <c r="BK15" i="47"/>
  <c r="AA50" i="47"/>
  <c r="BM14" i="47"/>
  <c r="BK14" i="47"/>
  <c r="J49" i="47"/>
  <c r="BM13" i="47"/>
  <c r="BK13" i="47"/>
  <c r="AA48" i="47"/>
  <c r="BM12" i="47"/>
  <c r="BK12" i="47"/>
  <c r="AA47" i="47"/>
  <c r="AA46" i="47"/>
  <c r="AA45" i="47"/>
  <c r="AA44" i="47"/>
  <c r="J43" i="47"/>
  <c r="BF44" i="47"/>
  <c r="AA42" i="47"/>
  <c r="BF43" i="47"/>
  <c r="AA41" i="47"/>
  <c r="BF42" i="47"/>
  <c r="AA40" i="47"/>
  <c r="BF41" i="47"/>
  <c r="AA39" i="47"/>
  <c r="BF40" i="47"/>
  <c r="AA38" i="47"/>
  <c r="BF39" i="47"/>
  <c r="J37" i="47"/>
  <c r="BF38" i="47"/>
  <c r="AA36" i="47"/>
  <c r="BF37" i="47"/>
  <c r="AA35" i="47"/>
  <c r="BF36" i="47"/>
  <c r="AA34" i="47"/>
  <c r="BF35" i="47"/>
  <c r="AA33" i="47"/>
  <c r="BF34" i="47"/>
  <c r="AA32" i="47"/>
  <c r="BF33" i="47"/>
  <c r="J31" i="47"/>
  <c r="BF32" i="47"/>
  <c r="AA30" i="47"/>
  <c r="BF31" i="47"/>
  <c r="AA29" i="47"/>
  <c r="BH28" i="47"/>
  <c r="BG28" i="47"/>
  <c r="BF30" i="47"/>
  <c r="AA28" i="47"/>
  <c r="BF29" i="47"/>
  <c r="AA27" i="47"/>
  <c r="BF28" i="47"/>
  <c r="AA26" i="47"/>
  <c r="BF27" i="47"/>
  <c r="J25" i="47"/>
  <c r="BF26" i="47"/>
  <c r="AA24" i="47"/>
  <c r="BF25" i="47"/>
  <c r="AA23" i="47"/>
  <c r="AA22" i="47"/>
  <c r="AA21" i="47"/>
  <c r="AA20" i="47"/>
  <c r="J19" i="47"/>
  <c r="AA18" i="47"/>
  <c r="AA17" i="47"/>
  <c r="AA16" i="47"/>
  <c r="AA15" i="47"/>
  <c r="AA14" i="47"/>
  <c r="EH57" i="47"/>
  <c r="EK57" i="47" s="1"/>
  <c r="AA12" i="47"/>
  <c r="AA11" i="47"/>
  <c r="BJ10" i="47"/>
  <c r="BJ11" i="47" s="1"/>
  <c r="BJ12" i="47" s="1"/>
  <c r="AA10" i="47"/>
  <c r="AA9" i="47"/>
  <c r="AA8" i="47"/>
  <c r="ER7" i="47"/>
  <c r="BH6" i="47"/>
  <c r="BG4" i="47"/>
  <c r="BE3" i="47"/>
  <c r="CU4" i="47" s="1"/>
  <c r="I4" i="47" s="1"/>
  <c r="G3" i="47"/>
  <c r="D3" i="47"/>
  <c r="BG4" i="22"/>
  <c r="BG4" i="32"/>
  <c r="BG4" i="41"/>
  <c r="BG4" i="45"/>
  <c r="BG28" i="22"/>
  <c r="EH76" i="22"/>
  <c r="EK76" i="22" s="1"/>
  <c r="EG52" i="22"/>
  <c r="EJ52" i="22" s="1"/>
  <c r="BG28" i="32"/>
  <c r="EG10" i="32"/>
  <c r="BF44" i="41"/>
  <c r="BF43" i="41"/>
  <c r="BF42" i="41"/>
  <c r="BF41" i="41"/>
  <c r="BF40" i="41"/>
  <c r="BF39" i="41"/>
  <c r="BF38" i="41"/>
  <c r="BF37" i="41"/>
  <c r="BF36" i="41"/>
  <c r="BF35" i="41"/>
  <c r="BF34" i="41"/>
  <c r="BF33" i="41"/>
  <c r="BF32" i="41"/>
  <c r="BF31" i="41"/>
  <c r="BH28" i="41"/>
  <c r="BG28" i="41"/>
  <c r="BF30" i="41"/>
  <c r="BF29" i="41"/>
  <c r="BF28" i="41"/>
  <c r="BF27" i="41"/>
  <c r="BF26" i="41"/>
  <c r="BF25" i="41"/>
  <c r="EH54" i="41"/>
  <c r="EG18" i="41"/>
  <c r="EJ18" i="41" s="1"/>
  <c r="BH28" i="45"/>
  <c r="B4" i="45" s="1"/>
  <c r="F81" i="45" s="1"/>
  <c r="BG28" i="45"/>
  <c r="EG78" i="45"/>
  <c r="BG13" i="19"/>
  <c r="EH18" i="19" s="1"/>
  <c r="BG12" i="19"/>
  <c r="D8" i="19" s="1"/>
  <c r="AA78" i="22"/>
  <c r="AA77" i="22"/>
  <c r="AA76" i="22"/>
  <c r="AA75" i="22"/>
  <c r="AA74" i="22"/>
  <c r="AA72" i="22"/>
  <c r="AA71" i="22"/>
  <c r="AA70" i="22"/>
  <c r="AA69" i="22"/>
  <c r="AA68" i="22"/>
  <c r="AA66" i="22"/>
  <c r="AA65" i="22"/>
  <c r="AA64" i="22"/>
  <c r="AA63" i="22"/>
  <c r="AA62" i="22"/>
  <c r="AA60" i="22"/>
  <c r="AA59" i="22"/>
  <c r="AA58" i="22"/>
  <c r="AA57" i="22"/>
  <c r="AA56" i="22"/>
  <c r="AA54" i="22"/>
  <c r="AA53" i="22"/>
  <c r="AA52" i="22"/>
  <c r="AA51" i="22"/>
  <c r="AA50" i="22"/>
  <c r="AA48" i="22"/>
  <c r="AA47" i="22"/>
  <c r="AA46" i="22"/>
  <c r="AA45" i="22"/>
  <c r="AA44" i="22"/>
  <c r="AA42" i="22"/>
  <c r="AA41" i="22"/>
  <c r="AA40" i="22"/>
  <c r="AA39" i="22"/>
  <c r="AA38" i="22"/>
  <c r="AA36" i="22"/>
  <c r="AA35" i="22"/>
  <c r="AA34" i="22"/>
  <c r="AA33" i="22"/>
  <c r="AA32" i="22"/>
  <c r="AA30" i="22"/>
  <c r="AA29" i="22"/>
  <c r="AA28" i="22"/>
  <c r="AA27" i="22"/>
  <c r="AA26" i="22"/>
  <c r="AA24" i="22"/>
  <c r="AA23" i="22"/>
  <c r="AA22" i="22"/>
  <c r="AA21" i="22"/>
  <c r="AA20" i="22"/>
  <c r="AA18" i="22"/>
  <c r="AA17" i="22"/>
  <c r="AA16" i="22"/>
  <c r="AA15" i="22"/>
  <c r="AA14" i="22"/>
  <c r="AA12" i="22"/>
  <c r="AA11" i="22"/>
  <c r="AA10" i="22"/>
  <c r="AA9" i="22"/>
  <c r="AA8" i="22"/>
  <c r="CH11" i="22"/>
  <c r="CI11" i="22"/>
  <c r="BT11" i="22"/>
  <c r="BS11" i="22"/>
  <c r="BR11" i="22"/>
  <c r="BO11" i="22"/>
  <c r="CI31" i="22"/>
  <c r="CH31" i="22"/>
  <c r="CI30" i="22"/>
  <c r="CH30" i="22"/>
  <c r="CI29" i="22"/>
  <c r="CH29" i="22"/>
  <c r="CI28" i="22"/>
  <c r="CH28" i="22"/>
  <c r="CI27" i="22"/>
  <c r="CH27" i="22"/>
  <c r="CI26" i="22"/>
  <c r="CH26" i="22"/>
  <c r="CI25" i="22"/>
  <c r="CH25" i="22"/>
  <c r="CI24" i="22"/>
  <c r="CH24" i="22"/>
  <c r="CI23" i="22"/>
  <c r="CH23" i="22"/>
  <c r="CI22" i="22"/>
  <c r="CH22" i="22"/>
  <c r="CI21" i="22"/>
  <c r="CH21" i="22"/>
  <c r="CI20" i="22"/>
  <c r="CH20" i="22"/>
  <c r="CI19" i="22"/>
  <c r="CH19" i="22"/>
  <c r="CI18" i="22"/>
  <c r="CH18" i="22"/>
  <c r="CI17" i="22"/>
  <c r="CH17" i="22"/>
  <c r="CI16" i="22"/>
  <c r="CH16" i="22"/>
  <c r="CI15" i="22"/>
  <c r="CH15" i="22"/>
  <c r="CI14" i="22"/>
  <c r="CH14" i="22"/>
  <c r="CI13" i="22"/>
  <c r="CH13" i="22"/>
  <c r="CI12" i="22"/>
  <c r="CH12" i="22"/>
  <c r="BO11" i="32"/>
  <c r="CH11" i="32"/>
  <c r="CI11" i="32"/>
  <c r="CI31" i="32"/>
  <c r="CH31" i="32"/>
  <c r="CI30" i="32"/>
  <c r="CH30" i="32"/>
  <c r="CI29" i="32"/>
  <c r="CH29" i="32"/>
  <c r="CI28" i="32"/>
  <c r="CH28" i="32"/>
  <c r="CI27" i="32"/>
  <c r="CH27" i="32"/>
  <c r="CI26" i="32"/>
  <c r="CH26" i="32"/>
  <c r="CI25" i="32"/>
  <c r="CH25" i="32"/>
  <c r="CI24" i="32"/>
  <c r="CH24" i="32"/>
  <c r="CI23" i="32"/>
  <c r="CH23" i="32"/>
  <c r="CI22" i="32"/>
  <c r="CH22" i="32"/>
  <c r="CI21" i="32"/>
  <c r="CH21" i="32"/>
  <c r="CI20" i="32"/>
  <c r="CH20" i="32"/>
  <c r="CI19" i="32"/>
  <c r="CH19" i="32"/>
  <c r="CI18" i="32"/>
  <c r="CH18" i="32"/>
  <c r="CI17" i="32"/>
  <c r="CH17" i="32"/>
  <c r="CI16" i="32"/>
  <c r="CH16" i="32"/>
  <c r="CI15" i="32"/>
  <c r="CH15" i="32"/>
  <c r="CI14" i="32"/>
  <c r="CH14" i="32"/>
  <c r="CI13" i="32"/>
  <c r="CH13" i="32"/>
  <c r="CI12" i="32"/>
  <c r="CH12" i="32"/>
  <c r="BG4" i="19"/>
  <c r="AV19" i="38"/>
  <c r="EQ78" i="19"/>
  <c r="EQ77" i="19"/>
  <c r="EQ76" i="19"/>
  <c r="EQ75" i="19"/>
  <c r="EQ74" i="19"/>
  <c r="EQ72" i="19"/>
  <c r="EQ71" i="19"/>
  <c r="EQ70" i="19"/>
  <c r="EQ69" i="19"/>
  <c r="EQ68" i="19"/>
  <c r="EQ66" i="19"/>
  <c r="EQ65" i="19"/>
  <c r="EQ64" i="19"/>
  <c r="EQ63" i="19"/>
  <c r="EQ62" i="19"/>
  <c r="EQ60" i="19"/>
  <c r="EQ59" i="19"/>
  <c r="EQ58" i="19"/>
  <c r="EQ57" i="19"/>
  <c r="EQ56" i="19"/>
  <c r="EQ54" i="19"/>
  <c r="EQ53" i="19"/>
  <c r="EQ52" i="19"/>
  <c r="EQ51" i="19"/>
  <c r="EQ50" i="19"/>
  <c r="EQ48" i="19"/>
  <c r="EQ47" i="19"/>
  <c r="EQ46" i="19"/>
  <c r="EQ45" i="19"/>
  <c r="EQ44" i="19"/>
  <c r="EQ42" i="19"/>
  <c r="EQ41" i="19"/>
  <c r="EQ40" i="19"/>
  <c r="EQ39" i="19"/>
  <c r="EQ38" i="19"/>
  <c r="EQ36" i="19"/>
  <c r="EQ35" i="19"/>
  <c r="EQ34" i="19"/>
  <c r="EQ33" i="19"/>
  <c r="EQ32" i="19"/>
  <c r="EQ30" i="19"/>
  <c r="EQ29" i="19"/>
  <c r="EQ28" i="19"/>
  <c r="EQ27" i="19"/>
  <c r="EQ26" i="19"/>
  <c r="EQ24" i="19"/>
  <c r="EQ23" i="19"/>
  <c r="EQ21" i="19"/>
  <c r="EQ20" i="19"/>
  <c r="EQ18" i="19"/>
  <c r="EQ17" i="19"/>
  <c r="EQ16" i="19"/>
  <c r="EQ15" i="19"/>
  <c r="EQ14" i="19"/>
  <c r="CH11" i="19"/>
  <c r="CI11" i="19"/>
  <c r="BT11" i="19"/>
  <c r="BS11" i="19"/>
  <c r="BR11" i="19"/>
  <c r="BO11" i="19"/>
  <c r="BJ10" i="19"/>
  <c r="BJ11" i="19" s="1"/>
  <c r="BJ12" i="19" s="1"/>
  <c r="BJ13" i="19" s="1"/>
  <c r="BJ14" i="19" s="1"/>
  <c r="BJ15" i="19" s="1"/>
  <c r="BJ16" i="19" s="1"/>
  <c r="BJ17" i="19" s="1"/>
  <c r="BJ18" i="19" s="1"/>
  <c r="BJ19" i="19" s="1"/>
  <c r="BJ20" i="19" s="1"/>
  <c r="BJ21" i="19" s="1"/>
  <c r="BJ22" i="19" s="1"/>
  <c r="BJ23" i="19" s="1"/>
  <c r="BJ24" i="19" s="1"/>
  <c r="BJ25" i="19" s="1"/>
  <c r="BJ26" i="19" s="1"/>
  <c r="BJ27" i="19" s="1"/>
  <c r="BJ28" i="19" s="1"/>
  <c r="BJ29" i="19" s="1"/>
  <c r="BJ30" i="19" s="1"/>
  <c r="BJ31" i="19" s="1"/>
  <c r="BJ32" i="19" s="1"/>
  <c r="BJ33" i="19" s="1"/>
  <c r="CI31" i="19"/>
  <c r="CH31" i="19"/>
  <c r="CI30" i="19"/>
  <c r="CH30" i="19"/>
  <c r="CI29" i="19"/>
  <c r="CH29" i="19"/>
  <c r="CI28" i="19"/>
  <c r="CH28" i="19"/>
  <c r="CI27" i="19"/>
  <c r="CH27" i="19"/>
  <c r="CI26" i="19"/>
  <c r="CH26" i="19"/>
  <c r="CI25" i="19"/>
  <c r="CH25" i="19"/>
  <c r="CI24" i="19"/>
  <c r="CH24" i="19"/>
  <c r="CI23" i="19"/>
  <c r="CH23" i="19"/>
  <c r="CI22" i="19"/>
  <c r="CH22" i="19"/>
  <c r="CI21" i="19"/>
  <c r="CH21" i="19"/>
  <c r="CI20" i="19"/>
  <c r="CH20" i="19"/>
  <c r="CI19" i="19"/>
  <c r="CH19" i="19"/>
  <c r="CI18" i="19"/>
  <c r="CH18" i="19"/>
  <c r="CI17" i="19"/>
  <c r="CH17" i="19"/>
  <c r="CI16" i="19"/>
  <c r="CH16" i="19"/>
  <c r="CI15" i="19"/>
  <c r="CH15" i="19"/>
  <c r="CI14" i="19"/>
  <c r="CH14" i="19"/>
  <c r="CI13" i="19"/>
  <c r="CH13" i="19"/>
  <c r="BW13" i="19"/>
  <c r="BW14" i="19" s="1"/>
  <c r="BW15" i="19" s="1"/>
  <c r="BW16" i="19" s="1"/>
  <c r="BW17" i="19" s="1"/>
  <c r="BW18" i="19" s="1"/>
  <c r="BW19" i="19" s="1"/>
  <c r="BW20" i="19" s="1"/>
  <c r="BW21" i="19" s="1"/>
  <c r="BW22" i="19" s="1"/>
  <c r="BW23" i="19" s="1"/>
  <c r="BW24" i="19" s="1"/>
  <c r="BW25" i="19" s="1"/>
  <c r="BW26" i="19" s="1"/>
  <c r="BW27" i="19" s="1"/>
  <c r="BW28" i="19" s="1"/>
  <c r="BW29" i="19" s="1"/>
  <c r="BW30" i="19" s="1"/>
  <c r="BW31" i="19" s="1"/>
  <c r="CI12" i="19"/>
  <c r="CH12" i="19"/>
  <c r="G83" i="45"/>
  <c r="H81" i="45"/>
  <c r="EQ78" i="45"/>
  <c r="AA78" i="45"/>
  <c r="EQ77" i="45"/>
  <c r="AA77" i="45"/>
  <c r="EQ76" i="45"/>
  <c r="AA76" i="45"/>
  <c r="EQ75" i="45"/>
  <c r="AA75" i="45"/>
  <c r="EQ74" i="45"/>
  <c r="AA74" i="45"/>
  <c r="EQ72" i="45"/>
  <c r="AA72" i="45"/>
  <c r="EQ71" i="45"/>
  <c r="AA71" i="45"/>
  <c r="EQ70" i="45"/>
  <c r="AA70" i="45"/>
  <c r="EQ69" i="45"/>
  <c r="AA69" i="45"/>
  <c r="EQ68" i="45"/>
  <c r="AA68" i="45"/>
  <c r="EQ66" i="45"/>
  <c r="BO31" i="45"/>
  <c r="AA66" i="45"/>
  <c r="EQ65" i="45"/>
  <c r="BP30" i="45"/>
  <c r="BO30" i="45"/>
  <c r="BM30" i="45"/>
  <c r="BK30" i="45"/>
  <c r="AA65" i="45"/>
  <c r="EQ64" i="45"/>
  <c r="BP29" i="45"/>
  <c r="BO29" i="45"/>
  <c r="BM29" i="45"/>
  <c r="BV29" i="45"/>
  <c r="BK29" i="45"/>
  <c r="AA64" i="45"/>
  <c r="EQ63" i="45"/>
  <c r="BP28" i="45"/>
  <c r="BO28" i="45"/>
  <c r="BM28" i="45"/>
  <c r="BL28" i="45"/>
  <c r="BK28" i="45"/>
  <c r="AA63" i="45"/>
  <c r="EQ62" i="45"/>
  <c r="BP27" i="45"/>
  <c r="BO27" i="45"/>
  <c r="BM27" i="45"/>
  <c r="BK27" i="45"/>
  <c r="AA62" i="45"/>
  <c r="BP26" i="45"/>
  <c r="BO26" i="45"/>
  <c r="BM26" i="45"/>
  <c r="BL26" i="45"/>
  <c r="BK26" i="45"/>
  <c r="EQ60" i="45"/>
  <c r="BP25" i="45"/>
  <c r="BO25" i="45"/>
  <c r="BM25" i="45"/>
  <c r="BV25" i="45"/>
  <c r="BK25" i="45"/>
  <c r="AA60" i="45"/>
  <c r="EQ59" i="45"/>
  <c r="BP24" i="45"/>
  <c r="BO24" i="45"/>
  <c r="BL24" i="45"/>
  <c r="BK24" i="45"/>
  <c r="AA59" i="45"/>
  <c r="EQ58" i="45"/>
  <c r="BP23" i="45"/>
  <c r="BO23" i="45"/>
  <c r="BM23" i="45"/>
  <c r="BV23" i="45"/>
  <c r="BK23" i="45"/>
  <c r="AA58" i="45"/>
  <c r="EQ57" i="45"/>
  <c r="BP22" i="45"/>
  <c r="BO22" i="45"/>
  <c r="BM22" i="45"/>
  <c r="BK22" i="45"/>
  <c r="AA57" i="45"/>
  <c r="EQ56" i="45"/>
  <c r="BP21" i="45"/>
  <c r="BO21" i="45"/>
  <c r="BM21" i="45"/>
  <c r="BV21" i="45"/>
  <c r="BK21" i="45"/>
  <c r="AA56" i="45"/>
  <c r="BP20" i="45"/>
  <c r="BO20" i="45"/>
  <c r="BM20" i="45"/>
  <c r="BL20" i="45"/>
  <c r="BK20" i="45"/>
  <c r="EQ54" i="45"/>
  <c r="BP19" i="45"/>
  <c r="BO19" i="45"/>
  <c r="BM19" i="45"/>
  <c r="BL19" i="45"/>
  <c r="BK19" i="45"/>
  <c r="AA54" i="45"/>
  <c r="EQ53" i="45"/>
  <c r="BP18" i="45"/>
  <c r="BO18" i="45"/>
  <c r="BM18" i="45"/>
  <c r="BV18" i="45"/>
  <c r="BK18" i="45"/>
  <c r="AA53" i="45"/>
  <c r="EQ52" i="45"/>
  <c r="BP17" i="45"/>
  <c r="BO17" i="45"/>
  <c r="BM17" i="45"/>
  <c r="BL17" i="45"/>
  <c r="BK17" i="45"/>
  <c r="AA52" i="45"/>
  <c r="EQ51" i="45"/>
  <c r="BM16" i="45"/>
  <c r="BV16" i="45"/>
  <c r="BK16" i="45"/>
  <c r="AA51" i="45"/>
  <c r="EQ50" i="45"/>
  <c r="BM15" i="45"/>
  <c r="BK15" i="45"/>
  <c r="AA50" i="45"/>
  <c r="BM14" i="45"/>
  <c r="BL14" i="45"/>
  <c r="BK14" i="45"/>
  <c r="EQ48" i="45"/>
  <c r="BM13" i="45"/>
  <c r="BV13" i="45"/>
  <c r="BK13" i="45"/>
  <c r="AA48" i="45"/>
  <c r="EQ47" i="45"/>
  <c r="BM12" i="45"/>
  <c r="BL12" i="45"/>
  <c r="BK12" i="45"/>
  <c r="AA47" i="45"/>
  <c r="EQ46" i="45"/>
  <c r="AA46" i="45"/>
  <c r="EQ45" i="45"/>
  <c r="AA45" i="45"/>
  <c r="EQ44" i="45"/>
  <c r="AA44" i="45"/>
  <c r="EQ42" i="45"/>
  <c r="BF44" i="45"/>
  <c r="AA42" i="45"/>
  <c r="EQ41" i="45"/>
  <c r="BF43" i="45"/>
  <c r="AA41" i="45"/>
  <c r="EQ40" i="45"/>
  <c r="BF42" i="45"/>
  <c r="AA40" i="45"/>
  <c r="EQ39" i="45"/>
  <c r="BF41" i="45"/>
  <c r="AA39" i="45"/>
  <c r="EQ38" i="45"/>
  <c r="BF40" i="45"/>
  <c r="AA38" i="45"/>
  <c r="BF39" i="45"/>
  <c r="EQ36" i="45"/>
  <c r="BF38" i="45"/>
  <c r="AA36" i="45"/>
  <c r="EQ35" i="45"/>
  <c r="BF37" i="45"/>
  <c r="AA35" i="45"/>
  <c r="EQ34" i="45"/>
  <c r="BF36" i="45"/>
  <c r="AA34" i="45"/>
  <c r="EQ33" i="45"/>
  <c r="BF35" i="45"/>
  <c r="AA33" i="45"/>
  <c r="EQ32" i="45"/>
  <c r="BF34" i="45"/>
  <c r="AA32" i="45"/>
  <c r="CI31" i="45"/>
  <c r="CH31" i="45"/>
  <c r="BP31" i="45"/>
  <c r="BM31" i="45"/>
  <c r="BK31" i="45"/>
  <c r="BF33" i="45"/>
  <c r="EQ30" i="45"/>
  <c r="CI30" i="45"/>
  <c r="CH30" i="45"/>
  <c r="BF32" i="45"/>
  <c r="AA30" i="45"/>
  <c r="EQ29" i="45"/>
  <c r="CI29" i="45"/>
  <c r="CH29" i="45"/>
  <c r="BF31" i="45"/>
  <c r="AA29" i="45"/>
  <c r="EQ28" i="45"/>
  <c r="CI28" i="45"/>
  <c r="CH28" i="45"/>
  <c r="BF30" i="45"/>
  <c r="AA28" i="45"/>
  <c r="EQ27" i="45"/>
  <c r="CI27" i="45"/>
  <c r="CH27" i="45"/>
  <c r="BF29" i="45"/>
  <c r="AA27" i="45"/>
  <c r="EQ26" i="45"/>
  <c r="CI26" i="45"/>
  <c r="CH26" i="45"/>
  <c r="BF28" i="45"/>
  <c r="AA26" i="45"/>
  <c r="CI25" i="45"/>
  <c r="CH25" i="45"/>
  <c r="BF27" i="45"/>
  <c r="EQ24" i="45"/>
  <c r="CI24" i="45"/>
  <c r="CH24" i="45"/>
  <c r="BM24" i="45"/>
  <c r="BF26" i="45"/>
  <c r="AA24" i="45"/>
  <c r="EQ23" i="45"/>
  <c r="CI23" i="45"/>
  <c r="CH23" i="45"/>
  <c r="BF25" i="45"/>
  <c r="AA23" i="45"/>
  <c r="EQ22" i="45"/>
  <c r="CI22" i="45"/>
  <c r="CH22" i="45"/>
  <c r="AA22" i="45"/>
  <c r="EQ21" i="45"/>
  <c r="CI21" i="45"/>
  <c r="CH21" i="45"/>
  <c r="AA21" i="45"/>
  <c r="EQ20" i="45"/>
  <c r="CI20" i="45"/>
  <c r="CH20" i="45"/>
  <c r="AA20" i="45"/>
  <c r="CI19" i="45"/>
  <c r="CH19" i="45"/>
  <c r="EQ18" i="45"/>
  <c r="CI18" i="45"/>
  <c r="CH18" i="45"/>
  <c r="BL18" i="45"/>
  <c r="AA18" i="45"/>
  <c r="EQ17" i="45"/>
  <c r="CI17" i="45"/>
  <c r="CH17" i="45"/>
  <c r="AA17" i="45"/>
  <c r="EQ16" i="45"/>
  <c r="CI16" i="45"/>
  <c r="CH16" i="45"/>
  <c r="AA16" i="45"/>
  <c r="EQ15" i="45"/>
  <c r="CI15" i="45"/>
  <c r="CH15" i="45"/>
  <c r="AA15" i="45"/>
  <c r="EQ14" i="45"/>
  <c r="CI14" i="45"/>
  <c r="CH14" i="45"/>
  <c r="AA14" i="45"/>
  <c r="CI13" i="45"/>
  <c r="CH13" i="45"/>
  <c r="BW13" i="45"/>
  <c r="BW14" i="45" s="1"/>
  <c r="BW15" i="45" s="1"/>
  <c r="BW16" i="45" s="1"/>
  <c r="BW17" i="45" s="1"/>
  <c r="BW18" i="45" s="1"/>
  <c r="BW19" i="45" s="1"/>
  <c r="BW20" i="45" s="1"/>
  <c r="BW21" i="45" s="1"/>
  <c r="BW22" i="45" s="1"/>
  <c r="BW23" i="45" s="1"/>
  <c r="BW24" i="45" s="1"/>
  <c r="BW25" i="45" s="1"/>
  <c r="BW26" i="45" s="1"/>
  <c r="BW27" i="45" s="1"/>
  <c r="BW28" i="45" s="1"/>
  <c r="BW29" i="45" s="1"/>
  <c r="BW30" i="45" s="1"/>
  <c r="BW31" i="45" s="1"/>
  <c r="J13" i="45"/>
  <c r="EQ12" i="45"/>
  <c r="CI12" i="45"/>
  <c r="CH12" i="45"/>
  <c r="AA12" i="45"/>
  <c r="EQ11" i="45"/>
  <c r="CI11" i="45"/>
  <c r="CH11" i="45"/>
  <c r="BT11" i="45"/>
  <c r="BS11" i="45"/>
  <c r="BR11" i="45"/>
  <c r="BO11" i="45"/>
  <c r="AA11" i="45"/>
  <c r="EQ10" i="45"/>
  <c r="BJ10" i="45"/>
  <c r="BJ11" i="45" s="1"/>
  <c r="BJ12" i="45" s="1"/>
  <c r="BJ13" i="45" s="1"/>
  <c r="BJ14" i="45" s="1"/>
  <c r="BJ15" i="45" s="1"/>
  <c r="BJ16" i="45" s="1"/>
  <c r="BJ17" i="45" s="1"/>
  <c r="BJ18" i="45" s="1"/>
  <c r="BJ19" i="45" s="1"/>
  <c r="BJ20" i="45" s="1"/>
  <c r="BJ21" i="45" s="1"/>
  <c r="BJ22" i="45" s="1"/>
  <c r="BJ23" i="45" s="1"/>
  <c r="BJ24" i="45" s="1"/>
  <c r="BJ25" i="45" s="1"/>
  <c r="BJ26" i="45" s="1"/>
  <c r="BJ27" i="45" s="1"/>
  <c r="BJ28" i="45" s="1"/>
  <c r="BJ29" i="45" s="1"/>
  <c r="BJ30" i="45" s="1"/>
  <c r="BJ31" i="45" s="1"/>
  <c r="BJ32" i="45" s="1"/>
  <c r="BJ33" i="45" s="1"/>
  <c r="AA10" i="45"/>
  <c r="EQ9" i="45"/>
  <c r="AA9" i="45"/>
  <c r="EQ8" i="45"/>
  <c r="AA8" i="45"/>
  <c r="ER7" i="45"/>
  <c r="BH6" i="45"/>
  <c r="BG5" i="45"/>
  <c r="BE3" i="45"/>
  <c r="K3" i="45"/>
  <c r="I82" i="45" s="1"/>
  <c r="G3" i="45"/>
  <c r="D3" i="45"/>
  <c r="EQ72" i="41"/>
  <c r="EQ71" i="41"/>
  <c r="EQ70" i="41"/>
  <c r="EQ69" i="41"/>
  <c r="EQ68" i="41"/>
  <c r="EQ66" i="41"/>
  <c r="EQ65" i="41"/>
  <c r="EQ64" i="41"/>
  <c r="EQ63" i="41"/>
  <c r="EQ62" i="41"/>
  <c r="EQ60" i="41"/>
  <c r="EQ59" i="41"/>
  <c r="EQ58" i="41"/>
  <c r="EQ57" i="41"/>
  <c r="EQ56" i="41"/>
  <c r="EQ54" i="41"/>
  <c r="EQ53" i="41"/>
  <c r="EQ52" i="41"/>
  <c r="EQ51" i="41"/>
  <c r="EQ50" i="41"/>
  <c r="EQ48" i="41"/>
  <c r="EQ47" i="41"/>
  <c r="EQ46" i="41"/>
  <c r="EQ45" i="41"/>
  <c r="EQ44" i="41"/>
  <c r="EQ42" i="41"/>
  <c r="EQ41" i="41"/>
  <c r="EQ40" i="41"/>
  <c r="EQ39" i="41"/>
  <c r="EQ38" i="41"/>
  <c r="EQ36" i="41"/>
  <c r="EQ35" i="41"/>
  <c r="EQ34" i="41"/>
  <c r="EQ33" i="41"/>
  <c r="EQ32" i="41"/>
  <c r="EQ30" i="41"/>
  <c r="EQ29" i="41"/>
  <c r="EQ28" i="41"/>
  <c r="EQ27" i="41"/>
  <c r="EQ26" i="41"/>
  <c r="EQ24" i="41"/>
  <c r="EQ23" i="41"/>
  <c r="EQ22" i="41"/>
  <c r="EQ21" i="41"/>
  <c r="EQ20" i="41"/>
  <c r="EQ18" i="41"/>
  <c r="EQ17" i="41"/>
  <c r="EQ16" i="41"/>
  <c r="EQ15" i="41"/>
  <c r="EQ14" i="41"/>
  <c r="EQ78" i="41"/>
  <c r="EQ77" i="41"/>
  <c r="EQ76" i="41"/>
  <c r="EQ75" i="41"/>
  <c r="EQ74" i="41"/>
  <c r="BS50" i="41"/>
  <c r="BR50" i="41"/>
  <c r="BO11" i="41"/>
  <c r="CH54" i="41"/>
  <c r="CI54" i="41"/>
  <c r="CH60" i="41"/>
  <c r="CI60" i="41"/>
  <c r="CH66" i="41"/>
  <c r="CI66" i="41"/>
  <c r="CH72" i="41"/>
  <c r="CI72" i="41"/>
  <c r="CH78" i="41"/>
  <c r="CI78" i="41"/>
  <c r="CH84" i="41"/>
  <c r="CI84" i="41"/>
  <c r="CH96" i="41"/>
  <c r="CI96" i="41"/>
  <c r="CH28" i="41"/>
  <c r="CI28" i="41"/>
  <c r="CH29" i="41"/>
  <c r="CI29" i="41"/>
  <c r="CH30" i="41"/>
  <c r="CI30" i="41"/>
  <c r="CH31" i="41"/>
  <c r="CI31" i="41"/>
  <c r="F62" i="33"/>
  <c r="E62" i="33"/>
  <c r="F61" i="33"/>
  <c r="E61" i="33"/>
  <c r="F60" i="33"/>
  <c r="E60" i="33"/>
  <c r="F59" i="33"/>
  <c r="E59" i="33"/>
  <c r="F58" i="33"/>
  <c r="E58" i="33"/>
  <c r="J79" i="22"/>
  <c r="J73" i="22"/>
  <c r="AA78" i="32"/>
  <c r="AA77" i="32"/>
  <c r="AA76" i="32"/>
  <c r="AA75" i="32"/>
  <c r="AA74" i="32"/>
  <c r="AA72" i="32"/>
  <c r="AA71" i="32"/>
  <c r="AA70" i="32"/>
  <c r="AA69" i="32"/>
  <c r="AA68" i="32"/>
  <c r="AA66" i="32"/>
  <c r="AA65" i="32"/>
  <c r="AA64" i="32"/>
  <c r="AA63" i="32"/>
  <c r="AA62" i="32"/>
  <c r="AA60" i="32"/>
  <c r="AA59" i="32"/>
  <c r="AA58" i="32"/>
  <c r="AA57" i="32"/>
  <c r="AA56" i="32"/>
  <c r="AA54" i="32"/>
  <c r="AA53" i="32"/>
  <c r="AA52" i="32"/>
  <c r="AA51" i="32"/>
  <c r="AA50" i="32"/>
  <c r="AA48" i="32"/>
  <c r="AA47" i="32"/>
  <c r="AA46" i="32"/>
  <c r="AA45" i="32"/>
  <c r="AA44" i="32"/>
  <c r="AA42" i="32"/>
  <c r="AA41" i="32"/>
  <c r="AA40" i="32"/>
  <c r="AA39" i="32"/>
  <c r="AA38" i="32"/>
  <c r="AA36" i="32"/>
  <c r="AA35" i="32"/>
  <c r="AA34" i="32"/>
  <c r="AA33" i="32"/>
  <c r="AA32" i="32"/>
  <c r="AA30" i="32"/>
  <c r="AA29" i="32"/>
  <c r="AA28" i="32"/>
  <c r="AA27" i="32"/>
  <c r="AA26" i="32"/>
  <c r="AA24" i="32"/>
  <c r="AA23" i="32"/>
  <c r="AA22" i="32"/>
  <c r="AA21" i="32"/>
  <c r="AA20" i="32"/>
  <c r="AA18" i="32"/>
  <c r="AA17" i="32"/>
  <c r="AA16" i="32"/>
  <c r="AA15" i="32"/>
  <c r="AA14" i="32"/>
  <c r="AA12" i="32"/>
  <c r="AA11" i="32"/>
  <c r="AA10" i="32"/>
  <c r="AA9" i="32"/>
  <c r="AA8" i="32"/>
  <c r="J79" i="32"/>
  <c r="J73" i="32"/>
  <c r="EE79" i="32"/>
  <c r="EC79" i="32"/>
  <c r="AN15" i="36"/>
  <c r="AM15" i="36"/>
  <c r="AN14" i="36"/>
  <c r="AM14" i="36"/>
  <c r="AN13" i="36"/>
  <c r="AM13" i="36"/>
  <c r="AN12" i="36"/>
  <c r="AM12" i="36"/>
  <c r="AN11" i="36"/>
  <c r="AM11" i="36"/>
  <c r="AN10" i="36"/>
  <c r="AM10" i="36"/>
  <c r="AN9" i="36"/>
  <c r="AM9" i="36"/>
  <c r="AK15" i="36"/>
  <c r="AJ15" i="36"/>
  <c r="AK14" i="36"/>
  <c r="AJ14" i="36"/>
  <c r="AK13" i="36"/>
  <c r="AJ13" i="36"/>
  <c r="AK12" i="36"/>
  <c r="AJ12" i="36"/>
  <c r="AK11" i="36"/>
  <c r="AJ11" i="36"/>
  <c r="AK10" i="36"/>
  <c r="AJ10" i="36"/>
  <c r="AK9" i="36"/>
  <c r="AJ9" i="36"/>
  <c r="AL15" i="36"/>
  <c r="AL14" i="36"/>
  <c r="AL13" i="36"/>
  <c r="AL12" i="36"/>
  <c r="AL11" i="36"/>
  <c r="AL10" i="36"/>
  <c r="AL9" i="36"/>
  <c r="J79" i="41"/>
  <c r="AA78" i="41"/>
  <c r="AA77" i="41"/>
  <c r="AA76" i="41"/>
  <c r="AA75" i="41"/>
  <c r="AA74" i="41"/>
  <c r="J73" i="41"/>
  <c r="AA72" i="41"/>
  <c r="AA71" i="41"/>
  <c r="AA70" i="41"/>
  <c r="AA69" i="41"/>
  <c r="AA68" i="41"/>
  <c r="AA78" i="19"/>
  <c r="AA77" i="19"/>
  <c r="AA76" i="19"/>
  <c r="AA75" i="19"/>
  <c r="AA74" i="19"/>
  <c r="AA72" i="19"/>
  <c r="AA71" i="19"/>
  <c r="AA70" i="19"/>
  <c r="AA69" i="19"/>
  <c r="AA68" i="19"/>
  <c r="AN57" i="19"/>
  <c r="BO21" i="19" s="1"/>
  <c r="BO20" i="41"/>
  <c r="BP19" i="32"/>
  <c r="J67" i="22"/>
  <c r="J61" i="22"/>
  <c r="J55" i="22"/>
  <c r="J49" i="22"/>
  <c r="J43" i="22"/>
  <c r="J37" i="22"/>
  <c r="J31" i="22"/>
  <c r="J25" i="22"/>
  <c r="J19" i="22"/>
  <c r="J13" i="22"/>
  <c r="J67" i="32"/>
  <c r="J61" i="32"/>
  <c r="J55" i="32"/>
  <c r="J49" i="32"/>
  <c r="J43" i="32"/>
  <c r="J37" i="32"/>
  <c r="J31" i="32"/>
  <c r="J25" i="32"/>
  <c r="J19" i="32"/>
  <c r="J13" i="32"/>
  <c r="J43" i="41"/>
  <c r="J67" i="41"/>
  <c r="J61" i="41"/>
  <c r="J55" i="41"/>
  <c r="J49" i="41"/>
  <c r="J37" i="41"/>
  <c r="J31" i="41"/>
  <c r="J25" i="41"/>
  <c r="J19" i="41"/>
  <c r="J13" i="41"/>
  <c r="G113" i="40"/>
  <c r="G111" i="40"/>
  <c r="G174" i="40" s="1"/>
  <c r="G110" i="40"/>
  <c r="G109" i="40"/>
  <c r="G172" i="40" s="1"/>
  <c r="G108" i="40"/>
  <c r="G171" i="40" s="1"/>
  <c r="G107" i="40"/>
  <c r="G170" i="40" s="1"/>
  <c r="G169" i="40"/>
  <c r="H105" i="40"/>
  <c r="H168" i="40" s="1"/>
  <c r="G105" i="40"/>
  <c r="G168" i="40" s="1"/>
  <c r="N5" i="38"/>
  <c r="K33" i="38"/>
  <c r="CI27" i="41"/>
  <c r="CH27" i="41"/>
  <c r="CI26" i="41"/>
  <c r="CH26" i="41"/>
  <c r="CI25" i="41"/>
  <c r="CH25" i="41"/>
  <c r="CI24" i="41"/>
  <c r="CH24" i="41"/>
  <c r="CI23" i="41"/>
  <c r="CH23" i="41"/>
  <c r="CI22" i="41"/>
  <c r="CH22" i="41"/>
  <c r="CI21" i="41"/>
  <c r="CH21" i="41"/>
  <c r="CI20" i="41"/>
  <c r="CH20" i="41"/>
  <c r="CI19" i="41"/>
  <c r="CH19" i="41"/>
  <c r="CI18" i="41"/>
  <c r="CH18" i="41"/>
  <c r="CI17" i="41"/>
  <c r="CH17" i="41"/>
  <c r="CI16" i="41"/>
  <c r="CH16" i="41"/>
  <c r="CI15" i="41"/>
  <c r="CH15" i="41"/>
  <c r="CI14" i="41"/>
  <c r="CH14" i="41"/>
  <c r="CI13" i="41"/>
  <c r="CH13" i="41"/>
  <c r="CI12" i="41"/>
  <c r="CH12" i="41"/>
  <c r="AP49" i="19"/>
  <c r="BT13" i="19" s="1"/>
  <c r="AP50" i="19"/>
  <c r="BT14" i="19" s="1"/>
  <c r="AP51" i="19"/>
  <c r="BT15" i="19" s="1"/>
  <c r="AP52" i="19"/>
  <c r="BT16" i="19" s="1"/>
  <c r="AP53" i="19"/>
  <c r="BT17" i="19" s="1"/>
  <c r="AP54" i="19"/>
  <c r="BT18" i="19" s="1"/>
  <c r="AP55" i="19"/>
  <c r="BT19" i="19" s="1"/>
  <c r="AP56" i="19"/>
  <c r="BT20" i="19" s="1"/>
  <c r="AP57" i="19"/>
  <c r="BT21" i="19" s="1"/>
  <c r="AP58" i="19"/>
  <c r="BT22" i="19" s="1"/>
  <c r="AP59" i="19"/>
  <c r="BT23" i="19" s="1"/>
  <c r="AP60" i="19"/>
  <c r="BT24" i="19" s="1"/>
  <c r="AP61" i="19"/>
  <c r="BT25" i="19" s="1"/>
  <c r="AP62" i="19"/>
  <c r="BT26" i="19" s="1"/>
  <c r="AP63" i="19"/>
  <c r="BT27" i="19" s="1"/>
  <c r="AP64" i="19"/>
  <c r="BT28" i="19" s="1"/>
  <c r="AP65" i="19"/>
  <c r="BT29" i="19" s="1"/>
  <c r="AP66" i="19"/>
  <c r="BT30" i="19" s="1"/>
  <c r="AP67" i="19"/>
  <c r="BT31" i="19" s="1"/>
  <c r="AP48" i="19"/>
  <c r="BT12" i="19" s="1"/>
  <c r="BM51" i="41"/>
  <c r="BN50" i="41" s="1"/>
  <c r="BM52" i="41"/>
  <c r="BN51" i="41" s="1"/>
  <c r="BM53" i="41"/>
  <c r="BN52" i="41" s="1"/>
  <c r="BM54" i="41"/>
  <c r="BN53" i="41" s="1"/>
  <c r="BM56" i="41"/>
  <c r="BM57" i="41"/>
  <c r="BN56" i="41" s="1"/>
  <c r="BM58" i="41"/>
  <c r="BN57" i="41" s="1"/>
  <c r="BM59" i="41"/>
  <c r="BN58" i="41" s="1"/>
  <c r="BM60" i="41"/>
  <c r="BN59" i="41" s="1"/>
  <c r="U37" i="33"/>
  <c r="U31" i="33"/>
  <c r="U25" i="33"/>
  <c r="U58" i="33"/>
  <c r="U52" i="33"/>
  <c r="U46" i="33"/>
  <c r="BE3" i="22"/>
  <c r="BE3" i="32"/>
  <c r="CM4" i="32" s="1"/>
  <c r="BE3" i="41"/>
  <c r="BE59" i="41" s="1"/>
  <c r="H199" i="40"/>
  <c r="G199" i="40"/>
  <c r="H198" i="40"/>
  <c r="G198" i="40"/>
  <c r="H197" i="40"/>
  <c r="G197" i="40"/>
  <c r="H196" i="40"/>
  <c r="G196" i="40"/>
  <c r="H195" i="40"/>
  <c r="G195" i="40"/>
  <c r="H194" i="40"/>
  <c r="G194" i="40"/>
  <c r="H189" i="40"/>
  <c r="G189" i="40"/>
  <c r="H188" i="40"/>
  <c r="G188" i="40"/>
  <c r="H187" i="40"/>
  <c r="G187" i="40"/>
  <c r="H186" i="40"/>
  <c r="G186" i="40"/>
  <c r="H185" i="40"/>
  <c r="G185" i="40"/>
  <c r="H184" i="40"/>
  <c r="G184" i="40"/>
  <c r="H183" i="40"/>
  <c r="G183" i="40"/>
  <c r="H182" i="40"/>
  <c r="G182" i="40"/>
  <c r="H181" i="40"/>
  <c r="G181" i="40"/>
  <c r="H176" i="40"/>
  <c r="H175" i="40"/>
  <c r="H174" i="40"/>
  <c r="H173" i="40"/>
  <c r="H172" i="40"/>
  <c r="H171" i="40"/>
  <c r="H170" i="40"/>
  <c r="H169" i="40"/>
  <c r="B24" i="43"/>
  <c r="B23" i="43"/>
  <c r="B25" i="43"/>
  <c r="M197" i="40"/>
  <c r="M194" i="40"/>
  <c r="U191" i="40"/>
  <c r="E191" i="40" s="1"/>
  <c r="M191" i="40"/>
  <c r="E190" i="40"/>
  <c r="D190" i="40"/>
  <c r="M187" i="40"/>
  <c r="M184" i="40"/>
  <c r="W181" i="40"/>
  <c r="W171" i="40" s="1"/>
  <c r="W184" i="40" s="1"/>
  <c r="W194" i="40" s="1"/>
  <c r="W174" i="40" s="1"/>
  <c r="W187" i="40" s="1"/>
  <c r="W197" i="40" s="1"/>
  <c r="W191" i="40" s="1"/>
  <c r="M181" i="40"/>
  <c r="E177" i="40"/>
  <c r="D177" i="40"/>
  <c r="M174" i="40"/>
  <c r="M171" i="40"/>
  <c r="M168" i="40"/>
  <c r="E164" i="40"/>
  <c r="D164" i="40"/>
  <c r="C164" i="40"/>
  <c r="M144" i="40"/>
  <c r="E144" i="40"/>
  <c r="D144" i="40"/>
  <c r="C144" i="40"/>
  <c r="M134" i="40"/>
  <c r="M131" i="40"/>
  <c r="U128" i="40"/>
  <c r="E128" i="40" s="1"/>
  <c r="M128" i="40"/>
  <c r="E127" i="40"/>
  <c r="D127" i="40"/>
  <c r="M124" i="40"/>
  <c r="M121" i="40"/>
  <c r="W118" i="40"/>
  <c r="W108" i="40" s="1"/>
  <c r="W121" i="40" s="1"/>
  <c r="W131" i="40" s="1"/>
  <c r="W111" i="40" s="1"/>
  <c r="W124" i="40" s="1"/>
  <c r="W134" i="40" s="1"/>
  <c r="W128" i="40" s="1"/>
  <c r="M118" i="40"/>
  <c r="E114" i="40"/>
  <c r="D114" i="40"/>
  <c r="M111" i="40"/>
  <c r="M108" i="40"/>
  <c r="M105" i="40"/>
  <c r="E101" i="40"/>
  <c r="D101" i="40"/>
  <c r="C101" i="40"/>
  <c r="M81" i="40"/>
  <c r="E81" i="40"/>
  <c r="D81" i="40"/>
  <c r="C81" i="40"/>
  <c r="AA2" i="36"/>
  <c r="D32" i="36"/>
  <c r="AQ10" i="36"/>
  <c r="AQ11" i="36" s="1"/>
  <c r="AQ12" i="36" s="1"/>
  <c r="AQ13" i="36" s="1"/>
  <c r="AQ14" i="36" s="1"/>
  <c r="AQ15" i="36" s="1"/>
  <c r="AH10" i="36"/>
  <c r="AH11" i="36" s="1"/>
  <c r="AH12" i="36" s="1"/>
  <c r="AH13" i="36" s="1"/>
  <c r="AH14" i="36" s="1"/>
  <c r="AH15" i="36" s="1"/>
  <c r="BE3" i="19"/>
  <c r="BH24" i="19" s="1"/>
  <c r="I19" i="31"/>
  <c r="I25" i="31" s="1"/>
  <c r="C45" i="38"/>
  <c r="C37" i="38"/>
  <c r="C36" i="38"/>
  <c r="AV76" i="38"/>
  <c r="AV75" i="38"/>
  <c r="AX59" i="38"/>
  <c r="AY59" i="38"/>
  <c r="M59" i="38" s="1"/>
  <c r="AX58" i="38"/>
  <c r="AY58" i="38"/>
  <c r="M58" i="38" s="1"/>
  <c r="AX57" i="38"/>
  <c r="AY57" i="38"/>
  <c r="M57" i="38" s="1"/>
  <c r="AX49" i="38"/>
  <c r="AY49" i="38"/>
  <c r="AX48" i="38"/>
  <c r="AY48" i="38"/>
  <c r="AX47" i="38"/>
  <c r="AY47" i="38"/>
  <c r="AX39" i="38"/>
  <c r="AY39" i="38"/>
  <c r="AX38" i="38"/>
  <c r="AY38" i="38"/>
  <c r="AX37" i="38"/>
  <c r="AY37" i="38"/>
  <c r="AW16" i="38"/>
  <c r="AW15" i="38"/>
  <c r="AW14" i="38"/>
  <c r="N36" i="38" s="1"/>
  <c r="AW13" i="38"/>
  <c r="M46" i="38" s="1"/>
  <c r="AD62" i="33"/>
  <c r="AC62" i="33"/>
  <c r="AD61" i="33"/>
  <c r="AC61" i="33"/>
  <c r="AD60" i="33"/>
  <c r="AC60" i="33"/>
  <c r="AD59" i="33"/>
  <c r="AC59" i="33"/>
  <c r="AD58" i="33"/>
  <c r="AC58" i="33"/>
  <c r="AD56" i="33"/>
  <c r="AC56" i="33"/>
  <c r="AD55" i="33"/>
  <c r="AC55" i="33"/>
  <c r="AD54" i="33"/>
  <c r="AC54" i="33"/>
  <c r="AD53" i="33"/>
  <c r="AC53" i="33"/>
  <c r="AD52" i="33"/>
  <c r="AC52" i="33"/>
  <c r="AD50" i="33"/>
  <c r="AC50" i="33"/>
  <c r="AD49" i="33"/>
  <c r="AC49" i="33"/>
  <c r="AD48" i="33"/>
  <c r="AC48" i="33"/>
  <c r="AD47" i="33"/>
  <c r="AC47" i="33"/>
  <c r="AD46" i="33"/>
  <c r="AC46" i="33"/>
  <c r="X62" i="33"/>
  <c r="W62" i="33"/>
  <c r="X61" i="33"/>
  <c r="W61" i="33"/>
  <c r="X60" i="33"/>
  <c r="W60" i="33"/>
  <c r="X59" i="33"/>
  <c r="W59" i="33"/>
  <c r="X58" i="33"/>
  <c r="W58" i="33"/>
  <c r="X56" i="33"/>
  <c r="W56" i="33"/>
  <c r="X55" i="33"/>
  <c r="W55" i="33"/>
  <c r="X54" i="33"/>
  <c r="W54" i="33"/>
  <c r="X53" i="33"/>
  <c r="W53" i="33"/>
  <c r="X52" i="33"/>
  <c r="W52" i="33"/>
  <c r="X50" i="33"/>
  <c r="W50" i="33"/>
  <c r="X49" i="33"/>
  <c r="W49" i="33"/>
  <c r="X48" i="33"/>
  <c r="W48" i="33"/>
  <c r="X47" i="33"/>
  <c r="W47" i="33"/>
  <c r="X46" i="33"/>
  <c r="W46" i="33"/>
  <c r="R62" i="33"/>
  <c r="Q62" i="33"/>
  <c r="R61" i="33"/>
  <c r="Q61" i="33"/>
  <c r="R60" i="33"/>
  <c r="Q60" i="33"/>
  <c r="R59" i="33"/>
  <c r="Q59" i="33"/>
  <c r="R58" i="33"/>
  <c r="Q58" i="33"/>
  <c r="R56" i="33"/>
  <c r="Q56" i="33"/>
  <c r="R55" i="33"/>
  <c r="Q55" i="33"/>
  <c r="R54" i="33"/>
  <c r="Q54" i="33"/>
  <c r="R53" i="33"/>
  <c r="Q53" i="33"/>
  <c r="R52" i="33"/>
  <c r="Q52" i="33"/>
  <c r="R50" i="33"/>
  <c r="Q50" i="33"/>
  <c r="R49" i="33"/>
  <c r="Q49" i="33"/>
  <c r="R48" i="33"/>
  <c r="Q48" i="33"/>
  <c r="R47" i="33"/>
  <c r="Q47" i="33"/>
  <c r="R46" i="33"/>
  <c r="Q46" i="33"/>
  <c r="L62" i="33"/>
  <c r="K62" i="33"/>
  <c r="L61" i="33"/>
  <c r="K61" i="33"/>
  <c r="L60" i="33"/>
  <c r="K60" i="33"/>
  <c r="L59" i="33"/>
  <c r="K59" i="33"/>
  <c r="L58" i="33"/>
  <c r="K58" i="33"/>
  <c r="L56" i="33"/>
  <c r="K56" i="33"/>
  <c r="L55" i="33"/>
  <c r="K55" i="33"/>
  <c r="L54" i="33"/>
  <c r="K54" i="33"/>
  <c r="L53" i="33"/>
  <c r="K53" i="33"/>
  <c r="L52" i="33"/>
  <c r="K52" i="33"/>
  <c r="L50" i="33"/>
  <c r="K50" i="33"/>
  <c r="L49" i="33"/>
  <c r="K49" i="33"/>
  <c r="L48" i="33"/>
  <c r="K48" i="33"/>
  <c r="L47" i="33"/>
  <c r="K47" i="33"/>
  <c r="L46" i="33"/>
  <c r="K46" i="33"/>
  <c r="F56" i="33"/>
  <c r="E56" i="33"/>
  <c r="F55" i="33"/>
  <c r="E55" i="33"/>
  <c r="F54" i="33"/>
  <c r="E54" i="33"/>
  <c r="F53" i="33"/>
  <c r="E53" i="33"/>
  <c r="F52" i="33"/>
  <c r="E52" i="33"/>
  <c r="F50" i="33"/>
  <c r="E50" i="33"/>
  <c r="F49" i="33"/>
  <c r="E49" i="33"/>
  <c r="F48" i="33"/>
  <c r="E48" i="33"/>
  <c r="F47" i="33"/>
  <c r="E47" i="33"/>
  <c r="F46" i="33"/>
  <c r="E46" i="33"/>
  <c r="B12" i="43"/>
  <c r="B13" i="43" s="1"/>
  <c r="B14" i="43" s="1"/>
  <c r="B15" i="43" s="1"/>
  <c r="B16" i="43" s="1"/>
  <c r="B17" i="43" s="1"/>
  <c r="B18" i="43" s="1"/>
  <c r="B19" i="43" s="1"/>
  <c r="B20" i="43" s="1"/>
  <c r="B21" i="43" s="1"/>
  <c r="B22" i="43" s="1"/>
  <c r="P74" i="38"/>
  <c r="E16" i="31"/>
  <c r="D19" i="31"/>
  <c r="E19" i="31"/>
  <c r="K91" i="31" s="1"/>
  <c r="S97" i="31" s="1"/>
  <c r="D20" i="31"/>
  <c r="J92" i="31" s="1"/>
  <c r="Q98" i="31" s="1"/>
  <c r="E20" i="31"/>
  <c r="K92" i="31" s="1"/>
  <c r="S98" i="31" s="1"/>
  <c r="D21" i="31"/>
  <c r="J93" i="31" s="1"/>
  <c r="E21" i="31"/>
  <c r="F27" i="31"/>
  <c r="F28" i="31" s="1"/>
  <c r="O97" i="31" s="1"/>
  <c r="F29" i="31"/>
  <c r="M27" i="31" s="1"/>
  <c r="H29" i="31" s="1"/>
  <c r="F30" i="31"/>
  <c r="F31" i="31"/>
  <c r="F32" i="31"/>
  <c r="F36" i="31"/>
  <c r="F37" i="31"/>
  <c r="F43" i="31"/>
  <c r="F48" i="31"/>
  <c r="D52" i="31"/>
  <c r="D53" i="31"/>
  <c r="F50" i="31" s="1"/>
  <c r="D55" i="31"/>
  <c r="E198" i="31" s="1"/>
  <c r="D56" i="31"/>
  <c r="E199" i="31" s="1"/>
  <c r="T89" i="31"/>
  <c r="U89" i="31" s="1"/>
  <c r="C93" i="31"/>
  <c r="D93" i="31"/>
  <c r="E93" i="31"/>
  <c r="F93" i="31"/>
  <c r="G93" i="31"/>
  <c r="T90" i="31"/>
  <c r="U90" i="31" s="1"/>
  <c r="T91" i="31"/>
  <c r="U91" i="31" s="1"/>
  <c r="T92" i="31"/>
  <c r="U92" i="31" s="1"/>
  <c r="T93" i="31"/>
  <c r="U93" i="31" s="1"/>
  <c r="O95" i="31"/>
  <c r="D106" i="31"/>
  <c r="D107" i="31"/>
  <c r="D108" i="31"/>
  <c r="D109" i="31"/>
  <c r="D110" i="31"/>
  <c r="D111" i="31"/>
  <c r="D112" i="31"/>
  <c r="D113" i="31"/>
  <c r="D114" i="31"/>
  <c r="D136" i="31"/>
  <c r="D137" i="31"/>
  <c r="D3" i="22"/>
  <c r="G3" i="22"/>
  <c r="K3" i="22"/>
  <c r="I82" i="22" s="1"/>
  <c r="BG5" i="22"/>
  <c r="BH28" i="22"/>
  <c r="EQ5" i="22" s="1"/>
  <c r="BH6" i="22"/>
  <c r="BJ10" i="22"/>
  <c r="BJ11" i="22" s="1"/>
  <c r="BJ12" i="22" s="1"/>
  <c r="BF12" i="22"/>
  <c r="BF13" i="22"/>
  <c r="BF14" i="22"/>
  <c r="BF15" i="22"/>
  <c r="BF16" i="22"/>
  <c r="BF17" i="22"/>
  <c r="BF18" i="22"/>
  <c r="BF33" i="22"/>
  <c r="BF34" i="22"/>
  <c r="BF35" i="22"/>
  <c r="BF36" i="22"/>
  <c r="BF37" i="22"/>
  <c r="BF38" i="22"/>
  <c r="BF39" i="22"/>
  <c r="BF40" i="22"/>
  <c r="BF41" i="22"/>
  <c r="BF42" i="22"/>
  <c r="BF43" i="22"/>
  <c r="BF44" i="22"/>
  <c r="BF45" i="22"/>
  <c r="BF46" i="22"/>
  <c r="BF47" i="22"/>
  <c r="BF48" i="22"/>
  <c r="BF49" i="22"/>
  <c r="BF50" i="22"/>
  <c r="BF51" i="22"/>
  <c r="BF52" i="22"/>
  <c r="BK12" i="22"/>
  <c r="BL12" i="22"/>
  <c r="BM12" i="22"/>
  <c r="BV13" i="22"/>
  <c r="BM13" i="22"/>
  <c r="BL14" i="22"/>
  <c r="BM14" i="22"/>
  <c r="BL15" i="22"/>
  <c r="BM15" i="22"/>
  <c r="BV16" i="22"/>
  <c r="BM16" i="22"/>
  <c r="BV17" i="22"/>
  <c r="BM17" i="22"/>
  <c r="BP17" i="22"/>
  <c r="BV18" i="22"/>
  <c r="BM18" i="22"/>
  <c r="BV19" i="22"/>
  <c r="BM19" i="22"/>
  <c r="BP19" i="22"/>
  <c r="BK20" i="22"/>
  <c r="BL20" i="22"/>
  <c r="BM20" i="22"/>
  <c r="BP20" i="22"/>
  <c r="BK21" i="22"/>
  <c r="BV21" i="22"/>
  <c r="BM21" i="22"/>
  <c r="BP21" i="22"/>
  <c r="BK22" i="22"/>
  <c r="BV22" i="22"/>
  <c r="BM22" i="22"/>
  <c r="BP22" i="22"/>
  <c r="BK23" i="22"/>
  <c r="BV23" i="22"/>
  <c r="BM23" i="22"/>
  <c r="BO23" i="22"/>
  <c r="BP23" i="22"/>
  <c r="BK24" i="22"/>
  <c r="BV24" i="22"/>
  <c r="BM24" i="22"/>
  <c r="BO24" i="22"/>
  <c r="BP24" i="22"/>
  <c r="BK25" i="22"/>
  <c r="BL25" i="22"/>
  <c r="BM25" i="22"/>
  <c r="BO25" i="22"/>
  <c r="BP25" i="22"/>
  <c r="BK26" i="22"/>
  <c r="BV26" i="22"/>
  <c r="BM26" i="22"/>
  <c r="BO26" i="22"/>
  <c r="BP26" i="22"/>
  <c r="BK27" i="22"/>
  <c r="BL27" i="22"/>
  <c r="BM27" i="22"/>
  <c r="BO27" i="22"/>
  <c r="BP27" i="22"/>
  <c r="BK28" i="22"/>
  <c r="BM28" i="22"/>
  <c r="BO28" i="22"/>
  <c r="BP28" i="22"/>
  <c r="BK29" i="22"/>
  <c r="BM29" i="22"/>
  <c r="BO29" i="22"/>
  <c r="BP29" i="22"/>
  <c r="F81" i="22"/>
  <c r="H81" i="22"/>
  <c r="BK30" i="22"/>
  <c r="BL30" i="22"/>
  <c r="BM30" i="22"/>
  <c r="BO30" i="22"/>
  <c r="BP30" i="22"/>
  <c r="BK31" i="22"/>
  <c r="BV31" i="22"/>
  <c r="BM31" i="22"/>
  <c r="BO31" i="22"/>
  <c r="BP31" i="22"/>
  <c r="D3" i="32"/>
  <c r="G3" i="32"/>
  <c r="K3" i="32"/>
  <c r="I82" i="32" s="1"/>
  <c r="BG5" i="32"/>
  <c r="BH28" i="32"/>
  <c r="EQ5" i="32" s="1"/>
  <c r="BH6" i="32"/>
  <c r="BJ10" i="32"/>
  <c r="BJ11" i="32" s="1"/>
  <c r="BJ12" i="32" s="1"/>
  <c r="BR11" i="32"/>
  <c r="BS11" i="32"/>
  <c r="BT11" i="32"/>
  <c r="BF12" i="32"/>
  <c r="BF13" i="32"/>
  <c r="BF14" i="32"/>
  <c r="BF15" i="32"/>
  <c r="BF16" i="32"/>
  <c r="BF17" i="32"/>
  <c r="BF18" i="32"/>
  <c r="BF33" i="32"/>
  <c r="BF34" i="32"/>
  <c r="BF35" i="32"/>
  <c r="BF36" i="32"/>
  <c r="BF37" i="32"/>
  <c r="BF38" i="32"/>
  <c r="BF39" i="32"/>
  <c r="BF40" i="32"/>
  <c r="BF41" i="32"/>
  <c r="BF42" i="32"/>
  <c r="BF43" i="32"/>
  <c r="BF44" i="32"/>
  <c r="BF45" i="32"/>
  <c r="BF46" i="32"/>
  <c r="BF47" i="32"/>
  <c r="BF48" i="32"/>
  <c r="BF49" i="32"/>
  <c r="BF50" i="32"/>
  <c r="BF51" i="32"/>
  <c r="BF52" i="32"/>
  <c r="BK12" i="32"/>
  <c r="BV12" i="32"/>
  <c r="BM12" i="32"/>
  <c r="BK13" i="32"/>
  <c r="BL13" i="32"/>
  <c r="BM13" i="32"/>
  <c r="BL14" i="32"/>
  <c r="BM14" i="32"/>
  <c r="BV15" i="32"/>
  <c r="BM15" i="32"/>
  <c r="BL16" i="32"/>
  <c r="BM16" i="32"/>
  <c r="BV17" i="32"/>
  <c r="BM17" i="32"/>
  <c r="BP17" i="32"/>
  <c r="BV18" i="32"/>
  <c r="BM18" i="32"/>
  <c r="BV19" i="32"/>
  <c r="BM19" i="32"/>
  <c r="BK20" i="32"/>
  <c r="BV20" i="32"/>
  <c r="BM20" i="32"/>
  <c r="BP20" i="32"/>
  <c r="BK21" i="32"/>
  <c r="BL21" i="32"/>
  <c r="BM21" i="32"/>
  <c r="BP21" i="32"/>
  <c r="BK22" i="32"/>
  <c r="BL22" i="32"/>
  <c r="BM22" i="32"/>
  <c r="BP22" i="32"/>
  <c r="BK23" i="32"/>
  <c r="BL23" i="32"/>
  <c r="BM23" i="32"/>
  <c r="BO23" i="32"/>
  <c r="BP23" i="32"/>
  <c r="BK24" i="32"/>
  <c r="BL24" i="32"/>
  <c r="BM24" i="32"/>
  <c r="BO24" i="32"/>
  <c r="BP24" i="32"/>
  <c r="BK25" i="32"/>
  <c r="BL25" i="32"/>
  <c r="BM25" i="32"/>
  <c r="BO25" i="32"/>
  <c r="BP25" i="32"/>
  <c r="BK26" i="32"/>
  <c r="BV26" i="32"/>
  <c r="BM26" i="32"/>
  <c r="BO26" i="32"/>
  <c r="BP26" i="32"/>
  <c r="BK27" i="32"/>
  <c r="BV27" i="32"/>
  <c r="BM27" i="32"/>
  <c r="BO27" i="32"/>
  <c r="BP27" i="32"/>
  <c r="BK28" i="32"/>
  <c r="BV28" i="32"/>
  <c r="BM28" i="32"/>
  <c r="BO28" i="32"/>
  <c r="BP28" i="32"/>
  <c r="BK29" i="32"/>
  <c r="BL29" i="32"/>
  <c r="BM29" i="32"/>
  <c r="BO29" i="32"/>
  <c r="BP29" i="32"/>
  <c r="F81" i="32"/>
  <c r="H81" i="32"/>
  <c r="BK30" i="32"/>
  <c r="BL30" i="32"/>
  <c r="BM30" i="32"/>
  <c r="BO30" i="32"/>
  <c r="BP30" i="32"/>
  <c r="BK31" i="32"/>
  <c r="BL31" i="32"/>
  <c r="BM31" i="32"/>
  <c r="BO31" i="32"/>
  <c r="BP31" i="32"/>
  <c r="G83" i="32"/>
  <c r="D3" i="41"/>
  <c r="G3" i="41"/>
  <c r="BH6" i="41"/>
  <c r="ER7" i="41"/>
  <c r="AA8" i="41"/>
  <c r="EQ8" i="41"/>
  <c r="AA9" i="41"/>
  <c r="EQ9" i="41"/>
  <c r="AA10" i="41"/>
  <c r="BJ10" i="41"/>
  <c r="BJ11" i="41" s="1"/>
  <c r="BJ12" i="41" s="1"/>
  <c r="EQ10" i="41"/>
  <c r="AA11" i="41"/>
  <c r="BM50" i="41"/>
  <c r="BT50" i="41"/>
  <c r="EQ11" i="41"/>
  <c r="AA12" i="41"/>
  <c r="EQ12" i="41"/>
  <c r="AA14" i="41"/>
  <c r="AA15" i="41"/>
  <c r="AA16" i="41"/>
  <c r="AA17" i="41"/>
  <c r="BT56" i="41"/>
  <c r="AA18" i="41"/>
  <c r="AA20" i="41"/>
  <c r="AA21" i="41"/>
  <c r="AA22" i="41"/>
  <c r="AA23" i="41"/>
  <c r="AA24" i="41"/>
  <c r="AA26" i="41"/>
  <c r="AA27" i="41"/>
  <c r="AA28" i="41"/>
  <c r="AA29" i="41"/>
  <c r="AA30" i="41"/>
  <c r="AA32" i="41"/>
  <c r="AA33" i="41"/>
  <c r="AA34" i="41"/>
  <c r="AA35" i="41"/>
  <c r="AA36" i="41"/>
  <c r="AA38" i="41"/>
  <c r="AA39" i="41"/>
  <c r="AA40" i="41"/>
  <c r="AA41" i="41"/>
  <c r="AA42" i="41"/>
  <c r="AA44" i="41"/>
  <c r="AA45" i="41"/>
  <c r="AA46" i="41"/>
  <c r="AA47" i="41"/>
  <c r="AA48" i="41"/>
  <c r="AA50" i="41"/>
  <c r="AA51" i="41"/>
  <c r="BK12" i="41"/>
  <c r="BL12" i="41"/>
  <c r="BM12" i="41"/>
  <c r="AA52" i="41"/>
  <c r="BK13" i="41"/>
  <c r="BV13" i="41"/>
  <c r="BM13" i="41"/>
  <c r="AA53" i="41"/>
  <c r="BL14" i="41"/>
  <c r="BM14" i="41"/>
  <c r="AA54" i="41"/>
  <c r="BL15" i="41"/>
  <c r="BM15" i="41"/>
  <c r="BV16" i="41"/>
  <c r="BM16" i="41"/>
  <c r="AA56" i="41"/>
  <c r="BV17" i="41"/>
  <c r="BM17" i="41"/>
  <c r="AA57" i="41"/>
  <c r="BV18" i="41"/>
  <c r="BM18" i="41"/>
  <c r="AA58" i="41"/>
  <c r="BL19" i="41"/>
  <c r="BM19" i="41"/>
  <c r="BP19" i="41"/>
  <c r="AA59" i="41"/>
  <c r="BK20" i="41"/>
  <c r="BL20" i="41"/>
  <c r="BM20" i="41"/>
  <c r="BP20" i="41"/>
  <c r="AA60" i="41"/>
  <c r="BK21" i="41"/>
  <c r="BL21" i="41"/>
  <c r="BM21" i="41"/>
  <c r="BP21" i="41"/>
  <c r="BK22" i="41"/>
  <c r="BV22" i="41"/>
  <c r="BM22" i="41"/>
  <c r="BP22" i="41"/>
  <c r="AA62" i="41"/>
  <c r="BK23" i="41"/>
  <c r="BM23" i="41"/>
  <c r="BO23" i="41"/>
  <c r="BP23" i="41"/>
  <c r="BM62" i="41"/>
  <c r="BT62" i="41"/>
  <c r="AA63" i="41"/>
  <c r="BK24" i="41"/>
  <c r="BL24" i="41"/>
  <c r="BM24" i="41"/>
  <c r="BO24" i="41"/>
  <c r="BP24" i="41"/>
  <c r="BM63" i="41"/>
  <c r="BN62" i="41" s="1"/>
  <c r="AA64" i="41"/>
  <c r="BK25" i="41"/>
  <c r="BM25" i="41"/>
  <c r="BO25" i="41"/>
  <c r="BP25" i="41"/>
  <c r="BM64" i="41"/>
  <c r="BN63" i="41" s="1"/>
  <c r="AA65" i="41"/>
  <c r="BK26" i="41"/>
  <c r="BV26" i="41"/>
  <c r="BM26" i="41"/>
  <c r="BO26" i="41"/>
  <c r="BP26" i="41"/>
  <c r="BM65" i="41"/>
  <c r="BN64" i="41" s="1"/>
  <c r="AA66" i="41"/>
  <c r="BK27" i="41"/>
  <c r="BM27" i="41"/>
  <c r="BO27" i="41"/>
  <c r="BP27" i="41"/>
  <c r="BM66" i="41"/>
  <c r="BN65" i="41" s="1"/>
  <c r="BK28" i="41"/>
  <c r="BV28" i="41"/>
  <c r="BM28" i="41"/>
  <c r="BO28" i="41"/>
  <c r="BP28" i="41"/>
  <c r="BK29" i="41"/>
  <c r="BL29" i="41"/>
  <c r="BM29" i="41"/>
  <c r="BO29" i="41"/>
  <c r="BP29" i="41"/>
  <c r="BM68" i="41"/>
  <c r="BT68" i="41"/>
  <c r="F81" i="41"/>
  <c r="H81" i="41"/>
  <c r="BK30" i="41"/>
  <c r="BL30" i="41"/>
  <c r="BM30" i="41"/>
  <c r="BO30" i="41"/>
  <c r="BP30" i="41"/>
  <c r="BM69" i="41"/>
  <c r="BN68" i="41" s="1"/>
  <c r="BK31" i="41"/>
  <c r="BV31" i="41"/>
  <c r="BM31" i="41"/>
  <c r="BO31" i="41"/>
  <c r="BP31" i="41"/>
  <c r="BM70" i="41"/>
  <c r="BN69" i="41" s="1"/>
  <c r="G83" i="41"/>
  <c r="BM71" i="41"/>
  <c r="BN70" i="41" s="1"/>
  <c r="BM72" i="41"/>
  <c r="BN71" i="41" s="1"/>
  <c r="BM80" i="41"/>
  <c r="BT80" i="41"/>
  <c r="BM81" i="41"/>
  <c r="BN80" i="41" s="1"/>
  <c r="BM82" i="41"/>
  <c r="BN81" i="41" s="1"/>
  <c r="BM83" i="41"/>
  <c r="BN82" i="41" s="1"/>
  <c r="BM84" i="41"/>
  <c r="BN83" i="41" s="1"/>
  <c r="BM86" i="41"/>
  <c r="BT86" i="41"/>
  <c r="BM87" i="41"/>
  <c r="BN86" i="41" s="1"/>
  <c r="BM88" i="41"/>
  <c r="BN87" i="41" s="1"/>
  <c r="BM89" i="41"/>
  <c r="BN88" i="41" s="1"/>
  <c r="BM90" i="41"/>
  <c r="BN89" i="41" s="1"/>
  <c r="BM92" i="41"/>
  <c r="BT92" i="41"/>
  <c r="BM93" i="41"/>
  <c r="BN92" i="41" s="1"/>
  <c r="BM94" i="41"/>
  <c r="BN93" i="41" s="1"/>
  <c r="BM95" i="41"/>
  <c r="BN94" i="41" s="1"/>
  <c r="BM96" i="41"/>
  <c r="BN95" i="41" s="1"/>
  <c r="BM74" i="41"/>
  <c r="BT74" i="41"/>
  <c r="BM75" i="41"/>
  <c r="BN74" i="41" s="1"/>
  <c r="BM76" i="41"/>
  <c r="BN75" i="41" s="1"/>
  <c r="BM77" i="41"/>
  <c r="BN76" i="41" s="1"/>
  <c r="BM78" i="41"/>
  <c r="BN77" i="41" s="1"/>
  <c r="AZ2" i="19"/>
  <c r="D3" i="19"/>
  <c r="G3" i="19"/>
  <c r="K3" i="19"/>
  <c r="I82" i="19" s="1"/>
  <c r="BG5" i="19"/>
  <c r="BG28" i="19"/>
  <c r="BH28" i="19"/>
  <c r="D4" i="19"/>
  <c r="BH6" i="19"/>
  <c r="ER7" i="19"/>
  <c r="EQ8" i="19"/>
  <c r="EQ9" i="19"/>
  <c r="EQ10" i="19"/>
  <c r="EQ11" i="19"/>
  <c r="EQ12" i="19"/>
  <c r="AA14" i="19"/>
  <c r="AA15" i="19"/>
  <c r="AA16" i="19"/>
  <c r="AA17" i="19"/>
  <c r="AA18" i="19"/>
  <c r="AA22" i="19"/>
  <c r="AA23" i="19"/>
  <c r="BF25" i="19"/>
  <c r="AA24" i="19"/>
  <c r="BF26" i="19"/>
  <c r="BF27" i="19"/>
  <c r="AA26" i="19"/>
  <c r="BF28" i="19"/>
  <c r="AA27" i="19"/>
  <c r="BF29" i="19"/>
  <c r="AA28" i="19"/>
  <c r="BF30" i="19"/>
  <c r="AA29" i="19"/>
  <c r="BF31" i="19"/>
  <c r="AA30" i="19"/>
  <c r="BF32" i="19"/>
  <c r="BF33" i="19"/>
  <c r="AA32" i="19"/>
  <c r="BF34" i="19"/>
  <c r="AA33" i="19"/>
  <c r="BF35" i="19"/>
  <c r="AA34" i="19"/>
  <c r="BF36" i="19"/>
  <c r="AA35" i="19"/>
  <c r="BF37" i="19"/>
  <c r="AA36" i="19"/>
  <c r="BF38" i="19"/>
  <c r="BF39" i="19"/>
  <c r="AA38" i="19"/>
  <c r="BF40" i="19"/>
  <c r="AA39" i="19"/>
  <c r="BF41" i="19"/>
  <c r="AA40" i="19"/>
  <c r="BF42" i="19"/>
  <c r="AA41" i="19"/>
  <c r="BF43" i="19"/>
  <c r="AA42" i="19"/>
  <c r="BF44" i="19"/>
  <c r="AJ42" i="19"/>
  <c r="AA44" i="19"/>
  <c r="AA45" i="19"/>
  <c r="AA46" i="19"/>
  <c r="AA47" i="19"/>
  <c r="AA48" i="19"/>
  <c r="AK45" i="19"/>
  <c r="AL45" i="19"/>
  <c r="AM45" i="19"/>
  <c r="AA50" i="19"/>
  <c r="AA51" i="19"/>
  <c r="AK48" i="19"/>
  <c r="BK12" i="19" s="1"/>
  <c r="AL48" i="19"/>
  <c r="BV12" i="19" s="1"/>
  <c r="AM48" i="19"/>
  <c r="BM12" i="19" s="1"/>
  <c r="AA52" i="19"/>
  <c r="AK49" i="19"/>
  <c r="BK13" i="19" s="1"/>
  <c r="AL49" i="19"/>
  <c r="BV13" i="19" s="1"/>
  <c r="AM49" i="19"/>
  <c r="BM13" i="19" s="1"/>
  <c r="AA53" i="19"/>
  <c r="AL50" i="19"/>
  <c r="BL14" i="19" s="1"/>
  <c r="AM50" i="19"/>
  <c r="BM14" i="19" s="1"/>
  <c r="AA54" i="19"/>
  <c r="AL51" i="19"/>
  <c r="BL15" i="19" s="1"/>
  <c r="AM51" i="19"/>
  <c r="BM15" i="19" s="1"/>
  <c r="AL52" i="19"/>
  <c r="BL16" i="19" s="1"/>
  <c r="AM52" i="19"/>
  <c r="BM16" i="19" s="1"/>
  <c r="BU16" i="19"/>
  <c r="AA56" i="19"/>
  <c r="AL53" i="19"/>
  <c r="BL17" i="19" s="1"/>
  <c r="AM53" i="19"/>
  <c r="BM17" i="19" s="1"/>
  <c r="AO53" i="19"/>
  <c r="BP17" i="19" s="1"/>
  <c r="BU17" i="19"/>
  <c r="AA57" i="19"/>
  <c r="AL54" i="19"/>
  <c r="BL18" i="19" s="1"/>
  <c r="AM54" i="19"/>
  <c r="BM18" i="19" s="1"/>
  <c r="BU18" i="19"/>
  <c r="AA58" i="19"/>
  <c r="AL55" i="19"/>
  <c r="BL19" i="19" s="1"/>
  <c r="AM55" i="19"/>
  <c r="BM19" i="19" s="1"/>
  <c r="AO55" i="19"/>
  <c r="BP19" i="19" s="1"/>
  <c r="BU19" i="19"/>
  <c r="AA59" i="19"/>
  <c r="AK56" i="19"/>
  <c r="BK20" i="19" s="1"/>
  <c r="AL56" i="19"/>
  <c r="BL20" i="19" s="1"/>
  <c r="AM56" i="19"/>
  <c r="BM20" i="19" s="1"/>
  <c r="AO56" i="19"/>
  <c r="BP20" i="19" s="1"/>
  <c r="BU20" i="19"/>
  <c r="AA60" i="19"/>
  <c r="AK57" i="19"/>
  <c r="BK21" i="19" s="1"/>
  <c r="AL57" i="19"/>
  <c r="BV21" i="19" s="1"/>
  <c r="AM57" i="19"/>
  <c r="BM21" i="19" s="1"/>
  <c r="AO57" i="19"/>
  <c r="BP21" i="19" s="1"/>
  <c r="BU21" i="19"/>
  <c r="AK58" i="19"/>
  <c r="BK22" i="19" s="1"/>
  <c r="AL58" i="19"/>
  <c r="BV22" i="19" s="1"/>
  <c r="AM58" i="19"/>
  <c r="BM22" i="19" s="1"/>
  <c r="AO58" i="19"/>
  <c r="BP22" i="19" s="1"/>
  <c r="BU22" i="19"/>
  <c r="AA62" i="19"/>
  <c r="AK59" i="19"/>
  <c r="BK23" i="19" s="1"/>
  <c r="AL59" i="19"/>
  <c r="BL23" i="19" s="1"/>
  <c r="AM59" i="19"/>
  <c r="BM23" i="19" s="1"/>
  <c r="AN59" i="19"/>
  <c r="BO23" i="19" s="1"/>
  <c r="AO59" i="19"/>
  <c r="BP23" i="19" s="1"/>
  <c r="BU23" i="19"/>
  <c r="AA63" i="19"/>
  <c r="AK60" i="19"/>
  <c r="BK24" i="19" s="1"/>
  <c r="AL60" i="19"/>
  <c r="BV24" i="19" s="1"/>
  <c r="AM60" i="19"/>
  <c r="BM24" i="19" s="1"/>
  <c r="AN60" i="19"/>
  <c r="BO24" i="19" s="1"/>
  <c r="AO60" i="19"/>
  <c r="BP24" i="19" s="1"/>
  <c r="BU24" i="19"/>
  <c r="AA64" i="19"/>
  <c r="AK61" i="19"/>
  <c r="BK25" i="19" s="1"/>
  <c r="AL61" i="19"/>
  <c r="BV25" i="19" s="1"/>
  <c r="AM61" i="19"/>
  <c r="BM25" i="19" s="1"/>
  <c r="AN61" i="19"/>
  <c r="BO25" i="19" s="1"/>
  <c r="AO61" i="19"/>
  <c r="BP25" i="19" s="1"/>
  <c r="BU25" i="19"/>
  <c r="AA65" i="19"/>
  <c r="AK62" i="19"/>
  <c r="BK26" i="19" s="1"/>
  <c r="AL62" i="19"/>
  <c r="BL26" i="19" s="1"/>
  <c r="AM62" i="19"/>
  <c r="BM26" i="19" s="1"/>
  <c r="AN62" i="19"/>
  <c r="BO26" i="19" s="1"/>
  <c r="AO62" i="19"/>
  <c r="BP26" i="19" s="1"/>
  <c r="BU26" i="19"/>
  <c r="AA66" i="19"/>
  <c r="AK63" i="19"/>
  <c r="BK27" i="19" s="1"/>
  <c r="AL63" i="19"/>
  <c r="BV27" i="19" s="1"/>
  <c r="AM63" i="19"/>
  <c r="BM27" i="19" s="1"/>
  <c r="AN63" i="19"/>
  <c r="BO27" i="19" s="1"/>
  <c r="AO63" i="19"/>
  <c r="BP27" i="19" s="1"/>
  <c r="BU27" i="19"/>
  <c r="AK64" i="19"/>
  <c r="BK28" i="19" s="1"/>
  <c r="AL64" i="19"/>
  <c r="BV28" i="19" s="1"/>
  <c r="AM64" i="19"/>
  <c r="BM28" i="19" s="1"/>
  <c r="AN64" i="19"/>
  <c r="BO28" i="19" s="1"/>
  <c r="AO64" i="19"/>
  <c r="BP28" i="19" s="1"/>
  <c r="BU28" i="19"/>
  <c r="AK65" i="19"/>
  <c r="BK29" i="19" s="1"/>
  <c r="AL65" i="19"/>
  <c r="BL29" i="19" s="1"/>
  <c r="AM65" i="19"/>
  <c r="BM29" i="19" s="1"/>
  <c r="AN65" i="19"/>
  <c r="BO29" i="19" s="1"/>
  <c r="AO65" i="19"/>
  <c r="BP29" i="19" s="1"/>
  <c r="BU29" i="19"/>
  <c r="H81" i="19"/>
  <c r="AK66" i="19"/>
  <c r="BK30" i="19" s="1"/>
  <c r="AL66" i="19"/>
  <c r="BV30" i="19" s="1"/>
  <c r="AM66" i="19"/>
  <c r="BM30" i="19" s="1"/>
  <c r="AN66" i="19"/>
  <c r="BO30" i="19" s="1"/>
  <c r="AO66" i="19"/>
  <c r="BP30" i="19" s="1"/>
  <c r="BU30" i="19"/>
  <c r="AK67" i="19"/>
  <c r="BK31" i="19" s="1"/>
  <c r="AL67" i="19"/>
  <c r="BL31" i="19" s="1"/>
  <c r="AM67" i="19"/>
  <c r="BM31" i="19" s="1"/>
  <c r="AN67" i="19"/>
  <c r="BO31" i="19" s="1"/>
  <c r="AO67" i="19"/>
  <c r="BP31" i="19" s="1"/>
  <c r="BU31" i="19"/>
  <c r="G83" i="19"/>
  <c r="B2" i="36"/>
  <c r="F2" i="36"/>
  <c r="F3" i="36"/>
  <c r="AT6" i="38"/>
  <c r="AT7" i="38"/>
  <c r="AT8" i="38"/>
  <c r="AT9" i="38"/>
  <c r="AS16" i="38"/>
  <c r="R17" i="38"/>
  <c r="C65" i="38" s="1"/>
  <c r="H65" i="38" s="1"/>
  <c r="C31" i="38"/>
  <c r="R18" i="38"/>
  <c r="C91" i="38" s="1"/>
  <c r="H91" i="38" s="1"/>
  <c r="H90" i="38"/>
  <c r="AS18" i="38"/>
  <c r="AS19" i="38"/>
  <c r="AS20" i="38"/>
  <c r="R21" i="38"/>
  <c r="C68" i="38" s="1"/>
  <c r="H68" i="38" s="1"/>
  <c r="C30" i="38"/>
  <c r="R22" i="38"/>
  <c r="C78" i="38" s="1"/>
  <c r="H78" i="38" s="1"/>
  <c r="R23" i="38"/>
  <c r="J87" i="38" s="1"/>
  <c r="P87" i="38" s="1"/>
  <c r="R24" i="38"/>
  <c r="J84" i="38" s="1"/>
  <c r="P84" i="38" s="1"/>
  <c r="C26" i="38"/>
  <c r="R25" i="38"/>
  <c r="J79" i="38" s="1"/>
  <c r="P79" i="38" s="1"/>
  <c r="AU25" i="38"/>
  <c r="C27" i="38"/>
  <c r="AU26" i="38"/>
  <c r="C33" i="38"/>
  <c r="AK28" i="38"/>
  <c r="C34" i="38"/>
  <c r="R29" i="38"/>
  <c r="C71" i="38" s="1"/>
  <c r="H71" i="38" s="1"/>
  <c r="AJ29" i="38"/>
  <c r="C35" i="38"/>
  <c r="AJ30" i="38"/>
  <c r="AJ31" i="38"/>
  <c r="R33" i="38"/>
  <c r="J85" i="38" s="1"/>
  <c r="P85" i="38" s="1"/>
  <c r="C38" i="38"/>
  <c r="R34" i="38"/>
  <c r="J78" i="38" s="1"/>
  <c r="P78" i="38" s="1"/>
  <c r="R35" i="38"/>
  <c r="J83" i="38" s="1"/>
  <c r="P83" i="38" s="1"/>
  <c r="G30" i="31"/>
  <c r="R37" i="38"/>
  <c r="J88" i="38" s="1"/>
  <c r="P88" i="38" s="1"/>
  <c r="AS37" i="38"/>
  <c r="AR33" i="38" s="1"/>
  <c r="G36" i="31" s="1"/>
  <c r="R38" i="38"/>
  <c r="C82" i="38" s="1"/>
  <c r="H82" i="38" s="1"/>
  <c r="R41" i="38"/>
  <c r="C83" i="38" s="1"/>
  <c r="H83" i="38" s="1"/>
  <c r="L44" i="38"/>
  <c r="R42" i="38"/>
  <c r="C67" i="38" s="1"/>
  <c r="H67" i="38" s="1"/>
  <c r="R43" i="38"/>
  <c r="C79" i="38" s="1"/>
  <c r="H79" i="38" s="1"/>
  <c r="AS43" i="38"/>
  <c r="R47" i="38"/>
  <c r="C81" i="38" s="1"/>
  <c r="H81" i="38" s="1"/>
  <c r="AX62" i="38"/>
  <c r="D57" i="31" s="1"/>
  <c r="G31" i="31"/>
  <c r="R48" i="38"/>
  <c r="J89" i="38" s="1"/>
  <c r="P89" i="38" s="1"/>
  <c r="L54" i="38"/>
  <c r="ER7" i="22"/>
  <c r="R52" i="38"/>
  <c r="C85" i="38" s="1"/>
  <c r="H85" i="38" s="1"/>
  <c r="AS53" i="38"/>
  <c r="AR48" i="38" s="1"/>
  <c r="R54" i="38"/>
  <c r="C87" i="38" s="1"/>
  <c r="H87" i="38" s="1"/>
  <c r="AY72" i="38"/>
  <c r="AY75" i="38"/>
  <c r="AQ64" i="38"/>
  <c r="P70" i="38"/>
  <c r="AW80" i="38"/>
  <c r="C2" i="40"/>
  <c r="H2" i="40"/>
  <c r="M2" i="40"/>
  <c r="C5" i="40"/>
  <c r="D5" i="40"/>
  <c r="AK8" i="22" s="1"/>
  <c r="C24" i="40"/>
  <c r="D24" i="40"/>
  <c r="M28" i="40"/>
  <c r="M31" i="40"/>
  <c r="M34" i="40"/>
  <c r="D37" i="40"/>
  <c r="M41" i="40"/>
  <c r="W41" i="40"/>
  <c r="W31" i="40" s="1"/>
  <c r="W44" i="40" s="1"/>
  <c r="W54" i="40" s="1"/>
  <c r="W34" i="40" s="1"/>
  <c r="W47" i="40" s="1"/>
  <c r="W57" i="40" s="1"/>
  <c r="W51" i="40" s="1"/>
  <c r="M44" i="40"/>
  <c r="M47" i="40"/>
  <c r="D50" i="40"/>
  <c r="M51" i="40"/>
  <c r="M54" i="40"/>
  <c r="M57" i="40"/>
  <c r="G4" i="29"/>
  <c r="I4" i="29"/>
  <c r="K4" i="29"/>
  <c r="M4" i="29"/>
  <c r="G25" i="29"/>
  <c r="I25" i="29"/>
  <c r="K25" i="29"/>
  <c r="M25" i="29"/>
  <c r="G29" i="29"/>
  <c r="G36" i="29" s="1"/>
  <c r="H29" i="29"/>
  <c r="H36" i="29" s="1"/>
  <c r="I29" i="29"/>
  <c r="I36" i="29" s="1"/>
  <c r="J29" i="29"/>
  <c r="J36" i="29" s="1"/>
  <c r="K29" i="29"/>
  <c r="K36" i="29" s="1"/>
  <c r="L29" i="29"/>
  <c r="L36" i="29" s="1"/>
  <c r="M29" i="29"/>
  <c r="M36" i="29" s="1"/>
  <c r="N29" i="29"/>
  <c r="N36" i="29" s="1"/>
  <c r="U29" i="29"/>
  <c r="U39" i="29" s="1"/>
  <c r="V29" i="29"/>
  <c r="V34" i="29" s="1"/>
  <c r="W29" i="29"/>
  <c r="W34" i="29" s="1"/>
  <c r="X29" i="29"/>
  <c r="X34" i="29" s="1"/>
  <c r="Y29" i="29"/>
  <c r="Y34" i="29" s="1"/>
  <c r="Z29" i="29"/>
  <c r="Z34" i="29" s="1"/>
  <c r="G30" i="29"/>
  <c r="G37" i="29" s="1"/>
  <c r="H30" i="29"/>
  <c r="H37" i="29" s="1"/>
  <c r="I30" i="29"/>
  <c r="I37" i="29" s="1"/>
  <c r="J30" i="29"/>
  <c r="J37" i="29" s="1"/>
  <c r="K30" i="29"/>
  <c r="K37" i="29" s="1"/>
  <c r="L30" i="29"/>
  <c r="L37" i="29" s="1"/>
  <c r="M30" i="29"/>
  <c r="M37" i="29" s="1"/>
  <c r="N30" i="29"/>
  <c r="N37" i="29" s="1"/>
  <c r="U30" i="29"/>
  <c r="U35" i="29" s="1"/>
  <c r="V30" i="29"/>
  <c r="V35" i="29" s="1"/>
  <c r="W30" i="29"/>
  <c r="W35" i="29" s="1"/>
  <c r="X30" i="29"/>
  <c r="X40" i="29" s="1"/>
  <c r="Y30" i="29"/>
  <c r="Y35" i="29" s="1"/>
  <c r="Z30" i="29"/>
  <c r="Z35" i="29" s="1"/>
  <c r="U31" i="29"/>
  <c r="U41" i="29" s="1"/>
  <c r="V31" i="29"/>
  <c r="V36" i="29" s="1"/>
  <c r="W31" i="29"/>
  <c r="W36" i="29" s="1"/>
  <c r="X31" i="29"/>
  <c r="X36" i="29" s="1"/>
  <c r="Y31" i="29"/>
  <c r="Z31" i="29"/>
  <c r="Z41" i="29" s="1"/>
  <c r="F32" i="29"/>
  <c r="H32" i="29" s="1"/>
  <c r="H39" i="29" s="1"/>
  <c r="U32" i="29"/>
  <c r="U37" i="29" s="1"/>
  <c r="V32" i="29"/>
  <c r="V42" i="29" s="1"/>
  <c r="W32" i="29"/>
  <c r="W37" i="29" s="1"/>
  <c r="X32" i="29"/>
  <c r="X37" i="29" s="1"/>
  <c r="Y32" i="29"/>
  <c r="Y37" i="29" s="1"/>
  <c r="Z32" i="29"/>
  <c r="Z37" i="29" s="1"/>
  <c r="F33" i="29"/>
  <c r="I33" i="29" s="1"/>
  <c r="I40" i="29" s="1"/>
  <c r="Y36" i="29"/>
  <c r="Y41" i="29"/>
  <c r="T51" i="29"/>
  <c r="U51" i="29"/>
  <c r="T52" i="29"/>
  <c r="T53" i="29"/>
  <c r="T54" i="29"/>
  <c r="T55" i="29"/>
  <c r="G58" i="29"/>
  <c r="G59" i="29"/>
  <c r="T60" i="29"/>
  <c r="U60" i="29"/>
  <c r="U56" i="29" s="1"/>
  <c r="T61" i="29"/>
  <c r="T62" i="29"/>
  <c r="Y62" i="29"/>
  <c r="Z62" i="29"/>
  <c r="T63" i="29"/>
  <c r="Y63" i="29"/>
  <c r="Z63" i="29"/>
  <c r="Y64" i="29"/>
  <c r="Y65" i="29"/>
  <c r="Z68" i="29"/>
  <c r="AA68" i="29"/>
  <c r="Z69" i="29"/>
  <c r="Z71" i="29"/>
  <c r="AA71" i="29"/>
  <c r="U72" i="29"/>
  <c r="Z72" i="29"/>
  <c r="Z75" i="29"/>
  <c r="AA75" i="29"/>
  <c r="Z76" i="29"/>
  <c r="AA80" i="29"/>
  <c r="AJ14" i="33"/>
  <c r="AK14" i="33"/>
  <c r="AK66" i="33"/>
  <c r="AH71" i="33"/>
  <c r="BK50" i="47" s="1"/>
  <c r="AJ73" i="33"/>
  <c r="AV73" i="33"/>
  <c r="AW73" i="33"/>
  <c r="AX73" i="33"/>
  <c r="AY73" i="33"/>
  <c r="AZ73" i="33"/>
  <c r="AJ74" i="33"/>
  <c r="AV74" i="33"/>
  <c r="AW74" i="33"/>
  <c r="AX74" i="33"/>
  <c r="AY74" i="33"/>
  <c r="AZ74" i="33"/>
  <c r="AJ75" i="33"/>
  <c r="AJ78" i="33"/>
  <c r="AV78" i="33"/>
  <c r="AW78" i="33"/>
  <c r="AX78" i="33"/>
  <c r="AY78" i="33"/>
  <c r="AZ78" i="33"/>
  <c r="AJ79" i="33"/>
  <c r="AV79" i="33"/>
  <c r="AW79" i="33"/>
  <c r="AX79" i="33"/>
  <c r="AY79" i="33"/>
  <c r="AZ79" i="33"/>
  <c r="AJ80" i="33"/>
  <c r="AJ82" i="33"/>
  <c r="AV82" i="33"/>
  <c r="AW82" i="33"/>
  <c r="AX82" i="33"/>
  <c r="AY82" i="33"/>
  <c r="AZ82" i="33"/>
  <c r="AJ83" i="33"/>
  <c r="AJ84" i="33"/>
  <c r="AV86" i="33"/>
  <c r="AW86" i="33"/>
  <c r="AX86" i="33"/>
  <c r="AY86" i="33"/>
  <c r="AZ86" i="33"/>
  <c r="AV87" i="33"/>
  <c r="AW87" i="33"/>
  <c r="AX87" i="33"/>
  <c r="AY87" i="33"/>
  <c r="AZ87" i="33"/>
  <c r="AI90" i="33"/>
  <c r="AI92" i="33"/>
  <c r="AH92" i="33" s="1"/>
  <c r="AJ92" i="33"/>
  <c r="AV92" i="33"/>
  <c r="AW92" i="33"/>
  <c r="AX92" i="33"/>
  <c r="AY92" i="33"/>
  <c r="AZ92" i="33"/>
  <c r="AI93" i="33"/>
  <c r="AH93" i="33" s="1"/>
  <c r="AJ93" i="33"/>
  <c r="AV93" i="33"/>
  <c r="AW93" i="33"/>
  <c r="AX93" i="33"/>
  <c r="AY93" i="33"/>
  <c r="AZ93" i="33"/>
  <c r="AI94" i="33"/>
  <c r="AH94" i="33" s="1"/>
  <c r="AJ94" i="33"/>
  <c r="AI97" i="33"/>
  <c r="AH97" i="33" s="1"/>
  <c r="AJ97" i="33"/>
  <c r="AV97" i="33"/>
  <c r="AW97" i="33"/>
  <c r="AX97" i="33"/>
  <c r="AY97" i="33"/>
  <c r="AZ97" i="33"/>
  <c r="AI98" i="33"/>
  <c r="AH98" i="33" s="1"/>
  <c r="AJ98" i="33"/>
  <c r="AV98" i="33"/>
  <c r="AW98" i="33"/>
  <c r="AX98" i="33"/>
  <c r="AY98" i="33"/>
  <c r="AZ98" i="33"/>
  <c r="AI99" i="33"/>
  <c r="AH99" i="33" s="1"/>
  <c r="AJ99" i="33"/>
  <c r="AI101" i="33"/>
  <c r="AH101" i="33" s="1"/>
  <c r="AJ101" i="33"/>
  <c r="AV101" i="33"/>
  <c r="AW101" i="33"/>
  <c r="AX101" i="33"/>
  <c r="AY101" i="33"/>
  <c r="AZ101" i="33"/>
  <c r="AI102" i="33"/>
  <c r="AH102" i="33" s="1"/>
  <c r="AJ102" i="33"/>
  <c r="AI103" i="33"/>
  <c r="AH103" i="33" s="1"/>
  <c r="AJ103" i="33"/>
  <c r="AI105" i="33"/>
  <c r="AH105" i="33" s="1"/>
  <c r="AJ105" i="33"/>
  <c r="AV105" i="33"/>
  <c r="AW105" i="33"/>
  <c r="AX105" i="33"/>
  <c r="AY105" i="33"/>
  <c r="AZ105" i="33"/>
  <c r="AI106" i="33"/>
  <c r="AH106" i="33" s="1"/>
  <c r="AJ106" i="33"/>
  <c r="AV106" i="33"/>
  <c r="AW106" i="33"/>
  <c r="AX106" i="33"/>
  <c r="AY106" i="33"/>
  <c r="AZ106" i="33"/>
  <c r="BK13" i="22"/>
  <c r="BK14" i="22"/>
  <c r="BK14" i="32"/>
  <c r="BK14" i="41"/>
  <c r="AK50" i="19"/>
  <c r="BK14" i="19" s="1"/>
  <c r="BK15" i="22"/>
  <c r="BK15" i="32"/>
  <c r="BK15" i="41"/>
  <c r="AK51" i="19"/>
  <c r="BK15" i="19" s="1"/>
  <c r="BK16" i="32"/>
  <c r="BK16" i="22"/>
  <c r="BK16" i="41"/>
  <c r="AK52" i="19"/>
  <c r="BK16" i="19" s="1"/>
  <c r="BK17" i="22"/>
  <c r="BK17" i="32"/>
  <c r="AK53" i="19"/>
  <c r="BK17" i="19" s="1"/>
  <c r="BK17" i="41"/>
  <c r="BK18" i="22"/>
  <c r="BK18" i="32"/>
  <c r="BK18" i="41"/>
  <c r="AK54" i="19"/>
  <c r="BK18" i="19" s="1"/>
  <c r="BK19" i="22"/>
  <c r="BK19" i="32"/>
  <c r="BK19" i="41"/>
  <c r="AK55" i="19"/>
  <c r="BK19" i="19" s="1"/>
  <c r="AH82" i="33"/>
  <c r="I58" i="33"/>
  <c r="U51" i="40"/>
  <c r="E51" i="40" s="1"/>
  <c r="I16" i="33"/>
  <c r="I37" i="33"/>
  <c r="G175" i="40"/>
  <c r="BO19" i="22"/>
  <c r="BO19" i="41"/>
  <c r="AN55" i="19"/>
  <c r="BO19" i="19" s="1"/>
  <c r="BO21" i="41"/>
  <c r="BO21" i="32"/>
  <c r="AN56" i="19"/>
  <c r="BO20" i="19" s="1"/>
  <c r="BO22" i="22"/>
  <c r="BO22" i="41"/>
  <c r="AN58" i="19"/>
  <c r="BO22" i="19" s="1"/>
  <c r="BO22" i="32"/>
  <c r="BO20" i="32"/>
  <c r="BO19" i="32"/>
  <c r="BO21" i="22"/>
  <c r="BO20" i="22"/>
  <c r="BP17" i="41"/>
  <c r="BO17" i="22"/>
  <c r="BO17" i="32"/>
  <c r="BO17" i="41"/>
  <c r="AN53" i="19"/>
  <c r="BO17" i="19" s="1"/>
  <c r="BO18" i="32"/>
  <c r="BO18" i="41"/>
  <c r="AN54" i="19"/>
  <c r="BO18" i="19" s="1"/>
  <c r="BO18" i="22"/>
  <c r="BP18" i="22"/>
  <c r="BP18" i="41"/>
  <c r="AO54" i="19"/>
  <c r="BP18" i="19" s="1"/>
  <c r="BP18" i="32"/>
  <c r="CH11" i="41"/>
  <c r="CI11" i="41"/>
  <c r="BV28" i="45"/>
  <c r="BO15" i="32"/>
  <c r="BO15" i="45"/>
  <c r="BO15" i="41"/>
  <c r="BO15" i="22"/>
  <c r="AN51" i="19"/>
  <c r="BO15" i="19" s="1"/>
  <c r="BP16" i="32"/>
  <c r="AO52" i="19"/>
  <c r="BP16" i="19" s="1"/>
  <c r="BP16" i="45"/>
  <c r="BP16" i="22"/>
  <c r="BP16" i="41"/>
  <c r="BP15" i="32"/>
  <c r="BP15" i="41"/>
  <c r="AO51" i="19"/>
  <c r="BP15" i="19" s="1"/>
  <c r="BP15" i="22"/>
  <c r="BP15" i="45"/>
  <c r="BO16" i="41"/>
  <c r="AN52" i="19"/>
  <c r="BO16" i="19" s="1"/>
  <c r="BO16" i="32"/>
  <c r="BO16" i="22"/>
  <c r="BO16" i="45"/>
  <c r="CL62" i="32"/>
  <c r="CL41" i="32"/>
  <c r="CL51" i="32"/>
  <c r="CL42" i="32"/>
  <c r="CL69" i="32"/>
  <c r="Z69" i="32"/>
  <c r="Q69" i="32" s="1"/>
  <c r="CL44" i="32"/>
  <c r="CL65" i="32"/>
  <c r="EU65" i="32"/>
  <c r="CL64" i="32"/>
  <c r="CL50" i="32"/>
  <c r="CL57" i="32"/>
  <c r="EU57" i="32"/>
  <c r="CL77" i="32"/>
  <c r="CL76" i="32"/>
  <c r="CL71" i="32"/>
  <c r="CL52" i="32"/>
  <c r="Z52" i="32"/>
  <c r="Q52" i="32" s="1"/>
  <c r="CL72" i="32"/>
  <c r="Z72" i="32"/>
  <c r="Q72" i="32" s="1"/>
  <c r="CL47" i="32"/>
  <c r="CL54" i="32"/>
  <c r="Z54" i="32"/>
  <c r="Q54" i="32" s="1"/>
  <c r="CL45" i="32"/>
  <c r="CL66" i="32"/>
  <c r="CL53" i="32"/>
  <c r="CL74" i="32"/>
  <c r="CL56" i="32"/>
  <c r="CL46" i="32"/>
  <c r="CL59" i="32"/>
  <c r="CL48" i="32"/>
  <c r="CL63" i="32"/>
  <c r="CL58" i="32"/>
  <c r="CL75" i="32"/>
  <c r="CL68" i="32"/>
  <c r="CL78" i="32"/>
  <c r="CL70" i="32"/>
  <c r="CL60" i="32"/>
  <c r="EU78" i="32"/>
  <c r="EU46" i="32"/>
  <c r="EU69" i="32"/>
  <c r="Z45" i="32"/>
  <c r="Q45" i="32" s="1"/>
  <c r="Z48" i="32"/>
  <c r="Q48" i="32" s="1"/>
  <c r="Z76" i="32"/>
  <c r="Q76" i="32" s="1"/>
  <c r="Z47" i="32"/>
  <c r="Q47" i="32" s="1"/>
  <c r="Z50" i="32"/>
  <c r="Q50" i="32" s="1"/>
  <c r="EU58" i="32"/>
  <c r="Z42" i="32"/>
  <c r="Q42" i="32" s="1"/>
  <c r="Z53" i="32"/>
  <c r="Q53" i="32" s="1"/>
  <c r="Z71" i="32"/>
  <c r="Q71" i="32" s="1"/>
  <c r="EU47" i="32"/>
  <c r="EU60" i="32"/>
  <c r="Z60" i="32"/>
  <c r="Q60" i="32" s="1"/>
  <c r="EU54" i="32"/>
  <c r="EU77" i="32"/>
  <c r="EU66" i="32"/>
  <c r="Z78" i="32"/>
  <c r="Q78" i="32" s="1"/>
  <c r="EU51" i="32"/>
  <c r="Z66" i="32"/>
  <c r="Q66" i="32" s="1"/>
  <c r="Z46" i="32"/>
  <c r="Q46" i="32" s="1"/>
  <c r="EU44" i="32"/>
  <c r="Z51" i="32"/>
  <c r="Q51" i="32" s="1"/>
  <c r="EU63" i="32"/>
  <c r="Z68" i="32"/>
  <c r="Q68" i="32" s="1"/>
  <c r="Z41" i="32"/>
  <c r="Q41" i="32" s="1"/>
  <c r="EU52" i="32"/>
  <c r="EU48" i="32"/>
  <c r="EU68" i="32"/>
  <c r="Z57" i="32"/>
  <c r="Q57" i="32" s="1"/>
  <c r="Z65" i="32"/>
  <c r="Q65" i="32" s="1"/>
  <c r="EU76" i="32"/>
  <c r="EU59" i="32"/>
  <c r="EU50" i="32"/>
  <c r="Z63" i="32"/>
  <c r="Q63" i="32" s="1"/>
  <c r="Z58" i="32"/>
  <c r="Q58" i="32" s="1"/>
  <c r="Z64" i="32"/>
  <c r="Q64" i="32" s="1"/>
  <c r="Z74" i="32"/>
  <c r="Q74" i="32" s="1"/>
  <c r="EU70" i="32"/>
  <c r="Z70" i="32"/>
  <c r="Q70" i="32" s="1"/>
  <c r="EU45" i="32"/>
  <c r="EU41" i="32"/>
  <c r="EU72" i="32"/>
  <c r="EU56" i="32"/>
  <c r="EU62" i="32"/>
  <c r="Z75" i="32"/>
  <c r="Q75" i="32" s="1"/>
  <c r="Z62" i="32"/>
  <c r="Q62" i="32" s="1"/>
  <c r="EU53" i="32"/>
  <c r="Z59" i="32"/>
  <c r="Q59" i="32" s="1"/>
  <c r="Z44" i="32"/>
  <c r="Q44" i="32" s="1"/>
  <c r="EU71" i="32"/>
  <c r="Z56" i="32"/>
  <c r="Q56" i="32" s="1"/>
  <c r="EU75" i="32"/>
  <c r="EU42" i="32"/>
  <c r="EU64" i="32"/>
  <c r="EU74" i="32"/>
  <c r="Z77" i="32"/>
  <c r="Q77" i="32" s="1"/>
  <c r="CL45" i="47"/>
  <c r="CL36" i="47"/>
  <c r="CL38" i="47"/>
  <c r="CL48" i="47"/>
  <c r="BV26" i="45"/>
  <c r="BV30" i="45"/>
  <c r="BL30" i="45"/>
  <c r="BO12" i="47"/>
  <c r="BO12" i="41"/>
  <c r="BO12" i="32"/>
  <c r="BO12" i="22"/>
  <c r="BO12" i="45"/>
  <c r="AN48" i="19"/>
  <c r="BO12" i="19" s="1"/>
  <c r="CL44" i="47"/>
  <c r="CL47" i="47"/>
  <c r="CL40" i="47"/>
  <c r="CL51" i="47"/>
  <c r="CL78" i="47"/>
  <c r="CL42" i="47"/>
  <c r="CL41" i="47"/>
  <c r="CL39" i="47"/>
  <c r="CL46" i="47"/>
  <c r="CL50" i="47"/>
  <c r="CL78" i="45"/>
  <c r="Z78" i="45"/>
  <c r="H78" i="45" s="1"/>
  <c r="BO14" i="47"/>
  <c r="BO14" i="32"/>
  <c r="AN50" i="19"/>
  <c r="BO14" i="19" s="1"/>
  <c r="BO14" i="45"/>
  <c r="BO14" i="41"/>
  <c r="BO14" i="22"/>
  <c r="BP13" i="47"/>
  <c r="AO49" i="19"/>
  <c r="BP13" i="19" s="1"/>
  <c r="BP13" i="22"/>
  <c r="BP13" i="41"/>
  <c r="BP13" i="45"/>
  <c r="BP13" i="32"/>
  <c r="BO13" i="47"/>
  <c r="BO13" i="32"/>
  <c r="BO13" i="45"/>
  <c r="BO13" i="22"/>
  <c r="BO13" i="41"/>
  <c r="AN49" i="19"/>
  <c r="BO13" i="19" s="1"/>
  <c r="BP14" i="22"/>
  <c r="BP14" i="41"/>
  <c r="BP14" i="45"/>
  <c r="BP14" i="47"/>
  <c r="AO50" i="19"/>
  <c r="BP14" i="19" s="1"/>
  <c r="BP14" i="32"/>
  <c r="Z46" i="47"/>
  <c r="Q46" i="47" s="1"/>
  <c r="EU78" i="47"/>
  <c r="Z50" i="47"/>
  <c r="EU50" i="47"/>
  <c r="EU47" i="47"/>
  <c r="Z47" i="47"/>
  <c r="Q47" i="47" s="1"/>
  <c r="EU41" i="47"/>
  <c r="Z41" i="47"/>
  <c r="CL60" i="41"/>
  <c r="EU60" i="41"/>
  <c r="CL77" i="41"/>
  <c r="CL59" i="41"/>
  <c r="CL57" i="41"/>
  <c r="CL66" i="41"/>
  <c r="CL71" i="41"/>
  <c r="CL76" i="41"/>
  <c r="CL65" i="41"/>
  <c r="CL58" i="41"/>
  <c r="CL64" i="41"/>
  <c r="CL72" i="41"/>
  <c r="Z72" i="41"/>
  <c r="CL78" i="41"/>
  <c r="CL63" i="41"/>
  <c r="CL69" i="41"/>
  <c r="CL70" i="41"/>
  <c r="Z77" i="41"/>
  <c r="EU46" i="47"/>
  <c r="EU71" i="41"/>
  <c r="Z65" i="41"/>
  <c r="Q65" i="41" s="1"/>
  <c r="Z63" i="41"/>
  <c r="Q63" i="41" s="1"/>
  <c r="Z60" i="41"/>
  <c r="Q60" i="41" s="1"/>
  <c r="EU70" i="41"/>
  <c r="Z78" i="47"/>
  <c r="EM78" i="47" s="1"/>
  <c r="EU65" i="41"/>
  <c r="Z70" i="41"/>
  <c r="EM70" i="41" s="1"/>
  <c r="EU78" i="41"/>
  <c r="Z76" i="41"/>
  <c r="EM76" i="41" s="1"/>
  <c r="EU72" i="41"/>
  <c r="EU66" i="41"/>
  <c r="EU58" i="41"/>
  <c r="EU63" i="41"/>
  <c r="EU40" i="47"/>
  <c r="Z44" i="47"/>
  <c r="Q44" i="47" s="1"/>
  <c r="EU44" i="47"/>
  <c r="Z59" i="41"/>
  <c r="Z57" i="41"/>
  <c r="Q57" i="41" s="1"/>
  <c r="Z69" i="41"/>
  <c r="EU64" i="41"/>
  <c r="Z71" i="41"/>
  <c r="EM71" i="41" s="1"/>
  <c r="Z66" i="41"/>
  <c r="Q66" i="41" s="1"/>
  <c r="Z58" i="41"/>
  <c r="Q58" i="41" s="1"/>
  <c r="EU76" i="41"/>
  <c r="EU57" i="41"/>
  <c r="Z78" i="41"/>
  <c r="EU69" i="41"/>
  <c r="Z64" i="41"/>
  <c r="Q64" i="41" s="1"/>
  <c r="EU77" i="41"/>
  <c r="EU59" i="41"/>
  <c r="Z51" i="47"/>
  <c r="Z48" i="47"/>
  <c r="Q48" i="47" s="1"/>
  <c r="EU36" i="47"/>
  <c r="EU51" i="47"/>
  <c r="Z40" i="47"/>
  <c r="EU45" i="47"/>
  <c r="EU48" i="47"/>
  <c r="Z45" i="47"/>
  <c r="EU39" i="47"/>
  <c r="EU42" i="47"/>
  <c r="Z36" i="47"/>
  <c r="Q36" i="47" s="1"/>
  <c r="Z42" i="47"/>
  <c r="Z39" i="47"/>
  <c r="BL29" i="45"/>
  <c r="CL62" i="41"/>
  <c r="CL68" i="41"/>
  <c r="EO63" i="45"/>
  <c r="Z68" i="41"/>
  <c r="EU68" i="41"/>
  <c r="EU62" i="41"/>
  <c r="Z62" i="41"/>
  <c r="Q62" i="41" s="1"/>
  <c r="EO68" i="32"/>
  <c r="J68" i="47"/>
  <c r="EO44" i="41"/>
  <c r="EO32" i="45"/>
  <c r="EO58" i="45"/>
  <c r="EO68" i="47"/>
  <c r="EO75" i="45"/>
  <c r="EO51" i="45"/>
  <c r="EO64" i="45"/>
  <c r="Q70" i="45"/>
  <c r="Q75" i="45"/>
  <c r="Q68" i="47"/>
  <c r="BV27" i="45"/>
  <c r="BL27" i="45"/>
  <c r="AO48" i="19"/>
  <c r="BP12" i="19" s="1"/>
  <c r="BP12" i="41"/>
  <c r="BP12" i="47"/>
  <c r="BP12" i="32"/>
  <c r="BP12" i="45"/>
  <c r="Y39" i="29" l="1"/>
  <c r="V39" i="29"/>
  <c r="EM59" i="41"/>
  <c r="Q59" i="41"/>
  <c r="EM41" i="47"/>
  <c r="Q41" i="47"/>
  <c r="EM51" i="47"/>
  <c r="Q51" i="47"/>
  <c r="EM39" i="47"/>
  <c r="Q39" i="47"/>
  <c r="EM50" i="47"/>
  <c r="Q50" i="47"/>
  <c r="EM40" i="47"/>
  <c r="Q40" i="47"/>
  <c r="EM42" i="47"/>
  <c r="Q42" i="47"/>
  <c r="EM45" i="47"/>
  <c r="Q45" i="47"/>
  <c r="Z38" i="47"/>
  <c r="AR17" i="38"/>
  <c r="G32" i="31" s="1"/>
  <c r="V41" i="29"/>
  <c r="U34" i="29"/>
  <c r="K38" i="47"/>
  <c r="V37" i="29"/>
  <c r="Z36" i="29"/>
  <c r="U36" i="29"/>
  <c r="CR78" i="32"/>
  <c r="CR77" i="32"/>
  <c r="CR70" i="32"/>
  <c r="CR63" i="32"/>
  <c r="CR62" i="32"/>
  <c r="CR65" i="32"/>
  <c r="CR64" i="32"/>
  <c r="CR58" i="32"/>
  <c r="CR59" i="32"/>
  <c r="CR56" i="32"/>
  <c r="CR60" i="32"/>
  <c r="CR52" i="32"/>
  <c r="CR53" i="32"/>
  <c r="CR54" i="32"/>
  <c r="CR50" i="32"/>
  <c r="CR47" i="32"/>
  <c r="CR41" i="32"/>
  <c r="CR42" i="32"/>
  <c r="Z42" i="29"/>
  <c r="AK35" i="45"/>
  <c r="AK35" i="47"/>
  <c r="AK35" i="41"/>
  <c r="AU14" i="45"/>
  <c r="AU14" i="47"/>
  <c r="AU14" i="41"/>
  <c r="AU32" i="45"/>
  <c r="AU32" i="41"/>
  <c r="AU32" i="47"/>
  <c r="AK12" i="45"/>
  <c r="AK12" i="41"/>
  <c r="AK12" i="47"/>
  <c r="AU29" i="45"/>
  <c r="AU29" i="47"/>
  <c r="AU29" i="41"/>
  <c r="AJ12" i="45"/>
  <c r="AJ12" i="41"/>
  <c r="AJ12" i="47"/>
  <c r="W40" i="29"/>
  <c r="AL8" i="47"/>
  <c r="AL8" i="41"/>
  <c r="AU26" i="45"/>
  <c r="AU26" i="47"/>
  <c r="AU26" i="41"/>
  <c r="AK8" i="41"/>
  <c r="AK8" i="47"/>
  <c r="AU39" i="45"/>
  <c r="AU39" i="47"/>
  <c r="AU39" i="41"/>
  <c r="AK23" i="45"/>
  <c r="AK23" i="47"/>
  <c r="AK23" i="41"/>
  <c r="AJ8" i="41"/>
  <c r="AJ8" i="47"/>
  <c r="AU36" i="45"/>
  <c r="AU36" i="41"/>
  <c r="AU36" i="47"/>
  <c r="AU20" i="45"/>
  <c r="AU20" i="47"/>
  <c r="AU20" i="41"/>
  <c r="X35" i="29"/>
  <c r="AU17" i="45"/>
  <c r="AU17" i="41"/>
  <c r="AU17" i="47"/>
  <c r="CV62" i="41"/>
  <c r="CT62" i="41"/>
  <c r="CV78" i="41"/>
  <c r="CT78" i="41"/>
  <c r="CT58" i="41"/>
  <c r="CV58" i="41"/>
  <c r="CV66" i="41"/>
  <c r="CT66" i="41"/>
  <c r="CV50" i="47"/>
  <c r="CT50" i="47"/>
  <c r="CT42" i="47"/>
  <c r="CV42" i="47"/>
  <c r="CT47" i="47"/>
  <c r="CV47" i="47"/>
  <c r="EU38" i="47"/>
  <c r="CT68" i="32"/>
  <c r="CV68" i="32"/>
  <c r="CT48" i="32"/>
  <c r="CV48" i="32"/>
  <c r="CT74" i="32"/>
  <c r="CV74" i="32"/>
  <c r="CT72" i="32"/>
  <c r="CV72" i="32"/>
  <c r="CV76" i="32"/>
  <c r="CT76" i="32"/>
  <c r="CT50" i="32"/>
  <c r="CV50" i="32"/>
  <c r="CT44" i="32"/>
  <c r="CV44" i="32"/>
  <c r="CT51" i="32"/>
  <c r="CV51" i="32"/>
  <c r="CT68" i="41"/>
  <c r="CV68" i="41"/>
  <c r="CT63" i="41"/>
  <c r="CV63" i="41"/>
  <c r="CV64" i="41"/>
  <c r="CT64" i="41"/>
  <c r="CV71" i="41"/>
  <c r="CT71" i="41"/>
  <c r="CT77" i="41"/>
  <c r="CV77" i="41"/>
  <c r="CV78" i="45"/>
  <c r="CT78" i="45"/>
  <c r="CV41" i="47"/>
  <c r="CT41" i="47"/>
  <c r="CV40" i="47"/>
  <c r="CT40" i="47"/>
  <c r="CV48" i="47"/>
  <c r="CT48" i="47"/>
  <c r="CT78" i="32"/>
  <c r="CV78" i="32"/>
  <c r="CT63" i="32"/>
  <c r="CV63" i="32"/>
  <c r="CT56" i="32"/>
  <c r="CV56" i="32"/>
  <c r="CT45" i="32"/>
  <c r="CV45" i="32"/>
  <c r="CV71" i="32"/>
  <c r="CT71" i="32"/>
  <c r="CV57" i="32"/>
  <c r="CT57" i="32"/>
  <c r="CT65" i="32"/>
  <c r="CV65" i="32"/>
  <c r="CV42" i="32"/>
  <c r="CT42" i="32"/>
  <c r="CV69" i="41"/>
  <c r="CT69" i="41"/>
  <c r="CT72" i="41"/>
  <c r="CV72" i="41"/>
  <c r="CV76" i="41"/>
  <c r="CT76" i="41"/>
  <c r="CV59" i="41"/>
  <c r="CT59" i="41"/>
  <c r="CV39" i="47"/>
  <c r="CT39" i="47"/>
  <c r="CV51" i="47"/>
  <c r="CT51" i="47"/>
  <c r="CV45" i="47"/>
  <c r="CT45" i="47"/>
  <c r="CT70" i="32"/>
  <c r="CV70" i="32"/>
  <c r="CT58" i="32"/>
  <c r="CV58" i="32"/>
  <c r="CT46" i="32"/>
  <c r="CV46" i="32"/>
  <c r="CV66" i="32"/>
  <c r="CT66" i="32"/>
  <c r="CV47" i="32"/>
  <c r="CT47" i="32"/>
  <c r="CV52" i="32"/>
  <c r="CT52" i="32"/>
  <c r="CT69" i="32"/>
  <c r="CV69" i="32"/>
  <c r="CV62" i="32"/>
  <c r="CT62" i="32"/>
  <c r="CV70" i="41"/>
  <c r="CT70" i="41"/>
  <c r="CV65" i="41"/>
  <c r="CT65" i="41"/>
  <c r="CV57" i="41"/>
  <c r="CT57" i="41"/>
  <c r="CV60" i="41"/>
  <c r="CT60" i="41"/>
  <c r="CV46" i="47"/>
  <c r="CT46" i="47"/>
  <c r="CV78" i="47"/>
  <c r="CT78" i="47"/>
  <c r="CV44" i="47"/>
  <c r="CT44" i="47"/>
  <c r="CV36" i="47"/>
  <c r="CT36" i="47"/>
  <c r="CT60" i="32"/>
  <c r="CV60" i="32"/>
  <c r="CT75" i="32"/>
  <c r="CV75" i="32"/>
  <c r="CT59" i="32"/>
  <c r="CV59" i="32"/>
  <c r="CT53" i="32"/>
  <c r="CV53" i="32"/>
  <c r="CT54" i="32"/>
  <c r="CV54" i="32"/>
  <c r="CT77" i="32"/>
  <c r="CV77" i="32"/>
  <c r="CT64" i="32"/>
  <c r="CV64" i="32"/>
  <c r="CT41" i="32"/>
  <c r="CV41" i="32"/>
  <c r="H76" i="32"/>
  <c r="ER76" i="32" s="1"/>
  <c r="CR76" i="32"/>
  <c r="H75" i="32"/>
  <c r="ER75" i="32" s="1"/>
  <c r="CR75" i="32"/>
  <c r="H74" i="32"/>
  <c r="ER74" i="32" s="1"/>
  <c r="ES74" i="32" s="1"/>
  <c r="CR74" i="32"/>
  <c r="H68" i="32"/>
  <c r="ER68" i="32" s="1"/>
  <c r="CR68" i="32"/>
  <c r="H72" i="32"/>
  <c r="ER72" i="32" s="1"/>
  <c r="ES72" i="32" s="1"/>
  <c r="CR72" i="32"/>
  <c r="H71" i="32"/>
  <c r="ER71" i="32" s="1"/>
  <c r="ET71" i="32" s="1"/>
  <c r="CR71" i="32"/>
  <c r="H69" i="32"/>
  <c r="ER69" i="32" s="1"/>
  <c r="CR69" i="32"/>
  <c r="H66" i="32"/>
  <c r="ER66" i="32" s="1"/>
  <c r="CR66" i="32"/>
  <c r="H57" i="32"/>
  <c r="ER57" i="32" s="1"/>
  <c r="CR57" i="32"/>
  <c r="H51" i="32"/>
  <c r="ER51" i="32" s="1"/>
  <c r="CR51" i="32"/>
  <c r="H44" i="32"/>
  <c r="ER44" i="32" s="1"/>
  <c r="ET44" i="32" s="1"/>
  <c r="CR44" i="32"/>
  <c r="H48" i="32"/>
  <c r="ER48" i="32" s="1"/>
  <c r="ET48" i="32" s="1"/>
  <c r="CR48" i="32"/>
  <c r="H46" i="32"/>
  <c r="ER46" i="32" s="1"/>
  <c r="ES46" i="32" s="1"/>
  <c r="CR46" i="32"/>
  <c r="H45" i="32"/>
  <c r="ER45" i="32" s="1"/>
  <c r="CR45" i="32"/>
  <c r="EP78" i="32"/>
  <c r="H78" i="32"/>
  <c r="ER78" i="32" s="1"/>
  <c r="ES78" i="32" s="1"/>
  <c r="EP77" i="32"/>
  <c r="H77" i="32"/>
  <c r="ER77" i="32" s="1"/>
  <c r="ET77" i="32" s="1"/>
  <c r="EP70" i="32"/>
  <c r="H70" i="32"/>
  <c r="ER70" i="32" s="1"/>
  <c r="EP62" i="32"/>
  <c r="H62" i="32"/>
  <c r="ER62" i="32" s="1"/>
  <c r="EP65" i="32"/>
  <c r="H65" i="32"/>
  <c r="ER65" i="32" s="1"/>
  <c r="EP64" i="32"/>
  <c r="H64" i="32"/>
  <c r="ER64" i="32" s="1"/>
  <c r="ET64" i="32" s="1"/>
  <c r="EP63" i="32"/>
  <c r="H63" i="32"/>
  <c r="ER63" i="32" s="1"/>
  <c r="ES63" i="32" s="1"/>
  <c r="EP56" i="32"/>
  <c r="H56" i="32"/>
  <c r="ER56" i="32" s="1"/>
  <c r="EP58" i="32"/>
  <c r="H58" i="32"/>
  <c r="ER58" i="32" s="1"/>
  <c r="EP59" i="32"/>
  <c r="H59" i="32"/>
  <c r="ER59" i="32" s="1"/>
  <c r="ET59" i="32" s="1"/>
  <c r="EP60" i="32"/>
  <c r="H60" i="32"/>
  <c r="ER60" i="32" s="1"/>
  <c r="EP50" i="32"/>
  <c r="H50" i="32"/>
  <c r="ER50" i="32" s="1"/>
  <c r="ES50" i="32" s="1"/>
  <c r="EP52" i="32"/>
  <c r="H52" i="32"/>
  <c r="ER52" i="32" s="1"/>
  <c r="ES52" i="32" s="1"/>
  <c r="EP53" i="32"/>
  <c r="H53" i="32"/>
  <c r="ER53" i="32" s="1"/>
  <c r="ES53" i="32" s="1"/>
  <c r="EP54" i="32"/>
  <c r="H54" i="32"/>
  <c r="ER54" i="32" s="1"/>
  <c r="EP47" i="32"/>
  <c r="H47" i="32"/>
  <c r="ER47" i="32" s="1"/>
  <c r="ET47" i="32" s="1"/>
  <c r="EP41" i="32"/>
  <c r="H41" i="32"/>
  <c r="ER41" i="32" s="1"/>
  <c r="ET41" i="32" s="1"/>
  <c r="EP42" i="32"/>
  <c r="H42" i="32"/>
  <c r="ER42" i="32" s="1"/>
  <c r="ES42" i="32" s="1"/>
  <c r="EM76" i="32"/>
  <c r="EP76" i="32"/>
  <c r="EM75" i="32"/>
  <c r="EP75" i="32"/>
  <c r="EM74" i="32"/>
  <c r="EP74" i="32"/>
  <c r="EM69" i="32"/>
  <c r="EP69" i="32"/>
  <c r="EM71" i="32"/>
  <c r="EP71" i="32"/>
  <c r="EM68" i="32"/>
  <c r="EP68" i="32"/>
  <c r="EM72" i="32"/>
  <c r="EP72" i="32"/>
  <c r="EM66" i="32"/>
  <c r="EP66" i="32"/>
  <c r="EM57" i="32"/>
  <c r="EP57" i="32"/>
  <c r="EM51" i="32"/>
  <c r="EP51" i="32"/>
  <c r="EM46" i="32"/>
  <c r="EP46" i="32"/>
  <c r="EM48" i="32"/>
  <c r="EP48" i="32"/>
  <c r="EM45" i="32"/>
  <c r="EP45" i="32"/>
  <c r="EM44" i="32"/>
  <c r="EP44" i="32"/>
  <c r="EM78" i="32"/>
  <c r="EM77" i="32"/>
  <c r="EM70" i="32"/>
  <c r="EM65" i="32"/>
  <c r="EM64" i="32"/>
  <c r="EM63" i="32"/>
  <c r="EQ62" i="32"/>
  <c r="EM62" i="32"/>
  <c r="EM60" i="32"/>
  <c r="EM59" i="32"/>
  <c r="EQ58" i="32"/>
  <c r="EM58" i="32"/>
  <c r="EM56" i="32"/>
  <c r="EQ54" i="32"/>
  <c r="EM54" i="32"/>
  <c r="EM53" i="32"/>
  <c r="EM52" i="32"/>
  <c r="EQ50" i="32"/>
  <c r="EM50" i="32"/>
  <c r="EM47" i="32"/>
  <c r="EM42" i="32"/>
  <c r="EM41" i="32"/>
  <c r="H68" i="41"/>
  <c r="ER68" i="41" s="1"/>
  <c r="ES68" i="41" s="1"/>
  <c r="EM68" i="41"/>
  <c r="H65" i="41"/>
  <c r="ER65" i="41" s="1"/>
  <c r="EM65" i="41"/>
  <c r="H72" i="41"/>
  <c r="ER72" i="41" s="1"/>
  <c r="EM72" i="41"/>
  <c r="H58" i="41"/>
  <c r="ER58" i="41" s="1"/>
  <c r="EM58" i="41"/>
  <c r="H66" i="41"/>
  <c r="ER66" i="41" s="1"/>
  <c r="EM66" i="41"/>
  <c r="H77" i="41"/>
  <c r="ER77" i="41" s="1"/>
  <c r="ES77" i="41" s="1"/>
  <c r="EM77" i="41"/>
  <c r="H62" i="41"/>
  <c r="ER62" i="41" s="1"/>
  <c r="ES62" i="41" s="1"/>
  <c r="EM62" i="41"/>
  <c r="H64" i="41"/>
  <c r="ER64" i="41" s="1"/>
  <c r="ET64" i="41" s="1"/>
  <c r="EM64" i="41"/>
  <c r="H69" i="41"/>
  <c r="ER69" i="41" s="1"/>
  <c r="EM69" i="41"/>
  <c r="H60" i="41"/>
  <c r="ER60" i="41" s="1"/>
  <c r="EM60" i="41"/>
  <c r="H78" i="41"/>
  <c r="ER78" i="41" s="1"/>
  <c r="EM78" i="41"/>
  <c r="H57" i="41"/>
  <c r="ER57" i="41" s="1"/>
  <c r="ES57" i="41" s="1"/>
  <c r="EM57" i="41"/>
  <c r="H63" i="41"/>
  <c r="ER63" i="41" s="1"/>
  <c r="ES63" i="41" s="1"/>
  <c r="EM63" i="41"/>
  <c r="H48" i="47"/>
  <c r="ER48" i="47" s="1"/>
  <c r="EM48" i="47"/>
  <c r="H44" i="47"/>
  <c r="ER44" i="47" s="1"/>
  <c r="EM44" i="47"/>
  <c r="H46" i="47"/>
  <c r="ER46" i="47" s="1"/>
  <c r="ES46" i="47" s="1"/>
  <c r="EM46" i="47"/>
  <c r="H47" i="47"/>
  <c r="ER47" i="47" s="1"/>
  <c r="EM47" i="47"/>
  <c r="H36" i="47"/>
  <c r="ER36" i="47" s="1"/>
  <c r="EM36" i="47"/>
  <c r="H59" i="41"/>
  <c r="ER59" i="41" s="1"/>
  <c r="ET59" i="41" s="1"/>
  <c r="H76" i="41"/>
  <c r="ER76" i="41" s="1"/>
  <c r="H70" i="41"/>
  <c r="ER70" i="41" s="1"/>
  <c r="H71" i="41"/>
  <c r="ER71" i="41" s="1"/>
  <c r="ET71" i="41" s="1"/>
  <c r="H78" i="47"/>
  <c r="ER78" i="47" s="1"/>
  <c r="ET78" i="47" s="1"/>
  <c r="H51" i="47"/>
  <c r="ER51" i="47" s="1"/>
  <c r="ES51" i="47" s="1"/>
  <c r="H50" i="47"/>
  <c r="ER50" i="47" s="1"/>
  <c r="H45" i="47"/>
  <c r="ER45" i="47" s="1"/>
  <c r="ET45" i="47" s="1"/>
  <c r="H42" i="47"/>
  <c r="ER42" i="47" s="1"/>
  <c r="H39" i="47"/>
  <c r="ER39" i="47" s="1"/>
  <c r="ET39" i="47" s="1"/>
  <c r="H41" i="47"/>
  <c r="ER41" i="47" s="1"/>
  <c r="ET41" i="47" s="1"/>
  <c r="H40" i="47"/>
  <c r="ER40" i="47" s="1"/>
  <c r="ET40" i="47" s="1"/>
  <c r="ER78" i="45"/>
  <c r="ES78" i="45" s="1"/>
  <c r="EM78" i="45"/>
  <c r="B26" i="43"/>
  <c r="W42" i="29"/>
  <c r="K33" i="29"/>
  <c r="K40" i="29" s="1"/>
  <c r="AL8" i="45"/>
  <c r="Z39" i="29"/>
  <c r="H33" i="29"/>
  <c r="H40" i="29" s="1"/>
  <c r="AK8" i="45"/>
  <c r="L33" i="29"/>
  <c r="L40" i="29" s="1"/>
  <c r="N33" i="29"/>
  <c r="N40" i="29" s="1"/>
  <c r="G33" i="29"/>
  <c r="G40" i="29" s="1"/>
  <c r="N32" i="29"/>
  <c r="N39" i="29" s="1"/>
  <c r="AJ8" i="45"/>
  <c r="I3" i="32"/>
  <c r="I3" i="22"/>
  <c r="D6" i="41"/>
  <c r="AG3" i="41"/>
  <c r="M88" i="41"/>
  <c r="AF3" i="41"/>
  <c r="L88" i="41"/>
  <c r="AE3" i="41"/>
  <c r="O88" i="41"/>
  <c r="AD3" i="41"/>
  <c r="N88" i="41"/>
  <c r="D6" i="22"/>
  <c r="AG3" i="22"/>
  <c r="O88" i="22"/>
  <c r="L88" i="22"/>
  <c r="AF3" i="22"/>
  <c r="N88" i="22"/>
  <c r="AE3" i="22"/>
  <c r="M88" i="22"/>
  <c r="AD3" i="22"/>
  <c r="D6" i="45"/>
  <c r="AG3" i="45"/>
  <c r="M88" i="45"/>
  <c r="AF3" i="45"/>
  <c r="L88" i="45"/>
  <c r="AE3" i="45"/>
  <c r="O88" i="45"/>
  <c r="AD3" i="45"/>
  <c r="N88" i="45"/>
  <c r="D6" i="47"/>
  <c r="AG3" i="47"/>
  <c r="M88" i="47"/>
  <c r="N88" i="47"/>
  <c r="AF3" i="47"/>
  <c r="L88" i="47"/>
  <c r="AE3" i="47"/>
  <c r="O88" i="47"/>
  <c r="AD3" i="47"/>
  <c r="D6" i="32"/>
  <c r="AE3" i="32"/>
  <c r="M88" i="32"/>
  <c r="N88" i="32"/>
  <c r="AD3" i="32"/>
  <c r="L88" i="32"/>
  <c r="AG3" i="32"/>
  <c r="O88" i="32"/>
  <c r="AF3" i="32"/>
  <c r="C39" i="38"/>
  <c r="C49" i="38"/>
  <c r="J38" i="47"/>
  <c r="O88" i="19"/>
  <c r="M88" i="19"/>
  <c r="L88" i="19"/>
  <c r="N88" i="19"/>
  <c r="BJ13" i="22"/>
  <c r="BW13" i="22" s="1"/>
  <c r="BW12" i="22"/>
  <c r="CO4" i="45"/>
  <c r="L7" i="45" s="1"/>
  <c r="BH12" i="45"/>
  <c r="EN51" i="45" s="1"/>
  <c r="BH13" i="45"/>
  <c r="AL8" i="19"/>
  <c r="BL23" i="22"/>
  <c r="BL31" i="41"/>
  <c r="DS63" i="41"/>
  <c r="CS71" i="41"/>
  <c r="CU78" i="41"/>
  <c r="CU58" i="41"/>
  <c r="CO66" i="41"/>
  <c r="DS65" i="41"/>
  <c r="CO57" i="41"/>
  <c r="DS68" i="41"/>
  <c r="CS69" i="41"/>
  <c r="CO72" i="41"/>
  <c r="CU76" i="41"/>
  <c r="CO59" i="41"/>
  <c r="CS46" i="47"/>
  <c r="DS44" i="47"/>
  <c r="CS41" i="47"/>
  <c r="CS40" i="47"/>
  <c r="CU39" i="47"/>
  <c r="CS47" i="47"/>
  <c r="CU45" i="47"/>
  <c r="DS74" i="32"/>
  <c r="DS75" i="32"/>
  <c r="DS77" i="32"/>
  <c r="CS68" i="32"/>
  <c r="CO71" i="32"/>
  <c r="CS64" i="32"/>
  <c r="DS58" i="32"/>
  <c r="DS56" i="32"/>
  <c r="CO50" i="32"/>
  <c r="CU53" i="32"/>
  <c r="CS54" i="32"/>
  <c r="DS52" i="32"/>
  <c r="CO48" i="32"/>
  <c r="DS46" i="32"/>
  <c r="CO47" i="32"/>
  <c r="CO45" i="32"/>
  <c r="DS41" i="32"/>
  <c r="BV27" i="22"/>
  <c r="BL25" i="19"/>
  <c r="BV30" i="22"/>
  <c r="BL31" i="22"/>
  <c r="BL26" i="22"/>
  <c r="BL28" i="19"/>
  <c r="BL13" i="19"/>
  <c r="BV30" i="41"/>
  <c r="BJ13" i="47"/>
  <c r="BW12" i="47"/>
  <c r="BW33" i="19"/>
  <c r="BJ34" i="19"/>
  <c r="BV29" i="19"/>
  <c r="BL27" i="19"/>
  <c r="BW12" i="32"/>
  <c r="BJ13" i="32"/>
  <c r="BJ14" i="32" s="1"/>
  <c r="BW14" i="32" s="1"/>
  <c r="BV29" i="32"/>
  <c r="BV30" i="32"/>
  <c r="BV12" i="47"/>
  <c r="BL12" i="47"/>
  <c r="BV16" i="47"/>
  <c r="BL16" i="47"/>
  <c r="BL17" i="47"/>
  <c r="BV17" i="47"/>
  <c r="BV19" i="47"/>
  <c r="BL19" i="47"/>
  <c r="BL20" i="47"/>
  <c r="BV20" i="47"/>
  <c r="EG51" i="47"/>
  <c r="EI51" i="47" s="1"/>
  <c r="BV21" i="47"/>
  <c r="BL21" i="47"/>
  <c r="BV22" i="47"/>
  <c r="BL22" i="47"/>
  <c r="BL23" i="47"/>
  <c r="BV23" i="47"/>
  <c r="BL24" i="47"/>
  <c r="BV24" i="47"/>
  <c r="BV25" i="47"/>
  <c r="BL25" i="47"/>
  <c r="BL26" i="47"/>
  <c r="BV26" i="47"/>
  <c r="BV18" i="47"/>
  <c r="BL18" i="47"/>
  <c r="BL13" i="47"/>
  <c r="BV13" i="47"/>
  <c r="BL27" i="47"/>
  <c r="BV27" i="47"/>
  <c r="BV28" i="47"/>
  <c r="BL28" i="47"/>
  <c r="BL29" i="47"/>
  <c r="BV29" i="47"/>
  <c r="BL30" i="47"/>
  <c r="BV30" i="47"/>
  <c r="BV31" i="47"/>
  <c r="BL31" i="47"/>
  <c r="BL14" i="47"/>
  <c r="BV14" i="47"/>
  <c r="BV15" i="47"/>
  <c r="BL15" i="47"/>
  <c r="O100" i="31"/>
  <c r="R53" i="38"/>
  <c r="C86" i="38" s="1"/>
  <c r="H86" i="38" s="1"/>
  <c r="Q99" i="31"/>
  <c r="H103" i="31"/>
  <c r="R51" i="38"/>
  <c r="C84" i="38" s="1"/>
  <c r="H84" i="38" s="1"/>
  <c r="ER7" i="32"/>
  <c r="D166" i="31"/>
  <c r="AK35" i="19"/>
  <c r="AU26" i="19"/>
  <c r="AU14" i="19"/>
  <c r="AU39" i="19"/>
  <c r="AU32" i="19"/>
  <c r="AK23" i="19"/>
  <c r="AK12" i="19"/>
  <c r="AK8" i="19"/>
  <c r="AK8" i="32"/>
  <c r="AU36" i="19"/>
  <c r="AU29" i="19"/>
  <c r="AU20" i="19"/>
  <c r="AJ12" i="19"/>
  <c r="AJ8" i="19"/>
  <c r="AU17" i="19"/>
  <c r="EP5" i="22"/>
  <c r="EP5" i="32"/>
  <c r="BK41" i="47"/>
  <c r="BK56" i="47"/>
  <c r="BK62" i="47" s="1"/>
  <c r="BK68" i="47" s="1"/>
  <c r="BK74" i="47" s="1"/>
  <c r="BK80" i="47" s="1"/>
  <c r="BK86" i="47" s="1"/>
  <c r="BK92" i="47" s="1"/>
  <c r="BK44" i="47"/>
  <c r="BJ34" i="45"/>
  <c r="BW33" i="45"/>
  <c r="BK50" i="22"/>
  <c r="BK50" i="32"/>
  <c r="BK50" i="45"/>
  <c r="BK50" i="19"/>
  <c r="BJ14" i="22"/>
  <c r="BL12" i="19"/>
  <c r="BL13" i="45"/>
  <c r="E34" i="38"/>
  <c r="R32" i="38" s="1"/>
  <c r="N232" i="31"/>
  <c r="EH35" i="47"/>
  <c r="EK35" i="47" s="1"/>
  <c r="EH66" i="41"/>
  <c r="EK66" i="41" s="1"/>
  <c r="EG51" i="41"/>
  <c r="EJ51" i="41" s="1"/>
  <c r="EG71" i="19"/>
  <c r="EI71" i="19" s="1"/>
  <c r="EH48" i="47"/>
  <c r="EL48" i="47" s="1"/>
  <c r="EH54" i="22"/>
  <c r="EK54" i="22" s="1"/>
  <c r="BG3" i="47"/>
  <c r="BH24" i="47"/>
  <c r="I3" i="47"/>
  <c r="I3" i="41"/>
  <c r="N44" i="38"/>
  <c r="EH75" i="19"/>
  <c r="EH33" i="19"/>
  <c r="EH15" i="19"/>
  <c r="EG11" i="32"/>
  <c r="EG9" i="32"/>
  <c r="EG59" i="41"/>
  <c r="EJ59" i="41" s="1"/>
  <c r="EG53" i="32"/>
  <c r="EJ53" i="32" s="1"/>
  <c r="EG54" i="32"/>
  <c r="EI54" i="32" s="1"/>
  <c r="EG10" i="41"/>
  <c r="EG76" i="32"/>
  <c r="EI76" i="32" s="1"/>
  <c r="EG35" i="32"/>
  <c r="EI35" i="32" s="1"/>
  <c r="EG11" i="45"/>
  <c r="EG53" i="41"/>
  <c r="EJ53" i="41" s="1"/>
  <c r="EG46" i="32"/>
  <c r="EI46" i="32" s="1"/>
  <c r="EH75" i="22"/>
  <c r="EL75" i="22" s="1"/>
  <c r="EH42" i="47"/>
  <c r="EK42" i="47" s="1"/>
  <c r="EG44" i="41"/>
  <c r="EJ44" i="41" s="1"/>
  <c r="EG26" i="45"/>
  <c r="EJ26" i="45" s="1"/>
  <c r="EG64" i="32"/>
  <c r="EI64" i="32" s="1"/>
  <c r="EH36" i="19"/>
  <c r="EK36" i="19" s="1"/>
  <c r="EG24" i="19"/>
  <c r="EJ24" i="19" s="1"/>
  <c r="EG28" i="19"/>
  <c r="EI28" i="19" s="1"/>
  <c r="EH66" i="47"/>
  <c r="EK66" i="47" s="1"/>
  <c r="EH26" i="19"/>
  <c r="EH71" i="47"/>
  <c r="EK71" i="47" s="1"/>
  <c r="EH47" i="47"/>
  <c r="EL47" i="47" s="1"/>
  <c r="EH14" i="47"/>
  <c r="EL14" i="47" s="1"/>
  <c r="EG78" i="19"/>
  <c r="EI78" i="19" s="1"/>
  <c r="EH26" i="47"/>
  <c r="EH20" i="47"/>
  <c r="EH62" i="47"/>
  <c r="EK62" i="47" s="1"/>
  <c r="EH60" i="47"/>
  <c r="EK60" i="47" s="1"/>
  <c r="EG16" i="19"/>
  <c r="CP4" i="41"/>
  <c r="M7" i="41" s="1"/>
  <c r="CM4" i="47"/>
  <c r="EH71" i="19"/>
  <c r="EL71" i="19" s="1"/>
  <c r="EH60" i="19"/>
  <c r="EH30" i="19"/>
  <c r="EK30" i="19" s="1"/>
  <c r="EH46" i="19"/>
  <c r="EL46" i="19" s="1"/>
  <c r="EH21" i="19"/>
  <c r="EH47" i="19"/>
  <c r="EL47" i="19" s="1"/>
  <c r="EH34" i="19"/>
  <c r="EL34" i="19" s="1"/>
  <c r="EH9" i="19"/>
  <c r="EH44" i="19"/>
  <c r="EL44" i="19" s="1"/>
  <c r="EH10" i="19"/>
  <c r="EH40" i="19"/>
  <c r="EK40" i="19" s="1"/>
  <c r="EG15" i="19"/>
  <c r="DD41" i="19"/>
  <c r="DD11" i="19"/>
  <c r="DD40" i="19"/>
  <c r="EG54" i="19"/>
  <c r="EJ54" i="19" s="1"/>
  <c r="EG45" i="19"/>
  <c r="EI45" i="19" s="1"/>
  <c r="EG26" i="19"/>
  <c r="EJ26" i="19" s="1"/>
  <c r="EG47" i="19"/>
  <c r="EJ47" i="19" s="1"/>
  <c r="DD64" i="19"/>
  <c r="EG53" i="19"/>
  <c r="EJ53" i="19" s="1"/>
  <c r="DD78" i="19"/>
  <c r="DD60" i="19"/>
  <c r="EG21" i="19"/>
  <c r="EG46" i="19"/>
  <c r="EJ46" i="19" s="1"/>
  <c r="EG41" i="19"/>
  <c r="EJ41" i="19" s="1"/>
  <c r="DD58" i="19"/>
  <c r="DD75" i="19"/>
  <c r="EG65" i="19"/>
  <c r="EI65" i="19" s="1"/>
  <c r="EG72" i="19"/>
  <c r="EI72" i="19" s="1"/>
  <c r="DD62" i="19"/>
  <c r="EG44" i="19"/>
  <c r="EI44" i="19" s="1"/>
  <c r="EG75" i="19"/>
  <c r="EI75" i="19" s="1"/>
  <c r="CO4" i="32"/>
  <c r="N7" i="32" s="1"/>
  <c r="BF3" i="19"/>
  <c r="CR4" i="19"/>
  <c r="K6" i="19" s="1"/>
  <c r="EH36" i="41"/>
  <c r="EL36" i="41" s="1"/>
  <c r="EH42" i="41"/>
  <c r="EL42" i="41" s="1"/>
  <c r="C172" i="31"/>
  <c r="BH3" i="19"/>
  <c r="N82" i="19" s="1"/>
  <c r="M36" i="38"/>
  <c r="EH68" i="41"/>
  <c r="EK68" i="41" s="1"/>
  <c r="EH44" i="41"/>
  <c r="EK44" i="41" s="1"/>
  <c r="EH48" i="41"/>
  <c r="EL48" i="41" s="1"/>
  <c r="EH17" i="41"/>
  <c r="DD42" i="41"/>
  <c r="EH27" i="41"/>
  <c r="EH23" i="41"/>
  <c r="EK23" i="41" s="1"/>
  <c r="EH18" i="41"/>
  <c r="EK18" i="41" s="1"/>
  <c r="BV12" i="22"/>
  <c r="BV29" i="41"/>
  <c r="BL26" i="32"/>
  <c r="BV20" i="41"/>
  <c r="BL28" i="41"/>
  <c r="BV26" i="19"/>
  <c r="BL23" i="45"/>
  <c r="BV21" i="41"/>
  <c r="BV23" i="19"/>
  <c r="BV17" i="45"/>
  <c r="BV17" i="19"/>
  <c r="BH13" i="41"/>
  <c r="BH12" i="41"/>
  <c r="BE59" i="47"/>
  <c r="BG23" i="19"/>
  <c r="CR4" i="41"/>
  <c r="K6" i="41" s="1"/>
  <c r="DA4" i="41"/>
  <c r="J81" i="41" s="1"/>
  <c r="BH13" i="47"/>
  <c r="BH23" i="47"/>
  <c r="BH3" i="41"/>
  <c r="L82" i="41" s="1"/>
  <c r="BH24" i="41"/>
  <c r="DA4" i="47"/>
  <c r="J81" i="47" s="1"/>
  <c r="R39" i="38"/>
  <c r="C69" i="38" s="1"/>
  <c r="H69" i="38" s="1"/>
  <c r="AX75" i="38"/>
  <c r="S19" i="36"/>
  <c r="R19" i="36"/>
  <c r="CS77" i="41"/>
  <c r="G55" i="40"/>
  <c r="H26" i="40"/>
  <c r="G26" i="40"/>
  <c r="G27" i="40"/>
  <c r="H27" i="40"/>
  <c r="AI87" i="33"/>
  <c r="AI86" i="33"/>
  <c r="BK50" i="41"/>
  <c r="AI75" i="33"/>
  <c r="BV80" i="47" s="1"/>
  <c r="AI72" i="33"/>
  <c r="AI77" i="33"/>
  <c r="Q7" i="33"/>
  <c r="BO65" i="47" s="1"/>
  <c r="E10" i="33"/>
  <c r="BO56" i="47" s="1"/>
  <c r="F10" i="33"/>
  <c r="BP56" i="47" s="1"/>
  <c r="AJ66" i="33"/>
  <c r="AI84" i="33"/>
  <c r="BV92" i="47" s="1"/>
  <c r="AI80" i="33"/>
  <c r="BV86" i="47" s="1"/>
  <c r="AI78" i="33"/>
  <c r="BV56" i="47" s="1"/>
  <c r="CS57" i="41"/>
  <c r="AI83" i="33"/>
  <c r="BV74" i="47" s="1"/>
  <c r="AI74" i="33"/>
  <c r="BV62" i="47" s="1"/>
  <c r="CO75" i="32"/>
  <c r="CS53" i="32"/>
  <c r="BV15" i="22"/>
  <c r="CO54" i="32"/>
  <c r="BL15" i="32"/>
  <c r="DS77" i="41"/>
  <c r="BV14" i="22"/>
  <c r="BL18" i="22"/>
  <c r="BV20" i="22"/>
  <c r="BV21" i="32"/>
  <c r="BL24" i="19"/>
  <c r="BV23" i="32"/>
  <c r="BL21" i="19"/>
  <c r="DS69" i="32"/>
  <c r="BV14" i="41"/>
  <c r="BV15" i="19"/>
  <c r="BV16" i="32"/>
  <c r="BL13" i="41"/>
  <c r="BL16" i="41"/>
  <c r="BV15" i="41"/>
  <c r="BL16" i="22"/>
  <c r="BL21" i="45"/>
  <c r="BL22" i="22"/>
  <c r="BV19" i="41"/>
  <c r="CU47" i="32"/>
  <c r="BV25" i="22"/>
  <c r="BL22" i="41"/>
  <c r="DS47" i="32"/>
  <c r="CU78" i="47"/>
  <c r="CS69" i="32"/>
  <c r="BL18" i="41"/>
  <c r="DS78" i="32"/>
  <c r="BL22" i="19"/>
  <c r="BV22" i="32"/>
  <c r="BV24" i="41"/>
  <c r="CO76" i="32"/>
  <c r="CS44" i="32"/>
  <c r="CU41" i="47"/>
  <c r="BV16" i="19"/>
  <c r="CU78" i="32"/>
  <c r="DS40" i="47"/>
  <c r="CS56" i="32"/>
  <c r="BL13" i="22"/>
  <c r="BV13" i="32"/>
  <c r="BV19" i="45"/>
  <c r="BV14" i="19"/>
  <c r="DS36" i="47"/>
  <c r="BL19" i="22"/>
  <c r="BL16" i="45"/>
  <c r="DS59" i="41"/>
  <c r="CU66" i="32"/>
  <c r="CS44" i="47"/>
  <c r="CS76" i="32"/>
  <c r="BL19" i="32"/>
  <c r="BL17" i="32"/>
  <c r="BV14" i="32"/>
  <c r="BL17" i="22"/>
  <c r="BV20" i="19"/>
  <c r="BV20" i="45"/>
  <c r="CU78" i="45"/>
  <c r="CU66" i="41"/>
  <c r="CS52" i="32"/>
  <c r="CU74" i="32"/>
  <c r="CS36" i="47"/>
  <c r="DS72" i="41"/>
  <c r="CU62" i="32"/>
  <c r="CU69" i="32"/>
  <c r="CS59" i="41"/>
  <c r="CU51" i="32"/>
  <c r="DS51" i="32"/>
  <c r="BL25" i="41"/>
  <c r="BV25" i="41"/>
  <c r="BL28" i="22"/>
  <c r="BV28" i="22"/>
  <c r="BV22" i="45"/>
  <c r="BL22" i="45"/>
  <c r="CO72" i="32"/>
  <c r="BV18" i="19"/>
  <c r="BL20" i="32"/>
  <c r="BL25" i="45"/>
  <c r="BV15" i="45"/>
  <c r="BL15" i="45"/>
  <c r="BV27" i="41"/>
  <c r="BL27" i="41"/>
  <c r="BL31" i="45"/>
  <c r="BV31" i="45"/>
  <c r="CU62" i="41"/>
  <c r="CS38" i="47"/>
  <c r="BL24" i="22"/>
  <c r="BV25" i="32"/>
  <c r="BV31" i="32"/>
  <c r="BV14" i="45"/>
  <c r="CO70" i="41"/>
  <c r="BL27" i="32"/>
  <c r="BL21" i="22"/>
  <c r="BL28" i="32"/>
  <c r="BL17" i="41"/>
  <c r="BV19" i="19"/>
  <c r="DS70" i="32"/>
  <c r="CU70" i="32"/>
  <c r="BV24" i="32"/>
  <c r="BL18" i="32"/>
  <c r="BV24" i="45"/>
  <c r="BL26" i="41"/>
  <c r="BL23" i="41"/>
  <c r="BV23" i="41"/>
  <c r="BV29" i="22"/>
  <c r="BL29" i="22"/>
  <c r="D142" i="31"/>
  <c r="G142" i="31" s="1"/>
  <c r="K3" i="41"/>
  <c r="I82" i="41" s="1"/>
  <c r="BG5" i="41"/>
  <c r="K3" i="47"/>
  <c r="I82" i="47" s="1"/>
  <c r="BG5" i="47"/>
  <c r="AQ40" i="38"/>
  <c r="G48" i="31"/>
  <c r="D144" i="31" s="1"/>
  <c r="G144" i="31" s="1"/>
  <c r="EH77" i="47"/>
  <c r="EK77" i="47" s="1"/>
  <c r="EH29" i="47"/>
  <c r="EH75" i="47"/>
  <c r="EK75" i="47" s="1"/>
  <c r="EG39" i="41"/>
  <c r="EJ39" i="41" s="1"/>
  <c r="DD48" i="41"/>
  <c r="EG16" i="32"/>
  <c r="EJ16" i="32" s="1"/>
  <c r="EH36" i="22"/>
  <c r="EL36" i="22" s="1"/>
  <c r="EH23" i="47"/>
  <c r="EH18" i="47"/>
  <c r="EL18" i="47" s="1"/>
  <c r="EH12" i="47"/>
  <c r="EL12" i="47" s="1"/>
  <c r="EG26" i="41"/>
  <c r="EI26" i="41" s="1"/>
  <c r="EG46" i="41"/>
  <c r="EJ46" i="41" s="1"/>
  <c r="EG45" i="41"/>
  <c r="EJ45" i="41" s="1"/>
  <c r="EG41" i="32"/>
  <c r="EI41" i="32" s="1"/>
  <c r="F5" i="33"/>
  <c r="BP51" i="47" s="1"/>
  <c r="EG18" i="45"/>
  <c r="EI18" i="45" s="1"/>
  <c r="EG44" i="45"/>
  <c r="EJ44" i="45" s="1"/>
  <c r="EH39" i="47"/>
  <c r="EL39" i="47" s="1"/>
  <c r="EH32" i="47"/>
  <c r="EG58" i="41"/>
  <c r="EI58" i="41" s="1"/>
  <c r="EG27" i="41"/>
  <c r="EJ27" i="41" s="1"/>
  <c r="EG40" i="32"/>
  <c r="EJ40" i="32" s="1"/>
  <c r="EH15" i="22"/>
  <c r="EK15" i="22" s="1"/>
  <c r="EH24" i="47"/>
  <c r="EH17" i="47"/>
  <c r="EL17" i="47" s="1"/>
  <c r="EG28" i="45"/>
  <c r="EI28" i="45" s="1"/>
  <c r="AC19" i="33"/>
  <c r="BO95" i="47" s="1"/>
  <c r="AH35" i="38"/>
  <c r="AH42" i="38"/>
  <c r="AH44" i="38"/>
  <c r="AH52" i="38"/>
  <c r="AH38" i="38"/>
  <c r="EH62" i="41"/>
  <c r="EL62" i="41" s="1"/>
  <c r="EH50" i="41"/>
  <c r="EL50" i="41" s="1"/>
  <c r="EH45" i="41"/>
  <c r="EK45" i="41" s="1"/>
  <c r="DD63" i="19"/>
  <c r="EG77" i="19"/>
  <c r="EI77" i="19" s="1"/>
  <c r="DD12" i="41"/>
  <c r="DD10" i="19"/>
  <c r="DD24" i="19"/>
  <c r="DD57" i="19"/>
  <c r="DD29" i="19"/>
  <c r="EG12" i="19"/>
  <c r="EG33" i="19"/>
  <c r="EI33" i="19" s="1"/>
  <c r="EG18" i="19"/>
  <c r="DD45" i="19"/>
  <c r="EG60" i="19"/>
  <c r="EJ60" i="19" s="1"/>
  <c r="CM4" i="41"/>
  <c r="BH23" i="41"/>
  <c r="CY4" i="41"/>
  <c r="I5" i="41" s="1"/>
  <c r="DD68" i="41"/>
  <c r="DE68" i="41" s="1"/>
  <c r="EG57" i="45"/>
  <c r="EJ57" i="45" s="1"/>
  <c r="DD41" i="41"/>
  <c r="EH76" i="41"/>
  <c r="EH16" i="41"/>
  <c r="EK16" i="41" s="1"/>
  <c r="EH60" i="41"/>
  <c r="EK60" i="41" s="1"/>
  <c r="CY4" i="19"/>
  <c r="I5" i="19" s="1"/>
  <c r="BG3" i="41"/>
  <c r="BE59" i="19"/>
  <c r="U64" i="29"/>
  <c r="U65" i="29" s="1"/>
  <c r="EH56" i="41"/>
  <c r="EK56" i="41" s="1"/>
  <c r="EH10" i="41"/>
  <c r="EK10" i="41" s="1"/>
  <c r="EG40" i="45"/>
  <c r="EI40" i="45" s="1"/>
  <c r="EG74" i="19"/>
  <c r="EI74" i="19" s="1"/>
  <c r="DD74" i="19"/>
  <c r="DD44" i="19"/>
  <c r="EG48" i="45"/>
  <c r="EI48" i="45" s="1"/>
  <c r="EG36" i="19"/>
  <c r="EI36" i="19" s="1"/>
  <c r="DD36" i="19"/>
  <c r="EG70" i="19"/>
  <c r="EG9" i="19"/>
  <c r="EG64" i="19"/>
  <c r="EI64" i="19" s="1"/>
  <c r="EG51" i="19"/>
  <c r="EJ51" i="19" s="1"/>
  <c r="EG10" i="19"/>
  <c r="CU4" i="41"/>
  <c r="I4" i="41" s="1"/>
  <c r="BF3" i="41"/>
  <c r="CO4" i="41"/>
  <c r="L7" i="41" s="1"/>
  <c r="DD26" i="19"/>
  <c r="EG22" i="45"/>
  <c r="EJ22" i="45" s="1"/>
  <c r="EH70" i="41"/>
  <c r="EL70" i="41" s="1"/>
  <c r="EG20" i="19"/>
  <c r="EH72" i="41"/>
  <c r="EL72" i="41" s="1"/>
  <c r="EG23" i="19"/>
  <c r="EJ23" i="19" s="1"/>
  <c r="EG48" i="19"/>
  <c r="EI48" i="19" s="1"/>
  <c r="EG50" i="19"/>
  <c r="EI50" i="19" s="1"/>
  <c r="BH12" i="19"/>
  <c r="EN70" i="19" s="1"/>
  <c r="M25" i="31"/>
  <c r="N23" i="31" s="1"/>
  <c r="D154" i="31"/>
  <c r="EI78" i="45"/>
  <c r="EJ78" i="45"/>
  <c r="N233" i="31"/>
  <c r="N234" i="31"/>
  <c r="J91" i="31"/>
  <c r="Q97" i="31" s="1"/>
  <c r="J175" i="31"/>
  <c r="BH13" i="22"/>
  <c r="BH23" i="22"/>
  <c r="EG14" i="45"/>
  <c r="EG52" i="45"/>
  <c r="EI52" i="45" s="1"/>
  <c r="DD29" i="22"/>
  <c r="EG39" i="45"/>
  <c r="EI39" i="45" s="1"/>
  <c r="EG69" i="41"/>
  <c r="EJ69" i="41" s="1"/>
  <c r="EG15" i="41"/>
  <c r="EG29" i="41"/>
  <c r="EJ29" i="41" s="1"/>
  <c r="EG62" i="41"/>
  <c r="EI62" i="41" s="1"/>
  <c r="EG16" i="41"/>
  <c r="EG65" i="41"/>
  <c r="EJ65" i="41" s="1"/>
  <c r="EG14" i="41"/>
  <c r="EG60" i="41"/>
  <c r="EG70" i="41"/>
  <c r="EJ70" i="41" s="1"/>
  <c r="EG56" i="41"/>
  <c r="EI56" i="41" s="1"/>
  <c r="EG71" i="41"/>
  <c r="DD44" i="41"/>
  <c r="DD51" i="41"/>
  <c r="EG63" i="41"/>
  <c r="EI63" i="41" s="1"/>
  <c r="DD58" i="41"/>
  <c r="DE58" i="41" s="1"/>
  <c r="EG38" i="41"/>
  <c r="EG22" i="41"/>
  <c r="EI22" i="41" s="1"/>
  <c r="EG48" i="41"/>
  <c r="EI48" i="41" s="1"/>
  <c r="EG30" i="41"/>
  <c r="EG40" i="41"/>
  <c r="EG59" i="32"/>
  <c r="EJ59" i="32" s="1"/>
  <c r="EG66" i="32"/>
  <c r="EG51" i="32"/>
  <c r="EG26" i="32"/>
  <c r="EG22" i="32"/>
  <c r="EG29" i="32"/>
  <c r="EG77" i="32"/>
  <c r="EI77" i="32" s="1"/>
  <c r="EG17" i="32"/>
  <c r="EG47" i="32"/>
  <c r="EG21" i="32"/>
  <c r="EG28" i="32"/>
  <c r="EJ28" i="32" s="1"/>
  <c r="EG39" i="32"/>
  <c r="EJ39" i="32" s="1"/>
  <c r="EG44" i="32"/>
  <c r="EG69" i="32"/>
  <c r="EI69" i="32" s="1"/>
  <c r="EG36" i="32"/>
  <c r="EJ36" i="32" s="1"/>
  <c r="EG20" i="32"/>
  <c r="EI20" i="32" s="1"/>
  <c r="EG60" i="32"/>
  <c r="EH56" i="22"/>
  <c r="EK56" i="22" s="1"/>
  <c r="EH70" i="22"/>
  <c r="EH74" i="22"/>
  <c r="EL74" i="22" s="1"/>
  <c r="EH17" i="22"/>
  <c r="EH35" i="22"/>
  <c r="EL35" i="22" s="1"/>
  <c r="DD23" i="47"/>
  <c r="EG15" i="45"/>
  <c r="EG63" i="45"/>
  <c r="EJ63" i="45" s="1"/>
  <c r="EG75" i="45"/>
  <c r="EH59" i="47"/>
  <c r="EK59" i="47" s="1"/>
  <c r="EH36" i="47"/>
  <c r="EH30" i="47"/>
  <c r="EK30" i="47" s="1"/>
  <c r="EH76" i="47"/>
  <c r="EL76" i="47" s="1"/>
  <c r="EG9" i="41"/>
  <c r="DD38" i="41"/>
  <c r="EG75" i="41"/>
  <c r="EJ75" i="41" s="1"/>
  <c r="DD24" i="41"/>
  <c r="EG70" i="32"/>
  <c r="EG48" i="32"/>
  <c r="EJ48" i="32" s="1"/>
  <c r="EG72" i="32"/>
  <c r="DD23" i="22"/>
  <c r="EH58" i="22"/>
  <c r="EK58" i="22" s="1"/>
  <c r="EH24" i="22"/>
  <c r="EK24" i="22" s="1"/>
  <c r="EH59" i="22"/>
  <c r="EK59" i="22" s="1"/>
  <c r="EG56" i="45"/>
  <c r="EJ56" i="45" s="1"/>
  <c r="DD77" i="32"/>
  <c r="DE77" i="32" s="1"/>
  <c r="EG58" i="32"/>
  <c r="EJ58" i="32" s="1"/>
  <c r="EH10" i="47"/>
  <c r="EH53" i="47"/>
  <c r="EK53" i="47" s="1"/>
  <c r="EH78" i="47"/>
  <c r="EL78" i="47" s="1"/>
  <c r="EH38" i="47"/>
  <c r="DD14" i="41"/>
  <c r="EG12" i="41"/>
  <c r="EJ12" i="41" s="1"/>
  <c r="C174" i="31"/>
  <c r="EG63" i="32"/>
  <c r="EG78" i="41"/>
  <c r="EG35" i="41"/>
  <c r="EG68" i="45"/>
  <c r="EI68" i="45" s="1"/>
  <c r="EG60" i="45"/>
  <c r="EJ60" i="45" s="1"/>
  <c r="EG51" i="45"/>
  <c r="EI51" i="45" s="1"/>
  <c r="EG29" i="45"/>
  <c r="EJ29" i="45" s="1"/>
  <c r="EG28" i="41"/>
  <c r="EG21" i="41"/>
  <c r="EG78" i="32"/>
  <c r="EI78" i="32" s="1"/>
  <c r="E6" i="33"/>
  <c r="BO52" i="47" s="1"/>
  <c r="G34" i="31"/>
  <c r="H104" i="31" s="1"/>
  <c r="EG77" i="45"/>
  <c r="EJ77" i="45" s="1"/>
  <c r="EG32" i="45"/>
  <c r="EG64" i="45"/>
  <c r="EG42" i="45"/>
  <c r="EJ42" i="45" s="1"/>
  <c r="EG36" i="45"/>
  <c r="EG47" i="45"/>
  <c r="EG41" i="45"/>
  <c r="EJ41" i="45" s="1"/>
  <c r="EG46" i="45"/>
  <c r="EJ46" i="45" s="1"/>
  <c r="EG53" i="45"/>
  <c r="EI53" i="45" s="1"/>
  <c r="EG38" i="45"/>
  <c r="EI38" i="45" s="1"/>
  <c r="EG66" i="45"/>
  <c r="EG20" i="45"/>
  <c r="EJ20" i="45" s="1"/>
  <c r="EG65" i="45"/>
  <c r="EI65" i="45" s="1"/>
  <c r="EG50" i="45"/>
  <c r="EI50" i="45" s="1"/>
  <c r="EG30" i="45"/>
  <c r="EI30" i="45" s="1"/>
  <c r="EG33" i="45"/>
  <c r="EG58" i="45"/>
  <c r="EI58" i="45" s="1"/>
  <c r="EG72" i="45"/>
  <c r="EI72" i="45" s="1"/>
  <c r="EG54" i="45"/>
  <c r="EG9" i="45"/>
  <c r="EG16" i="45"/>
  <c r="EJ16" i="45" s="1"/>
  <c r="EG34" i="45"/>
  <c r="EJ34" i="45" s="1"/>
  <c r="EG71" i="22"/>
  <c r="EG21" i="22"/>
  <c r="EG24" i="22"/>
  <c r="EJ24" i="22" s="1"/>
  <c r="EG15" i="47"/>
  <c r="EG78" i="47"/>
  <c r="EJ78" i="47" s="1"/>
  <c r="DD18" i="47"/>
  <c r="DD48" i="47"/>
  <c r="DE48" i="47" s="1"/>
  <c r="EG69" i="45"/>
  <c r="EI69" i="45" s="1"/>
  <c r="EG27" i="45"/>
  <c r="EJ27" i="45" s="1"/>
  <c r="EG71" i="45"/>
  <c r="EG23" i="45"/>
  <c r="EI23" i="45" s="1"/>
  <c r="EG62" i="45"/>
  <c r="EI62" i="45" s="1"/>
  <c r="EG76" i="45"/>
  <c r="EI76" i="45" s="1"/>
  <c r="EG10" i="45"/>
  <c r="EG59" i="45"/>
  <c r="EJ59" i="45" s="1"/>
  <c r="X12" i="33"/>
  <c r="R18" i="33"/>
  <c r="BP76" i="47" s="1"/>
  <c r="R17" i="33"/>
  <c r="BP75" i="47" s="1"/>
  <c r="F14" i="33"/>
  <c r="BP60" i="47" s="1"/>
  <c r="W5" i="33"/>
  <c r="F8" i="33"/>
  <c r="BP54" i="47" s="1"/>
  <c r="Q18" i="33"/>
  <c r="BO76" i="47" s="1"/>
  <c r="X14" i="33"/>
  <c r="G28" i="40"/>
  <c r="H28" i="40"/>
  <c r="H33" i="40"/>
  <c r="G6" i="40"/>
  <c r="AN9" i="22" s="1"/>
  <c r="H55" i="40"/>
  <c r="EH41" i="47"/>
  <c r="EL41" i="47" s="1"/>
  <c r="EH74" i="47"/>
  <c r="EL74" i="47" s="1"/>
  <c r="EH40" i="47"/>
  <c r="EK40" i="47" s="1"/>
  <c r="EH44" i="47"/>
  <c r="EH69" i="47"/>
  <c r="EL69" i="47" s="1"/>
  <c r="EH58" i="47"/>
  <c r="EK58" i="47" s="1"/>
  <c r="EH54" i="47"/>
  <c r="EL54" i="47" s="1"/>
  <c r="EH52" i="47"/>
  <c r="EL52" i="47" s="1"/>
  <c r="EH50" i="47"/>
  <c r="EL50" i="47" s="1"/>
  <c r="EH27" i="47"/>
  <c r="EH68" i="47"/>
  <c r="EK68" i="47" s="1"/>
  <c r="EH65" i="47"/>
  <c r="EL65" i="47" s="1"/>
  <c r="EH11" i="47"/>
  <c r="EL11" i="47" s="1"/>
  <c r="EL76" i="22"/>
  <c r="EG59" i="22"/>
  <c r="EJ59" i="22" s="1"/>
  <c r="EG12" i="45"/>
  <c r="EI12" i="45" s="1"/>
  <c r="EG45" i="45"/>
  <c r="EI45" i="45" s="1"/>
  <c r="EG74" i="45"/>
  <c r="EI74" i="45" s="1"/>
  <c r="DD75" i="47"/>
  <c r="EH64" i="47"/>
  <c r="EL64" i="47" s="1"/>
  <c r="EH21" i="47"/>
  <c r="EH22" i="47"/>
  <c r="DD59" i="41"/>
  <c r="DE59" i="41" s="1"/>
  <c r="EG50" i="41"/>
  <c r="EI50" i="41" s="1"/>
  <c r="EG47" i="41"/>
  <c r="EG57" i="41"/>
  <c r="EJ57" i="41" s="1"/>
  <c r="EG76" i="41"/>
  <c r="EG71" i="32"/>
  <c r="EG42" i="32"/>
  <c r="EG74" i="32"/>
  <c r="EJ74" i="32" s="1"/>
  <c r="EH23" i="22"/>
  <c r="EH30" i="22"/>
  <c r="EL30" i="22" s="1"/>
  <c r="EH20" i="22"/>
  <c r="EK20" i="22" s="1"/>
  <c r="EG17" i="45"/>
  <c r="EG33" i="32"/>
  <c r="EG30" i="32"/>
  <c r="EJ30" i="32" s="1"/>
  <c r="EH45" i="47"/>
  <c r="EH56" i="47"/>
  <c r="EL56" i="47" s="1"/>
  <c r="EH72" i="47"/>
  <c r="EK72" i="47" s="1"/>
  <c r="EH51" i="47"/>
  <c r="EG32" i="41"/>
  <c r="EG20" i="41"/>
  <c r="EG18" i="32"/>
  <c r="EJ18" i="32" s="1"/>
  <c r="DD77" i="41"/>
  <c r="DE77" i="41" s="1"/>
  <c r="EG41" i="41"/>
  <c r="EI41" i="41" s="1"/>
  <c r="EG24" i="45"/>
  <c r="EG35" i="45"/>
  <c r="EJ35" i="45" s="1"/>
  <c r="EG70" i="45"/>
  <c r="EI70" i="45" s="1"/>
  <c r="EG21" i="45"/>
  <c r="EG72" i="41"/>
  <c r="EJ72" i="41" s="1"/>
  <c r="EG17" i="41"/>
  <c r="EG24" i="32"/>
  <c r="EI24" i="32" s="1"/>
  <c r="EG14" i="32"/>
  <c r="EH33" i="47"/>
  <c r="K4" i="33"/>
  <c r="BO41" i="47" s="1"/>
  <c r="H47" i="40"/>
  <c r="Q8" i="33"/>
  <c r="BO66" i="47" s="1"/>
  <c r="W7" i="33"/>
  <c r="BH3" i="45"/>
  <c r="N3" i="45" s="1"/>
  <c r="H43" i="40"/>
  <c r="F13" i="33"/>
  <c r="BP59" i="47" s="1"/>
  <c r="K11" i="33"/>
  <c r="BO45" i="47" s="1"/>
  <c r="G31" i="40"/>
  <c r="G47" i="40"/>
  <c r="Q4" i="33"/>
  <c r="BO62" i="47" s="1"/>
  <c r="R5" i="33"/>
  <c r="BP63" i="47" s="1"/>
  <c r="Q10" i="33"/>
  <c r="BO68" i="47" s="1"/>
  <c r="W17" i="33"/>
  <c r="L5" i="33"/>
  <c r="CU4" i="45"/>
  <c r="I4" i="45" s="1"/>
  <c r="CM4" i="22"/>
  <c r="H44" i="40"/>
  <c r="AD6" i="33"/>
  <c r="BP82" i="47" s="1"/>
  <c r="L19" i="33"/>
  <c r="H54" i="40"/>
  <c r="F16" i="33"/>
  <c r="AC16" i="33"/>
  <c r="BO92" i="47" s="1"/>
  <c r="W18" i="33"/>
  <c r="AD17" i="33"/>
  <c r="BP93" i="47" s="1"/>
  <c r="R10" i="33"/>
  <c r="BP68" i="47" s="1"/>
  <c r="AD7" i="33"/>
  <c r="BP83" i="47" s="1"/>
  <c r="CI82" i="47" s="1"/>
  <c r="L10" i="33"/>
  <c r="BP44" i="47" s="1"/>
  <c r="K10" i="33"/>
  <c r="BO44" i="47" s="1"/>
  <c r="Q17" i="33"/>
  <c r="BO75" i="47" s="1"/>
  <c r="E5" i="33"/>
  <c r="BO51" i="47" s="1"/>
  <c r="K8" i="33"/>
  <c r="X4" i="33"/>
  <c r="X18" i="33"/>
  <c r="X7" i="33"/>
  <c r="Q5" i="33"/>
  <c r="BO63" i="47" s="1"/>
  <c r="F12" i="33"/>
  <c r="BP58" i="47" s="1"/>
  <c r="F11" i="33"/>
  <c r="BP57" i="47" s="1"/>
  <c r="AD18" i="33"/>
  <c r="BP94" i="47" s="1"/>
  <c r="W14" i="33"/>
  <c r="X16" i="33"/>
  <c r="R13" i="33"/>
  <c r="BP71" i="47" s="1"/>
  <c r="K13" i="33"/>
  <c r="BO47" i="47" s="1"/>
  <c r="AD20" i="33"/>
  <c r="BP96" i="47" s="1"/>
  <c r="L20" i="33"/>
  <c r="AD10" i="33"/>
  <c r="BP86" i="47" s="1"/>
  <c r="R16" i="33"/>
  <c r="BP74" i="47" s="1"/>
  <c r="W13" i="33"/>
  <c r="K18" i="33"/>
  <c r="E18" i="33"/>
  <c r="AC20" i="33"/>
  <c r="BO96" i="47" s="1"/>
  <c r="Q14" i="33"/>
  <c r="BO72" i="47" s="1"/>
  <c r="Q20" i="33"/>
  <c r="BO78" i="47" s="1"/>
  <c r="F4" i="33"/>
  <c r="BP50" i="47" s="1"/>
  <c r="E11" i="33"/>
  <c r="BO57" i="47" s="1"/>
  <c r="K12" i="33"/>
  <c r="BO46" i="47" s="1"/>
  <c r="CH45" i="47" s="1"/>
  <c r="E14" i="33"/>
  <c r="BO60" i="47" s="1"/>
  <c r="E20" i="33"/>
  <c r="W4" i="33"/>
  <c r="K7" i="33"/>
  <c r="BO42" i="47" s="1"/>
  <c r="R20" i="33"/>
  <c r="BP78" i="47" s="1"/>
  <c r="E13" i="33"/>
  <c r="BO59" i="47" s="1"/>
  <c r="W6" i="33"/>
  <c r="AC5" i="33"/>
  <c r="BO81" i="47" s="1"/>
  <c r="AD12" i="33"/>
  <c r="BP88" i="47" s="1"/>
  <c r="X5" i="33"/>
  <c r="L13" i="33"/>
  <c r="BP47" i="47" s="1"/>
  <c r="K16" i="33"/>
  <c r="Q11" i="33"/>
  <c r="BO69" i="47" s="1"/>
  <c r="CH68" i="47" s="1"/>
  <c r="Q16" i="33"/>
  <c r="BO74" i="47" s="1"/>
  <c r="R14" i="33"/>
  <c r="BP72" i="47" s="1"/>
  <c r="AC10" i="33"/>
  <c r="BO86" i="47" s="1"/>
  <c r="AD14" i="33"/>
  <c r="BP90" i="47" s="1"/>
  <c r="L6" i="33"/>
  <c r="F17" i="33"/>
  <c r="W16" i="33"/>
  <c r="E16" i="33"/>
  <c r="K20" i="33"/>
  <c r="E8" i="33"/>
  <c r="BO54" i="47" s="1"/>
  <c r="Q6" i="33"/>
  <c r="BO64" i="47" s="1"/>
  <c r="E12" i="33"/>
  <c r="BO58" i="47" s="1"/>
  <c r="L7" i="33"/>
  <c r="BP42" i="47" s="1"/>
  <c r="F19" i="33"/>
  <c r="X8" i="33"/>
  <c r="G45" i="40"/>
  <c r="G41" i="40"/>
  <c r="Q12" i="33"/>
  <c r="BO70" i="47" s="1"/>
  <c r="AC6" i="33"/>
  <c r="BO82" i="47" s="1"/>
  <c r="CH81" i="47" s="1"/>
  <c r="AC14" i="33"/>
  <c r="BO90" i="47" s="1"/>
  <c r="H49" i="40"/>
  <c r="G35" i="40"/>
  <c r="G43" i="40"/>
  <c r="H35" i="40"/>
  <c r="E19" i="33"/>
  <c r="R4" i="33"/>
  <c r="BP62" i="47" s="1"/>
  <c r="L4" i="33"/>
  <c r="BP41" i="47" s="1"/>
  <c r="Q13" i="33"/>
  <c r="BO71" i="47" s="1"/>
  <c r="R12" i="33"/>
  <c r="BP70" i="47" s="1"/>
  <c r="AC7" i="33"/>
  <c r="BO83" i="47" s="1"/>
  <c r="AD16" i="33"/>
  <c r="BP92" i="47" s="1"/>
  <c r="L17" i="33"/>
  <c r="X11" i="33"/>
  <c r="E7" i="33"/>
  <c r="BO53" i="47" s="1"/>
  <c r="R7" i="33"/>
  <c r="BP65" i="47" s="1"/>
  <c r="BG3" i="19"/>
  <c r="DA4" i="19"/>
  <c r="J81" i="19" s="1"/>
  <c r="CP4" i="19"/>
  <c r="BH13" i="19"/>
  <c r="BH23" i="19"/>
  <c r="CO4" i="19"/>
  <c r="N7" i="19" s="1"/>
  <c r="R6" i="36"/>
  <c r="E6" i="36" s="1"/>
  <c r="AN45" i="22" s="1"/>
  <c r="S6" i="36"/>
  <c r="F6" i="36" s="1"/>
  <c r="AO45" i="22" s="1"/>
  <c r="H36" i="40"/>
  <c r="G46" i="40"/>
  <c r="H41" i="40"/>
  <c r="G54" i="40"/>
  <c r="H42" i="40"/>
  <c r="H30" i="40"/>
  <c r="G56" i="40"/>
  <c r="H56" i="40"/>
  <c r="H32" i="40"/>
  <c r="G44" i="40"/>
  <c r="H46" i="40"/>
  <c r="H48" i="40"/>
  <c r="G32" i="40"/>
  <c r="G30" i="40"/>
  <c r="G29" i="40"/>
  <c r="G59" i="40"/>
  <c r="G42" i="40"/>
  <c r="G49" i="40"/>
  <c r="H6" i="40"/>
  <c r="AO9" i="22" s="1"/>
  <c r="H59" i="40"/>
  <c r="H29" i="40"/>
  <c r="H58" i="40"/>
  <c r="H45" i="40"/>
  <c r="G57" i="40"/>
  <c r="H34" i="40"/>
  <c r="X19" i="33"/>
  <c r="E17" i="33"/>
  <c r="E4" i="33"/>
  <c r="BO50" i="47" s="1"/>
  <c r="H31" i="40"/>
  <c r="G58" i="40"/>
  <c r="G48" i="40"/>
  <c r="CU4" i="19"/>
  <c r="I4" i="19" s="1"/>
  <c r="H57" i="40"/>
  <c r="L16" i="33"/>
  <c r="K5" i="33"/>
  <c r="R6" i="33"/>
  <c r="BP64" i="47" s="1"/>
  <c r="CI63" i="47" s="1"/>
  <c r="AD11" i="33"/>
  <c r="BP87" i="47" s="1"/>
  <c r="AC13" i="33"/>
  <c r="BO89" i="47" s="1"/>
  <c r="L8" i="33"/>
  <c r="W8" i="33"/>
  <c r="F7" i="33"/>
  <c r="BP53" i="47" s="1"/>
  <c r="AC18" i="33"/>
  <c r="BO94" i="47" s="1"/>
  <c r="AC4" i="33"/>
  <c r="BO80" i="47" s="1"/>
  <c r="R11" i="33"/>
  <c r="BP69" i="47" s="1"/>
  <c r="L18" i="33"/>
  <c r="F49" i="31"/>
  <c r="AH45" i="38"/>
  <c r="AH41" i="38"/>
  <c r="AH37" i="38"/>
  <c r="BW12" i="41"/>
  <c r="BJ13" i="41"/>
  <c r="K32" i="29"/>
  <c r="K39" i="29" s="1"/>
  <c r="AI79" i="33"/>
  <c r="BV68" i="47" s="1"/>
  <c r="AI73" i="33"/>
  <c r="BV50" i="47" s="1"/>
  <c r="X42" i="29"/>
  <c r="J33" i="29"/>
  <c r="J40" i="29" s="1"/>
  <c r="J32" i="29"/>
  <c r="J39" i="29" s="1"/>
  <c r="BV31" i="19"/>
  <c r="BL30" i="19"/>
  <c r="G32" i="29"/>
  <c r="G39" i="29" s="1"/>
  <c r="D160" i="31"/>
  <c r="D148" i="31"/>
  <c r="M23" i="31"/>
  <c r="I24" i="31"/>
  <c r="H140" i="31"/>
  <c r="EI18" i="41"/>
  <c r="D46" i="31"/>
  <c r="DD46" i="32"/>
  <c r="DE46" i="32" s="1"/>
  <c r="U71" i="29"/>
  <c r="DS70" i="41"/>
  <c r="K93" i="31"/>
  <c r="DD46" i="19"/>
  <c r="X41" i="29"/>
  <c r="Z40" i="29"/>
  <c r="V40" i="29"/>
  <c r="X39" i="29"/>
  <c r="M32" i="29"/>
  <c r="M39" i="29" s="1"/>
  <c r="I32" i="29"/>
  <c r="I39" i="29" s="1"/>
  <c r="Y42" i="29"/>
  <c r="U42" i="29"/>
  <c r="W41" i="29"/>
  <c r="Y40" i="29"/>
  <c r="U40" i="29"/>
  <c r="W39" i="29"/>
  <c r="M33" i="29"/>
  <c r="M40" i="29" s="1"/>
  <c r="L32" i="29"/>
  <c r="L39" i="29" s="1"/>
  <c r="CS64" i="41"/>
  <c r="DS42" i="32"/>
  <c r="CU65" i="32"/>
  <c r="CU57" i="32"/>
  <c r="CO42" i="32"/>
  <c r="CO38" i="47"/>
  <c r="CS75" i="32"/>
  <c r="DS47" i="47"/>
  <c r="CU63" i="41"/>
  <c r="CS62" i="32"/>
  <c r="CS59" i="32"/>
  <c r="CU54" i="32"/>
  <c r="CU50" i="47"/>
  <c r="CO60" i="32"/>
  <c r="G34" i="40"/>
  <c r="DS62" i="32"/>
  <c r="DS60" i="41"/>
  <c r="CU38" i="47"/>
  <c r="CO42" i="47"/>
  <c r="CU71" i="41"/>
  <c r="CO63" i="41"/>
  <c r="CS60" i="41"/>
  <c r="CO62" i="32"/>
  <c r="CO70" i="32"/>
  <c r="CU75" i="32"/>
  <c r="CS70" i="32"/>
  <c r="EO70" i="45"/>
  <c r="BG3" i="22"/>
  <c r="BH3" i="22"/>
  <c r="N3" i="22" s="1"/>
  <c r="CY4" i="22"/>
  <c r="I5" i="22" s="1"/>
  <c r="BH24" i="22"/>
  <c r="DA4" i="22"/>
  <c r="J81" i="22" s="1"/>
  <c r="CO4" i="22"/>
  <c r="BF3" i="22"/>
  <c r="CR4" i="22"/>
  <c r="K6" i="22" s="1"/>
  <c r="BF3" i="45"/>
  <c r="DA4" i="45"/>
  <c r="J81" i="45" s="1"/>
  <c r="CP4" i="45"/>
  <c r="CY4" i="45"/>
  <c r="I5" i="45" s="1"/>
  <c r="CP4" i="22"/>
  <c r="CR4" i="45"/>
  <c r="K6" i="45" s="1"/>
  <c r="CU4" i="22"/>
  <c r="I4" i="22" s="1"/>
  <c r="BG3" i="45"/>
  <c r="EO62" i="45"/>
  <c r="EO62" i="41"/>
  <c r="BH24" i="45"/>
  <c r="BH12" i="22"/>
  <c r="BH23" i="45"/>
  <c r="BE59" i="45"/>
  <c r="BE59" i="22"/>
  <c r="M56" i="38"/>
  <c r="BH12" i="32"/>
  <c r="CP4" i="32"/>
  <c r="BH23" i="32"/>
  <c r="BH3" i="32"/>
  <c r="CU4" i="32"/>
  <c r="I4" i="32" s="1"/>
  <c r="EO35" i="45"/>
  <c r="EO52" i="45"/>
  <c r="N46" i="38"/>
  <c r="N56" i="38"/>
  <c r="BH24" i="32"/>
  <c r="BG3" i="32"/>
  <c r="BE59" i="32"/>
  <c r="BF3" i="32"/>
  <c r="CR4" i="32"/>
  <c r="K6" i="32" s="1"/>
  <c r="CY4" i="32"/>
  <c r="I5" i="32" s="1"/>
  <c r="DA4" i="32"/>
  <c r="J81" i="32" s="1"/>
  <c r="BH13" i="32"/>
  <c r="EO39" i="45"/>
  <c r="EO71" i="41"/>
  <c r="BF3" i="47"/>
  <c r="CO4" i="47"/>
  <c r="BH3" i="47"/>
  <c r="CY4" i="47"/>
  <c r="I5" i="47" s="1"/>
  <c r="CR4" i="47"/>
  <c r="K6" i="47" s="1"/>
  <c r="BH12" i="47"/>
  <c r="CP4" i="47"/>
  <c r="L12" i="33"/>
  <c r="BP46" i="47" s="1"/>
  <c r="L11" i="33"/>
  <c r="BP45" i="47" s="1"/>
  <c r="X13" i="33"/>
  <c r="R8" i="33"/>
  <c r="BP66" i="47" s="1"/>
  <c r="L14" i="33"/>
  <c r="BP48" i="47" s="1"/>
  <c r="W19" i="33"/>
  <c r="AD8" i="33"/>
  <c r="BP84" i="47" s="1"/>
  <c r="AC12" i="33"/>
  <c r="BO88" i="47" s="1"/>
  <c r="W10" i="33"/>
  <c r="X17" i="33"/>
  <c r="K6" i="33"/>
  <c r="AC17" i="33"/>
  <c r="BO93" i="47" s="1"/>
  <c r="K17" i="33"/>
  <c r="K14" i="33"/>
  <c r="BO48" i="47" s="1"/>
  <c r="AC8" i="33"/>
  <c r="BO84" i="47" s="1"/>
  <c r="AC11" i="33"/>
  <c r="BO87" i="47" s="1"/>
  <c r="X20" i="33"/>
  <c r="R19" i="33"/>
  <c r="BP77" i="47" s="1"/>
  <c r="W12" i="33"/>
  <c r="F18" i="33"/>
  <c r="Q19" i="33"/>
  <c r="BO77" i="47" s="1"/>
  <c r="X10" i="33"/>
  <c r="F6" i="33"/>
  <c r="BP52" i="47" s="1"/>
  <c r="AD19" i="33"/>
  <c r="BP95" i="47" s="1"/>
  <c r="F20" i="33"/>
  <c r="W20" i="33"/>
  <c r="W11" i="33"/>
  <c r="AD13" i="33"/>
  <c r="BP89" i="47" s="1"/>
  <c r="AD5" i="33"/>
  <c r="BP81" i="47" s="1"/>
  <c r="K19" i="33"/>
  <c r="AD4" i="33"/>
  <c r="BP80" i="47" s="1"/>
  <c r="X6" i="33"/>
  <c r="DS69" i="41"/>
  <c r="CO68" i="32"/>
  <c r="CO52" i="32"/>
  <c r="CU52" i="32"/>
  <c r="CS76" i="41"/>
  <c r="CO56" i="32"/>
  <c r="CU77" i="32"/>
  <c r="CS45" i="32"/>
  <c r="CU68" i="32"/>
  <c r="DS45" i="47"/>
  <c r="CO46" i="47"/>
  <c r="CO71" i="41"/>
  <c r="DS72" i="32"/>
  <c r="CO39" i="47"/>
  <c r="CO76" i="41"/>
  <c r="CS48" i="47"/>
  <c r="DS48" i="32"/>
  <c r="CU72" i="41"/>
  <c r="CS45" i="47"/>
  <c r="DS76" i="41"/>
  <c r="DS46" i="47"/>
  <c r="DS68" i="32"/>
  <c r="CO47" i="47"/>
  <c r="CU59" i="41"/>
  <c r="CO62" i="41"/>
  <c r="CO64" i="41"/>
  <c r="CS77" i="32"/>
  <c r="CU56" i="32"/>
  <c r="CO77" i="32"/>
  <c r="CO45" i="47"/>
  <c r="CO64" i="32"/>
  <c r="CO78" i="47"/>
  <c r="CS78" i="47"/>
  <c r="CS72" i="41"/>
  <c r="CU77" i="41"/>
  <c r="DS71" i="41"/>
  <c r="CS74" i="32"/>
  <c r="CU47" i="47"/>
  <c r="EO65" i="45"/>
  <c r="EO47" i="45"/>
  <c r="EO40" i="45"/>
  <c r="EO54" i="45"/>
  <c r="CO60" i="41"/>
  <c r="CU68" i="41"/>
  <c r="CU64" i="41"/>
  <c r="CO51" i="47"/>
  <c r="DS71" i="32"/>
  <c r="CU48" i="32"/>
  <c r="CS65" i="32"/>
  <c r="CO44" i="47"/>
  <c r="DS44" i="32"/>
  <c r="CO66" i="32"/>
  <c r="CS78" i="32"/>
  <c r="CO78" i="32"/>
  <c r="CU44" i="47"/>
  <c r="CS72" i="32"/>
  <c r="CU36" i="47"/>
  <c r="CO36" i="47"/>
  <c r="CU57" i="41"/>
  <c r="CS48" i="32"/>
  <c r="CU71" i="32"/>
  <c r="DS48" i="47"/>
  <c r="CS50" i="47"/>
  <c r="DS39" i="47"/>
  <c r="CO44" i="32"/>
  <c r="BV12" i="45"/>
  <c r="CO77" i="41"/>
  <c r="DS64" i="41"/>
  <c r="CU51" i="47"/>
  <c r="CU42" i="47"/>
  <c r="CO74" i="32"/>
  <c r="CS71" i="32"/>
  <c r="CO69" i="32"/>
  <c r="DS57" i="41"/>
  <c r="CU70" i="41"/>
  <c r="CU44" i="32"/>
  <c r="CU72" i="32"/>
  <c r="CS39" i="47"/>
  <c r="CS63" i="41"/>
  <c r="CU60" i="41"/>
  <c r="CO65" i="32"/>
  <c r="BV12" i="41"/>
  <c r="CU65" i="41"/>
  <c r="CS51" i="47"/>
  <c r="DS51" i="47"/>
  <c r="DS50" i="47"/>
  <c r="DS65" i="32"/>
  <c r="CS78" i="45"/>
  <c r="CS66" i="41"/>
  <c r="CO58" i="41"/>
  <c r="DS54" i="32"/>
  <c r="DS41" i="47"/>
  <c r="CO53" i="32"/>
  <c r="CO48" i="47"/>
  <c r="CS58" i="32"/>
  <c r="DS66" i="41"/>
  <c r="CS58" i="41"/>
  <c r="CO68" i="41"/>
  <c r="DS38" i="47"/>
  <c r="CS42" i="47"/>
  <c r="CS60" i="32"/>
  <c r="CS50" i="32"/>
  <c r="CU63" i="32"/>
  <c r="DS78" i="41"/>
  <c r="DS78" i="45"/>
  <c r="CS70" i="41"/>
  <c r="CS66" i="32"/>
  <c r="CU76" i="32"/>
  <c r="CO41" i="47"/>
  <c r="CO65" i="41"/>
  <c r="CU48" i="47"/>
  <c r="DS66" i="32"/>
  <c r="CS65" i="41"/>
  <c r="CU59" i="32"/>
  <c r="DS42" i="47"/>
  <c r="CO58" i="32"/>
  <c r="CO50" i="47"/>
  <c r="BL12" i="32"/>
  <c r="CO78" i="45"/>
  <c r="CU40" i="47"/>
  <c r="CO40" i="47"/>
  <c r="DS60" i="32"/>
  <c r="DS76" i="32"/>
  <c r="DS59" i="32"/>
  <c r="CS57" i="32"/>
  <c r="CS68" i="41"/>
  <c r="CU50" i="32"/>
  <c r="DS57" i="32"/>
  <c r="DS58" i="41"/>
  <c r="CS47" i="32"/>
  <c r="CS46" i="32"/>
  <c r="DS50" i="32"/>
  <c r="CO59" i="32"/>
  <c r="CO57" i="32"/>
  <c r="CU60" i="32"/>
  <c r="CU58" i="32"/>
  <c r="O105" i="31"/>
  <c r="K105" i="31"/>
  <c r="H139" i="31"/>
  <c r="C201" i="31"/>
  <c r="EL54" i="41"/>
  <c r="EK54" i="41"/>
  <c r="EG72" i="22"/>
  <c r="EI72" i="22" s="1"/>
  <c r="EH52" i="41"/>
  <c r="EH63" i="41"/>
  <c r="EH26" i="41"/>
  <c r="EH41" i="41"/>
  <c r="EK41" i="41" s="1"/>
  <c r="DD29" i="47"/>
  <c r="DD35" i="47"/>
  <c r="DD60" i="47"/>
  <c r="DD29" i="41"/>
  <c r="DD62" i="41"/>
  <c r="DE62" i="41" s="1"/>
  <c r="DD15" i="41"/>
  <c r="DD30" i="41"/>
  <c r="DD27" i="41"/>
  <c r="DD21" i="41"/>
  <c r="EH22" i="19"/>
  <c r="EH50" i="19"/>
  <c r="EH35" i="19"/>
  <c r="EH39" i="19"/>
  <c r="EK39" i="19" s="1"/>
  <c r="DD14" i="19"/>
  <c r="EH29" i="19"/>
  <c r="DD66" i="19"/>
  <c r="DD15" i="47"/>
  <c r="EH68" i="19"/>
  <c r="EK68" i="19" s="1"/>
  <c r="EH77" i="19"/>
  <c r="DD17" i="19"/>
  <c r="EH56" i="19"/>
  <c r="EK56" i="19" s="1"/>
  <c r="DD69" i="19"/>
  <c r="EH70" i="19"/>
  <c r="DD66" i="41"/>
  <c r="DE66" i="41" s="1"/>
  <c r="EG33" i="22"/>
  <c r="DD56" i="19"/>
  <c r="DD47" i="19"/>
  <c r="DD70" i="19"/>
  <c r="DD63" i="41"/>
  <c r="DE63" i="41" s="1"/>
  <c r="EH62" i="19"/>
  <c r="EK62" i="19" s="1"/>
  <c r="DD52" i="41"/>
  <c r="DD70" i="41"/>
  <c r="DE70" i="41" s="1"/>
  <c r="DD64" i="41"/>
  <c r="DE64" i="41" s="1"/>
  <c r="DD39" i="19"/>
  <c r="DD28" i="47"/>
  <c r="EH15" i="41"/>
  <c r="EG44" i="47"/>
  <c r="EI44" i="47" s="1"/>
  <c r="EH11" i="19"/>
  <c r="EG68" i="47"/>
  <c r="EG36" i="47"/>
  <c r="EI36" i="47" s="1"/>
  <c r="EH42" i="19"/>
  <c r="EH46" i="41"/>
  <c r="EH74" i="41"/>
  <c r="EH59" i="41"/>
  <c r="EG24" i="47"/>
  <c r="EH57" i="41"/>
  <c r="EL57" i="41" s="1"/>
  <c r="EH30" i="41"/>
  <c r="EH35" i="41"/>
  <c r="EK35" i="41" s="1"/>
  <c r="EH11" i="41"/>
  <c r="EH64" i="41"/>
  <c r="EL64" i="41" s="1"/>
  <c r="DD22" i="19"/>
  <c r="DD32" i="47"/>
  <c r="EH17" i="32"/>
  <c r="DD26" i="41"/>
  <c r="DD46" i="41"/>
  <c r="DD10" i="41"/>
  <c r="DD57" i="41"/>
  <c r="DE57" i="41" s="1"/>
  <c r="EI52" i="22"/>
  <c r="DD48" i="19"/>
  <c r="EH63" i="19"/>
  <c r="EL63" i="19" s="1"/>
  <c r="EH38" i="19"/>
  <c r="DD38" i="19"/>
  <c r="EH24" i="19"/>
  <c r="EH72" i="19"/>
  <c r="DD34" i="19"/>
  <c r="DD26" i="22"/>
  <c r="DD57" i="47"/>
  <c r="EH69" i="19"/>
  <c r="EH59" i="19"/>
  <c r="EK59" i="19" s="1"/>
  <c r="DD54" i="19"/>
  <c r="EH27" i="19"/>
  <c r="EH23" i="19"/>
  <c r="EH45" i="19"/>
  <c r="EK45" i="19" s="1"/>
  <c r="DD23" i="19"/>
  <c r="DD50" i="19"/>
  <c r="DD76" i="19"/>
  <c r="DD53" i="19"/>
  <c r="DD30" i="19"/>
  <c r="EG41" i="22"/>
  <c r="EJ41" i="22" s="1"/>
  <c r="DD53" i="41"/>
  <c r="DD76" i="41"/>
  <c r="DE76" i="41" s="1"/>
  <c r="DD33" i="41"/>
  <c r="EH40" i="41"/>
  <c r="EK40" i="41" s="1"/>
  <c r="EG57" i="47"/>
  <c r="EJ57" i="47" s="1"/>
  <c r="EH71" i="41"/>
  <c r="EH24" i="41"/>
  <c r="EH22" i="41"/>
  <c r="EG53" i="47"/>
  <c r="EI53" i="47" s="1"/>
  <c r="O233" i="31"/>
  <c r="I234" i="31"/>
  <c r="EM81" i="45"/>
  <c r="R57" i="38"/>
  <c r="C88" i="38" s="1"/>
  <c r="H88" i="38" s="1"/>
  <c r="G97" i="22"/>
  <c r="O234" i="31"/>
  <c r="EM81" i="19"/>
  <c r="EM81" i="47"/>
  <c r="D6" i="19"/>
  <c r="AF3" i="19"/>
  <c r="AD3" i="19"/>
  <c r="AG3" i="19"/>
  <c r="EG36" i="22"/>
  <c r="EG77" i="22"/>
  <c r="EJ77" i="22" s="1"/>
  <c r="EG51" i="22"/>
  <c r="EG18" i="22"/>
  <c r="EI18" i="22" s="1"/>
  <c r="EG11" i="22"/>
  <c r="EG28" i="22"/>
  <c r="EG47" i="22"/>
  <c r="EG39" i="22"/>
  <c r="EG27" i="22"/>
  <c r="EI27" i="22" s="1"/>
  <c r="EG35" i="22"/>
  <c r="EG69" i="22"/>
  <c r="EI69" i="22" s="1"/>
  <c r="EG32" i="22"/>
  <c r="EJ32" i="22" s="1"/>
  <c r="EG9" i="22"/>
  <c r="EG54" i="22"/>
  <c r="EI54" i="22" s="1"/>
  <c r="EG78" i="22"/>
  <c r="EG50" i="22"/>
  <c r="EJ50" i="22" s="1"/>
  <c r="EG38" i="22"/>
  <c r="EI38" i="22" s="1"/>
  <c r="EG15" i="22"/>
  <c r="EJ15" i="22" s="1"/>
  <c r="EG58" i="22"/>
  <c r="EI58" i="22" s="1"/>
  <c r="EG76" i="22"/>
  <c r="EG22" i="22"/>
  <c r="EG46" i="22"/>
  <c r="EG57" i="22"/>
  <c r="EG40" i="22"/>
  <c r="EG12" i="22"/>
  <c r="DD77" i="22"/>
  <c r="DD53" i="22"/>
  <c r="DD66" i="22"/>
  <c r="DD33" i="22"/>
  <c r="EG17" i="22"/>
  <c r="EG65" i="22"/>
  <c r="EG16" i="22"/>
  <c r="EG26" i="22"/>
  <c r="EI26" i="22" s="1"/>
  <c r="EG34" i="22"/>
  <c r="EJ34" i="22" s="1"/>
  <c r="EG75" i="22"/>
  <c r="DD35" i="22"/>
  <c r="DD50" i="22"/>
  <c r="DD76" i="22"/>
  <c r="EG44" i="22"/>
  <c r="DD69" i="22"/>
  <c r="DD28" i="22"/>
  <c r="AE3" i="19"/>
  <c r="EG66" i="22"/>
  <c r="EG8" i="22"/>
  <c r="EG53" i="22"/>
  <c r="DD42" i="22"/>
  <c r="EG30" i="22"/>
  <c r="EJ30" i="22" s="1"/>
  <c r="DD46" i="22"/>
  <c r="DD62" i="22"/>
  <c r="EG63" i="22"/>
  <c r="EI63" i="22" s="1"/>
  <c r="EG60" i="22"/>
  <c r="EI60" i="22" s="1"/>
  <c r="EG20" i="22"/>
  <c r="EG66" i="19"/>
  <c r="EG56" i="19"/>
  <c r="EG29" i="19"/>
  <c r="DD59" i="19"/>
  <c r="EG35" i="19"/>
  <c r="EG52" i="19"/>
  <c r="EG40" i="19"/>
  <c r="EG57" i="19"/>
  <c r="EG58" i="19"/>
  <c r="EG38" i="19"/>
  <c r="EG11" i="19"/>
  <c r="DD65" i="19"/>
  <c r="DD15" i="19"/>
  <c r="EG39" i="19"/>
  <c r="EG63" i="19"/>
  <c r="DD51" i="19"/>
  <c r="DD68" i="19"/>
  <c r="EG69" i="19"/>
  <c r="DD72" i="19"/>
  <c r="DD16" i="19"/>
  <c r="DD12" i="19"/>
  <c r="EG59" i="19"/>
  <c r="EG76" i="19"/>
  <c r="EJ76" i="19" s="1"/>
  <c r="EG62" i="19"/>
  <c r="EG42" i="19"/>
  <c r="EJ42" i="19" s="1"/>
  <c r="DD18" i="19"/>
  <c r="EG32" i="19"/>
  <c r="EG34" i="19"/>
  <c r="EJ34" i="19" s="1"/>
  <c r="DD21" i="19"/>
  <c r="EG27" i="19"/>
  <c r="DD20" i="19"/>
  <c r="DD77" i="19"/>
  <c r="DD33" i="19"/>
  <c r="EG17" i="19"/>
  <c r="EG68" i="19"/>
  <c r="DD27" i="19"/>
  <c r="EG30" i="19"/>
  <c r="EJ30" i="19" s="1"/>
  <c r="DD32" i="19"/>
  <c r="EG14" i="19"/>
  <c r="EG22" i="19"/>
  <c r="DD42" i="19"/>
  <c r="EH9" i="47"/>
  <c r="EH15" i="47"/>
  <c r="EK15" i="47" s="1"/>
  <c r="EH34" i="47"/>
  <c r="EL57" i="47"/>
  <c r="EK18" i="19"/>
  <c r="EL18" i="19"/>
  <c r="EH54" i="19"/>
  <c r="EH78" i="19"/>
  <c r="EH74" i="19"/>
  <c r="EH52" i="19"/>
  <c r="EH14" i="19"/>
  <c r="EH65" i="19"/>
  <c r="EH32" i="19"/>
  <c r="EH9" i="41"/>
  <c r="EH20" i="41"/>
  <c r="EH28" i="41"/>
  <c r="EH29" i="41"/>
  <c r="EH12" i="41"/>
  <c r="EH58" i="41"/>
  <c r="EH75" i="41"/>
  <c r="EH38" i="41"/>
  <c r="EH21" i="41"/>
  <c r="DD69" i="41"/>
  <c r="DE69" i="41" s="1"/>
  <c r="DD56" i="41"/>
  <c r="DD40" i="41"/>
  <c r="DD22" i="41"/>
  <c r="DD71" i="41"/>
  <c r="DE71" i="41" s="1"/>
  <c r="EH69" i="41"/>
  <c r="EL69" i="41" s="1"/>
  <c r="DD72" i="41"/>
  <c r="DE72" i="41" s="1"/>
  <c r="EH53" i="41"/>
  <c r="EH34" i="41"/>
  <c r="EH33" i="41"/>
  <c r="EH32" i="41"/>
  <c r="EH65" i="41"/>
  <c r="DD23" i="41"/>
  <c r="EH77" i="41"/>
  <c r="EH14" i="41"/>
  <c r="EH51" i="41"/>
  <c r="EH47" i="41"/>
  <c r="EL47" i="41" s="1"/>
  <c r="EH78" i="41"/>
  <c r="DD47" i="41"/>
  <c r="DD60" i="41"/>
  <c r="DE60" i="41" s="1"/>
  <c r="DD36" i="41"/>
  <c r="DD28" i="41"/>
  <c r="DD32" i="41"/>
  <c r="EH39" i="41"/>
  <c r="DD65" i="41"/>
  <c r="DE65" i="41" s="1"/>
  <c r="R40" i="38"/>
  <c r="J90" i="38" s="1"/>
  <c r="P90" i="38" s="1"/>
  <c r="K94" i="31"/>
  <c r="S100" i="31" s="1"/>
  <c r="H141" i="31"/>
  <c r="B4" i="19"/>
  <c r="F81" i="19" s="1"/>
  <c r="I230" i="31"/>
  <c r="DD58" i="45"/>
  <c r="DD44" i="45"/>
  <c r="EH70" i="45"/>
  <c r="EL70" i="45" s="1"/>
  <c r="DD32" i="45"/>
  <c r="EH15" i="45"/>
  <c r="EL15" i="45" s="1"/>
  <c r="EH32" i="45"/>
  <c r="EH50" i="32"/>
  <c r="EL50" i="32" s="1"/>
  <c r="EH27" i="32"/>
  <c r="DD38" i="32"/>
  <c r="EH14" i="32"/>
  <c r="DD14" i="32"/>
  <c r="DD27" i="32"/>
  <c r="EH51" i="32"/>
  <c r="EL51" i="32" s="1"/>
  <c r="DD39" i="32"/>
  <c r="EH52" i="32"/>
  <c r="EK52" i="32" s="1"/>
  <c r="DD56" i="32"/>
  <c r="DE56" i="32" s="1"/>
  <c r="DD68" i="32"/>
  <c r="DE68" i="32" s="1"/>
  <c r="EH74" i="32"/>
  <c r="EK74" i="32" s="1"/>
  <c r="EH65" i="32"/>
  <c r="DD64" i="32"/>
  <c r="DE64" i="32" s="1"/>
  <c r="DD16" i="32"/>
  <c r="EG70" i="47"/>
  <c r="DD41" i="47"/>
  <c r="DE41" i="47" s="1"/>
  <c r="DD63" i="47"/>
  <c r="DD10" i="47"/>
  <c r="DD39" i="47"/>
  <c r="DE39" i="47" s="1"/>
  <c r="EG58" i="47"/>
  <c r="EG75" i="47"/>
  <c r="DD20" i="47"/>
  <c r="EG27" i="47"/>
  <c r="EG56" i="47"/>
  <c r="EG28" i="47"/>
  <c r="EG34" i="47"/>
  <c r="EG14" i="47"/>
  <c r="EG26" i="47"/>
  <c r="EG22" i="47"/>
  <c r="EG12" i="47"/>
  <c r="EG10" i="47"/>
  <c r="EG62" i="47"/>
  <c r="DD51" i="47"/>
  <c r="DE51" i="47" s="1"/>
  <c r="DD46" i="47"/>
  <c r="DE46" i="47" s="1"/>
  <c r="DD33" i="47"/>
  <c r="EG21" i="47"/>
  <c r="DD74" i="47"/>
  <c r="DD64" i="47"/>
  <c r="DD12" i="47"/>
  <c r="EG20" i="47"/>
  <c r="EG65" i="47"/>
  <c r="EG9" i="47"/>
  <c r="EG11" i="47"/>
  <c r="DD16" i="47"/>
  <c r="EG32" i="47"/>
  <c r="EG59" i="47"/>
  <c r="EG52" i="47"/>
  <c r="EG63" i="47"/>
  <c r="EG74" i="47"/>
  <c r="EG64" i="47"/>
  <c r="EG60" i="47"/>
  <c r="EJ60" i="47" s="1"/>
  <c r="EG39" i="47"/>
  <c r="DD27" i="47"/>
  <c r="EG18" i="47"/>
  <c r="EG76" i="47"/>
  <c r="EG41" i="47"/>
  <c r="EG40" i="47"/>
  <c r="DD56" i="47"/>
  <c r="EG47" i="47"/>
  <c r="EG29" i="47"/>
  <c r="EG35" i="47"/>
  <c r="EG38" i="47"/>
  <c r="EG66" i="47"/>
  <c r="EG77" i="47"/>
  <c r="EJ77" i="47" s="1"/>
  <c r="EG69" i="47"/>
  <c r="EG48" i="47"/>
  <c r="EG23" i="47"/>
  <c r="EG54" i="47"/>
  <c r="EG30" i="47"/>
  <c r="EG16" i="47"/>
  <c r="DD40" i="47"/>
  <c r="DE40" i="47" s="1"/>
  <c r="DD59" i="47"/>
  <c r="DD24" i="47"/>
  <c r="DD76" i="47"/>
  <c r="DD72" i="47"/>
  <c r="DD50" i="47"/>
  <c r="DE50" i="47" s="1"/>
  <c r="DD70" i="47"/>
  <c r="DD65" i="47"/>
  <c r="EG33" i="47"/>
  <c r="DD21" i="47"/>
  <c r="EG50" i="47"/>
  <c r="EI50" i="47" s="1"/>
  <c r="EG46" i="47"/>
  <c r="EG72" i="47"/>
  <c r="DD42" i="47"/>
  <c r="DE42" i="47" s="1"/>
  <c r="EG17" i="47"/>
  <c r="DD14" i="47"/>
  <c r="DD71" i="47"/>
  <c r="DD11" i="47"/>
  <c r="DD62" i="47"/>
  <c r="DD26" i="47"/>
  <c r="DD52" i="47"/>
  <c r="EG42" i="47"/>
  <c r="EG45" i="47"/>
  <c r="EG71" i="47"/>
  <c r="EH20" i="19"/>
  <c r="EH51" i="19"/>
  <c r="EH57" i="19"/>
  <c r="EH28" i="19"/>
  <c r="DD28" i="19"/>
  <c r="DD9" i="19"/>
  <c r="EH41" i="19"/>
  <c r="EH66" i="19"/>
  <c r="EL66" i="19" s="1"/>
  <c r="DD71" i="19"/>
  <c r="EH76" i="19"/>
  <c r="EH17" i="19"/>
  <c r="EH53" i="19"/>
  <c r="EH16" i="19"/>
  <c r="EH48" i="19"/>
  <c r="EH64" i="19"/>
  <c r="EH12" i="19"/>
  <c r="DD52" i="19"/>
  <c r="EH58" i="19"/>
  <c r="EL58" i="19" s="1"/>
  <c r="DD35" i="19"/>
  <c r="EG62" i="22"/>
  <c r="EG29" i="22"/>
  <c r="EG68" i="22"/>
  <c r="EG23" i="22"/>
  <c r="EG70" i="22"/>
  <c r="EG48" i="22"/>
  <c r="EG64" i="22"/>
  <c r="EG42" i="22"/>
  <c r="EJ42" i="22" s="1"/>
  <c r="EG10" i="22"/>
  <c r="EG74" i="22"/>
  <c r="EG56" i="22"/>
  <c r="EI56" i="22" s="1"/>
  <c r="EG45" i="22"/>
  <c r="EG8" i="32"/>
  <c r="EG32" i="32"/>
  <c r="EG75" i="32"/>
  <c r="EG62" i="32"/>
  <c r="EG50" i="32"/>
  <c r="EJ50" i="32" s="1"/>
  <c r="EG12" i="32"/>
  <c r="EG38" i="32"/>
  <c r="EG57" i="32"/>
  <c r="EJ57" i="32" s="1"/>
  <c r="EG23" i="32"/>
  <c r="EG65" i="32"/>
  <c r="EG27" i="32"/>
  <c r="EJ27" i="32" s="1"/>
  <c r="EG15" i="32"/>
  <c r="EG56" i="32"/>
  <c r="EG68" i="32"/>
  <c r="EG45" i="32"/>
  <c r="EI45" i="32" s="1"/>
  <c r="EG34" i="32"/>
  <c r="DD36" i="32"/>
  <c r="EG52" i="32"/>
  <c r="EI52" i="32" s="1"/>
  <c r="EH44" i="45"/>
  <c r="EH75" i="45"/>
  <c r="EH53" i="45"/>
  <c r="DD20" i="45"/>
  <c r="DD16" i="45"/>
  <c r="DD64" i="45"/>
  <c r="DD60" i="45"/>
  <c r="DD17" i="45"/>
  <c r="DD45" i="45"/>
  <c r="DD63" i="45"/>
  <c r="DD38" i="45"/>
  <c r="DD42" i="45"/>
  <c r="DD11" i="45"/>
  <c r="EH39" i="45"/>
  <c r="EH58" i="45"/>
  <c r="EH34" i="45"/>
  <c r="DD75" i="45"/>
  <c r="DD46" i="45"/>
  <c r="DD54" i="45"/>
  <c r="DD34" i="45"/>
  <c r="EH38" i="45"/>
  <c r="DD30" i="45"/>
  <c r="DD48" i="45"/>
  <c r="DD18" i="45"/>
  <c r="DD40" i="45"/>
  <c r="EH33" i="45"/>
  <c r="EH27" i="45"/>
  <c r="DD9" i="45"/>
  <c r="DD14" i="45"/>
  <c r="EH11" i="45"/>
  <c r="EH52" i="45"/>
  <c r="DD29" i="45"/>
  <c r="EH74" i="45"/>
  <c r="DD41" i="45"/>
  <c r="EH42" i="45"/>
  <c r="EH66" i="45"/>
  <c r="EH22" i="45"/>
  <c r="EH47" i="45"/>
  <c r="EH51" i="45"/>
  <c r="DD65" i="45"/>
  <c r="EH24" i="45"/>
  <c r="DD28" i="45"/>
  <c r="EH72" i="45"/>
  <c r="EH40" i="45"/>
  <c r="EH17" i="45"/>
  <c r="EH57" i="45"/>
  <c r="DD23" i="45"/>
  <c r="DD69" i="45"/>
  <c r="EH45" i="45"/>
  <c r="DD39" i="45"/>
  <c r="DD59" i="45"/>
  <c r="EH64" i="45"/>
  <c r="EH29" i="45"/>
  <c r="DD71" i="45"/>
  <c r="DD66" i="45"/>
  <c r="EH50" i="45"/>
  <c r="EH60" i="45"/>
  <c r="EH28" i="45"/>
  <c r="DD77" i="45"/>
  <c r="EH16" i="45"/>
  <c r="EH14" i="45"/>
  <c r="EH77" i="45"/>
  <c r="EH12" i="45"/>
  <c r="EH62" i="45"/>
  <c r="EH10" i="45"/>
  <c r="EH20" i="45"/>
  <c r="EH78" i="45"/>
  <c r="DD12" i="45"/>
  <c r="DD35" i="45"/>
  <c r="EH48" i="45"/>
  <c r="EH36" i="45"/>
  <c r="DD51" i="45"/>
  <c r="DD27" i="45"/>
  <c r="DD24" i="45"/>
  <c r="DD57" i="45"/>
  <c r="EH59" i="45"/>
  <c r="EH18" i="45"/>
  <c r="EH69" i="45"/>
  <c r="EH63" i="45"/>
  <c r="EH35" i="45"/>
  <c r="EH65" i="45"/>
  <c r="DD76" i="45"/>
  <c r="EH46" i="45"/>
  <c r="DD36" i="45"/>
  <c r="DD56" i="45"/>
  <c r="DD21" i="45"/>
  <c r="EH23" i="45"/>
  <c r="DD52" i="45"/>
  <c r="EH56" i="45"/>
  <c r="DD47" i="45"/>
  <c r="DD62" i="45"/>
  <c r="DD78" i="45"/>
  <c r="DE78" i="45" s="1"/>
  <c r="DD72" i="45"/>
  <c r="DD74" i="45"/>
  <c r="EH9" i="45"/>
  <c r="EH71" i="45"/>
  <c r="DD50" i="45"/>
  <c r="EH26" i="45"/>
  <c r="DD22" i="45"/>
  <c r="EH68" i="45"/>
  <c r="DD33" i="45"/>
  <c r="DD15" i="45"/>
  <c r="DD68" i="45"/>
  <c r="EH41" i="45"/>
  <c r="EH76" i="45"/>
  <c r="DD26" i="45"/>
  <c r="DD53" i="45"/>
  <c r="EH54" i="45"/>
  <c r="DD10" i="45"/>
  <c r="DD70" i="45"/>
  <c r="EH30" i="45"/>
  <c r="EH21" i="45"/>
  <c r="EH23" i="32"/>
  <c r="EH48" i="32"/>
  <c r="EH18" i="32"/>
  <c r="EH16" i="32"/>
  <c r="DD69" i="32"/>
  <c r="DE69" i="32" s="1"/>
  <c r="EH64" i="32"/>
  <c r="DD11" i="32"/>
  <c r="DD17" i="32"/>
  <c r="EH22" i="32"/>
  <c r="EH20" i="32"/>
  <c r="EH63" i="32"/>
  <c r="EH70" i="32"/>
  <c r="DD75" i="32"/>
  <c r="DE75" i="32" s="1"/>
  <c r="DD53" i="32"/>
  <c r="DE53" i="32" s="1"/>
  <c r="DD30" i="32"/>
  <c r="DD63" i="32"/>
  <c r="DE63" i="32" s="1"/>
  <c r="DD40" i="32"/>
  <c r="DD45" i="32"/>
  <c r="DE45" i="32" s="1"/>
  <c r="EH15" i="32"/>
  <c r="EH68" i="32"/>
  <c r="EH71" i="32"/>
  <c r="DD28" i="32"/>
  <c r="DD58" i="32"/>
  <c r="DE58" i="32" s="1"/>
  <c r="DD47" i="32"/>
  <c r="DE47" i="32" s="1"/>
  <c r="EH32" i="32"/>
  <c r="EH45" i="32"/>
  <c r="EH36" i="32"/>
  <c r="DD35" i="32"/>
  <c r="DD54" i="32"/>
  <c r="DE54" i="32" s="1"/>
  <c r="DD74" i="32"/>
  <c r="DE74" i="32" s="1"/>
  <c r="EH34" i="32"/>
  <c r="EH35" i="32"/>
  <c r="DD18" i="32"/>
  <c r="DD41" i="32"/>
  <c r="DE41" i="32" s="1"/>
  <c r="DD42" i="32"/>
  <c r="DE42" i="32" s="1"/>
  <c r="DD34" i="32"/>
  <c r="DD12" i="32"/>
  <c r="EH38" i="32"/>
  <c r="EH12" i="32"/>
  <c r="EH57" i="32"/>
  <c r="EH62" i="32"/>
  <c r="EH56" i="32"/>
  <c r="DD20" i="32"/>
  <c r="EH54" i="32"/>
  <c r="EH33" i="32"/>
  <c r="EH58" i="32"/>
  <c r="EH66" i="32"/>
  <c r="DD51" i="32"/>
  <c r="DE51" i="32" s="1"/>
  <c r="DD21" i="32"/>
  <c r="EH75" i="32"/>
  <c r="EH41" i="32"/>
  <c r="EH28" i="32"/>
  <c r="DD10" i="32"/>
  <c r="DD76" i="32"/>
  <c r="DE76" i="32" s="1"/>
  <c r="DD23" i="32"/>
  <c r="DD22" i="32"/>
  <c r="EH69" i="32"/>
  <c r="EH78" i="32"/>
  <c r="EH30" i="32"/>
  <c r="DD60" i="32"/>
  <c r="DE60" i="32" s="1"/>
  <c r="DD50" i="32"/>
  <c r="DE50" i="32" s="1"/>
  <c r="EH10" i="32"/>
  <c r="DD70" i="32"/>
  <c r="DE70" i="32" s="1"/>
  <c r="DD44" i="32"/>
  <c r="DE44" i="32" s="1"/>
  <c r="EH77" i="32"/>
  <c r="DD24" i="32"/>
  <c r="EH47" i="32"/>
  <c r="EH40" i="32"/>
  <c r="DD9" i="32"/>
  <c r="EH29" i="32"/>
  <c r="DD59" i="32"/>
  <c r="DE59" i="32" s="1"/>
  <c r="EH42" i="32"/>
  <c r="DD66" i="32"/>
  <c r="DE66" i="32" s="1"/>
  <c r="EH76" i="32"/>
  <c r="EH24" i="32"/>
  <c r="EH9" i="32"/>
  <c r="DD57" i="32"/>
  <c r="DE57" i="32" s="1"/>
  <c r="DD33" i="32"/>
  <c r="DD32" i="32"/>
  <c r="EH26" i="32"/>
  <c r="EH59" i="32"/>
  <c r="EH53" i="32"/>
  <c r="DD52" i="32"/>
  <c r="DE52" i="32" s="1"/>
  <c r="DD48" i="32"/>
  <c r="DE48" i="32" s="1"/>
  <c r="EH46" i="32"/>
  <c r="DD62" i="32"/>
  <c r="DE62" i="32" s="1"/>
  <c r="EH42" i="22"/>
  <c r="DD68" i="22"/>
  <c r="DD59" i="22"/>
  <c r="EH68" i="22"/>
  <c r="DD75" i="22"/>
  <c r="EH66" i="22"/>
  <c r="EH71" i="22"/>
  <c r="EH40" i="22"/>
  <c r="DD71" i="22"/>
  <c r="DD64" i="22"/>
  <c r="DD78" i="22"/>
  <c r="DD16" i="22"/>
  <c r="DD21" i="22"/>
  <c r="EH52" i="22"/>
  <c r="DD72" i="32"/>
  <c r="DE72" i="32" s="1"/>
  <c r="DD26" i="32"/>
  <c r="EH39" i="32"/>
  <c r="EH11" i="32"/>
  <c r="EH72" i="32"/>
  <c r="DD78" i="32"/>
  <c r="DE78" i="32" s="1"/>
  <c r="EH64" i="22"/>
  <c r="EH69" i="22"/>
  <c r="EH34" i="22"/>
  <c r="EH22" i="22"/>
  <c r="DD9" i="22"/>
  <c r="DD54" i="22"/>
  <c r="DD12" i="22"/>
  <c r="DD38" i="22"/>
  <c r="EH28" i="22"/>
  <c r="EH41" i="22"/>
  <c r="DD57" i="22"/>
  <c r="EH21" i="22"/>
  <c r="DD70" i="22"/>
  <c r="EH51" i="22"/>
  <c r="DD74" i="22"/>
  <c r="EH77" i="22"/>
  <c r="DD63" i="22"/>
  <c r="EH46" i="22"/>
  <c r="DD10" i="22"/>
  <c r="DD65" i="22"/>
  <c r="EH12" i="22"/>
  <c r="EH10" i="22"/>
  <c r="EH72" i="22"/>
  <c r="DD45" i="22"/>
  <c r="DD47" i="22"/>
  <c r="DD44" i="22"/>
  <c r="DD32" i="22"/>
  <c r="DD18" i="22"/>
  <c r="EH32" i="22"/>
  <c r="DD41" i="22"/>
  <c r="EH18" i="22"/>
  <c r="EH65" i="22"/>
  <c r="DD27" i="22"/>
  <c r="EH78" i="22"/>
  <c r="EH48" i="22"/>
  <c r="EH33" i="22"/>
  <c r="DD51" i="22"/>
  <c r="DD39" i="22"/>
  <c r="DD36" i="22"/>
  <c r="DD58" i="22"/>
  <c r="EH11" i="22"/>
  <c r="EH27" i="22"/>
  <c r="EH60" i="22"/>
  <c r="DD24" i="22"/>
  <c r="EH39" i="22"/>
  <c r="DD40" i="22"/>
  <c r="DD20" i="22"/>
  <c r="EH50" i="22"/>
  <c r="DD22" i="22"/>
  <c r="EH44" i="22"/>
  <c r="DD15" i="22"/>
  <c r="DD60" i="22"/>
  <c r="EH45" i="22"/>
  <c r="EH57" i="22"/>
  <c r="DD48" i="22"/>
  <c r="DD52" i="22"/>
  <c r="EH53" i="22"/>
  <c r="DD17" i="22"/>
  <c r="DD29" i="32"/>
  <c r="EH21" i="32"/>
  <c r="EH44" i="32"/>
  <c r="DD65" i="32"/>
  <c r="DE65" i="32" s="1"/>
  <c r="EH62" i="22"/>
  <c r="EH9" i="22"/>
  <c r="DD11" i="22"/>
  <c r="EH47" i="22"/>
  <c r="DD34" i="22"/>
  <c r="EH26" i="22"/>
  <c r="DD72" i="22"/>
  <c r="EH29" i="22"/>
  <c r="EH16" i="22"/>
  <c r="DD56" i="22"/>
  <c r="EH63" i="22"/>
  <c r="DD30" i="22"/>
  <c r="EH38" i="22"/>
  <c r="DD15" i="32"/>
  <c r="DD71" i="32"/>
  <c r="DE71" i="32" s="1"/>
  <c r="EH60" i="32"/>
  <c r="EG54" i="41"/>
  <c r="DD78" i="41"/>
  <c r="DE78" i="41" s="1"/>
  <c r="DD50" i="41"/>
  <c r="DD74" i="41"/>
  <c r="EG66" i="41"/>
  <c r="DD16" i="41"/>
  <c r="DD54" i="41"/>
  <c r="EG34" i="41"/>
  <c r="EG11" i="41"/>
  <c r="DD34" i="41"/>
  <c r="EG68" i="41"/>
  <c r="DD20" i="41"/>
  <c r="EG42" i="41"/>
  <c r="EG74" i="41"/>
  <c r="DD35" i="41"/>
  <c r="EG77" i="41"/>
  <c r="DD18" i="41"/>
  <c r="DD17" i="41"/>
  <c r="EG36" i="41"/>
  <c r="EG33" i="41"/>
  <c r="DD75" i="41"/>
  <c r="DD11" i="41"/>
  <c r="DD9" i="41"/>
  <c r="EG52" i="41"/>
  <c r="DD39" i="41"/>
  <c r="EG64" i="41"/>
  <c r="DD45" i="41"/>
  <c r="EG23" i="41"/>
  <c r="EG24" i="41"/>
  <c r="EH46" i="47"/>
  <c r="DD36" i="47"/>
  <c r="DE36" i="47" s="1"/>
  <c r="DD77" i="47"/>
  <c r="DD30" i="47"/>
  <c r="DD44" i="47"/>
  <c r="DE44" i="47" s="1"/>
  <c r="DD66" i="47"/>
  <c r="DD45" i="47"/>
  <c r="DE45" i="47" s="1"/>
  <c r="DD47" i="47"/>
  <c r="DE47" i="47" s="1"/>
  <c r="DD68" i="47"/>
  <c r="DD53" i="47"/>
  <c r="DD17" i="47"/>
  <c r="DD34" i="47"/>
  <c r="EH16" i="47"/>
  <c r="EH63" i="47"/>
  <c r="EH70" i="47"/>
  <c r="EH28" i="47"/>
  <c r="DD69" i="47"/>
  <c r="DD78" i="47"/>
  <c r="DE78" i="47" s="1"/>
  <c r="DD58" i="47"/>
  <c r="DD22" i="47"/>
  <c r="DD38" i="47"/>
  <c r="DE38" i="47" s="1"/>
  <c r="DD54" i="47"/>
  <c r="DD9" i="47"/>
  <c r="CU69" i="41"/>
  <c r="DS63" i="32"/>
  <c r="CO69" i="41"/>
  <c r="CU45" i="32"/>
  <c r="CU46" i="32"/>
  <c r="DS45" i="32"/>
  <c r="CU64" i="32"/>
  <c r="CO78" i="41"/>
  <c r="CS78" i="41"/>
  <c r="G176" i="40"/>
  <c r="G36" i="40" s="1"/>
  <c r="CO63" i="32"/>
  <c r="CS42" i="32"/>
  <c r="CS63" i="32"/>
  <c r="CO46" i="32"/>
  <c r="CU42" i="32"/>
  <c r="DS64" i="32"/>
  <c r="CU46" i="47"/>
  <c r="G173" i="40"/>
  <c r="G33" i="40" s="1"/>
  <c r="CS51" i="32"/>
  <c r="CO51" i="32"/>
  <c r="DS53" i="32"/>
  <c r="CS62" i="41"/>
  <c r="DS62" i="41"/>
  <c r="CS41" i="32"/>
  <c r="CU41" i="32"/>
  <c r="CO41" i="32"/>
  <c r="DS78" i="47"/>
  <c r="EO35" i="47"/>
  <c r="EO66" i="47"/>
  <c r="EO78" i="41"/>
  <c r="EO72" i="47"/>
  <c r="EO58" i="41"/>
  <c r="EO41" i="47"/>
  <c r="EO46" i="47"/>
  <c r="EO74" i="47"/>
  <c r="EO47" i="41"/>
  <c r="EO65" i="41"/>
  <c r="EO50" i="41"/>
  <c r="EO56" i="47"/>
  <c r="D176" i="31"/>
  <c r="G176" i="31" s="1"/>
  <c r="R36" i="38"/>
  <c r="J65" i="38" s="1"/>
  <c r="P65" i="38" s="1"/>
  <c r="R55" i="38"/>
  <c r="J68" i="38" s="1"/>
  <c r="P68" i="38" s="1"/>
  <c r="C218" i="31"/>
  <c r="EQ59" i="32"/>
  <c r="EQ64" i="32"/>
  <c r="EQ41" i="32"/>
  <c r="EQ78" i="32"/>
  <c r="EQ60" i="32"/>
  <c r="EQ53" i="32"/>
  <c r="EQ47" i="32"/>
  <c r="EQ48" i="32"/>
  <c r="EO38" i="41"/>
  <c r="EO63" i="41"/>
  <c r="EO74" i="41"/>
  <c r="EO52" i="47"/>
  <c r="EO45" i="41"/>
  <c r="EO36" i="47"/>
  <c r="EO65" i="47"/>
  <c r="EO54" i="41"/>
  <c r="EO54" i="47"/>
  <c r="EO58" i="47"/>
  <c r="EO41" i="41"/>
  <c r="EO59" i="41"/>
  <c r="EO48" i="41"/>
  <c r="EO40" i="47"/>
  <c r="EO51" i="47"/>
  <c r="EO59" i="47"/>
  <c r="EO46" i="41"/>
  <c r="EO77" i="41"/>
  <c r="EM81" i="41"/>
  <c r="C225" i="31"/>
  <c r="EQ56" i="32"/>
  <c r="G98" i="32"/>
  <c r="G97" i="32"/>
  <c r="EQ63" i="32"/>
  <c r="G98" i="19"/>
  <c r="G97" i="19"/>
  <c r="G98" i="47"/>
  <c r="G97" i="47"/>
  <c r="G98" i="41"/>
  <c r="G97" i="41"/>
  <c r="G97" i="45"/>
  <c r="G98" i="45"/>
  <c r="EQ74" i="32"/>
  <c r="EQ65" i="32"/>
  <c r="EQ45" i="32"/>
  <c r="EQ70" i="32"/>
  <c r="EQ68" i="32"/>
  <c r="EQ42" i="32"/>
  <c r="EQ76" i="32"/>
  <c r="EQ71" i="32"/>
  <c r="EQ46" i="32"/>
  <c r="EQ72" i="32"/>
  <c r="EQ52" i="32"/>
  <c r="EQ69" i="32"/>
  <c r="D81" i="19"/>
  <c r="D81" i="41"/>
  <c r="D81" i="32"/>
  <c r="D81" i="22"/>
  <c r="D81" i="47"/>
  <c r="D81" i="45"/>
  <c r="EQ44" i="32"/>
  <c r="EQ75" i="32"/>
  <c r="EQ51" i="32"/>
  <c r="EQ66" i="32"/>
  <c r="EQ77" i="32"/>
  <c r="EQ57" i="32"/>
  <c r="H38" i="47" l="1"/>
  <c r="ER38" i="47" s="1"/>
  <c r="ET38" i="47" s="1"/>
  <c r="Q38" i="47"/>
  <c r="EM38" i="47"/>
  <c r="EO38" i="47"/>
  <c r="CW42" i="32"/>
  <c r="L42" i="32" s="1"/>
  <c r="DA56" i="32"/>
  <c r="N56" i="32" s="1"/>
  <c r="AO9" i="47"/>
  <c r="AO9" i="41"/>
  <c r="AN9" i="41"/>
  <c r="AN9" i="47"/>
  <c r="AN19" i="45"/>
  <c r="AN19" i="41"/>
  <c r="AN19" i="47"/>
  <c r="AN22" i="45"/>
  <c r="AN22" i="47"/>
  <c r="AN22" i="41"/>
  <c r="AO39" i="45"/>
  <c r="AO39" i="41"/>
  <c r="AO39" i="47"/>
  <c r="AO17" i="45"/>
  <c r="AO17" i="41"/>
  <c r="AO17" i="47"/>
  <c r="AO20" i="45"/>
  <c r="AO20" i="41"/>
  <c r="AO20" i="47"/>
  <c r="AO15" i="45"/>
  <c r="AO15" i="47"/>
  <c r="AO15" i="41"/>
  <c r="AN27" i="45"/>
  <c r="AN27" i="41"/>
  <c r="AN27" i="47"/>
  <c r="AN18" i="45"/>
  <c r="AN18" i="41"/>
  <c r="AN18" i="47"/>
  <c r="AO18" i="45"/>
  <c r="AO18" i="41"/>
  <c r="AO18" i="47"/>
  <c r="AO27" i="45"/>
  <c r="AO27" i="41"/>
  <c r="AO27" i="47"/>
  <c r="AO22" i="45"/>
  <c r="AO22" i="41"/>
  <c r="AO22" i="47"/>
  <c r="AO21" i="45"/>
  <c r="AO21" i="47"/>
  <c r="AO21" i="41"/>
  <c r="AN30" i="45"/>
  <c r="AN30" i="41"/>
  <c r="AN30" i="47"/>
  <c r="AO36" i="45"/>
  <c r="AO36" i="41"/>
  <c r="AO36" i="47"/>
  <c r="AN17" i="45"/>
  <c r="AN17" i="41"/>
  <c r="AN17" i="47"/>
  <c r="AN37" i="45"/>
  <c r="AN37" i="41"/>
  <c r="AN37" i="47"/>
  <c r="AN20" i="45"/>
  <c r="AN20" i="47"/>
  <c r="AN20" i="41"/>
  <c r="AN40" i="45"/>
  <c r="AN40" i="41"/>
  <c r="AN40" i="47"/>
  <c r="AO40" i="45"/>
  <c r="AO40" i="41"/>
  <c r="AO40" i="47"/>
  <c r="AN34" i="45"/>
  <c r="AN34" i="41"/>
  <c r="AN34" i="47"/>
  <c r="AN16" i="45"/>
  <c r="AN16" i="47"/>
  <c r="AN16" i="41"/>
  <c r="AN29" i="45"/>
  <c r="AN29" i="41"/>
  <c r="AN29" i="47"/>
  <c r="AO16" i="45"/>
  <c r="AO16" i="47"/>
  <c r="AO16" i="41"/>
  <c r="AN31" i="45"/>
  <c r="AN31" i="41"/>
  <c r="AN31" i="47"/>
  <c r="AO34" i="45"/>
  <c r="AO34" i="41"/>
  <c r="AO34" i="47"/>
  <c r="AN26" i="45"/>
  <c r="AN26" i="41"/>
  <c r="AN26" i="47"/>
  <c r="AO29" i="45"/>
  <c r="AO29" i="41"/>
  <c r="AO29" i="47"/>
  <c r="AN32" i="45"/>
  <c r="AN32" i="41"/>
  <c r="AN32" i="47"/>
  <c r="AO28" i="45"/>
  <c r="AO28" i="41"/>
  <c r="AO28" i="47"/>
  <c r="AO32" i="45"/>
  <c r="AO32" i="41"/>
  <c r="AO32" i="47"/>
  <c r="AO37" i="45"/>
  <c r="AO37" i="41"/>
  <c r="AO37" i="47"/>
  <c r="AN14" i="45"/>
  <c r="AN14" i="41"/>
  <c r="AN14" i="47"/>
  <c r="AN33" i="45"/>
  <c r="AN33" i="41"/>
  <c r="AN33" i="47"/>
  <c r="AO30" i="45"/>
  <c r="AO30" i="41"/>
  <c r="AO30" i="47"/>
  <c r="AN15" i="45"/>
  <c r="AN15" i="41"/>
  <c r="AN15" i="47"/>
  <c r="AO31" i="45"/>
  <c r="AO31" i="41"/>
  <c r="AO31" i="47"/>
  <c r="AN38" i="45"/>
  <c r="AN38" i="41"/>
  <c r="AN38" i="47"/>
  <c r="AO26" i="45"/>
  <c r="AO26" i="41"/>
  <c r="AO26" i="47"/>
  <c r="AN45" i="45"/>
  <c r="AN45" i="32"/>
  <c r="AN45" i="41"/>
  <c r="AN45" i="47"/>
  <c r="AN21" i="45"/>
  <c r="AN21" i="41"/>
  <c r="AN21" i="47"/>
  <c r="AO14" i="45"/>
  <c r="AO14" i="47"/>
  <c r="AO14" i="41"/>
  <c r="AN39" i="45"/>
  <c r="AN39" i="41"/>
  <c r="AN39" i="47"/>
  <c r="AO41" i="45"/>
  <c r="AO41" i="41"/>
  <c r="AO41" i="47"/>
  <c r="AN41" i="45"/>
  <c r="AN41" i="41"/>
  <c r="AN41" i="47"/>
  <c r="AO33" i="45"/>
  <c r="AO33" i="41"/>
  <c r="AO33" i="47"/>
  <c r="AO38" i="45"/>
  <c r="AO38" i="41"/>
  <c r="AO38" i="47"/>
  <c r="AN36" i="45"/>
  <c r="AN36" i="41"/>
  <c r="AN36" i="47"/>
  <c r="AO45" i="45"/>
  <c r="AO45" i="32"/>
  <c r="AO45" i="41"/>
  <c r="AO45" i="47"/>
  <c r="AN28" i="45"/>
  <c r="AN28" i="41"/>
  <c r="AN28" i="47"/>
  <c r="AO19" i="45"/>
  <c r="AO19" i="47"/>
  <c r="AO19" i="41"/>
  <c r="ES64" i="32"/>
  <c r="ES77" i="32"/>
  <c r="ET63" i="32"/>
  <c r="CX56" i="32"/>
  <c r="CW56" i="32"/>
  <c r="L56" i="32" s="1"/>
  <c r="CZ56" i="32"/>
  <c r="CX42" i="32"/>
  <c r="DA42" i="32"/>
  <c r="N42" i="32" s="1"/>
  <c r="CZ42" i="32"/>
  <c r="ES47" i="32"/>
  <c r="ET70" i="41"/>
  <c r="ES70" i="41"/>
  <c r="ES76" i="41"/>
  <c r="ET76" i="41"/>
  <c r="ET78" i="45"/>
  <c r="ET50" i="47"/>
  <c r="ES50" i="47"/>
  <c r="ET42" i="47"/>
  <c r="ES42" i="47"/>
  <c r="CH63" i="47"/>
  <c r="AO9" i="45"/>
  <c r="AN9" i="45"/>
  <c r="N7" i="45"/>
  <c r="BW13" i="32"/>
  <c r="EH8" i="19"/>
  <c r="CH86" i="47"/>
  <c r="CI65" i="47"/>
  <c r="BH17" i="45"/>
  <c r="BH17" i="47"/>
  <c r="BH17" i="32"/>
  <c r="BH17" i="41"/>
  <c r="BH17" i="19"/>
  <c r="BH17" i="22"/>
  <c r="BH16" i="45"/>
  <c r="BH16" i="22"/>
  <c r="BH16" i="41"/>
  <c r="BH16" i="19"/>
  <c r="BH16" i="47"/>
  <c r="BH16" i="32"/>
  <c r="BV41" i="47"/>
  <c r="U10" i="40"/>
  <c r="BV44" i="47"/>
  <c r="U14" i="40"/>
  <c r="BG24" i="22"/>
  <c r="EN46" i="22" s="1"/>
  <c r="CH65" i="47"/>
  <c r="CH95" i="47"/>
  <c r="EH8" i="47"/>
  <c r="EG8" i="45"/>
  <c r="DA70" i="32"/>
  <c r="N70" i="32" s="1"/>
  <c r="DA59" i="32"/>
  <c r="N59" i="32" s="1"/>
  <c r="DD8" i="41"/>
  <c r="J82" i="38"/>
  <c r="P82" i="38" s="1"/>
  <c r="F38" i="31"/>
  <c r="CH83" i="47"/>
  <c r="CI83" i="47"/>
  <c r="CI76" i="47"/>
  <c r="BJ14" i="47"/>
  <c r="BW13" i="47"/>
  <c r="EJ51" i="47"/>
  <c r="CH76" i="47"/>
  <c r="CI47" i="47"/>
  <c r="BJ35" i="19"/>
  <c r="BW34" i="19"/>
  <c r="CH47" i="47"/>
  <c r="CI94" i="47"/>
  <c r="CH92" i="47"/>
  <c r="CI44" i="47"/>
  <c r="CH93" i="47"/>
  <c r="CH88" i="47"/>
  <c r="CI69" i="47"/>
  <c r="CI41" i="47"/>
  <c r="CH58" i="47"/>
  <c r="CI56" i="47"/>
  <c r="CI53" i="47"/>
  <c r="CI75" i="47"/>
  <c r="CH52" i="47"/>
  <c r="CH56" i="47"/>
  <c r="CI80" i="47"/>
  <c r="CH70" i="47"/>
  <c r="CH57" i="47"/>
  <c r="CI52" i="47"/>
  <c r="CI89" i="47"/>
  <c r="CI92" i="47"/>
  <c r="CH82" i="47"/>
  <c r="CH46" i="47"/>
  <c r="CH74" i="47"/>
  <c r="CI86" i="47"/>
  <c r="CI77" i="47"/>
  <c r="CH59" i="47"/>
  <c r="CI57" i="47"/>
  <c r="CI88" i="47"/>
  <c r="CH87" i="47"/>
  <c r="CI68" i="47"/>
  <c r="CI64" i="47"/>
  <c r="CH80" i="47"/>
  <c r="CH41" i="47"/>
  <c r="CH71" i="47"/>
  <c r="CI95" i="47"/>
  <c r="CH62" i="47"/>
  <c r="CI62" i="47"/>
  <c r="CH44" i="47"/>
  <c r="CI59" i="47"/>
  <c r="CH51" i="47"/>
  <c r="CI70" i="47"/>
  <c r="CI50" i="47"/>
  <c r="EL35" i="47"/>
  <c r="CI45" i="47"/>
  <c r="CH89" i="47"/>
  <c r="CI87" i="47"/>
  <c r="CH77" i="47"/>
  <c r="CI51" i="47"/>
  <c r="CH69" i="47"/>
  <c r="CH53" i="47"/>
  <c r="CI71" i="47"/>
  <c r="CI46" i="47"/>
  <c r="CI93" i="47"/>
  <c r="CH50" i="47"/>
  <c r="CI81" i="47"/>
  <c r="CI58" i="47"/>
  <c r="CH75" i="47"/>
  <c r="CI74" i="47"/>
  <c r="CH94" i="47"/>
  <c r="CH64" i="47"/>
  <c r="BJ15" i="32"/>
  <c r="BJ16" i="32" s="1"/>
  <c r="BG24" i="32"/>
  <c r="EN23" i="32" s="1"/>
  <c r="E46" i="31"/>
  <c r="F44" i="31" s="1"/>
  <c r="O106" i="31"/>
  <c r="S99" i="31"/>
  <c r="C175" i="31"/>
  <c r="R49" i="38"/>
  <c r="C70" i="38" s="1"/>
  <c r="H70" i="38" s="1"/>
  <c r="AO30" i="19"/>
  <c r="AN20" i="19"/>
  <c r="AN40" i="19"/>
  <c r="AN34" i="19"/>
  <c r="AN16" i="19"/>
  <c r="AN29" i="19"/>
  <c r="AO16" i="19"/>
  <c r="AN31" i="19"/>
  <c r="AO34" i="19"/>
  <c r="AN26" i="19"/>
  <c r="AO29" i="19"/>
  <c r="AN32" i="19"/>
  <c r="AO28" i="19"/>
  <c r="AO32" i="19"/>
  <c r="AO14" i="19"/>
  <c r="AN19" i="19"/>
  <c r="AN22" i="19"/>
  <c r="AO39" i="19"/>
  <c r="AO17" i="19"/>
  <c r="AO20" i="19"/>
  <c r="AO15" i="19"/>
  <c r="AN27" i="19"/>
  <c r="AN18" i="19"/>
  <c r="AO18" i="19"/>
  <c r="AO27" i="19"/>
  <c r="AO22" i="19"/>
  <c r="AO21" i="19"/>
  <c r="AN30" i="19"/>
  <c r="AO36" i="19"/>
  <c r="AN17" i="19"/>
  <c r="AO37" i="19"/>
  <c r="AN14" i="19"/>
  <c r="AN33" i="19"/>
  <c r="AO9" i="19"/>
  <c r="AO9" i="32"/>
  <c r="AN15" i="19"/>
  <c r="AO31" i="19"/>
  <c r="AN38" i="19"/>
  <c r="AO26" i="19"/>
  <c r="AN21" i="19"/>
  <c r="AO19" i="19"/>
  <c r="AN37" i="19"/>
  <c r="AO40" i="19"/>
  <c r="AN39" i="19"/>
  <c r="AO41" i="19"/>
  <c r="AN41" i="19"/>
  <c r="AO33" i="19"/>
  <c r="AO38" i="19"/>
  <c r="AN36" i="19"/>
  <c r="AN28" i="19"/>
  <c r="AN9" i="32"/>
  <c r="AN9" i="19"/>
  <c r="BW34" i="45"/>
  <c r="BJ35" i="45"/>
  <c r="BP80" i="22"/>
  <c r="BP80" i="19"/>
  <c r="BP80" i="45"/>
  <c r="BP80" i="32"/>
  <c r="BP52" i="22"/>
  <c r="BP52" i="45"/>
  <c r="BP52" i="19"/>
  <c r="BP52" i="32"/>
  <c r="BO84" i="22"/>
  <c r="BO84" i="19"/>
  <c r="BO84" i="45"/>
  <c r="BO84" i="32"/>
  <c r="BP84" i="22"/>
  <c r="BP84" i="19"/>
  <c r="BP84" i="32"/>
  <c r="BP84" i="45"/>
  <c r="BP53" i="22"/>
  <c r="BP53" i="19"/>
  <c r="BP53" i="45"/>
  <c r="BP53" i="32"/>
  <c r="BP87" i="22"/>
  <c r="BP87" i="19"/>
  <c r="BP87" i="45"/>
  <c r="BP87" i="32"/>
  <c r="BP65" i="41"/>
  <c r="BP65" i="19"/>
  <c r="BP65" i="32"/>
  <c r="BP65" i="22"/>
  <c r="BP65" i="45"/>
  <c r="BP92" i="22"/>
  <c r="BP92" i="19"/>
  <c r="BP92" i="32"/>
  <c r="BP92" i="45"/>
  <c r="BP41" i="45"/>
  <c r="BP41" i="22"/>
  <c r="BP41" i="19"/>
  <c r="BP41" i="32"/>
  <c r="BO82" i="41"/>
  <c r="BO82" i="45"/>
  <c r="BO82" i="22"/>
  <c r="BO82" i="32"/>
  <c r="BO82" i="19"/>
  <c r="BO64" i="22"/>
  <c r="BO64" i="19"/>
  <c r="BO64" i="45"/>
  <c r="BO64" i="32"/>
  <c r="BO86" i="22"/>
  <c r="BO86" i="19"/>
  <c r="BO86" i="45"/>
  <c r="BO86" i="32"/>
  <c r="BO81" i="45"/>
  <c r="BO81" i="22"/>
  <c r="BO81" i="19"/>
  <c r="BO81" i="32"/>
  <c r="BO42" i="22"/>
  <c r="BO42" i="45"/>
  <c r="BO42" i="32"/>
  <c r="BO42" i="19"/>
  <c r="BO42" i="41"/>
  <c r="BO46" i="32"/>
  <c r="BO46" i="22"/>
  <c r="BO46" i="19"/>
  <c r="BO46" i="45"/>
  <c r="BO46" i="41"/>
  <c r="BO72" i="41"/>
  <c r="BO72" i="22"/>
  <c r="BO72" i="19"/>
  <c r="BO72" i="45"/>
  <c r="BO72" i="32"/>
  <c r="BP96" i="22"/>
  <c r="BP96" i="19"/>
  <c r="BP96" i="45"/>
  <c r="BP96" i="32"/>
  <c r="BO63" i="19"/>
  <c r="BO63" i="32"/>
  <c r="BO63" i="22"/>
  <c r="BO63" i="45"/>
  <c r="BP44" i="45"/>
  <c r="BP44" i="32"/>
  <c r="BP44" i="19"/>
  <c r="BP44" i="22"/>
  <c r="BP63" i="22"/>
  <c r="BP63" i="45"/>
  <c r="BP63" i="19"/>
  <c r="BP63" i="32"/>
  <c r="BO45" i="22"/>
  <c r="BO45" i="45"/>
  <c r="BO45" i="19"/>
  <c r="BO45" i="41"/>
  <c r="BO45" i="32"/>
  <c r="BP60" i="19"/>
  <c r="BP60" i="45"/>
  <c r="BP60" i="22"/>
  <c r="BP60" i="32"/>
  <c r="BO52" i="32"/>
  <c r="BO52" i="19"/>
  <c r="BO52" i="22"/>
  <c r="BO52" i="45"/>
  <c r="BV44" i="45"/>
  <c r="BV44" i="32"/>
  <c r="BV44" i="19"/>
  <c r="BV44" i="22"/>
  <c r="BK41" i="32"/>
  <c r="BK44" i="32"/>
  <c r="BK56" i="32"/>
  <c r="BK62" i="32" s="1"/>
  <c r="BK68" i="32" s="1"/>
  <c r="BK74" i="32" s="1"/>
  <c r="BK80" i="32" s="1"/>
  <c r="BK86" i="32" s="1"/>
  <c r="BK92" i="32" s="1"/>
  <c r="BP77" i="22"/>
  <c r="BP77" i="19"/>
  <c r="BP77" i="45"/>
  <c r="BP77" i="32"/>
  <c r="BO48" i="22"/>
  <c r="BO48" i="19"/>
  <c r="BO48" i="45"/>
  <c r="BO48" i="32"/>
  <c r="BO48" i="41"/>
  <c r="BP45" i="45"/>
  <c r="BP45" i="32"/>
  <c r="BP45" i="22"/>
  <c r="BP45" i="19"/>
  <c r="BP45" i="41"/>
  <c r="BV50" i="22"/>
  <c r="BV50" i="19"/>
  <c r="BV50" i="45"/>
  <c r="BV50" i="32"/>
  <c r="BP69" i="22"/>
  <c r="BP69" i="45"/>
  <c r="BP69" i="19"/>
  <c r="BP69" i="32"/>
  <c r="BP64" i="19"/>
  <c r="BP64" i="32"/>
  <c r="BP64" i="22"/>
  <c r="CI63" i="22" s="1"/>
  <c r="BP64" i="45"/>
  <c r="BO53" i="45"/>
  <c r="BO53" i="32"/>
  <c r="BO53" i="22"/>
  <c r="BO53" i="19"/>
  <c r="BO83" i="22"/>
  <c r="CH82" i="22" s="1"/>
  <c r="BO83" i="19"/>
  <c r="BO83" i="45"/>
  <c r="BO83" i="32"/>
  <c r="BP62" i="22"/>
  <c r="BP62" i="19"/>
  <c r="BP62" i="32"/>
  <c r="BP62" i="45"/>
  <c r="BO70" i="22"/>
  <c r="BO70" i="19"/>
  <c r="BO70" i="45"/>
  <c r="BO70" i="32"/>
  <c r="BO54" i="22"/>
  <c r="BO54" i="19"/>
  <c r="BO54" i="32"/>
  <c r="BO54" i="45"/>
  <c r="BP72" i="22"/>
  <c r="BP72" i="32"/>
  <c r="BP72" i="19"/>
  <c r="BP72" i="45"/>
  <c r="BP47" i="22"/>
  <c r="BP47" i="32"/>
  <c r="BP47" i="19"/>
  <c r="BP47" i="45"/>
  <c r="BP47" i="41"/>
  <c r="BO57" i="41"/>
  <c r="BO57" i="22"/>
  <c r="BO57" i="19"/>
  <c r="BO57" i="45"/>
  <c r="BO57" i="32"/>
  <c r="BO96" i="19"/>
  <c r="BO96" i="22"/>
  <c r="BO96" i="45"/>
  <c r="BO96" i="32"/>
  <c r="BP74" i="41"/>
  <c r="BP74" i="22"/>
  <c r="BP74" i="45"/>
  <c r="BP74" i="32"/>
  <c r="BP74" i="19"/>
  <c r="BO47" i="19"/>
  <c r="BO47" i="32"/>
  <c r="BO47" i="41"/>
  <c r="BO47" i="45"/>
  <c r="BO47" i="22"/>
  <c r="BP94" i="22"/>
  <c r="BP94" i="19"/>
  <c r="BP94" i="32"/>
  <c r="BP94" i="45"/>
  <c r="BO51" i="22"/>
  <c r="BO51" i="45"/>
  <c r="BO51" i="32"/>
  <c r="BO51" i="19"/>
  <c r="BP83" i="45"/>
  <c r="BP83" i="32"/>
  <c r="BP83" i="22"/>
  <c r="BP83" i="19"/>
  <c r="BO92" i="19"/>
  <c r="BO92" i="32"/>
  <c r="BO92" i="45"/>
  <c r="BO92" i="22"/>
  <c r="BP82" i="22"/>
  <c r="BP82" i="19"/>
  <c r="BP82" i="32"/>
  <c r="BP82" i="45"/>
  <c r="BO62" i="19"/>
  <c r="BO62" i="45"/>
  <c r="BO62" i="22"/>
  <c r="BO62" i="32"/>
  <c r="BP59" i="22"/>
  <c r="BP59" i="45"/>
  <c r="BP59" i="32"/>
  <c r="BP59" i="19"/>
  <c r="BO66" i="19"/>
  <c r="BO66" i="22"/>
  <c r="BO66" i="45"/>
  <c r="BO66" i="32"/>
  <c r="BO76" i="22"/>
  <c r="BO76" i="19"/>
  <c r="BO76" i="45"/>
  <c r="BO76" i="32"/>
  <c r="BP75" i="22"/>
  <c r="BP75" i="19"/>
  <c r="BP75" i="32"/>
  <c r="BP75" i="45"/>
  <c r="BF26" i="32"/>
  <c r="BV56" i="22"/>
  <c r="BV56" i="45"/>
  <c r="BV56" i="32"/>
  <c r="BV56" i="19"/>
  <c r="BP56" i="22"/>
  <c r="BP56" i="19"/>
  <c r="BP56" i="32"/>
  <c r="BP56" i="45"/>
  <c r="BV41" i="45"/>
  <c r="BV41" i="22"/>
  <c r="BV41" i="19"/>
  <c r="BV41" i="32"/>
  <c r="BK41" i="22"/>
  <c r="BK56" i="22"/>
  <c r="BK62" i="22" s="1"/>
  <c r="BK68" i="22" s="1"/>
  <c r="BK74" i="22" s="1"/>
  <c r="BK80" i="22" s="1"/>
  <c r="BK86" i="22" s="1"/>
  <c r="BK92" i="22" s="1"/>
  <c r="BK44" i="22"/>
  <c r="BP81" i="22"/>
  <c r="BP81" i="19"/>
  <c r="BP81" i="32"/>
  <c r="BP81" i="45"/>
  <c r="BO77" i="22"/>
  <c r="BO77" i="19"/>
  <c r="BO77" i="45"/>
  <c r="BO77" i="32"/>
  <c r="BP48" i="19"/>
  <c r="BP48" i="45"/>
  <c r="BP48" i="22"/>
  <c r="BP48" i="32"/>
  <c r="BP48" i="41"/>
  <c r="BP46" i="22"/>
  <c r="BP46" i="45"/>
  <c r="BP46" i="19"/>
  <c r="BP46" i="32"/>
  <c r="BP46" i="41"/>
  <c r="BV68" i="41"/>
  <c r="BV68" i="22"/>
  <c r="BV68" i="19"/>
  <c r="BV68" i="32"/>
  <c r="BV68" i="45"/>
  <c r="BO80" i="41"/>
  <c r="BO80" i="45"/>
  <c r="BO80" i="22"/>
  <c r="BO80" i="19"/>
  <c r="BO80" i="32"/>
  <c r="BO50" i="22"/>
  <c r="BO50" i="45"/>
  <c r="BO50" i="32"/>
  <c r="BO50" i="19"/>
  <c r="BP70" i="45"/>
  <c r="BP70" i="19"/>
  <c r="BP70" i="22"/>
  <c r="BP70" i="32"/>
  <c r="BP42" i="19"/>
  <c r="BP42" i="45"/>
  <c r="BP42" i="22"/>
  <c r="BP42" i="32"/>
  <c r="BP42" i="41"/>
  <c r="BO74" i="22"/>
  <c r="BO74" i="19"/>
  <c r="BO74" i="45"/>
  <c r="BO74" i="32"/>
  <c r="BO59" i="19"/>
  <c r="BO59" i="22"/>
  <c r="BO59" i="45"/>
  <c r="BO59" i="32"/>
  <c r="BP50" i="22"/>
  <c r="BP50" i="19"/>
  <c r="BP50" i="45"/>
  <c r="BP50" i="32"/>
  <c r="BP86" i="22"/>
  <c r="BP86" i="19"/>
  <c r="BP86" i="45"/>
  <c r="BP86" i="32"/>
  <c r="BP71" i="22"/>
  <c r="BP71" i="19"/>
  <c r="BP71" i="32"/>
  <c r="CI70" i="32" s="1"/>
  <c r="BP71" i="45"/>
  <c r="BP57" i="22"/>
  <c r="BP57" i="45"/>
  <c r="BP57" i="19"/>
  <c r="BP57" i="32"/>
  <c r="BO75" i="22"/>
  <c r="CH74" i="22" s="1"/>
  <c r="BO75" i="45"/>
  <c r="BO75" i="32"/>
  <c r="BO75" i="19"/>
  <c r="BP68" i="22"/>
  <c r="BP68" i="19"/>
  <c r="BP68" i="45"/>
  <c r="BP68" i="32"/>
  <c r="BP54" i="45"/>
  <c r="BP54" i="22"/>
  <c r="BP54" i="19"/>
  <c r="BP54" i="32"/>
  <c r="BP76" i="22"/>
  <c r="BP76" i="19"/>
  <c r="BP76" i="32"/>
  <c r="BP76" i="45"/>
  <c r="BO95" i="22"/>
  <c r="BO95" i="32"/>
  <c r="BO95" i="19"/>
  <c r="BO95" i="45"/>
  <c r="BV62" i="22"/>
  <c r="BV62" i="19"/>
  <c r="BV62" i="32"/>
  <c r="BV62" i="45"/>
  <c r="AH80" i="33"/>
  <c r="BV86" i="22"/>
  <c r="BV86" i="19"/>
  <c r="BV86" i="45"/>
  <c r="BV86" i="32"/>
  <c r="BO56" i="22"/>
  <c r="BO56" i="19"/>
  <c r="BO56" i="45"/>
  <c r="BO56" i="32"/>
  <c r="BV80" i="22"/>
  <c r="BV80" i="19"/>
  <c r="BV80" i="45"/>
  <c r="BV80" i="32"/>
  <c r="BK41" i="19"/>
  <c r="BK56" i="19"/>
  <c r="BK62" i="19" s="1"/>
  <c r="BK68" i="19" s="1"/>
  <c r="BK74" i="19" s="1"/>
  <c r="BK80" i="19" s="1"/>
  <c r="BK86" i="19" s="1"/>
  <c r="BK92" i="19" s="1"/>
  <c r="BK44" i="19"/>
  <c r="BP89" i="22"/>
  <c r="BP89" i="19"/>
  <c r="BP89" i="32"/>
  <c r="BP89" i="45"/>
  <c r="BP95" i="19"/>
  <c r="BP95" i="32"/>
  <c r="BP95" i="45"/>
  <c r="BP95" i="22"/>
  <c r="BO87" i="22"/>
  <c r="BO87" i="19"/>
  <c r="BO87" i="45"/>
  <c r="BO87" i="32"/>
  <c r="BO93" i="19"/>
  <c r="BO93" i="22"/>
  <c r="BO93" i="45"/>
  <c r="BO93" i="32"/>
  <c r="BO88" i="32"/>
  <c r="BO88" i="19"/>
  <c r="CH87" i="19" s="1"/>
  <c r="BO88" i="45"/>
  <c r="BO88" i="22"/>
  <c r="BP66" i="22"/>
  <c r="BP66" i="19"/>
  <c r="BP66" i="32"/>
  <c r="BP66" i="45"/>
  <c r="BO94" i="19"/>
  <c r="BO94" i="32"/>
  <c r="BO94" i="45"/>
  <c r="BO94" i="22"/>
  <c r="BO89" i="45"/>
  <c r="BO89" i="19"/>
  <c r="BO89" i="32"/>
  <c r="BO89" i="22"/>
  <c r="BO71" i="22"/>
  <c r="BO71" i="19"/>
  <c r="BO71" i="32"/>
  <c r="BO71" i="45"/>
  <c r="BO90" i="41"/>
  <c r="BO90" i="19"/>
  <c r="CH89" i="19" s="1"/>
  <c r="BO90" i="32"/>
  <c r="BO90" i="45"/>
  <c r="BO90" i="22"/>
  <c r="BO58" i="22"/>
  <c r="BO58" i="32"/>
  <c r="BO58" i="19"/>
  <c r="BO58" i="45"/>
  <c r="BP90" i="22"/>
  <c r="BP90" i="45"/>
  <c r="BP90" i="32"/>
  <c r="BP90" i="19"/>
  <c r="BO69" i="19"/>
  <c r="BO69" i="22"/>
  <c r="BO69" i="45"/>
  <c r="BO69" i="32"/>
  <c r="BP88" i="22"/>
  <c r="BP88" i="19"/>
  <c r="BP88" i="45"/>
  <c r="BP88" i="32"/>
  <c r="BP78" i="22"/>
  <c r="BP78" i="19"/>
  <c r="BP78" i="45"/>
  <c r="BP78" i="32"/>
  <c r="BO60" i="41"/>
  <c r="BO60" i="22"/>
  <c r="BO60" i="45"/>
  <c r="BO60" i="32"/>
  <c r="BO60" i="19"/>
  <c r="BO78" i="32"/>
  <c r="BO78" i="22"/>
  <c r="BO78" i="45"/>
  <c r="BO78" i="19"/>
  <c r="BP58" i="22"/>
  <c r="BP58" i="19"/>
  <c r="BP58" i="45"/>
  <c r="BP58" i="32"/>
  <c r="BO44" i="22"/>
  <c r="BO44" i="45"/>
  <c r="BO44" i="32"/>
  <c r="BO44" i="19"/>
  <c r="BP93" i="22"/>
  <c r="BP93" i="32"/>
  <c r="BP93" i="19"/>
  <c r="BP93" i="45"/>
  <c r="BO68" i="19"/>
  <c r="BO68" i="22"/>
  <c r="BO68" i="45"/>
  <c r="BO68" i="32"/>
  <c r="BO41" i="22"/>
  <c r="BO41" i="19"/>
  <c r="BO41" i="45"/>
  <c r="BO41" i="32"/>
  <c r="BO41" i="41"/>
  <c r="BP51" i="45"/>
  <c r="BP51" i="22"/>
  <c r="BP51" i="19"/>
  <c r="BP51" i="32"/>
  <c r="AE58" i="33"/>
  <c r="BV74" i="45"/>
  <c r="BV74" i="22"/>
  <c r="BV74" i="19"/>
  <c r="BV74" i="32"/>
  <c r="BF23" i="45"/>
  <c r="BV92" i="22"/>
  <c r="BV92" i="19"/>
  <c r="BV92" i="45"/>
  <c r="BV92" i="32"/>
  <c r="BO65" i="22"/>
  <c r="BO65" i="45"/>
  <c r="BO65" i="32"/>
  <c r="BO65" i="19"/>
  <c r="BK56" i="45"/>
  <c r="BK62" i="45" s="1"/>
  <c r="BK68" i="45" s="1"/>
  <c r="BK74" i="45" s="1"/>
  <c r="BK80" i="45" s="1"/>
  <c r="BK86" i="45" s="1"/>
  <c r="BK92" i="45" s="1"/>
  <c r="BK44" i="45"/>
  <c r="BK41" i="45"/>
  <c r="BJ15" i="22"/>
  <c r="BW14" i="22"/>
  <c r="K106" i="31"/>
  <c r="EL66" i="41"/>
  <c r="BF30" i="32"/>
  <c r="AA37" i="33"/>
  <c r="BF22" i="41"/>
  <c r="C66" i="38"/>
  <c r="H66" i="38" s="1"/>
  <c r="BV50" i="41"/>
  <c r="EG8" i="41"/>
  <c r="EL54" i="22"/>
  <c r="EJ35" i="32"/>
  <c r="EL71" i="47"/>
  <c r="EI24" i="19"/>
  <c r="EI51" i="41"/>
  <c r="EK48" i="47"/>
  <c r="EL60" i="47"/>
  <c r="EH8" i="22"/>
  <c r="EK8" i="22" s="1"/>
  <c r="EI46" i="45"/>
  <c r="EJ77" i="32"/>
  <c r="EJ62" i="45"/>
  <c r="EK65" i="47"/>
  <c r="EJ71" i="19"/>
  <c r="EJ54" i="32"/>
  <c r="EK75" i="22"/>
  <c r="EJ68" i="45"/>
  <c r="EJ70" i="45"/>
  <c r="EJ64" i="32"/>
  <c r="EI57" i="47"/>
  <c r="DD8" i="22"/>
  <c r="EK48" i="41"/>
  <c r="EI53" i="41"/>
  <c r="EI26" i="19"/>
  <c r="EI44" i="41"/>
  <c r="EI59" i="41"/>
  <c r="EJ72" i="19"/>
  <c r="EJ76" i="32"/>
  <c r="L7" i="32"/>
  <c r="EI28" i="32"/>
  <c r="EJ53" i="47"/>
  <c r="EL59" i="47"/>
  <c r="EI22" i="45"/>
  <c r="EI46" i="19"/>
  <c r="EK47" i="41"/>
  <c r="EL15" i="22"/>
  <c r="EK47" i="47"/>
  <c r="EI26" i="45"/>
  <c r="EL23" i="41"/>
  <c r="EJ46" i="32"/>
  <c r="EK71" i="19"/>
  <c r="EJ63" i="41"/>
  <c r="EI53" i="32"/>
  <c r="EK35" i="22"/>
  <c r="EI53" i="19"/>
  <c r="EI29" i="45"/>
  <c r="EK34" i="19"/>
  <c r="EI51" i="19"/>
  <c r="EL36" i="19"/>
  <c r="EL42" i="47"/>
  <c r="EL30" i="19"/>
  <c r="EK18" i="47"/>
  <c r="EJ74" i="45"/>
  <c r="EJ78" i="19"/>
  <c r="EJ36" i="47"/>
  <c r="EI44" i="45"/>
  <c r="EI23" i="19"/>
  <c r="EL44" i="41"/>
  <c r="EJ39" i="45"/>
  <c r="EI30" i="32"/>
  <c r="EI36" i="32"/>
  <c r="EK36" i="41"/>
  <c r="EJ36" i="19"/>
  <c r="EJ64" i="19"/>
  <c r="EJ27" i="22"/>
  <c r="EK46" i="19"/>
  <c r="EK14" i="47"/>
  <c r="EJ18" i="45"/>
  <c r="EJ41" i="41"/>
  <c r="EK36" i="22"/>
  <c r="EI59" i="45"/>
  <c r="EL56" i="22"/>
  <c r="EL59" i="22"/>
  <c r="EK54" i="47"/>
  <c r="EJ28" i="19"/>
  <c r="EK47" i="19"/>
  <c r="EI58" i="32"/>
  <c r="EI60" i="19"/>
  <c r="EK44" i="19"/>
  <c r="EI42" i="45"/>
  <c r="EI47" i="19"/>
  <c r="EK56" i="47"/>
  <c r="EI46" i="41"/>
  <c r="EL66" i="47"/>
  <c r="EL20" i="22"/>
  <c r="EJ23" i="45"/>
  <c r="EL40" i="47"/>
  <c r="EI57" i="41"/>
  <c r="EI20" i="45"/>
  <c r="EL40" i="19"/>
  <c r="EJ65" i="19"/>
  <c r="EJ75" i="19"/>
  <c r="EJ72" i="22"/>
  <c r="EJ33" i="19"/>
  <c r="EK42" i="41"/>
  <c r="EL62" i="47"/>
  <c r="EJ45" i="19"/>
  <c r="EK17" i="47"/>
  <c r="EJ45" i="45"/>
  <c r="EL41" i="41"/>
  <c r="O7" i="41"/>
  <c r="L3" i="19"/>
  <c r="L82" i="19"/>
  <c r="R50" i="38"/>
  <c r="J91" i="38" s="1"/>
  <c r="P91" i="38" s="1"/>
  <c r="EN22" i="41"/>
  <c r="N3" i="19"/>
  <c r="EJ38" i="45"/>
  <c r="EI41" i="19"/>
  <c r="EI60" i="47"/>
  <c r="EI54" i="19"/>
  <c r="EK41" i="47"/>
  <c r="EL18" i="41"/>
  <c r="EJ18" i="22"/>
  <c r="EI50" i="32"/>
  <c r="EK12" i="47"/>
  <c r="EJ52" i="45"/>
  <c r="EK74" i="22"/>
  <c r="EJ63" i="22"/>
  <c r="EI32" i="22"/>
  <c r="EI60" i="45"/>
  <c r="EI24" i="22"/>
  <c r="EK52" i="47"/>
  <c r="EL10" i="41"/>
  <c r="EJ44" i="19"/>
  <c r="EI16" i="32"/>
  <c r="EN65" i="19"/>
  <c r="EN20" i="19"/>
  <c r="N3" i="41"/>
  <c r="EN74" i="41"/>
  <c r="EN64" i="19"/>
  <c r="EN72" i="19"/>
  <c r="EN24" i="19"/>
  <c r="EN74" i="19"/>
  <c r="EN23" i="19"/>
  <c r="EN78" i="19"/>
  <c r="EN71" i="19"/>
  <c r="EN9" i="19"/>
  <c r="EN34" i="19"/>
  <c r="EN18" i="19"/>
  <c r="EN57" i="19"/>
  <c r="EN54" i="19"/>
  <c r="EN78" i="45"/>
  <c r="N7" i="41"/>
  <c r="BO53" i="41"/>
  <c r="EL68" i="41"/>
  <c r="EL77" i="47"/>
  <c r="EK76" i="47"/>
  <c r="BK56" i="41"/>
  <c r="BK62" i="41" s="1"/>
  <c r="BK68" i="41" s="1"/>
  <c r="BK74" i="41" s="1"/>
  <c r="BK80" i="41" s="1"/>
  <c r="BK86" i="41" s="1"/>
  <c r="BK92" i="41" s="1"/>
  <c r="BK41" i="41"/>
  <c r="BK44" i="41"/>
  <c r="BV92" i="41"/>
  <c r="O58" i="33"/>
  <c r="Y58" i="33" s="1"/>
  <c r="AE38" i="33"/>
  <c r="BF23" i="19"/>
  <c r="O16" i="33"/>
  <c r="BL74" i="47" s="1"/>
  <c r="BP41" i="41"/>
  <c r="BP44" i="41"/>
  <c r="BF30" i="22"/>
  <c r="BF22" i="19"/>
  <c r="BF21" i="22"/>
  <c r="BF21" i="32"/>
  <c r="BF13" i="47"/>
  <c r="BV44" i="41"/>
  <c r="BF13" i="41"/>
  <c r="AB26" i="41" s="1"/>
  <c r="I26" i="41" s="1"/>
  <c r="BF13" i="45"/>
  <c r="BF13" i="19"/>
  <c r="AB18" i="19" s="1"/>
  <c r="I18" i="19" s="1"/>
  <c r="AA16" i="33"/>
  <c r="BL92" i="47" s="1"/>
  <c r="AH84" i="33"/>
  <c r="BO44" i="41"/>
  <c r="BF18" i="45"/>
  <c r="BF26" i="22"/>
  <c r="BF18" i="19"/>
  <c r="BF20" i="32"/>
  <c r="AB11" i="32" s="1"/>
  <c r="I11" i="32" s="1"/>
  <c r="BF12" i="47"/>
  <c r="AB28" i="47" s="1"/>
  <c r="I28" i="47" s="1"/>
  <c r="BV41" i="41"/>
  <c r="CL69" i="47"/>
  <c r="DE69" i="47" s="1"/>
  <c r="BF12" i="41"/>
  <c r="BF20" i="22"/>
  <c r="BF12" i="45"/>
  <c r="BF12" i="19"/>
  <c r="EI74" i="32"/>
  <c r="EJ69" i="32"/>
  <c r="EN68" i="41"/>
  <c r="EK64" i="41"/>
  <c r="EK50" i="41"/>
  <c r="EI39" i="41"/>
  <c r="EN72" i="41"/>
  <c r="CR48" i="41"/>
  <c r="EJ48" i="41"/>
  <c r="EJ56" i="41"/>
  <c r="EJ58" i="41"/>
  <c r="EL16" i="41"/>
  <c r="EI45" i="41"/>
  <c r="EJ62" i="41"/>
  <c r="EH8" i="41"/>
  <c r="EL8" i="41" s="1"/>
  <c r="EL56" i="41"/>
  <c r="EL45" i="41"/>
  <c r="EI27" i="41"/>
  <c r="CR74" i="47"/>
  <c r="EK72" i="41"/>
  <c r="EI77" i="45"/>
  <c r="EI16" i="45"/>
  <c r="EJ53" i="45"/>
  <c r="EJ65" i="45"/>
  <c r="EJ58" i="45"/>
  <c r="EJ28" i="45"/>
  <c r="EJ74" i="19"/>
  <c r="EL68" i="19"/>
  <c r="EL62" i="19"/>
  <c r="EN57" i="41"/>
  <c r="EN69" i="41"/>
  <c r="CR44" i="41"/>
  <c r="CR40" i="41"/>
  <c r="CR57" i="41"/>
  <c r="CZ57" i="41" s="1"/>
  <c r="CR66" i="41"/>
  <c r="DA66" i="41" s="1"/>
  <c r="DB66" i="41" s="1"/>
  <c r="O66" i="41" s="1"/>
  <c r="CR71" i="41"/>
  <c r="CX71" i="41" s="1"/>
  <c r="CR78" i="41"/>
  <c r="CZ78" i="41" s="1"/>
  <c r="EN70" i="41"/>
  <c r="EN64" i="41"/>
  <c r="EN48" i="41"/>
  <c r="CR39" i="41"/>
  <c r="CR47" i="41"/>
  <c r="CR50" i="41"/>
  <c r="EN65" i="41"/>
  <c r="EN45" i="41"/>
  <c r="CR54" i="41"/>
  <c r="EN76" i="41"/>
  <c r="EN47" i="41"/>
  <c r="EN78" i="41"/>
  <c r="EN12" i="41"/>
  <c r="EN75" i="41"/>
  <c r="EN20" i="41"/>
  <c r="EN17" i="41"/>
  <c r="EN14" i="41"/>
  <c r="EN51" i="41"/>
  <c r="CR60" i="41"/>
  <c r="DA60" i="41" s="1"/>
  <c r="N60" i="41" s="1"/>
  <c r="CR62" i="41"/>
  <c r="CZ62" i="41" s="1"/>
  <c r="CR42" i="41"/>
  <c r="CR64" i="41"/>
  <c r="CX64" i="41" s="1"/>
  <c r="CR69" i="41"/>
  <c r="CX69" i="41" s="1"/>
  <c r="EN9" i="41"/>
  <c r="EN46" i="41"/>
  <c r="EN27" i="41"/>
  <c r="EN44" i="41"/>
  <c r="EN50" i="41"/>
  <c r="EN10" i="41"/>
  <c r="CR74" i="41"/>
  <c r="CR41" i="41"/>
  <c r="EN30" i="41"/>
  <c r="EN54" i="41"/>
  <c r="EN52" i="41"/>
  <c r="EN60" i="41"/>
  <c r="EN18" i="41"/>
  <c r="EN29" i="41"/>
  <c r="EN41" i="41"/>
  <c r="EN58" i="41"/>
  <c r="EN11" i="41"/>
  <c r="EN53" i="41"/>
  <c r="EN66" i="41"/>
  <c r="EN40" i="41"/>
  <c r="EN21" i="41"/>
  <c r="EN26" i="41"/>
  <c r="EN28" i="41"/>
  <c r="EN71" i="41"/>
  <c r="EN59" i="41"/>
  <c r="EN62" i="41"/>
  <c r="EN35" i="41"/>
  <c r="CR75" i="41"/>
  <c r="CR52" i="41"/>
  <c r="CR70" i="41"/>
  <c r="DA70" i="41" s="1"/>
  <c r="DB70" i="41" s="1"/>
  <c r="O70" i="41" s="1"/>
  <c r="CR68" i="41"/>
  <c r="CW68" i="41" s="1"/>
  <c r="CY68" i="41" s="1"/>
  <c r="M68" i="41" s="1"/>
  <c r="CR45" i="41"/>
  <c r="CR76" i="41"/>
  <c r="DA76" i="41" s="1"/>
  <c r="N76" i="41" s="1"/>
  <c r="EN32" i="41"/>
  <c r="EN34" i="41"/>
  <c r="CR65" i="41"/>
  <c r="CX65" i="41" s="1"/>
  <c r="CR38" i="41"/>
  <c r="CR77" i="41"/>
  <c r="DA77" i="41" s="1"/>
  <c r="DB77" i="41" s="1"/>
  <c r="O77" i="41" s="1"/>
  <c r="EN36" i="41"/>
  <c r="EN39" i="41"/>
  <c r="EN33" i="41"/>
  <c r="EN23" i="41"/>
  <c r="CR46" i="41"/>
  <c r="CR63" i="41"/>
  <c r="CZ63" i="41" s="1"/>
  <c r="CR59" i="41"/>
  <c r="CX59" i="41" s="1"/>
  <c r="CR72" i="41"/>
  <c r="CZ72" i="41" s="1"/>
  <c r="EN77" i="41"/>
  <c r="EN56" i="41"/>
  <c r="EN24" i="41"/>
  <c r="EN8" i="41"/>
  <c r="EN15" i="41"/>
  <c r="CR58" i="41"/>
  <c r="CW58" i="41" s="1"/>
  <c r="L58" i="41" s="1"/>
  <c r="EN75" i="47"/>
  <c r="EN22" i="47"/>
  <c r="EN21" i="47"/>
  <c r="EN56" i="47"/>
  <c r="EN77" i="47"/>
  <c r="EN32" i="47"/>
  <c r="CR51" i="41"/>
  <c r="AO45" i="19"/>
  <c r="EN38" i="41"/>
  <c r="EN42" i="41"/>
  <c r="EN63" i="41"/>
  <c r="EN16" i="41"/>
  <c r="EN59" i="47"/>
  <c r="N82" i="41"/>
  <c r="L3" i="41"/>
  <c r="BG23" i="41"/>
  <c r="BG24" i="41" s="1"/>
  <c r="BG23" i="47"/>
  <c r="BG24" i="47" s="1"/>
  <c r="EL56" i="19"/>
  <c r="P23" i="31"/>
  <c r="S47" i="33"/>
  <c r="S26" i="33"/>
  <c r="BF17" i="45"/>
  <c r="BF20" i="47"/>
  <c r="U34" i="40"/>
  <c r="U111" i="40" s="1"/>
  <c r="E111" i="40" s="1"/>
  <c r="U44" i="40"/>
  <c r="U184" i="40" s="1"/>
  <c r="E184" i="40" s="1"/>
  <c r="S16" i="33"/>
  <c r="BR74" i="47" s="1"/>
  <c r="AH75" i="33"/>
  <c r="BF15" i="41"/>
  <c r="BF23" i="32"/>
  <c r="BF18" i="41"/>
  <c r="U41" i="40"/>
  <c r="E41" i="40" s="1"/>
  <c r="AH77" i="33"/>
  <c r="U38" i="40"/>
  <c r="AH72" i="33"/>
  <c r="U25" i="40"/>
  <c r="U165" i="40" s="1"/>
  <c r="E165" i="40" s="1"/>
  <c r="AH86" i="33"/>
  <c r="I4" i="33"/>
  <c r="BL41" i="47" s="1"/>
  <c r="I46" i="33"/>
  <c r="I25" i="33"/>
  <c r="BF15" i="19"/>
  <c r="BF23" i="22"/>
  <c r="I52" i="33"/>
  <c r="AH87" i="33"/>
  <c r="I31" i="33"/>
  <c r="I10" i="33"/>
  <c r="BL44" i="47" s="1"/>
  <c r="AH73" i="33"/>
  <c r="C25" i="33"/>
  <c r="S4" i="33"/>
  <c r="BR62" i="47" s="1"/>
  <c r="BF18" i="47"/>
  <c r="AH83" i="33"/>
  <c r="BF15" i="45"/>
  <c r="BF15" i="47"/>
  <c r="G31" i="33"/>
  <c r="G10" i="33"/>
  <c r="BR56" i="47" s="1"/>
  <c r="U28" i="40"/>
  <c r="E28" i="40" s="1"/>
  <c r="C10" i="33"/>
  <c r="BL56" i="47" s="1"/>
  <c r="C31" i="33"/>
  <c r="AH78" i="33"/>
  <c r="C52" i="33"/>
  <c r="U57" i="40"/>
  <c r="U197" i="40" s="1"/>
  <c r="E197" i="40" s="1"/>
  <c r="BF31" i="32"/>
  <c r="BF31" i="22"/>
  <c r="AA58" i="33"/>
  <c r="BF22" i="45"/>
  <c r="BV74" i="41"/>
  <c r="C46" i="33"/>
  <c r="S46" i="33"/>
  <c r="S5" i="33"/>
  <c r="BS62" i="47" s="1"/>
  <c r="C4" i="33"/>
  <c r="BL50" i="47" s="1"/>
  <c r="G52" i="33"/>
  <c r="BV56" i="41"/>
  <c r="BF23" i="47"/>
  <c r="BF23" i="41"/>
  <c r="BO65" i="41"/>
  <c r="AE17" i="33"/>
  <c r="BS92" i="47" s="1"/>
  <c r="U54" i="40"/>
  <c r="U131" i="40" s="1"/>
  <c r="E131" i="40" s="1"/>
  <c r="AE32" i="33"/>
  <c r="BF19" i="41"/>
  <c r="BF17" i="47"/>
  <c r="BF25" i="32"/>
  <c r="BF17" i="19"/>
  <c r="AA4" i="33"/>
  <c r="BL80" i="47" s="1"/>
  <c r="AA25" i="33"/>
  <c r="S37" i="33" s="1"/>
  <c r="AA46" i="33"/>
  <c r="BO50" i="41"/>
  <c r="AE53" i="33"/>
  <c r="BF28" i="22"/>
  <c r="BF17" i="41"/>
  <c r="BV80" i="41"/>
  <c r="BF25" i="22"/>
  <c r="S25" i="33"/>
  <c r="AH79" i="33"/>
  <c r="AE11" i="33"/>
  <c r="BS86" i="47" s="1"/>
  <c r="BF16" i="41"/>
  <c r="O10" i="33"/>
  <c r="BL68" i="47" s="1"/>
  <c r="BF19" i="47"/>
  <c r="AA31" i="33"/>
  <c r="AE10" i="33"/>
  <c r="BR86" i="47" s="1"/>
  <c r="BF19" i="45"/>
  <c r="BF24" i="22"/>
  <c r="AE52" i="33"/>
  <c r="O52" i="33"/>
  <c r="Y53" i="33" s="1"/>
  <c r="BO68" i="41"/>
  <c r="BF27" i="22"/>
  <c r="M37" i="33"/>
  <c r="BP60" i="41"/>
  <c r="BF16" i="19"/>
  <c r="BF28" i="32"/>
  <c r="BF20" i="45"/>
  <c r="BF20" i="19"/>
  <c r="AA52" i="33"/>
  <c r="S52" i="33"/>
  <c r="AE26" i="33"/>
  <c r="O4" i="33"/>
  <c r="BL62" i="47" s="1"/>
  <c r="O25" i="33"/>
  <c r="Y26" i="33" s="1"/>
  <c r="BF24" i="32"/>
  <c r="AE47" i="33"/>
  <c r="S53" i="33"/>
  <c r="O46" i="33"/>
  <c r="BV62" i="41"/>
  <c r="U47" i="40"/>
  <c r="U124" i="40" s="1"/>
  <c r="E124" i="40" s="1"/>
  <c r="BF16" i="47"/>
  <c r="U31" i="40"/>
  <c r="BF16" i="45"/>
  <c r="AE46" i="33"/>
  <c r="AE16" i="33"/>
  <c r="BR92" i="47" s="1"/>
  <c r="O37" i="33"/>
  <c r="AE37" i="33"/>
  <c r="BF22" i="47"/>
  <c r="AE59" i="33"/>
  <c r="S58" i="33"/>
  <c r="AA10" i="33"/>
  <c r="BL86" i="47" s="1"/>
  <c r="BV86" i="41"/>
  <c r="BF20" i="41"/>
  <c r="M58" i="33"/>
  <c r="M16" i="33"/>
  <c r="AE25" i="33"/>
  <c r="AH74" i="33"/>
  <c r="BO89" i="41"/>
  <c r="CZ78" i="32"/>
  <c r="CZ51" i="32"/>
  <c r="EI76" i="19"/>
  <c r="EJ77" i="19"/>
  <c r="BO94" i="41"/>
  <c r="BO92" i="41"/>
  <c r="BO95" i="41"/>
  <c r="BP76" i="41"/>
  <c r="BO66" i="41"/>
  <c r="BP54" i="41"/>
  <c r="F42" i="31"/>
  <c r="AR38" i="38"/>
  <c r="R44" i="38"/>
  <c r="C80" i="38" s="1"/>
  <c r="H80" i="38" s="1"/>
  <c r="D161" i="31"/>
  <c r="R23" i="31"/>
  <c r="EH8" i="32"/>
  <c r="EK8" i="32" s="1"/>
  <c r="EJ78" i="32"/>
  <c r="BP51" i="41"/>
  <c r="EN36" i="19"/>
  <c r="EN51" i="19"/>
  <c r="EN10" i="19"/>
  <c r="EJ72" i="45"/>
  <c r="EI72" i="41"/>
  <c r="EI65" i="41"/>
  <c r="EI12" i="41"/>
  <c r="EI41" i="22"/>
  <c r="EJ20" i="32"/>
  <c r="EJ41" i="32"/>
  <c r="EJ50" i="45"/>
  <c r="EN29" i="19"/>
  <c r="EN53" i="19"/>
  <c r="EN76" i="19"/>
  <c r="EI69" i="41"/>
  <c r="EL53" i="47"/>
  <c r="EK62" i="41"/>
  <c r="EK11" i="47"/>
  <c r="EL75" i="47"/>
  <c r="EJ76" i="45"/>
  <c r="EI34" i="45"/>
  <c r="EI57" i="45"/>
  <c r="EN75" i="19"/>
  <c r="EJ26" i="41"/>
  <c r="BG24" i="19"/>
  <c r="EI40" i="32"/>
  <c r="EI18" i="32"/>
  <c r="EJ50" i="19"/>
  <c r="EN58" i="19"/>
  <c r="EN14" i="19"/>
  <c r="EN50" i="19"/>
  <c r="EN46" i="19"/>
  <c r="BO69" i="41"/>
  <c r="EJ69" i="45"/>
  <c r="EL60" i="41"/>
  <c r="EK30" i="22"/>
  <c r="EN39" i="19"/>
  <c r="EJ48" i="45"/>
  <c r="EI48" i="32"/>
  <c r="EK39" i="47"/>
  <c r="EI35" i="45"/>
  <c r="EI56" i="45"/>
  <c r="EL35" i="41"/>
  <c r="EN30" i="19"/>
  <c r="EN52" i="19"/>
  <c r="EN42" i="19"/>
  <c r="EK69" i="47"/>
  <c r="N25" i="31"/>
  <c r="P25" i="31" s="1"/>
  <c r="EN45" i="19"/>
  <c r="EN68" i="19"/>
  <c r="EN60" i="19"/>
  <c r="EN44" i="19"/>
  <c r="EN41" i="19"/>
  <c r="EN8" i="19"/>
  <c r="EN28" i="19"/>
  <c r="EI39" i="32"/>
  <c r="EH8" i="45"/>
  <c r="EL8" i="45" s="1"/>
  <c r="EI50" i="22"/>
  <c r="EI59" i="22"/>
  <c r="EJ54" i="22"/>
  <c r="EN59" i="19"/>
  <c r="EN16" i="19"/>
  <c r="EN33" i="19"/>
  <c r="EN56" i="19"/>
  <c r="EI27" i="45"/>
  <c r="EN26" i="19"/>
  <c r="EN40" i="19"/>
  <c r="EN35" i="19"/>
  <c r="EI75" i="41"/>
  <c r="EL30" i="47"/>
  <c r="EL76" i="41"/>
  <c r="EK76" i="41"/>
  <c r="EN32" i="19"/>
  <c r="EN11" i="19"/>
  <c r="EN12" i="19"/>
  <c r="EN38" i="19"/>
  <c r="EN63" i="19"/>
  <c r="EN48" i="19"/>
  <c r="EN27" i="19"/>
  <c r="EN77" i="19"/>
  <c r="BP56" i="41"/>
  <c r="EL40" i="41"/>
  <c r="DD8" i="32"/>
  <c r="DD8" i="45"/>
  <c r="EK64" i="47"/>
  <c r="EI63" i="45"/>
  <c r="EN15" i="19"/>
  <c r="EN17" i="19"/>
  <c r="EN69" i="19"/>
  <c r="EN21" i="19"/>
  <c r="EL24" i="22"/>
  <c r="EL59" i="19"/>
  <c r="EN22" i="19"/>
  <c r="EN62" i="19"/>
  <c r="EN66" i="19"/>
  <c r="EN47" i="19"/>
  <c r="EI29" i="41"/>
  <c r="EL68" i="47"/>
  <c r="EJ48" i="19"/>
  <c r="EK70" i="41"/>
  <c r="EJ50" i="41"/>
  <c r="EK50" i="47"/>
  <c r="EJ40" i="45"/>
  <c r="EK30" i="41"/>
  <c r="EL30" i="41"/>
  <c r="EK74" i="41"/>
  <c r="EL74" i="41"/>
  <c r="EJ68" i="47"/>
  <c r="EI68" i="47"/>
  <c r="BO56" i="41"/>
  <c r="BO81" i="41"/>
  <c r="BP96" i="41"/>
  <c r="BO62" i="41"/>
  <c r="EJ20" i="41"/>
  <c r="EI20" i="41"/>
  <c r="EJ33" i="32"/>
  <c r="EI33" i="32"/>
  <c r="BP75" i="41"/>
  <c r="EJ71" i="45"/>
  <c r="EI71" i="45"/>
  <c r="EJ64" i="45"/>
  <c r="EI64" i="45"/>
  <c r="EK36" i="47"/>
  <c r="EL36" i="47"/>
  <c r="EK17" i="22"/>
  <c r="EL17" i="22"/>
  <c r="EI60" i="32"/>
  <c r="EJ60" i="32"/>
  <c r="EI47" i="32"/>
  <c r="EJ47" i="32"/>
  <c r="EN46" i="47"/>
  <c r="EN62" i="47"/>
  <c r="EN33" i="47"/>
  <c r="CR36" i="47"/>
  <c r="CX36" i="47" s="1"/>
  <c r="EJ22" i="41"/>
  <c r="EI52" i="19"/>
  <c r="EJ52" i="19"/>
  <c r="EN60" i="47"/>
  <c r="BO64" i="41"/>
  <c r="EN17" i="45"/>
  <c r="EN20" i="45"/>
  <c r="EN72" i="45"/>
  <c r="EN35" i="47"/>
  <c r="EN45" i="47"/>
  <c r="EN54" i="47"/>
  <c r="EN52" i="47"/>
  <c r="EN65" i="47"/>
  <c r="EN51" i="47"/>
  <c r="CR44" i="47"/>
  <c r="DA44" i="47" s="1"/>
  <c r="N44" i="47" s="1"/>
  <c r="CR46" i="47"/>
  <c r="CZ46" i="47" s="1"/>
  <c r="EL58" i="22"/>
  <c r="EJ12" i="45"/>
  <c r="EI78" i="47"/>
  <c r="BO76" i="41"/>
  <c r="EI70" i="41"/>
  <c r="BP68" i="41"/>
  <c r="N82" i="45"/>
  <c r="L82" i="45"/>
  <c r="L3" i="45"/>
  <c r="EK45" i="47"/>
  <c r="EL45" i="47"/>
  <c r="EJ42" i="32"/>
  <c r="EI42" i="32"/>
  <c r="EI47" i="41"/>
  <c r="EJ47" i="41"/>
  <c r="EK44" i="47"/>
  <c r="EL44" i="47"/>
  <c r="EJ36" i="45"/>
  <c r="EI36" i="45"/>
  <c r="EJ75" i="45"/>
  <c r="EI75" i="45"/>
  <c r="EL70" i="22"/>
  <c r="EK70" i="22"/>
  <c r="EI51" i="32"/>
  <c r="EJ51" i="32"/>
  <c r="EI30" i="41"/>
  <c r="EJ30" i="41"/>
  <c r="EI71" i="41"/>
  <c r="EJ71" i="41"/>
  <c r="CR63" i="47"/>
  <c r="EN27" i="47"/>
  <c r="EN76" i="47"/>
  <c r="CR56" i="47"/>
  <c r="EN74" i="47"/>
  <c r="EN23" i="47"/>
  <c r="EN48" i="47"/>
  <c r="EN9" i="47"/>
  <c r="AN45" i="19"/>
  <c r="EJ24" i="45"/>
  <c r="EI24" i="45"/>
  <c r="EI76" i="41"/>
  <c r="EJ76" i="41"/>
  <c r="EJ71" i="22"/>
  <c r="EI71" i="22"/>
  <c r="EJ54" i="45"/>
  <c r="EI54" i="45"/>
  <c r="EJ66" i="45"/>
  <c r="EI66" i="45"/>
  <c r="BO52" i="41"/>
  <c r="EJ78" i="41"/>
  <c r="EI78" i="41"/>
  <c r="EI44" i="32"/>
  <c r="EJ44" i="32"/>
  <c r="EI22" i="32"/>
  <c r="EJ22" i="32"/>
  <c r="EN34" i="47"/>
  <c r="EN20" i="47"/>
  <c r="CR51" i="47"/>
  <c r="DA51" i="47" s="1"/>
  <c r="N51" i="47" s="1"/>
  <c r="EK74" i="47"/>
  <c r="EI59" i="32"/>
  <c r="EK78" i="47"/>
  <c r="EN70" i="47"/>
  <c r="EI41" i="45"/>
  <c r="EJ51" i="45"/>
  <c r="EN28" i="47"/>
  <c r="EN63" i="47"/>
  <c r="EN40" i="47"/>
  <c r="EN24" i="47"/>
  <c r="EN50" i="47"/>
  <c r="EN8" i="47"/>
  <c r="CR58" i="47"/>
  <c r="CR65" i="47"/>
  <c r="BO63" i="41"/>
  <c r="BO86" i="41"/>
  <c r="EJ30" i="45"/>
  <c r="EL58" i="47"/>
  <c r="EL72" i="47"/>
  <c r="EN30" i="47"/>
  <c r="BP92" i="41"/>
  <c r="EJ24" i="32"/>
  <c r="EI47" i="45"/>
  <c r="EJ47" i="45"/>
  <c r="EJ32" i="45"/>
  <c r="EI32" i="45"/>
  <c r="EI63" i="32"/>
  <c r="EJ63" i="32"/>
  <c r="EI70" i="32"/>
  <c r="EJ70" i="32"/>
  <c r="EI40" i="41"/>
  <c r="EJ40" i="41"/>
  <c r="EI38" i="41"/>
  <c r="EJ38" i="41"/>
  <c r="EJ60" i="41"/>
  <c r="EI60" i="41"/>
  <c r="EL51" i="47"/>
  <c r="EK51" i="47"/>
  <c r="EJ71" i="32"/>
  <c r="EI71" i="32"/>
  <c r="EJ33" i="45"/>
  <c r="EI33" i="45"/>
  <c r="EI72" i="32"/>
  <c r="EJ72" i="32"/>
  <c r="EI66" i="32"/>
  <c r="EJ66" i="32"/>
  <c r="BP72" i="41"/>
  <c r="BP59" i="41"/>
  <c r="EN32" i="45"/>
  <c r="EN29" i="45"/>
  <c r="BO54" i="41"/>
  <c r="BP94" i="41"/>
  <c r="BP83" i="41"/>
  <c r="EN62" i="45"/>
  <c r="EN12" i="45"/>
  <c r="BO83" i="41"/>
  <c r="BP82" i="41"/>
  <c r="EN57" i="45"/>
  <c r="EN76" i="45"/>
  <c r="EN59" i="45"/>
  <c r="BO93" i="41"/>
  <c r="BP93" i="41"/>
  <c r="BP63" i="41"/>
  <c r="BP95" i="41"/>
  <c r="BP71" i="41"/>
  <c r="BP69" i="41"/>
  <c r="BP64" i="41"/>
  <c r="L7" i="19"/>
  <c r="BP70" i="41"/>
  <c r="BO70" i="41"/>
  <c r="BO59" i="41"/>
  <c r="BP86" i="41"/>
  <c r="BP57" i="41"/>
  <c r="BO75" i="41"/>
  <c r="BP50" i="41"/>
  <c r="BP52" i="41"/>
  <c r="EN16" i="45"/>
  <c r="EN33" i="45"/>
  <c r="EN66" i="45"/>
  <c r="EN21" i="45"/>
  <c r="EN18" i="45"/>
  <c r="EN42" i="45"/>
  <c r="EN71" i="45"/>
  <c r="EN28" i="45"/>
  <c r="EN56" i="45"/>
  <c r="EN50" i="45"/>
  <c r="EN39" i="45"/>
  <c r="EN52" i="45"/>
  <c r="EN15" i="45"/>
  <c r="EN35" i="45"/>
  <c r="EN48" i="45"/>
  <c r="EN63" i="45"/>
  <c r="EN74" i="45"/>
  <c r="EN69" i="45"/>
  <c r="EN75" i="45"/>
  <c r="EN23" i="45"/>
  <c r="BO74" i="41"/>
  <c r="BP90" i="41"/>
  <c r="BP88" i="41"/>
  <c r="BO71" i="41"/>
  <c r="BP58" i="41"/>
  <c r="BO10" i="22"/>
  <c r="BO78" i="41"/>
  <c r="BP78" i="41"/>
  <c r="BO58" i="41"/>
  <c r="BP53" i="41"/>
  <c r="BP87" i="41"/>
  <c r="O7" i="19"/>
  <c r="M7" i="19"/>
  <c r="BP62" i="41"/>
  <c r="BO96" i="41"/>
  <c r="BO51" i="41"/>
  <c r="EJ56" i="22"/>
  <c r="EK50" i="32"/>
  <c r="EJ69" i="22"/>
  <c r="CR40" i="45"/>
  <c r="CR59" i="45"/>
  <c r="CR45" i="45"/>
  <c r="CR38" i="45"/>
  <c r="N27" i="31"/>
  <c r="R27" i="31" s="1"/>
  <c r="EK63" i="19"/>
  <c r="EL45" i="19"/>
  <c r="CR32" i="45"/>
  <c r="CR57" i="45"/>
  <c r="CR54" i="45"/>
  <c r="CR66" i="45"/>
  <c r="CR62" i="45"/>
  <c r="BW13" i="41"/>
  <c r="BJ14" i="41"/>
  <c r="EJ45" i="32"/>
  <c r="EJ44" i="47"/>
  <c r="CR34" i="45"/>
  <c r="CR46" i="45"/>
  <c r="CR64" i="45"/>
  <c r="BF19" i="19"/>
  <c r="O31" i="33"/>
  <c r="BF27" i="32"/>
  <c r="AE31" i="33"/>
  <c r="EJ50" i="47"/>
  <c r="EL74" i="32"/>
  <c r="EI34" i="19"/>
  <c r="EK70" i="45"/>
  <c r="EI42" i="22"/>
  <c r="EI34" i="22"/>
  <c r="EL39" i="19"/>
  <c r="CR60" i="45"/>
  <c r="CW71" i="32"/>
  <c r="CY71" i="32" s="1"/>
  <c r="M71" i="32" s="1"/>
  <c r="CZ75" i="32"/>
  <c r="DA62" i="32"/>
  <c r="DB62" i="32" s="1"/>
  <c r="O62" i="32" s="1"/>
  <c r="CW53" i="32"/>
  <c r="L53" i="32" s="1"/>
  <c r="BP66" i="41"/>
  <c r="CW48" i="32"/>
  <c r="L48" i="32" s="1"/>
  <c r="DA45" i="32"/>
  <c r="DB45" i="32" s="1"/>
  <c r="O45" i="32" s="1"/>
  <c r="DA64" i="32"/>
  <c r="N64" i="32" s="1"/>
  <c r="N82" i="32"/>
  <c r="N3" i="32"/>
  <c r="L82" i="32"/>
  <c r="CR60" i="47"/>
  <c r="CR71" i="45"/>
  <c r="L3" i="32"/>
  <c r="CR48" i="45"/>
  <c r="CR36" i="45"/>
  <c r="CR33" i="45"/>
  <c r="CR74" i="45"/>
  <c r="CR68" i="45"/>
  <c r="CR78" i="45"/>
  <c r="DA78" i="45" s="1"/>
  <c r="N78" i="45" s="1"/>
  <c r="CR41" i="45"/>
  <c r="CR70" i="45"/>
  <c r="CR35" i="45"/>
  <c r="CR42" i="45"/>
  <c r="CR65" i="45"/>
  <c r="CR77" i="45"/>
  <c r="BG24" i="45"/>
  <c r="CR69" i="45"/>
  <c r="CR58" i="45"/>
  <c r="CR50" i="45"/>
  <c r="EN68" i="45"/>
  <c r="EN27" i="45"/>
  <c r="EN45" i="45"/>
  <c r="EN34" i="45"/>
  <c r="EN54" i="45"/>
  <c r="EN14" i="45"/>
  <c r="EN41" i="45"/>
  <c r="EN8" i="45"/>
  <c r="EN70" i="45"/>
  <c r="EN9" i="45"/>
  <c r="EN46" i="45"/>
  <c r="EN77" i="45"/>
  <c r="CR52" i="45"/>
  <c r="CR72" i="45"/>
  <c r="CR56" i="45"/>
  <c r="CR63" i="45"/>
  <c r="CR39" i="45"/>
  <c r="CR53" i="45"/>
  <c r="CR76" i="45"/>
  <c r="CR44" i="45"/>
  <c r="CR47" i="45"/>
  <c r="CR75" i="45"/>
  <c r="CR51" i="45"/>
  <c r="EN65" i="45"/>
  <c r="EN30" i="45"/>
  <c r="EN38" i="45"/>
  <c r="EN64" i="45"/>
  <c r="EN26" i="45"/>
  <c r="EN36" i="45"/>
  <c r="EN44" i="45"/>
  <c r="EN24" i="45"/>
  <c r="EN11" i="45"/>
  <c r="EN53" i="45"/>
  <c r="EN47" i="45"/>
  <c r="EN40" i="45"/>
  <c r="EN22" i="45"/>
  <c r="EN58" i="45"/>
  <c r="EN10" i="45"/>
  <c r="EN60" i="45"/>
  <c r="M7" i="32"/>
  <c r="O7" i="32"/>
  <c r="BP81" i="41"/>
  <c r="CR52" i="47"/>
  <c r="EN14" i="47"/>
  <c r="EN11" i="47"/>
  <c r="EN38" i="47"/>
  <c r="EN12" i="47"/>
  <c r="EN64" i="47"/>
  <c r="EN36" i="47"/>
  <c r="CR66" i="47"/>
  <c r="CR72" i="47"/>
  <c r="CR38" i="47"/>
  <c r="EN68" i="47"/>
  <c r="EN16" i="47"/>
  <c r="EN39" i="47"/>
  <c r="EN66" i="47"/>
  <c r="EN71" i="47"/>
  <c r="EN47" i="47"/>
  <c r="CR35" i="47"/>
  <c r="CR41" i="47"/>
  <c r="DA41" i="47" s="1"/>
  <c r="N41" i="47" s="1"/>
  <c r="CR54" i="47"/>
  <c r="CR40" i="47"/>
  <c r="CZ40" i="47" s="1"/>
  <c r="CR59" i="47"/>
  <c r="EN17" i="47"/>
  <c r="EN15" i="47"/>
  <c r="EN57" i="47"/>
  <c r="EN29" i="47"/>
  <c r="EN42" i="47"/>
  <c r="EN41" i="47"/>
  <c r="EN10" i="47"/>
  <c r="EN44" i="47"/>
  <c r="L7" i="22"/>
  <c r="N7" i="22"/>
  <c r="N82" i="22"/>
  <c r="L3" i="22"/>
  <c r="L82" i="22"/>
  <c r="O7" i="22"/>
  <c r="M7" i="22"/>
  <c r="M7" i="45"/>
  <c r="O7" i="45"/>
  <c r="BP80" i="41"/>
  <c r="BO84" i="41"/>
  <c r="BP84" i="41"/>
  <c r="N82" i="47"/>
  <c r="N3" i="47"/>
  <c r="L82" i="47"/>
  <c r="L3" i="47"/>
  <c r="BP77" i="41"/>
  <c r="M7" i="47"/>
  <c r="O7" i="47"/>
  <c r="CR68" i="47"/>
  <c r="CR50" i="47"/>
  <c r="CR69" i="47"/>
  <c r="CR48" i="47"/>
  <c r="DA48" i="47" s="1"/>
  <c r="DB48" i="47" s="1"/>
  <c r="O48" i="47" s="1"/>
  <c r="CR70" i="47"/>
  <c r="CR78" i="47"/>
  <c r="CW78" i="47" s="1"/>
  <c r="L78" i="47" s="1"/>
  <c r="EN53" i="47"/>
  <c r="CR47" i="47"/>
  <c r="CX47" i="47" s="1"/>
  <c r="CR42" i="47"/>
  <c r="DA42" i="47" s="1"/>
  <c r="DB42" i="47" s="1"/>
  <c r="O42" i="47" s="1"/>
  <c r="CR53" i="47"/>
  <c r="CR64" i="47"/>
  <c r="CR39" i="47"/>
  <c r="CR57" i="47"/>
  <c r="EN26" i="47"/>
  <c r="EN72" i="47"/>
  <c r="EN78" i="47"/>
  <c r="CR62" i="47"/>
  <c r="CR45" i="47"/>
  <c r="CR76" i="47"/>
  <c r="EN18" i="47"/>
  <c r="CR71" i="47"/>
  <c r="CR75" i="47"/>
  <c r="CR77" i="47"/>
  <c r="EN69" i="47"/>
  <c r="EN58" i="47"/>
  <c r="N7" i="47"/>
  <c r="L7" i="47"/>
  <c r="BO77" i="41"/>
  <c r="BP89" i="41"/>
  <c r="BO87" i="41"/>
  <c r="BO88" i="41"/>
  <c r="CW74" i="32"/>
  <c r="L74" i="32" s="1"/>
  <c r="CX47" i="32"/>
  <c r="DA54" i="32"/>
  <c r="N54" i="32" s="1"/>
  <c r="CX60" i="32"/>
  <c r="CZ50" i="32"/>
  <c r="EG8" i="19"/>
  <c r="EK24" i="19"/>
  <c r="EL24" i="19"/>
  <c r="EK59" i="41"/>
  <c r="EL59" i="41"/>
  <c r="EI57" i="32"/>
  <c r="EK51" i="32"/>
  <c r="EI77" i="47"/>
  <c r="EK69" i="41"/>
  <c r="EJ60" i="22"/>
  <c r="EJ58" i="22"/>
  <c r="EI30" i="22"/>
  <c r="EL24" i="41"/>
  <c r="EK24" i="41"/>
  <c r="EK46" i="41"/>
  <c r="EL46" i="41"/>
  <c r="EL70" i="19"/>
  <c r="EK70" i="19"/>
  <c r="EK35" i="19"/>
  <c r="EL35" i="19"/>
  <c r="EL63" i="41"/>
  <c r="EK63" i="41"/>
  <c r="DD8" i="47"/>
  <c r="DD8" i="19"/>
  <c r="EK57" i="41"/>
  <c r="EL71" i="41"/>
  <c r="EK71" i="41"/>
  <c r="EL72" i="19"/>
  <c r="EK72" i="19"/>
  <c r="EK42" i="19"/>
  <c r="EL42" i="19"/>
  <c r="EI33" i="22"/>
  <c r="EJ33" i="22"/>
  <c r="EK50" i="19"/>
  <c r="EL50" i="19"/>
  <c r="EL52" i="41"/>
  <c r="EK52" i="41"/>
  <c r="D167" i="31"/>
  <c r="EK38" i="41"/>
  <c r="EL38" i="41"/>
  <c r="EJ58" i="19"/>
  <c r="EI58" i="19"/>
  <c r="EI66" i="19"/>
  <c r="EJ66" i="19"/>
  <c r="EI53" i="22"/>
  <c r="EJ53" i="22"/>
  <c r="EI46" i="22"/>
  <c r="EJ46" i="22"/>
  <c r="EJ35" i="22"/>
  <c r="EI35" i="22"/>
  <c r="EI15" i="22"/>
  <c r="EL15" i="47"/>
  <c r="EL77" i="41"/>
  <c r="EK77" i="41"/>
  <c r="EL75" i="41"/>
  <c r="EK75" i="41"/>
  <c r="EJ62" i="19"/>
  <c r="EI62" i="19"/>
  <c r="EI36" i="22"/>
  <c r="EJ36" i="22"/>
  <c r="EK58" i="19"/>
  <c r="EI30" i="19"/>
  <c r="EJ26" i="22"/>
  <c r="EL52" i="32"/>
  <c r="EJ38" i="22"/>
  <c r="EI77" i="22"/>
  <c r="EL58" i="41"/>
  <c r="EK58" i="41"/>
  <c r="EL20" i="41"/>
  <c r="EK20" i="41"/>
  <c r="EL54" i="19"/>
  <c r="EK54" i="19"/>
  <c r="EI68" i="19"/>
  <c r="EJ68" i="19"/>
  <c r="EJ32" i="19"/>
  <c r="EI32" i="19"/>
  <c r="EI63" i="19"/>
  <c r="EJ63" i="19"/>
  <c r="EJ40" i="19"/>
  <c r="EI40" i="19"/>
  <c r="EJ16" i="22"/>
  <c r="EI16" i="22"/>
  <c r="EJ40" i="22"/>
  <c r="EI40" i="22"/>
  <c r="EJ76" i="22"/>
  <c r="EI76" i="22"/>
  <c r="EJ39" i="22"/>
  <c r="EI39" i="22"/>
  <c r="EL14" i="41"/>
  <c r="EK14" i="41"/>
  <c r="EJ35" i="19"/>
  <c r="EI35" i="19"/>
  <c r="EI44" i="22"/>
  <c r="EJ44" i="22"/>
  <c r="EL78" i="41"/>
  <c r="EK78" i="41"/>
  <c r="EL65" i="19"/>
  <c r="EK65" i="19"/>
  <c r="EJ57" i="19"/>
  <c r="EI57" i="19"/>
  <c r="EI42" i="19"/>
  <c r="EL39" i="41"/>
  <c r="EK39" i="41"/>
  <c r="EL51" i="41"/>
  <c r="EK51" i="41"/>
  <c r="EK65" i="41"/>
  <c r="EL65" i="41"/>
  <c r="EL53" i="41"/>
  <c r="EK53" i="41"/>
  <c r="EL12" i="41"/>
  <c r="EK12" i="41"/>
  <c r="EL52" i="19"/>
  <c r="EK52" i="19"/>
  <c r="EJ27" i="19"/>
  <c r="EI27" i="19"/>
  <c r="EJ69" i="19"/>
  <c r="EI69" i="19"/>
  <c r="EJ39" i="19"/>
  <c r="EI39" i="19"/>
  <c r="EJ38" i="19"/>
  <c r="EI38" i="19"/>
  <c r="EJ56" i="19"/>
  <c r="EI56" i="19"/>
  <c r="EI66" i="22"/>
  <c r="EJ66" i="22"/>
  <c r="EJ75" i="22"/>
  <c r="EI75" i="22"/>
  <c r="EJ65" i="22"/>
  <c r="EI65" i="22"/>
  <c r="EI57" i="22"/>
  <c r="EJ57" i="22"/>
  <c r="EI78" i="22"/>
  <c r="EJ78" i="22"/>
  <c r="EI47" i="22"/>
  <c r="EJ47" i="22"/>
  <c r="EI51" i="22"/>
  <c r="EJ51" i="22"/>
  <c r="EI75" i="32"/>
  <c r="EJ75" i="32"/>
  <c r="EJ45" i="22"/>
  <c r="EI45" i="22"/>
  <c r="EJ70" i="22"/>
  <c r="EI70" i="22"/>
  <c r="EL12" i="19"/>
  <c r="EK12" i="19"/>
  <c r="EK53" i="19"/>
  <c r="EL53" i="19"/>
  <c r="EJ71" i="47"/>
  <c r="EI71" i="47"/>
  <c r="EJ54" i="47"/>
  <c r="EI54" i="47"/>
  <c r="EI39" i="47"/>
  <c r="EJ39" i="47"/>
  <c r="EI63" i="47"/>
  <c r="EJ63" i="47"/>
  <c r="EI62" i="47"/>
  <c r="EJ62" i="47"/>
  <c r="EI70" i="47"/>
  <c r="EJ70" i="47"/>
  <c r="EI27" i="32"/>
  <c r="EJ65" i="32"/>
  <c r="EI65" i="32"/>
  <c r="EJ32" i="32"/>
  <c r="EI32" i="32"/>
  <c r="EK17" i="19"/>
  <c r="EL17" i="19"/>
  <c r="EL57" i="19"/>
  <c r="EK57" i="19"/>
  <c r="EI66" i="47"/>
  <c r="EJ66" i="47"/>
  <c r="EJ76" i="47"/>
  <c r="EI76" i="47"/>
  <c r="EK66" i="19"/>
  <c r="EK15" i="45"/>
  <c r="EJ52" i="32"/>
  <c r="EI56" i="32"/>
  <c r="EJ56" i="32"/>
  <c r="EJ23" i="32"/>
  <c r="EI23" i="32"/>
  <c r="EJ74" i="22"/>
  <c r="EI74" i="22"/>
  <c r="EI68" i="22"/>
  <c r="EJ68" i="22"/>
  <c r="EK48" i="19"/>
  <c r="EL48" i="19"/>
  <c r="EK51" i="19"/>
  <c r="EL51" i="19"/>
  <c r="EJ42" i="47"/>
  <c r="EI42" i="47"/>
  <c r="EJ46" i="47"/>
  <c r="EI46" i="47"/>
  <c r="EJ48" i="47"/>
  <c r="EI48" i="47"/>
  <c r="EI64" i="47"/>
  <c r="EJ64" i="47"/>
  <c r="EI59" i="47"/>
  <c r="EJ59" i="47"/>
  <c r="EI34" i="47"/>
  <c r="EJ34" i="47"/>
  <c r="EI75" i="47"/>
  <c r="EJ75" i="47"/>
  <c r="EI38" i="32"/>
  <c r="EJ38" i="32"/>
  <c r="EI62" i="22"/>
  <c r="EJ62" i="22"/>
  <c r="EI41" i="47"/>
  <c r="EJ41" i="47"/>
  <c r="EL32" i="45"/>
  <c r="EK32" i="45"/>
  <c r="EJ68" i="32"/>
  <c r="EI68" i="32"/>
  <c r="EI12" i="32"/>
  <c r="EJ12" i="32"/>
  <c r="EJ64" i="22"/>
  <c r="EI64" i="22"/>
  <c r="EI23" i="22"/>
  <c r="EJ23" i="22"/>
  <c r="EK64" i="19"/>
  <c r="EL64" i="19"/>
  <c r="EL41" i="19"/>
  <c r="EK41" i="19"/>
  <c r="EJ45" i="47"/>
  <c r="EI45" i="47"/>
  <c r="EJ72" i="47"/>
  <c r="EI72" i="47"/>
  <c r="EI33" i="47"/>
  <c r="EJ33" i="47"/>
  <c r="EI47" i="47"/>
  <c r="EJ47" i="47"/>
  <c r="EI52" i="47"/>
  <c r="EJ52" i="47"/>
  <c r="EG8" i="47"/>
  <c r="EJ34" i="32"/>
  <c r="EI34" i="32"/>
  <c r="EJ15" i="32"/>
  <c r="EI15" i="32"/>
  <c r="EJ62" i="32"/>
  <c r="EI62" i="32"/>
  <c r="EJ48" i="22"/>
  <c r="EI48" i="22"/>
  <c r="EL16" i="19"/>
  <c r="EK16" i="19"/>
  <c r="EJ69" i="47"/>
  <c r="EI69" i="47"/>
  <c r="EI35" i="47"/>
  <c r="EJ35" i="47"/>
  <c r="EI40" i="47"/>
  <c r="EJ40" i="47"/>
  <c r="EJ74" i="47"/>
  <c r="EI74" i="47"/>
  <c r="EJ32" i="47"/>
  <c r="EI32" i="47"/>
  <c r="EI65" i="47"/>
  <c r="EJ65" i="47"/>
  <c r="EI56" i="47"/>
  <c r="EJ56" i="47"/>
  <c r="EJ58" i="47"/>
  <c r="EI58" i="47"/>
  <c r="EL65" i="32"/>
  <c r="EK65" i="32"/>
  <c r="EL16" i="47"/>
  <c r="EK16" i="47"/>
  <c r="EL46" i="47"/>
  <c r="EK46" i="47"/>
  <c r="EJ23" i="41"/>
  <c r="EI23" i="41"/>
  <c r="EJ52" i="41"/>
  <c r="EI52" i="41"/>
  <c r="EJ77" i="41"/>
  <c r="EI77" i="41"/>
  <c r="EK47" i="22"/>
  <c r="EL47" i="22"/>
  <c r="EK44" i="32"/>
  <c r="EL44" i="32"/>
  <c r="EL53" i="22"/>
  <c r="EK53" i="22"/>
  <c r="EK45" i="22"/>
  <c r="EL45" i="22"/>
  <c r="EK39" i="22"/>
  <c r="EL39" i="22"/>
  <c r="EL11" i="22"/>
  <c r="EK11" i="22"/>
  <c r="EL78" i="22"/>
  <c r="EK78" i="22"/>
  <c r="EL72" i="22"/>
  <c r="EK72" i="22"/>
  <c r="EL34" i="22"/>
  <c r="EK34" i="22"/>
  <c r="EK72" i="32"/>
  <c r="EL72" i="32"/>
  <c r="EL71" i="22"/>
  <c r="EK71" i="22"/>
  <c r="EL24" i="32"/>
  <c r="EK24" i="32"/>
  <c r="EK40" i="32"/>
  <c r="EL40" i="32"/>
  <c r="EL69" i="32"/>
  <c r="EK69" i="32"/>
  <c r="EL33" i="32"/>
  <c r="EK33" i="32"/>
  <c r="EL62" i="32"/>
  <c r="EK62" i="32"/>
  <c r="EL71" i="32"/>
  <c r="EK71" i="32"/>
  <c r="EL21" i="45"/>
  <c r="EK21" i="45"/>
  <c r="EK76" i="45"/>
  <c r="EL76" i="45"/>
  <c r="EL69" i="45"/>
  <c r="EK69" i="45"/>
  <c r="EL48" i="45"/>
  <c r="EK48" i="45"/>
  <c r="EL77" i="45"/>
  <c r="EK77" i="45"/>
  <c r="EL72" i="45"/>
  <c r="EK72" i="45"/>
  <c r="EL51" i="45"/>
  <c r="EK51" i="45"/>
  <c r="EL42" i="45"/>
  <c r="EK42" i="45"/>
  <c r="EK52" i="45"/>
  <c r="EL52" i="45"/>
  <c r="EL58" i="45"/>
  <c r="EK58" i="45"/>
  <c r="EL53" i="45"/>
  <c r="EK53" i="45"/>
  <c r="EJ68" i="41"/>
  <c r="EI68" i="41"/>
  <c r="EL63" i="22"/>
  <c r="EK63" i="22"/>
  <c r="EK62" i="22"/>
  <c r="EL62" i="22"/>
  <c r="EK21" i="32"/>
  <c r="EL21" i="32"/>
  <c r="EL50" i="22"/>
  <c r="EK50" i="22"/>
  <c r="EL46" i="22"/>
  <c r="EK46" i="22"/>
  <c r="EL51" i="22"/>
  <c r="EK51" i="22"/>
  <c r="EK41" i="22"/>
  <c r="EL41" i="22"/>
  <c r="EK69" i="22"/>
  <c r="EL69" i="22"/>
  <c r="EL11" i="32"/>
  <c r="EK11" i="32"/>
  <c r="EL52" i="22"/>
  <c r="EK52" i="22"/>
  <c r="EK66" i="22"/>
  <c r="EL66" i="22"/>
  <c r="EL53" i="32"/>
  <c r="EK53" i="32"/>
  <c r="EK76" i="32"/>
  <c r="EL76" i="32"/>
  <c r="EK47" i="32"/>
  <c r="EL47" i="32"/>
  <c r="EL54" i="32"/>
  <c r="EK54" i="32"/>
  <c r="EL57" i="32"/>
  <c r="EK57" i="32"/>
  <c r="EK35" i="32"/>
  <c r="EL35" i="32"/>
  <c r="EK68" i="32"/>
  <c r="EL68" i="32"/>
  <c r="EL70" i="32"/>
  <c r="EK70" i="32"/>
  <c r="EK16" i="32"/>
  <c r="EL16" i="32"/>
  <c r="EK30" i="45"/>
  <c r="EL30" i="45"/>
  <c r="EL54" i="45"/>
  <c r="EK54" i="45"/>
  <c r="EK41" i="45"/>
  <c r="EL41" i="45"/>
  <c r="EL68" i="45"/>
  <c r="EK68" i="45"/>
  <c r="EL71" i="45"/>
  <c r="EK71" i="45"/>
  <c r="EL56" i="45"/>
  <c r="EK56" i="45"/>
  <c r="EK65" i="45"/>
  <c r="EL65" i="45"/>
  <c r="EL18" i="45"/>
  <c r="EK18" i="45"/>
  <c r="EK10" i="45"/>
  <c r="EL10" i="45"/>
  <c r="EK57" i="45"/>
  <c r="EL57" i="45"/>
  <c r="EK47" i="45"/>
  <c r="EL47" i="45"/>
  <c r="EK11" i="45"/>
  <c r="EL11" i="45"/>
  <c r="EL33" i="45"/>
  <c r="EK33" i="45"/>
  <c r="EL39" i="45"/>
  <c r="EK39" i="45"/>
  <c r="EK75" i="45"/>
  <c r="EL75" i="45"/>
  <c r="EL70" i="47"/>
  <c r="EK70" i="47"/>
  <c r="EJ64" i="41"/>
  <c r="EI64" i="41"/>
  <c r="EI74" i="41"/>
  <c r="EJ74" i="41"/>
  <c r="EL60" i="22"/>
  <c r="EK60" i="22"/>
  <c r="EL65" i="22"/>
  <c r="EK65" i="22"/>
  <c r="EL12" i="22"/>
  <c r="EK12" i="22"/>
  <c r="EK64" i="22"/>
  <c r="EL64" i="22"/>
  <c r="EK39" i="32"/>
  <c r="EL39" i="32"/>
  <c r="EL42" i="22"/>
  <c r="EK42" i="22"/>
  <c r="EK46" i="32"/>
  <c r="EL46" i="32"/>
  <c r="EK59" i="32"/>
  <c r="EL59" i="32"/>
  <c r="EL10" i="32"/>
  <c r="EK10" i="32"/>
  <c r="EK30" i="32"/>
  <c r="EL30" i="32"/>
  <c r="EK41" i="32"/>
  <c r="EL41" i="32"/>
  <c r="EL66" i="32"/>
  <c r="EK66" i="32"/>
  <c r="EK12" i="32"/>
  <c r="EL12" i="32"/>
  <c r="EL34" i="32"/>
  <c r="EK34" i="32"/>
  <c r="EK36" i="32"/>
  <c r="EL36" i="32"/>
  <c r="EK15" i="32"/>
  <c r="EL15" i="32"/>
  <c r="EL63" i="32"/>
  <c r="EK63" i="32"/>
  <c r="EL18" i="32"/>
  <c r="EK18" i="32"/>
  <c r="EK35" i="45"/>
  <c r="EL35" i="45"/>
  <c r="EK59" i="45"/>
  <c r="EL59" i="45"/>
  <c r="EL62" i="45"/>
  <c r="EK62" i="45"/>
  <c r="EK16" i="45"/>
  <c r="EL16" i="45"/>
  <c r="EL60" i="45"/>
  <c r="EK60" i="45"/>
  <c r="EL45" i="45"/>
  <c r="EK45" i="45"/>
  <c r="EL17" i="45"/>
  <c r="EK17" i="45"/>
  <c r="EL24" i="45"/>
  <c r="EK24" i="45"/>
  <c r="EL22" i="45"/>
  <c r="EK22" i="45"/>
  <c r="EL74" i="45"/>
  <c r="EK74" i="45"/>
  <c r="EK38" i="45"/>
  <c r="EL38" i="45"/>
  <c r="EK44" i="45"/>
  <c r="EL44" i="45"/>
  <c r="EK63" i="47"/>
  <c r="EL63" i="47"/>
  <c r="EI24" i="41"/>
  <c r="EJ24" i="41"/>
  <c r="EI42" i="41"/>
  <c r="EJ42" i="41"/>
  <c r="EI66" i="41"/>
  <c r="EJ66" i="41"/>
  <c r="EI54" i="41"/>
  <c r="EJ54" i="41"/>
  <c r="EL60" i="32"/>
  <c r="EK60" i="32"/>
  <c r="EK38" i="22"/>
  <c r="EL38" i="22"/>
  <c r="EK9" i="22"/>
  <c r="EL9" i="22"/>
  <c r="EK57" i="22"/>
  <c r="EL57" i="22"/>
  <c r="EL44" i="22"/>
  <c r="EK44" i="22"/>
  <c r="EK48" i="22"/>
  <c r="EL48" i="22"/>
  <c r="EK18" i="22"/>
  <c r="EL18" i="22"/>
  <c r="EL77" i="22"/>
  <c r="EK77" i="22"/>
  <c r="EK22" i="22"/>
  <c r="EL22" i="22"/>
  <c r="EL40" i="22"/>
  <c r="EK40" i="22"/>
  <c r="EK68" i="22"/>
  <c r="EL68" i="22"/>
  <c r="EL42" i="32"/>
  <c r="EK42" i="32"/>
  <c r="EL77" i="32"/>
  <c r="EK77" i="32"/>
  <c r="EL78" i="32"/>
  <c r="EK78" i="32"/>
  <c r="EL75" i="32"/>
  <c r="EK75" i="32"/>
  <c r="EK58" i="32"/>
  <c r="EL58" i="32"/>
  <c r="EL56" i="32"/>
  <c r="EK56" i="32"/>
  <c r="EK38" i="32"/>
  <c r="EL38" i="32"/>
  <c r="EL45" i="32"/>
  <c r="EK45" i="32"/>
  <c r="EK64" i="32"/>
  <c r="EL64" i="32"/>
  <c r="EK48" i="32"/>
  <c r="EL48" i="32"/>
  <c r="EL23" i="45"/>
  <c r="EK23" i="45"/>
  <c r="EK46" i="45"/>
  <c r="EL46" i="45"/>
  <c r="EL63" i="45"/>
  <c r="EK63" i="45"/>
  <c r="EK36" i="45"/>
  <c r="EL36" i="45"/>
  <c r="EL78" i="45"/>
  <c r="EK78" i="45"/>
  <c r="EL12" i="45"/>
  <c r="EK12" i="45"/>
  <c r="EK50" i="45"/>
  <c r="EL50" i="45"/>
  <c r="EK64" i="45"/>
  <c r="EL64" i="45"/>
  <c r="EK40" i="45"/>
  <c r="EL40" i="45"/>
  <c r="EL66" i="45"/>
  <c r="EK66" i="45"/>
  <c r="EK34" i="45"/>
  <c r="EL34" i="45"/>
  <c r="DA46" i="32"/>
  <c r="N46" i="32" s="1"/>
  <c r="CZ64" i="32"/>
  <c r="ES40" i="47"/>
  <c r="CW64" i="32"/>
  <c r="L64" i="32" s="1"/>
  <c r="ES41" i="32"/>
  <c r="ES59" i="41"/>
  <c r="ES71" i="41"/>
  <c r="ES78" i="47"/>
  <c r="DA53" i="32"/>
  <c r="DB53" i="32" s="1"/>
  <c r="O53" i="32" s="1"/>
  <c r="DA78" i="32"/>
  <c r="DB78" i="32" s="1"/>
  <c r="O78" i="32" s="1"/>
  <c r="ET51" i="47"/>
  <c r="ET77" i="41"/>
  <c r="ET57" i="41"/>
  <c r="CX78" i="32"/>
  <c r="CW59" i="32"/>
  <c r="CY59" i="32" s="1"/>
  <c r="M59" i="32" s="1"/>
  <c r="CX59" i="32"/>
  <c r="CW78" i="32"/>
  <c r="L78" i="32" s="1"/>
  <c r="ET63" i="41"/>
  <c r="CX62" i="32"/>
  <c r="ES41" i="47"/>
  <c r="ET53" i="32"/>
  <c r="DA60" i="32"/>
  <c r="N60" i="32" s="1"/>
  <c r="ET68" i="41"/>
  <c r="CW41" i="32"/>
  <c r="CY41" i="32" s="1"/>
  <c r="M41" i="32" s="1"/>
  <c r="CZ41" i="32"/>
  <c r="CW60" i="32"/>
  <c r="L60" i="32" s="1"/>
  <c r="CZ60" i="32"/>
  <c r="CZ53" i="32"/>
  <c r="CX53" i="32"/>
  <c r="ET78" i="32"/>
  <c r="CX41" i="32"/>
  <c r="DA41" i="32"/>
  <c r="DB41" i="32" s="1"/>
  <c r="O41" i="32" s="1"/>
  <c r="DA74" i="32"/>
  <c r="N74" i="32" s="1"/>
  <c r="ET42" i="32"/>
  <c r="DA47" i="32"/>
  <c r="DB47" i="32" s="1"/>
  <c r="O47" i="32" s="1"/>
  <c r="ET60" i="32"/>
  <c r="ES60" i="32"/>
  <c r="CW46" i="32"/>
  <c r="L46" i="32" s="1"/>
  <c r="CZ47" i="32"/>
  <c r="CZ59" i="32"/>
  <c r="CW47" i="32"/>
  <c r="CX64" i="32"/>
  <c r="CZ71" i="32"/>
  <c r="CX70" i="32"/>
  <c r="ES59" i="32"/>
  <c r="ET62" i="41"/>
  <c r="ES39" i="47"/>
  <c r="ES48" i="32"/>
  <c r="CW70" i="32"/>
  <c r="CY70" i="32" s="1"/>
  <c r="M70" i="32" s="1"/>
  <c r="CZ48" i="32"/>
  <c r="ES64" i="41"/>
  <c r="ES71" i="32"/>
  <c r="CZ62" i="32"/>
  <c r="CW62" i="32"/>
  <c r="L62" i="32" s="1"/>
  <c r="ET46" i="47"/>
  <c r="ES78" i="41"/>
  <c r="ET78" i="41"/>
  <c r="ES62" i="32"/>
  <c r="ET62" i="32"/>
  <c r="ES66" i="41"/>
  <c r="ET66" i="41"/>
  <c r="ET50" i="32"/>
  <c r="CX48" i="32"/>
  <c r="DA48" i="32"/>
  <c r="DB48" i="32" s="1"/>
  <c r="O48" i="32" s="1"/>
  <c r="ET46" i="32"/>
  <c r="ET47" i="47"/>
  <c r="ES47" i="47"/>
  <c r="CZ65" i="32"/>
  <c r="DA71" i="32"/>
  <c r="ET72" i="32"/>
  <c r="CX54" i="32"/>
  <c r="CX71" i="32"/>
  <c r="DA68" i="32"/>
  <c r="N68" i="32" s="1"/>
  <c r="CZ70" i="32"/>
  <c r="CZ54" i="32"/>
  <c r="CX63" i="32"/>
  <c r="CW63" i="32"/>
  <c r="ET56" i="32"/>
  <c r="ES56" i="32"/>
  <c r="ET74" i="32"/>
  <c r="CZ63" i="32"/>
  <c r="ES76" i="32"/>
  <c r="ET76" i="32"/>
  <c r="ES45" i="47"/>
  <c r="DA63" i="32"/>
  <c r="DA76" i="32"/>
  <c r="CW76" i="32"/>
  <c r="CZ68" i="32"/>
  <c r="CX68" i="32"/>
  <c r="ET70" i="32"/>
  <c r="ES70" i="32"/>
  <c r="DA65" i="32"/>
  <c r="CW65" i="32"/>
  <c r="CX50" i="32"/>
  <c r="CW50" i="32"/>
  <c r="DA51" i="32"/>
  <c r="DB51" i="32" s="1"/>
  <c r="O51" i="32" s="1"/>
  <c r="CX51" i="32"/>
  <c r="CW45" i="32"/>
  <c r="CY45" i="32" s="1"/>
  <c r="M45" i="32" s="1"/>
  <c r="CX65" i="32"/>
  <c r="DA50" i="32"/>
  <c r="DB50" i="32" s="1"/>
  <c r="O50" i="32" s="1"/>
  <c r="ET52" i="32"/>
  <c r="CW54" i="32"/>
  <c r="CZ45" i="32"/>
  <c r="ES68" i="32"/>
  <c r="ET68" i="32"/>
  <c r="CX76" i="32"/>
  <c r="ES45" i="32"/>
  <c r="ET45" i="32"/>
  <c r="CZ76" i="32"/>
  <c r="CW68" i="32"/>
  <c r="CX45" i="32"/>
  <c r="CX74" i="32"/>
  <c r="CZ74" i="32"/>
  <c r="ET65" i="32"/>
  <c r="ES65" i="32"/>
  <c r="ET60" i="41"/>
  <c r="ES60" i="41"/>
  <c r="CZ46" i="32"/>
  <c r="ES44" i="32"/>
  <c r="CX46" i="32"/>
  <c r="ET69" i="32"/>
  <c r="ES69" i="32"/>
  <c r="CX52" i="32"/>
  <c r="CW52" i="32"/>
  <c r="CZ52" i="32"/>
  <c r="DA52" i="32"/>
  <c r="CZ72" i="32"/>
  <c r="DA72" i="32"/>
  <c r="CW72" i="32"/>
  <c r="ES54" i="32"/>
  <c r="ET54" i="32"/>
  <c r="ET69" i="41"/>
  <c r="ES69" i="41"/>
  <c r="ES36" i="47"/>
  <c r="ET36" i="47"/>
  <c r="CX72" i="32"/>
  <c r="CZ69" i="32"/>
  <c r="CX69" i="32"/>
  <c r="CW69" i="32"/>
  <c r="DA69" i="32"/>
  <c r="ES48" i="47"/>
  <c r="ET48" i="47"/>
  <c r="ET44" i="47"/>
  <c r="ES44" i="47"/>
  <c r="ES58" i="41"/>
  <c r="ET58" i="41"/>
  <c r="DA57" i="32"/>
  <c r="DB57" i="32" s="1"/>
  <c r="O57" i="32" s="1"/>
  <c r="DA66" i="32"/>
  <c r="CZ66" i="32"/>
  <c r="CW66" i="32"/>
  <c r="CX66" i="32"/>
  <c r="DA75" i="32"/>
  <c r="CX75" i="32"/>
  <c r="CW75" i="32"/>
  <c r="ES65" i="41"/>
  <c r="ET65" i="41"/>
  <c r="CW51" i="32"/>
  <c r="L51" i="32" s="1"/>
  <c r="ET58" i="32"/>
  <c r="ES58" i="32"/>
  <c r="ES66" i="32"/>
  <c r="ET66" i="32"/>
  <c r="ET57" i="32"/>
  <c r="ES57" i="32"/>
  <c r="DA58" i="32"/>
  <c r="CX58" i="32"/>
  <c r="CZ58" i="32"/>
  <c r="CW58" i="32"/>
  <c r="ES51" i="32"/>
  <c r="ET51" i="32"/>
  <c r="CZ77" i="32"/>
  <c r="CW77" i="32"/>
  <c r="CX77" i="32"/>
  <c r="DA77" i="32"/>
  <c r="CX57" i="32"/>
  <c r="CW57" i="32"/>
  <c r="CZ57" i="32"/>
  <c r="ET75" i="32"/>
  <c r="ES75" i="32"/>
  <c r="CW44" i="32"/>
  <c r="DA44" i="32"/>
  <c r="CX44" i="32"/>
  <c r="CZ44" i="32"/>
  <c r="ES72" i="41"/>
  <c r="ET72" i="41"/>
  <c r="CI63" i="45" l="1"/>
  <c r="ES38" i="47"/>
  <c r="CH46" i="32"/>
  <c r="AB8" i="41"/>
  <c r="I8" i="41" s="1"/>
  <c r="AB15" i="41"/>
  <c r="I15" i="41" s="1"/>
  <c r="AB14" i="41"/>
  <c r="I14" i="41" s="1"/>
  <c r="X14" i="41" s="1"/>
  <c r="W14" i="41" s="1"/>
  <c r="V14" i="41" s="1"/>
  <c r="C14" i="41" s="1"/>
  <c r="AB16" i="41"/>
  <c r="I16" i="41" s="1"/>
  <c r="AB20" i="41"/>
  <c r="I20" i="41" s="1"/>
  <c r="AB28" i="41"/>
  <c r="I28" i="41" s="1"/>
  <c r="AB21" i="41"/>
  <c r="I21" i="41" s="1"/>
  <c r="AB27" i="41"/>
  <c r="I27" i="41" s="1"/>
  <c r="AB29" i="32"/>
  <c r="I29" i="32" s="1"/>
  <c r="AB15" i="32"/>
  <c r="I15" i="32" s="1"/>
  <c r="AB14" i="32"/>
  <c r="I14" i="32" s="1"/>
  <c r="CI50" i="22"/>
  <c r="AB29" i="22"/>
  <c r="I29" i="22" s="1"/>
  <c r="AB16" i="22"/>
  <c r="I16" i="22" s="1"/>
  <c r="CN36" i="47"/>
  <c r="DJ36" i="47" s="1"/>
  <c r="DQ36" i="47" s="1"/>
  <c r="DR36" i="47" s="1"/>
  <c r="AB16" i="32"/>
  <c r="I16" i="32" s="1"/>
  <c r="AB21" i="32"/>
  <c r="I21" i="32" s="1"/>
  <c r="AB17" i="32"/>
  <c r="I17" i="32" s="1"/>
  <c r="AB20" i="32"/>
  <c r="I20" i="32" s="1"/>
  <c r="AB10" i="32"/>
  <c r="I10" i="32" s="1"/>
  <c r="AB8" i="32"/>
  <c r="I8" i="32" s="1"/>
  <c r="AB9" i="45"/>
  <c r="I9" i="45" s="1"/>
  <c r="AB22" i="45"/>
  <c r="I22" i="45" s="1"/>
  <c r="X22" i="45" s="1"/>
  <c r="AB23" i="45"/>
  <c r="I23" i="45" s="1"/>
  <c r="AB20" i="45"/>
  <c r="I20" i="45" s="1"/>
  <c r="AB28" i="45"/>
  <c r="I28" i="45" s="1"/>
  <c r="AB27" i="45"/>
  <c r="I27" i="45" s="1"/>
  <c r="AB26" i="45"/>
  <c r="I26" i="45" s="1"/>
  <c r="EN56" i="22"/>
  <c r="CI80" i="19"/>
  <c r="CI41" i="45"/>
  <c r="CH88" i="19"/>
  <c r="CI63" i="32"/>
  <c r="CI63" i="19"/>
  <c r="DB56" i="32"/>
  <c r="O56" i="32" s="1"/>
  <c r="CY42" i="32"/>
  <c r="M42" i="32" s="1"/>
  <c r="EN77" i="22"/>
  <c r="CH92" i="32"/>
  <c r="CI80" i="22"/>
  <c r="CV69" i="47"/>
  <c r="DA69" i="47" s="1"/>
  <c r="CT69" i="47"/>
  <c r="CW69" i="47" s="1"/>
  <c r="AL14" i="45"/>
  <c r="AL14" i="47"/>
  <c r="AL14" i="41"/>
  <c r="AL26" i="45"/>
  <c r="AL26" i="41"/>
  <c r="AL26" i="47"/>
  <c r="AB9" i="41"/>
  <c r="I9" i="41" s="1"/>
  <c r="AB12" i="41"/>
  <c r="I12" i="41" s="1"/>
  <c r="AB11" i="41"/>
  <c r="I11" i="41" s="1"/>
  <c r="AB10" i="41"/>
  <c r="I10" i="41" s="1"/>
  <c r="CY56" i="32"/>
  <c r="M56" i="32" s="1"/>
  <c r="DB42" i="32"/>
  <c r="O42" i="32" s="1"/>
  <c r="CI44" i="22"/>
  <c r="CH92" i="22"/>
  <c r="CI41" i="22"/>
  <c r="CH64" i="22"/>
  <c r="CH77" i="32"/>
  <c r="CI52" i="32"/>
  <c r="CI65" i="45"/>
  <c r="CI69" i="45"/>
  <c r="AB11" i="19"/>
  <c r="I11" i="19" s="1"/>
  <c r="AB44" i="19"/>
  <c r="AB52" i="19"/>
  <c r="AB12" i="19"/>
  <c r="I12" i="19" s="1"/>
  <c r="AB10" i="19"/>
  <c r="I10" i="19" s="1"/>
  <c r="AB9" i="19"/>
  <c r="I9" i="19" s="1"/>
  <c r="AB8" i="19"/>
  <c r="I8" i="19" s="1"/>
  <c r="AB45" i="19"/>
  <c r="AB47" i="19"/>
  <c r="AB46" i="19"/>
  <c r="AB48" i="19"/>
  <c r="EN51" i="22"/>
  <c r="EN30" i="22"/>
  <c r="EN12" i="22"/>
  <c r="EN40" i="22"/>
  <c r="EN60" i="22"/>
  <c r="EN64" i="22"/>
  <c r="EN76" i="22"/>
  <c r="EN58" i="22"/>
  <c r="EN41" i="22"/>
  <c r="EN50" i="22"/>
  <c r="EN54" i="22"/>
  <c r="EN8" i="22"/>
  <c r="EN57" i="22"/>
  <c r="EN20" i="22"/>
  <c r="EN59" i="22"/>
  <c r="EN71" i="22"/>
  <c r="EN39" i="22"/>
  <c r="EN24" i="22"/>
  <c r="EN44" i="22"/>
  <c r="EN23" i="22"/>
  <c r="EN28" i="22"/>
  <c r="EN22" i="22"/>
  <c r="EN62" i="22"/>
  <c r="EN75" i="22"/>
  <c r="EN65" i="22"/>
  <c r="EN29" i="22"/>
  <c r="EN21" i="22"/>
  <c r="EN35" i="22"/>
  <c r="AB26" i="22"/>
  <c r="I26" i="22" s="1"/>
  <c r="AB23" i="22"/>
  <c r="I23" i="22" s="1"/>
  <c r="AB15" i="22"/>
  <c r="I15" i="22" s="1"/>
  <c r="AB14" i="22"/>
  <c r="I14" i="22" s="1"/>
  <c r="AB8" i="22"/>
  <c r="I8" i="22" s="1"/>
  <c r="AB12" i="22"/>
  <c r="I12" i="22" s="1"/>
  <c r="AB10" i="22"/>
  <c r="I10" i="22" s="1"/>
  <c r="AB9" i="22"/>
  <c r="I9" i="22" s="1"/>
  <c r="AB9" i="32"/>
  <c r="I9" i="32" s="1"/>
  <c r="AB32" i="47"/>
  <c r="I32" i="47" s="1"/>
  <c r="DF32" i="47" s="1"/>
  <c r="AB26" i="47"/>
  <c r="I26" i="47" s="1"/>
  <c r="AB24" i="47"/>
  <c r="I24" i="47" s="1"/>
  <c r="AB27" i="47"/>
  <c r="I27" i="47" s="1"/>
  <c r="AB21" i="47"/>
  <c r="I21" i="47" s="1"/>
  <c r="AB20" i="47"/>
  <c r="I20" i="47" s="1"/>
  <c r="AB15" i="47"/>
  <c r="I15" i="47" s="1"/>
  <c r="AB33" i="47"/>
  <c r="AB14" i="47"/>
  <c r="I14" i="47" s="1"/>
  <c r="AB17" i="47"/>
  <c r="I17" i="47" s="1"/>
  <c r="AB10" i="47"/>
  <c r="I10" i="47" s="1"/>
  <c r="AB16" i="47"/>
  <c r="I16" i="47" s="1"/>
  <c r="AB9" i="47"/>
  <c r="I9" i="47" s="1"/>
  <c r="AB22" i="47"/>
  <c r="I22" i="47" s="1"/>
  <c r="AB11" i="47"/>
  <c r="I11" i="47" s="1"/>
  <c r="AB23" i="47"/>
  <c r="I23" i="47" s="1"/>
  <c r="AB8" i="47"/>
  <c r="I8" i="47" s="1"/>
  <c r="AB17" i="45"/>
  <c r="I17" i="45" s="1"/>
  <c r="AB16" i="45"/>
  <c r="I16" i="45" s="1"/>
  <c r="AB10" i="45"/>
  <c r="I10" i="45" s="1"/>
  <c r="AB12" i="45"/>
  <c r="I12" i="45" s="1"/>
  <c r="AB11" i="45"/>
  <c r="I11" i="45" s="1"/>
  <c r="AB8" i="45"/>
  <c r="I8" i="45" s="1"/>
  <c r="AB18" i="45"/>
  <c r="I18" i="45" s="1"/>
  <c r="AB14" i="45"/>
  <c r="I14" i="45" s="1"/>
  <c r="AB21" i="45"/>
  <c r="I21" i="45" s="1"/>
  <c r="AB15" i="45"/>
  <c r="I15" i="45" s="1"/>
  <c r="EQ22" i="19"/>
  <c r="AB15" i="19"/>
  <c r="I15" i="19" s="1"/>
  <c r="AB14" i="19"/>
  <c r="I14" i="19" s="1"/>
  <c r="AB20" i="19"/>
  <c r="I20" i="19" s="1"/>
  <c r="AB17" i="19"/>
  <c r="I17" i="19" s="1"/>
  <c r="AB33" i="19"/>
  <c r="I33" i="19" s="1"/>
  <c r="AB35" i="19"/>
  <c r="AB32" i="19"/>
  <c r="I32" i="19" s="1"/>
  <c r="DF32" i="19" s="1"/>
  <c r="AB24" i="19"/>
  <c r="AB28" i="19"/>
  <c r="I28" i="19" s="1"/>
  <c r="AB21" i="19"/>
  <c r="I21" i="19" s="1"/>
  <c r="AB27" i="19"/>
  <c r="I27" i="19" s="1"/>
  <c r="AB30" i="19"/>
  <c r="I30" i="19" s="1"/>
  <c r="AB16" i="19"/>
  <c r="I16" i="19" s="1"/>
  <c r="AB23" i="19"/>
  <c r="I23" i="19" s="1"/>
  <c r="AB34" i="19"/>
  <c r="I34" i="19" s="1"/>
  <c r="AB22" i="19"/>
  <c r="I22" i="19" s="1"/>
  <c r="AB26" i="19"/>
  <c r="I26" i="19" s="1"/>
  <c r="AB29" i="19"/>
  <c r="I29" i="19" s="1"/>
  <c r="EN14" i="22"/>
  <c r="EN26" i="22"/>
  <c r="EN42" i="22"/>
  <c r="EN36" i="22"/>
  <c r="EN38" i="22"/>
  <c r="EN9" i="22"/>
  <c r="EN70" i="22"/>
  <c r="EN52" i="22"/>
  <c r="EN10" i="22"/>
  <c r="EN17" i="22"/>
  <c r="EN15" i="22"/>
  <c r="EN11" i="22"/>
  <c r="EN48" i="22"/>
  <c r="EN45" i="22"/>
  <c r="EN34" i="22"/>
  <c r="EN16" i="22"/>
  <c r="EN33" i="22"/>
  <c r="EN18" i="22"/>
  <c r="EN72" i="22"/>
  <c r="EN63" i="22"/>
  <c r="EN69" i="22"/>
  <c r="EN74" i="22"/>
  <c r="EN68" i="22"/>
  <c r="EN53" i="22"/>
  <c r="EN66" i="22"/>
  <c r="EN78" i="22"/>
  <c r="EN47" i="22"/>
  <c r="EN32" i="22"/>
  <c r="EN27" i="22"/>
  <c r="BW15" i="32"/>
  <c r="X72" i="19"/>
  <c r="X75" i="19"/>
  <c r="X71" i="19"/>
  <c r="X69" i="19"/>
  <c r="X70" i="19"/>
  <c r="X78" i="19"/>
  <c r="X77" i="19"/>
  <c r="X68" i="19"/>
  <c r="X76" i="19"/>
  <c r="X74" i="19"/>
  <c r="X42" i="19"/>
  <c r="X58" i="19"/>
  <c r="X54" i="19"/>
  <c r="X41" i="19"/>
  <c r="X60" i="19"/>
  <c r="X40" i="19"/>
  <c r="X39" i="19"/>
  <c r="X64" i="19"/>
  <c r="X62" i="19"/>
  <c r="X63" i="19"/>
  <c r="X51" i="19"/>
  <c r="X50" i="19"/>
  <c r="X38" i="19"/>
  <c r="X66" i="19"/>
  <c r="X36" i="19"/>
  <c r="X56" i="19"/>
  <c r="X59" i="19"/>
  <c r="X57" i="19"/>
  <c r="X53" i="19"/>
  <c r="X65" i="19"/>
  <c r="X22" i="41"/>
  <c r="X60" i="41"/>
  <c r="X24" i="41"/>
  <c r="X48" i="41"/>
  <c r="X65" i="41"/>
  <c r="X68" i="41"/>
  <c r="X40" i="41"/>
  <c r="X59" i="41"/>
  <c r="X78" i="41"/>
  <c r="X18" i="41"/>
  <c r="X38" i="41"/>
  <c r="X57" i="41"/>
  <c r="X76" i="41"/>
  <c r="X41" i="41"/>
  <c r="X58" i="41"/>
  <c r="X46" i="41"/>
  <c r="X77" i="41"/>
  <c r="X50" i="41"/>
  <c r="W50" i="41" s="1"/>
  <c r="V50" i="41" s="1"/>
  <c r="X47" i="41"/>
  <c r="X51" i="41"/>
  <c r="X44" i="41"/>
  <c r="W44" i="41" s="1"/>
  <c r="V44" i="41" s="1"/>
  <c r="X17" i="41"/>
  <c r="X54" i="41"/>
  <c r="X52" i="41"/>
  <c r="X32" i="41"/>
  <c r="W32" i="41" s="1"/>
  <c r="V32" i="41" s="1"/>
  <c r="C32" i="41" s="1"/>
  <c r="X70" i="41"/>
  <c r="X34" i="41"/>
  <c r="X53" i="41"/>
  <c r="X36" i="41"/>
  <c r="X75" i="41"/>
  <c r="X29" i="41"/>
  <c r="X72" i="41"/>
  <c r="X26" i="41"/>
  <c r="W26" i="41" s="1"/>
  <c r="V26" i="41" s="1"/>
  <c r="C26" i="41" s="1"/>
  <c r="X45" i="41"/>
  <c r="X64" i="41"/>
  <c r="X23" i="41"/>
  <c r="X42" i="41"/>
  <c r="X62" i="41"/>
  <c r="W62" i="41" s="1"/>
  <c r="V62" i="41" s="1"/>
  <c r="X39" i="41"/>
  <c r="X30" i="41"/>
  <c r="X69" i="41"/>
  <c r="X66" i="41"/>
  <c r="X56" i="41"/>
  <c r="W56" i="41" s="1"/>
  <c r="V56" i="41" s="1"/>
  <c r="X63" i="41"/>
  <c r="X35" i="41"/>
  <c r="X74" i="41"/>
  <c r="X33" i="41"/>
  <c r="X71" i="41"/>
  <c r="X39" i="32"/>
  <c r="X46" i="32"/>
  <c r="X23" i="32"/>
  <c r="X48" i="32"/>
  <c r="X75" i="32"/>
  <c r="X38" i="32"/>
  <c r="W38" i="32" s="1"/>
  <c r="V38" i="32" s="1"/>
  <c r="X63" i="32"/>
  <c r="X69" i="32"/>
  <c r="X34" i="32"/>
  <c r="X60" i="32"/>
  <c r="X54" i="32"/>
  <c r="X65" i="32"/>
  <c r="X71" i="32"/>
  <c r="X62" i="32"/>
  <c r="W62" i="32" s="1"/>
  <c r="V62" i="32" s="1"/>
  <c r="X24" i="32"/>
  <c r="X76" i="32"/>
  <c r="X45" i="32"/>
  <c r="X12" i="32"/>
  <c r="X30" i="32"/>
  <c r="X22" i="32"/>
  <c r="X72" i="32"/>
  <c r="X16" i="32"/>
  <c r="X33" i="32"/>
  <c r="X17" i="32"/>
  <c r="X68" i="32"/>
  <c r="W68" i="32" s="1"/>
  <c r="V68" i="32" s="1"/>
  <c r="X32" i="32"/>
  <c r="W32" i="32" s="1"/>
  <c r="X64" i="32"/>
  <c r="X77" i="32"/>
  <c r="X50" i="32"/>
  <c r="W50" i="32" s="1"/>
  <c r="V50" i="32" s="1"/>
  <c r="X28" i="32"/>
  <c r="X35" i="32"/>
  <c r="X52" i="32"/>
  <c r="X58" i="32"/>
  <c r="X56" i="32"/>
  <c r="W56" i="32" s="1"/>
  <c r="V56" i="32" s="1"/>
  <c r="X40" i="32"/>
  <c r="X18" i="32"/>
  <c r="X44" i="32"/>
  <c r="W44" i="32" s="1"/>
  <c r="V44" i="32" s="1"/>
  <c r="X70" i="32"/>
  <c r="X26" i="32"/>
  <c r="W26" i="32" s="1"/>
  <c r="V26" i="32" s="1"/>
  <c r="C26" i="32" s="1"/>
  <c r="X41" i="32"/>
  <c r="X66" i="32"/>
  <c r="X74" i="32"/>
  <c r="W74" i="32" s="1"/>
  <c r="V74" i="32" s="1"/>
  <c r="X36" i="32"/>
  <c r="X59" i="32"/>
  <c r="X51" i="32"/>
  <c r="X47" i="32"/>
  <c r="X27" i="32"/>
  <c r="X42" i="32"/>
  <c r="X78" i="32"/>
  <c r="X57" i="32"/>
  <c r="X53" i="32"/>
  <c r="X22" i="22"/>
  <c r="X17" i="22"/>
  <c r="X21" i="22"/>
  <c r="X11" i="22"/>
  <c r="X48" i="22"/>
  <c r="X30" i="22"/>
  <c r="X69" i="22"/>
  <c r="X33" i="22"/>
  <c r="X71" i="22"/>
  <c r="X60" i="22"/>
  <c r="X24" i="22"/>
  <c r="X63" i="22"/>
  <c r="X54" i="22"/>
  <c r="X28" i="22"/>
  <c r="X66" i="22"/>
  <c r="X46" i="22"/>
  <c r="X68" i="22"/>
  <c r="W68" i="22" s="1"/>
  <c r="X50" i="22"/>
  <c r="W50" i="22" s="1"/>
  <c r="V50" i="22" s="1"/>
  <c r="X74" i="22"/>
  <c r="W74" i="22" s="1"/>
  <c r="V74" i="22" s="1"/>
  <c r="X65" i="22"/>
  <c r="X77" i="22"/>
  <c r="X59" i="22"/>
  <c r="X18" i="22"/>
  <c r="X20" i="22"/>
  <c r="X58" i="22"/>
  <c r="X40" i="22"/>
  <c r="X78" i="22"/>
  <c r="X42" i="22"/>
  <c r="X32" i="22"/>
  <c r="W32" i="22" s="1"/>
  <c r="V32" i="22" s="1"/>
  <c r="C32" i="22" s="1"/>
  <c r="X70" i="22"/>
  <c r="X34" i="22"/>
  <c r="X72" i="22"/>
  <c r="X64" i="22"/>
  <c r="X38" i="22"/>
  <c r="W38" i="22" s="1"/>
  <c r="V38" i="22" s="1"/>
  <c r="X76" i="22"/>
  <c r="X56" i="22"/>
  <c r="W56" i="22" s="1"/>
  <c r="X52" i="22"/>
  <c r="X41" i="22"/>
  <c r="X44" i="22"/>
  <c r="W44" i="22" s="1"/>
  <c r="V44" i="22" s="1"/>
  <c r="X35" i="22"/>
  <c r="X47" i="22"/>
  <c r="X27" i="22"/>
  <c r="X39" i="22"/>
  <c r="X62" i="22"/>
  <c r="W62" i="22" s="1"/>
  <c r="V62" i="22" s="1"/>
  <c r="X51" i="22"/>
  <c r="X53" i="22"/>
  <c r="X45" i="22"/>
  <c r="X57" i="22"/>
  <c r="X36" i="22"/>
  <c r="X75" i="22"/>
  <c r="X50" i="47"/>
  <c r="W50" i="47" s="1"/>
  <c r="V50" i="47" s="1"/>
  <c r="X62" i="47"/>
  <c r="W62" i="47" s="1"/>
  <c r="V62" i="47" s="1"/>
  <c r="X64" i="47"/>
  <c r="X47" i="47"/>
  <c r="X34" i="47"/>
  <c r="X53" i="47"/>
  <c r="X72" i="47"/>
  <c r="X51" i="47"/>
  <c r="X70" i="47"/>
  <c r="X35" i="47"/>
  <c r="X74" i="47"/>
  <c r="X42" i="47"/>
  <c r="X45" i="47"/>
  <c r="X66" i="47"/>
  <c r="X63" i="47"/>
  <c r="X41" i="47"/>
  <c r="X52" i="47"/>
  <c r="X76" i="47"/>
  <c r="X29" i="47"/>
  <c r="X48" i="47"/>
  <c r="X46" i="47"/>
  <c r="X59" i="47"/>
  <c r="X71" i="47"/>
  <c r="X12" i="47"/>
  <c r="X69" i="47"/>
  <c r="X57" i="47"/>
  <c r="X39" i="47"/>
  <c r="X58" i="47"/>
  <c r="X77" i="47"/>
  <c r="X36" i="47"/>
  <c r="X56" i="47"/>
  <c r="W56" i="47" s="1"/>
  <c r="V56" i="47" s="1"/>
  <c r="X75" i="47"/>
  <c r="X78" i="47"/>
  <c r="X18" i="47"/>
  <c r="X28" i="47"/>
  <c r="X44" i="47"/>
  <c r="W44" i="47" s="1"/>
  <c r="V44" i="47" s="1"/>
  <c r="X60" i="47"/>
  <c r="X40" i="47"/>
  <c r="X54" i="47"/>
  <c r="X30" i="47"/>
  <c r="X38" i="47"/>
  <c r="W38" i="47" s="1"/>
  <c r="V38" i="47" s="1"/>
  <c r="C38" i="47" s="1"/>
  <c r="X68" i="47"/>
  <c r="W68" i="47" s="1"/>
  <c r="V68" i="47" s="1"/>
  <c r="X65" i="47"/>
  <c r="X65" i="45"/>
  <c r="X29" i="45"/>
  <c r="X63" i="45"/>
  <c r="X32" i="45"/>
  <c r="W32" i="45" s="1"/>
  <c r="V32" i="45" s="1"/>
  <c r="X70" i="45"/>
  <c r="X24" i="45"/>
  <c r="X68" i="45"/>
  <c r="W68" i="45" s="1"/>
  <c r="V68" i="45" s="1"/>
  <c r="X30" i="45"/>
  <c r="X50" i="45"/>
  <c r="W50" i="45" s="1"/>
  <c r="V50" i="45" s="1"/>
  <c r="X69" i="45"/>
  <c r="X47" i="45"/>
  <c r="X66" i="45"/>
  <c r="X44" i="45"/>
  <c r="W44" i="45" s="1"/>
  <c r="V44" i="45" s="1"/>
  <c r="X48" i="45"/>
  <c r="X40" i="45"/>
  <c r="X78" i="45"/>
  <c r="X57" i="45"/>
  <c r="X56" i="45"/>
  <c r="W56" i="45" s="1"/>
  <c r="V56" i="45" s="1"/>
  <c r="X60" i="45"/>
  <c r="X58" i="45"/>
  <c r="X45" i="45"/>
  <c r="X62" i="45"/>
  <c r="W62" i="45" s="1"/>
  <c r="V62" i="45" s="1"/>
  <c r="X36" i="45"/>
  <c r="X75" i="45"/>
  <c r="X34" i="45"/>
  <c r="X72" i="45"/>
  <c r="X41" i="45"/>
  <c r="X39" i="45"/>
  <c r="X77" i="45"/>
  <c r="X35" i="45"/>
  <c r="X54" i="45"/>
  <c r="X74" i="45"/>
  <c r="W74" i="45" s="1"/>
  <c r="V74" i="45" s="1"/>
  <c r="X33" i="45"/>
  <c r="X52" i="45"/>
  <c r="X71" i="45"/>
  <c r="X46" i="45"/>
  <c r="X51" i="45"/>
  <c r="X59" i="45"/>
  <c r="X38" i="45"/>
  <c r="W38" i="45" s="1"/>
  <c r="V38" i="45" s="1"/>
  <c r="X76" i="45"/>
  <c r="X53" i="45"/>
  <c r="X64" i="45"/>
  <c r="X42" i="45"/>
  <c r="U90" i="40"/>
  <c r="E90" i="40" s="1"/>
  <c r="U153" i="40"/>
  <c r="E153" i="40" s="1"/>
  <c r="E14" i="40"/>
  <c r="E10" i="40"/>
  <c r="U86" i="40"/>
  <c r="E86" i="40" s="1"/>
  <c r="U149" i="40"/>
  <c r="E149" i="40" s="1"/>
  <c r="CH86" i="41"/>
  <c r="DB70" i="32"/>
  <c r="O70" i="32" s="1"/>
  <c r="DB59" i="32"/>
  <c r="O59" i="32" s="1"/>
  <c r="X18" i="19"/>
  <c r="CH93" i="19"/>
  <c r="CI52" i="45"/>
  <c r="CH77" i="19"/>
  <c r="CH59" i="19"/>
  <c r="CI65" i="19"/>
  <c r="CI70" i="19"/>
  <c r="CI89" i="22"/>
  <c r="CH57" i="22"/>
  <c r="BJ15" i="47"/>
  <c r="BW14" i="47"/>
  <c r="BW35" i="19"/>
  <c r="BJ36" i="19"/>
  <c r="EN58" i="32"/>
  <c r="CH86" i="19"/>
  <c r="CI69" i="22"/>
  <c r="CI80" i="32"/>
  <c r="CH52" i="19"/>
  <c r="CI50" i="45"/>
  <c r="CI92" i="32"/>
  <c r="CI57" i="19"/>
  <c r="CI94" i="22"/>
  <c r="CI53" i="32"/>
  <c r="CI47" i="41"/>
  <c r="CH76" i="22"/>
  <c r="CI47" i="22"/>
  <c r="EN29" i="32"/>
  <c r="CH64" i="19"/>
  <c r="CI87" i="32"/>
  <c r="CH57" i="45"/>
  <c r="CH70" i="22"/>
  <c r="CH88" i="45"/>
  <c r="CI65" i="22"/>
  <c r="CI75" i="22"/>
  <c r="CI44" i="19"/>
  <c r="CI65" i="41"/>
  <c r="CH56" i="41"/>
  <c r="CI95" i="19"/>
  <c r="EN34" i="32"/>
  <c r="EN66" i="32"/>
  <c r="EN8" i="32"/>
  <c r="EN64" i="32"/>
  <c r="EN11" i="32"/>
  <c r="EN77" i="32"/>
  <c r="EN65" i="32"/>
  <c r="EN35" i="32"/>
  <c r="EN9" i="32"/>
  <c r="CI45" i="41"/>
  <c r="CH81" i="41"/>
  <c r="EN30" i="32"/>
  <c r="EN10" i="32"/>
  <c r="EN28" i="32"/>
  <c r="EN69" i="32"/>
  <c r="EN70" i="32"/>
  <c r="EN54" i="32"/>
  <c r="EN44" i="32"/>
  <c r="CI92" i="22"/>
  <c r="CI87" i="19"/>
  <c r="CH53" i="22"/>
  <c r="EN17" i="32"/>
  <c r="EN68" i="32"/>
  <c r="EN27" i="32"/>
  <c r="EN46" i="32"/>
  <c r="EN62" i="32"/>
  <c r="EN75" i="32"/>
  <c r="EN12" i="32"/>
  <c r="EN50" i="32"/>
  <c r="EN41" i="32"/>
  <c r="EN38" i="32"/>
  <c r="EN14" i="32"/>
  <c r="EN42" i="32"/>
  <c r="CI87" i="45"/>
  <c r="CH89" i="45"/>
  <c r="CH87" i="22"/>
  <c r="CI75" i="45"/>
  <c r="CH74" i="19"/>
  <c r="CI56" i="32"/>
  <c r="CI93" i="19"/>
  <c r="CH69" i="19"/>
  <c r="CH82" i="19"/>
  <c r="CH52" i="32"/>
  <c r="CI59" i="22"/>
  <c r="CI83" i="22"/>
  <c r="EN21" i="32"/>
  <c r="EN71" i="32"/>
  <c r="EN20" i="32"/>
  <c r="EN15" i="32"/>
  <c r="EN33" i="32"/>
  <c r="EN48" i="32"/>
  <c r="EN56" i="32"/>
  <c r="EN36" i="32"/>
  <c r="EN63" i="32"/>
  <c r="EN72" i="32"/>
  <c r="EN18" i="32"/>
  <c r="EN24" i="32"/>
  <c r="EN60" i="32"/>
  <c r="EN59" i="32"/>
  <c r="EN40" i="32"/>
  <c r="EN52" i="32"/>
  <c r="EN57" i="32"/>
  <c r="EN74" i="32"/>
  <c r="EN16" i="32"/>
  <c r="EN76" i="32"/>
  <c r="EN47" i="32"/>
  <c r="EN22" i="32"/>
  <c r="EN32" i="32"/>
  <c r="EN51" i="32"/>
  <c r="EN78" i="32"/>
  <c r="EN26" i="32"/>
  <c r="EN45" i="32"/>
  <c r="EN53" i="32"/>
  <c r="EN39" i="32"/>
  <c r="CH59" i="32"/>
  <c r="CI77" i="32"/>
  <c r="CH68" i="32"/>
  <c r="CH87" i="32"/>
  <c r="CI74" i="32"/>
  <c r="CH53" i="32"/>
  <c r="CH80" i="32"/>
  <c r="CI50" i="32"/>
  <c r="CH57" i="32"/>
  <c r="CH70" i="32"/>
  <c r="CI65" i="32"/>
  <c r="CI41" i="32"/>
  <c r="CI69" i="32"/>
  <c r="CI47" i="32"/>
  <c r="CH76" i="32"/>
  <c r="CI44" i="32"/>
  <c r="CH89" i="22"/>
  <c r="CH86" i="22"/>
  <c r="CI56" i="22"/>
  <c r="CI45" i="22"/>
  <c r="CH52" i="22"/>
  <c r="CH59" i="22"/>
  <c r="CH68" i="22"/>
  <c r="CI74" i="22"/>
  <c r="CH50" i="22"/>
  <c r="CI46" i="22"/>
  <c r="CH80" i="22"/>
  <c r="CI87" i="22"/>
  <c r="CI53" i="22"/>
  <c r="CH46" i="22"/>
  <c r="CH41" i="22"/>
  <c r="CH86" i="32"/>
  <c r="CI82" i="32"/>
  <c r="CI71" i="32"/>
  <c r="CH88" i="32"/>
  <c r="CI88" i="32"/>
  <c r="CI75" i="32"/>
  <c r="CH83" i="32"/>
  <c r="CI94" i="32"/>
  <c r="CH75" i="32"/>
  <c r="CH65" i="32"/>
  <c r="CH62" i="32"/>
  <c r="CH82" i="41"/>
  <c r="CH45" i="41"/>
  <c r="CI87" i="41"/>
  <c r="CH88" i="41"/>
  <c r="CI44" i="41"/>
  <c r="CI89" i="19"/>
  <c r="CH58" i="19"/>
  <c r="CI46" i="19"/>
  <c r="CI68" i="19"/>
  <c r="CI64" i="19"/>
  <c r="CI52" i="19"/>
  <c r="CI77" i="19"/>
  <c r="CH51" i="19"/>
  <c r="CH63" i="19"/>
  <c r="CI75" i="19"/>
  <c r="CH47" i="19"/>
  <c r="CI59" i="19"/>
  <c r="CH71" i="19"/>
  <c r="CI51" i="19"/>
  <c r="K104" i="31"/>
  <c r="O98" i="31"/>
  <c r="AL14" i="19"/>
  <c r="AL26" i="19"/>
  <c r="Y52" i="33"/>
  <c r="CI89" i="45"/>
  <c r="CI53" i="45"/>
  <c r="CH59" i="45"/>
  <c r="CH77" i="45"/>
  <c r="CH93" i="45"/>
  <c r="CH86" i="45"/>
  <c r="CH74" i="45"/>
  <c r="CI56" i="45"/>
  <c r="CH58" i="45"/>
  <c r="CI45" i="45"/>
  <c r="CH65" i="45"/>
  <c r="CH46" i="45"/>
  <c r="CH95" i="45"/>
  <c r="CH82" i="45"/>
  <c r="CH52" i="45"/>
  <c r="CI62" i="45"/>
  <c r="CH62" i="45"/>
  <c r="CH64" i="45"/>
  <c r="CH70" i="45"/>
  <c r="CH76" i="45"/>
  <c r="CI74" i="45"/>
  <c r="BW35" i="45"/>
  <c r="BJ36" i="45"/>
  <c r="CI47" i="45"/>
  <c r="CI80" i="45"/>
  <c r="CI58" i="45"/>
  <c r="CI93" i="45"/>
  <c r="CH51" i="45"/>
  <c r="CH81" i="45"/>
  <c r="CI83" i="45"/>
  <c r="Y10" i="33"/>
  <c r="BL68" i="19"/>
  <c r="BL68" i="22"/>
  <c r="BL68" i="45"/>
  <c r="BL68" i="32"/>
  <c r="BS92" i="22"/>
  <c r="BS92" i="45"/>
  <c r="BS92" i="32"/>
  <c r="BS92" i="19"/>
  <c r="BR62" i="22"/>
  <c r="BR62" i="19"/>
  <c r="BR62" i="45"/>
  <c r="BR62" i="32"/>
  <c r="BR74" i="22"/>
  <c r="BR74" i="19"/>
  <c r="BR74" i="32"/>
  <c r="BR74" i="45"/>
  <c r="CH94" i="19"/>
  <c r="CH65" i="19"/>
  <c r="CI81" i="45"/>
  <c r="CH51" i="32"/>
  <c r="CH50" i="32"/>
  <c r="CH95" i="19"/>
  <c r="CH56" i="19"/>
  <c r="CI68" i="22"/>
  <c r="CI76" i="45"/>
  <c r="CH45" i="19"/>
  <c r="CH44" i="19"/>
  <c r="CH71" i="32"/>
  <c r="CH63" i="32"/>
  <c r="CI64" i="45"/>
  <c r="CI86" i="45"/>
  <c r="CH83" i="19"/>
  <c r="CI88" i="41"/>
  <c r="CI86" i="41"/>
  <c r="CH59" i="41"/>
  <c r="BR92" i="19"/>
  <c r="BR92" i="22"/>
  <c r="BR92" i="45"/>
  <c r="BR92" i="32"/>
  <c r="BL62" i="22"/>
  <c r="BL62" i="45"/>
  <c r="BL62" i="32"/>
  <c r="BL62" i="19"/>
  <c r="BR86" i="22"/>
  <c r="BR86" i="45"/>
  <c r="BR86" i="19"/>
  <c r="BR86" i="32"/>
  <c r="BL80" i="22"/>
  <c r="BL80" i="32"/>
  <c r="BL80" i="19"/>
  <c r="BL80" i="45"/>
  <c r="BR56" i="22"/>
  <c r="BR56" i="19"/>
  <c r="BR56" i="45"/>
  <c r="BR56" i="32"/>
  <c r="BL41" i="45"/>
  <c r="BL41" i="22"/>
  <c r="BL41" i="19"/>
  <c r="BL41" i="32"/>
  <c r="CH64" i="32"/>
  <c r="CI92" i="45"/>
  <c r="CI57" i="45"/>
  <c r="CI77" i="45"/>
  <c r="CH68" i="19"/>
  <c r="CH57" i="19"/>
  <c r="CH89" i="41"/>
  <c r="CH70" i="19"/>
  <c r="CH93" i="22"/>
  <c r="CH92" i="45"/>
  <c r="CI94" i="19"/>
  <c r="CI88" i="19"/>
  <c r="CH94" i="32"/>
  <c r="CH74" i="32"/>
  <c r="CI56" i="19"/>
  <c r="CI70" i="45"/>
  <c r="CI70" i="22"/>
  <c r="CH58" i="32"/>
  <c r="CI45" i="19"/>
  <c r="CI47" i="19"/>
  <c r="CH76" i="19"/>
  <c r="CI74" i="19"/>
  <c r="CH75" i="45"/>
  <c r="CI58" i="19"/>
  <c r="CI58" i="22"/>
  <c r="CI81" i="32"/>
  <c r="CI82" i="19"/>
  <c r="CI82" i="45"/>
  <c r="CH50" i="45"/>
  <c r="CI93" i="32"/>
  <c r="CH46" i="19"/>
  <c r="CH95" i="32"/>
  <c r="CH56" i="22"/>
  <c r="CI46" i="45"/>
  <c r="CI71" i="45"/>
  <c r="CI71" i="22"/>
  <c r="CH53" i="19"/>
  <c r="CH69" i="45"/>
  <c r="CH82" i="32"/>
  <c r="CI68" i="32"/>
  <c r="CH47" i="41"/>
  <c r="CH47" i="22"/>
  <c r="CI76" i="19"/>
  <c r="CH51" i="22"/>
  <c r="CI59" i="32"/>
  <c r="CH44" i="45"/>
  <c r="CI62" i="19"/>
  <c r="CH62" i="19"/>
  <c r="CH71" i="45"/>
  <c r="CH45" i="22"/>
  <c r="CH41" i="19"/>
  <c r="CH80" i="45"/>
  <c r="CH63" i="45"/>
  <c r="CH81" i="19"/>
  <c r="CI64" i="22"/>
  <c r="CI86" i="19"/>
  <c r="CI83" i="32"/>
  <c r="CH83" i="22"/>
  <c r="CI51" i="45"/>
  <c r="BS86" i="22"/>
  <c r="BS86" i="19"/>
  <c r="BS86" i="45"/>
  <c r="BS86" i="32"/>
  <c r="G11" i="33"/>
  <c r="BS56" i="47" s="1"/>
  <c r="BL50" i="19"/>
  <c r="BL50" i="22"/>
  <c r="BL50" i="45"/>
  <c r="BL50" i="32"/>
  <c r="CI88" i="22"/>
  <c r="CH75" i="19"/>
  <c r="CI81" i="19"/>
  <c r="CH56" i="32"/>
  <c r="CI71" i="19"/>
  <c r="CH47" i="32"/>
  <c r="CI76" i="22"/>
  <c r="CH44" i="32"/>
  <c r="CH44" i="22"/>
  <c r="CI95" i="32"/>
  <c r="CI95" i="22"/>
  <c r="CH45" i="32"/>
  <c r="CH41" i="32"/>
  <c r="CH81" i="32"/>
  <c r="CI86" i="22"/>
  <c r="CI51" i="32"/>
  <c r="CI51" i="22"/>
  <c r="CH87" i="41"/>
  <c r="CH57" i="41"/>
  <c r="CI89" i="41"/>
  <c r="BL86" i="41"/>
  <c r="BL86" i="19"/>
  <c r="BL86" i="45"/>
  <c r="BL86" i="22"/>
  <c r="BL86" i="32"/>
  <c r="BS62" i="41"/>
  <c r="BS62" i="19"/>
  <c r="BS62" i="22"/>
  <c r="BS62" i="45"/>
  <c r="BS62" i="32"/>
  <c r="BL56" i="22"/>
  <c r="BL56" i="32"/>
  <c r="BL56" i="45"/>
  <c r="BL56" i="19"/>
  <c r="BL44" i="22"/>
  <c r="BL44" i="45"/>
  <c r="BL44" i="19"/>
  <c r="BL44" i="32"/>
  <c r="BL92" i="19"/>
  <c r="BL92" i="22"/>
  <c r="BL92" i="45"/>
  <c r="BL92" i="32"/>
  <c r="BL74" i="22"/>
  <c r="BL74" i="19"/>
  <c r="BL74" i="45"/>
  <c r="BL74" i="32"/>
  <c r="CI50" i="19"/>
  <c r="CI92" i="19"/>
  <c r="CI57" i="32"/>
  <c r="CI57" i="22"/>
  <c r="CH77" i="22"/>
  <c r="CI77" i="22"/>
  <c r="CH68" i="45"/>
  <c r="CI89" i="32"/>
  <c r="CH89" i="32"/>
  <c r="CH88" i="22"/>
  <c r="CH93" i="32"/>
  <c r="CH87" i="45"/>
  <c r="CH92" i="19"/>
  <c r="CI94" i="45"/>
  <c r="CI88" i="45"/>
  <c r="CH94" i="45"/>
  <c r="CH94" i="22"/>
  <c r="CI53" i="19"/>
  <c r="CH58" i="22"/>
  <c r="CI41" i="19"/>
  <c r="CI69" i="19"/>
  <c r="CI45" i="32"/>
  <c r="CH75" i="22"/>
  <c r="CH65" i="22"/>
  <c r="CI58" i="32"/>
  <c r="CI81" i="22"/>
  <c r="CI82" i="22"/>
  <c r="CH50" i="19"/>
  <c r="CI93" i="22"/>
  <c r="CH46" i="41"/>
  <c r="CH95" i="22"/>
  <c r="CH56" i="45"/>
  <c r="CI46" i="41"/>
  <c r="CI46" i="32"/>
  <c r="CH53" i="45"/>
  <c r="CH69" i="32"/>
  <c r="CH69" i="22"/>
  <c r="CI68" i="45"/>
  <c r="CI44" i="45"/>
  <c r="CH47" i="45"/>
  <c r="CI76" i="32"/>
  <c r="CI59" i="45"/>
  <c r="CH44" i="41"/>
  <c r="CI62" i="32"/>
  <c r="CI62" i="22"/>
  <c r="CH62" i="22"/>
  <c r="CI95" i="45"/>
  <c r="CH71" i="22"/>
  <c r="CH45" i="45"/>
  <c r="CH41" i="45"/>
  <c r="CH80" i="19"/>
  <c r="CH63" i="22"/>
  <c r="CH81" i="22"/>
  <c r="CI64" i="32"/>
  <c r="CI86" i="32"/>
  <c r="CI52" i="22"/>
  <c r="CI83" i="19"/>
  <c r="CH83" i="45"/>
  <c r="BW16" i="32"/>
  <c r="BJ17" i="32"/>
  <c r="BW15" i="22"/>
  <c r="BJ16" i="22"/>
  <c r="Y16" i="33"/>
  <c r="DT38" i="47"/>
  <c r="DX38" i="47" s="1"/>
  <c r="CL56" i="47"/>
  <c r="DE56" i="47" s="1"/>
  <c r="CL62" i="47"/>
  <c r="DE62" i="47" s="1"/>
  <c r="F39" i="31"/>
  <c r="D165" i="31" s="1"/>
  <c r="D168" i="31" s="1"/>
  <c r="D194" i="31" s="1"/>
  <c r="BR56" i="41"/>
  <c r="CN78" i="47"/>
  <c r="DJ78" i="47" s="1"/>
  <c r="CL68" i="47"/>
  <c r="DE68" i="47" s="1"/>
  <c r="M38" i="33"/>
  <c r="S11" i="33"/>
  <c r="BS68" i="47" s="1"/>
  <c r="BL80" i="41"/>
  <c r="BL74" i="41"/>
  <c r="R46" i="38"/>
  <c r="J67" i="38" s="1"/>
  <c r="P67" i="38" s="1"/>
  <c r="R56" i="38"/>
  <c r="J69" i="38" s="1"/>
  <c r="P69" i="38" s="1"/>
  <c r="EL8" i="22"/>
  <c r="CW78" i="41"/>
  <c r="L78" i="41" s="1"/>
  <c r="CX72" i="41"/>
  <c r="EL8" i="32"/>
  <c r="CI53" i="41"/>
  <c r="CH52" i="41"/>
  <c r="G42" i="31"/>
  <c r="D143" i="31" s="1"/>
  <c r="G143" i="31" s="1"/>
  <c r="R45" i="38"/>
  <c r="J66" i="38" s="1"/>
  <c r="P66" i="38" s="1"/>
  <c r="EK8" i="45"/>
  <c r="DA57" i="41"/>
  <c r="DB57" i="41" s="1"/>
  <c r="O57" i="41" s="1"/>
  <c r="CW57" i="41"/>
  <c r="L57" i="41" s="1"/>
  <c r="CW59" i="41"/>
  <c r="CY59" i="41" s="1"/>
  <c r="M59" i="41" s="1"/>
  <c r="CZ59" i="41"/>
  <c r="CH53" i="41"/>
  <c r="CW63" i="41"/>
  <c r="CY63" i="41" s="1"/>
  <c r="M63" i="41" s="1"/>
  <c r="CZ69" i="41"/>
  <c r="CH65" i="41"/>
  <c r="CL20" i="22"/>
  <c r="DF20" i="22" s="1"/>
  <c r="CH64" i="41"/>
  <c r="S31" i="33"/>
  <c r="CL66" i="19"/>
  <c r="DE66" i="19" s="1"/>
  <c r="DT72" i="41"/>
  <c r="DX72" i="41" s="1"/>
  <c r="CL38" i="45"/>
  <c r="DE38" i="45" s="1"/>
  <c r="CX63" i="41"/>
  <c r="CX70" i="41"/>
  <c r="BL41" i="41"/>
  <c r="U105" i="40"/>
  <c r="E105" i="40" s="1"/>
  <c r="CL38" i="41"/>
  <c r="DE38" i="41" s="1"/>
  <c r="BL92" i="41"/>
  <c r="CL58" i="45"/>
  <c r="DE58" i="45" s="1"/>
  <c r="Y17" i="33"/>
  <c r="CH41" i="41"/>
  <c r="CN78" i="41"/>
  <c r="DJ78" i="41" s="1"/>
  <c r="Y59" i="33"/>
  <c r="BL44" i="41"/>
  <c r="BR74" i="41"/>
  <c r="CL77" i="19"/>
  <c r="DE77" i="19" s="1"/>
  <c r="CL54" i="19"/>
  <c r="DE54" i="19" s="1"/>
  <c r="CL50" i="19"/>
  <c r="DE50" i="19" s="1"/>
  <c r="CL51" i="19"/>
  <c r="DE51" i="19" s="1"/>
  <c r="CL38" i="19"/>
  <c r="DE38" i="19" s="1"/>
  <c r="CL78" i="19"/>
  <c r="DE78" i="19" s="1"/>
  <c r="CL42" i="19"/>
  <c r="DE42" i="19" s="1"/>
  <c r="CL40" i="19"/>
  <c r="CL41" i="19"/>
  <c r="CL39" i="19"/>
  <c r="CL53" i="19"/>
  <c r="DE53" i="19" s="1"/>
  <c r="CI41" i="41"/>
  <c r="CZ71" i="41"/>
  <c r="DA63" i="41"/>
  <c r="DB63" i="41" s="1"/>
  <c r="O63" i="41" s="1"/>
  <c r="CW70" i="41"/>
  <c r="CY70" i="41" s="1"/>
  <c r="M70" i="41" s="1"/>
  <c r="CX76" i="41"/>
  <c r="CZ66" i="41"/>
  <c r="CW69" i="41"/>
  <c r="L69" i="41" s="1"/>
  <c r="CW72" i="41"/>
  <c r="L72" i="41" s="1"/>
  <c r="CZ70" i="41"/>
  <c r="CW76" i="41"/>
  <c r="L76" i="41" s="1"/>
  <c r="DA72" i="41"/>
  <c r="N72" i="41" s="1"/>
  <c r="EK8" i="41"/>
  <c r="CX57" i="41"/>
  <c r="DA62" i="41"/>
  <c r="N62" i="41" s="1"/>
  <c r="CX62" i="41"/>
  <c r="CZ64" i="41"/>
  <c r="CZ68" i="41"/>
  <c r="DA71" i="41"/>
  <c r="DB71" i="41" s="1"/>
  <c r="O71" i="41" s="1"/>
  <c r="CW64" i="41"/>
  <c r="L64" i="41" s="1"/>
  <c r="CX68" i="41"/>
  <c r="CW71" i="41"/>
  <c r="L71" i="41" s="1"/>
  <c r="DA68" i="41"/>
  <c r="DB68" i="41" s="1"/>
  <c r="O68" i="41" s="1"/>
  <c r="CW62" i="41"/>
  <c r="CY62" i="41" s="1"/>
  <c r="M62" i="41" s="1"/>
  <c r="DA64" i="41"/>
  <c r="DB64" i="41" s="1"/>
  <c r="O64" i="41" s="1"/>
  <c r="CW77" i="41"/>
  <c r="CY77" i="41" s="1"/>
  <c r="M77" i="41" s="1"/>
  <c r="DA59" i="41"/>
  <c r="DB59" i="41" s="1"/>
  <c r="O59" i="41" s="1"/>
  <c r="DA58" i="41"/>
  <c r="DB58" i="41" s="1"/>
  <c r="O58" i="41" s="1"/>
  <c r="CX58" i="41"/>
  <c r="CZ58" i="41"/>
  <c r="CL52" i="41"/>
  <c r="DE52" i="41" s="1"/>
  <c r="DT77" i="41"/>
  <c r="DX77" i="41" s="1"/>
  <c r="DT62" i="41"/>
  <c r="DX62" i="41" s="1"/>
  <c r="CN59" i="41"/>
  <c r="DJ59" i="41" s="1"/>
  <c r="CZ65" i="41"/>
  <c r="CW65" i="41"/>
  <c r="L65" i="41" s="1"/>
  <c r="CX66" i="41"/>
  <c r="CL74" i="41"/>
  <c r="DE74" i="41" s="1"/>
  <c r="CL33" i="41"/>
  <c r="DE33" i="41" s="1"/>
  <c r="DT78" i="41"/>
  <c r="DX78" i="41" s="1"/>
  <c r="CW66" i="41"/>
  <c r="L66" i="41" s="1"/>
  <c r="CI59" i="41"/>
  <c r="CL75" i="41"/>
  <c r="DE75" i="41" s="1"/>
  <c r="CL47" i="41"/>
  <c r="DE47" i="41" s="1"/>
  <c r="CL50" i="41"/>
  <c r="DE50" i="41" s="1"/>
  <c r="CL54" i="41"/>
  <c r="DE54" i="41" s="1"/>
  <c r="CZ77" i="41"/>
  <c r="DA78" i="41"/>
  <c r="N78" i="41" s="1"/>
  <c r="CX77" i="41"/>
  <c r="DA69" i="41"/>
  <c r="DB69" i="41" s="1"/>
  <c r="O69" i="41" s="1"/>
  <c r="N70" i="41"/>
  <c r="CZ76" i="41"/>
  <c r="N77" i="41"/>
  <c r="DA65" i="41"/>
  <c r="DB65" i="41" s="1"/>
  <c r="O65" i="41" s="1"/>
  <c r="CW60" i="41"/>
  <c r="L60" i="41" s="1"/>
  <c r="DB60" i="41"/>
  <c r="O60" i="41" s="1"/>
  <c r="CX60" i="41"/>
  <c r="CH68" i="41"/>
  <c r="CX78" i="41"/>
  <c r="CZ60" i="41"/>
  <c r="CH94" i="41"/>
  <c r="U181" i="40"/>
  <c r="E181" i="40" s="1"/>
  <c r="CL63" i="19"/>
  <c r="DE63" i="19" s="1"/>
  <c r="U121" i="40"/>
  <c r="E121" i="40" s="1"/>
  <c r="U118" i="40"/>
  <c r="E118" i="40" s="1"/>
  <c r="E44" i="40"/>
  <c r="U178" i="40"/>
  <c r="E178" i="40" s="1"/>
  <c r="E38" i="40"/>
  <c r="BL56" i="41"/>
  <c r="CN44" i="47"/>
  <c r="DJ44" i="47" s="1"/>
  <c r="CL58" i="47"/>
  <c r="DE58" i="47" s="1"/>
  <c r="CL57" i="47"/>
  <c r="DE57" i="47" s="1"/>
  <c r="U134" i="40"/>
  <c r="E134" i="40" s="1"/>
  <c r="CL36" i="19"/>
  <c r="DE36" i="19" s="1"/>
  <c r="DT46" i="47"/>
  <c r="DX46" i="47" s="1"/>
  <c r="CL56" i="45"/>
  <c r="DE56" i="45" s="1"/>
  <c r="DT50" i="47"/>
  <c r="DX50" i="47" s="1"/>
  <c r="CL18" i="47"/>
  <c r="CL77" i="47"/>
  <c r="DE77" i="47" s="1"/>
  <c r="CL53" i="47"/>
  <c r="DE53" i="47" s="1"/>
  <c r="CL74" i="47"/>
  <c r="DE74" i="47" s="1"/>
  <c r="E57" i="40"/>
  <c r="CL75" i="19"/>
  <c r="DE75" i="19" s="1"/>
  <c r="CL56" i="19"/>
  <c r="DE56" i="19" s="1"/>
  <c r="CL58" i="19"/>
  <c r="DE58" i="19" s="1"/>
  <c r="CL59" i="19"/>
  <c r="DE59" i="19" s="1"/>
  <c r="CL72" i="19"/>
  <c r="DE72" i="19" s="1"/>
  <c r="DT48" i="47"/>
  <c r="DX48" i="47" s="1"/>
  <c r="DT40" i="47"/>
  <c r="DX40" i="47" s="1"/>
  <c r="DT36" i="47"/>
  <c r="DX36" i="47" s="1"/>
  <c r="CN48" i="47"/>
  <c r="DJ48" i="47" s="1"/>
  <c r="CN50" i="47"/>
  <c r="DJ50" i="47" s="1"/>
  <c r="E34" i="40"/>
  <c r="CL39" i="45"/>
  <c r="DE39" i="45" s="1"/>
  <c r="CL54" i="47"/>
  <c r="DE54" i="47" s="1"/>
  <c r="CL65" i="47"/>
  <c r="DE65" i="47" s="1"/>
  <c r="CL34" i="47"/>
  <c r="DE34" i="47" s="1"/>
  <c r="CL71" i="19"/>
  <c r="DE71" i="19" s="1"/>
  <c r="CN38" i="47"/>
  <c r="DJ38" i="47" s="1"/>
  <c r="DT41" i="47"/>
  <c r="DX41" i="47" s="1"/>
  <c r="U174" i="40"/>
  <c r="E174" i="40" s="1"/>
  <c r="CL29" i="45"/>
  <c r="CN39" i="47"/>
  <c r="DJ39" i="47" s="1"/>
  <c r="CL59" i="47"/>
  <c r="DE59" i="47" s="1"/>
  <c r="CL12" i="47"/>
  <c r="CL52" i="47"/>
  <c r="DE52" i="47" s="1"/>
  <c r="CL64" i="47"/>
  <c r="DE64" i="47" s="1"/>
  <c r="CL71" i="47"/>
  <c r="DE71" i="47" s="1"/>
  <c r="CL60" i="47"/>
  <c r="DE60" i="47" s="1"/>
  <c r="CL29" i="47"/>
  <c r="CL76" i="47"/>
  <c r="DE76" i="47" s="1"/>
  <c r="CL75" i="47"/>
  <c r="DE75" i="47" s="1"/>
  <c r="CN41" i="32"/>
  <c r="BL50" i="41"/>
  <c r="BL68" i="41"/>
  <c r="CL57" i="19"/>
  <c r="DE57" i="19" s="1"/>
  <c r="CL68" i="19"/>
  <c r="DE68" i="19" s="1"/>
  <c r="CL60" i="19"/>
  <c r="DE60" i="19" s="1"/>
  <c r="CL65" i="19"/>
  <c r="DE65" i="19" s="1"/>
  <c r="CL64" i="19"/>
  <c r="DE64" i="19" s="1"/>
  <c r="CN47" i="47"/>
  <c r="DJ47" i="47" s="1"/>
  <c r="DT78" i="47"/>
  <c r="DX78" i="47" s="1"/>
  <c r="CN42" i="47"/>
  <c r="DT42" i="47"/>
  <c r="DX42" i="47" s="1"/>
  <c r="CN45" i="47"/>
  <c r="DJ45" i="47" s="1"/>
  <c r="BS92" i="41"/>
  <c r="M17" i="33"/>
  <c r="DT51" i="47"/>
  <c r="DX51" i="47" s="1"/>
  <c r="CL46" i="45"/>
  <c r="DE46" i="45" s="1"/>
  <c r="U115" i="40"/>
  <c r="E115" i="40" s="1"/>
  <c r="CL71" i="45"/>
  <c r="DE71" i="45" s="1"/>
  <c r="DT45" i="47"/>
  <c r="DX45" i="47" s="1"/>
  <c r="CL70" i="47"/>
  <c r="DE70" i="47" s="1"/>
  <c r="CL63" i="47"/>
  <c r="DE63" i="47" s="1"/>
  <c r="CL35" i="47"/>
  <c r="DE35" i="47" s="1"/>
  <c r="CL66" i="47"/>
  <c r="DE66" i="47" s="1"/>
  <c r="CL72" i="47"/>
  <c r="DE72" i="47" s="1"/>
  <c r="CL30" i="47"/>
  <c r="CL76" i="19"/>
  <c r="DE76" i="19" s="1"/>
  <c r="CL70" i="19"/>
  <c r="DE70" i="19" s="1"/>
  <c r="CL69" i="19"/>
  <c r="DE69" i="19" s="1"/>
  <c r="CL62" i="19"/>
  <c r="DE62" i="19" s="1"/>
  <c r="CL74" i="19"/>
  <c r="DE74" i="19" s="1"/>
  <c r="CN46" i="47"/>
  <c r="DJ46" i="47" s="1"/>
  <c r="DT47" i="47"/>
  <c r="CN51" i="47"/>
  <c r="DJ51" i="47" s="1"/>
  <c r="DT44" i="47"/>
  <c r="CN41" i="47"/>
  <c r="DJ41" i="47" s="1"/>
  <c r="CN40" i="47"/>
  <c r="DT39" i="47"/>
  <c r="DX39" i="47" s="1"/>
  <c r="CL72" i="45"/>
  <c r="DE72" i="45" s="1"/>
  <c r="CL65" i="45"/>
  <c r="DE65" i="45" s="1"/>
  <c r="CL53" i="45"/>
  <c r="DE53" i="45" s="1"/>
  <c r="CN78" i="45"/>
  <c r="U168" i="40"/>
  <c r="E168" i="40" s="1"/>
  <c r="CL63" i="45"/>
  <c r="DE63" i="45" s="1"/>
  <c r="CL32" i="45"/>
  <c r="DE32" i="45" s="1"/>
  <c r="CL69" i="45"/>
  <c r="DE69" i="45" s="1"/>
  <c r="CL44" i="45"/>
  <c r="DE44" i="45" s="1"/>
  <c r="DT63" i="41"/>
  <c r="DX63" i="41" s="1"/>
  <c r="BR62" i="41"/>
  <c r="CL44" i="41"/>
  <c r="DE44" i="41" s="1"/>
  <c r="CL30" i="41"/>
  <c r="CL24" i="41"/>
  <c r="CN64" i="41"/>
  <c r="DJ64" i="41" s="1"/>
  <c r="M31" i="33"/>
  <c r="CN65" i="41"/>
  <c r="CN62" i="41"/>
  <c r="DJ62" i="41" s="1"/>
  <c r="CL66" i="45"/>
  <c r="DE66" i="45" s="1"/>
  <c r="CL47" i="45"/>
  <c r="DE47" i="45" s="1"/>
  <c r="CL51" i="45"/>
  <c r="DE51" i="45" s="1"/>
  <c r="CL51" i="41"/>
  <c r="DE51" i="41" s="1"/>
  <c r="DT59" i="41"/>
  <c r="DX59" i="41" s="1"/>
  <c r="DT70" i="41"/>
  <c r="CL41" i="45"/>
  <c r="DE41" i="45" s="1"/>
  <c r="CL60" i="45"/>
  <c r="DE60" i="45" s="1"/>
  <c r="CL76" i="45"/>
  <c r="DE76" i="45" s="1"/>
  <c r="CL68" i="45"/>
  <c r="DE68" i="45" s="1"/>
  <c r="CN68" i="41"/>
  <c r="DJ68" i="41" s="1"/>
  <c r="DT58" i="41"/>
  <c r="DX58" i="41" s="1"/>
  <c r="CL41" i="41"/>
  <c r="DE41" i="41" s="1"/>
  <c r="DT57" i="41"/>
  <c r="DX57" i="41" s="1"/>
  <c r="CN63" i="41"/>
  <c r="U102" i="40"/>
  <c r="E102" i="40" s="1"/>
  <c r="E25" i="40"/>
  <c r="CN77" i="41"/>
  <c r="DJ77" i="41" s="1"/>
  <c r="DT60" i="41"/>
  <c r="DX60" i="41" s="1"/>
  <c r="CN70" i="41"/>
  <c r="DJ70" i="41" s="1"/>
  <c r="CL30" i="45"/>
  <c r="CL36" i="45"/>
  <c r="DE36" i="45" s="1"/>
  <c r="CL35" i="45"/>
  <c r="DE35" i="45" s="1"/>
  <c r="CL77" i="45"/>
  <c r="DE77" i="45" s="1"/>
  <c r="CL40" i="45"/>
  <c r="DE40" i="45" s="1"/>
  <c r="CL50" i="45"/>
  <c r="DE50" i="45" s="1"/>
  <c r="CL33" i="45"/>
  <c r="DE33" i="45" s="1"/>
  <c r="CL45" i="45"/>
  <c r="DE45" i="45" s="1"/>
  <c r="CL54" i="45"/>
  <c r="DE54" i="45" s="1"/>
  <c r="CL74" i="45"/>
  <c r="DE74" i="45" s="1"/>
  <c r="CL64" i="45"/>
  <c r="DE64" i="45" s="1"/>
  <c r="DT66" i="41"/>
  <c r="DX66" i="41" s="1"/>
  <c r="CN71" i="41"/>
  <c r="DJ71" i="41" s="1"/>
  <c r="CL18" i="41"/>
  <c r="CL32" i="41"/>
  <c r="DE32" i="41" s="1"/>
  <c r="CL34" i="41"/>
  <c r="DE34" i="41" s="1"/>
  <c r="CL17" i="41"/>
  <c r="CL29" i="41"/>
  <c r="CL23" i="41"/>
  <c r="CL39" i="41"/>
  <c r="DE39" i="41" s="1"/>
  <c r="CL46" i="41"/>
  <c r="DE46" i="41" s="1"/>
  <c r="CL53" i="41"/>
  <c r="DE53" i="41" s="1"/>
  <c r="DT64" i="41"/>
  <c r="DX64" i="41" s="1"/>
  <c r="CN69" i="41"/>
  <c r="DJ69" i="41" s="1"/>
  <c r="CN57" i="41"/>
  <c r="DJ57" i="41" s="1"/>
  <c r="CN60" i="41"/>
  <c r="DJ60" i="41" s="1"/>
  <c r="DT65" i="41"/>
  <c r="DX65" i="41" s="1"/>
  <c r="DT76" i="41"/>
  <c r="DX76" i="41" s="1"/>
  <c r="CN76" i="41"/>
  <c r="DJ76" i="41" s="1"/>
  <c r="DT78" i="45"/>
  <c r="S17" i="33"/>
  <c r="BS74" i="47" s="1"/>
  <c r="CH50" i="41"/>
  <c r="U194" i="40"/>
  <c r="E194" i="40" s="1"/>
  <c r="E54" i="40"/>
  <c r="CN66" i="41"/>
  <c r="DJ66" i="41" s="1"/>
  <c r="DT68" i="41"/>
  <c r="DX68" i="41" s="1"/>
  <c r="DT71" i="41"/>
  <c r="DX71" i="41" s="1"/>
  <c r="CL52" i="45"/>
  <c r="DE52" i="45" s="1"/>
  <c r="CL24" i="45"/>
  <c r="CL70" i="45"/>
  <c r="DE70" i="45" s="1"/>
  <c r="CL59" i="45"/>
  <c r="DE59" i="45" s="1"/>
  <c r="CL42" i="45"/>
  <c r="DE42" i="45" s="1"/>
  <c r="CL34" i="45"/>
  <c r="DE34" i="45" s="1"/>
  <c r="CL62" i="45"/>
  <c r="DE62" i="45" s="1"/>
  <c r="CL57" i="45"/>
  <c r="DE57" i="45" s="1"/>
  <c r="CL75" i="45"/>
  <c r="DE75" i="45" s="1"/>
  <c r="CL48" i="45"/>
  <c r="DE48" i="45" s="1"/>
  <c r="CN58" i="41"/>
  <c r="DJ58" i="41" s="1"/>
  <c r="CL48" i="41"/>
  <c r="DE48" i="41" s="1"/>
  <c r="CL45" i="41"/>
  <c r="DE45" i="41" s="1"/>
  <c r="CL42" i="41"/>
  <c r="DE42" i="41" s="1"/>
  <c r="CL40" i="41"/>
  <c r="DE40" i="41" s="1"/>
  <c r="CL35" i="41"/>
  <c r="DE35" i="41" s="1"/>
  <c r="CL36" i="41"/>
  <c r="DE36" i="41" s="1"/>
  <c r="DT69" i="41"/>
  <c r="DX69" i="41" s="1"/>
  <c r="CN72" i="41"/>
  <c r="DJ72" i="41" s="1"/>
  <c r="BR86" i="41"/>
  <c r="CI50" i="41"/>
  <c r="U187" i="40"/>
  <c r="E187" i="40" s="1"/>
  <c r="CI71" i="41"/>
  <c r="Y11" i="33"/>
  <c r="BS86" i="41"/>
  <c r="Y4" i="33"/>
  <c r="BL62" i="41"/>
  <c r="S10" i="33"/>
  <c r="BR68" i="47" s="1"/>
  <c r="AE4" i="33"/>
  <c r="BR80" i="47" s="1"/>
  <c r="Y5" i="33"/>
  <c r="CH92" i="41"/>
  <c r="Y25" i="33"/>
  <c r="CI75" i="41"/>
  <c r="S32" i="33"/>
  <c r="S38" i="33"/>
  <c r="M32" i="33"/>
  <c r="CH69" i="41"/>
  <c r="CI94" i="41"/>
  <c r="E47" i="40"/>
  <c r="Y37" i="33"/>
  <c r="Y38" i="33"/>
  <c r="U171" i="40"/>
  <c r="E171" i="40" s="1"/>
  <c r="U108" i="40"/>
  <c r="E108" i="40" s="1"/>
  <c r="E31" i="40"/>
  <c r="BR92" i="41"/>
  <c r="Y47" i="33"/>
  <c r="M59" i="33"/>
  <c r="M52" i="33"/>
  <c r="Y46" i="33"/>
  <c r="M53" i="33"/>
  <c r="S59" i="33"/>
  <c r="AE5" i="33"/>
  <c r="BS80" i="47" s="1"/>
  <c r="CI83" i="41"/>
  <c r="CI82" i="41"/>
  <c r="DA36" i="47"/>
  <c r="N36" i="47" s="1"/>
  <c r="CW44" i="47"/>
  <c r="CY44" i="47" s="1"/>
  <c r="M44" i="47" s="1"/>
  <c r="DB76" i="41"/>
  <c r="O76" i="41" s="1"/>
  <c r="CY58" i="41"/>
  <c r="M58" i="41" s="1"/>
  <c r="CI74" i="41"/>
  <c r="CH95" i="41"/>
  <c r="CI81" i="41"/>
  <c r="CI56" i="41"/>
  <c r="CI58" i="41"/>
  <c r="CW40" i="47"/>
  <c r="L40" i="47" s="1"/>
  <c r="CZ51" i="47"/>
  <c r="R25" i="31"/>
  <c r="CW51" i="47"/>
  <c r="CY51" i="47" s="1"/>
  <c r="M51" i="47" s="1"/>
  <c r="CX40" i="47"/>
  <c r="CX44" i="47"/>
  <c r="CH93" i="41"/>
  <c r="CI62" i="41"/>
  <c r="CI63" i="41"/>
  <c r="CI93" i="41"/>
  <c r="CH62" i="41"/>
  <c r="CX51" i="47"/>
  <c r="CZ44" i="47"/>
  <c r="CW36" i="47"/>
  <c r="CY36" i="47" s="1"/>
  <c r="M36" i="47" s="1"/>
  <c r="G29" i="31"/>
  <c r="G25" i="38" s="1"/>
  <c r="R19" i="38" s="1"/>
  <c r="J80" i="38" s="1"/>
  <c r="P80" i="38" s="1"/>
  <c r="CH63" i="41"/>
  <c r="CX46" i="47"/>
  <c r="CH83" i="41"/>
  <c r="CI70" i="41"/>
  <c r="CH70" i="41"/>
  <c r="CH80" i="41"/>
  <c r="CW46" i="47"/>
  <c r="L46" i="47" s="1"/>
  <c r="DA46" i="47"/>
  <c r="DB46" i="47" s="1"/>
  <c r="O46" i="47" s="1"/>
  <c r="CZ36" i="47"/>
  <c r="CI77" i="41"/>
  <c r="P27" i="31"/>
  <c r="CI68" i="41"/>
  <c r="CI95" i="41"/>
  <c r="CZ48" i="47"/>
  <c r="CH71" i="41"/>
  <c r="CI64" i="41"/>
  <c r="CX78" i="45"/>
  <c r="CI92" i="41"/>
  <c r="CI69" i="41"/>
  <c r="CH58" i="41"/>
  <c r="CH51" i="41"/>
  <c r="CI76" i="41"/>
  <c r="CI57" i="41"/>
  <c r="CH74" i="41"/>
  <c r="CH75" i="41"/>
  <c r="CI52" i="41"/>
  <c r="CI51" i="41"/>
  <c r="CW48" i="47"/>
  <c r="L48" i="47" s="1"/>
  <c r="DA40" i="47"/>
  <c r="DB40" i="47" s="1"/>
  <c r="O40" i="47" s="1"/>
  <c r="CW41" i="47"/>
  <c r="L41" i="47" s="1"/>
  <c r="BW14" i="41"/>
  <c r="BJ15" i="41"/>
  <c r="Y31" i="33"/>
  <c r="Y32" i="33"/>
  <c r="L71" i="32"/>
  <c r="N45" i="32"/>
  <c r="CY74" i="32"/>
  <c r="M74" i="32" s="1"/>
  <c r="N62" i="32"/>
  <c r="CY53" i="32"/>
  <c r="M53" i="32" s="1"/>
  <c r="CY48" i="32"/>
  <c r="M48" i="32" s="1"/>
  <c r="N48" i="47"/>
  <c r="DB44" i="47"/>
  <c r="O44" i="47" s="1"/>
  <c r="DB64" i="32"/>
  <c r="O64" i="32" s="1"/>
  <c r="N42" i="47"/>
  <c r="CX38" i="47"/>
  <c r="CZ38" i="47"/>
  <c r="CZ78" i="45"/>
  <c r="CW78" i="45"/>
  <c r="CZ47" i="47"/>
  <c r="DB78" i="45"/>
  <c r="O78" i="45" s="1"/>
  <c r="CI80" i="41"/>
  <c r="CX41" i="47"/>
  <c r="CZ41" i="47"/>
  <c r="CZ39" i="47"/>
  <c r="DA39" i="47"/>
  <c r="CY78" i="47"/>
  <c r="M78" i="47" s="1"/>
  <c r="CZ42" i="47"/>
  <c r="DA50" i="47"/>
  <c r="CW39" i="47"/>
  <c r="N66" i="41"/>
  <c r="CX42" i="47"/>
  <c r="CX39" i="47"/>
  <c r="CX48" i="47"/>
  <c r="CH76" i="41"/>
  <c r="CH77" i="41"/>
  <c r="CZ50" i="47"/>
  <c r="CW50" i="47"/>
  <c r="DB41" i="47"/>
  <c r="O41" i="47" s="1"/>
  <c r="L68" i="41"/>
  <c r="CX50" i="47"/>
  <c r="DA47" i="47"/>
  <c r="CX45" i="47"/>
  <c r="CW45" i="47"/>
  <c r="DA45" i="47"/>
  <c r="CZ45" i="47"/>
  <c r="DA78" i="47"/>
  <c r="CZ78" i="47"/>
  <c r="CX78" i="47"/>
  <c r="CW42" i="47"/>
  <c r="CW47" i="47"/>
  <c r="DB54" i="32"/>
  <c r="O54" i="32" s="1"/>
  <c r="DB46" i="32"/>
  <c r="O46" i="32" s="1"/>
  <c r="CY64" i="32"/>
  <c r="M64" i="32" s="1"/>
  <c r="CL58" i="22"/>
  <c r="DE58" i="22" s="1"/>
  <c r="CU69" i="47"/>
  <c r="CZ69" i="47" s="1"/>
  <c r="EU69" i="47"/>
  <c r="Z69" i="47"/>
  <c r="CO69" i="47"/>
  <c r="CN69" i="47" s="1"/>
  <c r="CS69" i="47"/>
  <c r="CX69" i="47" s="1"/>
  <c r="DS69" i="47"/>
  <c r="DT69" i="47" s="1"/>
  <c r="DB51" i="47"/>
  <c r="O51" i="47" s="1"/>
  <c r="CY78" i="32"/>
  <c r="M78" i="32" s="1"/>
  <c r="N51" i="32"/>
  <c r="N41" i="32"/>
  <c r="N53" i="32"/>
  <c r="DB60" i="32"/>
  <c r="O60" i="32" s="1"/>
  <c r="CY60" i="32"/>
  <c r="M60" i="32" s="1"/>
  <c r="N78" i="32"/>
  <c r="L59" i="32"/>
  <c r="L41" i="32"/>
  <c r="N47" i="32"/>
  <c r="CY62" i="32"/>
  <c r="M62" i="32" s="1"/>
  <c r="DB74" i="32"/>
  <c r="O74" i="32" s="1"/>
  <c r="DB68" i="32"/>
  <c r="O68" i="32" s="1"/>
  <c r="CY46" i="32"/>
  <c r="M46" i="32" s="1"/>
  <c r="N48" i="32"/>
  <c r="L47" i="32"/>
  <c r="CY47" i="32"/>
  <c r="M47" i="32" s="1"/>
  <c r="L70" i="32"/>
  <c r="N50" i="32"/>
  <c r="L45" i="32"/>
  <c r="DB71" i="32"/>
  <c r="O71" i="32" s="1"/>
  <c r="N71" i="32"/>
  <c r="CY63" i="32"/>
  <c r="M63" i="32" s="1"/>
  <c r="L63" i="32"/>
  <c r="DB63" i="32"/>
  <c r="O63" i="32" s="1"/>
  <c r="N63" i="32"/>
  <c r="N57" i="32"/>
  <c r="CY76" i="32"/>
  <c r="M76" i="32" s="1"/>
  <c r="L76" i="32"/>
  <c r="L68" i="32"/>
  <c r="CY68" i="32"/>
  <c r="M68" i="32" s="1"/>
  <c r="L50" i="32"/>
  <c r="CY50" i="32"/>
  <c r="M50" i="32" s="1"/>
  <c r="CY65" i="32"/>
  <c r="M65" i="32" s="1"/>
  <c r="L65" i="32"/>
  <c r="N76" i="32"/>
  <c r="DB76" i="32"/>
  <c r="O76" i="32" s="1"/>
  <c r="CY54" i="32"/>
  <c r="M54" i="32" s="1"/>
  <c r="L54" i="32"/>
  <c r="N65" i="32"/>
  <c r="DB65" i="32"/>
  <c r="O65" i="32" s="1"/>
  <c r="DB69" i="32"/>
  <c r="O69" i="32" s="1"/>
  <c r="N69" i="32"/>
  <c r="N72" i="32"/>
  <c r="DB72" i="32"/>
  <c r="O72" i="32" s="1"/>
  <c r="L69" i="32"/>
  <c r="CY69" i="32"/>
  <c r="M69" i="32" s="1"/>
  <c r="L72" i="32"/>
  <c r="CY72" i="32"/>
  <c r="M72" i="32" s="1"/>
  <c r="L52" i="32"/>
  <c r="CY52" i="32"/>
  <c r="M52" i="32" s="1"/>
  <c r="N52" i="32"/>
  <c r="DB52" i="32"/>
  <c r="O52" i="32" s="1"/>
  <c r="CY51" i="32"/>
  <c r="M51" i="32" s="1"/>
  <c r="DB44" i="32"/>
  <c r="O44" i="32" s="1"/>
  <c r="N44" i="32"/>
  <c r="CY77" i="32"/>
  <c r="M77" i="32" s="1"/>
  <c r="L77" i="32"/>
  <c r="DB77" i="32"/>
  <c r="O77" i="32" s="1"/>
  <c r="N77" i="32"/>
  <c r="DB58" i="32"/>
  <c r="O58" i="32" s="1"/>
  <c r="N58" i="32"/>
  <c r="N75" i="32"/>
  <c r="DB75" i="32"/>
  <c r="O75" i="32" s="1"/>
  <c r="N66" i="32"/>
  <c r="DB66" i="32"/>
  <c r="O66" i="32" s="1"/>
  <c r="CY44" i="32"/>
  <c r="M44" i="32" s="1"/>
  <c r="L44" i="32"/>
  <c r="L58" i="32"/>
  <c r="CY58" i="32"/>
  <c r="M58" i="32" s="1"/>
  <c r="CY57" i="32"/>
  <c r="M57" i="32" s="1"/>
  <c r="L57" i="32"/>
  <c r="L75" i="32"/>
  <c r="CY75" i="32"/>
  <c r="M75" i="32" s="1"/>
  <c r="L66" i="32"/>
  <c r="CY66" i="32"/>
  <c r="M66" i="32" s="1"/>
  <c r="DF39" i="19" l="1"/>
  <c r="DE39" i="19" s="1"/>
  <c r="DF41" i="19"/>
  <c r="DE41" i="19" s="1"/>
  <c r="DF40" i="19"/>
  <c r="DE40" i="19" s="1"/>
  <c r="X26" i="22"/>
  <c r="W26" i="22" s="1"/>
  <c r="V26" i="22" s="1"/>
  <c r="C26" i="22" s="1"/>
  <c r="X29" i="32"/>
  <c r="DF29" i="41"/>
  <c r="DE29" i="41" s="1"/>
  <c r="DF17" i="41"/>
  <c r="DE17" i="41" s="1"/>
  <c r="DF24" i="41"/>
  <c r="DE24" i="41" s="1"/>
  <c r="DF30" i="41"/>
  <c r="DE30" i="41" s="1"/>
  <c r="X15" i="41"/>
  <c r="W15" i="41" s="1"/>
  <c r="V15" i="41" s="1"/>
  <c r="DF18" i="41"/>
  <c r="DE18" i="41" s="1"/>
  <c r="X27" i="41"/>
  <c r="W27" i="41" s="1"/>
  <c r="V27" i="41" s="1"/>
  <c r="C27" i="41" s="1"/>
  <c r="DF23" i="41"/>
  <c r="DE23" i="41" s="1"/>
  <c r="DF29" i="47"/>
  <c r="DE29" i="47" s="1"/>
  <c r="DF18" i="47"/>
  <c r="DE18" i="47" s="1"/>
  <c r="X20" i="47"/>
  <c r="W20" i="47" s="1"/>
  <c r="V20" i="47" s="1"/>
  <c r="C20" i="47" s="1"/>
  <c r="DF30" i="47"/>
  <c r="DE30" i="47" s="1"/>
  <c r="J30" i="47"/>
  <c r="DF12" i="47"/>
  <c r="DE12" i="47" s="1"/>
  <c r="DF30" i="45"/>
  <c r="DE30" i="45" s="1"/>
  <c r="X23" i="45"/>
  <c r="DF29" i="45"/>
  <c r="DE29" i="45" s="1"/>
  <c r="DF24" i="45"/>
  <c r="DE24" i="45" s="1"/>
  <c r="J24" i="45"/>
  <c r="X27" i="45"/>
  <c r="X28" i="45"/>
  <c r="X20" i="45"/>
  <c r="X9" i="45"/>
  <c r="X10" i="32"/>
  <c r="J20" i="22"/>
  <c r="DE20" i="22"/>
  <c r="X16" i="22"/>
  <c r="CV38" i="47"/>
  <c r="DA38" i="47" s="1"/>
  <c r="CT38" i="47"/>
  <c r="CW38" i="47" s="1"/>
  <c r="X20" i="41"/>
  <c r="W20" i="41" s="1"/>
  <c r="V20" i="41" s="1"/>
  <c r="C20" i="41" s="1"/>
  <c r="X16" i="41"/>
  <c r="X28" i="41"/>
  <c r="X15" i="32"/>
  <c r="X14" i="32"/>
  <c r="W14" i="32" s="1"/>
  <c r="V14" i="32" s="1"/>
  <c r="C14" i="32" s="1"/>
  <c r="X8" i="32"/>
  <c r="W8" i="32" s="1"/>
  <c r="V8" i="32" s="1"/>
  <c r="C8" i="32" s="1"/>
  <c r="X26" i="45"/>
  <c r="W26" i="45" s="1"/>
  <c r="V26" i="45" s="1"/>
  <c r="C26" i="45" s="1"/>
  <c r="DG36" i="47"/>
  <c r="DL36" i="47" s="1"/>
  <c r="DI36" i="47"/>
  <c r="DN36" i="47" s="1"/>
  <c r="X20" i="32"/>
  <c r="W20" i="32" s="1"/>
  <c r="V20" i="32" s="1"/>
  <c r="C20" i="32" s="1"/>
  <c r="X21" i="32"/>
  <c r="X21" i="41"/>
  <c r="DH36" i="47"/>
  <c r="DO36" i="47" s="1"/>
  <c r="DP36" i="47" s="1"/>
  <c r="I48" i="19"/>
  <c r="DF48" i="19" s="1"/>
  <c r="I52" i="19"/>
  <c r="DF52" i="19" s="1"/>
  <c r="I46" i="19"/>
  <c r="DF46" i="19" s="1"/>
  <c r="I44" i="19"/>
  <c r="I24" i="19"/>
  <c r="I47" i="19"/>
  <c r="I45" i="19"/>
  <c r="I35" i="19"/>
  <c r="X9" i="19"/>
  <c r="I33" i="47"/>
  <c r="J29" i="45"/>
  <c r="J30" i="45"/>
  <c r="X12" i="19"/>
  <c r="X11" i="19"/>
  <c r="X8" i="19"/>
  <c r="W8" i="19" s="1"/>
  <c r="J34" i="47"/>
  <c r="CT58" i="22"/>
  <c r="CV58" i="22"/>
  <c r="AL17" i="45"/>
  <c r="AL17" i="47"/>
  <c r="AL17" i="41"/>
  <c r="CV59" i="45"/>
  <c r="CT59" i="45"/>
  <c r="CV46" i="41"/>
  <c r="DA46" i="41" s="1"/>
  <c r="N46" i="41" s="1"/>
  <c r="CT46" i="41"/>
  <c r="CW46" i="41" s="1"/>
  <c r="CY46" i="41" s="1"/>
  <c r="M46" i="41" s="1"/>
  <c r="CV33" i="45"/>
  <c r="CT33" i="45"/>
  <c r="CV35" i="45"/>
  <c r="CT35" i="45"/>
  <c r="CV41" i="41"/>
  <c r="DA41" i="41" s="1"/>
  <c r="N41" i="41" s="1"/>
  <c r="CT41" i="41"/>
  <c r="CW41" i="41" s="1"/>
  <c r="L41" i="41" s="1"/>
  <c r="CV68" i="45"/>
  <c r="CT68" i="45"/>
  <c r="CV41" i="45"/>
  <c r="CT41" i="45"/>
  <c r="CV66" i="45"/>
  <c r="CT66" i="45"/>
  <c r="CV44" i="45"/>
  <c r="CT44" i="45"/>
  <c r="CV53" i="45"/>
  <c r="CT53" i="45"/>
  <c r="CV72" i="47"/>
  <c r="DA72" i="47" s="1"/>
  <c r="DB72" i="47" s="1"/>
  <c r="O72" i="47" s="1"/>
  <c r="CT72" i="47"/>
  <c r="CW72" i="47" s="1"/>
  <c r="CY72" i="47" s="1"/>
  <c r="M72" i="47" s="1"/>
  <c r="CV70" i="47"/>
  <c r="DA70" i="47" s="1"/>
  <c r="N70" i="47" s="1"/>
  <c r="CT70" i="47"/>
  <c r="CW70" i="47" s="1"/>
  <c r="L70" i="47" s="1"/>
  <c r="CV46" i="45"/>
  <c r="CT46" i="45"/>
  <c r="CV60" i="47"/>
  <c r="DA60" i="47" s="1"/>
  <c r="N60" i="47" s="1"/>
  <c r="CT60" i="47"/>
  <c r="CW60" i="47" s="1"/>
  <c r="L60" i="47" s="1"/>
  <c r="AL20" i="45"/>
  <c r="AL20" i="41"/>
  <c r="AL20" i="47"/>
  <c r="CV74" i="47"/>
  <c r="DA74" i="47" s="1"/>
  <c r="N74" i="47" s="1"/>
  <c r="CT74" i="47"/>
  <c r="CW74" i="47" s="1"/>
  <c r="L74" i="47" s="1"/>
  <c r="CV50" i="41"/>
  <c r="DA50" i="41" s="1"/>
  <c r="DB50" i="41" s="1"/>
  <c r="O50" i="41" s="1"/>
  <c r="CT50" i="41"/>
  <c r="CW50" i="41" s="1"/>
  <c r="L50" i="41" s="1"/>
  <c r="CV56" i="47"/>
  <c r="DA56" i="47" s="1"/>
  <c r="N56" i="47" s="1"/>
  <c r="CT56" i="47"/>
  <c r="CW56" i="47" s="1"/>
  <c r="L56" i="47" s="1"/>
  <c r="X15" i="45"/>
  <c r="X8" i="45"/>
  <c r="W8" i="45" s="1"/>
  <c r="V8" i="45" s="1"/>
  <c r="X11" i="47"/>
  <c r="X10" i="47"/>
  <c r="X15" i="47"/>
  <c r="CV36" i="41"/>
  <c r="CT36" i="41"/>
  <c r="CV42" i="41"/>
  <c r="DA42" i="41" s="1"/>
  <c r="N42" i="41" s="1"/>
  <c r="CT42" i="41"/>
  <c r="CW42" i="41" s="1"/>
  <c r="L42" i="41" s="1"/>
  <c r="CT48" i="41"/>
  <c r="CW48" i="41" s="1"/>
  <c r="CY48" i="41" s="1"/>
  <c r="M48" i="41" s="1"/>
  <c r="CV48" i="41"/>
  <c r="DA48" i="41" s="1"/>
  <c r="N48" i="41" s="1"/>
  <c r="CV57" i="45"/>
  <c r="CT57" i="45"/>
  <c r="CV42" i="45"/>
  <c r="CT42" i="45"/>
  <c r="CV52" i="45"/>
  <c r="CT52" i="45"/>
  <c r="AL36" i="45"/>
  <c r="AL36" i="41"/>
  <c r="AL36" i="47"/>
  <c r="CT53" i="41"/>
  <c r="CV53" i="41"/>
  <c r="CV64" i="45"/>
  <c r="CT64" i="45"/>
  <c r="CV45" i="45"/>
  <c r="CT45" i="45"/>
  <c r="CV77" i="45"/>
  <c r="CT77" i="45"/>
  <c r="CV60" i="45"/>
  <c r="CT60" i="45"/>
  <c r="CV47" i="45"/>
  <c r="CT47" i="45"/>
  <c r="CT44" i="41"/>
  <c r="CW44" i="41" s="1"/>
  <c r="L44" i="41" s="1"/>
  <c r="CV44" i="41"/>
  <c r="DA44" i="41" s="1"/>
  <c r="CV63" i="45"/>
  <c r="CT63" i="45"/>
  <c r="CV63" i="47"/>
  <c r="DA63" i="47" s="1"/>
  <c r="CT63" i="47"/>
  <c r="CW63" i="47" s="1"/>
  <c r="L63" i="47" s="1"/>
  <c r="CT52" i="47"/>
  <c r="CW52" i="47" s="1"/>
  <c r="CY52" i="47" s="1"/>
  <c r="M52" i="47" s="1"/>
  <c r="CV52" i="47"/>
  <c r="DA52" i="47" s="1"/>
  <c r="DB52" i="47" s="1"/>
  <c r="O52" i="47" s="1"/>
  <c r="CV39" i="45"/>
  <c r="CT39" i="45"/>
  <c r="AL39" i="45"/>
  <c r="AL39" i="41"/>
  <c r="AL39" i="47"/>
  <c r="AL29" i="45"/>
  <c r="AL29" i="41"/>
  <c r="AL29" i="47"/>
  <c r="CV54" i="41"/>
  <c r="DA54" i="41" s="1"/>
  <c r="CT54" i="41"/>
  <c r="CW54" i="41" s="1"/>
  <c r="CV74" i="41"/>
  <c r="DA74" i="41" s="1"/>
  <c r="CT74" i="41"/>
  <c r="CW74" i="41" s="1"/>
  <c r="CY74" i="41" s="1"/>
  <c r="M74" i="41" s="1"/>
  <c r="CV58" i="45"/>
  <c r="CT58" i="45"/>
  <c r="CV68" i="47"/>
  <c r="DA68" i="47" s="1"/>
  <c r="N68" i="47" s="1"/>
  <c r="CT68" i="47"/>
  <c r="CW68" i="47" s="1"/>
  <c r="CY68" i="47" s="1"/>
  <c r="M68" i="47" s="1"/>
  <c r="CT62" i="47"/>
  <c r="CW62" i="47" s="1"/>
  <c r="L62" i="47" s="1"/>
  <c r="CV62" i="47"/>
  <c r="DA62" i="47" s="1"/>
  <c r="DB62" i="47" s="1"/>
  <c r="O62" i="47" s="1"/>
  <c r="X16" i="47"/>
  <c r="X15" i="22"/>
  <c r="CV40" i="41"/>
  <c r="DA40" i="41" s="1"/>
  <c r="N40" i="41" s="1"/>
  <c r="CT40" i="41"/>
  <c r="CW40" i="41" s="1"/>
  <c r="L40" i="41" s="1"/>
  <c r="CV75" i="45"/>
  <c r="CT75" i="45"/>
  <c r="CV34" i="45"/>
  <c r="CT34" i="45"/>
  <c r="CV54" i="45"/>
  <c r="CT54" i="45"/>
  <c r="CV40" i="45"/>
  <c r="CT40" i="45"/>
  <c r="AL13" i="45"/>
  <c r="AL13" i="47"/>
  <c r="AL13" i="41"/>
  <c r="CV51" i="45"/>
  <c r="CT51" i="45"/>
  <c r="CV32" i="45"/>
  <c r="CT32" i="45"/>
  <c r="CV72" i="45"/>
  <c r="CT72" i="45"/>
  <c r="CV35" i="47"/>
  <c r="DA35" i="47" s="1"/>
  <c r="N35" i="47" s="1"/>
  <c r="CT35" i="47"/>
  <c r="CW35" i="47" s="1"/>
  <c r="L35" i="47" s="1"/>
  <c r="CV71" i="45"/>
  <c r="CT71" i="45"/>
  <c r="CT76" i="47"/>
  <c r="CW76" i="47" s="1"/>
  <c r="L76" i="47" s="1"/>
  <c r="CV76" i="47"/>
  <c r="DA76" i="47" s="1"/>
  <c r="DB76" i="47" s="1"/>
  <c r="O76" i="47" s="1"/>
  <c r="CV64" i="47"/>
  <c r="DA64" i="47" s="1"/>
  <c r="N64" i="47" s="1"/>
  <c r="CT64" i="47"/>
  <c r="CW64" i="47" s="1"/>
  <c r="L64" i="47" s="1"/>
  <c r="CV54" i="47"/>
  <c r="DA54" i="47" s="1"/>
  <c r="DB54" i="47" s="1"/>
  <c r="O54" i="47" s="1"/>
  <c r="CT54" i="47"/>
  <c r="CW54" i="47" s="1"/>
  <c r="CY54" i="47" s="1"/>
  <c r="M54" i="47" s="1"/>
  <c r="CV77" i="47"/>
  <c r="DA77" i="47" s="1"/>
  <c r="DB77" i="47" s="1"/>
  <c r="O77" i="47" s="1"/>
  <c r="CT77" i="47"/>
  <c r="CW77" i="47" s="1"/>
  <c r="L77" i="47" s="1"/>
  <c r="CV58" i="47"/>
  <c r="DA58" i="47" s="1"/>
  <c r="DB58" i="47" s="1"/>
  <c r="O58" i="47" s="1"/>
  <c r="CT58" i="47"/>
  <c r="CW58" i="47" s="1"/>
  <c r="L58" i="47" s="1"/>
  <c r="CV75" i="41"/>
  <c r="DA75" i="41" s="1"/>
  <c r="CT75" i="41"/>
  <c r="CW75" i="41" s="1"/>
  <c r="CV52" i="41"/>
  <c r="DA52" i="41" s="1"/>
  <c r="DB52" i="41" s="1"/>
  <c r="O52" i="41" s="1"/>
  <c r="CT52" i="41"/>
  <c r="CW52" i="41" s="1"/>
  <c r="L52" i="41" s="1"/>
  <c r="CV38" i="45"/>
  <c r="CT38" i="45"/>
  <c r="X8" i="47"/>
  <c r="W8" i="47" s="1"/>
  <c r="V8" i="47" s="1"/>
  <c r="C8" i="47" s="1"/>
  <c r="X9" i="47"/>
  <c r="X32" i="47"/>
  <c r="W32" i="47" s="1"/>
  <c r="V32" i="47" s="1"/>
  <c r="C32" i="47" s="1"/>
  <c r="X14" i="22"/>
  <c r="AL32" i="45"/>
  <c r="AL32" i="41"/>
  <c r="AL32" i="47"/>
  <c r="CV35" i="41"/>
  <c r="CT35" i="41"/>
  <c r="CV45" i="41"/>
  <c r="DA45" i="41" s="1"/>
  <c r="N45" i="41" s="1"/>
  <c r="CT45" i="41"/>
  <c r="CW45" i="41" s="1"/>
  <c r="CY45" i="41" s="1"/>
  <c r="M45" i="41" s="1"/>
  <c r="CV48" i="45"/>
  <c r="CT48" i="45"/>
  <c r="CV62" i="45"/>
  <c r="CT62" i="45"/>
  <c r="CV70" i="45"/>
  <c r="CT70" i="45"/>
  <c r="CT39" i="41"/>
  <c r="CW39" i="41" s="1"/>
  <c r="CY39" i="41" s="1"/>
  <c r="M39" i="41" s="1"/>
  <c r="CV39" i="41"/>
  <c r="DA39" i="41" s="1"/>
  <c r="N39" i="41" s="1"/>
  <c r="CV74" i="45"/>
  <c r="CT74" i="45"/>
  <c r="CV50" i="45"/>
  <c r="CT50" i="45"/>
  <c r="CV36" i="45"/>
  <c r="CT36" i="45"/>
  <c r="CV76" i="45"/>
  <c r="CT76" i="45"/>
  <c r="CV51" i="41"/>
  <c r="DA51" i="41" s="1"/>
  <c r="N51" i="41" s="1"/>
  <c r="CT51" i="41"/>
  <c r="CW51" i="41" s="1"/>
  <c r="L51" i="41" s="1"/>
  <c r="CV69" i="45"/>
  <c r="CT69" i="45"/>
  <c r="CV65" i="45"/>
  <c r="CT65" i="45"/>
  <c r="CT66" i="47"/>
  <c r="CW66" i="47" s="1"/>
  <c r="L66" i="47" s="1"/>
  <c r="CV66" i="47"/>
  <c r="DA66" i="47" s="1"/>
  <c r="N66" i="47" s="1"/>
  <c r="CV75" i="47"/>
  <c r="DA75" i="47" s="1"/>
  <c r="N75" i="47" s="1"/>
  <c r="CT75" i="47"/>
  <c r="CW75" i="47" s="1"/>
  <c r="L75" i="47" s="1"/>
  <c r="CT71" i="47"/>
  <c r="CW71" i="47" s="1"/>
  <c r="L71" i="47" s="1"/>
  <c r="CV71" i="47"/>
  <c r="DA71" i="47" s="1"/>
  <c r="N71" i="47" s="1"/>
  <c r="CV59" i="47"/>
  <c r="DA59" i="47" s="1"/>
  <c r="DB59" i="47" s="1"/>
  <c r="O59" i="47" s="1"/>
  <c r="CT59" i="47"/>
  <c r="CW59" i="47" s="1"/>
  <c r="L59" i="47" s="1"/>
  <c r="CV65" i="47"/>
  <c r="DA65" i="47" s="1"/>
  <c r="N65" i="47" s="1"/>
  <c r="CT65" i="47"/>
  <c r="CW65" i="47" s="1"/>
  <c r="CY65" i="47" s="1"/>
  <c r="M65" i="47" s="1"/>
  <c r="CV53" i="47"/>
  <c r="DA53" i="47" s="1"/>
  <c r="N53" i="47" s="1"/>
  <c r="CT53" i="47"/>
  <c r="CW53" i="47" s="1"/>
  <c r="CY53" i="47" s="1"/>
  <c r="M53" i="47" s="1"/>
  <c r="CV56" i="45"/>
  <c r="CT56" i="45"/>
  <c r="CT57" i="47"/>
  <c r="CW57" i="47" s="1"/>
  <c r="L57" i="47" s="1"/>
  <c r="CV57" i="47"/>
  <c r="DA57" i="47" s="1"/>
  <c r="DB57" i="47" s="1"/>
  <c r="O57" i="47" s="1"/>
  <c r="AL24" i="45"/>
  <c r="AL24" i="41"/>
  <c r="AL24" i="47"/>
  <c r="CV47" i="41"/>
  <c r="DA47" i="41" s="1"/>
  <c r="N47" i="41" s="1"/>
  <c r="CT47" i="41"/>
  <c r="CW47" i="41" s="1"/>
  <c r="CY47" i="41" s="1"/>
  <c r="M47" i="41" s="1"/>
  <c r="CV38" i="41"/>
  <c r="DA38" i="41" s="1"/>
  <c r="N38" i="41" s="1"/>
  <c r="CT38" i="41"/>
  <c r="CW38" i="41" s="1"/>
  <c r="CY38" i="41" s="1"/>
  <c r="M38" i="41" s="1"/>
  <c r="X11" i="45"/>
  <c r="X8" i="22"/>
  <c r="W8" i="22" s="1"/>
  <c r="H69" i="47"/>
  <c r="ER69" i="47" s="1"/>
  <c r="EM69" i="47"/>
  <c r="DH41" i="32"/>
  <c r="DJ41" i="32"/>
  <c r="DQ41" i="32" s="1"/>
  <c r="DR41" i="32" s="1"/>
  <c r="DV70" i="41"/>
  <c r="EC70" i="41" s="1"/>
  <c r="ED70" i="41" s="1"/>
  <c r="DX70" i="41"/>
  <c r="EE70" i="41" s="1"/>
  <c r="EF70" i="41" s="1"/>
  <c r="DV47" i="47"/>
  <c r="EC47" i="47" s="1"/>
  <c r="ED47" i="47" s="1"/>
  <c r="DX47" i="47"/>
  <c r="EE47" i="47" s="1"/>
  <c r="EF47" i="47" s="1"/>
  <c r="DV69" i="47"/>
  <c r="EC69" i="47" s="1"/>
  <c r="ED69" i="47" s="1"/>
  <c r="DX69" i="47"/>
  <c r="EE69" i="47" s="1"/>
  <c r="EF69" i="47" s="1"/>
  <c r="DV44" i="47"/>
  <c r="EC44" i="47" s="1"/>
  <c r="ED44" i="47" s="1"/>
  <c r="DX44" i="47"/>
  <c r="EE44" i="47" s="1"/>
  <c r="EF44" i="47" s="1"/>
  <c r="DU62" i="41"/>
  <c r="DZ62" i="41" s="1"/>
  <c r="DV62" i="41"/>
  <c r="EC62" i="41" s="1"/>
  <c r="ED62" i="41" s="1"/>
  <c r="EE64" i="41"/>
  <c r="EF64" i="41" s="1"/>
  <c r="DV64" i="41"/>
  <c r="EC64" i="41" s="1"/>
  <c r="ED64" i="41" s="1"/>
  <c r="DU77" i="41"/>
  <c r="DZ77" i="41" s="1"/>
  <c r="DV77" i="41"/>
  <c r="EC77" i="41" s="1"/>
  <c r="ED77" i="41" s="1"/>
  <c r="EE78" i="41"/>
  <c r="EF78" i="41" s="1"/>
  <c r="DV78" i="41"/>
  <c r="EC78" i="41" s="1"/>
  <c r="ED78" i="41" s="1"/>
  <c r="DU71" i="41"/>
  <c r="DZ71" i="41" s="1"/>
  <c r="DV71" i="41"/>
  <c r="EC71" i="41" s="1"/>
  <c r="ED71" i="41" s="1"/>
  <c r="DW60" i="41"/>
  <c r="EB60" i="41" s="1"/>
  <c r="DV60" i="41"/>
  <c r="EC60" i="41" s="1"/>
  <c r="ED60" i="41" s="1"/>
  <c r="EE68" i="41"/>
  <c r="EF68" i="41" s="1"/>
  <c r="DV68" i="41"/>
  <c r="EC68" i="41" s="1"/>
  <c r="ED68" i="41" s="1"/>
  <c r="EE76" i="41"/>
  <c r="EF76" i="41" s="1"/>
  <c r="DV76" i="41"/>
  <c r="EC76" i="41" s="1"/>
  <c r="ED76" i="41" s="1"/>
  <c r="DW63" i="41"/>
  <c r="EB63" i="41" s="1"/>
  <c r="DV63" i="41"/>
  <c r="EC63" i="41" s="1"/>
  <c r="ED63" i="41" s="1"/>
  <c r="DU57" i="41"/>
  <c r="DZ57" i="41" s="1"/>
  <c r="DV57" i="41"/>
  <c r="EC57" i="41" s="1"/>
  <c r="ED57" i="41" s="1"/>
  <c r="EE69" i="41"/>
  <c r="EF69" i="41" s="1"/>
  <c r="DV69" i="41"/>
  <c r="EC69" i="41" s="1"/>
  <c r="ED69" i="41" s="1"/>
  <c r="EE65" i="41"/>
  <c r="EF65" i="41" s="1"/>
  <c r="DV65" i="41"/>
  <c r="EC65" i="41" s="1"/>
  <c r="ED65" i="41" s="1"/>
  <c r="DV66" i="41"/>
  <c r="EC66" i="41" s="1"/>
  <c r="ED66" i="41" s="1"/>
  <c r="EE58" i="41"/>
  <c r="EF58" i="41" s="1"/>
  <c r="DV58" i="41"/>
  <c r="EC58" i="41" s="1"/>
  <c r="ED58" i="41" s="1"/>
  <c r="EE59" i="41"/>
  <c r="EF59" i="41" s="1"/>
  <c r="DV59" i="41"/>
  <c r="EC59" i="41" s="1"/>
  <c r="ED59" i="41" s="1"/>
  <c r="DU72" i="41"/>
  <c r="DZ72" i="41" s="1"/>
  <c r="DV72" i="41"/>
  <c r="EC72" i="41" s="1"/>
  <c r="ED72" i="41" s="1"/>
  <c r="DW40" i="47"/>
  <c r="EB40" i="47" s="1"/>
  <c r="DV40" i="47"/>
  <c r="EC40" i="47" s="1"/>
  <c r="ED40" i="47" s="1"/>
  <c r="DU38" i="47"/>
  <c r="DZ38" i="47" s="1"/>
  <c r="DV38" i="47"/>
  <c r="EC38" i="47" s="1"/>
  <c r="ED38" i="47" s="1"/>
  <c r="DW39" i="47"/>
  <c r="EB39" i="47" s="1"/>
  <c r="DV39" i="47"/>
  <c r="EC39" i="47" s="1"/>
  <c r="ED39" i="47" s="1"/>
  <c r="DU48" i="47"/>
  <c r="DZ48" i="47" s="1"/>
  <c r="DV48" i="47"/>
  <c r="EC48" i="47" s="1"/>
  <c r="ED48" i="47" s="1"/>
  <c r="EE50" i="47"/>
  <c r="EF50" i="47" s="1"/>
  <c r="DV50" i="47"/>
  <c r="EC50" i="47" s="1"/>
  <c r="ED50" i="47" s="1"/>
  <c r="DW45" i="47"/>
  <c r="EB45" i="47" s="1"/>
  <c r="DV45" i="47"/>
  <c r="EC45" i="47" s="1"/>
  <c r="ED45" i="47" s="1"/>
  <c r="DW42" i="47"/>
  <c r="EB42" i="47" s="1"/>
  <c r="DV42" i="47"/>
  <c r="EC42" i="47" s="1"/>
  <c r="ED42" i="47" s="1"/>
  <c r="EE41" i="47"/>
  <c r="EF41" i="47" s="1"/>
  <c r="DV41" i="47"/>
  <c r="EC41" i="47" s="1"/>
  <c r="ED41" i="47" s="1"/>
  <c r="EE46" i="47"/>
  <c r="EF46" i="47" s="1"/>
  <c r="DV46" i="47"/>
  <c r="EC46" i="47" s="1"/>
  <c r="ED46" i="47" s="1"/>
  <c r="DV51" i="47"/>
  <c r="EC51" i="47" s="1"/>
  <c r="ED51" i="47" s="1"/>
  <c r="DU78" i="47"/>
  <c r="DZ78" i="47" s="1"/>
  <c r="DV78" i="47"/>
  <c r="EC78" i="47" s="1"/>
  <c r="ED78" i="47" s="1"/>
  <c r="DU36" i="47"/>
  <c r="DZ36" i="47" s="1"/>
  <c r="DV36" i="47"/>
  <c r="EC36" i="47" s="1"/>
  <c r="ED36" i="47" s="1"/>
  <c r="DI41" i="32"/>
  <c r="DN41" i="32" s="1"/>
  <c r="DH65" i="41"/>
  <c r="DO65" i="41" s="1"/>
  <c r="DP65" i="41" s="1"/>
  <c r="DJ65" i="41"/>
  <c r="DQ65" i="41" s="1"/>
  <c r="DR65" i="41" s="1"/>
  <c r="DH63" i="41"/>
  <c r="DO63" i="41" s="1"/>
  <c r="DP63" i="41" s="1"/>
  <c r="DJ63" i="41"/>
  <c r="DQ63" i="41" s="1"/>
  <c r="DR63" i="41" s="1"/>
  <c r="DH69" i="47"/>
  <c r="DO69" i="47" s="1"/>
  <c r="DP69" i="47" s="1"/>
  <c r="DJ69" i="47"/>
  <c r="DQ69" i="47" s="1"/>
  <c r="DR69" i="47" s="1"/>
  <c r="DH40" i="47"/>
  <c r="DO40" i="47" s="1"/>
  <c r="DP40" i="47" s="1"/>
  <c r="DJ40" i="47"/>
  <c r="DQ40" i="47" s="1"/>
  <c r="DR40" i="47" s="1"/>
  <c r="DH42" i="47"/>
  <c r="DO42" i="47" s="1"/>
  <c r="DP42" i="47" s="1"/>
  <c r="DJ42" i="47"/>
  <c r="DQ42" i="47" s="1"/>
  <c r="DR42" i="47" s="1"/>
  <c r="DH69" i="41"/>
  <c r="DO69" i="41" s="1"/>
  <c r="DP69" i="41" s="1"/>
  <c r="DI70" i="41"/>
  <c r="DN70" i="41" s="1"/>
  <c r="DH70" i="41"/>
  <c r="DO70" i="41" s="1"/>
  <c r="DP70" i="41" s="1"/>
  <c r="DQ76" i="41"/>
  <c r="DR76" i="41" s="1"/>
  <c r="DH76" i="41"/>
  <c r="DO76" i="41" s="1"/>
  <c r="DP76" i="41" s="1"/>
  <c r="DQ78" i="41"/>
  <c r="DR78" i="41" s="1"/>
  <c r="DH78" i="41"/>
  <c r="DO78" i="41" s="1"/>
  <c r="DP78" i="41" s="1"/>
  <c r="DQ72" i="41"/>
  <c r="DR72" i="41" s="1"/>
  <c r="DH72" i="41"/>
  <c r="DO72" i="41" s="1"/>
  <c r="DP72" i="41" s="1"/>
  <c r="DQ71" i="41"/>
  <c r="DR71" i="41" s="1"/>
  <c r="DH71" i="41"/>
  <c r="DO71" i="41" s="1"/>
  <c r="DP71" i="41" s="1"/>
  <c r="DH77" i="41"/>
  <c r="DO77" i="41" s="1"/>
  <c r="DP77" i="41" s="1"/>
  <c r="DG62" i="41"/>
  <c r="DL62" i="41" s="1"/>
  <c r="DH62" i="41"/>
  <c r="DO62" i="41" s="1"/>
  <c r="DP62" i="41" s="1"/>
  <c r="DG66" i="41"/>
  <c r="DL66" i="41" s="1"/>
  <c r="DH66" i="41"/>
  <c r="DO66" i="41" s="1"/>
  <c r="DP66" i="41" s="1"/>
  <c r="DH60" i="41"/>
  <c r="DO60" i="41" s="1"/>
  <c r="DP60" i="41" s="1"/>
  <c r="DI68" i="41"/>
  <c r="DN68" i="41" s="1"/>
  <c r="DH68" i="41"/>
  <c r="DO68" i="41" s="1"/>
  <c r="DP68" i="41" s="1"/>
  <c r="DH59" i="41"/>
  <c r="DO59" i="41" s="1"/>
  <c r="DP59" i="41" s="1"/>
  <c r="DH58" i="41"/>
  <c r="DO58" i="41" s="1"/>
  <c r="DP58" i="41" s="1"/>
  <c r="DG57" i="41"/>
  <c r="DL57" i="41" s="1"/>
  <c r="DH57" i="41"/>
  <c r="DO57" i="41" s="1"/>
  <c r="DP57" i="41" s="1"/>
  <c r="DI64" i="41"/>
  <c r="DN64" i="41" s="1"/>
  <c r="DH64" i="41"/>
  <c r="DO64" i="41" s="1"/>
  <c r="DP64" i="41" s="1"/>
  <c r="DH46" i="47"/>
  <c r="DO46" i="47" s="1"/>
  <c r="DP46" i="47" s="1"/>
  <c r="DI45" i="47"/>
  <c r="DN45" i="47" s="1"/>
  <c r="DH45" i="47"/>
  <c r="DO45" i="47" s="1"/>
  <c r="DP45" i="47" s="1"/>
  <c r="DQ78" i="47"/>
  <c r="DR78" i="47" s="1"/>
  <c r="DH78" i="47"/>
  <c r="DO78" i="47" s="1"/>
  <c r="DP78" i="47" s="1"/>
  <c r="DH41" i="47"/>
  <c r="DO41" i="47" s="1"/>
  <c r="DP41" i="47" s="1"/>
  <c r="DQ50" i="47"/>
  <c r="DR50" i="47" s="1"/>
  <c r="DH50" i="47"/>
  <c r="DO50" i="47" s="1"/>
  <c r="DP50" i="47" s="1"/>
  <c r="DI38" i="47"/>
  <c r="DN38" i="47" s="1"/>
  <c r="DH38" i="47"/>
  <c r="DO38" i="47" s="1"/>
  <c r="DP38" i="47" s="1"/>
  <c r="DG48" i="47"/>
  <c r="DL48" i="47" s="1"/>
  <c r="DH48" i="47"/>
  <c r="DO48" i="47" s="1"/>
  <c r="DP48" i="47" s="1"/>
  <c r="DG44" i="47"/>
  <c r="DL44" i="47" s="1"/>
  <c r="DH44" i="47"/>
  <c r="DO44" i="47" s="1"/>
  <c r="DP44" i="47" s="1"/>
  <c r="DG51" i="47"/>
  <c r="DL51" i="47" s="1"/>
  <c r="DH51" i="47"/>
  <c r="DO51" i="47" s="1"/>
  <c r="DP51" i="47" s="1"/>
  <c r="DI39" i="47"/>
  <c r="DN39" i="47" s="1"/>
  <c r="DH39" i="47"/>
  <c r="DO39" i="47" s="1"/>
  <c r="DP39" i="47" s="1"/>
  <c r="DH47" i="47"/>
  <c r="DO47" i="47" s="1"/>
  <c r="DP47" i="47" s="1"/>
  <c r="DV78" i="45"/>
  <c r="DX78" i="45"/>
  <c r="DH78" i="45"/>
  <c r="DJ78" i="45"/>
  <c r="CV70" i="19"/>
  <c r="CU70" i="19"/>
  <c r="CT70" i="19"/>
  <c r="CU64" i="19"/>
  <c r="CT64" i="19"/>
  <c r="CV64" i="19"/>
  <c r="CV57" i="19"/>
  <c r="CT57" i="19"/>
  <c r="CU57" i="19"/>
  <c r="CV56" i="19"/>
  <c r="CU56" i="19"/>
  <c r="CT56" i="19"/>
  <c r="CU78" i="19"/>
  <c r="CT78" i="19"/>
  <c r="CV78" i="19"/>
  <c r="CV50" i="19"/>
  <c r="CU50" i="19"/>
  <c r="CT50" i="19"/>
  <c r="CU74" i="19"/>
  <c r="CT74" i="19"/>
  <c r="CV74" i="19"/>
  <c r="CV76" i="19"/>
  <c r="CT76" i="19"/>
  <c r="CU76" i="19"/>
  <c r="CV65" i="19"/>
  <c r="CU65" i="19"/>
  <c r="CT65" i="19"/>
  <c r="CT72" i="19"/>
  <c r="CU72" i="19"/>
  <c r="CV72" i="19"/>
  <c r="CV75" i="19"/>
  <c r="CU75" i="19"/>
  <c r="CT75" i="19"/>
  <c r="CT63" i="19"/>
  <c r="CU63" i="19"/>
  <c r="CV63" i="19"/>
  <c r="CT62" i="19"/>
  <c r="CV62" i="19"/>
  <c r="CU62" i="19"/>
  <c r="CV60" i="19"/>
  <c r="CU60" i="19"/>
  <c r="CT60" i="19"/>
  <c r="CV71" i="19"/>
  <c r="CT71" i="19"/>
  <c r="CU71" i="19"/>
  <c r="CU59" i="19"/>
  <c r="CT59" i="19"/>
  <c r="CV59" i="19"/>
  <c r="CT51" i="19"/>
  <c r="CU51" i="19"/>
  <c r="CV51" i="19"/>
  <c r="CU54" i="19"/>
  <c r="CT54" i="19"/>
  <c r="CV54" i="19"/>
  <c r="CU69" i="19"/>
  <c r="CT69" i="19"/>
  <c r="CV69" i="19"/>
  <c r="CT68" i="19"/>
  <c r="CU68" i="19"/>
  <c r="CV68" i="19"/>
  <c r="CT58" i="19"/>
  <c r="CU58" i="19"/>
  <c r="CV58" i="19"/>
  <c r="CT53" i="19"/>
  <c r="CU53" i="19"/>
  <c r="CV53" i="19"/>
  <c r="CT77" i="19"/>
  <c r="CU77" i="19"/>
  <c r="CV77" i="19"/>
  <c r="CT66" i="19"/>
  <c r="CV66" i="19"/>
  <c r="CU66" i="19"/>
  <c r="X30" i="19"/>
  <c r="X32" i="19"/>
  <c r="X29" i="19"/>
  <c r="X26" i="19"/>
  <c r="CU38" i="19"/>
  <c r="CV36" i="19"/>
  <c r="CT36" i="19"/>
  <c r="CT42" i="19"/>
  <c r="CV42" i="19"/>
  <c r="X16" i="19"/>
  <c r="X22" i="19"/>
  <c r="J78" i="19"/>
  <c r="J77" i="19"/>
  <c r="J76" i="19"/>
  <c r="J75" i="19"/>
  <c r="J74" i="19"/>
  <c r="J72" i="19"/>
  <c r="J71" i="19"/>
  <c r="J68" i="19"/>
  <c r="J66" i="19"/>
  <c r="J65" i="19"/>
  <c r="J64" i="19"/>
  <c r="J63" i="19"/>
  <c r="J62" i="19"/>
  <c r="J58" i="19"/>
  <c r="J57" i="19"/>
  <c r="J56" i="19"/>
  <c r="J54" i="19"/>
  <c r="J53" i="19"/>
  <c r="J51" i="19"/>
  <c r="J50" i="19"/>
  <c r="J42" i="19"/>
  <c r="J41" i="19"/>
  <c r="J40" i="19"/>
  <c r="J39" i="19"/>
  <c r="J38" i="19"/>
  <c r="J36" i="19"/>
  <c r="X17" i="45"/>
  <c r="X18" i="45"/>
  <c r="X17" i="47"/>
  <c r="X16" i="45"/>
  <c r="X10" i="45"/>
  <c r="X10" i="22"/>
  <c r="X14" i="45"/>
  <c r="W14" i="45" s="1"/>
  <c r="V14" i="45" s="1"/>
  <c r="C14" i="45" s="1"/>
  <c r="X9" i="22"/>
  <c r="X12" i="45"/>
  <c r="CL12" i="45"/>
  <c r="Z12" i="45" s="1"/>
  <c r="X23" i="47"/>
  <c r="X23" i="19"/>
  <c r="X22" i="47"/>
  <c r="X14" i="19"/>
  <c r="X28" i="19"/>
  <c r="X26" i="47"/>
  <c r="W26" i="47" s="1"/>
  <c r="V26" i="47" s="1"/>
  <c r="C26" i="47" s="1"/>
  <c r="X27" i="19"/>
  <c r="X15" i="19"/>
  <c r="X21" i="19"/>
  <c r="X8" i="41"/>
  <c r="W8" i="41" s="1"/>
  <c r="V8" i="41" s="1"/>
  <c r="C8" i="41" s="1"/>
  <c r="X14" i="47"/>
  <c r="W14" i="47" s="1"/>
  <c r="X21" i="47"/>
  <c r="X17" i="19"/>
  <c r="X24" i="47"/>
  <c r="X33" i="19"/>
  <c r="X27" i="47"/>
  <c r="X20" i="19"/>
  <c r="X11" i="32"/>
  <c r="W57" i="22"/>
  <c r="V57" i="22" s="1"/>
  <c r="V56" i="22"/>
  <c r="W69" i="22"/>
  <c r="V69" i="22" s="1"/>
  <c r="V68" i="22"/>
  <c r="W33" i="32"/>
  <c r="V33" i="32" s="1"/>
  <c r="V32" i="32"/>
  <c r="C32" i="32" s="1"/>
  <c r="W45" i="41"/>
  <c r="V45" i="41" s="1"/>
  <c r="W63" i="41"/>
  <c r="V63" i="41" s="1"/>
  <c r="W57" i="41"/>
  <c r="V57" i="41" s="1"/>
  <c r="W57" i="32"/>
  <c r="W27" i="32"/>
  <c r="V27" i="32" s="1"/>
  <c r="C27" i="32" s="1"/>
  <c r="W39" i="45"/>
  <c r="V39" i="45" s="1"/>
  <c r="W57" i="45"/>
  <c r="V57" i="45" s="1"/>
  <c r="W33" i="45"/>
  <c r="V33" i="45" s="1"/>
  <c r="W33" i="22"/>
  <c r="W45" i="22"/>
  <c r="W75" i="22"/>
  <c r="V75" i="22" s="1"/>
  <c r="W63" i="22"/>
  <c r="V63" i="22" s="1"/>
  <c r="W39" i="22"/>
  <c r="V39" i="22" s="1"/>
  <c r="W51" i="22"/>
  <c r="W39" i="32"/>
  <c r="V39" i="32" s="1"/>
  <c r="W69" i="32"/>
  <c r="V69" i="32" s="1"/>
  <c r="W63" i="32"/>
  <c r="W51" i="32"/>
  <c r="V51" i="32" s="1"/>
  <c r="W45" i="32"/>
  <c r="W75" i="32"/>
  <c r="W33" i="41"/>
  <c r="V33" i="41" s="1"/>
  <c r="C33" i="41" s="1"/>
  <c r="W51" i="41"/>
  <c r="V51" i="41" s="1"/>
  <c r="W63" i="47"/>
  <c r="V63" i="47" s="1"/>
  <c r="W51" i="47"/>
  <c r="V51" i="47" s="1"/>
  <c r="W57" i="47"/>
  <c r="V57" i="47" s="1"/>
  <c r="W45" i="45"/>
  <c r="V45" i="45" s="1"/>
  <c r="W63" i="45"/>
  <c r="V63" i="45" s="1"/>
  <c r="W75" i="45"/>
  <c r="V75" i="45" s="1"/>
  <c r="W51" i="45"/>
  <c r="V51" i="45" s="1"/>
  <c r="W69" i="45"/>
  <c r="V69" i="45" s="1"/>
  <c r="W69" i="47"/>
  <c r="V69" i="47" s="1"/>
  <c r="W39" i="47"/>
  <c r="V39" i="47" s="1"/>
  <c r="W45" i="47"/>
  <c r="V45" i="47" s="1"/>
  <c r="Z53" i="41"/>
  <c r="Q53" i="41" s="1"/>
  <c r="EU47" i="41"/>
  <c r="DS38" i="41"/>
  <c r="DT38" i="41" s="1"/>
  <c r="DX38" i="41" s="1"/>
  <c r="CU46" i="41"/>
  <c r="CZ46" i="41" s="1"/>
  <c r="CU52" i="41"/>
  <c r="CZ52" i="41" s="1"/>
  <c r="CO39" i="41"/>
  <c r="CN39" i="41" s="1"/>
  <c r="DJ39" i="41" s="1"/>
  <c r="EU44" i="41"/>
  <c r="CO50" i="41"/>
  <c r="CN50" i="41" s="1"/>
  <c r="DJ50" i="41" s="1"/>
  <c r="CO30" i="47"/>
  <c r="CN30" i="47" s="1"/>
  <c r="DJ30" i="47" s="1"/>
  <c r="EU63" i="47"/>
  <c r="DS52" i="47"/>
  <c r="DT52" i="47" s="1"/>
  <c r="DX52" i="47" s="1"/>
  <c r="CO75" i="47"/>
  <c r="CN75" i="47" s="1"/>
  <c r="DJ75" i="47" s="1"/>
  <c r="Z74" i="47"/>
  <c r="EM74" i="47" s="1"/>
  <c r="EU57" i="47"/>
  <c r="CU68" i="47"/>
  <c r="CZ68" i="47" s="1"/>
  <c r="CO62" i="47"/>
  <c r="CN62" i="47" s="1"/>
  <c r="DJ62" i="47" s="1"/>
  <c r="CU35" i="47"/>
  <c r="CZ35" i="47" s="1"/>
  <c r="CO64" i="47"/>
  <c r="CN64" i="47" s="1"/>
  <c r="DJ64" i="47" s="1"/>
  <c r="CS58" i="47"/>
  <c r="CX58" i="47" s="1"/>
  <c r="DS66" i="47"/>
  <c r="DT66" i="47" s="1"/>
  <c r="DX66" i="47" s="1"/>
  <c r="CU71" i="47"/>
  <c r="CZ71" i="47" s="1"/>
  <c r="CU65" i="47"/>
  <c r="CZ65" i="47" s="1"/>
  <c r="DS53" i="47"/>
  <c r="DT53" i="47" s="1"/>
  <c r="DX53" i="47" s="1"/>
  <c r="CO56" i="47"/>
  <c r="CN56" i="47" s="1"/>
  <c r="DJ56" i="47" s="1"/>
  <c r="DS52" i="45"/>
  <c r="DT52" i="45" s="1"/>
  <c r="DX52" i="45" s="1"/>
  <c r="DS30" i="45"/>
  <c r="DT30" i="45" s="1"/>
  <c r="DX30" i="45" s="1"/>
  <c r="CU76" i="45"/>
  <c r="CZ76" i="45" s="1"/>
  <c r="DS66" i="45"/>
  <c r="DT66" i="45" s="1"/>
  <c r="DX66" i="45" s="1"/>
  <c r="EU63" i="45"/>
  <c r="CS48" i="45"/>
  <c r="CX48" i="45" s="1"/>
  <c r="CO59" i="45"/>
  <c r="CN59" i="45" s="1"/>
  <c r="DJ59" i="45" s="1"/>
  <c r="CO45" i="45"/>
  <c r="CN45" i="45" s="1"/>
  <c r="DJ45" i="45" s="1"/>
  <c r="CO77" i="45"/>
  <c r="CN77" i="45" s="1"/>
  <c r="DJ77" i="45" s="1"/>
  <c r="Z69" i="45"/>
  <c r="DS53" i="45"/>
  <c r="DT53" i="45" s="1"/>
  <c r="DX53" i="45" s="1"/>
  <c r="CU39" i="45"/>
  <c r="CZ39" i="45" s="1"/>
  <c r="CU56" i="45"/>
  <c r="CZ56" i="45" s="1"/>
  <c r="CO75" i="45"/>
  <c r="CN75" i="45" s="1"/>
  <c r="DJ75" i="45" s="1"/>
  <c r="CO35" i="45"/>
  <c r="CN35" i="45" s="1"/>
  <c r="DJ35" i="45" s="1"/>
  <c r="Z51" i="45"/>
  <c r="Q51" i="45" s="1"/>
  <c r="CO65" i="45"/>
  <c r="CN65" i="45" s="1"/>
  <c r="DJ65" i="45" s="1"/>
  <c r="CS46" i="45"/>
  <c r="CX46" i="45" s="1"/>
  <c r="Z24" i="45"/>
  <c r="CO68" i="45"/>
  <c r="CN68" i="45" s="1"/>
  <c r="DJ68" i="45" s="1"/>
  <c r="DS47" i="45"/>
  <c r="DT47" i="45" s="1"/>
  <c r="DX47" i="45" s="1"/>
  <c r="CS29" i="45"/>
  <c r="CS63" i="19"/>
  <c r="CS74" i="19"/>
  <c r="CO62" i="19"/>
  <c r="CN62" i="19" s="1"/>
  <c r="DS64" i="19"/>
  <c r="DT64" i="19" s="1"/>
  <c r="Z75" i="19"/>
  <c r="CO36" i="19"/>
  <c r="CN36" i="19" s="1"/>
  <c r="Z66" i="19"/>
  <c r="Q66" i="19" s="1"/>
  <c r="Z65" i="19"/>
  <c r="Q65" i="19" s="1"/>
  <c r="BJ16" i="47"/>
  <c r="BW15" i="47"/>
  <c r="BJ37" i="19"/>
  <c r="BW36" i="19"/>
  <c r="J60" i="19"/>
  <c r="CS59" i="19"/>
  <c r="J59" i="19"/>
  <c r="O104" i="31"/>
  <c r="O99" i="31"/>
  <c r="D177" i="31"/>
  <c r="H177" i="31" s="1"/>
  <c r="K109" i="31"/>
  <c r="AL29" i="19"/>
  <c r="AL17" i="19"/>
  <c r="AL39" i="19"/>
  <c r="BS56" i="41"/>
  <c r="AL32" i="19"/>
  <c r="AL36" i="19"/>
  <c r="AL13" i="19"/>
  <c r="AL20" i="19"/>
  <c r="AL24" i="19"/>
  <c r="CS29" i="47"/>
  <c r="J29" i="47"/>
  <c r="CS18" i="47"/>
  <c r="J18" i="47"/>
  <c r="CS12" i="47"/>
  <c r="J12" i="47"/>
  <c r="J70" i="19"/>
  <c r="Z69" i="19"/>
  <c r="H69" i="19" s="1"/>
  <c r="J69" i="19"/>
  <c r="BJ37" i="45"/>
  <c r="BW36" i="45"/>
  <c r="BS74" i="22"/>
  <c r="BS74" i="19"/>
  <c r="BS74" i="45"/>
  <c r="BS74" i="32"/>
  <c r="BS68" i="22"/>
  <c r="BS68" i="19"/>
  <c r="BS68" i="45"/>
  <c r="BS68" i="32"/>
  <c r="BR80" i="22"/>
  <c r="BR80" i="19"/>
  <c r="BR80" i="32"/>
  <c r="BR80" i="45"/>
  <c r="BS56" i="19"/>
  <c r="BS56" i="22"/>
  <c r="BS56" i="45"/>
  <c r="BS56" i="32"/>
  <c r="BS80" i="22"/>
  <c r="BS80" i="19"/>
  <c r="BS80" i="45"/>
  <c r="BS80" i="32"/>
  <c r="BR68" i="19"/>
  <c r="BR68" i="45"/>
  <c r="BR68" i="32"/>
  <c r="BR68" i="22"/>
  <c r="DS62" i="47"/>
  <c r="DT62" i="47" s="1"/>
  <c r="DX62" i="47" s="1"/>
  <c r="J36" i="41"/>
  <c r="J35" i="41"/>
  <c r="J34" i="41"/>
  <c r="Z33" i="41"/>
  <c r="J33" i="41"/>
  <c r="DS32" i="41"/>
  <c r="DT32" i="41" s="1"/>
  <c r="J32" i="41"/>
  <c r="J30" i="41"/>
  <c r="CS29" i="41"/>
  <c r="J29" i="41"/>
  <c r="CU24" i="41"/>
  <c r="J24" i="41"/>
  <c r="J23" i="41"/>
  <c r="J18" i="41"/>
  <c r="J17" i="41"/>
  <c r="BW17" i="32"/>
  <c r="BJ18" i="32"/>
  <c r="BJ17" i="22"/>
  <c r="BW16" i="22"/>
  <c r="CL66" i="22"/>
  <c r="DE66" i="22" s="1"/>
  <c r="DT71" i="32"/>
  <c r="DX71" i="32" s="1"/>
  <c r="CL44" i="22"/>
  <c r="DE44" i="22" s="1"/>
  <c r="CL42" i="22"/>
  <c r="DE42" i="22" s="1"/>
  <c r="CN71" i="32"/>
  <c r="CL35" i="22"/>
  <c r="DE35" i="22" s="1"/>
  <c r="CL78" i="22"/>
  <c r="DE78" i="22" s="1"/>
  <c r="CL39" i="22"/>
  <c r="DE39" i="22" s="1"/>
  <c r="CL50" i="22"/>
  <c r="DE50" i="22" s="1"/>
  <c r="CU56" i="47"/>
  <c r="CZ56" i="47" s="1"/>
  <c r="CS62" i="47"/>
  <c r="CX62" i="47" s="1"/>
  <c r="CN78" i="32"/>
  <c r="Z62" i="47"/>
  <c r="CU62" i="47"/>
  <c r="CZ62" i="47" s="1"/>
  <c r="CL65" i="22"/>
  <c r="DE65" i="22" s="1"/>
  <c r="CL34" i="22"/>
  <c r="DE34" i="22" s="1"/>
  <c r="CL69" i="22"/>
  <c r="DE69" i="22" s="1"/>
  <c r="CS56" i="47"/>
  <c r="CX56" i="47" s="1"/>
  <c r="Z56" i="47"/>
  <c r="EU56" i="47"/>
  <c r="DS56" i="47"/>
  <c r="DT56" i="47" s="1"/>
  <c r="DX56" i="47" s="1"/>
  <c r="CS38" i="45"/>
  <c r="CX38" i="45" s="1"/>
  <c r="DW38" i="47"/>
  <c r="EB38" i="47" s="1"/>
  <c r="EE38" i="47"/>
  <c r="EF38" i="47" s="1"/>
  <c r="CN53" i="32"/>
  <c r="CN57" i="32"/>
  <c r="DT48" i="32"/>
  <c r="DX48" i="32" s="1"/>
  <c r="DT47" i="32"/>
  <c r="DX47" i="32" s="1"/>
  <c r="DT76" i="32"/>
  <c r="DX76" i="32" s="1"/>
  <c r="DT46" i="32"/>
  <c r="DX46" i="32" s="1"/>
  <c r="CL33" i="32"/>
  <c r="DE33" i="32" s="1"/>
  <c r="CN54" i="32"/>
  <c r="DT66" i="32"/>
  <c r="DX66" i="32" s="1"/>
  <c r="CL10" i="32"/>
  <c r="Z68" i="45"/>
  <c r="H68" i="45" s="1"/>
  <c r="C213" i="31"/>
  <c r="C220" i="31" s="1"/>
  <c r="C226" i="31"/>
  <c r="D153" i="31"/>
  <c r="D147" i="31"/>
  <c r="D149" i="31" s="1"/>
  <c r="DT60" i="32"/>
  <c r="DX60" i="32" s="1"/>
  <c r="CN64" i="32"/>
  <c r="DT75" i="32"/>
  <c r="DX75" i="32" s="1"/>
  <c r="DT45" i="32"/>
  <c r="DX45" i="32" s="1"/>
  <c r="DT69" i="32"/>
  <c r="DX69" i="32" s="1"/>
  <c r="CL12" i="32"/>
  <c r="DF12" i="32" s="1"/>
  <c r="EU68" i="47"/>
  <c r="CL71" i="22"/>
  <c r="DE71" i="22" s="1"/>
  <c r="CL56" i="22"/>
  <c r="DE56" i="22" s="1"/>
  <c r="CL45" i="22"/>
  <c r="DE45" i="22" s="1"/>
  <c r="CL59" i="22"/>
  <c r="DE59" i="22" s="1"/>
  <c r="CL23" i="32"/>
  <c r="DT52" i="32"/>
  <c r="DX52" i="32" s="1"/>
  <c r="CN45" i="32"/>
  <c r="DT50" i="32"/>
  <c r="DX50" i="32" s="1"/>
  <c r="CN51" i="32"/>
  <c r="DT74" i="32"/>
  <c r="DX74" i="32" s="1"/>
  <c r="CL28" i="32"/>
  <c r="DF28" i="32" s="1"/>
  <c r="CL36" i="22"/>
  <c r="DE36" i="22" s="1"/>
  <c r="CL24" i="22"/>
  <c r="CL41" i="22"/>
  <c r="DE41" i="22" s="1"/>
  <c r="CL62" i="22"/>
  <c r="DE62" i="22" s="1"/>
  <c r="CL72" i="22"/>
  <c r="DE72" i="22" s="1"/>
  <c r="EU62" i="47"/>
  <c r="CU38" i="41"/>
  <c r="CZ38" i="41" s="1"/>
  <c r="CS38" i="41"/>
  <c r="CX38" i="41" s="1"/>
  <c r="Z38" i="41"/>
  <c r="Z44" i="45"/>
  <c r="Q44" i="45" s="1"/>
  <c r="CO68" i="47"/>
  <c r="CN68" i="47" s="1"/>
  <c r="DJ68" i="47" s="1"/>
  <c r="DS68" i="47"/>
  <c r="DT68" i="47" s="1"/>
  <c r="DX68" i="47" s="1"/>
  <c r="Z68" i="47"/>
  <c r="EM68" i="47" s="1"/>
  <c r="DI78" i="47"/>
  <c r="DN78" i="47" s="1"/>
  <c r="CN56" i="32"/>
  <c r="CN59" i="32"/>
  <c r="CN44" i="32"/>
  <c r="CN47" i="32"/>
  <c r="CN75" i="32"/>
  <c r="CN58" i="32"/>
  <c r="CN48" i="32"/>
  <c r="DT51" i="32"/>
  <c r="DX51" i="32" s="1"/>
  <c r="DT41" i="32"/>
  <c r="DX41" i="32" s="1"/>
  <c r="DT56" i="32"/>
  <c r="DX56" i="32" s="1"/>
  <c r="DT44" i="32"/>
  <c r="DX44" i="32" s="1"/>
  <c r="CL15" i="32"/>
  <c r="CL21" i="32"/>
  <c r="DF21" i="32" s="1"/>
  <c r="CL18" i="22"/>
  <c r="CL46" i="22"/>
  <c r="DE46" i="22" s="1"/>
  <c r="CL47" i="22"/>
  <c r="DE47" i="22" s="1"/>
  <c r="CL53" i="22"/>
  <c r="DE53" i="22" s="1"/>
  <c r="CL64" i="22"/>
  <c r="DE64" i="22" s="1"/>
  <c r="CL52" i="22"/>
  <c r="DE52" i="22" s="1"/>
  <c r="CL75" i="22"/>
  <c r="DE75" i="22" s="1"/>
  <c r="CL74" i="22"/>
  <c r="DE74" i="22" s="1"/>
  <c r="CL63" i="22"/>
  <c r="DE63" i="22" s="1"/>
  <c r="CL70" i="22"/>
  <c r="DE70" i="22" s="1"/>
  <c r="CL57" i="22"/>
  <c r="DE57" i="22" s="1"/>
  <c r="CL38" i="22"/>
  <c r="DE38" i="22" s="1"/>
  <c r="DS42" i="45"/>
  <c r="DT42" i="45" s="1"/>
  <c r="DX42" i="45" s="1"/>
  <c r="DG78" i="47"/>
  <c r="DL78" i="47" s="1"/>
  <c r="BS68" i="41"/>
  <c r="DT77" i="32"/>
  <c r="DX77" i="32" s="1"/>
  <c r="CN66" i="32"/>
  <c r="DT57" i="32"/>
  <c r="DX57" i="32" s="1"/>
  <c r="CN65" i="32"/>
  <c r="DT62" i="32"/>
  <c r="DX62" i="32" s="1"/>
  <c r="CN69" i="32"/>
  <c r="DT65" i="32"/>
  <c r="DX65" i="32" s="1"/>
  <c r="DT78" i="32"/>
  <c r="DX78" i="32" s="1"/>
  <c r="DT53" i="32"/>
  <c r="DX53" i="32" s="1"/>
  <c r="DT68" i="32"/>
  <c r="DX68" i="32" s="1"/>
  <c r="CN52" i="32"/>
  <c r="CL36" i="32"/>
  <c r="DE36" i="32" s="1"/>
  <c r="CL20" i="32"/>
  <c r="J20" i="32" s="1"/>
  <c r="CS68" i="47"/>
  <c r="CX68" i="47" s="1"/>
  <c r="CL40" i="22"/>
  <c r="DE40" i="22" s="1"/>
  <c r="CL76" i="22"/>
  <c r="DE76" i="22" s="1"/>
  <c r="CL68" i="22"/>
  <c r="DE68" i="22" s="1"/>
  <c r="CL27" i="22"/>
  <c r="CL33" i="22"/>
  <c r="CL60" i="22"/>
  <c r="DE60" i="22" s="1"/>
  <c r="CL30" i="22"/>
  <c r="CL32" i="22"/>
  <c r="CL77" i="22"/>
  <c r="DE77" i="22" s="1"/>
  <c r="CL54" i="22"/>
  <c r="DE54" i="22" s="1"/>
  <c r="CL51" i="22"/>
  <c r="DE51" i="22" s="1"/>
  <c r="CL48" i="22"/>
  <c r="DE48" i="22" s="1"/>
  <c r="CS66" i="19"/>
  <c r="P75" i="38"/>
  <c r="CY78" i="41"/>
  <c r="M78" i="41" s="1"/>
  <c r="N57" i="41"/>
  <c r="CY57" i="41"/>
  <c r="M57" i="41" s="1"/>
  <c r="L63" i="41"/>
  <c r="L59" i="41"/>
  <c r="CO66" i="19"/>
  <c r="CN66" i="19" s="1"/>
  <c r="EU65" i="47"/>
  <c r="CS58" i="45"/>
  <c r="CX58" i="45" s="1"/>
  <c r="EU38" i="45"/>
  <c r="DS38" i="45"/>
  <c r="DT38" i="45" s="1"/>
  <c r="DX38" i="45" s="1"/>
  <c r="Z38" i="45"/>
  <c r="Q38" i="45" s="1"/>
  <c r="DS66" i="19"/>
  <c r="DT66" i="19" s="1"/>
  <c r="DS68" i="45"/>
  <c r="DT68" i="45" s="1"/>
  <c r="DX68" i="45" s="1"/>
  <c r="EU66" i="19"/>
  <c r="DS58" i="45"/>
  <c r="DT58" i="45" s="1"/>
  <c r="CO38" i="45"/>
  <c r="CN38" i="45" s="1"/>
  <c r="CU38" i="45"/>
  <c r="CZ38" i="45" s="1"/>
  <c r="EE72" i="41"/>
  <c r="EF72" i="41" s="1"/>
  <c r="DW72" i="41"/>
  <c r="EB72" i="41" s="1"/>
  <c r="EU38" i="41"/>
  <c r="CO38" i="41"/>
  <c r="CN38" i="41" s="1"/>
  <c r="DJ38" i="41" s="1"/>
  <c r="CO58" i="45"/>
  <c r="CN58" i="45" s="1"/>
  <c r="DJ58" i="45" s="1"/>
  <c r="CU32" i="45"/>
  <c r="CZ32" i="45" s="1"/>
  <c r="Z52" i="47"/>
  <c r="DG78" i="41"/>
  <c r="DL78" i="41" s="1"/>
  <c r="CO54" i="19"/>
  <c r="CN54" i="19" s="1"/>
  <c r="Z54" i="19"/>
  <c r="EU54" i="19"/>
  <c r="CS54" i="19"/>
  <c r="DS54" i="19"/>
  <c r="DT54" i="19" s="1"/>
  <c r="CU44" i="45"/>
  <c r="CZ44" i="45" s="1"/>
  <c r="DS44" i="45"/>
  <c r="DT44" i="45" s="1"/>
  <c r="DX44" i="45" s="1"/>
  <c r="DI78" i="41"/>
  <c r="DN78" i="41" s="1"/>
  <c r="DS41" i="19"/>
  <c r="DT41" i="19" s="1"/>
  <c r="DX41" i="19" s="1"/>
  <c r="Z41" i="19"/>
  <c r="EU41" i="19"/>
  <c r="CU41" i="19"/>
  <c r="CS41" i="19"/>
  <c r="CO41" i="19"/>
  <c r="CN41" i="19" s="1"/>
  <c r="DJ41" i="19" s="1"/>
  <c r="DS40" i="19"/>
  <c r="DT40" i="19" s="1"/>
  <c r="DX40" i="19" s="1"/>
  <c r="Z40" i="19"/>
  <c r="EU40" i="19"/>
  <c r="CO40" i="19"/>
  <c r="CN40" i="19" s="1"/>
  <c r="DJ40" i="19" s="1"/>
  <c r="CU40" i="19"/>
  <c r="CS40" i="19"/>
  <c r="Z38" i="19"/>
  <c r="EU38" i="19"/>
  <c r="CO38" i="19"/>
  <c r="CN38" i="19" s="1"/>
  <c r="DJ38" i="19" s="1"/>
  <c r="CS38" i="19"/>
  <c r="DS38" i="19"/>
  <c r="DT38" i="19" s="1"/>
  <c r="DX38" i="19" s="1"/>
  <c r="EU42" i="19"/>
  <c r="Z42" i="19"/>
  <c r="Q42" i="19" s="1"/>
  <c r="CS42" i="19"/>
  <c r="CO42" i="19"/>
  <c r="CN42" i="19" s="1"/>
  <c r="DJ42" i="19" s="1"/>
  <c r="DS42" i="19"/>
  <c r="DT42" i="19" s="1"/>
  <c r="DX42" i="19" s="1"/>
  <c r="CU42" i="19"/>
  <c r="CU58" i="45"/>
  <c r="CZ58" i="45" s="1"/>
  <c r="EU58" i="45"/>
  <c r="Z53" i="19"/>
  <c r="CS53" i="19"/>
  <c r="EU53" i="19"/>
  <c r="DS53" i="19"/>
  <c r="DT53" i="19" s="1"/>
  <c r="CO53" i="19"/>
  <c r="CN53" i="19" s="1"/>
  <c r="EU77" i="19"/>
  <c r="CS77" i="19"/>
  <c r="Z77" i="19"/>
  <c r="H77" i="19" s="1"/>
  <c r="CO77" i="19"/>
  <c r="CN77" i="19" s="1"/>
  <c r="DS77" i="19"/>
  <c r="DT77" i="19" s="1"/>
  <c r="Z51" i="19"/>
  <c r="EU51" i="19"/>
  <c r="DS51" i="19"/>
  <c r="DT51" i="19" s="1"/>
  <c r="CS51" i="19"/>
  <c r="CO51" i="19"/>
  <c r="CN51" i="19" s="1"/>
  <c r="Z58" i="45"/>
  <c r="CO39" i="19"/>
  <c r="CN39" i="19" s="1"/>
  <c r="DJ39" i="19" s="1"/>
  <c r="EU39" i="19"/>
  <c r="Z39" i="19"/>
  <c r="CS39" i="19"/>
  <c r="DS39" i="19"/>
  <c r="DT39" i="19" s="1"/>
  <c r="DX39" i="19" s="1"/>
  <c r="CU39" i="19"/>
  <c r="EU78" i="19"/>
  <c r="Z78" i="19"/>
  <c r="H78" i="19" s="1"/>
  <c r="CS78" i="19"/>
  <c r="DS78" i="19"/>
  <c r="DT78" i="19" s="1"/>
  <c r="CO78" i="19"/>
  <c r="CN78" i="19" s="1"/>
  <c r="CO50" i="19"/>
  <c r="CN50" i="19" s="1"/>
  <c r="Z50" i="19"/>
  <c r="DS50" i="19"/>
  <c r="DT50" i="19" s="1"/>
  <c r="EU50" i="19"/>
  <c r="CS50" i="19"/>
  <c r="CN63" i="32"/>
  <c r="DT58" i="32"/>
  <c r="DT54" i="32"/>
  <c r="DX54" i="32" s="1"/>
  <c r="CN76" i="32"/>
  <c r="CN60" i="32"/>
  <c r="DT42" i="32"/>
  <c r="DT70" i="32"/>
  <c r="CN42" i="32"/>
  <c r="CN50" i="32"/>
  <c r="CN62" i="32"/>
  <c r="DT72" i="32"/>
  <c r="DX72" i="32" s="1"/>
  <c r="CN46" i="32"/>
  <c r="CN70" i="32"/>
  <c r="CN72" i="32"/>
  <c r="CN74" i="32"/>
  <c r="CN68" i="32"/>
  <c r="CL34" i="32"/>
  <c r="DE34" i="32" s="1"/>
  <c r="CL24" i="32"/>
  <c r="CL29" i="32"/>
  <c r="J29" i="32" s="1"/>
  <c r="CL30" i="32"/>
  <c r="DF30" i="32" s="1"/>
  <c r="CL32" i="32"/>
  <c r="CL27" i="32"/>
  <c r="DF27" i="32" s="1"/>
  <c r="CL18" i="32"/>
  <c r="DT59" i="32"/>
  <c r="DT64" i="32"/>
  <c r="DX64" i="32" s="1"/>
  <c r="CN77" i="32"/>
  <c r="DT63" i="32"/>
  <c r="DX63" i="32" s="1"/>
  <c r="CL35" i="32"/>
  <c r="DE35" i="32" s="1"/>
  <c r="CL39" i="32"/>
  <c r="DE39" i="32" s="1"/>
  <c r="CL40" i="32"/>
  <c r="DE40" i="32" s="1"/>
  <c r="CL38" i="32"/>
  <c r="DE38" i="32" s="1"/>
  <c r="CL11" i="32"/>
  <c r="CL22" i="32"/>
  <c r="DF22" i="32" s="1"/>
  <c r="CO47" i="41"/>
  <c r="CN47" i="41" s="1"/>
  <c r="DJ47" i="41" s="1"/>
  <c r="DS34" i="41"/>
  <c r="DT34" i="41" s="1"/>
  <c r="Z24" i="41"/>
  <c r="DS50" i="41"/>
  <c r="DT50" i="41" s="1"/>
  <c r="DX50" i="41" s="1"/>
  <c r="CS50" i="41"/>
  <c r="CX50" i="41" s="1"/>
  <c r="CU50" i="41"/>
  <c r="CZ50" i="41" s="1"/>
  <c r="Z50" i="41"/>
  <c r="EU50" i="41"/>
  <c r="EU18" i="47"/>
  <c r="CU54" i="47"/>
  <c r="CZ54" i="47" s="1"/>
  <c r="DS57" i="45"/>
  <c r="DT57" i="45" s="1"/>
  <c r="EU56" i="45"/>
  <c r="CS54" i="45"/>
  <c r="CX54" i="45" s="1"/>
  <c r="CS77" i="45"/>
  <c r="CX77" i="45" s="1"/>
  <c r="EU42" i="45"/>
  <c r="CU65" i="45"/>
  <c r="CZ65" i="45" s="1"/>
  <c r="DS56" i="45"/>
  <c r="DT56" i="45" s="1"/>
  <c r="EU54" i="45"/>
  <c r="CS65" i="45"/>
  <c r="CX65" i="45" s="1"/>
  <c r="CO57" i="45"/>
  <c r="CN57" i="45" s="1"/>
  <c r="DJ57" i="45" s="1"/>
  <c r="CU57" i="45"/>
  <c r="CZ57" i="45" s="1"/>
  <c r="CO42" i="45"/>
  <c r="CN42" i="45" s="1"/>
  <c r="DJ42" i="45" s="1"/>
  <c r="DS54" i="45"/>
  <c r="DT54" i="45" s="1"/>
  <c r="CU77" i="45"/>
  <c r="CZ77" i="45" s="1"/>
  <c r="CY76" i="41"/>
  <c r="M76" i="41" s="1"/>
  <c r="N68" i="41"/>
  <c r="L62" i="41"/>
  <c r="CY69" i="41"/>
  <c r="M69" i="41" s="1"/>
  <c r="CY64" i="41"/>
  <c r="M64" i="41" s="1"/>
  <c r="N63" i="41"/>
  <c r="DB72" i="41"/>
  <c r="O72" i="41" s="1"/>
  <c r="O73" i="41" s="1"/>
  <c r="CS47" i="41"/>
  <c r="CX47" i="41" s="1"/>
  <c r="Z47" i="41"/>
  <c r="CS41" i="41"/>
  <c r="CX41" i="41" s="1"/>
  <c r="DS47" i="41"/>
  <c r="DT47" i="41" s="1"/>
  <c r="DX47" i="41" s="1"/>
  <c r="N64" i="41"/>
  <c r="CU47" i="41"/>
  <c r="CZ47" i="41" s="1"/>
  <c r="CY72" i="41"/>
  <c r="M72" i="41" s="1"/>
  <c r="L70" i="41"/>
  <c r="N71" i="41"/>
  <c r="DB62" i="41"/>
  <c r="O62" i="41" s="1"/>
  <c r="O67" i="41" s="1"/>
  <c r="CO45" i="41"/>
  <c r="CN45" i="41" s="1"/>
  <c r="DJ45" i="41" s="1"/>
  <c r="EU32" i="41"/>
  <c r="CS45" i="41"/>
  <c r="CX45" i="41" s="1"/>
  <c r="CY71" i="41"/>
  <c r="M71" i="41" s="1"/>
  <c r="CO29" i="47"/>
  <c r="CN29" i="47" s="1"/>
  <c r="DJ29" i="47" s="1"/>
  <c r="CO52" i="47"/>
  <c r="CN52" i="47" s="1"/>
  <c r="DJ52" i="47" s="1"/>
  <c r="CS77" i="47"/>
  <c r="CX77" i="47" s="1"/>
  <c r="CO63" i="47"/>
  <c r="CN63" i="47" s="1"/>
  <c r="DJ63" i="47" s="1"/>
  <c r="DS29" i="47"/>
  <c r="DT29" i="47" s="1"/>
  <c r="EU52" i="47"/>
  <c r="EU77" i="47"/>
  <c r="Z65" i="47"/>
  <c r="CU77" i="47"/>
  <c r="CZ77" i="47" s="1"/>
  <c r="DU78" i="41"/>
  <c r="DZ78" i="41" s="1"/>
  <c r="CS57" i="47"/>
  <c r="CX57" i="47" s="1"/>
  <c r="EU29" i="47"/>
  <c r="CU52" i="47"/>
  <c r="CZ52" i="47" s="1"/>
  <c r="CO65" i="47"/>
  <c r="CN65" i="47" s="1"/>
  <c r="DJ65" i="47" s="1"/>
  <c r="DS65" i="47"/>
  <c r="DT65" i="47" s="1"/>
  <c r="DX65" i="47" s="1"/>
  <c r="DG59" i="41"/>
  <c r="DL59" i="41" s="1"/>
  <c r="L77" i="41"/>
  <c r="DW78" i="41"/>
  <c r="EB78" i="41" s="1"/>
  <c r="DI59" i="41"/>
  <c r="DN59" i="41" s="1"/>
  <c r="N58" i="41"/>
  <c r="DQ59" i="41"/>
  <c r="DR59" i="41" s="1"/>
  <c r="N59" i="41"/>
  <c r="EE77" i="41"/>
  <c r="EF77" i="41" s="1"/>
  <c r="EU47" i="45"/>
  <c r="DW77" i="41"/>
  <c r="EB77" i="41" s="1"/>
  <c r="CY65" i="41"/>
  <c r="M65" i="41" s="1"/>
  <c r="Z47" i="45"/>
  <c r="Q47" i="45" s="1"/>
  <c r="CU47" i="45"/>
  <c r="CZ47" i="45" s="1"/>
  <c r="CY66" i="41"/>
  <c r="M66" i="41" s="1"/>
  <c r="CU33" i="41"/>
  <c r="DS51" i="41"/>
  <c r="DT51" i="41" s="1"/>
  <c r="DX51" i="41" s="1"/>
  <c r="CS33" i="41"/>
  <c r="DW62" i="41"/>
  <c r="EB62" i="41" s="1"/>
  <c r="CO52" i="41"/>
  <c r="CN52" i="41" s="1"/>
  <c r="DJ52" i="41" s="1"/>
  <c r="EU52" i="41"/>
  <c r="Z41" i="41"/>
  <c r="CU75" i="41"/>
  <c r="CZ75" i="41" s="1"/>
  <c r="Z75" i="41"/>
  <c r="EU75" i="41"/>
  <c r="CS75" i="41"/>
  <c r="CX75" i="41" s="1"/>
  <c r="DS75" i="41"/>
  <c r="DT75" i="41" s="1"/>
  <c r="CO75" i="41"/>
  <c r="CN75" i="41" s="1"/>
  <c r="DJ75" i="41" s="1"/>
  <c r="CU34" i="41"/>
  <c r="EU51" i="41"/>
  <c r="DS35" i="41"/>
  <c r="DT35" i="41" s="1"/>
  <c r="EU35" i="41"/>
  <c r="EU33" i="41"/>
  <c r="DS52" i="41"/>
  <c r="DT52" i="41" s="1"/>
  <c r="DX52" i="41" s="1"/>
  <c r="CU51" i="41"/>
  <c r="CZ51" i="41" s="1"/>
  <c r="Z35" i="41"/>
  <c r="Q35" i="41" s="1"/>
  <c r="EU45" i="41"/>
  <c r="CO33" i="41"/>
  <c r="CN33" i="41" s="1"/>
  <c r="DJ33" i="41" s="1"/>
  <c r="CS52" i="41"/>
  <c r="CX52" i="41" s="1"/>
  <c r="EE62" i="41"/>
  <c r="EF62" i="41" s="1"/>
  <c r="Z74" i="41"/>
  <c r="CO74" i="41"/>
  <c r="CN74" i="41" s="1"/>
  <c r="DS74" i="41"/>
  <c r="DT74" i="41" s="1"/>
  <c r="DX74" i="41" s="1"/>
  <c r="EU74" i="41"/>
  <c r="CU74" i="41"/>
  <c r="CZ74" i="41" s="1"/>
  <c r="CS74" i="41"/>
  <c r="CX74" i="41" s="1"/>
  <c r="EU34" i="41"/>
  <c r="Z51" i="41"/>
  <c r="CU35" i="41"/>
  <c r="Z45" i="41"/>
  <c r="DS33" i="41"/>
  <c r="DT33" i="41" s="1"/>
  <c r="Z52" i="41"/>
  <c r="CS54" i="41"/>
  <c r="CX54" i="41" s="1"/>
  <c r="Z54" i="41"/>
  <c r="Q54" i="41" s="1"/>
  <c r="EU54" i="41"/>
  <c r="CO54" i="41"/>
  <c r="CN54" i="41" s="1"/>
  <c r="DJ54" i="41" s="1"/>
  <c r="DS54" i="41"/>
  <c r="DT54" i="41" s="1"/>
  <c r="DX54" i="41" s="1"/>
  <c r="CU54" i="41"/>
  <c r="CZ54" i="41" s="1"/>
  <c r="CU71" i="45"/>
  <c r="CZ71" i="45" s="1"/>
  <c r="N69" i="41"/>
  <c r="EU53" i="41"/>
  <c r="J53" i="41"/>
  <c r="Z34" i="41"/>
  <c r="CO34" i="41"/>
  <c r="CN34" i="41" s="1"/>
  <c r="CS34" i="41"/>
  <c r="CO51" i="41"/>
  <c r="CN51" i="41" s="1"/>
  <c r="DJ51" i="41" s="1"/>
  <c r="CS51" i="41"/>
  <c r="CX51" i="41" s="1"/>
  <c r="CS35" i="41"/>
  <c r="DS45" i="41"/>
  <c r="DT45" i="41" s="1"/>
  <c r="DX45" i="41" s="1"/>
  <c r="CU45" i="41"/>
  <c r="CZ45" i="41" s="1"/>
  <c r="EU41" i="41"/>
  <c r="CU41" i="41"/>
  <c r="CZ41" i="41" s="1"/>
  <c r="CO35" i="41"/>
  <c r="CN35" i="41" s="1"/>
  <c r="DS41" i="41"/>
  <c r="DT41" i="41" s="1"/>
  <c r="DX41" i="41" s="1"/>
  <c r="CO41" i="41"/>
  <c r="CN41" i="41" s="1"/>
  <c r="DJ41" i="41" s="1"/>
  <c r="DB78" i="41"/>
  <c r="O78" i="41" s="1"/>
  <c r="DS23" i="41"/>
  <c r="DT23" i="41" s="1"/>
  <c r="DX23" i="41" s="1"/>
  <c r="CS30" i="41"/>
  <c r="Z63" i="45"/>
  <c r="Q63" i="45" s="1"/>
  <c r="DS29" i="45"/>
  <c r="DT29" i="45" s="1"/>
  <c r="DX29" i="45" s="1"/>
  <c r="CS48" i="41"/>
  <c r="CX48" i="41" s="1"/>
  <c r="CO29" i="41"/>
  <c r="CN29" i="41" s="1"/>
  <c r="DS35" i="47"/>
  <c r="DT35" i="47" s="1"/>
  <c r="DX35" i="47" s="1"/>
  <c r="CO72" i="19"/>
  <c r="CN72" i="19" s="1"/>
  <c r="N65" i="41"/>
  <c r="EU53" i="47"/>
  <c r="CU53" i="47"/>
  <c r="CZ53" i="47" s="1"/>
  <c r="CO53" i="47"/>
  <c r="CN53" i="47" s="1"/>
  <c r="DJ53" i="47" s="1"/>
  <c r="CO35" i="47"/>
  <c r="CN35" i="47" s="1"/>
  <c r="DJ35" i="47" s="1"/>
  <c r="Z53" i="47"/>
  <c r="CS53" i="47"/>
  <c r="CX53" i="47" s="1"/>
  <c r="CO18" i="47"/>
  <c r="CN18" i="47" s="1"/>
  <c r="DJ18" i="47" s="1"/>
  <c r="CO72" i="47"/>
  <c r="CN72" i="47" s="1"/>
  <c r="DJ72" i="47" s="1"/>
  <c r="EU72" i="47"/>
  <c r="CU70" i="47"/>
  <c r="CZ70" i="47" s="1"/>
  <c r="EU54" i="47"/>
  <c r="DS18" i="47"/>
  <c r="DT18" i="47" s="1"/>
  <c r="DX18" i="47" s="1"/>
  <c r="CU18" i="47"/>
  <c r="DS72" i="47"/>
  <c r="DT72" i="47" s="1"/>
  <c r="DX72" i="47" s="1"/>
  <c r="Z72" i="47"/>
  <c r="EM72" i="47" s="1"/>
  <c r="CO70" i="47"/>
  <c r="CN70" i="47" s="1"/>
  <c r="DJ70" i="47" s="1"/>
  <c r="Z70" i="47"/>
  <c r="EM70" i="47" s="1"/>
  <c r="DS54" i="47"/>
  <c r="DT54" i="47" s="1"/>
  <c r="DX54" i="47" s="1"/>
  <c r="Z54" i="47"/>
  <c r="CS72" i="47"/>
  <c r="CX72" i="47" s="1"/>
  <c r="CU72" i="47"/>
  <c r="CZ72" i="47" s="1"/>
  <c r="DS70" i="47"/>
  <c r="DT70" i="47" s="1"/>
  <c r="DX70" i="47" s="1"/>
  <c r="CS70" i="47"/>
  <c r="CX70" i="47" s="1"/>
  <c r="CO54" i="47"/>
  <c r="CN54" i="47" s="1"/>
  <c r="DJ54" i="47" s="1"/>
  <c r="Z18" i="47"/>
  <c r="EU70" i="47"/>
  <c r="CS54" i="47"/>
  <c r="CX54" i="47" s="1"/>
  <c r="CU60" i="47"/>
  <c r="CZ60" i="47" s="1"/>
  <c r="CO12" i="47"/>
  <c r="CN12" i="47" s="1"/>
  <c r="DJ12" i="47" s="1"/>
  <c r="CO44" i="45"/>
  <c r="CN44" i="45" s="1"/>
  <c r="EU44" i="45"/>
  <c r="CS47" i="45"/>
  <c r="CX47" i="45" s="1"/>
  <c r="CO47" i="45"/>
  <c r="CN47" i="45" s="1"/>
  <c r="DJ47" i="45" s="1"/>
  <c r="Z65" i="45"/>
  <c r="Z57" i="45"/>
  <c r="EU57" i="45"/>
  <c r="CS42" i="45"/>
  <c r="CX42" i="45" s="1"/>
  <c r="Z42" i="45"/>
  <c r="Q42" i="45" s="1"/>
  <c r="CU68" i="45"/>
  <c r="CZ68" i="45" s="1"/>
  <c r="CS68" i="45"/>
  <c r="CX68" i="45" s="1"/>
  <c r="CS56" i="45"/>
  <c r="CX56" i="45" s="1"/>
  <c r="Z56" i="45"/>
  <c r="Q56" i="45" s="1"/>
  <c r="Z54" i="45"/>
  <c r="Q54" i="45" s="1"/>
  <c r="CU54" i="45"/>
  <c r="CZ54" i="45" s="1"/>
  <c r="Z77" i="45"/>
  <c r="DS77" i="45"/>
  <c r="DT77" i="45" s="1"/>
  <c r="DX77" i="45" s="1"/>
  <c r="CS44" i="45"/>
  <c r="CX44" i="45" s="1"/>
  <c r="DS65" i="45"/>
  <c r="DT65" i="45" s="1"/>
  <c r="EU65" i="45"/>
  <c r="CU46" i="45"/>
  <c r="CZ46" i="45" s="1"/>
  <c r="CS57" i="45"/>
  <c r="CX57" i="45" s="1"/>
  <c r="CU42" i="45"/>
  <c r="CZ42" i="45" s="1"/>
  <c r="CO56" i="45"/>
  <c r="CN56" i="45" s="1"/>
  <c r="DJ56" i="45" s="1"/>
  <c r="CO54" i="45"/>
  <c r="CN54" i="45" s="1"/>
  <c r="DS69" i="45"/>
  <c r="DT69" i="45" s="1"/>
  <c r="DX69" i="45" s="1"/>
  <c r="CO72" i="45"/>
  <c r="CN72" i="45" s="1"/>
  <c r="CY60" i="41"/>
  <c r="M60" i="41" s="1"/>
  <c r="CU66" i="45"/>
  <c r="CZ66" i="45" s="1"/>
  <c r="Z71" i="45"/>
  <c r="H71" i="45" s="1"/>
  <c r="EU39" i="45"/>
  <c r="Z57" i="19"/>
  <c r="Q57" i="19" s="1"/>
  <c r="DS71" i="19"/>
  <c r="DT71" i="19" s="1"/>
  <c r="EU63" i="19"/>
  <c r="EU69" i="19"/>
  <c r="DS63" i="19"/>
  <c r="DT63" i="19" s="1"/>
  <c r="Z63" i="19"/>
  <c r="Q63" i="19" s="1"/>
  <c r="CO63" i="19"/>
  <c r="CN63" i="19" s="1"/>
  <c r="Z58" i="19"/>
  <c r="Q58" i="19" s="1"/>
  <c r="CS62" i="19"/>
  <c r="Z77" i="47"/>
  <c r="EM77" i="47" s="1"/>
  <c r="DS77" i="47"/>
  <c r="DT77" i="47" s="1"/>
  <c r="DX77" i="47" s="1"/>
  <c r="CS66" i="45"/>
  <c r="CX66" i="45" s="1"/>
  <c r="Z57" i="47"/>
  <c r="CO57" i="47"/>
  <c r="CN57" i="47" s="1"/>
  <c r="DJ57" i="47" s="1"/>
  <c r="DS57" i="47"/>
  <c r="DT57" i="47" s="1"/>
  <c r="DX57" i="47" s="1"/>
  <c r="CS65" i="47"/>
  <c r="CX65" i="47" s="1"/>
  <c r="Z29" i="47"/>
  <c r="CU29" i="47"/>
  <c r="CS52" i="47"/>
  <c r="CX52" i="47" s="1"/>
  <c r="CO74" i="47"/>
  <c r="CN74" i="47" s="1"/>
  <c r="DJ74" i="47" s="1"/>
  <c r="CO77" i="47"/>
  <c r="CN77" i="47" s="1"/>
  <c r="DJ77" i="47" s="1"/>
  <c r="Z66" i="45"/>
  <c r="CS72" i="45"/>
  <c r="CX72" i="45" s="1"/>
  <c r="DS30" i="41"/>
  <c r="DT30" i="41" s="1"/>
  <c r="DX30" i="41" s="1"/>
  <c r="CU57" i="47"/>
  <c r="CZ57" i="47" s="1"/>
  <c r="CU29" i="45"/>
  <c r="CO41" i="45"/>
  <c r="CN41" i="45" s="1"/>
  <c r="DJ41" i="45" s="1"/>
  <c r="Z39" i="45"/>
  <c r="Q39" i="45" s="1"/>
  <c r="CO64" i="19"/>
  <c r="CN64" i="19" s="1"/>
  <c r="Z60" i="19"/>
  <c r="Q60" i="19" s="1"/>
  <c r="DS58" i="19"/>
  <c r="DT58" i="19" s="1"/>
  <c r="Z68" i="19"/>
  <c r="DS62" i="19"/>
  <c r="DT62" i="19" s="1"/>
  <c r="Z62" i="19"/>
  <c r="Q62" i="19" s="1"/>
  <c r="EU57" i="19"/>
  <c r="EU62" i="19"/>
  <c r="CO69" i="19"/>
  <c r="CN69" i="19" s="1"/>
  <c r="DS69" i="19"/>
  <c r="DT69" i="19" s="1"/>
  <c r="CS58" i="19"/>
  <c r="CO58" i="19"/>
  <c r="CN58" i="19" s="1"/>
  <c r="Z74" i="19"/>
  <c r="CS69" i="19"/>
  <c r="EU58" i="19"/>
  <c r="EU64" i="19"/>
  <c r="CU66" i="47"/>
  <c r="CZ66" i="47" s="1"/>
  <c r="DS34" i="47"/>
  <c r="DT34" i="47" s="1"/>
  <c r="EU58" i="47"/>
  <c r="CO71" i="47"/>
  <c r="CN71" i="47" s="1"/>
  <c r="DJ71" i="47" s="1"/>
  <c r="CU74" i="47"/>
  <c r="CZ74" i="47" s="1"/>
  <c r="DS74" i="47"/>
  <c r="DT74" i="47" s="1"/>
  <c r="DX74" i="47" s="1"/>
  <c r="CS74" i="47"/>
  <c r="CX74" i="47" s="1"/>
  <c r="CO34" i="47"/>
  <c r="CN34" i="47" s="1"/>
  <c r="CU58" i="47"/>
  <c r="CZ58" i="47" s="1"/>
  <c r="CU34" i="47"/>
  <c r="DU41" i="47"/>
  <c r="DZ41" i="47" s="1"/>
  <c r="CS75" i="19"/>
  <c r="Z71" i="19"/>
  <c r="EU36" i="19"/>
  <c r="CS70" i="19"/>
  <c r="DS75" i="19"/>
  <c r="DT75" i="19" s="1"/>
  <c r="DS36" i="19"/>
  <c r="DT36" i="19" s="1"/>
  <c r="Z76" i="19"/>
  <c r="EU76" i="19"/>
  <c r="CS56" i="19"/>
  <c r="DS59" i="19"/>
  <c r="DT59" i="19" s="1"/>
  <c r="EU59" i="19"/>
  <c r="Z64" i="19"/>
  <c r="Q64" i="19" s="1"/>
  <c r="CS60" i="19"/>
  <c r="CO60" i="19"/>
  <c r="CN60" i="19" s="1"/>
  <c r="DS57" i="19"/>
  <c r="DT57" i="19" s="1"/>
  <c r="CO57" i="19"/>
  <c r="CN57" i="19" s="1"/>
  <c r="CO59" i="19"/>
  <c r="CN59" i="19" s="1"/>
  <c r="CS64" i="19"/>
  <c r="EU60" i="19"/>
  <c r="DS60" i="19"/>
  <c r="DT60" i="19" s="1"/>
  <c r="CS57" i="19"/>
  <c r="EU74" i="19"/>
  <c r="Z59" i="19"/>
  <c r="Q59" i="19" s="1"/>
  <c r="CO70" i="19"/>
  <c r="CN70" i="19" s="1"/>
  <c r="CS72" i="19"/>
  <c r="EU72" i="19"/>
  <c r="EU75" i="19"/>
  <c r="CS71" i="19"/>
  <c r="EU71" i="19"/>
  <c r="CU36" i="19"/>
  <c r="Z36" i="19"/>
  <c r="Q36" i="19" s="1"/>
  <c r="Z70" i="19"/>
  <c r="Z72" i="19"/>
  <c r="DS72" i="19"/>
  <c r="DT72" i="19" s="1"/>
  <c r="CO75" i="19"/>
  <c r="CN75" i="19" s="1"/>
  <c r="CO71" i="19"/>
  <c r="CN71" i="19" s="1"/>
  <c r="CS36" i="19"/>
  <c r="DU50" i="47"/>
  <c r="DZ50" i="47" s="1"/>
  <c r="DI44" i="47"/>
  <c r="DN44" i="47" s="1"/>
  <c r="DQ44" i="47"/>
  <c r="DR44" i="47" s="1"/>
  <c r="DQ48" i="47"/>
  <c r="DR48" i="47" s="1"/>
  <c r="DI48" i="47"/>
  <c r="DN48" i="47" s="1"/>
  <c r="DQ41" i="47"/>
  <c r="DR41" i="47" s="1"/>
  <c r="DI50" i="47"/>
  <c r="DN50" i="47" s="1"/>
  <c r="EE48" i="47"/>
  <c r="EF48" i="47" s="1"/>
  <c r="DW41" i="47"/>
  <c r="EB41" i="47" s="1"/>
  <c r="EE40" i="47"/>
  <c r="EF40" i="47" s="1"/>
  <c r="DU40" i="47"/>
  <c r="DZ40" i="47" s="1"/>
  <c r="DW46" i="47"/>
  <c r="EB46" i="47" s="1"/>
  <c r="DQ51" i="47"/>
  <c r="DR51" i="47" s="1"/>
  <c r="DI78" i="45"/>
  <c r="DN78" i="45" s="1"/>
  <c r="DW50" i="47"/>
  <c r="EB50" i="47" s="1"/>
  <c r="DU59" i="41"/>
  <c r="DZ59" i="41" s="1"/>
  <c r="DW78" i="47"/>
  <c r="EB78" i="47" s="1"/>
  <c r="EE36" i="47"/>
  <c r="EF36" i="47" s="1"/>
  <c r="DU46" i="47"/>
  <c r="DZ46" i="47" s="1"/>
  <c r="DG78" i="45"/>
  <c r="DL78" i="45" s="1"/>
  <c r="DW36" i="47"/>
  <c r="EB36" i="47" s="1"/>
  <c r="DQ45" i="47"/>
  <c r="DR45" i="47" s="1"/>
  <c r="DW59" i="41"/>
  <c r="EB59" i="41" s="1"/>
  <c r="DW51" i="47"/>
  <c r="EB51" i="47" s="1"/>
  <c r="DI51" i="47"/>
  <c r="DN51" i="47" s="1"/>
  <c r="EE78" i="47"/>
  <c r="EF78" i="47" s="1"/>
  <c r="DG46" i="47"/>
  <c r="DL46" i="47" s="1"/>
  <c r="EU70" i="19"/>
  <c r="DS70" i="19"/>
  <c r="DT70" i="19" s="1"/>
  <c r="CS46" i="41"/>
  <c r="CX46" i="41" s="1"/>
  <c r="CS18" i="41"/>
  <c r="EU74" i="47"/>
  <c r="EU56" i="19"/>
  <c r="CO56" i="19"/>
  <c r="CN56" i="19" s="1"/>
  <c r="Z35" i="47"/>
  <c r="Q35" i="47" s="1"/>
  <c r="CS62" i="45"/>
  <c r="CX62" i="45" s="1"/>
  <c r="CS34" i="47"/>
  <c r="CO58" i="47"/>
  <c r="CN58" i="47" s="1"/>
  <c r="DJ58" i="47" s="1"/>
  <c r="Z58" i="47"/>
  <c r="CO29" i="45"/>
  <c r="CN29" i="45" s="1"/>
  <c r="CO71" i="45"/>
  <c r="CN71" i="45" s="1"/>
  <c r="DS71" i="45"/>
  <c r="DT71" i="45" s="1"/>
  <c r="CS39" i="45"/>
  <c r="CX39" i="45" s="1"/>
  <c r="DS39" i="45"/>
  <c r="DT39" i="45" s="1"/>
  <c r="EU71" i="47"/>
  <c r="DS71" i="47"/>
  <c r="DT71" i="47" s="1"/>
  <c r="DX71" i="47" s="1"/>
  <c r="EU12" i="47"/>
  <c r="CU12" i="47"/>
  <c r="DS50" i="45"/>
  <c r="DT50" i="45" s="1"/>
  <c r="DQ38" i="47"/>
  <c r="DR38" i="47" s="1"/>
  <c r="DI41" i="47"/>
  <c r="DN41" i="47" s="1"/>
  <c r="DI46" i="47"/>
  <c r="DN46" i="47" s="1"/>
  <c r="DG50" i="47"/>
  <c r="DL50" i="47" s="1"/>
  <c r="DU39" i="47"/>
  <c r="DZ39" i="47" s="1"/>
  <c r="DU51" i="47"/>
  <c r="DZ51" i="47" s="1"/>
  <c r="CU18" i="41"/>
  <c r="Z56" i="19"/>
  <c r="Q56" i="19" s="1"/>
  <c r="DS56" i="19"/>
  <c r="DT56" i="19" s="1"/>
  <c r="CS35" i="47"/>
  <c r="CX35" i="47" s="1"/>
  <c r="DS75" i="45"/>
  <c r="DT75" i="45" s="1"/>
  <c r="DX75" i="45" s="1"/>
  <c r="CU42" i="41"/>
  <c r="CZ42" i="41" s="1"/>
  <c r="Z48" i="41"/>
  <c r="EU34" i="47"/>
  <c r="DS58" i="47"/>
  <c r="DT58" i="47" s="1"/>
  <c r="DX58" i="47" s="1"/>
  <c r="EU29" i="45"/>
  <c r="CS71" i="45"/>
  <c r="CX71" i="45" s="1"/>
  <c r="CO39" i="45"/>
  <c r="CN39" i="45" s="1"/>
  <c r="DJ39" i="45" s="1"/>
  <c r="CS71" i="47"/>
  <c r="CX71" i="47" s="1"/>
  <c r="Z12" i="47"/>
  <c r="DG38" i="47"/>
  <c r="DL38" i="47" s="1"/>
  <c r="DQ46" i="47"/>
  <c r="DR46" i="47" s="1"/>
  <c r="EE39" i="47"/>
  <c r="EF39" i="47" s="1"/>
  <c r="DS46" i="41"/>
  <c r="DT46" i="41" s="1"/>
  <c r="DX46" i="41" s="1"/>
  <c r="EU35" i="47"/>
  <c r="Z75" i="45"/>
  <c r="CO52" i="45"/>
  <c r="CN52" i="45" s="1"/>
  <c r="CO48" i="41"/>
  <c r="CN48" i="41" s="1"/>
  <c r="DJ48" i="41" s="1"/>
  <c r="Z34" i="47"/>
  <c r="Z29" i="45"/>
  <c r="Z71" i="47"/>
  <c r="EM71" i="47" s="1"/>
  <c r="DS12" i="47"/>
  <c r="DT12" i="47" s="1"/>
  <c r="EU45" i="45"/>
  <c r="CS36" i="45"/>
  <c r="CX36" i="45" s="1"/>
  <c r="DW48" i="47"/>
  <c r="EB48" i="47" s="1"/>
  <c r="DG41" i="47"/>
  <c r="DL41" i="47" s="1"/>
  <c r="DG45" i="47"/>
  <c r="DL45" i="47" s="1"/>
  <c r="EE51" i="47"/>
  <c r="EF51" i="47" s="1"/>
  <c r="CO34" i="45"/>
  <c r="CN34" i="45" s="1"/>
  <c r="DJ34" i="45" s="1"/>
  <c r="CS34" i="45"/>
  <c r="CX34" i="45" s="1"/>
  <c r="Z34" i="45"/>
  <c r="Z70" i="45"/>
  <c r="H70" i="45" s="1"/>
  <c r="CO70" i="45"/>
  <c r="CN70" i="45" s="1"/>
  <c r="DJ70" i="45" s="1"/>
  <c r="CS70" i="45"/>
  <c r="CX70" i="45" s="1"/>
  <c r="EU39" i="41"/>
  <c r="DS39" i="41"/>
  <c r="DT39" i="41" s="1"/>
  <c r="DX39" i="41" s="1"/>
  <c r="DS17" i="41"/>
  <c r="DT17" i="41" s="1"/>
  <c r="DX17" i="41" s="1"/>
  <c r="CO17" i="41"/>
  <c r="CN17" i="41" s="1"/>
  <c r="DJ17" i="41" s="1"/>
  <c r="CS17" i="41"/>
  <c r="Z74" i="45"/>
  <c r="H74" i="45" s="1"/>
  <c r="DS74" i="45"/>
  <c r="DT74" i="45" s="1"/>
  <c r="DX74" i="45" s="1"/>
  <c r="DS40" i="45"/>
  <c r="DT40" i="45" s="1"/>
  <c r="DX40" i="45" s="1"/>
  <c r="CS40" i="45"/>
  <c r="CX40" i="45" s="1"/>
  <c r="Z40" i="45"/>
  <c r="CU40" i="45"/>
  <c r="CZ40" i="45" s="1"/>
  <c r="Z30" i="45"/>
  <c r="CS30" i="45"/>
  <c r="CO30" i="45"/>
  <c r="CN30" i="45" s="1"/>
  <c r="DG68" i="41"/>
  <c r="DL68" i="41" s="1"/>
  <c r="DQ68" i="41"/>
  <c r="DR68" i="41" s="1"/>
  <c r="CS60" i="45"/>
  <c r="CX60" i="45" s="1"/>
  <c r="DS60" i="45"/>
  <c r="DT60" i="45" s="1"/>
  <c r="EU60" i="45"/>
  <c r="CU60" i="45"/>
  <c r="CZ60" i="45" s="1"/>
  <c r="Z60" i="45"/>
  <c r="Q60" i="45" s="1"/>
  <c r="DW70" i="41"/>
  <c r="EB70" i="41" s="1"/>
  <c r="CU51" i="45"/>
  <c r="CZ51" i="45" s="1"/>
  <c r="CS51" i="45"/>
  <c r="CX51" i="45" s="1"/>
  <c r="DS51" i="45"/>
  <c r="DT51" i="45" s="1"/>
  <c r="DI62" i="41"/>
  <c r="DN62" i="41" s="1"/>
  <c r="DQ62" i="41"/>
  <c r="DR62" i="41" s="1"/>
  <c r="DI65" i="41"/>
  <c r="DN65" i="41" s="1"/>
  <c r="DG65" i="41"/>
  <c r="DL65" i="41" s="1"/>
  <c r="EU24" i="41"/>
  <c r="CS24" i="41"/>
  <c r="CO24" i="41"/>
  <c r="CN24" i="41" s="1"/>
  <c r="DS24" i="41"/>
  <c r="DT24" i="41" s="1"/>
  <c r="Z44" i="41"/>
  <c r="Q44" i="41" s="1"/>
  <c r="CO44" i="41"/>
  <c r="CN44" i="41" s="1"/>
  <c r="DJ44" i="41" s="1"/>
  <c r="CS44" i="41"/>
  <c r="CX44" i="41" s="1"/>
  <c r="CU44" i="41"/>
  <c r="CZ44" i="41" s="1"/>
  <c r="DS32" i="45"/>
  <c r="DT32" i="45" s="1"/>
  <c r="Z32" i="45"/>
  <c r="Q32" i="45" s="1"/>
  <c r="EU32" i="45"/>
  <c r="CS32" i="45"/>
  <c r="CX32" i="45" s="1"/>
  <c r="Z53" i="45"/>
  <c r="Q53" i="45" s="1"/>
  <c r="EU53" i="45"/>
  <c r="CS53" i="45"/>
  <c r="CX53" i="45" s="1"/>
  <c r="CO53" i="45"/>
  <c r="CN53" i="45" s="1"/>
  <c r="DJ53" i="45" s="1"/>
  <c r="DG40" i="47"/>
  <c r="DL40" i="47" s="1"/>
  <c r="DI40" i="47"/>
  <c r="DN40" i="47" s="1"/>
  <c r="DW44" i="47"/>
  <c r="EB44" i="47" s="1"/>
  <c r="DU44" i="47"/>
  <c r="DZ44" i="47" s="1"/>
  <c r="CS30" i="47"/>
  <c r="CU30" i="47"/>
  <c r="EU30" i="47"/>
  <c r="DS30" i="47"/>
  <c r="DT30" i="47" s="1"/>
  <c r="DX30" i="47" s="1"/>
  <c r="CU63" i="47"/>
  <c r="CZ63" i="47" s="1"/>
  <c r="DS63" i="47"/>
  <c r="DT63" i="47" s="1"/>
  <c r="DX63" i="47" s="1"/>
  <c r="DI42" i="47"/>
  <c r="DN42" i="47" s="1"/>
  <c r="DG42" i="47"/>
  <c r="DL42" i="47" s="1"/>
  <c r="CO65" i="19"/>
  <c r="CN65" i="19" s="1"/>
  <c r="CS65" i="19"/>
  <c r="DS65" i="19"/>
  <c r="DT65" i="19" s="1"/>
  <c r="Z76" i="47"/>
  <c r="EU76" i="47"/>
  <c r="CS76" i="47"/>
  <c r="CX76" i="47" s="1"/>
  <c r="DS76" i="47"/>
  <c r="DT76" i="47" s="1"/>
  <c r="DX76" i="47" s="1"/>
  <c r="CS64" i="47"/>
  <c r="CX64" i="47" s="1"/>
  <c r="EU64" i="47"/>
  <c r="DS64" i="47"/>
  <c r="DT64" i="47" s="1"/>
  <c r="DX64" i="47" s="1"/>
  <c r="Z64" i="47"/>
  <c r="EU59" i="47"/>
  <c r="DS59" i="47"/>
  <c r="DT59" i="47" s="1"/>
  <c r="DX59" i="47" s="1"/>
  <c r="CU59" i="47"/>
  <c r="CZ59" i="47" s="1"/>
  <c r="CO59" i="47"/>
  <c r="CN59" i="47" s="1"/>
  <c r="DJ59" i="47" s="1"/>
  <c r="CS59" i="47"/>
  <c r="CX59" i="47" s="1"/>
  <c r="DS74" i="19"/>
  <c r="DT74" i="19" s="1"/>
  <c r="CU17" i="41"/>
  <c r="CO51" i="45"/>
  <c r="CN51" i="45" s="1"/>
  <c r="CU53" i="45"/>
  <c r="CZ53" i="45" s="1"/>
  <c r="CO32" i="45"/>
  <c r="CN32" i="45" s="1"/>
  <c r="DS44" i="41"/>
  <c r="DT44" i="41" s="1"/>
  <c r="DX44" i="41" s="1"/>
  <c r="Z63" i="47"/>
  <c r="DS70" i="45"/>
  <c r="DT70" i="45" s="1"/>
  <c r="DX70" i="45" s="1"/>
  <c r="CU76" i="47"/>
  <c r="CZ76" i="47" s="1"/>
  <c r="CS74" i="45"/>
  <c r="CX74" i="45" s="1"/>
  <c r="EE42" i="47"/>
  <c r="EF42" i="47" s="1"/>
  <c r="CS36" i="41"/>
  <c r="CO36" i="41"/>
  <c r="CN36" i="41" s="1"/>
  <c r="DS40" i="41"/>
  <c r="DT40" i="41" s="1"/>
  <c r="DX40" i="41" s="1"/>
  <c r="CU40" i="41"/>
  <c r="CZ40" i="41" s="1"/>
  <c r="CO40" i="41"/>
  <c r="CN40" i="41" s="1"/>
  <c r="EU40" i="41"/>
  <c r="CU48" i="45"/>
  <c r="CZ48" i="45" s="1"/>
  <c r="DS48" i="45"/>
  <c r="DT48" i="45" s="1"/>
  <c r="DX48" i="45" s="1"/>
  <c r="EU48" i="45"/>
  <c r="EU59" i="45"/>
  <c r="CU59" i="45"/>
  <c r="CZ59" i="45" s="1"/>
  <c r="CS59" i="45"/>
  <c r="CX59" i="45" s="1"/>
  <c r="DS59" i="45"/>
  <c r="DT59" i="45" s="1"/>
  <c r="DS24" i="45"/>
  <c r="DT24" i="45" s="1"/>
  <c r="CO24" i="45"/>
  <c r="CN24" i="45" s="1"/>
  <c r="EU24" i="45"/>
  <c r="CO53" i="41"/>
  <c r="CN53" i="41" s="1"/>
  <c r="CS53" i="41"/>
  <c r="CS23" i="41"/>
  <c r="EU23" i="41"/>
  <c r="CO32" i="41"/>
  <c r="CN32" i="41" s="1"/>
  <c r="CU32" i="41"/>
  <c r="CO64" i="45"/>
  <c r="CN64" i="45" s="1"/>
  <c r="Z64" i="45"/>
  <c r="Q64" i="45" s="1"/>
  <c r="CU64" i="45"/>
  <c r="CZ64" i="45" s="1"/>
  <c r="CS33" i="45"/>
  <c r="CX33" i="45" s="1"/>
  <c r="Z33" i="45"/>
  <c r="Q33" i="45" s="1"/>
  <c r="CO33" i="45"/>
  <c r="CN33" i="45" s="1"/>
  <c r="DJ33" i="45" s="1"/>
  <c r="CS35" i="45"/>
  <c r="CX35" i="45" s="1"/>
  <c r="DS35" i="45"/>
  <c r="DT35" i="45" s="1"/>
  <c r="EU35" i="45"/>
  <c r="DI63" i="41"/>
  <c r="DN63" i="41" s="1"/>
  <c r="DG63" i="41"/>
  <c r="DL63" i="41" s="1"/>
  <c r="DS76" i="45"/>
  <c r="DT76" i="45" s="1"/>
  <c r="DX76" i="45" s="1"/>
  <c r="Z76" i="45"/>
  <c r="H76" i="45" s="1"/>
  <c r="CS76" i="45"/>
  <c r="CX76" i="45" s="1"/>
  <c r="CO76" i="45"/>
  <c r="CN76" i="45" s="1"/>
  <c r="DJ76" i="45" s="1"/>
  <c r="CU41" i="45"/>
  <c r="CZ41" i="45" s="1"/>
  <c r="DS41" i="45"/>
  <c r="DT41" i="45" s="1"/>
  <c r="CS41" i="45"/>
  <c r="CX41" i="45" s="1"/>
  <c r="EU41" i="45"/>
  <c r="Z41" i="45"/>
  <c r="CO66" i="45"/>
  <c r="CN66" i="45" s="1"/>
  <c r="DJ66" i="45" s="1"/>
  <c r="EU66" i="45"/>
  <c r="Z30" i="41"/>
  <c r="CO30" i="41"/>
  <c r="CN30" i="41" s="1"/>
  <c r="EU30" i="41"/>
  <c r="DU63" i="41"/>
  <c r="DZ63" i="41" s="1"/>
  <c r="EE63" i="41"/>
  <c r="EF63" i="41" s="1"/>
  <c r="CS69" i="45"/>
  <c r="CX69" i="45" s="1"/>
  <c r="CO69" i="45"/>
  <c r="CN69" i="45" s="1"/>
  <c r="DJ69" i="45" s="1"/>
  <c r="DS63" i="45"/>
  <c r="DT63" i="45" s="1"/>
  <c r="DX63" i="45" s="1"/>
  <c r="CU63" i="45"/>
  <c r="CZ63" i="45" s="1"/>
  <c r="CO63" i="45"/>
  <c r="CN63" i="45" s="1"/>
  <c r="DJ63" i="45" s="1"/>
  <c r="Z72" i="45"/>
  <c r="CU72" i="45"/>
  <c r="CZ72" i="45" s="1"/>
  <c r="DW47" i="47"/>
  <c r="EB47" i="47" s="1"/>
  <c r="DU47" i="47"/>
  <c r="DZ47" i="47" s="1"/>
  <c r="DS76" i="19"/>
  <c r="DT76" i="19" s="1"/>
  <c r="CO76" i="19"/>
  <c r="CN76" i="19" s="1"/>
  <c r="CO66" i="47"/>
  <c r="CN66" i="47" s="1"/>
  <c r="DJ66" i="47" s="1"/>
  <c r="Z66" i="47"/>
  <c r="EU66" i="47"/>
  <c r="CS66" i="47"/>
  <c r="CX66" i="47" s="1"/>
  <c r="EE45" i="47"/>
  <c r="EF45" i="47" s="1"/>
  <c r="DU45" i="47"/>
  <c r="DZ45" i="47" s="1"/>
  <c r="CO46" i="45"/>
  <c r="CN46" i="45" s="1"/>
  <c r="DJ46" i="45" s="1"/>
  <c r="DS46" i="45"/>
  <c r="DT46" i="45" s="1"/>
  <c r="DX46" i="45" s="1"/>
  <c r="EU46" i="45"/>
  <c r="Z46" i="45"/>
  <c r="Q46" i="45" s="1"/>
  <c r="DU42" i="47"/>
  <c r="DZ42" i="47" s="1"/>
  <c r="DI47" i="47"/>
  <c r="DN47" i="47" s="1"/>
  <c r="DG47" i="47"/>
  <c r="DL47" i="47" s="1"/>
  <c r="DQ47" i="47"/>
  <c r="DR47" i="47" s="1"/>
  <c r="EU68" i="19"/>
  <c r="CS68" i="19"/>
  <c r="DS68" i="19"/>
  <c r="DT68" i="19" s="1"/>
  <c r="Z75" i="47"/>
  <c r="EM75" i="47" s="1"/>
  <c r="EU75" i="47"/>
  <c r="CS75" i="47"/>
  <c r="CX75" i="47" s="1"/>
  <c r="CU75" i="47"/>
  <c r="CZ75" i="47" s="1"/>
  <c r="DS75" i="47"/>
  <c r="DT75" i="47" s="1"/>
  <c r="EU60" i="47"/>
  <c r="CO60" i="47"/>
  <c r="CN60" i="47" s="1"/>
  <c r="DJ60" i="47" s="1"/>
  <c r="Z60" i="47"/>
  <c r="DS60" i="47"/>
  <c r="DT60" i="47" s="1"/>
  <c r="DG39" i="47"/>
  <c r="DL39" i="47" s="1"/>
  <c r="DQ39" i="47"/>
  <c r="DR39" i="47" s="1"/>
  <c r="CO74" i="19"/>
  <c r="CN74" i="19" s="1"/>
  <c r="CS76" i="19"/>
  <c r="CS39" i="41"/>
  <c r="CX39" i="41" s="1"/>
  <c r="EU17" i="41"/>
  <c r="EU51" i="45"/>
  <c r="CU69" i="45"/>
  <c r="CZ69" i="45" s="1"/>
  <c r="DS72" i="45"/>
  <c r="DT72" i="45" s="1"/>
  <c r="DX72" i="45" s="1"/>
  <c r="CS63" i="45"/>
  <c r="CX63" i="45" s="1"/>
  <c r="CU30" i="41"/>
  <c r="Z30" i="47"/>
  <c r="CS63" i="47"/>
  <c r="CX63" i="47" s="1"/>
  <c r="EU65" i="19"/>
  <c r="CO68" i="19"/>
  <c r="CN68" i="19" s="1"/>
  <c r="Z36" i="41"/>
  <c r="Q36" i="41" s="1"/>
  <c r="CO60" i="45"/>
  <c r="CN60" i="45" s="1"/>
  <c r="DJ60" i="45" s="1"/>
  <c r="CO76" i="47"/>
  <c r="CN76" i="47" s="1"/>
  <c r="DJ76" i="47" s="1"/>
  <c r="CS60" i="47"/>
  <c r="CX60" i="47" s="1"/>
  <c r="CU64" i="47"/>
  <c r="CZ64" i="47" s="1"/>
  <c r="Z59" i="47"/>
  <c r="EU64" i="45"/>
  <c r="DU70" i="41"/>
  <c r="DZ70" i="41" s="1"/>
  <c r="DW58" i="41"/>
  <c r="EB58" i="41" s="1"/>
  <c r="DG64" i="41"/>
  <c r="DL64" i="41" s="1"/>
  <c r="EE57" i="41"/>
  <c r="EF57" i="41" s="1"/>
  <c r="Z46" i="41"/>
  <c r="Z29" i="41"/>
  <c r="EU18" i="41"/>
  <c r="Z18" i="41"/>
  <c r="CU75" i="45"/>
  <c r="CZ75" i="45" s="1"/>
  <c r="EU62" i="45"/>
  <c r="EU52" i="45"/>
  <c r="Z52" i="45"/>
  <c r="Q52" i="45" s="1"/>
  <c r="DS42" i="41"/>
  <c r="DT42" i="41" s="1"/>
  <c r="DX42" i="41" s="1"/>
  <c r="EU48" i="41"/>
  <c r="DS45" i="45"/>
  <c r="DT45" i="45" s="1"/>
  <c r="DX45" i="45" s="1"/>
  <c r="EU50" i="45"/>
  <c r="DS36" i="45"/>
  <c r="DT36" i="45" s="1"/>
  <c r="DX36" i="45" s="1"/>
  <c r="CO36" i="45"/>
  <c r="CN36" i="45" s="1"/>
  <c r="DU76" i="41"/>
  <c r="DZ76" i="41" s="1"/>
  <c r="CO46" i="41"/>
  <c r="CN46" i="41" s="1"/>
  <c r="DJ46" i="41" s="1"/>
  <c r="EU46" i="41"/>
  <c r="CU29" i="41"/>
  <c r="DS29" i="41"/>
  <c r="DT29" i="41" s="1"/>
  <c r="DS18" i="41"/>
  <c r="DT18" i="41" s="1"/>
  <c r="DX18" i="41" s="1"/>
  <c r="DU58" i="41"/>
  <c r="DZ58" i="41" s="1"/>
  <c r="CS75" i="45"/>
  <c r="CX75" i="45" s="1"/>
  <c r="CU62" i="45"/>
  <c r="CZ62" i="45" s="1"/>
  <c r="DS62" i="45"/>
  <c r="DT62" i="45" s="1"/>
  <c r="Z62" i="45"/>
  <c r="Q62" i="45" s="1"/>
  <c r="CU52" i="45"/>
  <c r="CZ52" i="45" s="1"/>
  <c r="DQ77" i="41"/>
  <c r="DR77" i="41" s="1"/>
  <c r="CS42" i="41"/>
  <c r="CX42" i="41" s="1"/>
  <c r="Z42" i="41"/>
  <c r="CO42" i="41"/>
  <c r="CN42" i="41" s="1"/>
  <c r="DJ42" i="41" s="1"/>
  <c r="DS48" i="41"/>
  <c r="DT48" i="41" s="1"/>
  <c r="CU48" i="41"/>
  <c r="CZ48" i="41" s="1"/>
  <c r="DQ64" i="41"/>
  <c r="DR64" i="41" s="1"/>
  <c r="CS45" i="45"/>
  <c r="CX45" i="45" s="1"/>
  <c r="Z45" i="45"/>
  <c r="CU45" i="45"/>
  <c r="CZ45" i="45" s="1"/>
  <c r="CU50" i="45"/>
  <c r="CZ50" i="45" s="1"/>
  <c r="CO50" i="45"/>
  <c r="CN50" i="45" s="1"/>
  <c r="DJ50" i="45" s="1"/>
  <c r="CS50" i="45"/>
  <c r="CX50" i="45" s="1"/>
  <c r="Z36" i="45"/>
  <c r="Q36" i="45" s="1"/>
  <c r="CU36" i="45"/>
  <c r="CZ36" i="45" s="1"/>
  <c r="DW57" i="41"/>
  <c r="EB57" i="41" s="1"/>
  <c r="EU29" i="41"/>
  <c r="CO18" i="41"/>
  <c r="CN18" i="41" s="1"/>
  <c r="CO62" i="45"/>
  <c r="CN62" i="45" s="1"/>
  <c r="DJ62" i="45" s="1"/>
  <c r="CS52" i="45"/>
  <c r="CX52" i="45" s="1"/>
  <c r="EU42" i="41"/>
  <c r="Z50" i="45"/>
  <c r="Q50" i="45" s="1"/>
  <c r="EU36" i="45"/>
  <c r="DQ57" i="41"/>
  <c r="DR57" i="41" s="1"/>
  <c r="DG77" i="41"/>
  <c r="DL77" i="41" s="1"/>
  <c r="DI77" i="41"/>
  <c r="DN77" i="41" s="1"/>
  <c r="DI57" i="41"/>
  <c r="DN57" i="41" s="1"/>
  <c r="DW76" i="41"/>
  <c r="EB76" i="41" s="1"/>
  <c r="DG60" i="41"/>
  <c r="DL60" i="41" s="1"/>
  <c r="DQ60" i="41"/>
  <c r="DR60" i="41" s="1"/>
  <c r="DU69" i="41"/>
  <c r="DZ69" i="41" s="1"/>
  <c r="DU66" i="41"/>
  <c r="DZ66" i="41" s="1"/>
  <c r="DU78" i="45"/>
  <c r="DZ78" i="45" s="1"/>
  <c r="DW69" i="41"/>
  <c r="EB69" i="41" s="1"/>
  <c r="DU68" i="41"/>
  <c r="DZ68" i="41" s="1"/>
  <c r="DW66" i="41"/>
  <c r="EB66" i="41" s="1"/>
  <c r="DG70" i="41"/>
  <c r="DL70" i="41" s="1"/>
  <c r="DW68" i="41"/>
  <c r="EB68" i="41" s="1"/>
  <c r="DU64" i="41"/>
  <c r="DZ64" i="41" s="1"/>
  <c r="DW78" i="45"/>
  <c r="EB78" i="45" s="1"/>
  <c r="EE66" i="41"/>
  <c r="EF66" i="41" s="1"/>
  <c r="DQ70" i="41"/>
  <c r="DR70" i="41" s="1"/>
  <c r="DW64" i="41"/>
  <c r="EB64" i="41" s="1"/>
  <c r="DI60" i="41"/>
  <c r="DN60" i="41" s="1"/>
  <c r="EE71" i="41"/>
  <c r="EF71" i="41" s="1"/>
  <c r="DQ58" i="41"/>
  <c r="DR58" i="41" s="1"/>
  <c r="DI69" i="41"/>
  <c r="DN69" i="41" s="1"/>
  <c r="DU65" i="41"/>
  <c r="DZ65" i="41" s="1"/>
  <c r="DQ66" i="41"/>
  <c r="DR66" i="41" s="1"/>
  <c r="DU60" i="41"/>
  <c r="DZ60" i="41" s="1"/>
  <c r="DI58" i="41"/>
  <c r="DN58" i="41" s="1"/>
  <c r="DI72" i="41"/>
  <c r="DN72" i="41" s="1"/>
  <c r="DW65" i="41"/>
  <c r="EB65" i="41" s="1"/>
  <c r="DQ69" i="41"/>
  <c r="DR69" i="41" s="1"/>
  <c r="DI71" i="41"/>
  <c r="DN71" i="41" s="1"/>
  <c r="EE60" i="41"/>
  <c r="EF60" i="41" s="1"/>
  <c r="DG72" i="41"/>
  <c r="DL72" i="41" s="1"/>
  <c r="DS53" i="41"/>
  <c r="DT53" i="41" s="1"/>
  <c r="DX53" i="41" s="1"/>
  <c r="CU53" i="41"/>
  <c r="CU39" i="41"/>
  <c r="CZ39" i="41" s="1"/>
  <c r="Z39" i="41"/>
  <c r="Z23" i="41"/>
  <c r="CU23" i="41"/>
  <c r="Z17" i="41"/>
  <c r="Z32" i="41"/>
  <c r="DW71" i="41"/>
  <c r="EB71" i="41" s="1"/>
  <c r="DG58" i="41"/>
  <c r="DL58" i="41" s="1"/>
  <c r="Z48" i="45"/>
  <c r="DS34" i="45"/>
  <c r="DT34" i="45" s="1"/>
  <c r="DX34" i="45" s="1"/>
  <c r="CU34" i="45"/>
  <c r="CZ34" i="45" s="1"/>
  <c r="Z59" i="45"/>
  <c r="Q59" i="45" s="1"/>
  <c r="CU70" i="45"/>
  <c r="CZ70" i="45" s="1"/>
  <c r="CU24" i="45"/>
  <c r="CS24" i="45"/>
  <c r="EU36" i="41"/>
  <c r="CU36" i="41"/>
  <c r="Z40" i="41"/>
  <c r="CS40" i="41"/>
  <c r="CX40" i="41" s="1"/>
  <c r="DI66" i="41"/>
  <c r="DN66" i="41" s="1"/>
  <c r="DG69" i="41"/>
  <c r="DL69" i="41" s="1"/>
  <c r="DG71" i="41"/>
  <c r="DL71" i="41" s="1"/>
  <c r="CU74" i="45"/>
  <c r="CZ74" i="45" s="1"/>
  <c r="CU33" i="45"/>
  <c r="CZ33" i="45" s="1"/>
  <c r="EU33" i="45"/>
  <c r="EU40" i="45"/>
  <c r="CU35" i="45"/>
  <c r="CZ35" i="45" s="1"/>
  <c r="Z35" i="45"/>
  <c r="Q35" i="45" s="1"/>
  <c r="CU30" i="45"/>
  <c r="EU30" i="45"/>
  <c r="CO23" i="41"/>
  <c r="CN23" i="41" s="1"/>
  <c r="CS32" i="41"/>
  <c r="CO48" i="45"/>
  <c r="CN48" i="45" s="1"/>
  <c r="DJ48" i="45" s="1"/>
  <c r="EU34" i="45"/>
  <c r="DS36" i="41"/>
  <c r="DT36" i="41" s="1"/>
  <c r="DS64" i="45"/>
  <c r="DT64" i="45" s="1"/>
  <c r="CS64" i="45"/>
  <c r="CX64" i="45" s="1"/>
  <c r="CO74" i="45"/>
  <c r="CN74" i="45" s="1"/>
  <c r="DS33" i="45"/>
  <c r="DT33" i="45" s="1"/>
  <c r="CO40" i="45"/>
  <c r="CN40" i="45" s="1"/>
  <c r="DJ40" i="45" s="1"/>
  <c r="DG76" i="41"/>
  <c r="DL76" i="41" s="1"/>
  <c r="DI76" i="41"/>
  <c r="DN76" i="41" s="1"/>
  <c r="BS74" i="41"/>
  <c r="BR68" i="41"/>
  <c r="BR80" i="41"/>
  <c r="BS80" i="41"/>
  <c r="L44" i="47"/>
  <c r="DB36" i="47"/>
  <c r="O36" i="47" s="1"/>
  <c r="D159" i="31"/>
  <c r="D162" i="31" s="1"/>
  <c r="D189" i="31" s="1"/>
  <c r="D155" i="31"/>
  <c r="CY40" i="47"/>
  <c r="M40" i="47" s="1"/>
  <c r="L51" i="47"/>
  <c r="CY46" i="47"/>
  <c r="M46" i="47" s="1"/>
  <c r="L36" i="47"/>
  <c r="N46" i="47"/>
  <c r="N40" i="47"/>
  <c r="CY48" i="47"/>
  <c r="M48" i="47" s="1"/>
  <c r="CY41" i="47"/>
  <c r="M41" i="47" s="1"/>
  <c r="BW15" i="41"/>
  <c r="CL12" i="41" s="1"/>
  <c r="J12" i="41" s="1"/>
  <c r="BJ16" i="41"/>
  <c r="L78" i="45"/>
  <c r="CY78" i="45"/>
  <c r="M78" i="45" s="1"/>
  <c r="L47" i="47"/>
  <c r="CY47" i="47"/>
  <c r="M47" i="47" s="1"/>
  <c r="N45" i="47"/>
  <c r="DB45" i="47"/>
  <c r="O45" i="47" s="1"/>
  <c r="L39" i="47"/>
  <c r="CY39" i="47"/>
  <c r="M39" i="47" s="1"/>
  <c r="CY42" i="47"/>
  <c r="M42" i="47" s="1"/>
  <c r="L42" i="47"/>
  <c r="L45" i="47"/>
  <c r="CY45" i="47"/>
  <c r="M45" i="47" s="1"/>
  <c r="CY50" i="47"/>
  <c r="M50" i="47" s="1"/>
  <c r="L50" i="47"/>
  <c r="N39" i="47"/>
  <c r="DB39" i="47"/>
  <c r="O39" i="47" s="1"/>
  <c r="N47" i="47"/>
  <c r="DB47" i="47"/>
  <c r="O47" i="47" s="1"/>
  <c r="DB50" i="47"/>
  <c r="O50" i="47" s="1"/>
  <c r="N50" i="47"/>
  <c r="N78" i="47"/>
  <c r="DB78" i="47"/>
  <c r="O78" i="47" s="1"/>
  <c r="O55" i="32"/>
  <c r="O49" i="32"/>
  <c r="DG41" i="32"/>
  <c r="DL41" i="32" s="1"/>
  <c r="DU69" i="47"/>
  <c r="DZ69" i="47" s="1"/>
  <c r="DW69" i="47"/>
  <c r="EB69" i="47" s="1"/>
  <c r="DI69" i="47"/>
  <c r="DN69" i="47" s="1"/>
  <c r="DG69" i="47"/>
  <c r="DL69" i="47" s="1"/>
  <c r="EU58" i="22"/>
  <c r="CS58" i="22"/>
  <c r="DS58" i="22"/>
  <c r="DT58" i="22" s="1"/>
  <c r="CU58" i="22"/>
  <c r="Z58" i="22"/>
  <c r="Q58" i="22" s="1"/>
  <c r="CO58" i="22"/>
  <c r="CN58" i="22" s="1"/>
  <c r="N69" i="47"/>
  <c r="DB69" i="47"/>
  <c r="O69" i="47" s="1"/>
  <c r="CO20" i="22"/>
  <c r="CN20" i="22" s="1"/>
  <c r="CS20" i="22"/>
  <c r="Z20" i="22"/>
  <c r="H20" i="22" s="1"/>
  <c r="CU20" i="22"/>
  <c r="EU20" i="22"/>
  <c r="DS20" i="22"/>
  <c r="DT20" i="22" s="1"/>
  <c r="L69" i="47"/>
  <c r="CY69" i="47"/>
  <c r="M69" i="47" s="1"/>
  <c r="O61" i="32"/>
  <c r="M67" i="32"/>
  <c r="Y62" i="32" s="1"/>
  <c r="M49" i="32"/>
  <c r="Y44" i="32" s="1"/>
  <c r="M79" i="32"/>
  <c r="Y74" i="32" s="1"/>
  <c r="O79" i="32"/>
  <c r="M73" i="32"/>
  <c r="Y68" i="32" s="1"/>
  <c r="M55" i="32"/>
  <c r="Y50" i="32" s="1"/>
  <c r="O67" i="32"/>
  <c r="O73" i="32"/>
  <c r="M61" i="32"/>
  <c r="Y56" i="32" s="1"/>
  <c r="K41" i="19" l="1"/>
  <c r="K40" i="19"/>
  <c r="H17" i="41"/>
  <c r="H23" i="41"/>
  <c r="EM41" i="41"/>
  <c r="Q41" i="41"/>
  <c r="EM47" i="41"/>
  <c r="Q47" i="41"/>
  <c r="EM38" i="41"/>
  <c r="Q38" i="41"/>
  <c r="EM39" i="41"/>
  <c r="Q39" i="41"/>
  <c r="EM52" i="41"/>
  <c r="Q52" i="41"/>
  <c r="EM50" i="41"/>
  <c r="Q50" i="41"/>
  <c r="K33" i="41"/>
  <c r="Q33" i="41" s="1"/>
  <c r="EM40" i="41"/>
  <c r="Q40" i="41"/>
  <c r="EM42" i="41"/>
  <c r="Q42" i="41"/>
  <c r="H30" i="41"/>
  <c r="EM48" i="41"/>
  <c r="Q48" i="41"/>
  <c r="H18" i="41"/>
  <c r="EM45" i="41"/>
  <c r="Q45" i="41"/>
  <c r="K32" i="41"/>
  <c r="Q32" i="41" s="1"/>
  <c r="H29" i="41"/>
  <c r="EM51" i="41"/>
  <c r="Q51" i="41"/>
  <c r="H24" i="41"/>
  <c r="EM46" i="41"/>
  <c r="Q46" i="41"/>
  <c r="K34" i="41"/>
  <c r="Q34" i="41" s="1"/>
  <c r="EM64" i="47"/>
  <c r="Q64" i="47"/>
  <c r="EM57" i="47"/>
  <c r="Q57" i="47"/>
  <c r="H18" i="47"/>
  <c r="EM56" i="47"/>
  <c r="Q56" i="47"/>
  <c r="EM66" i="47"/>
  <c r="Q66" i="47"/>
  <c r="EM58" i="47"/>
  <c r="Q58" i="47"/>
  <c r="EM60" i="47"/>
  <c r="Q60" i="47"/>
  <c r="EM63" i="47"/>
  <c r="Q63" i="47"/>
  <c r="H12" i="47"/>
  <c r="H29" i="47"/>
  <c r="EM53" i="47"/>
  <c r="Q53" i="47"/>
  <c r="EM65" i="47"/>
  <c r="Q65" i="47"/>
  <c r="EM52" i="47"/>
  <c r="Q52" i="47"/>
  <c r="EM59" i="47"/>
  <c r="Q59" i="47"/>
  <c r="H30" i="47"/>
  <c r="ER30" i="47" s="1"/>
  <c r="EM54" i="47"/>
  <c r="Q54" i="47"/>
  <c r="EM62" i="47"/>
  <c r="Q62" i="47"/>
  <c r="H24" i="45"/>
  <c r="ER24" i="45" s="1"/>
  <c r="ET24" i="45" s="1"/>
  <c r="H48" i="45"/>
  <c r="ER48" i="45" s="1"/>
  <c r="ET48" i="45" s="1"/>
  <c r="Q48" i="45"/>
  <c r="H40" i="45"/>
  <c r="ER40" i="45" s="1"/>
  <c r="ET40" i="45" s="1"/>
  <c r="Q40" i="45"/>
  <c r="H29" i="45"/>
  <c r="H58" i="45"/>
  <c r="ER58" i="45" s="1"/>
  <c r="ET58" i="45" s="1"/>
  <c r="Q58" i="45"/>
  <c r="H45" i="45"/>
  <c r="ER45" i="45" s="1"/>
  <c r="ET45" i="45" s="1"/>
  <c r="Q45" i="45"/>
  <c r="H12" i="45"/>
  <c r="H41" i="45"/>
  <c r="ER41" i="45" s="1"/>
  <c r="ES41" i="45" s="1"/>
  <c r="Q41" i="45"/>
  <c r="H57" i="45"/>
  <c r="ER57" i="45" s="1"/>
  <c r="ES57" i="45" s="1"/>
  <c r="Q57" i="45"/>
  <c r="H34" i="45"/>
  <c r="ER34" i="45" s="1"/>
  <c r="ES34" i="45" s="1"/>
  <c r="Q34" i="45"/>
  <c r="H66" i="45"/>
  <c r="ER66" i="45" s="1"/>
  <c r="ES66" i="45" s="1"/>
  <c r="Q66" i="45"/>
  <c r="H65" i="45"/>
  <c r="ER65" i="45" s="1"/>
  <c r="ET65" i="45" s="1"/>
  <c r="Q65" i="45"/>
  <c r="H53" i="19"/>
  <c r="Q53" i="19"/>
  <c r="H50" i="19"/>
  <c r="Q50" i="19"/>
  <c r="H54" i="19"/>
  <c r="Q54" i="19"/>
  <c r="H51" i="19"/>
  <c r="Q51" i="19"/>
  <c r="K38" i="19"/>
  <c r="EO38" i="19" s="1"/>
  <c r="K39" i="19"/>
  <c r="DF30" i="22"/>
  <c r="DE30" i="22" s="1"/>
  <c r="J30" i="22"/>
  <c r="DF27" i="22"/>
  <c r="DE27" i="22" s="1"/>
  <c r="J27" i="22"/>
  <c r="DF24" i="22"/>
  <c r="DE24" i="22" s="1"/>
  <c r="J24" i="22"/>
  <c r="DF24" i="32"/>
  <c r="DE24" i="32" s="1"/>
  <c r="J24" i="32"/>
  <c r="DF23" i="32"/>
  <c r="DE23" i="32" s="1"/>
  <c r="J23" i="32"/>
  <c r="DF20" i="32"/>
  <c r="DE20" i="32" s="1"/>
  <c r="X29" i="22"/>
  <c r="DF18" i="22"/>
  <c r="DE18" i="22" s="1"/>
  <c r="J18" i="22"/>
  <c r="DF29" i="32"/>
  <c r="DE29" i="32" s="1"/>
  <c r="DF18" i="32"/>
  <c r="DE18" i="32" s="1"/>
  <c r="J18" i="32"/>
  <c r="DF15" i="32"/>
  <c r="DE15" i="32" s="1"/>
  <c r="DE21" i="32"/>
  <c r="K30" i="41"/>
  <c r="EM30" i="41" s="1"/>
  <c r="K17" i="41"/>
  <c r="EM17" i="41" s="1"/>
  <c r="K29" i="41"/>
  <c r="EM29" i="41" s="1"/>
  <c r="K24" i="41"/>
  <c r="EM24" i="41" s="1"/>
  <c r="K18" i="41"/>
  <c r="EM18" i="41" s="1"/>
  <c r="K23" i="41"/>
  <c r="EM23" i="41" s="1"/>
  <c r="K12" i="47"/>
  <c r="EM12" i="47" s="1"/>
  <c r="K29" i="47"/>
  <c r="EM29" i="47" s="1"/>
  <c r="K18" i="47"/>
  <c r="EM18" i="47" s="1"/>
  <c r="K30" i="47"/>
  <c r="Q30" i="47" s="1"/>
  <c r="K24" i="45"/>
  <c r="EM24" i="45" s="1"/>
  <c r="DF12" i="45"/>
  <c r="DE12" i="45" s="1"/>
  <c r="Z46" i="19"/>
  <c r="X12" i="41"/>
  <c r="DF12" i="41"/>
  <c r="DE12" i="41" s="1"/>
  <c r="K33" i="47"/>
  <c r="DF33" i="47"/>
  <c r="X11" i="41"/>
  <c r="J32" i="22"/>
  <c r="DE32" i="22"/>
  <c r="J33" i="22"/>
  <c r="DE33" i="22"/>
  <c r="CL47" i="19"/>
  <c r="DS47" i="19" s="1"/>
  <c r="DT47" i="19" s="1"/>
  <c r="DV47" i="19" s="1"/>
  <c r="DF47" i="19"/>
  <c r="J22" i="32"/>
  <c r="DE22" i="32"/>
  <c r="Z10" i="32"/>
  <c r="H10" i="32" s="1"/>
  <c r="DF10" i="32"/>
  <c r="DE10" i="32" s="1"/>
  <c r="J44" i="19"/>
  <c r="DF44" i="19"/>
  <c r="J28" i="32"/>
  <c r="DE28" i="32"/>
  <c r="X35" i="19"/>
  <c r="J27" i="32"/>
  <c r="DE27" i="32"/>
  <c r="J45" i="19"/>
  <c r="DF45" i="19"/>
  <c r="J32" i="32"/>
  <c r="DE32" i="32"/>
  <c r="J30" i="32"/>
  <c r="DE30" i="32"/>
  <c r="Z12" i="32"/>
  <c r="H12" i="32" s="1"/>
  <c r="DE12" i="32"/>
  <c r="Z11" i="32"/>
  <c r="H11" i="32" s="1"/>
  <c r="DF11" i="32"/>
  <c r="DE11" i="32" s="1"/>
  <c r="X10" i="19"/>
  <c r="W15" i="32"/>
  <c r="V15" i="32" s="1"/>
  <c r="C15" i="32" s="1"/>
  <c r="CY38" i="47"/>
  <c r="M38" i="47" s="1"/>
  <c r="M43" i="47" s="1"/>
  <c r="L38" i="47"/>
  <c r="DB38" i="47"/>
  <c r="O38" i="47" s="1"/>
  <c r="O43" i="47" s="1"/>
  <c r="N38" i="47"/>
  <c r="W21" i="41"/>
  <c r="V21" i="41" s="1"/>
  <c r="C21" i="41" s="1"/>
  <c r="W27" i="45"/>
  <c r="V27" i="45" s="1"/>
  <c r="C27" i="45" s="1"/>
  <c r="X48" i="19"/>
  <c r="EU48" i="19"/>
  <c r="CL48" i="19"/>
  <c r="CU48" i="19" s="1"/>
  <c r="J48" i="19"/>
  <c r="J52" i="19"/>
  <c r="EU52" i="19"/>
  <c r="EU45" i="19"/>
  <c r="X52" i="19"/>
  <c r="CL52" i="19"/>
  <c r="CU52" i="19" s="1"/>
  <c r="W21" i="32"/>
  <c r="V21" i="32" s="1"/>
  <c r="C21" i="32" s="1"/>
  <c r="X21" i="45"/>
  <c r="EU47" i="19"/>
  <c r="X33" i="47"/>
  <c r="W33" i="47" s="1"/>
  <c r="V33" i="47" s="1"/>
  <c r="J46" i="19"/>
  <c r="EU44" i="19"/>
  <c r="Z44" i="19"/>
  <c r="X24" i="19"/>
  <c r="EU46" i="19"/>
  <c r="X10" i="41"/>
  <c r="J47" i="19"/>
  <c r="X45" i="19"/>
  <c r="CL45" i="19"/>
  <c r="W9" i="19"/>
  <c r="X47" i="19"/>
  <c r="Z47" i="19"/>
  <c r="X44" i="19"/>
  <c r="CL44" i="19"/>
  <c r="CL46" i="19"/>
  <c r="DE46" i="19" s="1"/>
  <c r="X46" i="19"/>
  <c r="K29" i="45"/>
  <c r="EO29" i="45" s="1"/>
  <c r="K30" i="45"/>
  <c r="EO30" i="45" s="1"/>
  <c r="H30" i="45"/>
  <c r="ER30" i="45" s="1"/>
  <c r="ET30" i="45" s="1"/>
  <c r="K12" i="45"/>
  <c r="EM12" i="45" s="1"/>
  <c r="X9" i="41"/>
  <c r="W9" i="41" s="1"/>
  <c r="V9" i="41" s="1"/>
  <c r="C9" i="41" s="1"/>
  <c r="K20" i="22"/>
  <c r="EO20" i="22" s="1"/>
  <c r="K34" i="47"/>
  <c r="Q34" i="47" s="1"/>
  <c r="W9" i="47"/>
  <c r="V9" i="47" s="1"/>
  <c r="C9" i="47" s="1"/>
  <c r="DA68" i="45"/>
  <c r="N68" i="45" s="1"/>
  <c r="CW68" i="45"/>
  <c r="L68" i="45" s="1"/>
  <c r="Z12" i="41"/>
  <c r="CS12" i="41"/>
  <c r="EU12" i="41"/>
  <c r="DS12" i="41"/>
  <c r="DT12" i="41" s="1"/>
  <c r="DV12" i="41" s="1"/>
  <c r="CO12" i="41"/>
  <c r="CN12" i="41" s="1"/>
  <c r="DJ12" i="41" s="1"/>
  <c r="CU12" i="41"/>
  <c r="CT39" i="32"/>
  <c r="CV39" i="32"/>
  <c r="CT34" i="32"/>
  <c r="CV34" i="32"/>
  <c r="CT48" i="22"/>
  <c r="CV48" i="22"/>
  <c r="CT70" i="22"/>
  <c r="CV70" i="22"/>
  <c r="CT75" i="22"/>
  <c r="CV75" i="22"/>
  <c r="CV47" i="22"/>
  <c r="CT47" i="22"/>
  <c r="CV62" i="22"/>
  <c r="CT62" i="22"/>
  <c r="CT45" i="22"/>
  <c r="CV45" i="22"/>
  <c r="CT65" i="22"/>
  <c r="CV65" i="22"/>
  <c r="CT50" i="22"/>
  <c r="CV50" i="22"/>
  <c r="CV66" i="22"/>
  <c r="CT66" i="22"/>
  <c r="CT40" i="32"/>
  <c r="CV40" i="32"/>
  <c r="CT77" i="22"/>
  <c r="CV77" i="22"/>
  <c r="CT40" i="22"/>
  <c r="CV40" i="22"/>
  <c r="CT36" i="32"/>
  <c r="CV36" i="32"/>
  <c r="CV57" i="22"/>
  <c r="CT57" i="22"/>
  <c r="CT53" i="22"/>
  <c r="CV53" i="22"/>
  <c r="CT72" i="22"/>
  <c r="CV72" i="22"/>
  <c r="CT36" i="22"/>
  <c r="CV36" i="22"/>
  <c r="CT59" i="22"/>
  <c r="CV59" i="22"/>
  <c r="CV33" i="32"/>
  <c r="CT33" i="32"/>
  <c r="CT34" i="22"/>
  <c r="CV34" i="22"/>
  <c r="CT35" i="22"/>
  <c r="CV35" i="22"/>
  <c r="CT54" i="22"/>
  <c r="CV54" i="22"/>
  <c r="CT60" i="22"/>
  <c r="CV60" i="22"/>
  <c r="CV76" i="22"/>
  <c r="CT76" i="22"/>
  <c r="CV38" i="22"/>
  <c r="CT38" i="22"/>
  <c r="CT74" i="22"/>
  <c r="CV74" i="22"/>
  <c r="CT64" i="22"/>
  <c r="CV64" i="22"/>
  <c r="CV71" i="22"/>
  <c r="CT71" i="22"/>
  <c r="CT69" i="22"/>
  <c r="CV69" i="22"/>
  <c r="CT78" i="22"/>
  <c r="CV78" i="22"/>
  <c r="CT44" i="22"/>
  <c r="CV44" i="22"/>
  <c r="X12" i="22"/>
  <c r="CV38" i="32"/>
  <c r="CT38" i="32"/>
  <c r="CT35" i="32"/>
  <c r="CV35" i="32"/>
  <c r="CT51" i="22"/>
  <c r="CV51" i="22"/>
  <c r="CT68" i="22"/>
  <c r="CV68" i="22"/>
  <c r="CT63" i="22"/>
  <c r="CV63" i="22"/>
  <c r="CV52" i="22"/>
  <c r="CT52" i="22"/>
  <c r="CT46" i="22"/>
  <c r="CV46" i="22"/>
  <c r="CT41" i="22"/>
  <c r="CV41" i="22"/>
  <c r="CT56" i="22"/>
  <c r="CV56" i="22"/>
  <c r="CT39" i="22"/>
  <c r="CV39" i="22"/>
  <c r="CV42" i="22"/>
  <c r="CT42" i="22"/>
  <c r="J12" i="45"/>
  <c r="X23" i="22"/>
  <c r="H58" i="22"/>
  <c r="ER58" i="22" s="1"/>
  <c r="CR58" i="22"/>
  <c r="CW58" i="22" s="1"/>
  <c r="DQ78" i="45"/>
  <c r="DR78" i="45" s="1"/>
  <c r="X9" i="32"/>
  <c r="W9" i="32" s="1"/>
  <c r="W10" i="32" s="1"/>
  <c r="V10" i="32" s="1"/>
  <c r="C10" i="32" s="1"/>
  <c r="J12" i="32"/>
  <c r="EM58" i="22"/>
  <c r="EP58" i="22"/>
  <c r="H32" i="41"/>
  <c r="EM32" i="41"/>
  <c r="H33" i="41"/>
  <c r="EM33" i="41"/>
  <c r="H36" i="41"/>
  <c r="EM36" i="41"/>
  <c r="H44" i="41"/>
  <c r="ER44" i="41" s="1"/>
  <c r="ET44" i="41" s="1"/>
  <c r="EM44" i="41"/>
  <c r="H34" i="41"/>
  <c r="EM34" i="41"/>
  <c r="H74" i="41"/>
  <c r="ER74" i="41" s="1"/>
  <c r="EM74" i="41"/>
  <c r="H35" i="41"/>
  <c r="EM35" i="41"/>
  <c r="H75" i="41"/>
  <c r="ER75" i="41" s="1"/>
  <c r="EM75" i="41"/>
  <c r="H54" i="41"/>
  <c r="ER54" i="41" s="1"/>
  <c r="EM54" i="41"/>
  <c r="H53" i="41"/>
  <c r="EM53" i="41"/>
  <c r="H76" i="47"/>
  <c r="ER76" i="47" s="1"/>
  <c r="ES76" i="47" s="1"/>
  <c r="EM76" i="47"/>
  <c r="H35" i="47"/>
  <c r="ER35" i="47" s="1"/>
  <c r="ES35" i="47" s="1"/>
  <c r="EM35" i="47"/>
  <c r="DH58" i="22"/>
  <c r="DJ58" i="22"/>
  <c r="DH48" i="32"/>
  <c r="DJ48" i="32"/>
  <c r="DH75" i="32"/>
  <c r="DJ75" i="32"/>
  <c r="DH51" i="32"/>
  <c r="DJ51" i="32"/>
  <c r="DH54" i="32"/>
  <c r="DJ54" i="32"/>
  <c r="DH77" i="32"/>
  <c r="DO77" i="32" s="1"/>
  <c r="DP77" i="32" s="1"/>
  <c r="DJ77" i="32"/>
  <c r="DH47" i="32"/>
  <c r="DJ47" i="32"/>
  <c r="DH50" i="32"/>
  <c r="DJ50" i="32"/>
  <c r="DH63" i="32"/>
  <c r="DJ63" i="32"/>
  <c r="DH52" i="32"/>
  <c r="DJ52" i="32"/>
  <c r="DH44" i="32"/>
  <c r="DJ44" i="32"/>
  <c r="DH45" i="32"/>
  <c r="DJ45" i="32"/>
  <c r="DH62" i="32"/>
  <c r="DJ62" i="32"/>
  <c r="DQ62" i="32" s="1"/>
  <c r="DR62" i="32" s="1"/>
  <c r="DH68" i="32"/>
  <c r="DJ68" i="32"/>
  <c r="DH42" i="32"/>
  <c r="DO42" i="32" s="1"/>
  <c r="DP42" i="32" s="1"/>
  <c r="DJ42" i="32"/>
  <c r="DH66" i="32"/>
  <c r="DJ66" i="32"/>
  <c r="DH59" i="32"/>
  <c r="DJ59" i="32"/>
  <c r="DH65" i="32"/>
  <c r="DJ65" i="32"/>
  <c r="DH74" i="32"/>
  <c r="DJ74" i="32"/>
  <c r="DH56" i="32"/>
  <c r="DJ56" i="32"/>
  <c r="DH72" i="32"/>
  <c r="DJ72" i="32"/>
  <c r="DQ72" i="32" s="1"/>
  <c r="DR72" i="32" s="1"/>
  <c r="DH70" i="32"/>
  <c r="DJ70" i="32"/>
  <c r="DH60" i="32"/>
  <c r="DO60" i="32" s="1"/>
  <c r="DP60" i="32" s="1"/>
  <c r="DJ60" i="32"/>
  <c r="DQ60" i="32" s="1"/>
  <c r="DR60" i="32" s="1"/>
  <c r="DH57" i="32"/>
  <c r="DJ57" i="32"/>
  <c r="DH78" i="32"/>
  <c r="DJ78" i="32"/>
  <c r="DH46" i="32"/>
  <c r="DJ46" i="32"/>
  <c r="DH76" i="32"/>
  <c r="DJ76" i="32"/>
  <c r="DH69" i="32"/>
  <c r="DJ69" i="32"/>
  <c r="DH58" i="32"/>
  <c r="DJ58" i="32"/>
  <c r="DH64" i="32"/>
  <c r="DJ64" i="32"/>
  <c r="DH53" i="32"/>
  <c r="DJ53" i="32"/>
  <c r="DH71" i="32"/>
  <c r="DJ71" i="32"/>
  <c r="DX58" i="22"/>
  <c r="DV58" i="22"/>
  <c r="DO41" i="32"/>
  <c r="DP41" i="32" s="1"/>
  <c r="DV58" i="32"/>
  <c r="DX58" i="32"/>
  <c r="DV59" i="32"/>
  <c r="DX59" i="32"/>
  <c r="DV70" i="32"/>
  <c r="DX70" i="32"/>
  <c r="DV42" i="32"/>
  <c r="DX42" i="32"/>
  <c r="DV75" i="41"/>
  <c r="EC75" i="41" s="1"/>
  <c r="ED75" i="41" s="1"/>
  <c r="DX75" i="41"/>
  <c r="EE75" i="41" s="1"/>
  <c r="EF75" i="41" s="1"/>
  <c r="DV33" i="41"/>
  <c r="DX33" i="41"/>
  <c r="DV32" i="41"/>
  <c r="DX32" i="41"/>
  <c r="DV29" i="41"/>
  <c r="DX29" i="41"/>
  <c r="DV35" i="41"/>
  <c r="DX35" i="41"/>
  <c r="DV36" i="41"/>
  <c r="DX36" i="41"/>
  <c r="DV48" i="41"/>
  <c r="EC48" i="41" s="1"/>
  <c r="ED48" i="41" s="1"/>
  <c r="DX48" i="41"/>
  <c r="EE48" i="41" s="1"/>
  <c r="EF48" i="41" s="1"/>
  <c r="DV24" i="41"/>
  <c r="DX24" i="41"/>
  <c r="DV60" i="47"/>
  <c r="EC60" i="47" s="1"/>
  <c r="ED60" i="47" s="1"/>
  <c r="DX60" i="47"/>
  <c r="EE60" i="47" s="1"/>
  <c r="EF60" i="47" s="1"/>
  <c r="DV12" i="47"/>
  <c r="DX12" i="47"/>
  <c r="DV75" i="47"/>
  <c r="EC75" i="47" s="1"/>
  <c r="ED75" i="47" s="1"/>
  <c r="DX75" i="47"/>
  <c r="EE75" i="47" s="1"/>
  <c r="EF75" i="47" s="1"/>
  <c r="DV29" i="47"/>
  <c r="DX29" i="47"/>
  <c r="DU63" i="32"/>
  <c r="DZ63" i="32" s="1"/>
  <c r="DV63" i="32"/>
  <c r="EC63" i="32" s="1"/>
  <c r="ED63" i="32" s="1"/>
  <c r="DU72" i="32"/>
  <c r="DZ72" i="32" s="1"/>
  <c r="DV72" i="32"/>
  <c r="EC72" i="32" s="1"/>
  <c r="ED72" i="32" s="1"/>
  <c r="DU54" i="32"/>
  <c r="DZ54" i="32" s="1"/>
  <c r="DV54" i="32"/>
  <c r="EC54" i="32" s="1"/>
  <c r="ED54" i="32" s="1"/>
  <c r="DU74" i="32"/>
  <c r="DZ74" i="32" s="1"/>
  <c r="DV74" i="32"/>
  <c r="DU66" i="32"/>
  <c r="DZ66" i="32" s="1"/>
  <c r="DV66" i="32"/>
  <c r="DW64" i="32"/>
  <c r="EB64" i="32" s="1"/>
  <c r="DV64" i="32"/>
  <c r="DW50" i="32"/>
  <c r="EB50" i="32" s="1"/>
  <c r="EE50" i="32" s="1"/>
  <c r="EF50" i="32" s="1"/>
  <c r="DV50" i="32"/>
  <c r="DU57" i="32"/>
  <c r="DZ57" i="32" s="1"/>
  <c r="DV57" i="32"/>
  <c r="DW44" i="32"/>
  <c r="EB44" i="32" s="1"/>
  <c r="EE44" i="32" s="1"/>
  <c r="EF44" i="32" s="1"/>
  <c r="DV44" i="32"/>
  <c r="DU46" i="32"/>
  <c r="DZ46" i="32" s="1"/>
  <c r="DV46" i="32"/>
  <c r="DW71" i="32"/>
  <c r="EB71" i="32" s="1"/>
  <c r="EE71" i="32" s="1"/>
  <c r="EF71" i="32" s="1"/>
  <c r="DV71" i="32"/>
  <c r="DU68" i="32"/>
  <c r="DZ68" i="32" s="1"/>
  <c r="DV68" i="32"/>
  <c r="DW56" i="32"/>
  <c r="EB56" i="32" s="1"/>
  <c r="EE56" i="32" s="1"/>
  <c r="EF56" i="32" s="1"/>
  <c r="DV56" i="32"/>
  <c r="DW52" i="32"/>
  <c r="EB52" i="32" s="1"/>
  <c r="EE52" i="32" s="1"/>
  <c r="EF52" i="32" s="1"/>
  <c r="DV52" i="32"/>
  <c r="DU76" i="32"/>
  <c r="DZ76" i="32" s="1"/>
  <c r="DV76" i="32"/>
  <c r="DW53" i="32"/>
  <c r="EB53" i="32" s="1"/>
  <c r="EE53" i="32" s="1"/>
  <c r="EF53" i="32" s="1"/>
  <c r="DV53" i="32"/>
  <c r="DU77" i="32"/>
  <c r="DZ77" i="32" s="1"/>
  <c r="DV77" i="32"/>
  <c r="DW41" i="32"/>
  <c r="EB41" i="32" s="1"/>
  <c r="EE41" i="32" s="1"/>
  <c r="EF41" i="32" s="1"/>
  <c r="DV41" i="32"/>
  <c r="DW69" i="32"/>
  <c r="EB69" i="32" s="1"/>
  <c r="EE69" i="32" s="1"/>
  <c r="EF69" i="32" s="1"/>
  <c r="DV69" i="32"/>
  <c r="DU47" i="32"/>
  <c r="DZ47" i="32" s="1"/>
  <c r="DV47" i="32"/>
  <c r="DW62" i="32"/>
  <c r="EB62" i="32" s="1"/>
  <c r="EE62" i="32" s="1"/>
  <c r="EF62" i="32" s="1"/>
  <c r="DV62" i="32"/>
  <c r="DW78" i="32"/>
  <c r="EB78" i="32" s="1"/>
  <c r="EE78" i="32" s="1"/>
  <c r="EF78" i="32" s="1"/>
  <c r="DV78" i="32"/>
  <c r="DU51" i="32"/>
  <c r="DZ51" i="32" s="1"/>
  <c r="DV51" i="32"/>
  <c r="DU45" i="32"/>
  <c r="DZ45" i="32" s="1"/>
  <c r="DV45" i="32"/>
  <c r="DU48" i="32"/>
  <c r="DZ48" i="32" s="1"/>
  <c r="DV48" i="32"/>
  <c r="DW60" i="32"/>
  <c r="EB60" i="32" s="1"/>
  <c r="EE60" i="32" s="1"/>
  <c r="EF60" i="32" s="1"/>
  <c r="DV60" i="32"/>
  <c r="DW65" i="32"/>
  <c r="EB65" i="32" s="1"/>
  <c r="EE65" i="32" s="1"/>
  <c r="EF65" i="32" s="1"/>
  <c r="DV65" i="32"/>
  <c r="DW75" i="32"/>
  <c r="EB75" i="32" s="1"/>
  <c r="EE75" i="32" s="1"/>
  <c r="EF75" i="32" s="1"/>
  <c r="DV75" i="32"/>
  <c r="DV54" i="41"/>
  <c r="EC54" i="41" s="1"/>
  <c r="ED54" i="41" s="1"/>
  <c r="DW42" i="41"/>
  <c r="EB42" i="41" s="1"/>
  <c r="DV42" i="41"/>
  <c r="EC42" i="41" s="1"/>
  <c r="ED42" i="41" s="1"/>
  <c r="DV44" i="41"/>
  <c r="EC44" i="41" s="1"/>
  <c r="ED44" i="41" s="1"/>
  <c r="DU41" i="41"/>
  <c r="DZ41" i="41" s="1"/>
  <c r="DV41" i="41"/>
  <c r="EC41" i="41" s="1"/>
  <c r="ED41" i="41" s="1"/>
  <c r="DU45" i="41"/>
  <c r="DZ45" i="41" s="1"/>
  <c r="DV45" i="41"/>
  <c r="EC45" i="41" s="1"/>
  <c r="ED45" i="41" s="1"/>
  <c r="DV51" i="41"/>
  <c r="EC51" i="41" s="1"/>
  <c r="ED51" i="41" s="1"/>
  <c r="DU34" i="41"/>
  <c r="DO78" i="45"/>
  <c r="DP78" i="45" s="1"/>
  <c r="DW18" i="41"/>
  <c r="DV18" i="41"/>
  <c r="DU39" i="41"/>
  <c r="DZ39" i="41" s="1"/>
  <c r="DV39" i="41"/>
  <c r="EC39" i="41" s="1"/>
  <c r="ED39" i="41" s="1"/>
  <c r="DW53" i="41"/>
  <c r="DV53" i="41"/>
  <c r="DU23" i="41"/>
  <c r="DV23" i="41"/>
  <c r="EE52" i="41"/>
  <c r="EF52" i="41" s="1"/>
  <c r="DV52" i="41"/>
  <c r="EC52" i="41" s="1"/>
  <c r="ED52" i="41" s="1"/>
  <c r="DU46" i="41"/>
  <c r="DZ46" i="41" s="1"/>
  <c r="DV46" i="41"/>
  <c r="EC46" i="41" s="1"/>
  <c r="ED46" i="41" s="1"/>
  <c r="DU17" i="41"/>
  <c r="DV17" i="41"/>
  <c r="DW30" i="41"/>
  <c r="DV30" i="41"/>
  <c r="EE47" i="41"/>
  <c r="EF47" i="41" s="1"/>
  <c r="DV47" i="41"/>
  <c r="EC47" i="41" s="1"/>
  <c r="ED47" i="41" s="1"/>
  <c r="DV38" i="41"/>
  <c r="EC38" i="41" s="1"/>
  <c r="ED38" i="41" s="1"/>
  <c r="DW40" i="41"/>
  <c r="EB40" i="41" s="1"/>
  <c r="DV40" i="41"/>
  <c r="EC40" i="41" s="1"/>
  <c r="ED40" i="41" s="1"/>
  <c r="DW74" i="41"/>
  <c r="EB74" i="41" s="1"/>
  <c r="DV74" i="41"/>
  <c r="EC74" i="41" s="1"/>
  <c r="ED74" i="41" s="1"/>
  <c r="DW50" i="41"/>
  <c r="EB50" i="41" s="1"/>
  <c r="DV50" i="41"/>
  <c r="EC50" i="41" s="1"/>
  <c r="ED50" i="41" s="1"/>
  <c r="DV74" i="47"/>
  <c r="EC74" i="47" s="1"/>
  <c r="ED74" i="47" s="1"/>
  <c r="DW53" i="47"/>
  <c r="EB53" i="47" s="1"/>
  <c r="DV53" i="47"/>
  <c r="EC53" i="47" s="1"/>
  <c r="ED53" i="47" s="1"/>
  <c r="DW52" i="47"/>
  <c r="EB52" i="47" s="1"/>
  <c r="DV52" i="47"/>
  <c r="EC52" i="47" s="1"/>
  <c r="ED52" i="47" s="1"/>
  <c r="DV30" i="47"/>
  <c r="DV76" i="47"/>
  <c r="EC76" i="47" s="1"/>
  <c r="ED76" i="47" s="1"/>
  <c r="DV70" i="47"/>
  <c r="EC70" i="47" s="1"/>
  <c r="ED70" i="47" s="1"/>
  <c r="EE59" i="47"/>
  <c r="EF59" i="47" s="1"/>
  <c r="DV59" i="47"/>
  <c r="EC59" i="47" s="1"/>
  <c r="ED59" i="47" s="1"/>
  <c r="DV58" i="47"/>
  <c r="EC58" i="47" s="1"/>
  <c r="ED58" i="47" s="1"/>
  <c r="DV77" i="47"/>
  <c r="EC77" i="47" s="1"/>
  <c r="ED77" i="47" s="1"/>
  <c r="DV72" i="47"/>
  <c r="EC72" i="47" s="1"/>
  <c r="ED72" i="47" s="1"/>
  <c r="DV56" i="47"/>
  <c r="EC56" i="47" s="1"/>
  <c r="ED56" i="47" s="1"/>
  <c r="DW34" i="47"/>
  <c r="DU65" i="47"/>
  <c r="DZ65" i="47" s="1"/>
  <c r="DV65" i="47"/>
  <c r="EC65" i="47" s="1"/>
  <c r="ED65" i="47" s="1"/>
  <c r="DV71" i="47"/>
  <c r="EC71" i="47" s="1"/>
  <c r="ED71" i="47" s="1"/>
  <c r="DU63" i="47"/>
  <c r="DZ63" i="47" s="1"/>
  <c r="DV63" i="47"/>
  <c r="EC63" i="47" s="1"/>
  <c r="ED63" i="47" s="1"/>
  <c r="DU18" i="47"/>
  <c r="DV18" i="47"/>
  <c r="DU35" i="47"/>
  <c r="DZ35" i="47" s="1"/>
  <c r="DV35" i="47"/>
  <c r="EC35" i="47" s="1"/>
  <c r="ED35" i="47" s="1"/>
  <c r="DU68" i="47"/>
  <c r="DZ68" i="47" s="1"/>
  <c r="DV68" i="47"/>
  <c r="EC68" i="47" s="1"/>
  <c r="ED68" i="47" s="1"/>
  <c r="EE66" i="47"/>
  <c r="EF66" i="47" s="1"/>
  <c r="DV66" i="47"/>
  <c r="EC66" i="47" s="1"/>
  <c r="ED66" i="47" s="1"/>
  <c r="DV64" i="47"/>
  <c r="EC64" i="47" s="1"/>
  <c r="ED64" i="47" s="1"/>
  <c r="DW57" i="47"/>
  <c r="EB57" i="47" s="1"/>
  <c r="DV57" i="47"/>
  <c r="EC57" i="47" s="1"/>
  <c r="ED57" i="47" s="1"/>
  <c r="EE54" i="47"/>
  <c r="EF54" i="47" s="1"/>
  <c r="DV54" i="47"/>
  <c r="EC54" i="47" s="1"/>
  <c r="ED54" i="47" s="1"/>
  <c r="DU62" i="47"/>
  <c r="DZ62" i="47" s="1"/>
  <c r="DV62" i="47"/>
  <c r="EC62" i="47" s="1"/>
  <c r="ED62" i="47" s="1"/>
  <c r="DG44" i="32"/>
  <c r="DL44" i="32" s="1"/>
  <c r="DG42" i="32"/>
  <c r="DL42" i="32" s="1"/>
  <c r="DI65" i="32"/>
  <c r="DN65" i="32" s="1"/>
  <c r="DI47" i="32"/>
  <c r="DN47" i="32" s="1"/>
  <c r="DI72" i="32"/>
  <c r="DN72" i="32" s="1"/>
  <c r="DI66" i="32"/>
  <c r="DN66" i="32" s="1"/>
  <c r="DI59" i="32"/>
  <c r="DN59" i="32" s="1"/>
  <c r="DG70" i="32"/>
  <c r="DL70" i="32" s="1"/>
  <c r="DG60" i="32"/>
  <c r="DL60" i="32" s="1"/>
  <c r="DI56" i="32"/>
  <c r="DN56" i="32" s="1"/>
  <c r="DG48" i="32"/>
  <c r="DL48" i="32" s="1"/>
  <c r="DG57" i="32"/>
  <c r="DL57" i="32" s="1"/>
  <c r="DI78" i="32"/>
  <c r="DN78" i="32" s="1"/>
  <c r="DG77" i="32"/>
  <c r="DL77" i="32" s="1"/>
  <c r="DI62" i="32"/>
  <c r="DN62" i="32" s="1"/>
  <c r="DI69" i="32"/>
  <c r="DN69" i="32" s="1"/>
  <c r="DG58" i="32"/>
  <c r="DL58" i="32" s="1"/>
  <c r="DG64" i="32"/>
  <c r="DL64" i="32" s="1"/>
  <c r="DI53" i="32"/>
  <c r="DN53" i="32" s="1"/>
  <c r="DG71" i="32"/>
  <c r="DL71" i="32" s="1"/>
  <c r="DG52" i="32"/>
  <c r="DL52" i="32" s="1"/>
  <c r="DG45" i="32"/>
  <c r="DL45" i="32" s="1"/>
  <c r="DI75" i="32"/>
  <c r="DN75" i="32" s="1"/>
  <c r="DI51" i="32"/>
  <c r="DN51" i="32" s="1"/>
  <c r="DG54" i="32"/>
  <c r="DL54" i="32" s="1"/>
  <c r="EE78" i="45"/>
  <c r="EF78" i="45" s="1"/>
  <c r="EC78" i="45"/>
  <c r="ED78" i="45" s="1"/>
  <c r="DH24" i="41"/>
  <c r="DJ24" i="41"/>
  <c r="DH35" i="41"/>
  <c r="DJ35" i="41"/>
  <c r="DH18" i="41"/>
  <c r="DJ18" i="41"/>
  <c r="DH53" i="41"/>
  <c r="DJ53" i="41"/>
  <c r="DH40" i="41"/>
  <c r="DO40" i="41" s="1"/>
  <c r="DP40" i="41" s="1"/>
  <c r="DJ40" i="41"/>
  <c r="DQ40" i="41" s="1"/>
  <c r="DR40" i="41" s="1"/>
  <c r="DH29" i="41"/>
  <c r="DJ29" i="41"/>
  <c r="DH30" i="41"/>
  <c r="DJ30" i="41"/>
  <c r="DH32" i="41"/>
  <c r="DJ32" i="41"/>
  <c r="DH74" i="41"/>
  <c r="DO74" i="41" s="1"/>
  <c r="DP74" i="41" s="1"/>
  <c r="DJ74" i="41"/>
  <c r="DQ74" i="41" s="1"/>
  <c r="DR74" i="41" s="1"/>
  <c r="DH23" i="41"/>
  <c r="DJ23" i="41"/>
  <c r="DH36" i="41"/>
  <c r="DJ36" i="41"/>
  <c r="DH46" i="41"/>
  <c r="DO46" i="41" s="1"/>
  <c r="DP46" i="41" s="1"/>
  <c r="DI75" i="41"/>
  <c r="DN75" i="41" s="1"/>
  <c r="DH75" i="41"/>
  <c r="DO75" i="41" s="1"/>
  <c r="DP75" i="41" s="1"/>
  <c r="DQ47" i="41"/>
  <c r="DR47" i="41" s="1"/>
  <c r="DH47" i="41"/>
  <c r="DO47" i="41" s="1"/>
  <c r="DP47" i="41" s="1"/>
  <c r="DG51" i="41"/>
  <c r="DL51" i="41" s="1"/>
  <c r="DH51" i="41"/>
  <c r="DO51" i="41" s="1"/>
  <c r="DP51" i="41" s="1"/>
  <c r="DI52" i="41"/>
  <c r="DN52" i="41" s="1"/>
  <c r="DH52" i="41"/>
  <c r="DO52" i="41" s="1"/>
  <c r="DP52" i="41" s="1"/>
  <c r="DG45" i="41"/>
  <c r="DL45" i="41" s="1"/>
  <c r="DH45" i="41"/>
  <c r="DO45" i="41" s="1"/>
  <c r="DP45" i="41" s="1"/>
  <c r="DG44" i="41"/>
  <c r="DL44" i="41" s="1"/>
  <c r="DH44" i="41"/>
  <c r="DO44" i="41" s="1"/>
  <c r="DP44" i="41" s="1"/>
  <c r="DG48" i="41"/>
  <c r="DL48" i="41" s="1"/>
  <c r="DH48" i="41"/>
  <c r="DO48" i="41" s="1"/>
  <c r="DP48" i="41" s="1"/>
  <c r="DI34" i="41"/>
  <c r="DI33" i="41"/>
  <c r="DH33" i="41"/>
  <c r="DQ41" i="41"/>
  <c r="DR41" i="41" s="1"/>
  <c r="DH41" i="41"/>
  <c r="DO41" i="41" s="1"/>
  <c r="DP41" i="41" s="1"/>
  <c r="DI38" i="41"/>
  <c r="DN38" i="41" s="1"/>
  <c r="DH38" i="41"/>
  <c r="DO38" i="41" s="1"/>
  <c r="DP38" i="41" s="1"/>
  <c r="DQ39" i="41"/>
  <c r="DR39" i="41" s="1"/>
  <c r="DH39" i="41"/>
  <c r="DO39" i="41" s="1"/>
  <c r="DP39" i="41" s="1"/>
  <c r="DQ54" i="41"/>
  <c r="DR54" i="41" s="1"/>
  <c r="DH54" i="41"/>
  <c r="DO54" i="41" s="1"/>
  <c r="DP54" i="41" s="1"/>
  <c r="DH42" i="41"/>
  <c r="DO42" i="41" s="1"/>
  <c r="DP42" i="41" s="1"/>
  <c r="DI17" i="41"/>
  <c r="DH17" i="41"/>
  <c r="DG50" i="41"/>
  <c r="DL50" i="41" s="1"/>
  <c r="DH50" i="41"/>
  <c r="DO50" i="41" s="1"/>
  <c r="DP50" i="41" s="1"/>
  <c r="DG77" i="47"/>
  <c r="DL77" i="47" s="1"/>
  <c r="DH77" i="47"/>
  <c r="DO77" i="47" s="1"/>
  <c r="DP77" i="47" s="1"/>
  <c r="DQ54" i="47"/>
  <c r="DR54" i="47" s="1"/>
  <c r="DH54" i="47"/>
  <c r="DO54" i="47" s="1"/>
  <c r="DP54" i="47" s="1"/>
  <c r="DG35" i="47"/>
  <c r="DL35" i="47" s="1"/>
  <c r="DH35" i="47"/>
  <c r="DO35" i="47" s="1"/>
  <c r="DP35" i="47" s="1"/>
  <c r="DI68" i="47"/>
  <c r="DN68" i="47" s="1"/>
  <c r="DH68" i="47"/>
  <c r="DO68" i="47" s="1"/>
  <c r="DP68" i="47" s="1"/>
  <c r="DQ56" i="47"/>
  <c r="DR56" i="47" s="1"/>
  <c r="DH56" i="47"/>
  <c r="DO56" i="47" s="1"/>
  <c r="DP56" i="47" s="1"/>
  <c r="DI64" i="47"/>
  <c r="DN64" i="47" s="1"/>
  <c r="DH64" i="47"/>
  <c r="DO64" i="47" s="1"/>
  <c r="DP64" i="47" s="1"/>
  <c r="DH58" i="47"/>
  <c r="DO58" i="47" s="1"/>
  <c r="DP58" i="47" s="1"/>
  <c r="DG74" i="47"/>
  <c r="DL74" i="47" s="1"/>
  <c r="DH74" i="47"/>
  <c r="DO74" i="47" s="1"/>
  <c r="DP74" i="47" s="1"/>
  <c r="DI57" i="47"/>
  <c r="DN57" i="47" s="1"/>
  <c r="DH57" i="47"/>
  <c r="DO57" i="47" s="1"/>
  <c r="DP57" i="47" s="1"/>
  <c r="DG12" i="47"/>
  <c r="DH12" i="47"/>
  <c r="DG53" i="47"/>
  <c r="DL53" i="47" s="1"/>
  <c r="DH53" i="47"/>
  <c r="DO53" i="47" s="1"/>
  <c r="DP53" i="47" s="1"/>
  <c r="DH76" i="47"/>
  <c r="DO76" i="47" s="1"/>
  <c r="DP76" i="47" s="1"/>
  <c r="DG66" i="47"/>
  <c r="DL66" i="47" s="1"/>
  <c r="DH66" i="47"/>
  <c r="DO66" i="47" s="1"/>
  <c r="DP66" i="47" s="1"/>
  <c r="DQ70" i="47"/>
  <c r="DR70" i="47" s="1"/>
  <c r="DH70" i="47"/>
  <c r="DO70" i="47" s="1"/>
  <c r="DP70" i="47" s="1"/>
  <c r="DG63" i="47"/>
  <c r="DL63" i="47" s="1"/>
  <c r="DH63" i="47"/>
  <c r="DO63" i="47" s="1"/>
  <c r="DP63" i="47" s="1"/>
  <c r="DG71" i="47"/>
  <c r="DL71" i="47" s="1"/>
  <c r="DH71" i="47"/>
  <c r="DO71" i="47" s="1"/>
  <c r="DP71" i="47" s="1"/>
  <c r="DI72" i="47"/>
  <c r="DN72" i="47" s="1"/>
  <c r="DH72" i="47"/>
  <c r="DO72" i="47" s="1"/>
  <c r="DP72" i="47" s="1"/>
  <c r="DG59" i="47"/>
  <c r="DL59" i="47" s="1"/>
  <c r="DH59" i="47"/>
  <c r="DO59" i="47" s="1"/>
  <c r="DP59" i="47" s="1"/>
  <c r="DG18" i="47"/>
  <c r="DH18" i="47"/>
  <c r="DG52" i="47"/>
  <c r="DL52" i="47" s="1"/>
  <c r="DH52" i="47"/>
  <c r="DO52" i="47" s="1"/>
  <c r="DP52" i="47" s="1"/>
  <c r="DG65" i="47"/>
  <c r="DL65" i="47" s="1"/>
  <c r="DH65" i="47"/>
  <c r="DO65" i="47" s="1"/>
  <c r="DP65" i="47" s="1"/>
  <c r="DG29" i="47"/>
  <c r="DH29" i="47"/>
  <c r="DG62" i="47"/>
  <c r="DL62" i="47" s="1"/>
  <c r="DH62" i="47"/>
  <c r="DO62" i="47" s="1"/>
  <c r="DP62" i="47" s="1"/>
  <c r="DQ75" i="47"/>
  <c r="DR75" i="47" s="1"/>
  <c r="DH75" i="47"/>
  <c r="DO75" i="47" s="1"/>
  <c r="DP75" i="47" s="1"/>
  <c r="DH30" i="47"/>
  <c r="DQ60" i="47"/>
  <c r="DR60" i="47" s="1"/>
  <c r="DH60" i="47"/>
  <c r="DO60" i="47" s="1"/>
  <c r="DP60" i="47" s="1"/>
  <c r="H40" i="41"/>
  <c r="ER40" i="41" s="1"/>
  <c r="H41" i="41"/>
  <c r="ER41" i="41" s="1"/>
  <c r="ES41" i="41" s="1"/>
  <c r="H50" i="41"/>
  <c r="ER50" i="41" s="1"/>
  <c r="H42" i="41"/>
  <c r="ER42" i="41" s="1"/>
  <c r="ET42" i="41" s="1"/>
  <c r="H52" i="41"/>
  <c r="ER52" i="41" s="1"/>
  <c r="H46" i="41"/>
  <c r="ER46" i="41" s="1"/>
  <c r="ES46" i="41" s="1"/>
  <c r="H48" i="41"/>
  <c r="ER48" i="41" s="1"/>
  <c r="H39" i="41"/>
  <c r="ER39" i="41" s="1"/>
  <c r="ET39" i="41" s="1"/>
  <c r="H45" i="41"/>
  <c r="ER45" i="41" s="1"/>
  <c r="ES45" i="41" s="1"/>
  <c r="H47" i="41"/>
  <c r="ER47" i="41" s="1"/>
  <c r="ET47" i="41" s="1"/>
  <c r="H38" i="41"/>
  <c r="ER38" i="41" s="1"/>
  <c r="ES38" i="41" s="1"/>
  <c r="H51" i="41"/>
  <c r="ER51" i="41" s="1"/>
  <c r="ET51" i="41" s="1"/>
  <c r="H74" i="47"/>
  <c r="ER74" i="47" s="1"/>
  <c r="ES74" i="47" s="1"/>
  <c r="H77" i="47"/>
  <c r="ER77" i="47" s="1"/>
  <c r="ET77" i="47" s="1"/>
  <c r="H75" i="47"/>
  <c r="ER75" i="47" s="1"/>
  <c r="H72" i="47"/>
  <c r="ER72" i="47" s="1"/>
  <c r="ES72" i="47" s="1"/>
  <c r="H68" i="47"/>
  <c r="ER68" i="47" s="1"/>
  <c r="ET68" i="47" s="1"/>
  <c r="H71" i="47"/>
  <c r="ER71" i="47" s="1"/>
  <c r="ET71" i="47" s="1"/>
  <c r="H70" i="47"/>
  <c r="ER70" i="47" s="1"/>
  <c r="H63" i="47"/>
  <c r="ER63" i="47" s="1"/>
  <c r="ES63" i="47" s="1"/>
  <c r="H65" i="47"/>
  <c r="ER65" i="47" s="1"/>
  <c r="H62" i="47"/>
  <c r="ER62" i="47" s="1"/>
  <c r="H64" i="47"/>
  <c r="ER64" i="47" s="1"/>
  <c r="H66" i="47"/>
  <c r="ER66" i="47" s="1"/>
  <c r="ES66" i="47" s="1"/>
  <c r="H57" i="47"/>
  <c r="ER57" i="47" s="1"/>
  <c r="H60" i="47"/>
  <c r="ER60" i="47" s="1"/>
  <c r="ES60" i="47" s="1"/>
  <c r="H59" i="47"/>
  <c r="ER59" i="47" s="1"/>
  <c r="H58" i="47"/>
  <c r="ER58" i="47" s="1"/>
  <c r="ET58" i="47" s="1"/>
  <c r="H56" i="47"/>
  <c r="ER56" i="47" s="1"/>
  <c r="ES56" i="47" s="1"/>
  <c r="H52" i="47"/>
  <c r="ER52" i="47" s="1"/>
  <c r="ET52" i="47" s="1"/>
  <c r="H54" i="47"/>
  <c r="ER54" i="47" s="1"/>
  <c r="ET54" i="47" s="1"/>
  <c r="H53" i="47"/>
  <c r="ER53" i="47" s="1"/>
  <c r="ET53" i="47" s="1"/>
  <c r="H34" i="47"/>
  <c r="EM59" i="45"/>
  <c r="H59" i="45"/>
  <c r="EM72" i="45"/>
  <c r="H72" i="45"/>
  <c r="EM33" i="45"/>
  <c r="H33" i="45"/>
  <c r="EM54" i="45"/>
  <c r="H54" i="45"/>
  <c r="EM63" i="45"/>
  <c r="H63" i="45"/>
  <c r="EM44" i="45"/>
  <c r="H44" i="45"/>
  <c r="EM51" i="45"/>
  <c r="H51" i="45"/>
  <c r="ER51" i="45" s="1"/>
  <c r="ET51" i="45" s="1"/>
  <c r="EM52" i="45"/>
  <c r="H52" i="45"/>
  <c r="EM35" i="45"/>
  <c r="H35" i="45"/>
  <c r="EM53" i="45"/>
  <c r="H53" i="45"/>
  <c r="EM56" i="45"/>
  <c r="H56" i="45"/>
  <c r="EM38" i="45"/>
  <c r="H38" i="45"/>
  <c r="EM64" i="45"/>
  <c r="H64" i="45"/>
  <c r="EM60" i="45"/>
  <c r="H60" i="45"/>
  <c r="EM47" i="45"/>
  <c r="H47" i="45"/>
  <c r="EM69" i="45"/>
  <c r="H69" i="45"/>
  <c r="ER69" i="45" s="1"/>
  <c r="ET69" i="45" s="1"/>
  <c r="EM50" i="45"/>
  <c r="H50" i="45"/>
  <c r="EM62" i="45"/>
  <c r="H62" i="45"/>
  <c r="EM32" i="45"/>
  <c r="H32" i="45"/>
  <c r="EM36" i="45"/>
  <c r="H36" i="45"/>
  <c r="EM46" i="45"/>
  <c r="H46" i="45"/>
  <c r="EM77" i="45"/>
  <c r="H77" i="45"/>
  <c r="EM42" i="45"/>
  <c r="H42" i="45"/>
  <c r="EM75" i="45"/>
  <c r="H75" i="45"/>
  <c r="EM39" i="45"/>
  <c r="H39" i="45"/>
  <c r="EM34" i="45"/>
  <c r="ER74" i="45"/>
  <c r="ES74" i="45" s="1"/>
  <c r="EM74" i="45"/>
  <c r="ER76" i="45"/>
  <c r="ES76" i="45" s="1"/>
  <c r="EM76" i="45"/>
  <c r="EM57" i="45"/>
  <c r="EM41" i="45"/>
  <c r="EM40" i="45"/>
  <c r="EM65" i="45"/>
  <c r="EM45" i="45"/>
  <c r="EM58" i="45"/>
  <c r="ER68" i="45"/>
  <c r="ET68" i="45" s="1"/>
  <c r="EM68" i="45"/>
  <c r="EM48" i="45"/>
  <c r="EM66" i="45"/>
  <c r="ER70" i="45"/>
  <c r="ET70" i="45" s="1"/>
  <c r="EM70" i="45"/>
  <c r="ER71" i="45"/>
  <c r="ET71" i="45" s="1"/>
  <c r="EM71" i="45"/>
  <c r="DV64" i="45"/>
  <c r="DX64" i="45"/>
  <c r="DV51" i="45"/>
  <c r="DX51" i="45"/>
  <c r="DV39" i="45"/>
  <c r="DX39" i="45"/>
  <c r="DV33" i="45"/>
  <c r="DX33" i="45"/>
  <c r="DV71" i="45"/>
  <c r="DX71" i="45"/>
  <c r="DV65" i="45"/>
  <c r="EC65" i="45" s="1"/>
  <c r="ED65" i="45" s="1"/>
  <c r="DX65" i="45"/>
  <c r="DV57" i="45"/>
  <c r="DX57" i="45"/>
  <c r="DV60" i="45"/>
  <c r="DX60" i="45"/>
  <c r="DV50" i="45"/>
  <c r="DX50" i="45"/>
  <c r="DV41" i="45"/>
  <c r="DX41" i="45"/>
  <c r="DV35" i="45"/>
  <c r="DX35" i="45"/>
  <c r="DV24" i="45"/>
  <c r="DX24" i="45"/>
  <c r="DV56" i="45"/>
  <c r="DX56" i="45"/>
  <c r="DV62" i="45"/>
  <c r="DX62" i="45"/>
  <c r="DV59" i="45"/>
  <c r="DX59" i="45"/>
  <c r="DV32" i="45"/>
  <c r="EC32" i="45" s="1"/>
  <c r="ED32" i="45" s="1"/>
  <c r="DX32" i="45"/>
  <c r="DV58" i="45"/>
  <c r="DX58" i="45"/>
  <c r="DV54" i="45"/>
  <c r="EC54" i="45" s="1"/>
  <c r="ED54" i="45" s="1"/>
  <c r="DX54" i="45"/>
  <c r="DU75" i="45"/>
  <c r="DZ75" i="45" s="1"/>
  <c r="DV75" i="45"/>
  <c r="EC75" i="45" s="1"/>
  <c r="ED75" i="45" s="1"/>
  <c r="DU72" i="45"/>
  <c r="DZ72" i="45" s="1"/>
  <c r="DV72" i="45"/>
  <c r="EC72" i="45" s="1"/>
  <c r="ED72" i="45" s="1"/>
  <c r="DU66" i="45"/>
  <c r="DZ66" i="45" s="1"/>
  <c r="DV66" i="45"/>
  <c r="EC66" i="45" s="1"/>
  <c r="ED66" i="45" s="1"/>
  <c r="DU46" i="45"/>
  <c r="DZ46" i="45" s="1"/>
  <c r="DV46" i="45"/>
  <c r="DW68" i="45"/>
  <c r="EB68" i="45" s="1"/>
  <c r="DV68" i="45"/>
  <c r="DU34" i="45"/>
  <c r="DZ34" i="45" s="1"/>
  <c r="DV34" i="45"/>
  <c r="EC34" i="45" s="1"/>
  <c r="ED34" i="45" s="1"/>
  <c r="DW76" i="45"/>
  <c r="EB76" i="45" s="1"/>
  <c r="DV76" i="45"/>
  <c r="DW53" i="45"/>
  <c r="EB53" i="45" s="1"/>
  <c r="DV53" i="45"/>
  <c r="DW30" i="45"/>
  <c r="DV30" i="45"/>
  <c r="DW63" i="45"/>
  <c r="EB63" i="45" s="1"/>
  <c r="DV63" i="45"/>
  <c r="DU70" i="45"/>
  <c r="DZ70" i="45" s="1"/>
  <c r="DV70" i="45"/>
  <c r="EC70" i="45" s="1"/>
  <c r="ED70" i="45" s="1"/>
  <c r="DW36" i="45"/>
  <c r="EB36" i="45" s="1"/>
  <c r="DV36" i="45"/>
  <c r="DW38" i="45"/>
  <c r="EB38" i="45" s="1"/>
  <c r="DV38" i="45"/>
  <c r="DW29" i="45"/>
  <c r="DV29" i="45"/>
  <c r="DW40" i="45"/>
  <c r="EB40" i="45" s="1"/>
  <c r="DV40" i="45"/>
  <c r="DU69" i="45"/>
  <c r="DZ69" i="45" s="1"/>
  <c r="DV69" i="45"/>
  <c r="EC69" i="45" s="1"/>
  <c r="ED69" i="45" s="1"/>
  <c r="DW47" i="45"/>
  <c r="EB47" i="45" s="1"/>
  <c r="DV47" i="45"/>
  <c r="DW52" i="45"/>
  <c r="EB52" i="45" s="1"/>
  <c r="DV52" i="45"/>
  <c r="DW45" i="45"/>
  <c r="EB45" i="45" s="1"/>
  <c r="DV45" i="45"/>
  <c r="DW48" i="45"/>
  <c r="EB48" i="45" s="1"/>
  <c r="DV48" i="45"/>
  <c r="DW74" i="45"/>
  <c r="EB74" i="45" s="1"/>
  <c r="DV74" i="45"/>
  <c r="DW77" i="45"/>
  <c r="EB77" i="45" s="1"/>
  <c r="DV77" i="45"/>
  <c r="DW44" i="45"/>
  <c r="EB44" i="45" s="1"/>
  <c r="DV44" i="45"/>
  <c r="DU42" i="45"/>
  <c r="DZ42" i="45" s="1"/>
  <c r="DV42" i="45"/>
  <c r="EC42" i="45" s="1"/>
  <c r="ED42" i="45" s="1"/>
  <c r="DH51" i="45"/>
  <c r="DJ51" i="45"/>
  <c r="DH30" i="45"/>
  <c r="DJ30" i="45"/>
  <c r="DH52" i="45"/>
  <c r="DJ52" i="45"/>
  <c r="DH44" i="45"/>
  <c r="DJ44" i="45"/>
  <c r="DH36" i="45"/>
  <c r="DJ36" i="45"/>
  <c r="DH74" i="45"/>
  <c r="DJ74" i="45"/>
  <c r="DH32" i="45"/>
  <c r="DJ32" i="45"/>
  <c r="DH72" i="45"/>
  <c r="DJ72" i="45"/>
  <c r="DH64" i="45"/>
  <c r="DJ64" i="45"/>
  <c r="DH24" i="45"/>
  <c r="DJ24" i="45"/>
  <c r="DH71" i="45"/>
  <c r="DJ71" i="45"/>
  <c r="DQ71" i="45" s="1"/>
  <c r="DR71" i="45" s="1"/>
  <c r="DH29" i="45"/>
  <c r="DJ29" i="45"/>
  <c r="DH54" i="45"/>
  <c r="DJ54" i="45"/>
  <c r="DH38" i="45"/>
  <c r="DJ38" i="45"/>
  <c r="DI65" i="45"/>
  <c r="DN65" i="45" s="1"/>
  <c r="DH65" i="45"/>
  <c r="DG75" i="45"/>
  <c r="DL75" i="45" s="1"/>
  <c r="DH75" i="45"/>
  <c r="DI62" i="45"/>
  <c r="DN62" i="45" s="1"/>
  <c r="DH62" i="45"/>
  <c r="DG63" i="45"/>
  <c r="DL63" i="45" s="1"/>
  <c r="DH63" i="45"/>
  <c r="DG39" i="45"/>
  <c r="DL39" i="45" s="1"/>
  <c r="DH39" i="45"/>
  <c r="DO39" i="45" s="1"/>
  <c r="DP39" i="45" s="1"/>
  <c r="DG58" i="45"/>
  <c r="DL58" i="45" s="1"/>
  <c r="DH58" i="45"/>
  <c r="DO58" i="45" s="1"/>
  <c r="DP58" i="45" s="1"/>
  <c r="DG70" i="45"/>
  <c r="DL70" i="45" s="1"/>
  <c r="DH70" i="45"/>
  <c r="DO70" i="45" s="1"/>
  <c r="DP70" i="45" s="1"/>
  <c r="DG56" i="45"/>
  <c r="DL56" i="45" s="1"/>
  <c r="DH56" i="45"/>
  <c r="DG68" i="45"/>
  <c r="DL68" i="45" s="1"/>
  <c r="DH68" i="45"/>
  <c r="DG59" i="45"/>
  <c r="DL59" i="45" s="1"/>
  <c r="DH59" i="45"/>
  <c r="DG60" i="45"/>
  <c r="DL60" i="45" s="1"/>
  <c r="DH60" i="45"/>
  <c r="DI57" i="45"/>
  <c r="DN57" i="45" s="1"/>
  <c r="DH57" i="45"/>
  <c r="DG76" i="45"/>
  <c r="DL76" i="45" s="1"/>
  <c r="DH76" i="45"/>
  <c r="DO76" i="45" s="1"/>
  <c r="DP76" i="45" s="1"/>
  <c r="DG33" i="45"/>
  <c r="DL33" i="45" s="1"/>
  <c r="DH33" i="45"/>
  <c r="DO33" i="45" s="1"/>
  <c r="DP33" i="45" s="1"/>
  <c r="DG53" i="45"/>
  <c r="DL53" i="45" s="1"/>
  <c r="DH53" i="45"/>
  <c r="DO53" i="45" s="1"/>
  <c r="DP53" i="45" s="1"/>
  <c r="DG34" i="45"/>
  <c r="DL34" i="45" s="1"/>
  <c r="DH34" i="45"/>
  <c r="DO34" i="45" s="1"/>
  <c r="DP34" i="45" s="1"/>
  <c r="DG50" i="45"/>
  <c r="DL50" i="45" s="1"/>
  <c r="DH50" i="45"/>
  <c r="DO50" i="45" s="1"/>
  <c r="DP50" i="45" s="1"/>
  <c r="DG69" i="45"/>
  <c r="DL69" i="45" s="1"/>
  <c r="DH69" i="45"/>
  <c r="DO69" i="45" s="1"/>
  <c r="DP69" i="45" s="1"/>
  <c r="DG41" i="45"/>
  <c r="DL41" i="45" s="1"/>
  <c r="DH41" i="45"/>
  <c r="DO41" i="45" s="1"/>
  <c r="DP41" i="45" s="1"/>
  <c r="DI42" i="45"/>
  <c r="DN42" i="45" s="1"/>
  <c r="DH42" i="45"/>
  <c r="DG77" i="45"/>
  <c r="DL77" i="45" s="1"/>
  <c r="DH77" i="45"/>
  <c r="DG40" i="45"/>
  <c r="DL40" i="45" s="1"/>
  <c r="DH40" i="45"/>
  <c r="DO40" i="45" s="1"/>
  <c r="DP40" i="45" s="1"/>
  <c r="DG46" i="45"/>
  <c r="DL46" i="45" s="1"/>
  <c r="DH46" i="45"/>
  <c r="DI66" i="45"/>
  <c r="DN66" i="45" s="1"/>
  <c r="DH66" i="45"/>
  <c r="DG35" i="45"/>
  <c r="DL35" i="45" s="1"/>
  <c r="DH35" i="45"/>
  <c r="DI45" i="45"/>
  <c r="DN45" i="45" s="1"/>
  <c r="DQ45" i="45" s="1"/>
  <c r="DR45" i="45" s="1"/>
  <c r="DH45" i="45"/>
  <c r="DO45" i="45" s="1"/>
  <c r="DP45" i="45" s="1"/>
  <c r="DI48" i="45"/>
  <c r="DN48" i="45" s="1"/>
  <c r="DH48" i="45"/>
  <c r="DI47" i="45"/>
  <c r="DN47" i="45" s="1"/>
  <c r="DH47" i="45"/>
  <c r="W27" i="22"/>
  <c r="V27" i="22" s="1"/>
  <c r="C27" i="22" s="1"/>
  <c r="EM75" i="19"/>
  <c r="H75" i="19"/>
  <c r="EM74" i="19"/>
  <c r="H74" i="19"/>
  <c r="EM76" i="19"/>
  <c r="H76" i="19"/>
  <c r="EM71" i="19"/>
  <c r="H71" i="19"/>
  <c r="EM72" i="19"/>
  <c r="H72" i="19"/>
  <c r="EM70" i="19"/>
  <c r="H70" i="19"/>
  <c r="EM68" i="19"/>
  <c r="H68" i="19"/>
  <c r="EM62" i="19"/>
  <c r="H62" i="19"/>
  <c r="EM65" i="19"/>
  <c r="H65" i="19"/>
  <c r="EM66" i="19"/>
  <c r="H66" i="19"/>
  <c r="EM64" i="19"/>
  <c r="H64" i="19"/>
  <c r="EM63" i="19"/>
  <c r="H63" i="19"/>
  <c r="EM59" i="19"/>
  <c r="H59" i="19"/>
  <c r="EM57" i="19"/>
  <c r="H57" i="19"/>
  <c r="EM60" i="19"/>
  <c r="H60" i="19"/>
  <c r="EM58" i="19"/>
  <c r="H58" i="19"/>
  <c r="EM56" i="19"/>
  <c r="H56" i="19"/>
  <c r="EM78" i="19"/>
  <c r="EM77" i="19"/>
  <c r="EM69" i="19"/>
  <c r="EM53" i="19"/>
  <c r="EM51" i="19"/>
  <c r="EM50" i="19"/>
  <c r="EM54" i="19"/>
  <c r="DX78" i="19"/>
  <c r="DW78" i="19"/>
  <c r="DV78" i="19"/>
  <c r="DV76" i="19"/>
  <c r="DW76" i="19"/>
  <c r="DX76" i="19"/>
  <c r="DV75" i="19"/>
  <c r="DX75" i="19"/>
  <c r="DW75" i="19"/>
  <c r="DW77" i="19"/>
  <c r="DV77" i="19"/>
  <c r="DX77" i="19"/>
  <c r="DX74" i="19"/>
  <c r="DW74" i="19"/>
  <c r="DV74" i="19"/>
  <c r="DX72" i="19"/>
  <c r="DW72" i="19"/>
  <c r="DV72" i="19"/>
  <c r="DU69" i="19"/>
  <c r="DX69" i="19"/>
  <c r="DW69" i="19"/>
  <c r="DV69" i="19"/>
  <c r="DX68" i="19"/>
  <c r="DW68" i="19"/>
  <c r="DV68" i="19"/>
  <c r="DV70" i="19"/>
  <c r="DW70" i="19"/>
  <c r="DX70" i="19"/>
  <c r="DW71" i="19"/>
  <c r="DV71" i="19"/>
  <c r="DX71" i="19"/>
  <c r="DX66" i="19"/>
  <c r="DW66" i="19"/>
  <c r="DV66" i="19"/>
  <c r="DU64" i="19"/>
  <c r="DV64" i="19"/>
  <c r="DW64" i="19"/>
  <c r="DX64" i="19"/>
  <c r="DX62" i="19"/>
  <c r="DW62" i="19"/>
  <c r="DV62" i="19"/>
  <c r="DW65" i="19"/>
  <c r="DV65" i="19"/>
  <c r="DX65" i="19"/>
  <c r="DX63" i="19"/>
  <c r="DW63" i="19"/>
  <c r="DV63" i="19"/>
  <c r="DX57" i="19"/>
  <c r="DW57" i="19"/>
  <c r="DV57" i="19"/>
  <c r="DU58" i="19"/>
  <c r="DV58" i="19"/>
  <c r="DX58" i="19"/>
  <c r="DW58" i="19"/>
  <c r="DU59" i="19"/>
  <c r="DW59" i="19"/>
  <c r="DV59" i="19"/>
  <c r="DX59" i="19"/>
  <c r="DX56" i="19"/>
  <c r="DW56" i="19"/>
  <c r="DV56" i="19"/>
  <c r="DX60" i="19"/>
  <c r="DW60" i="19"/>
  <c r="DV60" i="19"/>
  <c r="DX50" i="19"/>
  <c r="DW50" i="19"/>
  <c r="DV50" i="19"/>
  <c r="DU53" i="19"/>
  <c r="DW53" i="19"/>
  <c r="DV53" i="19"/>
  <c r="DX53" i="19"/>
  <c r="DX51" i="19"/>
  <c r="DV51" i="19"/>
  <c r="DW51" i="19"/>
  <c r="DX54" i="19"/>
  <c r="DW54" i="19"/>
  <c r="DV54" i="19"/>
  <c r="DH75" i="19"/>
  <c r="DJ75" i="19"/>
  <c r="DI75" i="19"/>
  <c r="DH76" i="19"/>
  <c r="DI76" i="19"/>
  <c r="DJ76" i="19"/>
  <c r="DJ74" i="19"/>
  <c r="DI74" i="19"/>
  <c r="DH74" i="19"/>
  <c r="DJ78" i="19"/>
  <c r="DI78" i="19"/>
  <c r="DH78" i="19"/>
  <c r="DI77" i="19"/>
  <c r="DH77" i="19"/>
  <c r="DJ77" i="19"/>
  <c r="DG68" i="19"/>
  <c r="DJ68" i="19"/>
  <c r="DI68" i="19"/>
  <c r="DH68" i="19"/>
  <c r="DJ69" i="19"/>
  <c r="DH69" i="19"/>
  <c r="DI69" i="19"/>
  <c r="DI71" i="19"/>
  <c r="DH71" i="19"/>
  <c r="DJ71" i="19"/>
  <c r="DH70" i="19"/>
  <c r="DI70" i="19"/>
  <c r="DJ70" i="19"/>
  <c r="DJ72" i="19"/>
  <c r="DI72" i="19"/>
  <c r="DH72" i="19"/>
  <c r="DI65" i="19"/>
  <c r="DH65" i="19"/>
  <c r="DJ65" i="19"/>
  <c r="DH64" i="19"/>
  <c r="DI64" i="19"/>
  <c r="DJ64" i="19"/>
  <c r="DG63" i="19"/>
  <c r="DH63" i="19"/>
  <c r="DJ63" i="19"/>
  <c r="DI63" i="19"/>
  <c r="DJ62" i="19"/>
  <c r="DI62" i="19"/>
  <c r="DH62" i="19"/>
  <c r="DJ66" i="19"/>
  <c r="DI66" i="19"/>
  <c r="DH66" i="19"/>
  <c r="DJ56" i="19"/>
  <c r="DI56" i="19"/>
  <c r="DH56" i="19"/>
  <c r="DJ60" i="19"/>
  <c r="DI60" i="19"/>
  <c r="DH60" i="19"/>
  <c r="DG59" i="19"/>
  <c r="DI59" i="19"/>
  <c r="DH59" i="19"/>
  <c r="DJ59" i="19"/>
  <c r="DH57" i="19"/>
  <c r="DJ57" i="19"/>
  <c r="DI57" i="19"/>
  <c r="DH58" i="19"/>
  <c r="DI58" i="19"/>
  <c r="DJ58" i="19"/>
  <c r="DI53" i="19"/>
  <c r="DH53" i="19"/>
  <c r="DJ53" i="19"/>
  <c r="DJ51" i="19"/>
  <c r="DI51" i="19"/>
  <c r="DH51" i="19"/>
  <c r="DG50" i="19"/>
  <c r="DJ50" i="19"/>
  <c r="DI50" i="19"/>
  <c r="DH50" i="19"/>
  <c r="DJ54" i="19"/>
  <c r="DI54" i="19"/>
  <c r="DH54" i="19"/>
  <c r="X34" i="19"/>
  <c r="H36" i="19"/>
  <c r="EM36" i="19"/>
  <c r="H42" i="19"/>
  <c r="EM42" i="19"/>
  <c r="H41" i="19"/>
  <c r="EM41" i="19"/>
  <c r="H40" i="19"/>
  <c r="EM40" i="19"/>
  <c r="H39" i="19"/>
  <c r="EM39" i="19"/>
  <c r="H38" i="19"/>
  <c r="EM38" i="19"/>
  <c r="K44" i="19"/>
  <c r="DV36" i="19"/>
  <c r="DX36" i="19"/>
  <c r="DU38" i="19"/>
  <c r="DV38" i="19"/>
  <c r="DW39" i="19"/>
  <c r="DV39" i="19"/>
  <c r="DU40" i="19"/>
  <c r="DV40" i="19"/>
  <c r="DU41" i="19"/>
  <c r="DV41" i="19"/>
  <c r="DU42" i="19"/>
  <c r="DV42" i="19"/>
  <c r="DH36" i="19"/>
  <c r="DJ36" i="19"/>
  <c r="DG38" i="19"/>
  <c r="DH38" i="19"/>
  <c r="DI39" i="19"/>
  <c r="DH39" i="19"/>
  <c r="DG40" i="19"/>
  <c r="DH40" i="19"/>
  <c r="DG41" i="19"/>
  <c r="DH41" i="19"/>
  <c r="DH42" i="19"/>
  <c r="K47" i="19"/>
  <c r="CR47" i="19" s="1"/>
  <c r="K46" i="19"/>
  <c r="CR46" i="19" s="1"/>
  <c r="EO78" i="19"/>
  <c r="CR78" i="19"/>
  <c r="CX78" i="19" s="1"/>
  <c r="EO77" i="19"/>
  <c r="CR77" i="19"/>
  <c r="CX77" i="19" s="1"/>
  <c r="EO54" i="19"/>
  <c r="CR54" i="19"/>
  <c r="CZ54" i="19" s="1"/>
  <c r="EO53" i="19"/>
  <c r="CR53" i="19"/>
  <c r="CZ53" i="19" s="1"/>
  <c r="EO51" i="19"/>
  <c r="CR51" i="19"/>
  <c r="CX51" i="19" s="1"/>
  <c r="EO50" i="19"/>
  <c r="CR50" i="19"/>
  <c r="EO42" i="19"/>
  <c r="CR42" i="19"/>
  <c r="CZ42" i="19" s="1"/>
  <c r="EO41" i="19"/>
  <c r="CR41" i="19"/>
  <c r="EO40" i="19"/>
  <c r="CR40" i="19"/>
  <c r="W15" i="45"/>
  <c r="V15" i="45" s="1"/>
  <c r="C15" i="45" s="1"/>
  <c r="CU12" i="45"/>
  <c r="DS12" i="45"/>
  <c r="DT12" i="45" s="1"/>
  <c r="DX12" i="45" s="1"/>
  <c r="V8" i="19"/>
  <c r="CO12" i="45"/>
  <c r="CN12" i="45" s="1"/>
  <c r="DJ12" i="45" s="1"/>
  <c r="EU12" i="45"/>
  <c r="CS12" i="45"/>
  <c r="W21" i="47"/>
  <c r="V21" i="47" s="1"/>
  <c r="C21" i="47" s="1"/>
  <c r="W34" i="32"/>
  <c r="V34" i="32" s="1"/>
  <c r="W58" i="22"/>
  <c r="W59" i="22" s="1"/>
  <c r="V14" i="47"/>
  <c r="C14" i="47" s="1"/>
  <c r="W15" i="47"/>
  <c r="V15" i="47" s="1"/>
  <c r="C15" i="47" s="1"/>
  <c r="W70" i="22"/>
  <c r="W71" i="22" s="1"/>
  <c r="V71" i="22" s="1"/>
  <c r="W27" i="47"/>
  <c r="V27" i="47" s="1"/>
  <c r="C27" i="47" s="1"/>
  <c r="W9" i="22"/>
  <c r="V8" i="22"/>
  <c r="C8" i="22" s="1"/>
  <c r="W46" i="22"/>
  <c r="V45" i="22"/>
  <c r="W34" i="22"/>
  <c r="V33" i="22"/>
  <c r="C33" i="22" s="1"/>
  <c r="W52" i="22"/>
  <c r="V52" i="22" s="1"/>
  <c r="V51" i="22"/>
  <c r="W64" i="32"/>
  <c r="V64" i="32" s="1"/>
  <c r="V63" i="32"/>
  <c r="W76" i="32"/>
  <c r="V76" i="32" s="1"/>
  <c r="V75" i="32"/>
  <c r="W58" i="32"/>
  <c r="V57" i="32"/>
  <c r="W46" i="32"/>
  <c r="V46" i="32" s="1"/>
  <c r="V45" i="32"/>
  <c r="W34" i="41"/>
  <c r="V34" i="41" s="1"/>
  <c r="C34" i="41" s="1"/>
  <c r="W16" i="41"/>
  <c r="V16" i="41" s="1"/>
  <c r="C16" i="41" s="1"/>
  <c r="W64" i="41"/>
  <c r="V64" i="41" s="1"/>
  <c r="W46" i="41"/>
  <c r="V46" i="41" s="1"/>
  <c r="C33" i="47"/>
  <c r="W46" i="47"/>
  <c r="V46" i="47" s="1"/>
  <c r="W40" i="47"/>
  <c r="V40" i="47" s="1"/>
  <c r="W58" i="47"/>
  <c r="V58" i="47" s="1"/>
  <c r="W70" i="47"/>
  <c r="V70" i="47" s="1"/>
  <c r="W64" i="47"/>
  <c r="V64" i="47" s="1"/>
  <c r="W58" i="41"/>
  <c r="V58" i="41" s="1"/>
  <c r="C15" i="41"/>
  <c r="W28" i="32"/>
  <c r="V28" i="32" s="1"/>
  <c r="C28" i="32" s="1"/>
  <c r="W9" i="45"/>
  <c r="V9" i="45" s="1"/>
  <c r="C8" i="45"/>
  <c r="W58" i="45"/>
  <c r="V58" i="45" s="1"/>
  <c r="W76" i="45"/>
  <c r="V76" i="45" s="1"/>
  <c r="W64" i="45"/>
  <c r="V64" i="45" s="1"/>
  <c r="W34" i="45"/>
  <c r="V34" i="45" s="1"/>
  <c r="W40" i="45"/>
  <c r="V40" i="45" s="1"/>
  <c r="W40" i="22"/>
  <c r="W64" i="22"/>
  <c r="W76" i="22"/>
  <c r="W70" i="32"/>
  <c r="V70" i="32" s="1"/>
  <c r="W52" i="32"/>
  <c r="V52" i="32" s="1"/>
  <c r="W40" i="32"/>
  <c r="V40" i="32" s="1"/>
  <c r="W52" i="47"/>
  <c r="V52" i="47" s="1"/>
  <c r="W28" i="41"/>
  <c r="V28" i="41" s="1"/>
  <c r="C28" i="41" s="1"/>
  <c r="W52" i="41"/>
  <c r="V52" i="41" s="1"/>
  <c r="W70" i="45"/>
  <c r="V70" i="45" s="1"/>
  <c r="W52" i="45"/>
  <c r="V52" i="45" s="1"/>
  <c r="W46" i="45"/>
  <c r="V46" i="45" s="1"/>
  <c r="DB48" i="41"/>
  <c r="O48" i="41" s="1"/>
  <c r="N77" i="47"/>
  <c r="DI35" i="45"/>
  <c r="DN35" i="45" s="1"/>
  <c r="DG39" i="41"/>
  <c r="DL39" i="41" s="1"/>
  <c r="DW66" i="45"/>
  <c r="EB66" i="45" s="1"/>
  <c r="DW66" i="47"/>
  <c r="EB66" i="47" s="1"/>
  <c r="CY42" i="41"/>
  <c r="M42" i="41" s="1"/>
  <c r="DG45" i="45"/>
  <c r="DL45" i="45" s="1"/>
  <c r="DG56" i="47"/>
  <c r="DL56" i="47" s="1"/>
  <c r="DI59" i="45"/>
  <c r="DN59" i="45" s="1"/>
  <c r="DG64" i="47"/>
  <c r="DL64" i="47" s="1"/>
  <c r="DU53" i="45"/>
  <c r="DZ53" i="45" s="1"/>
  <c r="DU30" i="45"/>
  <c r="DI39" i="41"/>
  <c r="DN39" i="41" s="1"/>
  <c r="DQ64" i="47"/>
  <c r="DR64" i="47" s="1"/>
  <c r="DU66" i="47"/>
  <c r="DZ66" i="47" s="1"/>
  <c r="DI56" i="47"/>
  <c r="DN56" i="47" s="1"/>
  <c r="L54" i="47"/>
  <c r="DW38" i="41"/>
  <c r="EB38" i="41" s="1"/>
  <c r="CY59" i="47"/>
  <c r="M59" i="47" s="1"/>
  <c r="DI77" i="45"/>
  <c r="DN77" i="45" s="1"/>
  <c r="DI62" i="47"/>
  <c r="DN62" i="47" s="1"/>
  <c r="DQ62" i="47"/>
  <c r="DR62" i="47" s="1"/>
  <c r="DI68" i="45"/>
  <c r="DN68" i="45" s="1"/>
  <c r="DQ68" i="45" s="1"/>
  <c r="DR68" i="45" s="1"/>
  <c r="EE53" i="47"/>
  <c r="EF53" i="47" s="1"/>
  <c r="DU52" i="45"/>
  <c r="DZ52" i="45" s="1"/>
  <c r="DU52" i="47"/>
  <c r="DZ52" i="47" s="1"/>
  <c r="DU38" i="41"/>
  <c r="DZ38" i="41" s="1"/>
  <c r="DI75" i="45"/>
  <c r="DN75" i="45" s="1"/>
  <c r="DG30" i="47"/>
  <c r="CY76" i="47"/>
  <c r="M76" i="47" s="1"/>
  <c r="DQ50" i="41"/>
  <c r="DR50" i="41" s="1"/>
  <c r="DB40" i="41"/>
  <c r="O40" i="41" s="1"/>
  <c r="L45" i="41"/>
  <c r="DU47" i="45"/>
  <c r="DZ47" i="45" s="1"/>
  <c r="DG75" i="47"/>
  <c r="DL75" i="47" s="1"/>
  <c r="DB51" i="41"/>
  <c r="O51" i="41" s="1"/>
  <c r="EE52" i="47"/>
  <c r="EF52" i="47" s="1"/>
  <c r="EE38" i="41"/>
  <c r="EF38" i="41" s="1"/>
  <c r="DI50" i="41"/>
  <c r="DN50" i="41" s="1"/>
  <c r="DB41" i="41"/>
  <c r="O41" i="41" s="1"/>
  <c r="DI75" i="47"/>
  <c r="DN75" i="47" s="1"/>
  <c r="DI30" i="47"/>
  <c r="DG65" i="45"/>
  <c r="DL65" i="45" s="1"/>
  <c r="DU53" i="47"/>
  <c r="DZ53" i="47" s="1"/>
  <c r="CU57" i="22"/>
  <c r="CS64" i="22"/>
  <c r="CS18" i="22"/>
  <c r="EU62" i="22"/>
  <c r="CS59" i="22"/>
  <c r="CU71" i="22"/>
  <c r="DS32" i="22"/>
  <c r="DT32" i="22" s="1"/>
  <c r="CU51" i="22"/>
  <c r="CU30" i="22"/>
  <c r="DS33" i="22"/>
  <c r="DT33" i="22" s="1"/>
  <c r="CU40" i="22"/>
  <c r="CU38" i="22"/>
  <c r="CS63" i="22"/>
  <c r="CU75" i="22"/>
  <c r="DS47" i="22"/>
  <c r="DT47" i="22" s="1"/>
  <c r="DV47" i="22" s="1"/>
  <c r="EU34" i="22"/>
  <c r="CU50" i="22"/>
  <c r="CO35" i="22"/>
  <c r="CN35" i="22" s="1"/>
  <c r="DS77" i="22"/>
  <c r="DT77" i="22" s="1"/>
  <c r="DV77" i="22" s="1"/>
  <c r="Z60" i="22"/>
  <c r="Q60" i="22" s="1"/>
  <c r="CU68" i="22"/>
  <c r="EU48" i="22"/>
  <c r="CU76" i="22"/>
  <c r="Z53" i="22"/>
  <c r="Q53" i="22" s="1"/>
  <c r="Z69" i="22"/>
  <c r="Q69" i="22" s="1"/>
  <c r="CU44" i="22"/>
  <c r="CS54" i="22"/>
  <c r="DS27" i="22"/>
  <c r="DT27" i="22" s="1"/>
  <c r="CU74" i="22"/>
  <c r="CS52" i="22"/>
  <c r="CO72" i="22"/>
  <c r="CN72" i="22" s="1"/>
  <c r="CS24" i="22"/>
  <c r="DS56" i="22"/>
  <c r="DT56" i="22" s="1"/>
  <c r="DV56" i="22" s="1"/>
  <c r="CU65" i="22"/>
  <c r="CU38" i="32"/>
  <c r="DS40" i="32"/>
  <c r="DT40" i="32" s="1"/>
  <c r="DX40" i="32" s="1"/>
  <c r="Z39" i="32"/>
  <c r="Q39" i="32" s="1"/>
  <c r="DS35" i="32"/>
  <c r="DT35" i="32" s="1"/>
  <c r="DX35" i="32" s="1"/>
  <c r="CS32" i="32"/>
  <c r="EU34" i="32"/>
  <c r="EU33" i="32"/>
  <c r="CS30" i="32"/>
  <c r="Z28" i="32"/>
  <c r="H28" i="32" s="1"/>
  <c r="CU27" i="32"/>
  <c r="CS20" i="32"/>
  <c r="Z24" i="32"/>
  <c r="H24" i="32" s="1"/>
  <c r="Z23" i="32"/>
  <c r="H23" i="32" s="1"/>
  <c r="CS18" i="32"/>
  <c r="EU12" i="32"/>
  <c r="J11" i="32"/>
  <c r="Z15" i="32"/>
  <c r="H15" i="32" s="1"/>
  <c r="J15" i="32"/>
  <c r="J10" i="32"/>
  <c r="DG36" i="19"/>
  <c r="DI36" i="19"/>
  <c r="DG62" i="19"/>
  <c r="DA48" i="45"/>
  <c r="N48" i="45" s="1"/>
  <c r="BJ17" i="47"/>
  <c r="BW16" i="47"/>
  <c r="BJ38" i="19"/>
  <c r="BW37" i="19"/>
  <c r="DA65" i="45"/>
  <c r="DB65" i="45" s="1"/>
  <c r="O65" i="45" s="1"/>
  <c r="CW66" i="45"/>
  <c r="L66" i="45" s="1"/>
  <c r="DA74" i="45"/>
  <c r="DB74" i="45" s="1"/>
  <c r="O74" i="45" s="1"/>
  <c r="CW76" i="45"/>
  <c r="L76" i="45" s="1"/>
  <c r="DA76" i="45"/>
  <c r="DB76" i="45" s="1"/>
  <c r="O76" i="45" s="1"/>
  <c r="EE66" i="45"/>
  <c r="EF66" i="45" s="1"/>
  <c r="DA71" i="45"/>
  <c r="N71" i="45" s="1"/>
  <c r="D178" i="31"/>
  <c r="D180" i="31" s="1"/>
  <c r="D181" i="31" s="1"/>
  <c r="E208" i="31" s="1"/>
  <c r="J207" i="31" s="1"/>
  <c r="C232" i="31" s="1"/>
  <c r="C212" i="31"/>
  <c r="C219" i="31" s="1"/>
  <c r="ER69" i="19"/>
  <c r="ES69" i="19" s="1"/>
  <c r="EO69" i="19"/>
  <c r="CR69" i="19"/>
  <c r="CZ69" i="19" s="1"/>
  <c r="DA69" i="19" s="1"/>
  <c r="CY62" i="47"/>
  <c r="M62" i="47" s="1"/>
  <c r="Z21" i="32"/>
  <c r="H21" i="32" s="1"/>
  <c r="J21" i="32"/>
  <c r="BW37" i="45"/>
  <c r="BJ38" i="45"/>
  <c r="DS44" i="22"/>
  <c r="DT44" i="22" s="1"/>
  <c r="DV44" i="22" s="1"/>
  <c r="DW62" i="47"/>
  <c r="EB62" i="47" s="1"/>
  <c r="EE62" i="47"/>
  <c r="EF62" i="47" s="1"/>
  <c r="DU32" i="41"/>
  <c r="DW32" i="41"/>
  <c r="BW18" i="32"/>
  <c r="BJ19" i="32"/>
  <c r="EU42" i="22"/>
  <c r="CU42" i="22"/>
  <c r="Z44" i="22"/>
  <c r="Q44" i="22" s="1"/>
  <c r="CS34" i="22"/>
  <c r="BW17" i="22"/>
  <c r="BJ18" i="22"/>
  <c r="CO42" i="22"/>
  <c r="CN42" i="22" s="1"/>
  <c r="DS42" i="22"/>
  <c r="DT42" i="22" s="1"/>
  <c r="DV42" i="22" s="1"/>
  <c r="Z42" i="22"/>
  <c r="Q42" i="22" s="1"/>
  <c r="CS35" i="22"/>
  <c r="Z35" i="22"/>
  <c r="Q35" i="22" s="1"/>
  <c r="CS42" i="22"/>
  <c r="EU78" i="22"/>
  <c r="CS50" i="22"/>
  <c r="Z50" i="22"/>
  <c r="Q50" i="22" s="1"/>
  <c r="Z66" i="22"/>
  <c r="Q66" i="22" s="1"/>
  <c r="DS50" i="22"/>
  <c r="DT50" i="22" s="1"/>
  <c r="DV50" i="22" s="1"/>
  <c r="CU35" i="22"/>
  <c r="EU50" i="22"/>
  <c r="EU35" i="22"/>
  <c r="CS65" i="22"/>
  <c r="CO66" i="22"/>
  <c r="CN66" i="22" s="1"/>
  <c r="CO50" i="22"/>
  <c r="CN50" i="22" s="1"/>
  <c r="DS35" i="22"/>
  <c r="DT35" i="22" s="1"/>
  <c r="DV35" i="22" s="1"/>
  <c r="DS66" i="22"/>
  <c r="DT66" i="22" s="1"/>
  <c r="DV66" i="22" s="1"/>
  <c r="CW48" i="45"/>
  <c r="CY48" i="45" s="1"/>
  <c r="M48" i="45" s="1"/>
  <c r="CW51" i="45"/>
  <c r="CY51" i="45" s="1"/>
  <c r="M51" i="45" s="1"/>
  <c r="CW57" i="45"/>
  <c r="L57" i="45" s="1"/>
  <c r="CW69" i="45"/>
  <c r="L69" i="45" s="1"/>
  <c r="CW40" i="45"/>
  <c r="CY40" i="45" s="1"/>
  <c r="M40" i="45" s="1"/>
  <c r="DA66" i="45"/>
  <c r="DB66" i="45" s="1"/>
  <c r="O66" i="45" s="1"/>
  <c r="DA58" i="45"/>
  <c r="DB58" i="45" s="1"/>
  <c r="O58" i="45" s="1"/>
  <c r="DQ65" i="45"/>
  <c r="DR65" i="45" s="1"/>
  <c r="DA51" i="45"/>
  <c r="DB51" i="45" s="1"/>
  <c r="O51" i="45" s="1"/>
  <c r="DA45" i="45"/>
  <c r="DB45" i="45" s="1"/>
  <c r="O45" i="45" s="1"/>
  <c r="DA41" i="45"/>
  <c r="N41" i="45" s="1"/>
  <c r="CW74" i="45"/>
  <c r="CY74" i="45" s="1"/>
  <c r="M74" i="45" s="1"/>
  <c r="DA70" i="45"/>
  <c r="DB70" i="45" s="1"/>
  <c r="O70" i="45" s="1"/>
  <c r="CW58" i="45"/>
  <c r="CY58" i="45" s="1"/>
  <c r="M58" i="45" s="1"/>
  <c r="CW70" i="45"/>
  <c r="L70" i="45" s="1"/>
  <c r="DA69" i="45"/>
  <c r="N69" i="45" s="1"/>
  <c r="CW41" i="45"/>
  <c r="CY41" i="45" s="1"/>
  <c r="M41" i="45" s="1"/>
  <c r="DA34" i="45"/>
  <c r="DB34" i="45" s="1"/>
  <c r="O34" i="45" s="1"/>
  <c r="DA40" i="45"/>
  <c r="CW45" i="45"/>
  <c r="L45" i="45" s="1"/>
  <c r="DA57" i="45"/>
  <c r="N57" i="45" s="1"/>
  <c r="CW65" i="45"/>
  <c r="CY65" i="45" s="1"/>
  <c r="M65" i="45" s="1"/>
  <c r="CW71" i="45"/>
  <c r="CW34" i="45"/>
  <c r="DU71" i="32"/>
  <c r="DZ71" i="32" s="1"/>
  <c r="EU66" i="22"/>
  <c r="CU66" i="22"/>
  <c r="DS39" i="22"/>
  <c r="DT39" i="22" s="1"/>
  <c r="DV39" i="22" s="1"/>
  <c r="Z39" i="22"/>
  <c r="Q39" i="22" s="1"/>
  <c r="CS39" i="22"/>
  <c r="EU39" i="22"/>
  <c r="CU39" i="22"/>
  <c r="CS66" i="22"/>
  <c r="CO39" i="22"/>
  <c r="CN39" i="22" s="1"/>
  <c r="CS44" i="22"/>
  <c r="CO44" i="22"/>
  <c r="CN44" i="22" s="1"/>
  <c r="EU44" i="22"/>
  <c r="CU15" i="32"/>
  <c r="DI71" i="32"/>
  <c r="DN71" i="32" s="1"/>
  <c r="DS28" i="32"/>
  <c r="DT28" i="32" s="1"/>
  <c r="DX28" i="32" s="1"/>
  <c r="CO71" i="22"/>
  <c r="CN71" i="22" s="1"/>
  <c r="CS32" i="22"/>
  <c r="CU78" i="22"/>
  <c r="CO69" i="22"/>
  <c r="CN69" i="22" s="1"/>
  <c r="CS53" i="22"/>
  <c r="Z78" i="22"/>
  <c r="Q78" i="22" s="1"/>
  <c r="CO78" i="22"/>
  <c r="CN78" i="22" s="1"/>
  <c r="DS78" i="22"/>
  <c r="DT78" i="22" s="1"/>
  <c r="DV78" i="22" s="1"/>
  <c r="CS78" i="22"/>
  <c r="CU41" i="22"/>
  <c r="CU69" i="22"/>
  <c r="EU65" i="22"/>
  <c r="EU36" i="22"/>
  <c r="CS10" i="32"/>
  <c r="Z72" i="22"/>
  <c r="Q72" i="22" s="1"/>
  <c r="CS36" i="22"/>
  <c r="DS65" i="22"/>
  <c r="DT65" i="22" s="1"/>
  <c r="DV65" i="22" s="1"/>
  <c r="Z65" i="22"/>
  <c r="Q65" i="22" s="1"/>
  <c r="EU41" i="22"/>
  <c r="CO65" i="22"/>
  <c r="CN65" i="22" s="1"/>
  <c r="CO47" i="22"/>
  <c r="CN47" i="22" s="1"/>
  <c r="DS10" i="32"/>
  <c r="DT10" i="32" s="1"/>
  <c r="DX10" i="32" s="1"/>
  <c r="DS41" i="22"/>
  <c r="DT41" i="22" s="1"/>
  <c r="DV41" i="22" s="1"/>
  <c r="DS36" i="22"/>
  <c r="DT36" i="22" s="1"/>
  <c r="DV36" i="22" s="1"/>
  <c r="EU53" i="22"/>
  <c r="CO70" i="22"/>
  <c r="CN70" i="22" s="1"/>
  <c r="Z20" i="32"/>
  <c r="H20" i="32" s="1"/>
  <c r="CS76" i="22"/>
  <c r="CY56" i="47"/>
  <c r="M56" i="47" s="1"/>
  <c r="CO33" i="32"/>
  <c r="CN33" i="32" s="1"/>
  <c r="CS33" i="32"/>
  <c r="CU12" i="32"/>
  <c r="Z59" i="22"/>
  <c r="Q59" i="22" s="1"/>
  <c r="DS71" i="22"/>
  <c r="DT71" i="22" s="1"/>
  <c r="CO48" i="22"/>
  <c r="CN48" i="22" s="1"/>
  <c r="CO76" i="22"/>
  <c r="CN76" i="22" s="1"/>
  <c r="EU20" i="32"/>
  <c r="CO34" i="22"/>
  <c r="CN34" i="22" s="1"/>
  <c r="Z34" i="22"/>
  <c r="Q34" i="22" s="1"/>
  <c r="DS53" i="22"/>
  <c r="DT53" i="22" s="1"/>
  <c r="DV53" i="22" s="1"/>
  <c r="CU53" i="22"/>
  <c r="CU33" i="32"/>
  <c r="CS12" i="32"/>
  <c r="CO28" i="32"/>
  <c r="CN28" i="32" s="1"/>
  <c r="CO59" i="22"/>
  <c r="CN59" i="22" s="1"/>
  <c r="CS71" i="22"/>
  <c r="CS48" i="22"/>
  <c r="CO32" i="22"/>
  <c r="CN32" i="22" s="1"/>
  <c r="DS76" i="22"/>
  <c r="DT76" i="22" s="1"/>
  <c r="DV76" i="22" s="1"/>
  <c r="Z76" i="22"/>
  <c r="Q76" i="22" s="1"/>
  <c r="CS15" i="32"/>
  <c r="DS34" i="22"/>
  <c r="DT34" i="22" s="1"/>
  <c r="DV34" i="22" s="1"/>
  <c r="CU70" i="22"/>
  <c r="CU59" i="22"/>
  <c r="CU48" i="22"/>
  <c r="EU32" i="22"/>
  <c r="CO20" i="32"/>
  <c r="CN20" i="32" s="1"/>
  <c r="CO15" i="32"/>
  <c r="CN15" i="32" s="1"/>
  <c r="CU34" i="22"/>
  <c r="DG78" i="32"/>
  <c r="DL78" i="32" s="1"/>
  <c r="CU72" i="22"/>
  <c r="CS45" i="22"/>
  <c r="EU24" i="22"/>
  <c r="CS69" i="22"/>
  <c r="EU69" i="22"/>
  <c r="CS72" i="22"/>
  <c r="EU45" i="22"/>
  <c r="DS69" i="22"/>
  <c r="DT69" i="22" s="1"/>
  <c r="DV69" i="22" s="1"/>
  <c r="CO10" i="32"/>
  <c r="CN10" i="32" s="1"/>
  <c r="EU10" i="32"/>
  <c r="CU10" i="32"/>
  <c r="EU70" i="22"/>
  <c r="CO53" i="22"/>
  <c r="CN53" i="22" s="1"/>
  <c r="DS59" i="22"/>
  <c r="DT59" i="22" s="1"/>
  <c r="DV59" i="22" s="1"/>
  <c r="Z71" i="22"/>
  <c r="Q71" i="22" s="1"/>
  <c r="EU71" i="22"/>
  <c r="DS48" i="22"/>
  <c r="DT48" i="22" s="1"/>
  <c r="Z70" i="22"/>
  <c r="Q70" i="22" s="1"/>
  <c r="EU59" i="22"/>
  <c r="CU32" i="22"/>
  <c r="Z32" i="22"/>
  <c r="DS70" i="22"/>
  <c r="DT70" i="22" s="1"/>
  <c r="DV70" i="22" s="1"/>
  <c r="CS70" i="22"/>
  <c r="CU36" i="22"/>
  <c r="Z48" i="22"/>
  <c r="Q48" i="22" s="1"/>
  <c r="EU76" i="22"/>
  <c r="Z33" i="32"/>
  <c r="Q33" i="32" s="1"/>
  <c r="CO12" i="32"/>
  <c r="CN12" i="32" s="1"/>
  <c r="CU28" i="32"/>
  <c r="EU28" i="32"/>
  <c r="DS20" i="32"/>
  <c r="DT20" i="32" s="1"/>
  <c r="EU15" i="32"/>
  <c r="DS33" i="32"/>
  <c r="DT33" i="32" s="1"/>
  <c r="DX33" i="32" s="1"/>
  <c r="DS12" i="32"/>
  <c r="DT12" i="32" s="1"/>
  <c r="CS28" i="32"/>
  <c r="CU20" i="32"/>
  <c r="DS15" i="32"/>
  <c r="DT15" i="32" s="1"/>
  <c r="DX15" i="32" s="1"/>
  <c r="DB56" i="47"/>
  <c r="O56" i="47" s="1"/>
  <c r="DW56" i="47"/>
  <c r="EB56" i="47" s="1"/>
  <c r="DU56" i="47"/>
  <c r="DZ56" i="47" s="1"/>
  <c r="EE56" i="47"/>
  <c r="EF56" i="47" s="1"/>
  <c r="Z56" i="22"/>
  <c r="Q56" i="22" s="1"/>
  <c r="EU64" i="22"/>
  <c r="Z18" i="22"/>
  <c r="H18" i="22" s="1"/>
  <c r="Z68" i="22"/>
  <c r="Q68" i="22" s="1"/>
  <c r="CU62" i="22"/>
  <c r="CO57" i="22"/>
  <c r="CN57" i="22" s="1"/>
  <c r="CS62" i="22"/>
  <c r="DI57" i="32"/>
  <c r="DN57" i="32" s="1"/>
  <c r="DG56" i="32"/>
  <c r="DL56" i="32" s="1"/>
  <c r="N62" i="47"/>
  <c r="DW76" i="32"/>
  <c r="EB76" i="32" s="1"/>
  <c r="EE76" i="32" s="1"/>
  <c r="EF76" i="32" s="1"/>
  <c r="DW66" i="32"/>
  <c r="EB66" i="32" s="1"/>
  <c r="EE66" i="32" s="1"/>
  <c r="EF66" i="32" s="1"/>
  <c r="DG53" i="32"/>
  <c r="DL53" i="32" s="1"/>
  <c r="DW46" i="32"/>
  <c r="EB46" i="32" s="1"/>
  <c r="EE46" i="32" s="1"/>
  <c r="EF46" i="32" s="1"/>
  <c r="DW48" i="32"/>
  <c r="EB48" i="32" s="1"/>
  <c r="EE48" i="32" s="1"/>
  <c r="EF48" i="32" s="1"/>
  <c r="DS62" i="22"/>
  <c r="DT62" i="22" s="1"/>
  <c r="CO62" i="22"/>
  <c r="CN62" i="22" s="1"/>
  <c r="EU56" i="22"/>
  <c r="CU56" i="22"/>
  <c r="CO56" i="22"/>
  <c r="CN56" i="22" s="1"/>
  <c r="CS77" i="22"/>
  <c r="DS60" i="22"/>
  <c r="DT60" i="22" s="1"/>
  <c r="DV60" i="22" s="1"/>
  <c r="CU64" i="22"/>
  <c r="EU18" i="22"/>
  <c r="Z57" i="22"/>
  <c r="Q57" i="22" s="1"/>
  <c r="CO64" i="22"/>
  <c r="CN64" i="22" s="1"/>
  <c r="DI54" i="32"/>
  <c r="DN54" i="32" s="1"/>
  <c r="CS56" i="22"/>
  <c r="DW47" i="32"/>
  <c r="EB47" i="32" s="1"/>
  <c r="EE47" i="32" s="1"/>
  <c r="EF47" i="32" s="1"/>
  <c r="CO77" i="22"/>
  <c r="CN77" i="22" s="1"/>
  <c r="CU60" i="22"/>
  <c r="CS68" i="22"/>
  <c r="EU68" i="22"/>
  <c r="CS57" i="22"/>
  <c r="CO18" i="22"/>
  <c r="CN18" i="22" s="1"/>
  <c r="EU57" i="22"/>
  <c r="CU18" i="22"/>
  <c r="Z62" i="22"/>
  <c r="Q62" i="22" s="1"/>
  <c r="EU77" i="22"/>
  <c r="CO60" i="22"/>
  <c r="CN60" i="22" s="1"/>
  <c r="DS68" i="22"/>
  <c r="DT68" i="22" s="1"/>
  <c r="CO41" i="22"/>
  <c r="CN41" i="22" s="1"/>
  <c r="Z41" i="22"/>
  <c r="Q41" i="22" s="1"/>
  <c r="Z36" i="22"/>
  <c r="Q36" i="22" s="1"/>
  <c r="CS41" i="22"/>
  <c r="CO36" i="22"/>
  <c r="CN36" i="22" s="1"/>
  <c r="CS51" i="22"/>
  <c r="D156" i="31"/>
  <c r="D184" i="31" s="1"/>
  <c r="DW74" i="32"/>
  <c r="EB74" i="32" s="1"/>
  <c r="EE74" i="32" s="1"/>
  <c r="EF74" i="32" s="1"/>
  <c r="DI64" i="32"/>
  <c r="DN64" i="32" s="1"/>
  <c r="DU52" i="32"/>
  <c r="DZ52" i="32" s="1"/>
  <c r="DU50" i="32"/>
  <c r="DZ50" i="32" s="1"/>
  <c r="DU69" i="32"/>
  <c r="DZ69" i="32" s="1"/>
  <c r="DU60" i="32"/>
  <c r="DZ60" i="32" s="1"/>
  <c r="DI45" i="32"/>
  <c r="DN45" i="32" s="1"/>
  <c r="DU75" i="32"/>
  <c r="DZ75" i="32" s="1"/>
  <c r="DW45" i="32"/>
  <c r="EB45" i="32" s="1"/>
  <c r="EE45" i="32" s="1"/>
  <c r="EF45" i="32" s="1"/>
  <c r="DG51" i="32"/>
  <c r="DL51" i="32" s="1"/>
  <c r="CU23" i="32"/>
  <c r="EU23" i="32"/>
  <c r="DS23" i="32"/>
  <c r="DT23" i="32" s="1"/>
  <c r="EU72" i="22"/>
  <c r="DS45" i="22"/>
  <c r="DT45" i="22" s="1"/>
  <c r="DV45" i="22" s="1"/>
  <c r="Z24" i="22"/>
  <c r="CO74" i="22"/>
  <c r="CN74" i="22" s="1"/>
  <c r="CS23" i="32"/>
  <c r="DS72" i="22"/>
  <c r="DT72" i="22" s="1"/>
  <c r="DV72" i="22" s="1"/>
  <c r="CU45" i="22"/>
  <c r="CO45" i="22"/>
  <c r="CN45" i="22" s="1"/>
  <c r="DS24" i="22"/>
  <c r="DT24" i="22" s="1"/>
  <c r="DV24" i="22" s="1"/>
  <c r="CO24" i="22"/>
  <c r="CN24" i="22" s="1"/>
  <c r="CO46" i="22"/>
  <c r="CN46" i="22" s="1"/>
  <c r="CO23" i="32"/>
  <c r="CN23" i="32" s="1"/>
  <c r="Z45" i="22"/>
  <c r="Q45" i="22" s="1"/>
  <c r="CU24" i="22"/>
  <c r="CS27" i="22"/>
  <c r="DW42" i="45"/>
  <c r="EB42" i="45" s="1"/>
  <c r="DU41" i="32"/>
  <c r="DZ41" i="32" s="1"/>
  <c r="DQ68" i="47"/>
  <c r="DR68" i="47" s="1"/>
  <c r="DB53" i="47"/>
  <c r="O53" i="47" s="1"/>
  <c r="O55" i="47" s="1"/>
  <c r="DU65" i="32"/>
  <c r="DZ65" i="32" s="1"/>
  <c r="DU56" i="32"/>
  <c r="DZ56" i="32" s="1"/>
  <c r="EE68" i="47"/>
  <c r="EF68" i="47" s="1"/>
  <c r="DI58" i="32"/>
  <c r="DN58" i="32" s="1"/>
  <c r="Z64" i="22"/>
  <c r="Q64" i="22" s="1"/>
  <c r="DS64" i="22"/>
  <c r="DT64" i="22" s="1"/>
  <c r="DS18" i="22"/>
  <c r="DT18" i="22" s="1"/>
  <c r="DV18" i="22" s="1"/>
  <c r="Z77" i="22"/>
  <c r="Q77" i="22" s="1"/>
  <c r="CU77" i="22"/>
  <c r="EU60" i="22"/>
  <c r="CS60" i="22"/>
  <c r="CO33" i="22"/>
  <c r="CN33" i="22" s="1"/>
  <c r="CO68" i="22"/>
  <c r="CN68" i="22" s="1"/>
  <c r="DI52" i="32"/>
  <c r="DN52" i="32" s="1"/>
  <c r="EU63" i="22"/>
  <c r="CO30" i="22"/>
  <c r="CN30" i="22" s="1"/>
  <c r="DS36" i="32"/>
  <c r="DT36" i="32" s="1"/>
  <c r="DX36" i="32" s="1"/>
  <c r="CO27" i="22"/>
  <c r="CN27" i="22" s="1"/>
  <c r="Z46" i="22"/>
  <c r="Q46" i="22" s="1"/>
  <c r="DS21" i="32"/>
  <c r="DT21" i="32" s="1"/>
  <c r="DS52" i="22"/>
  <c r="DT52" i="22" s="1"/>
  <c r="DV52" i="22" s="1"/>
  <c r="CU46" i="22"/>
  <c r="CU54" i="22"/>
  <c r="EU21" i="32"/>
  <c r="DW68" i="47"/>
  <c r="EB68" i="47" s="1"/>
  <c r="DG59" i="32"/>
  <c r="DL59" i="32" s="1"/>
  <c r="DG65" i="32"/>
  <c r="DL65" i="32" s="1"/>
  <c r="DW57" i="32"/>
  <c r="EB57" i="32" s="1"/>
  <c r="EE57" i="32" s="1"/>
  <c r="EF57" i="32" s="1"/>
  <c r="DG75" i="32"/>
  <c r="DL75" i="32" s="1"/>
  <c r="DG68" i="47"/>
  <c r="DL68" i="47" s="1"/>
  <c r="DG69" i="32"/>
  <c r="DL69" i="32" s="1"/>
  <c r="DB68" i="47"/>
  <c r="O68" i="47" s="1"/>
  <c r="DW68" i="32"/>
  <c r="EB68" i="32" s="1"/>
  <c r="EE68" i="32" s="1"/>
  <c r="EF68" i="32" s="1"/>
  <c r="DG66" i="32"/>
  <c r="DL66" i="32" s="1"/>
  <c r="DS74" i="22"/>
  <c r="DT74" i="22" s="1"/>
  <c r="DV74" i="22" s="1"/>
  <c r="EU74" i="22"/>
  <c r="CO52" i="22"/>
  <c r="CN52" i="22" s="1"/>
  <c r="DS46" i="22"/>
  <c r="DT46" i="22" s="1"/>
  <c r="DI44" i="32"/>
  <c r="DN44" i="32" s="1"/>
  <c r="Z54" i="22"/>
  <c r="Q54" i="22" s="1"/>
  <c r="CS21" i="32"/>
  <c r="CS74" i="22"/>
  <c r="Z74" i="22"/>
  <c r="Q74" i="22" s="1"/>
  <c r="CU52" i="22"/>
  <c r="Z52" i="22"/>
  <c r="Q52" i="22" s="1"/>
  <c r="CS46" i="22"/>
  <c r="EU46" i="22"/>
  <c r="CO54" i="22"/>
  <c r="CN54" i="22" s="1"/>
  <c r="EU54" i="22"/>
  <c r="CU27" i="22"/>
  <c r="EU27" i="22"/>
  <c r="CO21" i="32"/>
  <c r="CN21" i="32" s="1"/>
  <c r="CU21" i="32"/>
  <c r="DU44" i="32"/>
  <c r="DZ44" i="32" s="1"/>
  <c r="DI48" i="32"/>
  <c r="DN48" i="32" s="1"/>
  <c r="L38" i="41"/>
  <c r="EU52" i="22"/>
  <c r="DS54" i="22"/>
  <c r="DT54" i="22" s="1"/>
  <c r="DV54" i="22" s="1"/>
  <c r="Z27" i="22"/>
  <c r="DU78" i="32"/>
  <c r="DZ78" i="32" s="1"/>
  <c r="DS38" i="22"/>
  <c r="DT38" i="22" s="1"/>
  <c r="DV38" i="22" s="1"/>
  <c r="CU63" i="22"/>
  <c r="DS30" i="22"/>
  <c r="DT30" i="22" s="1"/>
  <c r="DV30" i="22" s="1"/>
  <c r="CS38" i="22"/>
  <c r="CO63" i="22"/>
  <c r="CN63" i="22" s="1"/>
  <c r="CO75" i="22"/>
  <c r="CN75" i="22" s="1"/>
  <c r="EU47" i="22"/>
  <c r="DW77" i="32"/>
  <c r="EB77" i="32" s="1"/>
  <c r="EE77" i="32" s="1"/>
  <c r="EF77" i="32" s="1"/>
  <c r="Z51" i="22"/>
  <c r="Q51" i="22" s="1"/>
  <c r="CS30" i="22"/>
  <c r="Z33" i="22"/>
  <c r="EU40" i="22"/>
  <c r="L68" i="47"/>
  <c r="CS36" i="32"/>
  <c r="DG47" i="32"/>
  <c r="DL47" i="32" s="1"/>
  <c r="CS75" i="22"/>
  <c r="CS47" i="22"/>
  <c r="DU53" i="32"/>
  <c r="DZ53" i="32" s="1"/>
  <c r="CO51" i="22"/>
  <c r="CN51" i="22" s="1"/>
  <c r="DS63" i="22"/>
  <c r="DT63" i="22" s="1"/>
  <c r="DV63" i="22" s="1"/>
  <c r="EU75" i="22"/>
  <c r="CU47" i="22"/>
  <c r="Z47" i="22"/>
  <c r="Q47" i="22" s="1"/>
  <c r="EU51" i="22"/>
  <c r="EU30" i="22"/>
  <c r="DS40" i="22"/>
  <c r="DT40" i="22" s="1"/>
  <c r="DV40" i="22" s="1"/>
  <c r="CU36" i="32"/>
  <c r="DW51" i="32"/>
  <c r="EB51" i="32" s="1"/>
  <c r="EE51" i="32" s="1"/>
  <c r="EF51" i="32" s="1"/>
  <c r="DU62" i="32"/>
  <c r="DZ62" i="32" s="1"/>
  <c r="CO38" i="22"/>
  <c r="CN38" i="22" s="1"/>
  <c r="Z38" i="22"/>
  <c r="Q38" i="22" s="1"/>
  <c r="Z63" i="22"/>
  <c r="Q63" i="22" s="1"/>
  <c r="DS75" i="22"/>
  <c r="DT75" i="22" s="1"/>
  <c r="DV75" i="22" s="1"/>
  <c r="DS51" i="22"/>
  <c r="DT51" i="22" s="1"/>
  <c r="DV51" i="22" s="1"/>
  <c r="CU33" i="22"/>
  <c r="Z40" i="22"/>
  <c r="Q40" i="22" s="1"/>
  <c r="Z36" i="32"/>
  <c r="Q36" i="32" s="1"/>
  <c r="EU36" i="32"/>
  <c r="EU38" i="22"/>
  <c r="DS57" i="22"/>
  <c r="DT57" i="22" s="1"/>
  <c r="DV57" i="22" s="1"/>
  <c r="Z75" i="22"/>
  <c r="Q75" i="22" s="1"/>
  <c r="Z30" i="22"/>
  <c r="EU33" i="22"/>
  <c r="CS33" i="22"/>
  <c r="CS40" i="22"/>
  <c r="CO40" i="22"/>
  <c r="CN40" i="22" s="1"/>
  <c r="CO36" i="32"/>
  <c r="CN36" i="32" s="1"/>
  <c r="DS39" i="32"/>
  <c r="DT39" i="32" s="1"/>
  <c r="DX39" i="32" s="1"/>
  <c r="DG66" i="19"/>
  <c r="DU68" i="45"/>
  <c r="DZ68" i="45" s="1"/>
  <c r="EE68" i="45"/>
  <c r="EF68" i="45" s="1"/>
  <c r="DU58" i="45"/>
  <c r="DZ58" i="45" s="1"/>
  <c r="EE38" i="45"/>
  <c r="EF38" i="45" s="1"/>
  <c r="DU38" i="45"/>
  <c r="DZ38" i="45" s="1"/>
  <c r="DG38" i="45"/>
  <c r="DL38" i="45" s="1"/>
  <c r="DI38" i="45"/>
  <c r="DN38" i="45" s="1"/>
  <c r="DU66" i="19"/>
  <c r="DW58" i="45"/>
  <c r="EB58" i="45" s="1"/>
  <c r="DI58" i="45"/>
  <c r="DN58" i="45" s="1"/>
  <c r="DQ58" i="45" s="1"/>
  <c r="DR58" i="45" s="1"/>
  <c r="DB38" i="41"/>
  <c r="O38" i="41" s="1"/>
  <c r="CU32" i="32"/>
  <c r="Z32" i="32"/>
  <c r="DQ38" i="41"/>
  <c r="DR38" i="41" s="1"/>
  <c r="DG38" i="41"/>
  <c r="DL38" i="41" s="1"/>
  <c r="DI41" i="19"/>
  <c r="DW40" i="19"/>
  <c r="DG39" i="19"/>
  <c r="DW42" i="19"/>
  <c r="DG78" i="19"/>
  <c r="DU78" i="19"/>
  <c r="DG54" i="19"/>
  <c r="DI38" i="19"/>
  <c r="DU50" i="19"/>
  <c r="DG53" i="19"/>
  <c r="DU77" i="19"/>
  <c r="DG77" i="19"/>
  <c r="DG42" i="19"/>
  <c r="DU54" i="19"/>
  <c r="DG51" i="19"/>
  <c r="DU44" i="45"/>
  <c r="DZ44" i="45" s="1"/>
  <c r="CY50" i="41"/>
  <c r="M50" i="41" s="1"/>
  <c r="DW38" i="19"/>
  <c r="DI42" i="19"/>
  <c r="DW41" i="19"/>
  <c r="DI40" i="19"/>
  <c r="DU51" i="19"/>
  <c r="DU39" i="19"/>
  <c r="CU11" i="32"/>
  <c r="CO18" i="32"/>
  <c r="CN18" i="32" s="1"/>
  <c r="CO11" i="32"/>
  <c r="CN11" i="32" s="1"/>
  <c r="CO39" i="32"/>
  <c r="CN39" i="32" s="1"/>
  <c r="CS34" i="32"/>
  <c r="DI60" i="32"/>
  <c r="DN60" i="32" s="1"/>
  <c r="DS11" i="32"/>
  <c r="DT11" i="32" s="1"/>
  <c r="DX11" i="32" s="1"/>
  <c r="CS39" i="32"/>
  <c r="CU39" i="32"/>
  <c r="DU64" i="32"/>
  <c r="DZ64" i="32" s="1"/>
  <c r="CO32" i="32"/>
  <c r="CN32" i="32" s="1"/>
  <c r="CU34" i="32"/>
  <c r="CS11" i="32"/>
  <c r="EE64" i="32"/>
  <c r="EF64" i="32" s="1"/>
  <c r="DS32" i="32"/>
  <c r="DT32" i="32" s="1"/>
  <c r="CO34" i="32"/>
  <c r="CN34" i="32" s="1"/>
  <c r="DI50" i="32"/>
  <c r="DN50" i="32" s="1"/>
  <c r="DG63" i="32"/>
  <c r="DL63" i="32" s="1"/>
  <c r="EU32" i="32"/>
  <c r="Z34" i="32"/>
  <c r="Q34" i="32" s="1"/>
  <c r="DI70" i="32"/>
  <c r="DN70" i="32" s="1"/>
  <c r="DG50" i="32"/>
  <c r="DL50" i="32" s="1"/>
  <c r="DI63" i="32"/>
  <c r="DN63" i="32" s="1"/>
  <c r="EU11" i="32"/>
  <c r="EU39" i="32"/>
  <c r="DS34" i="32"/>
  <c r="DT34" i="32" s="1"/>
  <c r="DX34" i="32" s="1"/>
  <c r="EU29" i="32"/>
  <c r="EU24" i="32"/>
  <c r="Z18" i="32"/>
  <c r="H18" i="32" s="1"/>
  <c r="CO29" i="32"/>
  <c r="CN29" i="32" s="1"/>
  <c r="CU18" i="32"/>
  <c r="EU18" i="32"/>
  <c r="Z29" i="32"/>
  <c r="H29" i="32" s="1"/>
  <c r="CU29" i="32"/>
  <c r="DS29" i="32"/>
  <c r="DT29" i="32" s="1"/>
  <c r="DX29" i="32" s="1"/>
  <c r="DI74" i="32"/>
  <c r="DN74" i="32" s="1"/>
  <c r="DS18" i="32"/>
  <c r="DT18" i="32" s="1"/>
  <c r="CS29" i="32"/>
  <c r="DU70" i="32"/>
  <c r="DZ70" i="32" s="1"/>
  <c r="EU40" i="32"/>
  <c r="EU22" i="32"/>
  <c r="DS30" i="32"/>
  <c r="DT30" i="32" s="1"/>
  <c r="DX30" i="32" s="1"/>
  <c r="CS27" i="32"/>
  <c r="CO35" i="32"/>
  <c r="CN35" i="32" s="1"/>
  <c r="CU22" i="32"/>
  <c r="CS40" i="32"/>
  <c r="EU35" i="32"/>
  <c r="CU24" i="32"/>
  <c r="CS22" i="32"/>
  <c r="Z38" i="32"/>
  <c r="Q38" i="32" s="1"/>
  <c r="DS27" i="32"/>
  <c r="DT27" i="32" s="1"/>
  <c r="DS24" i="32"/>
  <c r="DT24" i="32" s="1"/>
  <c r="DX24" i="32" s="1"/>
  <c r="CO22" i="32"/>
  <c r="CN22" i="32" s="1"/>
  <c r="EU38" i="32"/>
  <c r="DS38" i="32"/>
  <c r="DT38" i="32" s="1"/>
  <c r="DX38" i="32" s="1"/>
  <c r="CO40" i="32"/>
  <c r="CN40" i="32" s="1"/>
  <c r="CS35" i="32"/>
  <c r="CO27" i="32"/>
  <c r="CN27" i="32" s="1"/>
  <c r="Z27" i="32"/>
  <c r="H27" i="32" s="1"/>
  <c r="EU30" i="32"/>
  <c r="CO24" i="32"/>
  <c r="CN24" i="32" s="1"/>
  <c r="DS22" i="32"/>
  <c r="DT22" i="32" s="1"/>
  <c r="Z22" i="32"/>
  <c r="H22" i="32" s="1"/>
  <c r="CS38" i="32"/>
  <c r="CU40" i="32"/>
  <c r="Z40" i="32"/>
  <c r="Q40" i="32" s="1"/>
  <c r="CU35" i="32"/>
  <c r="Z35" i="32"/>
  <c r="Q35" i="32" s="1"/>
  <c r="EU27" i="32"/>
  <c r="CS24" i="32"/>
  <c r="DG62" i="32"/>
  <c r="DL62" i="32" s="1"/>
  <c r="DW42" i="32"/>
  <c r="EB42" i="32" s="1"/>
  <c r="DW59" i="32"/>
  <c r="EB59" i="32" s="1"/>
  <c r="DG76" i="32"/>
  <c r="DL76" i="32" s="1"/>
  <c r="DI77" i="32"/>
  <c r="DN77" i="32" s="1"/>
  <c r="DU42" i="32"/>
  <c r="DZ42" i="32" s="1"/>
  <c r="DU58" i="32"/>
  <c r="DZ58" i="32" s="1"/>
  <c r="DG72" i="32"/>
  <c r="DL72" i="32" s="1"/>
  <c r="DW58" i="32"/>
  <c r="EB58" i="32" s="1"/>
  <c r="DI47" i="41"/>
  <c r="DN47" i="41" s="1"/>
  <c r="DW54" i="32"/>
  <c r="EB54" i="32" s="1"/>
  <c r="EE54" i="32" s="1"/>
  <c r="EF54" i="32" s="1"/>
  <c r="DW72" i="32"/>
  <c r="EB72" i="32" s="1"/>
  <c r="EE72" i="32" s="1"/>
  <c r="EF72" i="32" s="1"/>
  <c r="DW63" i="32"/>
  <c r="EB63" i="32" s="1"/>
  <c r="EE63" i="32" s="1"/>
  <c r="EF63" i="32" s="1"/>
  <c r="DG74" i="32"/>
  <c r="DL74" i="32" s="1"/>
  <c r="DW70" i="32"/>
  <c r="EB70" i="32" s="1"/>
  <c r="DU59" i="32"/>
  <c r="DZ59" i="32" s="1"/>
  <c r="CO38" i="32"/>
  <c r="CN38" i="32" s="1"/>
  <c r="Z30" i="32"/>
  <c r="H30" i="32" s="1"/>
  <c r="DI68" i="32"/>
  <c r="DN68" i="32" s="1"/>
  <c r="DI46" i="32"/>
  <c r="DN46" i="32" s="1"/>
  <c r="DI76" i="32"/>
  <c r="DN76" i="32" s="1"/>
  <c r="CU30" i="32"/>
  <c r="DG68" i="32"/>
  <c r="DL68" i="32" s="1"/>
  <c r="DG46" i="32"/>
  <c r="DL46" i="32" s="1"/>
  <c r="DI42" i="32"/>
  <c r="DN42" i="32" s="1"/>
  <c r="CO30" i="32"/>
  <c r="CN30" i="32" s="1"/>
  <c r="N50" i="41"/>
  <c r="DW34" i="41"/>
  <c r="DG47" i="41"/>
  <c r="DL47" i="41" s="1"/>
  <c r="DU50" i="41"/>
  <c r="DZ50" i="41" s="1"/>
  <c r="N52" i="41"/>
  <c r="DB47" i="41"/>
  <c r="O47" i="41" s="1"/>
  <c r="EE50" i="41"/>
  <c r="EF50" i="41" s="1"/>
  <c r="DQ57" i="45"/>
  <c r="DR57" i="45" s="1"/>
  <c r="DU54" i="45"/>
  <c r="DZ54" i="45" s="1"/>
  <c r="DW54" i="45"/>
  <c r="EB54" i="45" s="1"/>
  <c r="DW57" i="45"/>
  <c r="EB57" i="45" s="1"/>
  <c r="DU57" i="45"/>
  <c r="DZ57" i="45" s="1"/>
  <c r="DU56" i="45"/>
  <c r="DZ56" i="45" s="1"/>
  <c r="DW56" i="45"/>
  <c r="EB56" i="45" s="1"/>
  <c r="DG57" i="45"/>
  <c r="DL57" i="45" s="1"/>
  <c r="DG42" i="45"/>
  <c r="DL42" i="45" s="1"/>
  <c r="DU47" i="41"/>
  <c r="DZ47" i="41" s="1"/>
  <c r="DQ52" i="47"/>
  <c r="DR52" i="47" s="1"/>
  <c r="DQ45" i="41"/>
  <c r="DR45" i="41" s="1"/>
  <c r="DW65" i="47"/>
  <c r="EB65" i="47" s="1"/>
  <c r="DI45" i="41"/>
  <c r="DN45" i="41" s="1"/>
  <c r="DI52" i="47"/>
  <c r="DN52" i="47" s="1"/>
  <c r="DW47" i="41"/>
  <c r="EB47" i="41" s="1"/>
  <c r="DU29" i="47"/>
  <c r="N57" i="47"/>
  <c r="L47" i="41"/>
  <c r="DI63" i="47"/>
  <c r="DN63" i="47" s="1"/>
  <c r="CY77" i="47"/>
  <c r="M77" i="47" s="1"/>
  <c r="DI65" i="47"/>
  <c r="DN65" i="47" s="1"/>
  <c r="DI29" i="47"/>
  <c r="DW29" i="47"/>
  <c r="EE65" i="47"/>
  <c r="EF65" i="47" s="1"/>
  <c r="CY57" i="47"/>
  <c r="M57" i="47" s="1"/>
  <c r="N52" i="47"/>
  <c r="DQ63" i="47"/>
  <c r="DR63" i="47" s="1"/>
  <c r="DQ65" i="47"/>
  <c r="DR65" i="47" s="1"/>
  <c r="DB65" i="47"/>
  <c r="O65" i="47" s="1"/>
  <c r="DG54" i="41"/>
  <c r="DL54" i="41" s="1"/>
  <c r="DQ52" i="41"/>
  <c r="DR52" i="41" s="1"/>
  <c r="DI54" i="41"/>
  <c r="DN54" i="41" s="1"/>
  <c r="L74" i="41"/>
  <c r="DQ47" i="45"/>
  <c r="DR47" i="45" s="1"/>
  <c r="DW33" i="41"/>
  <c r="EE51" i="41"/>
  <c r="EF51" i="41" s="1"/>
  <c r="DW52" i="41"/>
  <c r="EB52" i="41" s="1"/>
  <c r="DW51" i="41"/>
  <c r="EB51" i="41" s="1"/>
  <c r="M67" i="41"/>
  <c r="Y62" i="41" s="1"/>
  <c r="DG52" i="41"/>
  <c r="DL52" i="41" s="1"/>
  <c r="DU51" i="41"/>
  <c r="DZ51" i="41" s="1"/>
  <c r="DB45" i="41"/>
  <c r="O45" i="41" s="1"/>
  <c r="DU74" i="41"/>
  <c r="DZ74" i="41" s="1"/>
  <c r="CY52" i="41"/>
  <c r="M52" i="41" s="1"/>
  <c r="EE74" i="41"/>
  <c r="EF74" i="41" s="1"/>
  <c r="DU52" i="41"/>
  <c r="DZ52" i="41" s="1"/>
  <c r="EE54" i="41"/>
  <c r="EF54" i="41" s="1"/>
  <c r="DW35" i="41"/>
  <c r="DU35" i="41"/>
  <c r="CY41" i="41"/>
  <c r="M41" i="41" s="1"/>
  <c r="DW54" i="41"/>
  <c r="EB54" i="41" s="1"/>
  <c r="DU54" i="41"/>
  <c r="DZ54" i="41" s="1"/>
  <c r="DB54" i="41"/>
  <c r="O54" i="41" s="1"/>
  <c r="N54" i="41"/>
  <c r="DG74" i="41"/>
  <c r="DL74" i="41" s="1"/>
  <c r="DI74" i="41"/>
  <c r="DN74" i="41" s="1"/>
  <c r="L75" i="41"/>
  <c r="CY75" i="41"/>
  <c r="M75" i="41" s="1"/>
  <c r="M79" i="41" s="1"/>
  <c r="Y74" i="41" s="1"/>
  <c r="DQ75" i="41"/>
  <c r="DR75" i="41" s="1"/>
  <c r="L54" i="41"/>
  <c r="CY54" i="41"/>
  <c r="M54" i="41" s="1"/>
  <c r="N74" i="41"/>
  <c r="DB74" i="41"/>
  <c r="O74" i="41" s="1"/>
  <c r="DU33" i="41"/>
  <c r="DG33" i="41"/>
  <c r="DG75" i="41"/>
  <c r="DL75" i="41" s="1"/>
  <c r="DB75" i="41"/>
  <c r="O75" i="41" s="1"/>
  <c r="N75" i="41"/>
  <c r="DW75" i="41"/>
  <c r="EB75" i="41" s="1"/>
  <c r="DU75" i="41"/>
  <c r="DZ75" i="41" s="1"/>
  <c r="EE45" i="41"/>
  <c r="EF45" i="41" s="1"/>
  <c r="DI35" i="41"/>
  <c r="DQ51" i="41"/>
  <c r="DR51" i="41" s="1"/>
  <c r="DW45" i="41"/>
  <c r="EB45" i="41" s="1"/>
  <c r="DI41" i="41"/>
  <c r="DN41" i="41" s="1"/>
  <c r="DI51" i="41"/>
  <c r="DN51" i="41" s="1"/>
  <c r="EE41" i="41"/>
  <c r="EF41" i="41" s="1"/>
  <c r="DW41" i="41"/>
  <c r="EB41" i="41" s="1"/>
  <c r="CY51" i="41"/>
  <c r="M51" i="41" s="1"/>
  <c r="DG41" i="41"/>
  <c r="DL41" i="41" s="1"/>
  <c r="EO53" i="41"/>
  <c r="CR53" i="41"/>
  <c r="DG35" i="41"/>
  <c r="DG34" i="41"/>
  <c r="DI29" i="41"/>
  <c r="DW35" i="47"/>
  <c r="EB35" i="47" s="1"/>
  <c r="DW23" i="41"/>
  <c r="EE35" i="47"/>
  <c r="EF35" i="47" s="1"/>
  <c r="DU29" i="45"/>
  <c r="DG29" i="41"/>
  <c r="DB70" i="47"/>
  <c r="O70" i="47" s="1"/>
  <c r="DG72" i="19"/>
  <c r="DU54" i="47"/>
  <c r="DZ54" i="47" s="1"/>
  <c r="DI18" i="47"/>
  <c r="DW54" i="47"/>
  <c r="EB54" i="47" s="1"/>
  <c r="DI12" i="47"/>
  <c r="DQ35" i="47"/>
  <c r="DR35" i="47" s="1"/>
  <c r="DW70" i="47"/>
  <c r="EB70" i="47" s="1"/>
  <c r="DI70" i="47"/>
  <c r="DN70" i="47" s="1"/>
  <c r="CY70" i="47"/>
  <c r="M70" i="47" s="1"/>
  <c r="DI35" i="47"/>
  <c r="DN35" i="47" s="1"/>
  <c r="L53" i="47"/>
  <c r="DG54" i="45"/>
  <c r="DL54" i="45" s="1"/>
  <c r="DG72" i="47"/>
  <c r="DL72" i="47" s="1"/>
  <c r="DQ72" i="47"/>
  <c r="DR72" i="47" s="1"/>
  <c r="L72" i="47"/>
  <c r="DG47" i="45"/>
  <c r="DL47" i="45" s="1"/>
  <c r="DU72" i="47"/>
  <c r="DZ72" i="47" s="1"/>
  <c r="DQ53" i="47"/>
  <c r="DR53" i="47" s="1"/>
  <c r="DI53" i="47"/>
  <c r="DN53" i="47" s="1"/>
  <c r="DU65" i="45"/>
  <c r="DZ65" i="45" s="1"/>
  <c r="DG54" i="47"/>
  <c r="DL54" i="47" s="1"/>
  <c r="DI54" i="47"/>
  <c r="DN54" i="47" s="1"/>
  <c r="EE70" i="47"/>
  <c r="EF70" i="47" s="1"/>
  <c r="EE72" i="47"/>
  <c r="EF72" i="47" s="1"/>
  <c r="DI56" i="45"/>
  <c r="DN56" i="45" s="1"/>
  <c r="DW72" i="47"/>
  <c r="EB72" i="47" s="1"/>
  <c r="DW65" i="45"/>
  <c r="EB65" i="45" s="1"/>
  <c r="DI54" i="45"/>
  <c r="DN54" i="45" s="1"/>
  <c r="DU70" i="47"/>
  <c r="DZ70" i="47" s="1"/>
  <c r="N72" i="47"/>
  <c r="DG72" i="45"/>
  <c r="DL72" i="45" s="1"/>
  <c r="DG70" i="47"/>
  <c r="DL70" i="47" s="1"/>
  <c r="DW18" i="47"/>
  <c r="N54" i="47"/>
  <c r="DW69" i="45"/>
  <c r="EB69" i="45" s="1"/>
  <c r="EE69" i="45" s="1"/>
  <c r="EF69" i="45" s="1"/>
  <c r="DG44" i="45"/>
  <c r="DL44" i="45" s="1"/>
  <c r="DU77" i="45"/>
  <c r="DZ77" i="45" s="1"/>
  <c r="DI44" i="45"/>
  <c r="DN44" i="45" s="1"/>
  <c r="DI72" i="45"/>
  <c r="DN72" i="45" s="1"/>
  <c r="DU71" i="19"/>
  <c r="DG57" i="47"/>
  <c r="DL57" i="47" s="1"/>
  <c r="DU63" i="19"/>
  <c r="L65" i="47"/>
  <c r="L52" i="47"/>
  <c r="DQ77" i="47"/>
  <c r="DR77" i="47" s="1"/>
  <c r="DW77" i="47"/>
  <c r="EB77" i="47" s="1"/>
  <c r="DQ74" i="47"/>
  <c r="DR74" i="47" s="1"/>
  <c r="DI74" i="47"/>
  <c r="DN74" i="47" s="1"/>
  <c r="DU30" i="41"/>
  <c r="EE77" i="47"/>
  <c r="EF77" i="47" s="1"/>
  <c r="DU57" i="47"/>
  <c r="DZ57" i="47" s="1"/>
  <c r="DI77" i="47"/>
  <c r="DN77" i="47" s="1"/>
  <c r="EE57" i="47"/>
  <c r="EF57" i="47" s="1"/>
  <c r="DI41" i="45"/>
  <c r="DN41" i="45" s="1"/>
  <c r="DQ41" i="45" s="1"/>
  <c r="DR41" i="45" s="1"/>
  <c r="DU62" i="19"/>
  <c r="DQ57" i="47"/>
  <c r="DR57" i="47" s="1"/>
  <c r="DG64" i="19"/>
  <c r="DU77" i="47"/>
  <c r="DZ77" i="47" s="1"/>
  <c r="DW74" i="47"/>
  <c r="EB74" i="47" s="1"/>
  <c r="EE74" i="47"/>
  <c r="EF74" i="47" s="1"/>
  <c r="DU74" i="47"/>
  <c r="DZ74" i="47" s="1"/>
  <c r="DI34" i="47"/>
  <c r="CY74" i="47"/>
  <c r="M74" i="47" s="1"/>
  <c r="DG69" i="19"/>
  <c r="DI71" i="47"/>
  <c r="DN71" i="47" s="1"/>
  <c r="DG58" i="19"/>
  <c r="CY71" i="47"/>
  <c r="M71" i="47" s="1"/>
  <c r="DG34" i="47"/>
  <c r="DB74" i="47"/>
  <c r="O74" i="47" s="1"/>
  <c r="DQ71" i="47"/>
  <c r="DR71" i="47" s="1"/>
  <c r="CY66" i="47"/>
  <c r="M66" i="47" s="1"/>
  <c r="DU34" i="47"/>
  <c r="DU57" i="19"/>
  <c r="DG60" i="19"/>
  <c r="DU75" i="19"/>
  <c r="DU60" i="19"/>
  <c r="DU36" i="19"/>
  <c r="DG75" i="19"/>
  <c r="DW36" i="19"/>
  <c r="DW39" i="45"/>
  <c r="EB39" i="45" s="1"/>
  <c r="EE44" i="41"/>
  <c r="EF44" i="41" s="1"/>
  <c r="DG71" i="19"/>
  <c r="DG57" i="19"/>
  <c r="DG70" i="19"/>
  <c r="DG60" i="47"/>
  <c r="DL60" i="47" s="1"/>
  <c r="DU72" i="19"/>
  <c r="DB64" i="47"/>
  <c r="O64" i="47" s="1"/>
  <c r="DI32" i="41"/>
  <c r="DB35" i="47"/>
  <c r="O35" i="47" s="1"/>
  <c r="DG32" i="45"/>
  <c r="DL32" i="45" s="1"/>
  <c r="DI39" i="45"/>
  <c r="DN39" i="45" s="1"/>
  <c r="DI58" i="47"/>
  <c r="DN58" i="47" s="1"/>
  <c r="DI53" i="45"/>
  <c r="DN53" i="45" s="1"/>
  <c r="DQ58" i="47"/>
  <c r="DR58" i="47" s="1"/>
  <c r="DG71" i="45"/>
  <c r="DL71" i="45" s="1"/>
  <c r="CY44" i="41"/>
  <c r="M44" i="41" s="1"/>
  <c r="M49" i="41" s="1"/>
  <c r="DI60" i="45"/>
  <c r="DN60" i="45" s="1"/>
  <c r="DI64" i="45"/>
  <c r="DN64" i="45" s="1"/>
  <c r="DQ44" i="41"/>
  <c r="DR44" i="41" s="1"/>
  <c r="DU71" i="47"/>
  <c r="DZ71" i="47" s="1"/>
  <c r="DI34" i="45"/>
  <c r="DN34" i="45" s="1"/>
  <c r="DQ34" i="45" s="1"/>
  <c r="DR34" i="45" s="1"/>
  <c r="EE76" i="45"/>
  <c r="EF76" i="45" s="1"/>
  <c r="EE74" i="45"/>
  <c r="EF74" i="45" s="1"/>
  <c r="DG62" i="45"/>
  <c r="DL62" i="45" s="1"/>
  <c r="DU59" i="47"/>
  <c r="DZ59" i="47" s="1"/>
  <c r="DU18" i="41"/>
  <c r="DG56" i="19"/>
  <c r="CY63" i="47"/>
  <c r="M63" i="47" s="1"/>
  <c r="DU56" i="19"/>
  <c r="EE76" i="47"/>
  <c r="EF76" i="47" s="1"/>
  <c r="DG42" i="41"/>
  <c r="DL42" i="41" s="1"/>
  <c r="DQ59" i="47"/>
  <c r="DR59" i="47" s="1"/>
  <c r="CY75" i="47"/>
  <c r="M75" i="47" s="1"/>
  <c r="CY60" i="47"/>
  <c r="M60" i="47" s="1"/>
  <c r="L48" i="41"/>
  <c r="DG17" i="41"/>
  <c r="DU12" i="47"/>
  <c r="EE48" i="45"/>
  <c r="EF48" i="45" s="1"/>
  <c r="DG46" i="41"/>
  <c r="DL46" i="41" s="1"/>
  <c r="N58" i="47"/>
  <c r="CY58" i="47"/>
  <c r="M58" i="47" s="1"/>
  <c r="DG66" i="45"/>
  <c r="DL66" i="45" s="1"/>
  <c r="DB71" i="47"/>
  <c r="O71" i="47" s="1"/>
  <c r="DW64" i="47"/>
  <c r="EB64" i="47" s="1"/>
  <c r="DW71" i="47"/>
  <c r="EB71" i="47" s="1"/>
  <c r="DW76" i="47"/>
  <c r="EB76" i="47" s="1"/>
  <c r="DU24" i="45"/>
  <c r="DG30" i="41"/>
  <c r="EE64" i="47"/>
  <c r="EF64" i="47" s="1"/>
  <c r="EE71" i="47"/>
  <c r="EF71" i="47" s="1"/>
  <c r="DQ42" i="41"/>
  <c r="DR42" i="41" s="1"/>
  <c r="DW12" i="47"/>
  <c r="DB39" i="41"/>
  <c r="O39" i="41" s="1"/>
  <c r="DQ66" i="47"/>
  <c r="DR66" i="47" s="1"/>
  <c r="DB42" i="41"/>
  <c r="O42" i="41" s="1"/>
  <c r="DW63" i="47"/>
  <c r="EB63" i="47" s="1"/>
  <c r="DB46" i="41"/>
  <c r="O46" i="41" s="1"/>
  <c r="DW59" i="47"/>
  <c r="EB59" i="47" s="1"/>
  <c r="DQ46" i="41"/>
  <c r="DR46" i="41" s="1"/>
  <c r="DG51" i="45"/>
  <c r="DL51" i="45" s="1"/>
  <c r="L46" i="41"/>
  <c r="DB66" i="47"/>
  <c r="O66" i="47" s="1"/>
  <c r="DG36" i="45"/>
  <c r="DL36" i="45" s="1"/>
  <c r="DW48" i="41"/>
  <c r="EB48" i="41" s="1"/>
  <c r="DU48" i="41"/>
  <c r="DZ48" i="41" s="1"/>
  <c r="DW62" i="45"/>
  <c r="EB62" i="45" s="1"/>
  <c r="DQ76" i="47"/>
  <c r="DR76" i="47" s="1"/>
  <c r="DI76" i="47"/>
  <c r="DN76" i="47" s="1"/>
  <c r="DG76" i="47"/>
  <c r="DL76" i="47" s="1"/>
  <c r="DB44" i="41"/>
  <c r="O44" i="41" s="1"/>
  <c r="N44" i="41"/>
  <c r="DU60" i="47"/>
  <c r="DZ60" i="47" s="1"/>
  <c r="DW60" i="47"/>
  <c r="EB60" i="47" s="1"/>
  <c r="DI46" i="45"/>
  <c r="DN46" i="45" s="1"/>
  <c r="DG76" i="19"/>
  <c r="DI69" i="45"/>
  <c r="DN69" i="45" s="1"/>
  <c r="DQ69" i="45" s="1"/>
  <c r="DR69" i="45" s="1"/>
  <c r="DI53" i="41"/>
  <c r="DI24" i="45"/>
  <c r="DG24" i="45"/>
  <c r="DG40" i="41"/>
  <c r="DL40" i="41" s="1"/>
  <c r="DG36" i="41"/>
  <c r="DU65" i="19"/>
  <c r="DG65" i="19"/>
  <c r="DB63" i="47"/>
  <c r="O63" i="47" s="1"/>
  <c r="N63" i="47"/>
  <c r="DU51" i="45"/>
  <c r="DZ51" i="45" s="1"/>
  <c r="DW51" i="45"/>
  <c r="EB51" i="45" s="1"/>
  <c r="DI52" i="45"/>
  <c r="DN52" i="45" s="1"/>
  <c r="DG52" i="45"/>
  <c r="DL52" i="45" s="1"/>
  <c r="DW75" i="45"/>
  <c r="EB75" i="45" s="1"/>
  <c r="DG29" i="45"/>
  <c r="DI29" i="45"/>
  <c r="DI36" i="45"/>
  <c r="DN36" i="45" s="1"/>
  <c r="DI50" i="45"/>
  <c r="DN50" i="45" s="1"/>
  <c r="DG64" i="45"/>
  <c r="DL64" i="45" s="1"/>
  <c r="DI59" i="47"/>
  <c r="DN59" i="47" s="1"/>
  <c r="N76" i="47"/>
  <c r="DQ46" i="45"/>
  <c r="DR46" i="45" s="1"/>
  <c r="DB60" i="47"/>
  <c r="O60" i="47" s="1"/>
  <c r="DB75" i="47"/>
  <c r="O75" i="47" s="1"/>
  <c r="DI36" i="41"/>
  <c r="DU29" i="41"/>
  <c r="DU42" i="41"/>
  <c r="DZ42" i="41" s="1"/>
  <c r="EE42" i="41"/>
  <c r="EF42" i="41" s="1"/>
  <c r="DG74" i="19"/>
  <c r="DU75" i="47"/>
  <c r="DZ75" i="47" s="1"/>
  <c r="DU68" i="19"/>
  <c r="DI63" i="45"/>
  <c r="DN63" i="45" s="1"/>
  <c r="DW41" i="45"/>
  <c r="EB41" i="45" s="1"/>
  <c r="DU41" i="45"/>
  <c r="DZ41" i="45" s="1"/>
  <c r="DW35" i="45"/>
  <c r="EB35" i="45" s="1"/>
  <c r="DU35" i="45"/>
  <c r="DZ35" i="45" s="1"/>
  <c r="DI33" i="45"/>
  <c r="DN33" i="45" s="1"/>
  <c r="DW59" i="45"/>
  <c r="EB59" i="45" s="1"/>
  <c r="DU59" i="45"/>
  <c r="DZ59" i="45" s="1"/>
  <c r="EE40" i="41"/>
  <c r="EF40" i="41" s="1"/>
  <c r="DI51" i="45"/>
  <c r="DN51" i="45" s="1"/>
  <c r="DU30" i="47"/>
  <c r="DW32" i="45"/>
  <c r="EB32" i="45" s="1"/>
  <c r="DU32" i="45"/>
  <c r="DZ32" i="45" s="1"/>
  <c r="DI44" i="41"/>
  <c r="DN44" i="41" s="1"/>
  <c r="DU24" i="41"/>
  <c r="DW24" i="41"/>
  <c r="EE40" i="45"/>
  <c r="EF40" i="45" s="1"/>
  <c r="DU40" i="45"/>
  <c r="DZ40" i="45" s="1"/>
  <c r="DW17" i="41"/>
  <c r="DI48" i="41"/>
  <c r="DN48" i="41" s="1"/>
  <c r="DQ48" i="41"/>
  <c r="DR48" i="41" s="1"/>
  <c r="DU58" i="47"/>
  <c r="DZ58" i="47" s="1"/>
  <c r="DW58" i="47"/>
  <c r="EB58" i="47" s="1"/>
  <c r="EE58" i="47"/>
  <c r="EF58" i="47" s="1"/>
  <c r="DW50" i="45"/>
  <c r="EB50" i="45" s="1"/>
  <c r="DU50" i="45"/>
  <c r="DZ50" i="45" s="1"/>
  <c r="DU71" i="45"/>
  <c r="DZ71" i="45" s="1"/>
  <c r="DW71" i="45"/>
  <c r="EB71" i="45" s="1"/>
  <c r="DU70" i="19"/>
  <c r="DU40" i="41"/>
  <c r="DZ40" i="41" s="1"/>
  <c r="DW30" i="47"/>
  <c r="DG53" i="41"/>
  <c r="DU63" i="45"/>
  <c r="DZ63" i="45" s="1"/>
  <c r="CY64" i="47"/>
  <c r="M64" i="47" s="1"/>
  <c r="DW75" i="47"/>
  <c r="EB75" i="47" s="1"/>
  <c r="DI40" i="41"/>
  <c r="DN40" i="41" s="1"/>
  <c r="DW29" i="41"/>
  <c r="DI24" i="41"/>
  <c r="EE46" i="41"/>
  <c r="EF46" i="41" s="1"/>
  <c r="DU74" i="19"/>
  <c r="N59" i="47"/>
  <c r="DI71" i="45"/>
  <c r="DN71" i="45" s="1"/>
  <c r="EE39" i="41"/>
  <c r="EF39" i="41" s="1"/>
  <c r="DU39" i="45"/>
  <c r="DZ39" i="45" s="1"/>
  <c r="DW70" i="45"/>
  <c r="EB70" i="45" s="1"/>
  <c r="EE70" i="45" s="1"/>
  <c r="EF70" i="45" s="1"/>
  <c r="CY35" i="47"/>
  <c r="M35" i="47" s="1"/>
  <c r="DU44" i="41"/>
  <c r="DZ44" i="41" s="1"/>
  <c r="DW72" i="45"/>
  <c r="EB72" i="45" s="1"/>
  <c r="DI32" i="45"/>
  <c r="DN32" i="45" s="1"/>
  <c r="DG58" i="47"/>
  <c r="DL58" i="47" s="1"/>
  <c r="EE45" i="45"/>
  <c r="EF45" i="45" s="1"/>
  <c r="DW46" i="41"/>
  <c r="EB46" i="41" s="1"/>
  <c r="DI60" i="47"/>
  <c r="DN60" i="47" s="1"/>
  <c r="DU36" i="45"/>
  <c r="DZ36" i="45" s="1"/>
  <c r="DW60" i="45"/>
  <c r="EB60" i="45" s="1"/>
  <c r="DI70" i="45"/>
  <c r="DN70" i="45" s="1"/>
  <c r="DQ70" i="45" s="1"/>
  <c r="DR70" i="45" s="1"/>
  <c r="DI30" i="45"/>
  <c r="DQ62" i="45"/>
  <c r="DR62" i="45" s="1"/>
  <c r="DU76" i="47"/>
  <c r="DZ76" i="47" s="1"/>
  <c r="DU60" i="45"/>
  <c r="DZ60" i="45" s="1"/>
  <c r="DW24" i="45"/>
  <c r="DI30" i="41"/>
  <c r="DG24" i="41"/>
  <c r="DQ66" i="45"/>
  <c r="DR66" i="45" s="1"/>
  <c r="DU45" i="45"/>
  <c r="DZ45" i="45" s="1"/>
  <c r="DU74" i="45"/>
  <c r="DZ74" i="45" s="1"/>
  <c r="DU64" i="47"/>
  <c r="DZ64" i="47" s="1"/>
  <c r="DI42" i="41"/>
  <c r="DN42" i="41" s="1"/>
  <c r="DI66" i="47"/>
  <c r="DN66" i="47" s="1"/>
  <c r="DG32" i="41"/>
  <c r="DI76" i="45"/>
  <c r="DN76" i="45" s="1"/>
  <c r="DQ76" i="45" s="1"/>
  <c r="DR76" i="45" s="1"/>
  <c r="EE63" i="47"/>
  <c r="EF63" i="47" s="1"/>
  <c r="DW39" i="41"/>
  <c r="EB39" i="41" s="1"/>
  <c r="DG30" i="45"/>
  <c r="DU76" i="45"/>
  <c r="DZ76" i="45" s="1"/>
  <c r="DU48" i="45"/>
  <c r="DZ48" i="45" s="1"/>
  <c r="DW46" i="45"/>
  <c r="EB46" i="45" s="1"/>
  <c r="DW44" i="41"/>
  <c r="EB44" i="41" s="1"/>
  <c r="DI46" i="41"/>
  <c r="DN46" i="41" s="1"/>
  <c r="DU76" i="19"/>
  <c r="DI18" i="41"/>
  <c r="DU62" i="45"/>
  <c r="DZ62" i="45" s="1"/>
  <c r="DG18" i="41"/>
  <c r="DI23" i="41"/>
  <c r="DW33" i="45"/>
  <c r="EB33" i="45" s="1"/>
  <c r="DU36" i="41"/>
  <c r="DG48" i="45"/>
  <c r="DL48" i="45" s="1"/>
  <c r="L39" i="41"/>
  <c r="DU33" i="45"/>
  <c r="DZ33" i="45" s="1"/>
  <c r="DW36" i="41"/>
  <c r="DQ48" i="45"/>
  <c r="DR48" i="45" s="1"/>
  <c r="DW34" i="45"/>
  <c r="EB34" i="45" s="1"/>
  <c r="EE34" i="45" s="1"/>
  <c r="EF34" i="45" s="1"/>
  <c r="DW64" i="45"/>
  <c r="EB64" i="45" s="1"/>
  <c r="DI74" i="45"/>
  <c r="DN74" i="45" s="1"/>
  <c r="CY40" i="41"/>
  <c r="M40" i="41" s="1"/>
  <c r="DI40" i="45"/>
  <c r="DN40" i="45" s="1"/>
  <c r="DQ40" i="45" s="1"/>
  <c r="DR40" i="45" s="1"/>
  <c r="DU64" i="45"/>
  <c r="DZ64" i="45" s="1"/>
  <c r="DG23" i="41"/>
  <c r="DG74" i="45"/>
  <c r="DL74" i="45" s="1"/>
  <c r="DU53" i="41"/>
  <c r="J111" i="31"/>
  <c r="K111" i="31" s="1"/>
  <c r="E26" i="31"/>
  <c r="M49" i="47"/>
  <c r="BW16" i="41"/>
  <c r="BJ17" i="41"/>
  <c r="O49" i="47"/>
  <c r="ES69" i="47"/>
  <c r="ET69" i="47"/>
  <c r="M55" i="47"/>
  <c r="DG20" i="22"/>
  <c r="DI20" i="22"/>
  <c r="DG58" i="22"/>
  <c r="DI58" i="22"/>
  <c r="DU58" i="22"/>
  <c r="DW58" i="22"/>
  <c r="DU20" i="22"/>
  <c r="DW20" i="22"/>
  <c r="EQ58" i="22"/>
  <c r="CR33" i="41" l="1"/>
  <c r="CZ33" i="41" s="1"/>
  <c r="EO33" i="41"/>
  <c r="Q12" i="47"/>
  <c r="Q29" i="45"/>
  <c r="Q23" i="41"/>
  <c r="Q18" i="41"/>
  <c r="Q38" i="19"/>
  <c r="Q24" i="45"/>
  <c r="Q29" i="47"/>
  <c r="Q24" i="41"/>
  <c r="Q12" i="45"/>
  <c r="Q29" i="41"/>
  <c r="Q17" i="41"/>
  <c r="CR38" i="19"/>
  <c r="CX38" i="19" s="1"/>
  <c r="Q18" i="47"/>
  <c r="Q30" i="41"/>
  <c r="Q30" i="45"/>
  <c r="H12" i="41"/>
  <c r="ER12" i="41" s="1"/>
  <c r="Y44" i="41"/>
  <c r="Y50" i="47"/>
  <c r="Y38" i="47"/>
  <c r="Y44" i="47"/>
  <c r="H44" i="19"/>
  <c r="ER44" i="19" s="1"/>
  <c r="ES44" i="19" s="1"/>
  <c r="Q44" i="19"/>
  <c r="H46" i="19"/>
  <c r="ER46" i="19" s="1"/>
  <c r="ES46" i="19" s="1"/>
  <c r="Q46" i="19"/>
  <c r="H47" i="19"/>
  <c r="ER47" i="19" s="1"/>
  <c r="ES47" i="19" s="1"/>
  <c r="Q47" i="19"/>
  <c r="K24" i="22"/>
  <c r="EO24" i="22" s="1"/>
  <c r="H24" i="22"/>
  <c r="ER24" i="22" s="1"/>
  <c r="ES24" i="22" s="1"/>
  <c r="K30" i="22"/>
  <c r="EO30" i="22" s="1"/>
  <c r="H30" i="22"/>
  <c r="ER30" i="22" s="1"/>
  <c r="ET30" i="22" s="1"/>
  <c r="K27" i="22"/>
  <c r="EO27" i="22" s="1"/>
  <c r="H27" i="22"/>
  <c r="DU47" i="19"/>
  <c r="DZ47" i="19" s="1"/>
  <c r="ER24" i="32"/>
  <c r="ES24" i="32" s="1"/>
  <c r="K24" i="32"/>
  <c r="EO24" i="32" s="1"/>
  <c r="EM29" i="45"/>
  <c r="ER23" i="32"/>
  <c r="ES23" i="32" s="1"/>
  <c r="K23" i="32"/>
  <c r="EO23" i="32" s="1"/>
  <c r="K12" i="32"/>
  <c r="CU47" i="19"/>
  <c r="CZ47" i="19" s="1"/>
  <c r="CO47" i="19"/>
  <c r="CN47" i="19" s="1"/>
  <c r="DH47" i="19" s="1"/>
  <c r="DO47" i="19" s="1"/>
  <c r="DP47" i="19" s="1"/>
  <c r="ER18" i="22"/>
  <c r="ET18" i="22" s="1"/>
  <c r="K18" i="22"/>
  <c r="EO18" i="22" s="1"/>
  <c r="ER18" i="32"/>
  <c r="ET18" i="32" s="1"/>
  <c r="K18" i="32"/>
  <c r="EO18" i="32" s="1"/>
  <c r="K12" i="41"/>
  <c r="EM12" i="41" s="1"/>
  <c r="EO30" i="47"/>
  <c r="CR30" i="47"/>
  <c r="DL30" i="47" s="1"/>
  <c r="EM30" i="47"/>
  <c r="EM30" i="45"/>
  <c r="EO24" i="45"/>
  <c r="CR24" i="45"/>
  <c r="EB24" i="45" s="1"/>
  <c r="DS52" i="19"/>
  <c r="DT52" i="19" s="1"/>
  <c r="DU52" i="19" s="1"/>
  <c r="DW47" i="19"/>
  <c r="EB47" i="19" s="1"/>
  <c r="DX47" i="19"/>
  <c r="EE47" i="19" s="1"/>
  <c r="EF47" i="19" s="1"/>
  <c r="CS48" i="19"/>
  <c r="DE47" i="19"/>
  <c r="CO48" i="19"/>
  <c r="CN48" i="19" s="1"/>
  <c r="DH48" i="19" s="1"/>
  <c r="DS48" i="19"/>
  <c r="DT48" i="19" s="1"/>
  <c r="DV48" i="19" s="1"/>
  <c r="W22" i="32"/>
  <c r="V22" i="32" s="1"/>
  <c r="C22" i="32" s="1"/>
  <c r="K11" i="32"/>
  <c r="CR11" i="32" s="1"/>
  <c r="W16" i="32"/>
  <c r="V16" i="32" s="1"/>
  <c r="C16" i="32" s="1"/>
  <c r="K10" i="32"/>
  <c r="CR10" i="32" s="1"/>
  <c r="DE52" i="19"/>
  <c r="CS47" i="19"/>
  <c r="CX47" i="19" s="1"/>
  <c r="CO52" i="19"/>
  <c r="CN52" i="19" s="1"/>
  <c r="DH52" i="19" s="1"/>
  <c r="DE45" i="19"/>
  <c r="CS52" i="19"/>
  <c r="W10" i="19"/>
  <c r="W11" i="19" s="1"/>
  <c r="W12" i="19" s="1"/>
  <c r="DE48" i="19"/>
  <c r="DE44" i="19"/>
  <c r="W22" i="41"/>
  <c r="V22" i="41" s="1"/>
  <c r="C22" i="41" s="1"/>
  <c r="EJ38" i="47"/>
  <c r="EL38" i="47"/>
  <c r="EI38" i="47"/>
  <c r="EK38" i="47"/>
  <c r="W28" i="45"/>
  <c r="V28" i="45" s="1"/>
  <c r="C28" i="45" s="1"/>
  <c r="CR30" i="45"/>
  <c r="CZ30" i="45" s="1"/>
  <c r="CV30" i="45" s="1"/>
  <c r="DA30" i="45" s="1"/>
  <c r="DB30" i="45" s="1"/>
  <c r="O30" i="45" s="1"/>
  <c r="EM44" i="19"/>
  <c r="CR29" i="45"/>
  <c r="CX29" i="45" s="1"/>
  <c r="CT29" i="45" s="1"/>
  <c r="CW29" i="45" s="1"/>
  <c r="CU46" i="19"/>
  <c r="CZ46" i="19" s="1"/>
  <c r="CV46" i="19" s="1"/>
  <c r="DA46" i="19" s="1"/>
  <c r="DS46" i="19"/>
  <c r="DT46" i="19" s="1"/>
  <c r="CS46" i="19"/>
  <c r="CX46" i="19" s="1"/>
  <c r="CO46" i="19"/>
  <c r="CN46" i="19" s="1"/>
  <c r="CU44" i="19"/>
  <c r="DS44" i="19"/>
  <c r="DT44" i="19" s="1"/>
  <c r="CO44" i="19"/>
  <c r="CN44" i="19" s="1"/>
  <c r="CS44" i="19"/>
  <c r="CS45" i="19"/>
  <c r="CU45" i="19"/>
  <c r="CO45" i="19"/>
  <c r="CN45" i="19" s="1"/>
  <c r="DS45" i="19"/>
  <c r="DT45" i="19" s="1"/>
  <c r="K27" i="32"/>
  <c r="EO27" i="32" s="1"/>
  <c r="K21" i="32"/>
  <c r="EO21" i="32" s="1"/>
  <c r="ER21" i="32"/>
  <c r="ET21" i="32" s="1"/>
  <c r="K30" i="32"/>
  <c r="EO30" i="32" s="1"/>
  <c r="K28" i="32"/>
  <c r="EO28" i="32" s="1"/>
  <c r="ER28" i="32"/>
  <c r="ES28" i="32" s="1"/>
  <c r="K22" i="32"/>
  <c r="EO22" i="32" s="1"/>
  <c r="K29" i="32"/>
  <c r="EO29" i="32" s="1"/>
  <c r="EQ20" i="22"/>
  <c r="EP20" i="22"/>
  <c r="EM20" i="22"/>
  <c r="CR20" i="22"/>
  <c r="CX20" i="22" s="1"/>
  <c r="CT20" i="22" s="1"/>
  <c r="CW20" i="22" s="1"/>
  <c r="K33" i="22"/>
  <c r="EO33" i="22" s="1"/>
  <c r="K32" i="22"/>
  <c r="EO32" i="22" s="1"/>
  <c r="ER20" i="22"/>
  <c r="ES20" i="22" s="1"/>
  <c r="K32" i="32"/>
  <c r="EO32" i="32" s="1"/>
  <c r="K20" i="32"/>
  <c r="EO20" i="32" s="1"/>
  <c r="CV33" i="41"/>
  <c r="W10" i="47"/>
  <c r="V10" i="47" s="1"/>
  <c r="ER34" i="47"/>
  <c r="ES34" i="47" s="1"/>
  <c r="EO34" i="47"/>
  <c r="CR34" i="47"/>
  <c r="DN34" i="47" s="1"/>
  <c r="DJ34" i="47" s="1"/>
  <c r="EM34" i="47"/>
  <c r="DB68" i="45"/>
  <c r="O68" i="45" s="1"/>
  <c r="CT38" i="19"/>
  <c r="V9" i="32"/>
  <c r="C9" i="32" s="1"/>
  <c r="CY68" i="45"/>
  <c r="M68" i="45" s="1"/>
  <c r="CR39" i="32"/>
  <c r="CZ39" i="32" s="1"/>
  <c r="DA39" i="32" s="1"/>
  <c r="CR40" i="32"/>
  <c r="CX40" i="32" s="1"/>
  <c r="CR38" i="32"/>
  <c r="CR34" i="32"/>
  <c r="CR35" i="32"/>
  <c r="CX35" i="32" s="1"/>
  <c r="CR33" i="32"/>
  <c r="CZ33" i="32" s="1"/>
  <c r="CR36" i="32"/>
  <c r="CZ36" i="32" s="1"/>
  <c r="DA36" i="32" s="1"/>
  <c r="DB36" i="32" s="1"/>
  <c r="O36" i="32" s="1"/>
  <c r="K15" i="32"/>
  <c r="CR15" i="32" s="1"/>
  <c r="CZ15" i="32" s="1"/>
  <c r="W34" i="47"/>
  <c r="V34" i="47" s="1"/>
  <c r="C34" i="47" s="1"/>
  <c r="DW12" i="41"/>
  <c r="DU12" i="41"/>
  <c r="DX12" i="41"/>
  <c r="DQ78" i="32"/>
  <c r="DR78" i="32" s="1"/>
  <c r="DG12" i="41"/>
  <c r="DH12" i="41"/>
  <c r="DI12" i="41"/>
  <c r="H76" i="22"/>
  <c r="ER76" i="22" s="1"/>
  <c r="ES76" i="22" s="1"/>
  <c r="CR76" i="22"/>
  <c r="CW76" i="22" s="1"/>
  <c r="L76" i="22" s="1"/>
  <c r="H78" i="22"/>
  <c r="ER78" i="22" s="1"/>
  <c r="ET78" i="22" s="1"/>
  <c r="CR78" i="22"/>
  <c r="CX78" i="22" s="1"/>
  <c r="H74" i="22"/>
  <c r="ER74" i="22" s="1"/>
  <c r="ET74" i="22" s="1"/>
  <c r="CR74" i="22"/>
  <c r="CX74" i="22" s="1"/>
  <c r="H75" i="22"/>
  <c r="ER75" i="22" s="1"/>
  <c r="ES75" i="22" s="1"/>
  <c r="CR75" i="22"/>
  <c r="CX75" i="22" s="1"/>
  <c r="H77" i="22"/>
  <c r="ER77" i="22" s="1"/>
  <c r="ET77" i="22" s="1"/>
  <c r="CR77" i="22"/>
  <c r="CX77" i="22" s="1"/>
  <c r="H68" i="22"/>
  <c r="ER68" i="22" s="1"/>
  <c r="ES68" i="22" s="1"/>
  <c r="CR68" i="22"/>
  <c r="CZ68" i="22" s="1"/>
  <c r="H71" i="22"/>
  <c r="ER71" i="22" s="1"/>
  <c r="ET71" i="22" s="1"/>
  <c r="CR71" i="22"/>
  <c r="CW71" i="22" s="1"/>
  <c r="L71" i="22" s="1"/>
  <c r="H69" i="22"/>
  <c r="ER69" i="22" s="1"/>
  <c r="ET69" i="22" s="1"/>
  <c r="CR69" i="22"/>
  <c r="CW69" i="22" s="1"/>
  <c r="H70" i="22"/>
  <c r="ER70" i="22" s="1"/>
  <c r="ES70" i="22" s="1"/>
  <c r="CR70" i="22"/>
  <c r="H72" i="22"/>
  <c r="ER72" i="22" s="1"/>
  <c r="ET72" i="22" s="1"/>
  <c r="CR72" i="22"/>
  <c r="H64" i="22"/>
  <c r="ER64" i="22" s="1"/>
  <c r="ET64" i="22" s="1"/>
  <c r="CR64" i="22"/>
  <c r="H66" i="22"/>
  <c r="ER66" i="22" s="1"/>
  <c r="ET66" i="22" s="1"/>
  <c r="CR66" i="22"/>
  <c r="H63" i="22"/>
  <c r="ER63" i="22" s="1"/>
  <c r="ES63" i="22" s="1"/>
  <c r="CR63" i="22"/>
  <c r="H65" i="22"/>
  <c r="ER65" i="22" s="1"/>
  <c r="ET65" i="22" s="1"/>
  <c r="CR65" i="22"/>
  <c r="CZ65" i="22" s="1"/>
  <c r="H62" i="22"/>
  <c r="ER62" i="22" s="1"/>
  <c r="ES62" i="22" s="1"/>
  <c r="CR62" i="22"/>
  <c r="CX62" i="22" s="1"/>
  <c r="H56" i="22"/>
  <c r="ER56" i="22" s="1"/>
  <c r="ES56" i="22" s="1"/>
  <c r="CR56" i="22"/>
  <c r="DA56" i="22" s="1"/>
  <c r="N56" i="22" s="1"/>
  <c r="H57" i="22"/>
  <c r="ER57" i="22" s="1"/>
  <c r="ES57" i="22" s="1"/>
  <c r="CR57" i="22"/>
  <c r="DA57" i="22" s="1"/>
  <c r="DB57" i="22" s="1"/>
  <c r="O57" i="22" s="1"/>
  <c r="H59" i="22"/>
  <c r="ER59" i="22" s="1"/>
  <c r="ET59" i="22" s="1"/>
  <c r="CR59" i="22"/>
  <c r="H60" i="22"/>
  <c r="ER60" i="22" s="1"/>
  <c r="ET60" i="22" s="1"/>
  <c r="CR60" i="22"/>
  <c r="DA60" i="22" s="1"/>
  <c r="N60" i="22" s="1"/>
  <c r="H51" i="22"/>
  <c r="ER51" i="22" s="1"/>
  <c r="ES51" i="22" s="1"/>
  <c r="CR51" i="22"/>
  <c r="CZ51" i="22" s="1"/>
  <c r="H52" i="22"/>
  <c r="ER52" i="22" s="1"/>
  <c r="ET52" i="22" s="1"/>
  <c r="CR52" i="22"/>
  <c r="CX52" i="22" s="1"/>
  <c r="H53" i="22"/>
  <c r="ER53" i="22" s="1"/>
  <c r="ES53" i="22" s="1"/>
  <c r="CR53" i="22"/>
  <c r="CZ53" i="22" s="1"/>
  <c r="H50" i="22"/>
  <c r="ER50" i="22" s="1"/>
  <c r="ES50" i="22" s="1"/>
  <c r="CR50" i="22"/>
  <c r="CZ50" i="22" s="1"/>
  <c r="H54" i="22"/>
  <c r="ER54" i="22" s="1"/>
  <c r="ES54" i="22" s="1"/>
  <c r="CR54" i="22"/>
  <c r="DA54" i="22" s="1"/>
  <c r="N54" i="22" s="1"/>
  <c r="H48" i="22"/>
  <c r="ER48" i="22" s="1"/>
  <c r="ET48" i="22" s="1"/>
  <c r="CR48" i="22"/>
  <c r="CZ48" i="22" s="1"/>
  <c r="H44" i="22"/>
  <c r="ER44" i="22" s="1"/>
  <c r="ET44" i="22" s="1"/>
  <c r="CR44" i="22"/>
  <c r="DA44" i="22" s="1"/>
  <c r="DB44" i="22" s="1"/>
  <c r="O44" i="22" s="1"/>
  <c r="H47" i="22"/>
  <c r="ER47" i="22" s="1"/>
  <c r="ET47" i="22" s="1"/>
  <c r="CR47" i="22"/>
  <c r="H46" i="22"/>
  <c r="ER46" i="22" s="1"/>
  <c r="ET46" i="22" s="1"/>
  <c r="CR46" i="22"/>
  <c r="CZ46" i="22" s="1"/>
  <c r="H45" i="22"/>
  <c r="ER45" i="22" s="1"/>
  <c r="ET45" i="22" s="1"/>
  <c r="CR45" i="22"/>
  <c r="H38" i="22"/>
  <c r="ER38" i="22" s="1"/>
  <c r="ET38" i="22" s="1"/>
  <c r="CR38" i="22"/>
  <c r="CW38" i="22" s="1"/>
  <c r="CY38" i="22" s="1"/>
  <c r="M38" i="22" s="1"/>
  <c r="H39" i="22"/>
  <c r="ER39" i="22" s="1"/>
  <c r="ES39" i="22" s="1"/>
  <c r="CR39" i="22"/>
  <c r="CZ39" i="22" s="1"/>
  <c r="H40" i="22"/>
  <c r="ER40" i="22" s="1"/>
  <c r="ES40" i="22" s="1"/>
  <c r="CR40" i="22"/>
  <c r="DA40" i="22" s="1"/>
  <c r="DB40" i="22" s="1"/>
  <c r="O40" i="22" s="1"/>
  <c r="H41" i="22"/>
  <c r="ER41" i="22" s="1"/>
  <c r="ES41" i="22" s="1"/>
  <c r="CR41" i="22"/>
  <c r="CX41" i="22" s="1"/>
  <c r="H42" i="22"/>
  <c r="ER42" i="22" s="1"/>
  <c r="ES42" i="22" s="1"/>
  <c r="CR42" i="22"/>
  <c r="CX42" i="22" s="1"/>
  <c r="H36" i="22"/>
  <c r="ER36" i="22" s="1"/>
  <c r="ET36" i="22" s="1"/>
  <c r="CR36" i="22"/>
  <c r="H32" i="22"/>
  <c r="H34" i="22"/>
  <c r="ER34" i="22" s="1"/>
  <c r="ES34" i="22" s="1"/>
  <c r="CR34" i="22"/>
  <c r="CX34" i="22" s="1"/>
  <c r="H35" i="22"/>
  <c r="ER35" i="22" s="1"/>
  <c r="ES35" i="22" s="1"/>
  <c r="CR35" i="22"/>
  <c r="CX35" i="22" s="1"/>
  <c r="H33" i="22"/>
  <c r="CR33" i="22"/>
  <c r="CZ33" i="22" s="1"/>
  <c r="CR30" i="22"/>
  <c r="CR27" i="22"/>
  <c r="CZ27" i="22" s="1"/>
  <c r="CR24" i="22"/>
  <c r="H32" i="32"/>
  <c r="CR32" i="32"/>
  <c r="CZ32" i="32" s="1"/>
  <c r="ER12" i="32"/>
  <c r="ET12" i="32" s="1"/>
  <c r="DO50" i="32"/>
  <c r="DP50" i="32" s="1"/>
  <c r="EP38" i="32"/>
  <c r="H38" i="32"/>
  <c r="EP39" i="32"/>
  <c r="H39" i="32"/>
  <c r="ER39" i="32" s="1"/>
  <c r="ES39" i="32" s="1"/>
  <c r="EP40" i="32"/>
  <c r="H40" i="32"/>
  <c r="EP33" i="32"/>
  <c r="H33" i="32"/>
  <c r="ER33" i="32" s="1"/>
  <c r="ET33" i="32" s="1"/>
  <c r="EP36" i="32"/>
  <c r="H36" i="32"/>
  <c r="ER36" i="32" s="1"/>
  <c r="ES36" i="32" s="1"/>
  <c r="EP34" i="32"/>
  <c r="H34" i="32"/>
  <c r="ER34" i="32" s="1"/>
  <c r="ET34" i="32" s="1"/>
  <c r="EP35" i="32"/>
  <c r="H35" i="32"/>
  <c r="EP24" i="32"/>
  <c r="EM63" i="22"/>
  <c r="EP63" i="22"/>
  <c r="EM76" i="22"/>
  <c r="EP76" i="22"/>
  <c r="EM65" i="22"/>
  <c r="EP65" i="22"/>
  <c r="EM47" i="22"/>
  <c r="EP47" i="22"/>
  <c r="EM64" i="22"/>
  <c r="EP64" i="22"/>
  <c r="EM62" i="22"/>
  <c r="EP62" i="22"/>
  <c r="EM70" i="22"/>
  <c r="EP70" i="22"/>
  <c r="EM39" i="22"/>
  <c r="EP39" i="22"/>
  <c r="EM66" i="22"/>
  <c r="EP66" i="22"/>
  <c r="EM69" i="22"/>
  <c r="EP69" i="22"/>
  <c r="EM74" i="22"/>
  <c r="EP74" i="22"/>
  <c r="EM56" i="22"/>
  <c r="EP56" i="22"/>
  <c r="EM42" i="22"/>
  <c r="EP42" i="22"/>
  <c r="EM36" i="22"/>
  <c r="EP36" i="22"/>
  <c r="EM48" i="22"/>
  <c r="EP48" i="22"/>
  <c r="EM34" i="22"/>
  <c r="EP34" i="22"/>
  <c r="EM72" i="22"/>
  <c r="EP72" i="22"/>
  <c r="EM50" i="22"/>
  <c r="EP50" i="22"/>
  <c r="EM40" i="22"/>
  <c r="EP40" i="22"/>
  <c r="EM54" i="22"/>
  <c r="EP54" i="22"/>
  <c r="EM41" i="22"/>
  <c r="EP41" i="22"/>
  <c r="EM57" i="22"/>
  <c r="EP57" i="22"/>
  <c r="EM78" i="22"/>
  <c r="EP78" i="22"/>
  <c r="EM53" i="22"/>
  <c r="EP53" i="22"/>
  <c r="EM60" i="22"/>
  <c r="EP60" i="22"/>
  <c r="EM38" i="22"/>
  <c r="EP38" i="22"/>
  <c r="EM59" i="22"/>
  <c r="EP59" i="22"/>
  <c r="EM30" i="22"/>
  <c r="EP30" i="22"/>
  <c r="EM33" i="22"/>
  <c r="EM45" i="22"/>
  <c r="EP45" i="22"/>
  <c r="EM68" i="22"/>
  <c r="EP68" i="22"/>
  <c r="EM71" i="22"/>
  <c r="EP71" i="22"/>
  <c r="EM27" i="22"/>
  <c r="EP27" i="22"/>
  <c r="EM46" i="22"/>
  <c r="EP46" i="22"/>
  <c r="EM75" i="22"/>
  <c r="EP75" i="22"/>
  <c r="EM77" i="22"/>
  <c r="EP77" i="22"/>
  <c r="EM51" i="22"/>
  <c r="EP51" i="22"/>
  <c r="EM52" i="22"/>
  <c r="EP52" i="22"/>
  <c r="EM24" i="22"/>
  <c r="EP24" i="22"/>
  <c r="EM35" i="22"/>
  <c r="EP35" i="22"/>
  <c r="EM44" i="22"/>
  <c r="EP44" i="22"/>
  <c r="EQ60" i="22"/>
  <c r="EQ36" i="22"/>
  <c r="EQ30" i="22"/>
  <c r="EC59" i="32"/>
  <c r="ED59" i="32" s="1"/>
  <c r="DQ58" i="32"/>
  <c r="DR58" i="32" s="1"/>
  <c r="DQ54" i="32"/>
  <c r="DR54" i="32" s="1"/>
  <c r="EM40" i="32"/>
  <c r="EM39" i="32"/>
  <c r="EM38" i="32"/>
  <c r="EM36" i="32"/>
  <c r="EM35" i="32"/>
  <c r="EM34" i="32"/>
  <c r="EM33" i="32"/>
  <c r="EQ24" i="32"/>
  <c r="EM24" i="32"/>
  <c r="DQ59" i="32"/>
  <c r="DR59" i="32" s="1"/>
  <c r="EE59" i="32"/>
  <c r="EF59" i="32" s="1"/>
  <c r="EC62" i="32"/>
  <c r="ED62" i="32" s="1"/>
  <c r="EC56" i="32"/>
  <c r="ED56" i="32" s="1"/>
  <c r="EC44" i="32"/>
  <c r="ED44" i="32" s="1"/>
  <c r="DQ77" i="32"/>
  <c r="DR77" i="32" s="1"/>
  <c r="DQ65" i="32"/>
  <c r="DR65" i="32" s="1"/>
  <c r="DQ70" i="32"/>
  <c r="DR70" i="32" s="1"/>
  <c r="DO68" i="32"/>
  <c r="DP68" i="32" s="1"/>
  <c r="EC70" i="32"/>
  <c r="ED70" i="32" s="1"/>
  <c r="DQ47" i="32"/>
  <c r="DR47" i="32" s="1"/>
  <c r="EC48" i="32"/>
  <c r="ED48" i="32" s="1"/>
  <c r="DQ74" i="32"/>
  <c r="DR74" i="32" s="1"/>
  <c r="DQ75" i="32"/>
  <c r="DR75" i="32" s="1"/>
  <c r="DQ42" i="32"/>
  <c r="DR42" i="32" s="1"/>
  <c r="DO53" i="32"/>
  <c r="DP53" i="32" s="1"/>
  <c r="DH38" i="22"/>
  <c r="DJ38" i="22"/>
  <c r="DH75" i="22"/>
  <c r="DJ75" i="22"/>
  <c r="DH27" i="22"/>
  <c r="DJ27" i="22"/>
  <c r="DH45" i="22"/>
  <c r="DJ45" i="22"/>
  <c r="DH54" i="22"/>
  <c r="DJ54" i="22"/>
  <c r="DH56" i="22"/>
  <c r="DJ56" i="22"/>
  <c r="DH78" i="22"/>
  <c r="DJ78" i="22"/>
  <c r="DH71" i="22"/>
  <c r="DJ71" i="22"/>
  <c r="DH50" i="22"/>
  <c r="DJ50" i="22"/>
  <c r="DH42" i="22"/>
  <c r="DJ42" i="22"/>
  <c r="DH72" i="22"/>
  <c r="DJ72" i="22"/>
  <c r="DH63" i="22"/>
  <c r="DJ63" i="22"/>
  <c r="DH51" i="22"/>
  <c r="DJ51" i="22"/>
  <c r="DH30" i="22"/>
  <c r="DJ30" i="22"/>
  <c r="DH41" i="22"/>
  <c r="DJ41" i="22"/>
  <c r="DH34" i="22"/>
  <c r="DJ34" i="22"/>
  <c r="DH66" i="22"/>
  <c r="DJ66" i="22"/>
  <c r="DH77" i="22"/>
  <c r="DJ77" i="22"/>
  <c r="DH74" i="22"/>
  <c r="DJ74" i="22"/>
  <c r="DH18" i="22"/>
  <c r="DJ18" i="22"/>
  <c r="DH59" i="22"/>
  <c r="DJ59" i="22"/>
  <c r="DH47" i="22"/>
  <c r="DJ47" i="22"/>
  <c r="DH39" i="22"/>
  <c r="DJ39" i="22"/>
  <c r="DH52" i="22"/>
  <c r="DJ52" i="22"/>
  <c r="DH46" i="22"/>
  <c r="DJ46" i="22"/>
  <c r="DH62" i="22"/>
  <c r="DJ62" i="22"/>
  <c r="DH53" i="22"/>
  <c r="DJ53" i="22"/>
  <c r="DH76" i="22"/>
  <c r="DJ76" i="22"/>
  <c r="DH65" i="22"/>
  <c r="DJ65" i="22"/>
  <c r="DH24" i="22"/>
  <c r="DJ24" i="22"/>
  <c r="DH60" i="22"/>
  <c r="DJ60" i="22"/>
  <c r="DH48" i="22"/>
  <c r="DJ48" i="22"/>
  <c r="DH69" i="22"/>
  <c r="DJ69" i="22"/>
  <c r="DH57" i="22"/>
  <c r="DJ57" i="22"/>
  <c r="DH44" i="22"/>
  <c r="DJ44" i="22"/>
  <c r="DH40" i="22"/>
  <c r="DJ40" i="22"/>
  <c r="DH68" i="22"/>
  <c r="DJ68" i="22"/>
  <c r="DH36" i="22"/>
  <c r="DJ36" i="22"/>
  <c r="DH64" i="22"/>
  <c r="DJ64" i="22"/>
  <c r="DH70" i="22"/>
  <c r="DJ70" i="22"/>
  <c r="DH35" i="22"/>
  <c r="DJ35" i="22"/>
  <c r="DH35" i="32"/>
  <c r="DJ35" i="32"/>
  <c r="DH39" i="32"/>
  <c r="DJ39" i="32"/>
  <c r="DH10" i="32"/>
  <c r="DJ10" i="32"/>
  <c r="DH24" i="32"/>
  <c r="DJ24" i="32"/>
  <c r="DH11" i="32"/>
  <c r="DJ11" i="32"/>
  <c r="DH33" i="32"/>
  <c r="DJ33" i="32"/>
  <c r="DQ56" i="32"/>
  <c r="DR56" i="32" s="1"/>
  <c r="DH30" i="32"/>
  <c r="DJ30" i="32"/>
  <c r="DH27" i="32"/>
  <c r="DJ27" i="32"/>
  <c r="DH18" i="32"/>
  <c r="DJ18" i="32"/>
  <c r="DH23" i="32"/>
  <c r="DJ23" i="32"/>
  <c r="DQ51" i="32"/>
  <c r="DR51" i="32" s="1"/>
  <c r="DQ69" i="32"/>
  <c r="DR69" i="32" s="1"/>
  <c r="DH38" i="32"/>
  <c r="DJ38" i="32"/>
  <c r="DH29" i="32"/>
  <c r="DJ29" i="32"/>
  <c r="DH34" i="32"/>
  <c r="DJ34" i="32"/>
  <c r="DH28" i="32"/>
  <c r="DJ28" i="32"/>
  <c r="DQ71" i="32"/>
  <c r="DR71" i="32" s="1"/>
  <c r="DH22" i="32"/>
  <c r="DJ22" i="32"/>
  <c r="DH40" i="32"/>
  <c r="DJ40" i="32"/>
  <c r="DH36" i="32"/>
  <c r="DJ36" i="32"/>
  <c r="DQ45" i="32"/>
  <c r="DR45" i="32" s="1"/>
  <c r="DH15" i="32"/>
  <c r="DJ15" i="32"/>
  <c r="EC58" i="32"/>
  <c r="ED58" i="32" s="1"/>
  <c r="DQ64" i="32"/>
  <c r="DR64" i="32" s="1"/>
  <c r="DQ63" i="32"/>
  <c r="DR63" i="32" s="1"/>
  <c r="DQ52" i="32"/>
  <c r="DR52" i="32" s="1"/>
  <c r="DQ48" i="32"/>
  <c r="DR48" i="32" s="1"/>
  <c r="DQ44" i="32"/>
  <c r="DR44" i="32" s="1"/>
  <c r="DQ53" i="32"/>
  <c r="DR53" i="32" s="1"/>
  <c r="EC51" i="32"/>
  <c r="ED51" i="32" s="1"/>
  <c r="EC76" i="32"/>
  <c r="ED76" i="32" s="1"/>
  <c r="EC71" i="32"/>
  <c r="ED71" i="32" s="1"/>
  <c r="EE42" i="32"/>
  <c r="EF42" i="32" s="1"/>
  <c r="DQ57" i="32"/>
  <c r="DR57" i="32" s="1"/>
  <c r="EC65" i="32"/>
  <c r="ED65" i="32" s="1"/>
  <c r="EC69" i="32"/>
  <c r="ED69" i="32" s="1"/>
  <c r="EC50" i="32"/>
  <c r="ED50" i="32" s="1"/>
  <c r="DQ66" i="32"/>
  <c r="DR66" i="32" s="1"/>
  <c r="DX71" i="22"/>
  <c r="DV71" i="22"/>
  <c r="DX48" i="22"/>
  <c r="DV48" i="22"/>
  <c r="EC45" i="32"/>
  <c r="ED45" i="32" s="1"/>
  <c r="EC47" i="32"/>
  <c r="ED47" i="32" s="1"/>
  <c r="EC68" i="32"/>
  <c r="ED68" i="32" s="1"/>
  <c r="DX27" i="22"/>
  <c r="DV27" i="22"/>
  <c r="EC53" i="32"/>
  <c r="ED53" i="32" s="1"/>
  <c r="DX46" i="22"/>
  <c r="DV46" i="22"/>
  <c r="EE58" i="32"/>
  <c r="EF58" i="32" s="1"/>
  <c r="EC75" i="32"/>
  <c r="ED75" i="32" s="1"/>
  <c r="DX68" i="22"/>
  <c r="DV68" i="22"/>
  <c r="DX64" i="22"/>
  <c r="DV64" i="22"/>
  <c r="DX62" i="22"/>
  <c r="DV62" i="22"/>
  <c r="DU59" i="22"/>
  <c r="DX59" i="22"/>
  <c r="DW51" i="22"/>
  <c r="DX51" i="22"/>
  <c r="DU40" i="22"/>
  <c r="DX40" i="22"/>
  <c r="DX69" i="22"/>
  <c r="DX38" i="22"/>
  <c r="DW57" i="22"/>
  <c r="DX57" i="22"/>
  <c r="EC78" i="32"/>
  <c r="ED78" i="32" s="1"/>
  <c r="DX18" i="22"/>
  <c r="DW34" i="22"/>
  <c r="DX34" i="22"/>
  <c r="DX70" i="22"/>
  <c r="DX74" i="22"/>
  <c r="DX45" i="22"/>
  <c r="DU77" i="22"/>
  <c r="DX77" i="22"/>
  <c r="DW54" i="22"/>
  <c r="DX54" i="22"/>
  <c r="EC41" i="32"/>
  <c r="ED41" i="32" s="1"/>
  <c r="DW24" i="22"/>
  <c r="DX24" i="22"/>
  <c r="EC60" i="32"/>
  <c r="ED60" i="32" s="1"/>
  <c r="DU44" i="22"/>
  <c r="DX44" i="22"/>
  <c r="DX56" i="22"/>
  <c r="DW75" i="22"/>
  <c r="DX75" i="22"/>
  <c r="DW52" i="22"/>
  <c r="DX52" i="22"/>
  <c r="DU60" i="22"/>
  <c r="DX60" i="22"/>
  <c r="DW76" i="22"/>
  <c r="DX76" i="22"/>
  <c r="DX65" i="22"/>
  <c r="DW66" i="22"/>
  <c r="DX66" i="22"/>
  <c r="DX50" i="22"/>
  <c r="DW47" i="22"/>
  <c r="DX47" i="22"/>
  <c r="DW63" i="22"/>
  <c r="DX63" i="22"/>
  <c r="DW53" i="22"/>
  <c r="DX53" i="22"/>
  <c r="DW36" i="22"/>
  <c r="DX36" i="22"/>
  <c r="DW78" i="22"/>
  <c r="DX78" i="22"/>
  <c r="DU35" i="22"/>
  <c r="DX35" i="22"/>
  <c r="DX42" i="22"/>
  <c r="EE70" i="32"/>
  <c r="EF70" i="32" s="1"/>
  <c r="DO76" i="32"/>
  <c r="DP76" i="32" s="1"/>
  <c r="EC64" i="32"/>
  <c r="ED64" i="32" s="1"/>
  <c r="DX30" i="22"/>
  <c r="DX72" i="22"/>
  <c r="EC52" i="32"/>
  <c r="ED52" i="32" s="1"/>
  <c r="DU41" i="22"/>
  <c r="DX41" i="22"/>
  <c r="DU39" i="22"/>
  <c r="DX39" i="22"/>
  <c r="DU33" i="22"/>
  <c r="DV27" i="32"/>
  <c r="DX27" i="32"/>
  <c r="EC42" i="32"/>
  <c r="ED42" i="32" s="1"/>
  <c r="DV22" i="32"/>
  <c r="DX22" i="32"/>
  <c r="DV18" i="32"/>
  <c r="DX18" i="32"/>
  <c r="DV23" i="32"/>
  <c r="DX23" i="32"/>
  <c r="ET66" i="45"/>
  <c r="EC57" i="32"/>
  <c r="ED57" i="32" s="1"/>
  <c r="EC74" i="32"/>
  <c r="ED74" i="32" s="1"/>
  <c r="ES45" i="45"/>
  <c r="DQ76" i="32"/>
  <c r="DR76" i="32" s="1"/>
  <c r="ES24" i="45"/>
  <c r="DO56" i="32"/>
  <c r="DP56" i="32" s="1"/>
  <c r="DO66" i="32"/>
  <c r="DP66" i="32" s="1"/>
  <c r="EC77" i="32"/>
  <c r="ED77" i="32" s="1"/>
  <c r="EC64" i="45"/>
  <c r="ED64" i="45" s="1"/>
  <c r="DV34" i="32"/>
  <c r="DU36" i="32"/>
  <c r="DV36" i="32"/>
  <c r="DU33" i="32"/>
  <c r="DV33" i="32"/>
  <c r="DW30" i="32"/>
  <c r="DV30" i="32"/>
  <c r="DV29" i="32"/>
  <c r="DQ50" i="32"/>
  <c r="DR50" i="32" s="1"/>
  <c r="DU10" i="32"/>
  <c r="DV10" i="32"/>
  <c r="DW28" i="32"/>
  <c r="DV28" i="32"/>
  <c r="DV35" i="32"/>
  <c r="DU24" i="32"/>
  <c r="DV24" i="32"/>
  <c r="DU39" i="32"/>
  <c r="DV39" i="32"/>
  <c r="DU15" i="32"/>
  <c r="DV15" i="32"/>
  <c r="DU11" i="32"/>
  <c r="DV11" i="32"/>
  <c r="DU21" i="32"/>
  <c r="EC46" i="32"/>
  <c r="ED46" i="32" s="1"/>
  <c r="DW38" i="32"/>
  <c r="DV38" i="32"/>
  <c r="DU12" i="32"/>
  <c r="DW40" i="32"/>
  <c r="DV40" i="32"/>
  <c r="EC66" i="32"/>
  <c r="ED66" i="32" s="1"/>
  <c r="DO78" i="32"/>
  <c r="DP78" i="32" s="1"/>
  <c r="DO54" i="32"/>
  <c r="DP54" i="32" s="1"/>
  <c r="DQ46" i="32"/>
  <c r="DR46" i="32" s="1"/>
  <c r="DO72" i="32"/>
  <c r="DP72" i="32" s="1"/>
  <c r="DO46" i="32"/>
  <c r="DP46" i="32" s="1"/>
  <c r="DQ68" i="32"/>
  <c r="DR68" i="32" s="1"/>
  <c r="DO62" i="32"/>
  <c r="DP62" i="32" s="1"/>
  <c r="DO75" i="32"/>
  <c r="DP75" i="32" s="1"/>
  <c r="DO45" i="32"/>
  <c r="DP45" i="32" s="1"/>
  <c r="DO65" i="32"/>
  <c r="DP65" i="32" s="1"/>
  <c r="DO59" i="32"/>
  <c r="DP59" i="32" s="1"/>
  <c r="DO63" i="32"/>
  <c r="DP63" i="32" s="1"/>
  <c r="DO74" i="32"/>
  <c r="DP74" i="32" s="1"/>
  <c r="EE51" i="45"/>
  <c r="EF51" i="45" s="1"/>
  <c r="DO48" i="32"/>
  <c r="DP48" i="32" s="1"/>
  <c r="DI54" i="22"/>
  <c r="DG77" i="22"/>
  <c r="DI35" i="22"/>
  <c r="DO71" i="32"/>
  <c r="DP71" i="32" s="1"/>
  <c r="DO57" i="32"/>
  <c r="DP57" i="32" s="1"/>
  <c r="DO70" i="32"/>
  <c r="DP70" i="32" s="1"/>
  <c r="DG45" i="22"/>
  <c r="DO69" i="32"/>
  <c r="DP69" i="32" s="1"/>
  <c r="DI30" i="22"/>
  <c r="DG56" i="22"/>
  <c r="DI32" i="22"/>
  <c r="DI44" i="22"/>
  <c r="DG70" i="22"/>
  <c r="DO51" i="32"/>
  <c r="DP51" i="32" s="1"/>
  <c r="DG42" i="22"/>
  <c r="DG52" i="22"/>
  <c r="DG74" i="22"/>
  <c r="DG18" i="22"/>
  <c r="DG34" i="22"/>
  <c r="DI66" i="22"/>
  <c r="DG40" i="22"/>
  <c r="DO47" i="32"/>
  <c r="DP47" i="32" s="1"/>
  <c r="DG46" i="22"/>
  <c r="DG59" i="22"/>
  <c r="DG47" i="22"/>
  <c r="DG39" i="22"/>
  <c r="DG68" i="22"/>
  <c r="DI60" i="22"/>
  <c r="DG53" i="22"/>
  <c r="DI33" i="22"/>
  <c r="DG36" i="22"/>
  <c r="DG48" i="22"/>
  <c r="DG69" i="22"/>
  <c r="DO52" i="32"/>
  <c r="DP52" i="32" s="1"/>
  <c r="DO58" i="32"/>
  <c r="DP58" i="32" s="1"/>
  <c r="DG11" i="32"/>
  <c r="DI40" i="32"/>
  <c r="DI10" i="32"/>
  <c r="DI29" i="32"/>
  <c r="DG38" i="32"/>
  <c r="DG36" i="32"/>
  <c r="DG33" i="32"/>
  <c r="DI21" i="32"/>
  <c r="EC45" i="45"/>
  <c r="ED45" i="45" s="1"/>
  <c r="DG22" i="32"/>
  <c r="DI28" i="32"/>
  <c r="DO64" i="32"/>
  <c r="DP64" i="32" s="1"/>
  <c r="DI15" i="32"/>
  <c r="DI18" i="32"/>
  <c r="DI32" i="32"/>
  <c r="DI20" i="32"/>
  <c r="DO44" i="32"/>
  <c r="DP44" i="32" s="1"/>
  <c r="EE64" i="45"/>
  <c r="EF64" i="45" s="1"/>
  <c r="EE57" i="45"/>
  <c r="EF57" i="45" s="1"/>
  <c r="EE41" i="45"/>
  <c r="EF41" i="45" s="1"/>
  <c r="ES65" i="45"/>
  <c r="ET52" i="41"/>
  <c r="ES52" i="41"/>
  <c r="ET50" i="41"/>
  <c r="ES50" i="41"/>
  <c r="ET48" i="41"/>
  <c r="ES48" i="41"/>
  <c r="ES40" i="41"/>
  <c r="ET40" i="41"/>
  <c r="ET41" i="45"/>
  <c r="ET75" i="47"/>
  <c r="ES75" i="47"/>
  <c r="DQ74" i="45"/>
  <c r="DR74" i="45" s="1"/>
  <c r="EC40" i="45"/>
  <c r="ED40" i="45" s="1"/>
  <c r="DQ38" i="45"/>
  <c r="DR38" i="45" s="1"/>
  <c r="EC74" i="45"/>
  <c r="ED74" i="45" s="1"/>
  <c r="DQ51" i="45"/>
  <c r="DR51" i="45" s="1"/>
  <c r="EC76" i="45"/>
  <c r="ED76" i="45" s="1"/>
  <c r="ET62" i="47"/>
  <c r="ES62" i="47"/>
  <c r="ES70" i="47"/>
  <c r="ET70" i="47"/>
  <c r="ET64" i="47"/>
  <c r="ES64" i="47"/>
  <c r="ET65" i="47"/>
  <c r="ES65" i="47"/>
  <c r="ES59" i="47"/>
  <c r="ET59" i="47"/>
  <c r="ET57" i="47"/>
  <c r="ES57" i="47"/>
  <c r="ES58" i="47"/>
  <c r="ET74" i="45"/>
  <c r="ES48" i="45"/>
  <c r="ET57" i="45"/>
  <c r="ES71" i="45"/>
  <c r="ET34" i="45"/>
  <c r="ET30" i="47"/>
  <c r="ES30" i="47"/>
  <c r="DO71" i="45"/>
  <c r="DP71" i="45" s="1"/>
  <c r="ES58" i="45"/>
  <c r="EC71" i="45"/>
  <c r="ED71" i="45" s="1"/>
  <c r="EC51" i="45"/>
  <c r="ED51" i="45" s="1"/>
  <c r="ES30" i="45"/>
  <c r="EC39" i="45"/>
  <c r="ED39" i="45" s="1"/>
  <c r="ES40" i="45"/>
  <c r="ES68" i="45"/>
  <c r="ES70" i="45"/>
  <c r="EC58" i="45"/>
  <c r="ED58" i="45" s="1"/>
  <c r="ET76" i="45"/>
  <c r="EE65" i="45"/>
  <c r="EF65" i="45" s="1"/>
  <c r="DO66" i="45"/>
  <c r="DP66" i="45" s="1"/>
  <c r="EE58" i="45"/>
  <c r="EF58" i="45" s="1"/>
  <c r="EC48" i="45"/>
  <c r="ED48" i="45" s="1"/>
  <c r="EC38" i="45"/>
  <c r="ED38" i="45" s="1"/>
  <c r="EE71" i="45"/>
  <c r="EF71" i="45" s="1"/>
  <c r="DO48" i="45"/>
  <c r="DP48" i="45" s="1"/>
  <c r="EC68" i="45"/>
  <c r="ED68" i="45" s="1"/>
  <c r="DO63" i="45"/>
  <c r="DP63" i="45" s="1"/>
  <c r="DO57" i="45"/>
  <c r="DP57" i="45" s="1"/>
  <c r="DO65" i="45"/>
  <c r="DP65" i="45" s="1"/>
  <c r="EC33" i="45"/>
  <c r="ED33" i="45" s="1"/>
  <c r="EC57" i="45"/>
  <c r="ED57" i="45" s="1"/>
  <c r="DO68" i="45"/>
  <c r="DP68" i="45" s="1"/>
  <c r="EC41" i="45"/>
  <c r="ED41" i="45" s="1"/>
  <c r="EC62" i="45"/>
  <c r="ED62" i="45" s="1"/>
  <c r="DW12" i="45"/>
  <c r="DV12" i="45"/>
  <c r="DO51" i="45"/>
  <c r="DP51" i="45" s="1"/>
  <c r="W28" i="22"/>
  <c r="V28" i="22" s="1"/>
  <c r="C28" i="22" s="1"/>
  <c r="DO74" i="45"/>
  <c r="DP74" i="45" s="1"/>
  <c r="DI12" i="45"/>
  <c r="DH12" i="45"/>
  <c r="DL50" i="19"/>
  <c r="EE78" i="19"/>
  <c r="EF78" i="19" s="1"/>
  <c r="CV47" i="19"/>
  <c r="DA47" i="19" s="1"/>
  <c r="EM47" i="19"/>
  <c r="EO44" i="19"/>
  <c r="CR44" i="19"/>
  <c r="EM46" i="19"/>
  <c r="DZ40" i="19"/>
  <c r="DL41" i="19"/>
  <c r="EO46" i="19"/>
  <c r="EO47" i="19"/>
  <c r="DQ77" i="19"/>
  <c r="DR77" i="19" s="1"/>
  <c r="DZ78" i="19"/>
  <c r="EB78" i="19"/>
  <c r="DO78" i="19"/>
  <c r="DP78" i="19" s="1"/>
  <c r="DN78" i="19"/>
  <c r="DL78" i="19"/>
  <c r="DQ78" i="19"/>
  <c r="DR78" i="19" s="1"/>
  <c r="EC78" i="19"/>
  <c r="ED78" i="19" s="1"/>
  <c r="ER78" i="19"/>
  <c r="ET78" i="19" s="1"/>
  <c r="CW78" i="19"/>
  <c r="CZ78" i="19"/>
  <c r="DA78" i="19" s="1"/>
  <c r="DO77" i="19"/>
  <c r="DP77" i="19" s="1"/>
  <c r="DZ77" i="19"/>
  <c r="EC77" i="19"/>
  <c r="ED77" i="19" s="1"/>
  <c r="CZ77" i="19"/>
  <c r="DA77" i="19" s="1"/>
  <c r="ER77" i="19"/>
  <c r="ES77" i="19" s="1"/>
  <c r="CW77" i="19"/>
  <c r="DN77" i="19"/>
  <c r="DL77" i="19"/>
  <c r="EE77" i="19"/>
  <c r="EF77" i="19" s="1"/>
  <c r="EB77" i="19"/>
  <c r="ER76" i="19"/>
  <c r="ET76" i="19" s="1"/>
  <c r="EO76" i="19"/>
  <c r="CR76" i="19"/>
  <c r="EE76" i="19" s="1"/>
  <c r="EF76" i="19" s="1"/>
  <c r="EO75" i="19"/>
  <c r="CR75" i="19"/>
  <c r="DN75" i="19" s="1"/>
  <c r="ER75" i="19"/>
  <c r="EO74" i="19"/>
  <c r="CR74" i="19"/>
  <c r="DZ74" i="19" s="1"/>
  <c r="ER74" i="19"/>
  <c r="ER72" i="19"/>
  <c r="EE54" i="19"/>
  <c r="EF54" i="19" s="1"/>
  <c r="DZ54" i="19"/>
  <c r="DN54" i="19"/>
  <c r="DL54" i="19"/>
  <c r="EO72" i="19"/>
  <c r="CR72" i="19"/>
  <c r="EO71" i="19"/>
  <c r="CR71" i="19"/>
  <c r="EC71" i="19" s="1"/>
  <c r="ED71" i="19" s="1"/>
  <c r="ER71" i="19"/>
  <c r="ER68" i="19"/>
  <c r="EO68" i="19"/>
  <c r="CR68" i="19"/>
  <c r="DZ68" i="19" s="1"/>
  <c r="DN53" i="19"/>
  <c r="ER66" i="19"/>
  <c r="EO66" i="19"/>
  <c r="CR66" i="19"/>
  <c r="ER65" i="19"/>
  <c r="EO65" i="19"/>
  <c r="CR65" i="19"/>
  <c r="DZ65" i="19" s="1"/>
  <c r="EO64" i="19"/>
  <c r="CR64" i="19"/>
  <c r="DL64" i="19" s="1"/>
  <c r="ER64" i="19"/>
  <c r="EO63" i="19"/>
  <c r="CR63" i="19"/>
  <c r="DO63" i="19" s="1"/>
  <c r="DP63" i="19" s="1"/>
  <c r="ER63" i="19"/>
  <c r="ER62" i="19"/>
  <c r="EO62" i="19"/>
  <c r="CR62" i="19"/>
  <c r="DO62" i="19" s="1"/>
  <c r="DP62" i="19" s="1"/>
  <c r="ER58" i="19"/>
  <c r="ET58" i="19" s="1"/>
  <c r="EB54" i="19"/>
  <c r="EO58" i="19"/>
  <c r="CR58" i="19"/>
  <c r="DL58" i="19" s="1"/>
  <c r="ER57" i="19"/>
  <c r="EO57" i="19"/>
  <c r="CR57" i="19"/>
  <c r="DO57" i="19" s="1"/>
  <c r="DP57" i="19" s="1"/>
  <c r="EO56" i="19"/>
  <c r="CR56" i="19"/>
  <c r="DQ56" i="19" s="1"/>
  <c r="DR56" i="19" s="1"/>
  <c r="DQ53" i="19"/>
  <c r="DR53" i="19" s="1"/>
  <c r="EE53" i="19"/>
  <c r="EF53" i="19" s="1"/>
  <c r="EB53" i="19"/>
  <c r="ER56" i="19"/>
  <c r="DZ53" i="19"/>
  <c r="DL53" i="19"/>
  <c r="DO54" i="19"/>
  <c r="DP54" i="19" s="1"/>
  <c r="CX54" i="19"/>
  <c r="CW54" i="19" s="1"/>
  <c r="ER54" i="19"/>
  <c r="ES54" i="19" s="1"/>
  <c r="DA54" i="19"/>
  <c r="DQ54" i="19"/>
  <c r="DR54" i="19" s="1"/>
  <c r="EC54" i="19"/>
  <c r="ED54" i="19" s="1"/>
  <c r="EC53" i="19"/>
  <c r="ED53" i="19" s="1"/>
  <c r="ER53" i="19"/>
  <c r="ET53" i="19" s="1"/>
  <c r="DA53" i="19"/>
  <c r="DN51" i="19"/>
  <c r="CX53" i="19"/>
  <c r="CW53" i="19" s="1"/>
  <c r="DO53" i="19"/>
  <c r="DP53" i="19" s="1"/>
  <c r="EE51" i="19"/>
  <c r="EF51" i="19" s="1"/>
  <c r="DL51" i="19"/>
  <c r="EB51" i="19"/>
  <c r="ER51" i="19"/>
  <c r="ET51" i="19" s="1"/>
  <c r="CW51" i="19"/>
  <c r="DZ51" i="19"/>
  <c r="DQ51" i="19"/>
  <c r="DR51" i="19" s="1"/>
  <c r="EC51" i="19"/>
  <c r="ED51" i="19" s="1"/>
  <c r="DO51" i="19"/>
  <c r="DP51" i="19" s="1"/>
  <c r="CZ51" i="19"/>
  <c r="DA51" i="19" s="1"/>
  <c r="DZ50" i="19"/>
  <c r="ER50" i="19"/>
  <c r="ET50" i="19" s="1"/>
  <c r="EB50" i="19"/>
  <c r="DO50" i="19"/>
  <c r="DP50" i="19" s="1"/>
  <c r="EC50" i="19"/>
  <c r="ED50" i="19" s="1"/>
  <c r="DQ50" i="19"/>
  <c r="DR50" i="19" s="1"/>
  <c r="DN50" i="19"/>
  <c r="DO42" i="19"/>
  <c r="DP42" i="19" s="1"/>
  <c r="EE42" i="19"/>
  <c r="EF42" i="19" s="1"/>
  <c r="EE50" i="19"/>
  <c r="EF50" i="19" s="1"/>
  <c r="EC47" i="19"/>
  <c r="ED47" i="19" s="1"/>
  <c r="CZ50" i="19"/>
  <c r="DA50" i="19" s="1"/>
  <c r="CX50" i="19"/>
  <c r="CW50" i="19" s="1"/>
  <c r="DN42" i="19"/>
  <c r="EC42" i="19"/>
  <c r="ED42" i="19" s="1"/>
  <c r="EB42" i="19"/>
  <c r="DL42" i="19"/>
  <c r="CX42" i="19"/>
  <c r="CW42" i="19" s="1"/>
  <c r="EE41" i="19"/>
  <c r="EF41" i="19" s="1"/>
  <c r="DQ42" i="19"/>
  <c r="DR42" i="19" s="1"/>
  <c r="DZ42" i="19"/>
  <c r="EC41" i="19"/>
  <c r="ED41" i="19" s="1"/>
  <c r="DQ41" i="19"/>
  <c r="DR41" i="19" s="1"/>
  <c r="ER42" i="19"/>
  <c r="ET42" i="19" s="1"/>
  <c r="DA42" i="19"/>
  <c r="EB41" i="19"/>
  <c r="CZ41" i="19"/>
  <c r="CV41" i="19" s="1"/>
  <c r="ER41" i="19"/>
  <c r="ET41" i="19" s="1"/>
  <c r="EC40" i="19"/>
  <c r="ED40" i="19" s="1"/>
  <c r="DZ41" i="19"/>
  <c r="DQ40" i="19"/>
  <c r="DR40" i="19" s="1"/>
  <c r="DO41" i="19"/>
  <c r="DP41" i="19" s="1"/>
  <c r="DN41" i="19"/>
  <c r="CX41" i="19"/>
  <c r="ER40" i="19"/>
  <c r="ES40" i="19" s="1"/>
  <c r="EE40" i="19"/>
  <c r="EF40" i="19" s="1"/>
  <c r="EB40" i="19"/>
  <c r="DN40" i="19"/>
  <c r="CZ40" i="19"/>
  <c r="CX40" i="19"/>
  <c r="DO40" i="19"/>
  <c r="DP40" i="19" s="1"/>
  <c r="DL40" i="19"/>
  <c r="ER39" i="19"/>
  <c r="ES39" i="19" s="1"/>
  <c r="ER38" i="19"/>
  <c r="ES38" i="19" s="1"/>
  <c r="ER36" i="19"/>
  <c r="EO36" i="19"/>
  <c r="CR36" i="19"/>
  <c r="DN36" i="19" s="1"/>
  <c r="W16" i="45"/>
  <c r="V16" i="45" s="1"/>
  <c r="C16" i="45" s="1"/>
  <c r="DU12" i="45"/>
  <c r="M73" i="41"/>
  <c r="Y68" i="41" s="1"/>
  <c r="DG12" i="45"/>
  <c r="V9" i="19"/>
  <c r="W22" i="47"/>
  <c r="V22" i="47" s="1"/>
  <c r="C22" i="47" s="1"/>
  <c r="W35" i="32"/>
  <c r="V35" i="32" s="1"/>
  <c r="V70" i="22"/>
  <c r="W16" i="47"/>
  <c r="V16" i="47" s="1"/>
  <c r="C16" i="47" s="1"/>
  <c r="V58" i="22"/>
  <c r="W28" i="47"/>
  <c r="V28" i="47" s="1"/>
  <c r="C28" i="47" s="1"/>
  <c r="W11" i="32"/>
  <c r="W12" i="32" s="1"/>
  <c r="V12" i="32" s="1"/>
  <c r="C12" i="32" s="1"/>
  <c r="W72" i="22"/>
  <c r="V72" i="22" s="1"/>
  <c r="W10" i="22"/>
  <c r="V9" i="22"/>
  <c r="C9" i="22" s="1"/>
  <c r="W65" i="32"/>
  <c r="V65" i="32" s="1"/>
  <c r="W53" i="22"/>
  <c r="V53" i="22" s="1"/>
  <c r="W77" i="22"/>
  <c r="V76" i="22"/>
  <c r="W60" i="22"/>
  <c r="V60" i="22" s="1"/>
  <c r="V59" i="22"/>
  <c r="W65" i="22"/>
  <c r="V64" i="22"/>
  <c r="W41" i="22"/>
  <c r="V40" i="22"/>
  <c r="W35" i="22"/>
  <c r="V34" i="22"/>
  <c r="W47" i="22"/>
  <c r="V46" i="22"/>
  <c r="W47" i="32"/>
  <c r="W77" i="32"/>
  <c r="V77" i="32" s="1"/>
  <c r="W59" i="32"/>
  <c r="V58" i="32"/>
  <c r="W59" i="41"/>
  <c r="V59" i="41" s="1"/>
  <c r="W10" i="41"/>
  <c r="V10" i="41" s="1"/>
  <c r="C10" i="41" s="1"/>
  <c r="W35" i="41"/>
  <c r="V35" i="41" s="1"/>
  <c r="W65" i="41"/>
  <c r="V65" i="41" s="1"/>
  <c r="W17" i="41"/>
  <c r="V17" i="41" s="1"/>
  <c r="C17" i="41" s="1"/>
  <c r="W47" i="41"/>
  <c r="V47" i="41" s="1"/>
  <c r="W71" i="47"/>
  <c r="V71" i="47" s="1"/>
  <c r="W59" i="47"/>
  <c r="V59" i="47" s="1"/>
  <c r="W53" i="47"/>
  <c r="V53" i="47" s="1"/>
  <c r="W47" i="47"/>
  <c r="V47" i="47" s="1"/>
  <c r="W65" i="47"/>
  <c r="V65" i="47" s="1"/>
  <c r="W41" i="47"/>
  <c r="V41" i="47" s="1"/>
  <c r="C10" i="47"/>
  <c r="W29" i="32"/>
  <c r="V29" i="32" s="1"/>
  <c r="C29" i="32" s="1"/>
  <c r="W10" i="45"/>
  <c r="V10" i="45" s="1"/>
  <c r="C9" i="45"/>
  <c r="W41" i="45"/>
  <c r="V41" i="45" s="1"/>
  <c r="W65" i="45"/>
  <c r="V65" i="45" s="1"/>
  <c r="W59" i="45"/>
  <c r="V59" i="45" s="1"/>
  <c r="W47" i="45"/>
  <c r="V47" i="45" s="1"/>
  <c r="W35" i="45"/>
  <c r="V35" i="45" s="1"/>
  <c r="W77" i="45"/>
  <c r="V77" i="45" s="1"/>
  <c r="W20" i="22"/>
  <c r="V20" i="22" s="1"/>
  <c r="C20" i="22" s="1"/>
  <c r="W41" i="32"/>
  <c r="V41" i="32" s="1"/>
  <c r="W53" i="32"/>
  <c r="V53" i="32" s="1"/>
  <c r="W71" i="32"/>
  <c r="V71" i="32" s="1"/>
  <c r="W53" i="41"/>
  <c r="V53" i="41" s="1"/>
  <c r="W29" i="41"/>
  <c r="V29" i="41" s="1"/>
  <c r="C29" i="41" s="1"/>
  <c r="EO12" i="45"/>
  <c r="CR12" i="45"/>
  <c r="W71" i="45"/>
  <c r="V71" i="45" s="1"/>
  <c r="W53" i="45"/>
  <c r="V53" i="45" s="1"/>
  <c r="ET74" i="47"/>
  <c r="ES51" i="45"/>
  <c r="ES69" i="45"/>
  <c r="EQ69" i="22"/>
  <c r="DU47" i="22"/>
  <c r="DW32" i="22"/>
  <c r="DW56" i="22"/>
  <c r="DG72" i="22"/>
  <c r="DG35" i="22"/>
  <c r="DU56" i="22"/>
  <c r="EQ53" i="22"/>
  <c r="DI72" i="22"/>
  <c r="DU32" i="22"/>
  <c r="EQ39" i="32"/>
  <c r="DW33" i="22"/>
  <c r="DW27" i="22"/>
  <c r="DU27" i="22"/>
  <c r="DW77" i="22"/>
  <c r="DW35" i="32"/>
  <c r="DU35" i="32"/>
  <c r="DU40" i="32"/>
  <c r="DB48" i="45"/>
  <c r="O48" i="45" s="1"/>
  <c r="EE63" i="45"/>
  <c r="EF63" i="45" s="1"/>
  <c r="EC63" i="45"/>
  <c r="ED63" i="45" s="1"/>
  <c r="CY76" i="45"/>
  <c r="M76" i="45" s="1"/>
  <c r="DO47" i="45"/>
  <c r="DP47" i="45" s="1"/>
  <c r="DQ32" i="45"/>
  <c r="DR32" i="45" s="1"/>
  <c r="DQ63" i="45"/>
  <c r="DR63" i="45" s="1"/>
  <c r="EC56" i="45"/>
  <c r="ED56" i="45" s="1"/>
  <c r="N65" i="45"/>
  <c r="BJ18" i="47"/>
  <c r="BW17" i="47"/>
  <c r="BJ39" i="19"/>
  <c r="BW38" i="19"/>
  <c r="N76" i="45"/>
  <c r="CY66" i="45"/>
  <c r="M66" i="45" s="1"/>
  <c r="N74" i="45"/>
  <c r="DQ44" i="45"/>
  <c r="DR44" i="45" s="1"/>
  <c r="EE32" i="45"/>
  <c r="EF32" i="45" s="1"/>
  <c r="DO32" i="45"/>
  <c r="DP32" i="45" s="1"/>
  <c r="EE62" i="45"/>
  <c r="EF62" i="45" s="1"/>
  <c r="DO52" i="45"/>
  <c r="DP52" i="45" s="1"/>
  <c r="EE54" i="45"/>
  <c r="EF54" i="45" s="1"/>
  <c r="EE42" i="45"/>
  <c r="EF42" i="45" s="1"/>
  <c r="EE35" i="45"/>
  <c r="EF35" i="45" s="1"/>
  <c r="EE46" i="45"/>
  <c r="EF46" i="45" s="1"/>
  <c r="EC46" i="45"/>
  <c r="ED46" i="45" s="1"/>
  <c r="DQ64" i="45"/>
  <c r="DR64" i="45" s="1"/>
  <c r="DB71" i="45"/>
  <c r="O71" i="45" s="1"/>
  <c r="DO62" i="45"/>
  <c r="DP62" i="45" s="1"/>
  <c r="DO44" i="45"/>
  <c r="DP44" i="45" s="1"/>
  <c r="EO60" i="19"/>
  <c r="CR60" i="19"/>
  <c r="DZ60" i="19" s="1"/>
  <c r="EC60" i="19" s="1"/>
  <c r="ED60" i="19" s="1"/>
  <c r="ER60" i="19"/>
  <c r="EO59" i="19"/>
  <c r="CR59" i="19"/>
  <c r="EB59" i="19" s="1"/>
  <c r="EE59" i="19" s="1"/>
  <c r="EF59" i="19" s="1"/>
  <c r="ER59" i="19"/>
  <c r="EQ78" i="22"/>
  <c r="EQ72" i="22"/>
  <c r="EQ66" i="22"/>
  <c r="EQ54" i="22"/>
  <c r="EQ48" i="22"/>
  <c r="EQ42" i="22"/>
  <c r="EQ24" i="22"/>
  <c r="EQ65" i="22"/>
  <c r="EQ57" i="22"/>
  <c r="EQ27" i="22"/>
  <c r="EO29" i="47"/>
  <c r="CR29" i="47"/>
  <c r="DZ29" i="47" s="1"/>
  <c r="EC29" i="47" s="1"/>
  <c r="ED29" i="47" s="1"/>
  <c r="ER29" i="47"/>
  <c r="EO18" i="47"/>
  <c r="CR18" i="47"/>
  <c r="ER18" i="47"/>
  <c r="ES18" i="47" s="1"/>
  <c r="EO12" i="47"/>
  <c r="CR12" i="47"/>
  <c r="ER12" i="47"/>
  <c r="ET12" i="47" s="1"/>
  <c r="ET69" i="19"/>
  <c r="EE69" i="19"/>
  <c r="EF69" i="19" s="1"/>
  <c r="DQ69" i="19"/>
  <c r="DR69" i="19" s="1"/>
  <c r="EO70" i="19"/>
  <c r="CR70" i="19"/>
  <c r="ER70" i="19"/>
  <c r="EC69" i="19"/>
  <c r="ED69" i="19" s="1"/>
  <c r="N69" i="19"/>
  <c r="DB69" i="19"/>
  <c r="O69" i="19" s="1"/>
  <c r="EL69" i="19" s="1"/>
  <c r="DN69" i="19"/>
  <c r="DO69" i="19"/>
  <c r="DP69" i="19" s="1"/>
  <c r="EB69" i="19"/>
  <c r="DL69" i="19"/>
  <c r="CX69" i="19"/>
  <c r="CW69" i="19" s="1"/>
  <c r="DZ69" i="19"/>
  <c r="N58" i="45"/>
  <c r="EQ21" i="32"/>
  <c r="BJ39" i="45"/>
  <c r="BW38" i="45"/>
  <c r="DW44" i="22"/>
  <c r="ER36" i="41"/>
  <c r="ES36" i="41" s="1"/>
  <c r="ER35" i="41"/>
  <c r="ET35" i="41" s="1"/>
  <c r="ER34" i="41"/>
  <c r="ES34" i="41" s="1"/>
  <c r="ER33" i="41"/>
  <c r="ES33" i="41" s="1"/>
  <c r="ER32" i="41"/>
  <c r="ET32" i="41" s="1"/>
  <c r="EO36" i="41"/>
  <c r="CR36" i="41"/>
  <c r="DL36" i="41" s="1"/>
  <c r="EO35" i="41"/>
  <c r="CR35" i="41"/>
  <c r="DL35" i="41" s="1"/>
  <c r="EO34" i="41"/>
  <c r="CR34" i="41"/>
  <c r="EB34" i="41" s="1"/>
  <c r="DX34" i="41" s="1"/>
  <c r="EO32" i="41"/>
  <c r="CR32" i="41"/>
  <c r="ER30" i="41"/>
  <c r="ES30" i="41" s="1"/>
  <c r="ER29" i="41"/>
  <c r="ET29" i="41" s="1"/>
  <c r="EO30" i="41"/>
  <c r="CR30" i="41"/>
  <c r="DL30" i="41" s="1"/>
  <c r="EO29" i="41"/>
  <c r="CR29" i="41"/>
  <c r="EB29" i="41" s="1"/>
  <c r="ER24" i="41"/>
  <c r="ET24" i="41" s="1"/>
  <c r="ER23" i="41"/>
  <c r="ES23" i="41" s="1"/>
  <c r="ER18" i="41"/>
  <c r="ET18" i="41" s="1"/>
  <c r="ER17" i="41"/>
  <c r="ET17" i="41" s="1"/>
  <c r="EO24" i="41"/>
  <c r="CR24" i="41"/>
  <c r="EO23" i="41"/>
  <c r="CR23" i="41"/>
  <c r="EO18" i="41"/>
  <c r="CR18" i="41"/>
  <c r="DL18" i="41" s="1"/>
  <c r="EO17" i="41"/>
  <c r="CR17" i="41"/>
  <c r="EQ44" i="22"/>
  <c r="BW19" i="32"/>
  <c r="BJ20" i="32"/>
  <c r="DW42" i="22"/>
  <c r="BW18" i="22"/>
  <c r="BJ19" i="22"/>
  <c r="DU42" i="22"/>
  <c r="DI42" i="22"/>
  <c r="DU66" i="22"/>
  <c r="EQ35" i="22"/>
  <c r="EQ50" i="22"/>
  <c r="DU50" i="22"/>
  <c r="DW50" i="22"/>
  <c r="DW35" i="22"/>
  <c r="DG66" i="22"/>
  <c r="DG50" i="22"/>
  <c r="DI50" i="22"/>
  <c r="CY69" i="45"/>
  <c r="M69" i="45" s="1"/>
  <c r="N51" i="45"/>
  <c r="L48" i="45"/>
  <c r="CY57" i="45"/>
  <c r="M57" i="45" s="1"/>
  <c r="L40" i="45"/>
  <c r="L51" i="45"/>
  <c r="DO64" i="45"/>
  <c r="DP64" i="45" s="1"/>
  <c r="EE75" i="45"/>
  <c r="EF75" i="45" s="1"/>
  <c r="DO46" i="45"/>
  <c r="DP46" i="45" s="1"/>
  <c r="N66" i="45"/>
  <c r="DQ56" i="45"/>
  <c r="DR56" i="45" s="1"/>
  <c r="DO42" i="45"/>
  <c r="DP42" i="45" s="1"/>
  <c r="EE44" i="45"/>
  <c r="EF44" i="45" s="1"/>
  <c r="DQ54" i="45"/>
  <c r="DR54" i="45" s="1"/>
  <c r="CY45" i="45"/>
  <c r="M45" i="45" s="1"/>
  <c r="DQ39" i="45"/>
  <c r="DR39" i="45" s="1"/>
  <c r="DQ60" i="45"/>
  <c r="DR60" i="45" s="1"/>
  <c r="DO56" i="45"/>
  <c r="DP56" i="45" s="1"/>
  <c r="DQ42" i="45"/>
  <c r="DR42" i="45" s="1"/>
  <c r="EC44" i="45"/>
  <c r="ED44" i="45" s="1"/>
  <c r="DO38" i="45"/>
  <c r="DP38" i="45" s="1"/>
  <c r="CY70" i="45"/>
  <c r="M70" i="45" s="1"/>
  <c r="N70" i="45"/>
  <c r="N45" i="45"/>
  <c r="DB57" i="45"/>
  <c r="O57" i="45" s="1"/>
  <c r="DB69" i="45"/>
  <c r="O69" i="45" s="1"/>
  <c r="L58" i="45"/>
  <c r="L41" i="45"/>
  <c r="L74" i="45"/>
  <c r="N34" i="45"/>
  <c r="L65" i="45"/>
  <c r="ER59" i="45"/>
  <c r="ET59" i="45" s="1"/>
  <c r="CW59" i="45"/>
  <c r="DQ59" i="45"/>
  <c r="DR59" i="45" s="1"/>
  <c r="DA59" i="45"/>
  <c r="DO59" i="45"/>
  <c r="DP59" i="45" s="1"/>
  <c r="EC59" i="45"/>
  <c r="ED59" i="45" s="1"/>
  <c r="EE59" i="45"/>
  <c r="EF59" i="45" s="1"/>
  <c r="ER72" i="45"/>
  <c r="ET72" i="45" s="1"/>
  <c r="DA72" i="45"/>
  <c r="CW72" i="45"/>
  <c r="DQ72" i="45"/>
  <c r="DR72" i="45" s="1"/>
  <c r="ER77" i="45"/>
  <c r="ET77" i="45" s="1"/>
  <c r="DO77" i="45"/>
  <c r="DP77" i="45" s="1"/>
  <c r="DA77" i="45"/>
  <c r="CW77" i="45"/>
  <c r="DQ77" i="45"/>
  <c r="DR77" i="45" s="1"/>
  <c r="ER50" i="45"/>
  <c r="ES50" i="45" s="1"/>
  <c r="DA50" i="45"/>
  <c r="CW50" i="45"/>
  <c r="ER36" i="45"/>
  <c r="ES36" i="45" s="1"/>
  <c r="DA36" i="45"/>
  <c r="CW36" i="45"/>
  <c r="EC36" i="45"/>
  <c r="ED36" i="45" s="1"/>
  <c r="ER53" i="45"/>
  <c r="ET53" i="45" s="1"/>
  <c r="DA53" i="45"/>
  <c r="CW53" i="45"/>
  <c r="EE53" i="45"/>
  <c r="EF53" i="45" s="1"/>
  <c r="EC53" i="45"/>
  <c r="ED53" i="45" s="1"/>
  <c r="EC35" i="45"/>
  <c r="ED35" i="45" s="1"/>
  <c r="EC77" i="45"/>
  <c r="ED77" i="45" s="1"/>
  <c r="EE77" i="45"/>
  <c r="EF77" i="45" s="1"/>
  <c r="ER47" i="45"/>
  <c r="ES47" i="45" s="1"/>
  <c r="DA47" i="45"/>
  <c r="CW47" i="45"/>
  <c r="EC47" i="45"/>
  <c r="ED47" i="45" s="1"/>
  <c r="EE47" i="45"/>
  <c r="EF47" i="45" s="1"/>
  <c r="L71" i="45"/>
  <c r="CY71" i="45"/>
  <c r="M71" i="45" s="1"/>
  <c r="EE39" i="45"/>
  <c r="EF39" i="45" s="1"/>
  <c r="EE50" i="45"/>
  <c r="EF50" i="45" s="1"/>
  <c r="DB41" i="45"/>
  <c r="O41" i="45" s="1"/>
  <c r="EE72" i="45"/>
  <c r="EF72" i="45" s="1"/>
  <c r="ER54" i="45"/>
  <c r="ES54" i="45" s="1"/>
  <c r="CW54" i="45"/>
  <c r="DA54" i="45"/>
  <c r="ER56" i="45"/>
  <c r="ES56" i="45" s="1"/>
  <c r="DA56" i="45"/>
  <c r="CW56" i="45"/>
  <c r="DB40" i="45"/>
  <c r="O40" i="45" s="1"/>
  <c r="N40" i="45"/>
  <c r="DO72" i="45"/>
  <c r="DP72" i="45" s="1"/>
  <c r="ER39" i="45"/>
  <c r="ES39" i="45" s="1"/>
  <c r="CW39" i="45"/>
  <c r="DA39" i="45"/>
  <c r="ER35" i="45"/>
  <c r="ET35" i="45" s="1"/>
  <c r="CW35" i="45"/>
  <c r="DQ35" i="45"/>
  <c r="DR35" i="45" s="1"/>
  <c r="DA35" i="45"/>
  <c r="DO35" i="45"/>
  <c r="DP35" i="45" s="1"/>
  <c r="DQ53" i="45"/>
  <c r="DR53" i="45" s="1"/>
  <c r="ER60" i="45"/>
  <c r="ET60" i="45" s="1"/>
  <c r="DA60" i="45"/>
  <c r="CW60" i="45"/>
  <c r="ER33" i="45"/>
  <c r="ES33" i="45" s="1"/>
  <c r="DA33" i="45"/>
  <c r="CW33" i="45"/>
  <c r="DQ33" i="45"/>
  <c r="DR33" i="45" s="1"/>
  <c r="EC50" i="45"/>
  <c r="ED50" i="45" s="1"/>
  <c r="ER52" i="45"/>
  <c r="ES52" i="45" s="1"/>
  <c r="DA52" i="45"/>
  <c r="EE52" i="45"/>
  <c r="EF52" i="45" s="1"/>
  <c r="CW52" i="45"/>
  <c r="EC52" i="45"/>
  <c r="ED52" i="45" s="1"/>
  <c r="ER62" i="45"/>
  <c r="ET62" i="45" s="1"/>
  <c r="CW62" i="45"/>
  <c r="DA62" i="45"/>
  <c r="ER64" i="45"/>
  <c r="ES64" i="45" s="1"/>
  <c r="CW64" i="45"/>
  <c r="DA64" i="45"/>
  <c r="EE36" i="45"/>
  <c r="EF36" i="45" s="1"/>
  <c r="DO60" i="45"/>
  <c r="DP60" i="45" s="1"/>
  <c r="ER46" i="45"/>
  <c r="ES46" i="45" s="1"/>
  <c r="CW46" i="45"/>
  <c r="DA46" i="45"/>
  <c r="DQ52" i="45"/>
  <c r="DR52" i="45" s="1"/>
  <c r="DQ50" i="45"/>
  <c r="DR50" i="45" s="1"/>
  <c r="DQ36" i="45"/>
  <c r="DR36" i="45" s="1"/>
  <c r="ER32" i="45"/>
  <c r="ET32" i="45" s="1"/>
  <c r="CW32" i="45"/>
  <c r="DA32" i="45"/>
  <c r="ER75" i="45"/>
  <c r="ET75" i="45" s="1"/>
  <c r="CW75" i="45"/>
  <c r="DA75" i="45"/>
  <c r="DO75" i="45"/>
  <c r="DP75" i="45" s="1"/>
  <c r="DQ75" i="45"/>
  <c r="DR75" i="45" s="1"/>
  <c r="ER29" i="45"/>
  <c r="ET29" i="45" s="1"/>
  <c r="EC60" i="45"/>
  <c r="ED60" i="45" s="1"/>
  <c r="ER42" i="45"/>
  <c r="ET42" i="45" s="1"/>
  <c r="CW42" i="45"/>
  <c r="DA42" i="45"/>
  <c r="DO54" i="45"/>
  <c r="DP54" i="45" s="1"/>
  <c r="ER63" i="45"/>
  <c r="ET63" i="45" s="1"/>
  <c r="CW63" i="45"/>
  <c r="DA63" i="45"/>
  <c r="ER38" i="45"/>
  <c r="ET38" i="45" s="1"/>
  <c r="CW38" i="45"/>
  <c r="DA38" i="45"/>
  <c r="ER12" i="45"/>
  <c r="ES12" i="45" s="1"/>
  <c r="ER44" i="45"/>
  <c r="ET44" i="45" s="1"/>
  <c r="CW44" i="45"/>
  <c r="DA44" i="45"/>
  <c r="L34" i="45"/>
  <c r="CY34" i="45"/>
  <c r="M34" i="45" s="1"/>
  <c r="EE60" i="45"/>
  <c r="EF60" i="45" s="1"/>
  <c r="EE56" i="45"/>
  <c r="EF56" i="45" s="1"/>
  <c r="DO36" i="45"/>
  <c r="DP36" i="45" s="1"/>
  <c r="EE33" i="45"/>
  <c r="EF33" i="45" s="1"/>
  <c r="DG44" i="22"/>
  <c r="DW39" i="22"/>
  <c r="EQ39" i="22"/>
  <c r="DI39" i="22"/>
  <c r="DG65" i="22"/>
  <c r="DU78" i="22"/>
  <c r="DI47" i="22"/>
  <c r="DU28" i="32"/>
  <c r="DI69" i="22"/>
  <c r="DG78" i="22"/>
  <c r="DI78" i="22"/>
  <c r="DG71" i="22"/>
  <c r="DI71" i="22"/>
  <c r="DU65" i="22"/>
  <c r="DI70" i="22"/>
  <c r="DW10" i="32"/>
  <c r="DU36" i="22"/>
  <c r="DW65" i="22"/>
  <c r="EQ59" i="22"/>
  <c r="DI59" i="22"/>
  <c r="DW41" i="22"/>
  <c r="DI65" i="22"/>
  <c r="DI48" i="22"/>
  <c r="DW71" i="22"/>
  <c r="EQ34" i="22"/>
  <c r="DG15" i="32"/>
  <c r="DG32" i="22"/>
  <c r="DG28" i="32"/>
  <c r="DI76" i="22"/>
  <c r="DU76" i="22"/>
  <c r="DG76" i="22"/>
  <c r="DI33" i="32"/>
  <c r="DU34" i="22"/>
  <c r="DU53" i="22"/>
  <c r="DI34" i="22"/>
  <c r="DG20" i="32"/>
  <c r="DU71" i="22"/>
  <c r="EQ76" i="22"/>
  <c r="DW48" i="22"/>
  <c r="DU69" i="22"/>
  <c r="DI53" i="22"/>
  <c r="DU48" i="22"/>
  <c r="EQ71" i="22"/>
  <c r="EQ70" i="22"/>
  <c r="DW69" i="22"/>
  <c r="DG10" i="32"/>
  <c r="DW33" i="32"/>
  <c r="ET56" i="47"/>
  <c r="DW59" i="22"/>
  <c r="DW70" i="22"/>
  <c r="EQ32" i="22"/>
  <c r="DU70" i="22"/>
  <c r="DU20" i="32"/>
  <c r="DW15" i="32"/>
  <c r="DI12" i="32"/>
  <c r="DW12" i="32"/>
  <c r="DW20" i="32"/>
  <c r="DG12" i="32"/>
  <c r="EQ33" i="32"/>
  <c r="O61" i="47"/>
  <c r="EQ56" i="22"/>
  <c r="EQ68" i="22"/>
  <c r="DI57" i="22"/>
  <c r="DG57" i="22"/>
  <c r="DG64" i="22"/>
  <c r="DG41" i="22"/>
  <c r="DI77" i="22"/>
  <c r="EQ62" i="22"/>
  <c r="DI62" i="22"/>
  <c r="DG62" i="22"/>
  <c r="DI56" i="22"/>
  <c r="DI41" i="22"/>
  <c r="DI64" i="22"/>
  <c r="DW60" i="22"/>
  <c r="DW62" i="22"/>
  <c r="DU68" i="22"/>
  <c r="DU62" i="22"/>
  <c r="DG60" i="22"/>
  <c r="DW68" i="22"/>
  <c r="DI18" i="22"/>
  <c r="EQ41" i="22"/>
  <c r="DI36" i="22"/>
  <c r="E213" i="31"/>
  <c r="G213" i="31" s="1"/>
  <c r="E226" i="31"/>
  <c r="G226" i="31" s="1"/>
  <c r="E220" i="31"/>
  <c r="G220" i="31" s="1"/>
  <c r="DG23" i="32"/>
  <c r="DW45" i="22"/>
  <c r="EQ45" i="22"/>
  <c r="DI24" i="22"/>
  <c r="DU72" i="22"/>
  <c r="DI74" i="22"/>
  <c r="DU45" i="22"/>
  <c r="DI45" i="22"/>
  <c r="DI46" i="22"/>
  <c r="DW23" i="32"/>
  <c r="DG24" i="22"/>
  <c r="DU24" i="22"/>
  <c r="DW72" i="22"/>
  <c r="DU23" i="32"/>
  <c r="DI23" i="32"/>
  <c r="ET38" i="41"/>
  <c r="DG54" i="22"/>
  <c r="DW36" i="32"/>
  <c r="DG75" i="22"/>
  <c r="DG30" i="22"/>
  <c r="EQ64" i="22"/>
  <c r="DI27" i="22"/>
  <c r="EQ52" i="22"/>
  <c r="DG27" i="22"/>
  <c r="DU57" i="22"/>
  <c r="DI52" i="22"/>
  <c r="DI75" i="22"/>
  <c r="DG38" i="22"/>
  <c r="DG21" i="32"/>
  <c r="DU54" i="22"/>
  <c r="DU52" i="22"/>
  <c r="DI51" i="22"/>
  <c r="DG63" i="22"/>
  <c r="DW64" i="22"/>
  <c r="DG33" i="22"/>
  <c r="DU46" i="22"/>
  <c r="DU64" i="22"/>
  <c r="DW21" i="32"/>
  <c r="EQ77" i="22"/>
  <c r="DW18" i="22"/>
  <c r="DW74" i="22"/>
  <c r="DU18" i="22"/>
  <c r="DI68" i="22"/>
  <c r="EQ74" i="22"/>
  <c r="DW40" i="22"/>
  <c r="DW46" i="22"/>
  <c r="DU74" i="22"/>
  <c r="EQ47" i="22"/>
  <c r="DU63" i="22"/>
  <c r="EQ46" i="22"/>
  <c r="ES68" i="47"/>
  <c r="EQ33" i="22"/>
  <c r="DW38" i="22"/>
  <c r="EQ38" i="22"/>
  <c r="DU38" i="22"/>
  <c r="DU30" i="22"/>
  <c r="EQ51" i="22"/>
  <c r="DG51" i="22"/>
  <c r="DI36" i="32"/>
  <c r="DW30" i="22"/>
  <c r="DI63" i="22"/>
  <c r="EQ40" i="22"/>
  <c r="EQ63" i="22"/>
  <c r="DI38" i="22"/>
  <c r="EQ36" i="32"/>
  <c r="DU51" i="22"/>
  <c r="DU75" i="22"/>
  <c r="DI40" i="22"/>
  <c r="EQ75" i="22"/>
  <c r="DW39" i="32"/>
  <c r="ES52" i="47"/>
  <c r="EO39" i="19"/>
  <c r="CR39" i="19"/>
  <c r="DZ39" i="19" s="1"/>
  <c r="DG18" i="32"/>
  <c r="DI39" i="32"/>
  <c r="DI11" i="32"/>
  <c r="DG39" i="32"/>
  <c r="DU32" i="32"/>
  <c r="DW32" i="32"/>
  <c r="DG29" i="32"/>
  <c r="EQ34" i="32"/>
  <c r="DU38" i="32"/>
  <c r="DW34" i="32"/>
  <c r="DW11" i="32"/>
  <c r="DG32" i="32"/>
  <c r="DG34" i="32"/>
  <c r="DU34" i="32"/>
  <c r="DW24" i="32"/>
  <c r="DI34" i="32"/>
  <c r="DW29" i="32"/>
  <c r="DU29" i="32"/>
  <c r="DI35" i="32"/>
  <c r="EQ35" i="32"/>
  <c r="DG27" i="32"/>
  <c r="DU30" i="32"/>
  <c r="DU18" i="32"/>
  <c r="DW18" i="32"/>
  <c r="DI27" i="32"/>
  <c r="DG35" i="32"/>
  <c r="DI22" i="32"/>
  <c r="DU22" i="32"/>
  <c r="DG40" i="32"/>
  <c r="DI38" i="32"/>
  <c r="DU27" i="32"/>
  <c r="EQ40" i="32"/>
  <c r="EQ38" i="32"/>
  <c r="DW27" i="32"/>
  <c r="DI24" i="32"/>
  <c r="DG24" i="32"/>
  <c r="DW22" i="32"/>
  <c r="DI30" i="32"/>
  <c r="DG30" i="32"/>
  <c r="M61" i="47"/>
  <c r="ES47" i="41"/>
  <c r="ET41" i="41"/>
  <c r="ES51" i="41"/>
  <c r="ET45" i="41"/>
  <c r="O49" i="41"/>
  <c r="O79" i="41"/>
  <c r="ES74" i="41"/>
  <c r="ET74" i="41"/>
  <c r="ES54" i="41"/>
  <c r="ET54" i="41"/>
  <c r="ET75" i="41"/>
  <c r="ES75" i="41"/>
  <c r="DL53" i="41"/>
  <c r="DO53" i="41" s="1"/>
  <c r="DP53" i="41" s="1"/>
  <c r="CX53" i="41"/>
  <c r="CW53" i="41" s="1"/>
  <c r="DZ53" i="41"/>
  <c r="EC53" i="41" s="1"/>
  <c r="ED53" i="41" s="1"/>
  <c r="DN53" i="41"/>
  <c r="DQ53" i="41" s="1"/>
  <c r="DR53" i="41" s="1"/>
  <c r="M73" i="47"/>
  <c r="Y68" i="47" s="1"/>
  <c r="ER53" i="41"/>
  <c r="ES53" i="41" s="1"/>
  <c r="CZ53" i="41"/>
  <c r="DA53" i="41" s="1"/>
  <c r="EB53" i="41"/>
  <c r="EE53" i="41" s="1"/>
  <c r="EF53" i="41" s="1"/>
  <c r="ET72" i="47"/>
  <c r="O73" i="47"/>
  <c r="O79" i="47" s="1"/>
  <c r="ES53" i="47"/>
  <c r="ES54" i="47"/>
  <c r="ES77" i="47"/>
  <c r="M67" i="47"/>
  <c r="Y62" i="47" s="1"/>
  <c r="ES71" i="47"/>
  <c r="ET66" i="47"/>
  <c r="ES44" i="41"/>
  <c r="ET46" i="41"/>
  <c r="ES42" i="41"/>
  <c r="ET76" i="47"/>
  <c r="ET63" i="47"/>
  <c r="O67" i="47"/>
  <c r="ET35" i="47"/>
  <c r="ET60" i="47"/>
  <c r="ES39" i="41"/>
  <c r="J112" i="31"/>
  <c r="L112" i="31" s="1"/>
  <c r="L111" i="31"/>
  <c r="BJ18" i="41"/>
  <c r="BW17" i="41"/>
  <c r="DA58" i="22"/>
  <c r="DB58" i="22" s="1"/>
  <c r="O58" i="22" s="1"/>
  <c r="CZ58" i="22"/>
  <c r="EB58" i="22"/>
  <c r="DN58" i="22"/>
  <c r="L58" i="22"/>
  <c r="CY58" i="22"/>
  <c r="M58" i="22" s="1"/>
  <c r="DZ58" i="22"/>
  <c r="DL58" i="22"/>
  <c r="ET58" i="22"/>
  <c r="ES58" i="22"/>
  <c r="EE58" i="22"/>
  <c r="EF58" i="22" s="1"/>
  <c r="DQ58" i="22"/>
  <c r="DR58" i="22" s="1"/>
  <c r="CX58" i="22"/>
  <c r="EC58" i="22"/>
  <c r="ED58" i="22" s="1"/>
  <c r="DO58" i="22"/>
  <c r="DP58" i="22" s="1"/>
  <c r="DZ33" i="41" l="1"/>
  <c r="EC33" i="41" s="1"/>
  <c r="ED33" i="41" s="1"/>
  <c r="DA33" i="41"/>
  <c r="N33" i="41" s="1"/>
  <c r="DN33" i="41"/>
  <c r="DQ33" i="41" s="1"/>
  <c r="DR33" i="41" s="1"/>
  <c r="CX33" i="41"/>
  <c r="CT33" i="41" s="1"/>
  <c r="CW33" i="41" s="1"/>
  <c r="CY33" i="41" s="1"/>
  <c r="M33" i="41" s="1"/>
  <c r="DL33" i="41"/>
  <c r="DO33" i="41" s="1"/>
  <c r="DP33" i="41" s="1"/>
  <c r="EB33" i="41"/>
  <c r="EE33" i="41" s="1"/>
  <c r="EF33" i="41" s="1"/>
  <c r="CR12" i="41"/>
  <c r="EO12" i="41"/>
  <c r="EB38" i="19"/>
  <c r="CW38" i="19"/>
  <c r="L38" i="19" s="1"/>
  <c r="DO38" i="19"/>
  <c r="DP38" i="19" s="1"/>
  <c r="CZ38" i="19"/>
  <c r="CV38" i="19" s="1"/>
  <c r="DA38" i="19" s="1"/>
  <c r="N38" i="19" s="1"/>
  <c r="EE38" i="19"/>
  <c r="EF38" i="19" s="1"/>
  <c r="CT41" i="19"/>
  <c r="CW41" i="19" s="1"/>
  <c r="CT40" i="19"/>
  <c r="CW40" i="19" s="1"/>
  <c r="CV40" i="19"/>
  <c r="DA40" i="19" s="1"/>
  <c r="DA41" i="19"/>
  <c r="DB41" i="19" s="1"/>
  <c r="O41" i="19" s="1"/>
  <c r="DZ38" i="19"/>
  <c r="DN38" i="19"/>
  <c r="EC38" i="19"/>
  <c r="ED38" i="19" s="1"/>
  <c r="DQ38" i="19"/>
  <c r="DR38" i="19" s="1"/>
  <c r="DL38" i="19"/>
  <c r="Q12" i="41"/>
  <c r="Y56" i="47"/>
  <c r="EM27" i="32"/>
  <c r="EQ27" i="32"/>
  <c r="EP27" i="32"/>
  <c r="EM21" i="32"/>
  <c r="EQ18" i="32"/>
  <c r="EP18" i="32"/>
  <c r="EM29" i="32"/>
  <c r="EM18" i="32"/>
  <c r="EQ23" i="32"/>
  <c r="EP23" i="32"/>
  <c r="EM23" i="32"/>
  <c r="EQ29" i="32"/>
  <c r="DO24" i="45"/>
  <c r="DP24" i="45" s="1"/>
  <c r="EE24" i="45"/>
  <c r="EF24" i="45" s="1"/>
  <c r="DQ24" i="45"/>
  <c r="DR24" i="45" s="1"/>
  <c r="EP29" i="32"/>
  <c r="CR18" i="32"/>
  <c r="CZ18" i="32" s="1"/>
  <c r="CV18" i="32" s="1"/>
  <c r="DA18" i="32" s="1"/>
  <c r="EC24" i="45"/>
  <c r="ED24" i="45" s="1"/>
  <c r="CR23" i="32"/>
  <c r="CZ23" i="32" s="1"/>
  <c r="CV23" i="32" s="1"/>
  <c r="DA23" i="32" s="1"/>
  <c r="EP18" i="22"/>
  <c r="CR18" i="22"/>
  <c r="CX18" i="22" s="1"/>
  <c r="CT18" i="22" s="1"/>
  <c r="CW18" i="22" s="1"/>
  <c r="CY18" i="22" s="1"/>
  <c r="M18" i="22" s="1"/>
  <c r="EQ18" i="22"/>
  <c r="EM18" i="22"/>
  <c r="ER27" i="22"/>
  <c r="ET27" i="22" s="1"/>
  <c r="CV27" i="22"/>
  <c r="DA27" i="22" s="1"/>
  <c r="DB27" i="22" s="1"/>
  <c r="O27" i="22" s="1"/>
  <c r="EL27" i="22" s="1"/>
  <c r="EQ30" i="32"/>
  <c r="EM30" i="32"/>
  <c r="EP30" i="32"/>
  <c r="CR30" i="32"/>
  <c r="CX30" i="32" s="1"/>
  <c r="CT30" i="32" s="1"/>
  <c r="CW30" i="32" s="1"/>
  <c r="L30" i="32" s="1"/>
  <c r="EM28" i="32"/>
  <c r="CR24" i="32"/>
  <c r="CX24" i="32" s="1"/>
  <c r="CT24" i="32" s="1"/>
  <c r="CW24" i="32" s="1"/>
  <c r="EQ28" i="32"/>
  <c r="CR28" i="32"/>
  <c r="CX28" i="32" s="1"/>
  <c r="CT28" i="32" s="1"/>
  <c r="CW28" i="32" s="1"/>
  <c r="EP28" i="32"/>
  <c r="DI47" i="19"/>
  <c r="DN47" i="19" s="1"/>
  <c r="CR27" i="32"/>
  <c r="CZ27" i="32" s="1"/>
  <c r="CV27" i="32" s="1"/>
  <c r="DA27" i="32" s="1"/>
  <c r="N27" i="32" s="1"/>
  <c r="DJ47" i="19"/>
  <c r="DQ47" i="19" s="1"/>
  <c r="DR47" i="19" s="1"/>
  <c r="EO10" i="32"/>
  <c r="EP10" i="32"/>
  <c r="EM10" i="32"/>
  <c r="DV52" i="19"/>
  <c r="DG47" i="19"/>
  <c r="DL47" i="19" s="1"/>
  <c r="EM22" i="32"/>
  <c r="EQ22" i="32"/>
  <c r="CR22" i="32"/>
  <c r="CZ22" i="32" s="1"/>
  <c r="CV22" i="32" s="1"/>
  <c r="DA22" i="32" s="1"/>
  <c r="DB22" i="32" s="1"/>
  <c r="O22" i="32" s="1"/>
  <c r="EL22" i="32" s="1"/>
  <c r="EP22" i="32"/>
  <c r="DZ30" i="47"/>
  <c r="DO30" i="47"/>
  <c r="DP30" i="47" s="1"/>
  <c r="DN30" i="47"/>
  <c r="CX30" i="47"/>
  <c r="CT30" i="47" s="1"/>
  <c r="CW30" i="47" s="1"/>
  <c r="DQ30" i="47"/>
  <c r="DR30" i="47" s="1"/>
  <c r="EE30" i="47"/>
  <c r="EF30" i="47" s="1"/>
  <c r="CZ30" i="47"/>
  <c r="CV30" i="47" s="1"/>
  <c r="DA30" i="47" s="1"/>
  <c r="EC30" i="47"/>
  <c r="ED30" i="47" s="1"/>
  <c r="EB30" i="47"/>
  <c r="DN24" i="45"/>
  <c r="DZ24" i="45"/>
  <c r="DL24" i="45"/>
  <c r="CX24" i="45"/>
  <c r="CT24" i="45" s="1"/>
  <c r="CW24" i="45" s="1"/>
  <c r="CZ24" i="45"/>
  <c r="CV24" i="45" s="1"/>
  <c r="DA24" i="45" s="1"/>
  <c r="DW52" i="19"/>
  <c r="DX52" i="19"/>
  <c r="DJ48" i="19"/>
  <c r="DI48" i="19"/>
  <c r="DU48" i="19"/>
  <c r="DX48" i="19"/>
  <c r="DW48" i="19"/>
  <c r="W23" i="32"/>
  <c r="V23" i="32" s="1"/>
  <c r="C23" i="32" s="1"/>
  <c r="W17" i="32"/>
  <c r="V17" i="32" s="1"/>
  <c r="C17" i="32" s="1"/>
  <c r="DG48" i="19"/>
  <c r="W29" i="45"/>
  <c r="V29" i="45" s="1"/>
  <c r="C29" i="45" s="1"/>
  <c r="EP11" i="32"/>
  <c r="EO11" i="32"/>
  <c r="EM11" i="32"/>
  <c r="W23" i="41"/>
  <c r="V23" i="41" s="1"/>
  <c r="C23" i="41" s="1"/>
  <c r="DG52" i="19"/>
  <c r="DJ52" i="19"/>
  <c r="DI52" i="19"/>
  <c r="DQ30" i="45"/>
  <c r="DR30" i="45" s="1"/>
  <c r="DO30" i="45"/>
  <c r="DP30" i="45" s="1"/>
  <c r="N30" i="45"/>
  <c r="EB30" i="45"/>
  <c r="EC30" i="45"/>
  <c r="ED30" i="45" s="1"/>
  <c r="DQ29" i="45"/>
  <c r="DR29" i="45" s="1"/>
  <c r="EE29" i="45"/>
  <c r="EF29" i="45" s="1"/>
  <c r="DL29" i="45"/>
  <c r="DN29" i="45"/>
  <c r="DZ29" i="45"/>
  <c r="DO29" i="45"/>
  <c r="DP29" i="45" s="1"/>
  <c r="EC29" i="45"/>
  <c r="ED29" i="45" s="1"/>
  <c r="EB29" i="45"/>
  <c r="EE30" i="45"/>
  <c r="EF30" i="45" s="1"/>
  <c r="CZ29" i="45"/>
  <c r="CV29" i="45" s="1"/>
  <c r="DA29" i="45" s="1"/>
  <c r="DB29" i="45" s="1"/>
  <c r="O29" i="45" s="1"/>
  <c r="EL29" i="45" s="1"/>
  <c r="DZ30" i="45"/>
  <c r="CX30" i="45"/>
  <c r="CT30" i="45" s="1"/>
  <c r="CW30" i="45" s="1"/>
  <c r="L30" i="45" s="1"/>
  <c r="DL30" i="45"/>
  <c r="DN30" i="45"/>
  <c r="DX45" i="19"/>
  <c r="DW45" i="19"/>
  <c r="DV45" i="19"/>
  <c r="DU45" i="19"/>
  <c r="DJ45" i="19"/>
  <c r="DG45" i="19"/>
  <c r="DI45" i="19"/>
  <c r="DH45" i="19"/>
  <c r="DH46" i="19"/>
  <c r="DO46" i="19" s="1"/>
  <c r="DP46" i="19" s="1"/>
  <c r="DG46" i="19"/>
  <c r="DL46" i="19" s="1"/>
  <c r="DI46" i="19"/>
  <c r="DN46" i="19" s="1"/>
  <c r="DJ46" i="19"/>
  <c r="DQ46" i="19" s="1"/>
  <c r="DR46" i="19" s="1"/>
  <c r="DV46" i="19"/>
  <c r="EC46" i="19" s="1"/>
  <c r="ED46" i="19" s="1"/>
  <c r="DU46" i="19"/>
  <c r="DZ46" i="19" s="1"/>
  <c r="DX46" i="19"/>
  <c r="EE46" i="19" s="1"/>
  <c r="EF46" i="19" s="1"/>
  <c r="DW46" i="19"/>
  <c r="EB46" i="19" s="1"/>
  <c r="DG44" i="19"/>
  <c r="DL44" i="19" s="1"/>
  <c r="DH44" i="19"/>
  <c r="DO44" i="19" s="1"/>
  <c r="DP44" i="19" s="1"/>
  <c r="DJ44" i="19"/>
  <c r="DQ44" i="19" s="1"/>
  <c r="DR44" i="19" s="1"/>
  <c r="DI44" i="19"/>
  <c r="DN44" i="19" s="1"/>
  <c r="DX44" i="19"/>
  <c r="EE44" i="19" s="1"/>
  <c r="EF44" i="19" s="1"/>
  <c r="DU44" i="19"/>
  <c r="DZ44" i="19" s="1"/>
  <c r="DW44" i="19"/>
  <c r="EB44" i="19" s="1"/>
  <c r="DV44" i="19"/>
  <c r="EC44" i="19" s="1"/>
  <c r="ED44" i="19" s="1"/>
  <c r="CR29" i="32"/>
  <c r="DO29" i="32" s="1"/>
  <c r="DP29" i="32" s="1"/>
  <c r="EP21" i="32"/>
  <c r="CR21" i="32"/>
  <c r="CZ21" i="32" s="1"/>
  <c r="CV21" i="32" s="1"/>
  <c r="DA21" i="32" s="1"/>
  <c r="DB21" i="32" s="1"/>
  <c r="O21" i="32" s="1"/>
  <c r="EJ21" i="32" s="1"/>
  <c r="EQ15" i="32"/>
  <c r="EQ20" i="32"/>
  <c r="CR20" i="32"/>
  <c r="DN20" i="32" s="1"/>
  <c r="DJ20" i="32" s="1"/>
  <c r="DQ20" i="32" s="1"/>
  <c r="DR20" i="32" s="1"/>
  <c r="EP20" i="32"/>
  <c r="EM20" i="32"/>
  <c r="W11" i="47"/>
  <c r="V11" i="47" s="1"/>
  <c r="DL20" i="22"/>
  <c r="DH20" i="22" s="1"/>
  <c r="DO20" i="22" s="1"/>
  <c r="DP20" i="22" s="1"/>
  <c r="EB20" i="22"/>
  <c r="DX20" i="22" s="1"/>
  <c r="EE20" i="22" s="1"/>
  <c r="EF20" i="22" s="1"/>
  <c r="DN20" i="22"/>
  <c r="DJ20" i="22" s="1"/>
  <c r="DQ20" i="22" s="1"/>
  <c r="DR20" i="22" s="1"/>
  <c r="CZ20" i="22"/>
  <c r="CV20" i="22" s="1"/>
  <c r="DA20" i="22" s="1"/>
  <c r="N20" i="22" s="1"/>
  <c r="DZ20" i="22"/>
  <c r="DV20" i="22" s="1"/>
  <c r="EC20" i="22" s="1"/>
  <c r="ED20" i="22" s="1"/>
  <c r="EP32" i="22"/>
  <c r="EM32" i="22"/>
  <c r="EP33" i="22"/>
  <c r="CR32" i="22"/>
  <c r="EB32" i="22" s="1"/>
  <c r="DX32" i="22" s="1"/>
  <c r="EE32" i="22" s="1"/>
  <c r="EF32" i="22" s="1"/>
  <c r="ET20" i="22"/>
  <c r="ER33" i="22"/>
  <c r="ET33" i="22" s="1"/>
  <c r="CV33" i="22"/>
  <c r="DA33" i="22" s="1"/>
  <c r="N33" i="22" s="1"/>
  <c r="EP32" i="32"/>
  <c r="EQ32" i="32"/>
  <c r="EM32" i="32"/>
  <c r="ER32" i="22"/>
  <c r="ET32" i="22" s="1"/>
  <c r="ER32" i="32"/>
  <c r="ET32" i="32" s="1"/>
  <c r="CV32" i="32"/>
  <c r="DA32" i="32" s="1"/>
  <c r="DB32" i="32" s="1"/>
  <c r="O32" i="32" s="1"/>
  <c r="EL32" i="32" s="1"/>
  <c r="ER20" i="32"/>
  <c r="ET20" i="32" s="1"/>
  <c r="ET34" i="47"/>
  <c r="DZ34" i="47"/>
  <c r="DV34" i="47" s="1"/>
  <c r="EC34" i="47" s="1"/>
  <c r="ED34" i="47" s="1"/>
  <c r="EB34" i="47"/>
  <c r="DX34" i="47" s="1"/>
  <c r="EE34" i="47" s="1"/>
  <c r="EF34" i="47" s="1"/>
  <c r="DQ34" i="47"/>
  <c r="DR34" i="47" s="1"/>
  <c r="CX34" i="47"/>
  <c r="CT34" i="47" s="1"/>
  <c r="CW34" i="47" s="1"/>
  <c r="CZ34" i="47"/>
  <c r="CV34" i="47" s="1"/>
  <c r="DA34" i="47" s="1"/>
  <c r="DL34" i="47"/>
  <c r="DH34" i="47" s="1"/>
  <c r="DO34" i="47" s="1"/>
  <c r="DP34" i="47" s="1"/>
  <c r="W35" i="47"/>
  <c r="V35" i="47" s="1"/>
  <c r="EE12" i="41"/>
  <c r="EF12" i="41" s="1"/>
  <c r="EO15" i="32"/>
  <c r="EM15" i="32"/>
  <c r="EP15" i="32"/>
  <c r="EM12" i="32"/>
  <c r="CR12" i="32"/>
  <c r="ER11" i="32"/>
  <c r="ET11" i="32" s="1"/>
  <c r="EO12" i="32"/>
  <c r="EP12" i="32"/>
  <c r="ER15" i="32"/>
  <c r="ES15" i="32" s="1"/>
  <c r="CV15" i="32"/>
  <c r="DA15" i="32" s="1"/>
  <c r="ER10" i="32"/>
  <c r="ES10" i="32" s="1"/>
  <c r="ET39" i="32"/>
  <c r="ET53" i="22"/>
  <c r="DZ36" i="32"/>
  <c r="DN40" i="32"/>
  <c r="EC40" i="32"/>
  <c r="ED40" i="32" s="1"/>
  <c r="ES18" i="32"/>
  <c r="EE36" i="32"/>
  <c r="EF36" i="32" s="1"/>
  <c r="EE40" i="32"/>
  <c r="EF40" i="32" s="1"/>
  <c r="CZ40" i="32"/>
  <c r="DL40" i="32"/>
  <c r="DZ40" i="32"/>
  <c r="EB40" i="32"/>
  <c r="DQ40" i="32"/>
  <c r="DR40" i="32" s="1"/>
  <c r="DO40" i="32"/>
  <c r="DP40" i="32" s="1"/>
  <c r="CX36" i="32"/>
  <c r="CW36" i="32" s="1"/>
  <c r="CY36" i="32" s="1"/>
  <c r="M36" i="32" s="1"/>
  <c r="EC36" i="32"/>
  <c r="ED36" i="32" s="1"/>
  <c r="DL36" i="32"/>
  <c r="DN36" i="32"/>
  <c r="DQ36" i="32"/>
  <c r="DR36" i="32" s="1"/>
  <c r="DO36" i="32"/>
  <c r="DP36" i="32" s="1"/>
  <c r="EB36" i="32"/>
  <c r="DQ35" i="32"/>
  <c r="DR35" i="32" s="1"/>
  <c r="DL35" i="32"/>
  <c r="DN35" i="32"/>
  <c r="EC35" i="32"/>
  <c r="ED35" i="32" s="1"/>
  <c r="DO35" i="32"/>
  <c r="DP35" i="32" s="1"/>
  <c r="DZ35" i="32"/>
  <c r="EE35" i="32"/>
  <c r="EF35" i="32" s="1"/>
  <c r="CZ35" i="32"/>
  <c r="EB35" i="32"/>
  <c r="DL70" i="22"/>
  <c r="DO63" i="22"/>
  <c r="DP63" i="22" s="1"/>
  <c r="DL36" i="22"/>
  <c r="EE64" i="22"/>
  <c r="EF64" i="22" s="1"/>
  <c r="EC72" i="22"/>
  <c r="ED72" i="22" s="1"/>
  <c r="DL59" i="22"/>
  <c r="DO24" i="22"/>
  <c r="DP24" i="22" s="1"/>
  <c r="DL45" i="22"/>
  <c r="DN66" i="22"/>
  <c r="W29" i="22"/>
  <c r="V29" i="22" s="1"/>
  <c r="C29" i="22" s="1"/>
  <c r="CZ44" i="19"/>
  <c r="CV44" i="19" s="1"/>
  <c r="DA44" i="19" s="1"/>
  <c r="CX44" i="19"/>
  <c r="CT44" i="19" s="1"/>
  <c r="CW44" i="19" s="1"/>
  <c r="CT47" i="19"/>
  <c r="CW47" i="19" s="1"/>
  <c r="CT46" i="19"/>
  <c r="CW46" i="19" s="1"/>
  <c r="ET77" i="19"/>
  <c r="ES78" i="19"/>
  <c r="L78" i="19"/>
  <c r="CY78" i="19"/>
  <c r="DB78" i="19"/>
  <c r="O78" i="19" s="1"/>
  <c r="EL78" i="19" s="1"/>
  <c r="N78" i="19"/>
  <c r="DB77" i="19"/>
  <c r="O77" i="19" s="1"/>
  <c r="EL77" i="19" s="1"/>
  <c r="N77" i="19"/>
  <c r="L77" i="19"/>
  <c r="CY77" i="19"/>
  <c r="M77" i="19" s="1"/>
  <c r="EK77" i="19" s="1"/>
  <c r="ES76" i="19"/>
  <c r="EE74" i="19"/>
  <c r="EF74" i="19" s="1"/>
  <c r="DZ75" i="19"/>
  <c r="CX76" i="19"/>
  <c r="CW76" i="19" s="1"/>
  <c r="CZ76" i="19"/>
  <c r="DA76" i="19" s="1"/>
  <c r="EC76" i="19"/>
  <c r="ED76" i="19" s="1"/>
  <c r="DZ76" i="19"/>
  <c r="DL76" i="19"/>
  <c r="EB76" i="19"/>
  <c r="EC75" i="19"/>
  <c r="ED75" i="19" s="1"/>
  <c r="DQ76" i="19"/>
  <c r="DR76" i="19" s="1"/>
  <c r="DO76" i="19"/>
  <c r="DP76" i="19" s="1"/>
  <c r="DN76" i="19"/>
  <c r="EE71" i="19"/>
  <c r="EF71" i="19" s="1"/>
  <c r="DQ74" i="19"/>
  <c r="DR74" i="19" s="1"/>
  <c r="DL74" i="19"/>
  <c r="EE75" i="19"/>
  <c r="EF75" i="19" s="1"/>
  <c r="EB75" i="19"/>
  <c r="CX75" i="19"/>
  <c r="CW75" i="19" s="1"/>
  <c r="CZ75" i="19"/>
  <c r="DA75" i="19" s="1"/>
  <c r="DO75" i="19"/>
  <c r="DP75" i="19" s="1"/>
  <c r="DQ75" i="19"/>
  <c r="DR75" i="19" s="1"/>
  <c r="ET75" i="19"/>
  <c r="ES75" i="19"/>
  <c r="DL75" i="19"/>
  <c r="EB74" i="19"/>
  <c r="ES74" i="19"/>
  <c r="ET74" i="19"/>
  <c r="CX74" i="19"/>
  <c r="CW74" i="19" s="1"/>
  <c r="EC74" i="19"/>
  <c r="ED74" i="19" s="1"/>
  <c r="CZ74" i="19"/>
  <c r="DA74" i="19" s="1"/>
  <c r="DN74" i="19"/>
  <c r="DO74" i="19"/>
  <c r="DP74" i="19" s="1"/>
  <c r="CX72" i="19"/>
  <c r="CW72" i="19" s="1"/>
  <c r="CZ72" i="19"/>
  <c r="DA72" i="19" s="1"/>
  <c r="DQ72" i="19"/>
  <c r="DR72" i="19" s="1"/>
  <c r="EC72" i="19"/>
  <c r="ED72" i="19" s="1"/>
  <c r="DO72" i="19"/>
  <c r="DP72" i="19" s="1"/>
  <c r="DZ71" i="19"/>
  <c r="ES72" i="19"/>
  <c r="ET72" i="19"/>
  <c r="DL71" i="19"/>
  <c r="DN71" i="19"/>
  <c r="DN72" i="19"/>
  <c r="EE72" i="19"/>
  <c r="EF72" i="19" s="1"/>
  <c r="EB72" i="19"/>
  <c r="DO71" i="19"/>
  <c r="DP71" i="19" s="1"/>
  <c r="DL72" i="19"/>
  <c r="DZ72" i="19"/>
  <c r="CZ71" i="19"/>
  <c r="DA71" i="19" s="1"/>
  <c r="CX71" i="19"/>
  <c r="CW71" i="19" s="1"/>
  <c r="DQ71" i="19"/>
  <c r="DR71" i="19" s="1"/>
  <c r="EB71" i="19"/>
  <c r="ES71" i="19"/>
  <c r="ET71" i="19"/>
  <c r="DQ64" i="19"/>
  <c r="DR64" i="19" s="1"/>
  <c r="EE68" i="19"/>
  <c r="EF68" i="19" s="1"/>
  <c r="DN64" i="19"/>
  <c r="DL68" i="19"/>
  <c r="CZ68" i="19"/>
  <c r="DA68" i="19" s="1"/>
  <c r="EC68" i="19"/>
  <c r="ED68" i="19" s="1"/>
  <c r="CX68" i="19"/>
  <c r="CW68" i="19" s="1"/>
  <c r="DN68" i="19"/>
  <c r="ES58" i="19"/>
  <c r="EB68" i="19"/>
  <c r="DO68" i="19"/>
  <c r="DP68" i="19" s="1"/>
  <c r="DQ68" i="19"/>
  <c r="DR68" i="19" s="1"/>
  <c r="ES68" i="19"/>
  <c r="ET68" i="19"/>
  <c r="EB66" i="19"/>
  <c r="CX66" i="19"/>
  <c r="CW66" i="19" s="1"/>
  <c r="CZ66" i="19"/>
  <c r="DA66" i="19" s="1"/>
  <c r="DO66" i="19"/>
  <c r="DP66" i="19" s="1"/>
  <c r="DQ66" i="19"/>
  <c r="DR66" i="19" s="1"/>
  <c r="ET54" i="19"/>
  <c r="EB64" i="19"/>
  <c r="EE64" i="19"/>
  <c r="EF64" i="19" s="1"/>
  <c r="EC64" i="19"/>
  <c r="ED64" i="19" s="1"/>
  <c r="DZ66" i="19"/>
  <c r="EC66" i="19"/>
  <c r="ED66" i="19" s="1"/>
  <c r="ET66" i="19"/>
  <c r="ES66" i="19"/>
  <c r="DL66" i="19"/>
  <c r="DN66" i="19"/>
  <c r="EE66" i="19"/>
  <c r="EF66" i="19" s="1"/>
  <c r="DL65" i="19"/>
  <c r="EE65" i="19"/>
  <c r="EF65" i="19" s="1"/>
  <c r="ES65" i="19"/>
  <c r="ET65" i="19"/>
  <c r="DQ63" i="19"/>
  <c r="DR63" i="19" s="1"/>
  <c r="EE63" i="19"/>
  <c r="EF63" i="19" s="1"/>
  <c r="DO65" i="19"/>
  <c r="DP65" i="19" s="1"/>
  <c r="DN65" i="19"/>
  <c r="DZ63" i="19"/>
  <c r="CX65" i="19"/>
  <c r="CW65" i="19" s="1"/>
  <c r="EB65" i="19"/>
  <c r="CZ65" i="19"/>
  <c r="DA65" i="19" s="1"/>
  <c r="DQ65" i="19"/>
  <c r="DR65" i="19" s="1"/>
  <c r="EC65" i="19"/>
  <c r="ED65" i="19" s="1"/>
  <c r="DZ64" i="19"/>
  <c r="CZ64" i="19"/>
  <c r="DA64" i="19" s="1"/>
  <c r="DO64" i="19"/>
  <c r="DP64" i="19" s="1"/>
  <c r="CX64" i="19"/>
  <c r="CW64" i="19" s="1"/>
  <c r="ET64" i="19"/>
  <c r="ES64" i="19"/>
  <c r="ES53" i="19"/>
  <c r="DN63" i="19"/>
  <c r="ET63" i="19"/>
  <c r="ES63" i="19"/>
  <c r="DL63" i="19"/>
  <c r="CX63" i="19"/>
  <c r="CW63" i="19" s="1"/>
  <c r="EB63" i="19"/>
  <c r="CZ63" i="19"/>
  <c r="DA63" i="19" s="1"/>
  <c r="EC63" i="19"/>
  <c r="ED63" i="19" s="1"/>
  <c r="DL62" i="19"/>
  <c r="EC62" i="19"/>
  <c r="ED62" i="19" s="1"/>
  <c r="CX62" i="19"/>
  <c r="CW62" i="19" s="1"/>
  <c r="CZ62" i="19"/>
  <c r="DA62" i="19" s="1"/>
  <c r="DQ62" i="19"/>
  <c r="DR62" i="19" s="1"/>
  <c r="EE62" i="19"/>
  <c r="EF62" i="19" s="1"/>
  <c r="DZ62" i="19"/>
  <c r="EB62" i="19"/>
  <c r="ET62" i="19"/>
  <c r="ES62" i="19"/>
  <c r="DN62" i="19"/>
  <c r="DN58" i="19"/>
  <c r="EB58" i="19"/>
  <c r="DN56" i="19"/>
  <c r="DZ56" i="19"/>
  <c r="CX58" i="19"/>
  <c r="CW58" i="19" s="1"/>
  <c r="DZ58" i="19"/>
  <c r="DO58" i="19"/>
  <c r="DP58" i="19" s="1"/>
  <c r="CZ58" i="19"/>
  <c r="DA58" i="19" s="1"/>
  <c r="DQ58" i="19"/>
  <c r="DR58" i="19" s="1"/>
  <c r="EC58" i="19"/>
  <c r="ED58" i="19" s="1"/>
  <c r="EE58" i="19"/>
  <c r="EF58" i="19" s="1"/>
  <c r="CX57" i="19"/>
  <c r="CW57" i="19" s="1"/>
  <c r="EC57" i="19"/>
  <c r="ED57" i="19" s="1"/>
  <c r="CZ57" i="19"/>
  <c r="DA57" i="19" s="1"/>
  <c r="DN57" i="19"/>
  <c r="DL57" i="19"/>
  <c r="EE57" i="19"/>
  <c r="EF57" i="19" s="1"/>
  <c r="ES57" i="19"/>
  <c r="ET57" i="19"/>
  <c r="DZ57" i="19"/>
  <c r="DQ57" i="19"/>
  <c r="DR57" i="19" s="1"/>
  <c r="EB57" i="19"/>
  <c r="EB56" i="19"/>
  <c r="CZ56" i="19"/>
  <c r="DA56" i="19" s="1"/>
  <c r="DO56" i="19"/>
  <c r="DP56" i="19" s="1"/>
  <c r="CX56" i="19"/>
  <c r="CW56" i="19" s="1"/>
  <c r="DL56" i="19"/>
  <c r="ES56" i="19"/>
  <c r="ET56" i="19"/>
  <c r="EE56" i="19"/>
  <c r="EF56" i="19" s="1"/>
  <c r="EC56" i="19"/>
  <c r="ED56" i="19" s="1"/>
  <c r="N54" i="19"/>
  <c r="DB54" i="19"/>
  <c r="O54" i="19" s="1"/>
  <c r="CY54" i="19"/>
  <c r="M54" i="19" s="1"/>
  <c r="L54" i="19"/>
  <c r="L53" i="19"/>
  <c r="CY53" i="19"/>
  <c r="M53" i="19" s="1"/>
  <c r="ES50" i="19"/>
  <c r="N53" i="19"/>
  <c r="DB53" i="19"/>
  <c r="O53" i="19" s="1"/>
  <c r="ES41" i="19"/>
  <c r="N51" i="19"/>
  <c r="DB51" i="19"/>
  <c r="O51" i="19" s="1"/>
  <c r="ES51" i="19"/>
  <c r="ET46" i="19"/>
  <c r="ET39" i="19"/>
  <c r="CY51" i="19"/>
  <c r="M51" i="19" s="1"/>
  <c r="L51" i="19"/>
  <c r="CY50" i="19"/>
  <c r="M50" i="19" s="1"/>
  <c r="L50" i="19"/>
  <c r="ET40" i="19"/>
  <c r="N50" i="19"/>
  <c r="DB50" i="19"/>
  <c r="O50" i="19" s="1"/>
  <c r="ET47" i="19"/>
  <c r="DB47" i="19"/>
  <c r="O47" i="19" s="1"/>
  <c r="N47" i="19"/>
  <c r="DB46" i="19"/>
  <c r="O46" i="19" s="1"/>
  <c r="N46" i="19"/>
  <c r="ET44" i="19"/>
  <c r="ES42" i="19"/>
  <c r="CY42" i="19"/>
  <c r="L42" i="19"/>
  <c r="ET38" i="19"/>
  <c r="DB42" i="19"/>
  <c r="O42" i="19" s="1"/>
  <c r="N42" i="19"/>
  <c r="DZ36" i="19"/>
  <c r="DL36" i="19"/>
  <c r="ET36" i="19"/>
  <c r="ES36" i="19"/>
  <c r="EB36" i="19"/>
  <c r="EE36" i="19"/>
  <c r="EF36" i="19" s="1"/>
  <c r="EC36" i="19"/>
  <c r="ED36" i="19" s="1"/>
  <c r="CX36" i="19"/>
  <c r="CW36" i="19" s="1"/>
  <c r="DO36" i="19"/>
  <c r="DP36" i="19" s="1"/>
  <c r="CZ36" i="19"/>
  <c r="DA36" i="19" s="1"/>
  <c r="DQ36" i="19"/>
  <c r="DR36" i="19" s="1"/>
  <c r="W17" i="45"/>
  <c r="W18" i="45" s="1"/>
  <c r="M79" i="47"/>
  <c r="Y74" i="47" s="1"/>
  <c r="DL12" i="45"/>
  <c r="EQ12" i="32"/>
  <c r="V10" i="19"/>
  <c r="W23" i="47"/>
  <c r="V23" i="47" s="1"/>
  <c r="C23" i="47" s="1"/>
  <c r="W36" i="32"/>
  <c r="V36" i="32" s="1"/>
  <c r="W29" i="47"/>
  <c r="V29" i="47" s="1"/>
  <c r="C29" i="47" s="1"/>
  <c r="W17" i="47"/>
  <c r="V17" i="47" s="1"/>
  <c r="C17" i="47" s="1"/>
  <c r="V11" i="32"/>
  <c r="C11" i="32" s="1"/>
  <c r="W54" i="22"/>
  <c r="V54" i="22" s="1"/>
  <c r="W66" i="32"/>
  <c r="V66" i="32" s="1"/>
  <c r="W11" i="22"/>
  <c r="V10" i="22"/>
  <c r="C10" i="22" s="1"/>
  <c r="W36" i="22"/>
  <c r="V36" i="22" s="1"/>
  <c r="V35" i="22"/>
  <c r="W66" i="22"/>
  <c r="V66" i="22" s="1"/>
  <c r="V65" i="22"/>
  <c r="W48" i="22"/>
  <c r="V48" i="22" s="1"/>
  <c r="V47" i="22"/>
  <c r="W42" i="22"/>
  <c r="V42" i="22" s="1"/>
  <c r="V41" i="22"/>
  <c r="W78" i="22"/>
  <c r="V78" i="22" s="1"/>
  <c r="V77" i="22"/>
  <c r="W78" i="32"/>
  <c r="V78" i="32" s="1"/>
  <c r="W60" i="32"/>
  <c r="V60" i="32" s="1"/>
  <c r="V59" i="32"/>
  <c r="W48" i="32"/>
  <c r="V48" i="32" s="1"/>
  <c r="V47" i="32"/>
  <c r="W60" i="41"/>
  <c r="V60" i="41" s="1"/>
  <c r="W30" i="32"/>
  <c r="V30" i="32" s="1"/>
  <c r="C30" i="32" s="1"/>
  <c r="W36" i="41"/>
  <c r="W54" i="47"/>
  <c r="V54" i="47" s="1"/>
  <c r="W11" i="41"/>
  <c r="V11" i="41" s="1"/>
  <c r="C11" i="41" s="1"/>
  <c r="W66" i="41"/>
  <c r="W48" i="41"/>
  <c r="V48" i="41" s="1"/>
  <c r="W18" i="41"/>
  <c r="V18" i="41" s="1"/>
  <c r="C18" i="41" s="1"/>
  <c r="W60" i="47"/>
  <c r="V60" i="47" s="1"/>
  <c r="W42" i="47"/>
  <c r="V42" i="47" s="1"/>
  <c r="W66" i="47"/>
  <c r="V66" i="47" s="1"/>
  <c r="W48" i="47"/>
  <c r="V48" i="47" s="1"/>
  <c r="W72" i="47"/>
  <c r="EJ24" i="47"/>
  <c r="C11" i="47"/>
  <c r="W11" i="45"/>
  <c r="V11" i="45" s="1"/>
  <c r="C10" i="45"/>
  <c r="W78" i="45"/>
  <c r="V78" i="45" s="1"/>
  <c r="W48" i="45"/>
  <c r="V48" i="45" s="1"/>
  <c r="W66" i="45"/>
  <c r="V66" i="45" s="1"/>
  <c r="W42" i="45"/>
  <c r="V42" i="45" s="1"/>
  <c r="W36" i="45"/>
  <c r="V36" i="45" s="1"/>
  <c r="W60" i="45"/>
  <c r="V60" i="45" s="1"/>
  <c r="W21" i="22"/>
  <c r="V21" i="22" s="1"/>
  <c r="W54" i="32"/>
  <c r="V54" i="32" s="1"/>
  <c r="W42" i="32"/>
  <c r="V42" i="32" s="1"/>
  <c r="W72" i="32"/>
  <c r="V72" i="32" s="1"/>
  <c r="W54" i="41"/>
  <c r="V54" i="41" s="1"/>
  <c r="W30" i="41"/>
  <c r="V30" i="41" s="1"/>
  <c r="C30" i="41" s="1"/>
  <c r="EE12" i="45"/>
  <c r="EF12" i="45" s="1"/>
  <c r="DQ12" i="45"/>
  <c r="DR12" i="45" s="1"/>
  <c r="EC12" i="45"/>
  <c r="ED12" i="45" s="1"/>
  <c r="DO12" i="45"/>
  <c r="DP12" i="45" s="1"/>
  <c r="DZ12" i="45"/>
  <c r="EB12" i="45"/>
  <c r="CZ12" i="45"/>
  <c r="DN12" i="45"/>
  <c r="CX12" i="45"/>
  <c r="W54" i="45"/>
  <c r="V54" i="45" s="1"/>
  <c r="W20" i="45"/>
  <c r="V20" i="45" s="1"/>
  <c r="C20" i="45" s="1"/>
  <c r="W72" i="45"/>
  <c r="V72" i="45" s="1"/>
  <c r="DQ69" i="22"/>
  <c r="DR69" i="22" s="1"/>
  <c r="DO53" i="22"/>
  <c r="DP53" i="22" s="1"/>
  <c r="DQ53" i="22"/>
  <c r="DR53" i="22" s="1"/>
  <c r="DN53" i="22"/>
  <c r="CX39" i="32"/>
  <c r="DZ69" i="22"/>
  <c r="ES60" i="22"/>
  <c r="CX60" i="22"/>
  <c r="CX69" i="22"/>
  <c r="DL53" i="22"/>
  <c r="CW53" i="22"/>
  <c r="CY53" i="22" s="1"/>
  <c r="M53" i="22" s="1"/>
  <c r="EC53" i="22"/>
  <c r="ED53" i="22" s="1"/>
  <c r="DL69" i="22"/>
  <c r="EC69" i="22"/>
  <c r="ED69" i="22" s="1"/>
  <c r="DZ39" i="32"/>
  <c r="DO39" i="32"/>
  <c r="DP39" i="32" s="1"/>
  <c r="EE39" i="32"/>
  <c r="EF39" i="32" s="1"/>
  <c r="ET24" i="32"/>
  <c r="DA69" i="22"/>
  <c r="DB69" i="22" s="1"/>
  <c r="O69" i="22" s="1"/>
  <c r="DQ39" i="32"/>
  <c r="DR39" i="32" s="1"/>
  <c r="CZ69" i="22"/>
  <c r="EB39" i="32"/>
  <c r="EE69" i="22"/>
  <c r="EF69" i="22" s="1"/>
  <c r="DO69" i="22"/>
  <c r="DP69" i="22" s="1"/>
  <c r="DN39" i="32"/>
  <c r="DN69" i="22"/>
  <c r="CW39" i="32"/>
  <c r="L39" i="32" s="1"/>
  <c r="DL39" i="32"/>
  <c r="EC39" i="32"/>
  <c r="ED39" i="32" s="1"/>
  <c r="EB69" i="22"/>
  <c r="CW60" i="22"/>
  <c r="L60" i="22" s="1"/>
  <c r="DQ60" i="22"/>
  <c r="DR60" i="22" s="1"/>
  <c r="ES69" i="22"/>
  <c r="CZ60" i="22"/>
  <c r="CX53" i="22"/>
  <c r="EE47" i="22"/>
  <c r="EF47" i="22" s="1"/>
  <c r="DL60" i="22"/>
  <c r="EE60" i="22"/>
  <c r="EF60" i="22" s="1"/>
  <c r="DO60" i="22"/>
  <c r="DP60" i="22" s="1"/>
  <c r="DZ53" i="22"/>
  <c r="DA53" i="22"/>
  <c r="N53" i="22" s="1"/>
  <c r="EE53" i="22"/>
  <c r="EF53" i="22" s="1"/>
  <c r="EB53" i="22"/>
  <c r="DN60" i="22"/>
  <c r="DZ60" i="22"/>
  <c r="EB60" i="22"/>
  <c r="EC60" i="22"/>
  <c r="ED60" i="22" s="1"/>
  <c r="DO15" i="32"/>
  <c r="DP15" i="32" s="1"/>
  <c r="EQ11" i="32"/>
  <c r="CX11" i="32"/>
  <c r="EB15" i="32"/>
  <c r="EC15" i="32"/>
  <c r="ED15" i="32" s="1"/>
  <c r="EE15" i="32"/>
  <c r="EF15" i="32" s="1"/>
  <c r="DQ15" i="32"/>
  <c r="DR15" i="32" s="1"/>
  <c r="CX15" i="32"/>
  <c r="DL15" i="32"/>
  <c r="DN15" i="32"/>
  <c r="DZ15" i="32"/>
  <c r="DZ10" i="32"/>
  <c r="EC10" i="32" s="1"/>
  <c r="ED10" i="32" s="1"/>
  <c r="EQ10" i="32"/>
  <c r="BJ19" i="47"/>
  <c r="BW18" i="47"/>
  <c r="BJ40" i="19"/>
  <c r="BJ41" i="19" s="1"/>
  <c r="BW39" i="19"/>
  <c r="EB60" i="19"/>
  <c r="EE60" i="19" s="1"/>
  <c r="EF60" i="19" s="1"/>
  <c r="CZ60" i="19"/>
  <c r="DA60" i="19" s="1"/>
  <c r="CX60" i="19"/>
  <c r="CW60" i="19" s="1"/>
  <c r="DN60" i="19"/>
  <c r="DQ60" i="19" s="1"/>
  <c r="DR60" i="19" s="1"/>
  <c r="DL60" i="19"/>
  <c r="DO60" i="19" s="1"/>
  <c r="DP60" i="19" s="1"/>
  <c r="ET60" i="19"/>
  <c r="ES60" i="19"/>
  <c r="CZ59" i="19"/>
  <c r="DA59" i="19" s="1"/>
  <c r="DZ59" i="19"/>
  <c r="EC59" i="19" s="1"/>
  <c r="ED59" i="19" s="1"/>
  <c r="DL59" i="19"/>
  <c r="DO59" i="19" s="1"/>
  <c r="DP59" i="19" s="1"/>
  <c r="CX59" i="19"/>
  <c r="CW59" i="19" s="1"/>
  <c r="ET59" i="19"/>
  <c r="ES59" i="19"/>
  <c r="DN59" i="19"/>
  <c r="DQ59" i="19" s="1"/>
  <c r="DR59" i="19" s="1"/>
  <c r="ES71" i="22"/>
  <c r="ET68" i="22"/>
  <c r="CZ74" i="22"/>
  <c r="CW74" i="22"/>
  <c r="CY74" i="22" s="1"/>
  <c r="M74" i="22" s="1"/>
  <c r="DZ74" i="22"/>
  <c r="DL74" i="22"/>
  <c r="EC74" i="22"/>
  <c r="ED74" i="22" s="1"/>
  <c r="DA74" i="22"/>
  <c r="DB74" i="22" s="1"/>
  <c r="O74" i="22" s="1"/>
  <c r="EB74" i="22"/>
  <c r="DO74" i="22"/>
  <c r="DP74" i="22" s="1"/>
  <c r="EE74" i="22"/>
  <c r="EF74" i="22" s="1"/>
  <c r="DQ74" i="22"/>
  <c r="DR74" i="22" s="1"/>
  <c r="DN74" i="22"/>
  <c r="ES78" i="22"/>
  <c r="DQ66" i="22"/>
  <c r="DR66" i="22" s="1"/>
  <c r="ET70" i="22"/>
  <c r="EE66" i="22"/>
  <c r="EF66" i="22" s="1"/>
  <c r="ES47" i="22"/>
  <c r="DA66" i="22"/>
  <c r="DB66" i="22" s="1"/>
  <c r="O66" i="22" s="1"/>
  <c r="EB66" i="22"/>
  <c r="CW66" i="22"/>
  <c r="CY66" i="22" s="1"/>
  <c r="M66" i="22" s="1"/>
  <c r="CX66" i="22"/>
  <c r="ES64" i="22"/>
  <c r="ES59" i="22"/>
  <c r="ET51" i="22"/>
  <c r="ET50" i="22"/>
  <c r="ET35" i="22"/>
  <c r="CZ66" i="22"/>
  <c r="ET42" i="22"/>
  <c r="EC66" i="22"/>
  <c r="ED66" i="22" s="1"/>
  <c r="DO66" i="22"/>
  <c r="DP66" i="22" s="1"/>
  <c r="DL66" i="22"/>
  <c r="DZ66" i="22"/>
  <c r="ET54" i="22"/>
  <c r="ES52" i="22"/>
  <c r="CX33" i="22"/>
  <c r="CT33" i="22" s="1"/>
  <c r="CW33" i="22" s="1"/>
  <c r="CY33" i="22" s="1"/>
  <c r="M33" i="22" s="1"/>
  <c r="EK33" i="22" s="1"/>
  <c r="EB33" i="22"/>
  <c r="DX33" i="22" s="1"/>
  <c r="EE33" i="22" s="1"/>
  <c r="EF33" i="22" s="1"/>
  <c r="DN33" i="22"/>
  <c r="DJ33" i="22" s="1"/>
  <c r="DQ33" i="22" s="1"/>
  <c r="DR33" i="22" s="1"/>
  <c r="DZ33" i="22"/>
  <c r="DV33" i="22" s="1"/>
  <c r="EC33" i="22" s="1"/>
  <c r="ED33" i="22" s="1"/>
  <c r="DL33" i="22"/>
  <c r="DH33" i="22" s="1"/>
  <c r="DO33" i="22" s="1"/>
  <c r="DP33" i="22" s="1"/>
  <c r="EB68" i="22"/>
  <c r="DZ68" i="22"/>
  <c r="DZ52" i="22"/>
  <c r="EC64" i="22"/>
  <c r="ED64" i="22" s="1"/>
  <c r="DN52" i="22"/>
  <c r="DN29" i="47"/>
  <c r="DQ29" i="47" s="1"/>
  <c r="DR29" i="47" s="1"/>
  <c r="EB29" i="47"/>
  <c r="EE29" i="47" s="1"/>
  <c r="EF29" i="47" s="1"/>
  <c r="CZ29" i="47"/>
  <c r="CX29" i="47"/>
  <c r="DL29" i="47"/>
  <c r="DO29" i="47" s="1"/>
  <c r="DP29" i="47" s="1"/>
  <c r="ES29" i="47"/>
  <c r="ET29" i="47"/>
  <c r="ET18" i="47"/>
  <c r="DZ18" i="47"/>
  <c r="EC18" i="47" s="1"/>
  <c r="ED18" i="47" s="1"/>
  <c r="CX18" i="47"/>
  <c r="CZ18" i="47"/>
  <c r="DL18" i="47"/>
  <c r="DO18" i="47" s="1"/>
  <c r="DP18" i="47" s="1"/>
  <c r="DN18" i="47"/>
  <c r="DQ18" i="47" s="1"/>
  <c r="DR18" i="47" s="1"/>
  <c r="EB18" i="47"/>
  <c r="EE18" i="47" s="1"/>
  <c r="EF18" i="47" s="1"/>
  <c r="ES12" i="47"/>
  <c r="DN12" i="47"/>
  <c r="DQ12" i="47" s="1"/>
  <c r="DR12" i="47" s="1"/>
  <c r="DL32" i="32"/>
  <c r="DH32" i="32" s="1"/>
  <c r="DO32" i="32" s="1"/>
  <c r="DP32" i="32" s="1"/>
  <c r="DL12" i="47"/>
  <c r="DO12" i="47" s="1"/>
  <c r="DP12" i="47" s="1"/>
  <c r="CX12" i="47"/>
  <c r="CZ12" i="47"/>
  <c r="DZ12" i="47"/>
  <c r="EC12" i="47" s="1"/>
  <c r="ED12" i="47" s="1"/>
  <c r="EB12" i="47"/>
  <c r="EE12" i="47" s="1"/>
  <c r="EF12" i="47" s="1"/>
  <c r="DN41" i="22"/>
  <c r="EB70" i="19"/>
  <c r="EE70" i="19" s="1"/>
  <c r="EF70" i="19" s="1"/>
  <c r="DN70" i="19"/>
  <c r="DQ70" i="19" s="1"/>
  <c r="DR70" i="19" s="1"/>
  <c r="ES70" i="19"/>
  <c r="ET70" i="19"/>
  <c r="CZ70" i="19"/>
  <c r="DA70" i="19" s="1"/>
  <c r="CX70" i="19"/>
  <c r="CW70" i="19" s="1"/>
  <c r="DL70" i="19"/>
  <c r="DO70" i="19" s="1"/>
  <c r="DP70" i="19" s="1"/>
  <c r="DZ70" i="19"/>
  <c r="EC70" i="19" s="1"/>
  <c r="ED70" i="19" s="1"/>
  <c r="CY69" i="19"/>
  <c r="M69" i="19" s="1"/>
  <c r="EK69" i="19" s="1"/>
  <c r="L69" i="19"/>
  <c r="BW39" i="45"/>
  <c r="BJ40" i="45"/>
  <c r="BJ41" i="45" s="1"/>
  <c r="DA33" i="32"/>
  <c r="DB33" i="32" s="1"/>
  <c r="O33" i="32" s="1"/>
  <c r="ET36" i="41"/>
  <c r="ES35" i="41"/>
  <c r="ET34" i="41"/>
  <c r="ES32" i="41"/>
  <c r="ET33" i="41"/>
  <c r="DO36" i="41"/>
  <c r="DP36" i="41" s="1"/>
  <c r="DN36" i="41"/>
  <c r="DQ36" i="41" s="1"/>
  <c r="DR36" i="41" s="1"/>
  <c r="CX36" i="41"/>
  <c r="CW36" i="41" s="1"/>
  <c r="CZ36" i="41"/>
  <c r="DA36" i="41" s="1"/>
  <c r="DZ36" i="41"/>
  <c r="EC36" i="41" s="1"/>
  <c r="ED36" i="41" s="1"/>
  <c r="EB36" i="41"/>
  <c r="EE36" i="41" s="1"/>
  <c r="EF36" i="41" s="1"/>
  <c r="DN35" i="41"/>
  <c r="DQ35" i="41" s="1"/>
  <c r="DR35" i="41" s="1"/>
  <c r="CZ35" i="41"/>
  <c r="DA35" i="41" s="1"/>
  <c r="DO35" i="41"/>
  <c r="DP35" i="41" s="1"/>
  <c r="CX35" i="41"/>
  <c r="CW35" i="41" s="1"/>
  <c r="EB35" i="41"/>
  <c r="EE35" i="41" s="1"/>
  <c r="EF35" i="41" s="1"/>
  <c r="DZ35" i="41"/>
  <c r="EC35" i="41" s="1"/>
  <c r="ED35" i="41" s="1"/>
  <c r="EE34" i="41"/>
  <c r="EF34" i="41" s="1"/>
  <c r="CX34" i="41"/>
  <c r="DZ34" i="41"/>
  <c r="DN34" i="41"/>
  <c r="CZ34" i="41"/>
  <c r="DL34" i="41"/>
  <c r="DN32" i="41"/>
  <c r="DQ32" i="41" s="1"/>
  <c r="DR32" i="41" s="1"/>
  <c r="CX32" i="41"/>
  <c r="CZ32" i="41"/>
  <c r="EB32" i="41"/>
  <c r="EE32" i="41" s="1"/>
  <c r="EF32" i="41" s="1"/>
  <c r="DZ32" i="41"/>
  <c r="EC32" i="41" s="1"/>
  <c r="ED32" i="41" s="1"/>
  <c r="DL32" i="41"/>
  <c r="DO32" i="41" s="1"/>
  <c r="DP32" i="41" s="1"/>
  <c r="ES29" i="41"/>
  <c r="ET30" i="41"/>
  <c r="DO50" i="22"/>
  <c r="DP50" i="22" s="1"/>
  <c r="DN30" i="41"/>
  <c r="DQ30" i="41" s="1"/>
  <c r="DR30" i="41" s="1"/>
  <c r="DZ50" i="22"/>
  <c r="DZ30" i="41"/>
  <c r="EC30" i="41" s="1"/>
  <c r="ED30" i="41" s="1"/>
  <c r="CX30" i="41"/>
  <c r="DO30" i="41"/>
  <c r="DP30" i="41" s="1"/>
  <c r="EB30" i="41"/>
  <c r="EE30" i="41" s="1"/>
  <c r="EF30" i="41" s="1"/>
  <c r="CZ30" i="41"/>
  <c r="DZ29" i="41"/>
  <c r="EC29" i="41" s="1"/>
  <c r="ED29" i="41" s="1"/>
  <c r="CZ29" i="41"/>
  <c r="CX29" i="41"/>
  <c r="DL29" i="41"/>
  <c r="DO29" i="41" s="1"/>
  <c r="DP29" i="41" s="1"/>
  <c r="DN29" i="41"/>
  <c r="DQ29" i="41" s="1"/>
  <c r="DR29" i="41" s="1"/>
  <c r="EE29" i="41"/>
  <c r="EF29" i="41" s="1"/>
  <c r="ET23" i="41"/>
  <c r="ES24" i="41"/>
  <c r="EC35" i="22"/>
  <c r="ED35" i="22" s="1"/>
  <c r="ES17" i="41"/>
  <c r="ES18" i="41"/>
  <c r="DZ24" i="41"/>
  <c r="EC24" i="41" s="1"/>
  <c r="ED24" i="41" s="1"/>
  <c r="EB24" i="41"/>
  <c r="EE24" i="41" s="1"/>
  <c r="EF24" i="41" s="1"/>
  <c r="DN24" i="41"/>
  <c r="DQ24" i="41" s="1"/>
  <c r="DR24" i="41" s="1"/>
  <c r="CX24" i="41"/>
  <c r="CZ24" i="41"/>
  <c r="DL24" i="41"/>
  <c r="DO24" i="41" s="1"/>
  <c r="DP24" i="41" s="1"/>
  <c r="CZ23" i="41"/>
  <c r="DZ23" i="41"/>
  <c r="EC23" i="41" s="1"/>
  <c r="ED23" i="41" s="1"/>
  <c r="CX23" i="41"/>
  <c r="DL23" i="41"/>
  <c r="DO23" i="41" s="1"/>
  <c r="DP23" i="41" s="1"/>
  <c r="EB23" i="41"/>
  <c r="EE23" i="41" s="1"/>
  <c r="EF23" i="41" s="1"/>
  <c r="DN23" i="41"/>
  <c r="DQ23" i="41" s="1"/>
  <c r="DR23" i="41" s="1"/>
  <c r="DN18" i="41"/>
  <c r="DQ18" i="41" s="1"/>
  <c r="DR18" i="41" s="1"/>
  <c r="DZ18" i="41"/>
  <c r="EC18" i="41" s="1"/>
  <c r="ED18" i="41" s="1"/>
  <c r="CX18" i="41"/>
  <c r="EB18" i="41"/>
  <c r="EE18" i="41" s="1"/>
  <c r="EF18" i="41" s="1"/>
  <c r="CZ18" i="41"/>
  <c r="DO18" i="41"/>
  <c r="DP18" i="41" s="1"/>
  <c r="DL17" i="41"/>
  <c r="DO17" i="41" s="1"/>
  <c r="DP17" i="41" s="1"/>
  <c r="EB17" i="41"/>
  <c r="EE17" i="41" s="1"/>
  <c r="EF17" i="41" s="1"/>
  <c r="DZ17" i="41"/>
  <c r="EC17" i="41" s="1"/>
  <c r="ED17" i="41" s="1"/>
  <c r="CX17" i="41"/>
  <c r="DN17" i="41"/>
  <c r="DQ17" i="41" s="1"/>
  <c r="DR17" i="41" s="1"/>
  <c r="CZ17" i="41"/>
  <c r="ET12" i="41"/>
  <c r="ES12" i="41"/>
  <c r="DQ12" i="41"/>
  <c r="DR12" i="41" s="1"/>
  <c r="DN12" i="41"/>
  <c r="DO12" i="41"/>
  <c r="DP12" i="41" s="1"/>
  <c r="DL12" i="41"/>
  <c r="CX12" i="41"/>
  <c r="CZ12" i="41"/>
  <c r="EC12" i="41"/>
  <c r="ED12" i="41" s="1"/>
  <c r="DZ12" i="41"/>
  <c r="CX44" i="22"/>
  <c r="EB12" i="41"/>
  <c r="EE44" i="22"/>
  <c r="EF44" i="22" s="1"/>
  <c r="ES44" i="22"/>
  <c r="DQ35" i="22"/>
  <c r="DR35" i="22" s="1"/>
  <c r="CZ35" i="22"/>
  <c r="ES38" i="45"/>
  <c r="BJ21" i="32"/>
  <c r="BW20" i="32"/>
  <c r="CL17" i="32" s="1"/>
  <c r="EB44" i="22"/>
  <c r="EB42" i="22"/>
  <c r="DL42" i="22"/>
  <c r="DO44" i="22"/>
  <c r="DP44" i="22" s="1"/>
  <c r="DZ44" i="22"/>
  <c r="EC44" i="22"/>
  <c r="ED44" i="22" s="1"/>
  <c r="CW44" i="22"/>
  <c r="L44" i="22" s="1"/>
  <c r="DN44" i="22"/>
  <c r="CZ44" i="22"/>
  <c r="DQ44" i="22"/>
  <c r="DR44" i="22" s="1"/>
  <c r="DL44" i="22"/>
  <c r="DZ35" i="22"/>
  <c r="CW35" i="22"/>
  <c r="L35" i="22" s="1"/>
  <c r="DA35" i="22"/>
  <c r="N35" i="22" s="1"/>
  <c r="DZ42" i="22"/>
  <c r="BW19" i="22"/>
  <c r="BJ20" i="22"/>
  <c r="EC42" i="22"/>
  <c r="ED42" i="22" s="1"/>
  <c r="DQ42" i="22"/>
  <c r="DR42" i="22" s="1"/>
  <c r="CW42" i="22"/>
  <c r="L42" i="22" s="1"/>
  <c r="DA42" i="22"/>
  <c r="DB42" i="22" s="1"/>
  <c r="O42" i="22" s="1"/>
  <c r="DN42" i="22"/>
  <c r="EE35" i="22"/>
  <c r="EF35" i="22" s="1"/>
  <c r="EE42" i="22"/>
  <c r="EF42" i="22" s="1"/>
  <c r="CZ42" i="22"/>
  <c r="DO42" i="22"/>
  <c r="DP42" i="22" s="1"/>
  <c r="DO35" i="22"/>
  <c r="DP35" i="22" s="1"/>
  <c r="EB50" i="22"/>
  <c r="EE50" i="22"/>
  <c r="EF50" i="22" s="1"/>
  <c r="DN35" i="22"/>
  <c r="CW50" i="22"/>
  <c r="L50" i="22" s="1"/>
  <c r="DL35" i="22"/>
  <c r="EB35" i="22"/>
  <c r="CX50" i="22"/>
  <c r="DQ50" i="22"/>
  <c r="DR50" i="22" s="1"/>
  <c r="DA50" i="22"/>
  <c r="N50" i="22" s="1"/>
  <c r="EC50" i="22"/>
  <c r="ED50" i="22" s="1"/>
  <c r="DN50" i="22"/>
  <c r="DL50" i="22"/>
  <c r="ES66" i="22"/>
  <c r="ES32" i="45"/>
  <c r="ET54" i="45"/>
  <c r="DZ57" i="22"/>
  <c r="ES42" i="45"/>
  <c r="ES35" i="45"/>
  <c r="ES29" i="45"/>
  <c r="ES63" i="45"/>
  <c r="DN68" i="22"/>
  <c r="ES62" i="45"/>
  <c r="ES72" i="45"/>
  <c r="ET47" i="45"/>
  <c r="ET12" i="45"/>
  <c r="ET36" i="45"/>
  <c r="ES53" i="45"/>
  <c r="ES44" i="45"/>
  <c r="ES60" i="45"/>
  <c r="ET56" i="45"/>
  <c r="ES77" i="45"/>
  <c r="ES59" i="45"/>
  <c r="ET64" i="45"/>
  <c r="ES75" i="45"/>
  <c r="L38" i="45"/>
  <c r="CY38" i="45"/>
  <c r="M38" i="45" s="1"/>
  <c r="ET33" i="45"/>
  <c r="ET52" i="45"/>
  <c r="ET39" i="45"/>
  <c r="DB38" i="45"/>
  <c r="O38" i="45" s="1"/>
  <c r="N38" i="45"/>
  <c r="DB63" i="45"/>
  <c r="O63" i="45" s="1"/>
  <c r="N63" i="45"/>
  <c r="N42" i="45"/>
  <c r="DB42" i="45"/>
  <c r="O42" i="45" s="1"/>
  <c r="CY29" i="45"/>
  <c r="M29" i="45" s="1"/>
  <c r="EK29" i="45" s="1"/>
  <c r="L29" i="45"/>
  <c r="L46" i="45"/>
  <c r="CY46" i="45"/>
  <c r="M46" i="45" s="1"/>
  <c r="N52" i="45"/>
  <c r="DB52" i="45"/>
  <c r="O52" i="45" s="1"/>
  <c r="N33" i="45"/>
  <c r="DB33" i="45"/>
  <c r="O33" i="45" s="1"/>
  <c r="CY39" i="45"/>
  <c r="M39" i="45" s="1"/>
  <c r="L39" i="45"/>
  <c r="CY53" i="45"/>
  <c r="M53" i="45" s="1"/>
  <c r="L53" i="45"/>
  <c r="CY36" i="45"/>
  <c r="M36" i="45" s="1"/>
  <c r="L36" i="45"/>
  <c r="N50" i="45"/>
  <c r="DB50" i="45"/>
  <c r="O50" i="45" s="1"/>
  <c r="DB77" i="45"/>
  <c r="O77" i="45" s="1"/>
  <c r="N77" i="45"/>
  <c r="CY72" i="45"/>
  <c r="M72" i="45" s="1"/>
  <c r="M73" i="45" s="1"/>
  <c r="Y68" i="45" s="1"/>
  <c r="L72" i="45"/>
  <c r="N59" i="45"/>
  <c r="DB59" i="45"/>
  <c r="O59" i="45" s="1"/>
  <c r="DB44" i="45"/>
  <c r="O44" i="45" s="1"/>
  <c r="N44" i="45"/>
  <c r="CY63" i="45"/>
  <c r="M63" i="45" s="1"/>
  <c r="L63" i="45"/>
  <c r="DB62" i="45"/>
  <c r="O62" i="45" s="1"/>
  <c r="N62" i="45"/>
  <c r="CY35" i="45"/>
  <c r="M35" i="45" s="1"/>
  <c r="L35" i="45"/>
  <c r="DB54" i="45"/>
  <c r="O54" i="45" s="1"/>
  <c r="N54" i="45"/>
  <c r="DB72" i="45"/>
  <c r="O72" i="45" s="1"/>
  <c r="O73" i="45" s="1"/>
  <c r="N72" i="45"/>
  <c r="L44" i="45"/>
  <c r="CY44" i="45"/>
  <c r="M44" i="45" s="1"/>
  <c r="DB75" i="45"/>
  <c r="O75" i="45" s="1"/>
  <c r="N75" i="45"/>
  <c r="L32" i="45"/>
  <c r="CY32" i="45"/>
  <c r="M32" i="45" s="1"/>
  <c r="N64" i="45"/>
  <c r="DB64" i="45"/>
  <c r="O64" i="45" s="1"/>
  <c r="L62" i="45"/>
  <c r="CY62" i="45"/>
  <c r="M62" i="45" s="1"/>
  <c r="CY52" i="45"/>
  <c r="M52" i="45" s="1"/>
  <c r="L52" i="45"/>
  <c r="CY60" i="45"/>
  <c r="M60" i="45" s="1"/>
  <c r="L60" i="45"/>
  <c r="L56" i="45"/>
  <c r="CY56" i="45"/>
  <c r="M56" i="45" s="1"/>
  <c r="L54" i="45"/>
  <c r="CY54" i="45"/>
  <c r="M54" i="45" s="1"/>
  <c r="L47" i="45"/>
  <c r="CY47" i="45"/>
  <c r="M47" i="45" s="1"/>
  <c r="CY59" i="45"/>
  <c r="M59" i="45" s="1"/>
  <c r="L59" i="45"/>
  <c r="CY42" i="45"/>
  <c r="M42" i="45" s="1"/>
  <c r="L42" i="45"/>
  <c r="N32" i="45"/>
  <c r="DB32" i="45"/>
  <c r="O32" i="45" s="1"/>
  <c r="DB53" i="45"/>
  <c r="O53" i="45" s="1"/>
  <c r="N53" i="45"/>
  <c r="N36" i="45"/>
  <c r="DB36" i="45"/>
  <c r="O36" i="45" s="1"/>
  <c r="ET50" i="45"/>
  <c r="ET46" i="45"/>
  <c r="CY75" i="45"/>
  <c r="M75" i="45" s="1"/>
  <c r="L75" i="45"/>
  <c r="N46" i="45"/>
  <c r="DB46" i="45"/>
  <c r="O46" i="45" s="1"/>
  <c r="CY64" i="45"/>
  <c r="M64" i="45" s="1"/>
  <c r="L64" i="45"/>
  <c r="L33" i="45"/>
  <c r="CY33" i="45"/>
  <c r="M33" i="45" s="1"/>
  <c r="DB60" i="45"/>
  <c r="O60" i="45" s="1"/>
  <c r="N60" i="45"/>
  <c r="DB35" i="45"/>
  <c r="O35" i="45" s="1"/>
  <c r="N35" i="45"/>
  <c r="DB39" i="45"/>
  <c r="O39" i="45" s="1"/>
  <c r="N39" i="45"/>
  <c r="N56" i="45"/>
  <c r="DB56" i="45"/>
  <c r="O56" i="45" s="1"/>
  <c r="DB47" i="45"/>
  <c r="O47" i="45" s="1"/>
  <c r="N47" i="45"/>
  <c r="L50" i="45"/>
  <c r="CY50" i="45"/>
  <c r="M50" i="45" s="1"/>
  <c r="L77" i="45"/>
  <c r="CY77" i="45"/>
  <c r="M77" i="45" s="1"/>
  <c r="EE39" i="22"/>
  <c r="EF39" i="22" s="1"/>
  <c r="CW39" i="22"/>
  <c r="CY39" i="22" s="1"/>
  <c r="M39" i="22" s="1"/>
  <c r="DL39" i="22"/>
  <c r="CX39" i="22"/>
  <c r="DZ39" i="22"/>
  <c r="DA39" i="22"/>
  <c r="DB39" i="22" s="1"/>
  <c r="O39" i="22" s="1"/>
  <c r="DN39" i="22"/>
  <c r="DQ39" i="22"/>
  <c r="DR39" i="22" s="1"/>
  <c r="DO39" i="22"/>
  <c r="DP39" i="22" s="1"/>
  <c r="EB39" i="22"/>
  <c r="ET39" i="22"/>
  <c r="EC39" i="22"/>
  <c r="ED39" i="22" s="1"/>
  <c r="N44" i="22"/>
  <c r="DZ78" i="22"/>
  <c r="DO78" i="22"/>
  <c r="DP78" i="22" s="1"/>
  <c r="EE78" i="22"/>
  <c r="EF78" i="22" s="1"/>
  <c r="EB78" i="22"/>
  <c r="DQ78" i="22"/>
  <c r="DR78" i="22" s="1"/>
  <c r="CW78" i="22"/>
  <c r="CY78" i="22" s="1"/>
  <c r="M78" i="22" s="1"/>
  <c r="DN78" i="22"/>
  <c r="DA78" i="22"/>
  <c r="DB78" i="22" s="1"/>
  <c r="O78" i="22" s="1"/>
  <c r="CZ78" i="22"/>
  <c r="DL78" i="22"/>
  <c r="EC78" i="22"/>
  <c r="ED78" i="22" s="1"/>
  <c r="CW59" i="22"/>
  <c r="L59" i="22" s="1"/>
  <c r="CW65" i="22"/>
  <c r="CY65" i="22" s="1"/>
  <c r="M65" i="22" s="1"/>
  <c r="DZ65" i="22"/>
  <c r="DO65" i="22"/>
  <c r="DP65" i="22" s="1"/>
  <c r="DA65" i="22"/>
  <c r="DB65" i="22" s="1"/>
  <c r="O65" i="22" s="1"/>
  <c r="DL65" i="22"/>
  <c r="EE65" i="22"/>
  <c r="EF65" i="22" s="1"/>
  <c r="EC65" i="22"/>
  <c r="ED65" i="22" s="1"/>
  <c r="DN65" i="22"/>
  <c r="DQ65" i="22"/>
  <c r="DR65" i="22" s="1"/>
  <c r="CX65" i="22"/>
  <c r="EB65" i="22"/>
  <c r="ES72" i="22"/>
  <c r="ES65" i="22"/>
  <c r="ET34" i="22"/>
  <c r="CX59" i="22"/>
  <c r="CZ59" i="22"/>
  <c r="DZ59" i="22"/>
  <c r="DA59" i="22"/>
  <c r="DB59" i="22" s="1"/>
  <c r="O59" i="22" s="1"/>
  <c r="EB59" i="22"/>
  <c r="EE59" i="22"/>
  <c r="EF59" i="22" s="1"/>
  <c r="DO59" i="22"/>
  <c r="DP59" i="22" s="1"/>
  <c r="DQ59" i="22"/>
  <c r="DR59" i="22" s="1"/>
  <c r="EC59" i="22"/>
  <c r="ED59" i="22" s="1"/>
  <c r="CW72" i="22"/>
  <c r="L72" i="22" s="1"/>
  <c r="EE72" i="22"/>
  <c r="EF72" i="22" s="1"/>
  <c r="DL72" i="22"/>
  <c r="DZ70" i="22"/>
  <c r="EE70" i="22"/>
  <c r="EF70" i="22" s="1"/>
  <c r="DN59" i="22"/>
  <c r="DO72" i="22"/>
  <c r="DP72" i="22" s="1"/>
  <c r="EB72" i="22"/>
  <c r="DZ72" i="22"/>
  <c r="CZ72" i="22"/>
  <c r="CX72" i="22"/>
  <c r="DQ72" i="22"/>
  <c r="DR72" i="22" s="1"/>
  <c r="DN72" i="22"/>
  <c r="DA72" i="22"/>
  <c r="N72" i="22" s="1"/>
  <c r="EB76" i="22"/>
  <c r="CW34" i="22"/>
  <c r="L34" i="22" s="1"/>
  <c r="DO34" i="22"/>
  <c r="DP34" i="22" s="1"/>
  <c r="CZ34" i="22"/>
  <c r="EE34" i="22"/>
  <c r="EF34" i="22" s="1"/>
  <c r="DA34" i="22"/>
  <c r="DB34" i="22" s="1"/>
  <c r="O34" i="22" s="1"/>
  <c r="DN34" i="22"/>
  <c r="DL34" i="22"/>
  <c r="EB34" i="22"/>
  <c r="DQ34" i="22"/>
  <c r="DR34" i="22" s="1"/>
  <c r="DZ34" i="22"/>
  <c r="EC34" i="22"/>
  <c r="ED34" i="22" s="1"/>
  <c r="CY71" i="22"/>
  <c r="M71" i="22" s="1"/>
  <c r="DA76" i="22"/>
  <c r="N76" i="22" s="1"/>
  <c r="ET76" i="22"/>
  <c r="CX76" i="22"/>
  <c r="CZ70" i="22"/>
  <c r="EE76" i="22"/>
  <c r="EF76" i="22" s="1"/>
  <c r="DN76" i="22"/>
  <c r="DQ76" i="22"/>
  <c r="DR76" i="22" s="1"/>
  <c r="CZ76" i="22"/>
  <c r="DO70" i="22"/>
  <c r="DP70" i="22" s="1"/>
  <c r="DO76" i="22"/>
  <c r="DP76" i="22" s="1"/>
  <c r="DA70" i="22"/>
  <c r="DB70" i="22" s="1"/>
  <c r="O70" i="22" s="1"/>
  <c r="DZ76" i="22"/>
  <c r="EC76" i="22"/>
  <c r="ED76" i="22" s="1"/>
  <c r="DL76" i="22"/>
  <c r="DN70" i="22"/>
  <c r="DQ70" i="22"/>
  <c r="DR70" i="22" s="1"/>
  <c r="DO71" i="22"/>
  <c r="DP71" i="22" s="1"/>
  <c r="CW70" i="22"/>
  <c r="CY70" i="22" s="1"/>
  <c r="M70" i="22" s="1"/>
  <c r="EC70" i="22"/>
  <c r="ED70" i="22" s="1"/>
  <c r="CX70" i="22"/>
  <c r="DQ71" i="22"/>
  <c r="DR71" i="22" s="1"/>
  <c r="EB70" i="22"/>
  <c r="CX71" i="22"/>
  <c r="DN71" i="22"/>
  <c r="EE71" i="22"/>
  <c r="EF71" i="22" s="1"/>
  <c r="DZ71" i="22"/>
  <c r="DL71" i="22"/>
  <c r="EC71" i="22"/>
  <c r="ED71" i="22" s="1"/>
  <c r="EB71" i="22"/>
  <c r="CZ71" i="22"/>
  <c r="CX48" i="22"/>
  <c r="DA71" i="22"/>
  <c r="DB71" i="22" s="1"/>
  <c r="O71" i="22" s="1"/>
  <c r="DO48" i="22"/>
  <c r="DP48" i="22" s="1"/>
  <c r="EE48" i="22"/>
  <c r="EF48" i="22" s="1"/>
  <c r="DZ48" i="22"/>
  <c r="DA48" i="22"/>
  <c r="DB48" i="22" s="1"/>
  <c r="O48" i="22" s="1"/>
  <c r="ES48" i="22"/>
  <c r="DQ48" i="22"/>
  <c r="DR48" i="22" s="1"/>
  <c r="CW48" i="22"/>
  <c r="CY48" i="22" s="1"/>
  <c r="M48" i="22" s="1"/>
  <c r="DN48" i="22"/>
  <c r="EB48" i="22"/>
  <c r="DL48" i="22"/>
  <c r="EC48" i="22"/>
  <c r="ED48" i="22" s="1"/>
  <c r="ET56" i="22"/>
  <c r="DO33" i="32"/>
  <c r="DP33" i="32" s="1"/>
  <c r="CX33" i="32"/>
  <c r="CW33" i="32" s="1"/>
  <c r="CY33" i="32" s="1"/>
  <c r="M33" i="32" s="1"/>
  <c r="DL33" i="32"/>
  <c r="DQ33" i="32"/>
  <c r="DR33" i="32" s="1"/>
  <c r="DZ33" i="32"/>
  <c r="DN33" i="32"/>
  <c r="EC33" i="32"/>
  <c r="ED33" i="32" s="1"/>
  <c r="EB33" i="32"/>
  <c r="EE33" i="32"/>
  <c r="EF33" i="32" s="1"/>
  <c r="EC56" i="22"/>
  <c r="ED56" i="22" s="1"/>
  <c r="ES18" i="22"/>
  <c r="DO56" i="22"/>
  <c r="DP56" i="22" s="1"/>
  <c r="DN56" i="22"/>
  <c r="DQ56" i="22"/>
  <c r="DR56" i="22" s="1"/>
  <c r="DZ56" i="22"/>
  <c r="CZ56" i="22"/>
  <c r="DO68" i="22"/>
  <c r="DP68" i="22" s="1"/>
  <c r="CW68" i="22"/>
  <c r="L68" i="22" s="1"/>
  <c r="DQ68" i="22"/>
  <c r="DR68" i="22" s="1"/>
  <c r="DL68" i="22"/>
  <c r="DA68" i="22"/>
  <c r="DB68" i="22" s="1"/>
  <c r="O68" i="22" s="1"/>
  <c r="CX68" i="22"/>
  <c r="EE68" i="22"/>
  <c r="EF68" i="22" s="1"/>
  <c r="EC68" i="22"/>
  <c r="ED68" i="22" s="1"/>
  <c r="EB56" i="22"/>
  <c r="DL56" i="22"/>
  <c r="EE56" i="22"/>
  <c r="EF56" i="22" s="1"/>
  <c r="CW56" i="22"/>
  <c r="CY56" i="22" s="1"/>
  <c r="M56" i="22" s="1"/>
  <c r="CX56" i="22"/>
  <c r="DO36" i="22"/>
  <c r="DP36" i="22" s="1"/>
  <c r="ET57" i="22"/>
  <c r="DB56" i="22"/>
  <c r="O56" i="22" s="1"/>
  <c r="EC41" i="22"/>
  <c r="ED41" i="22" s="1"/>
  <c r="DA41" i="22"/>
  <c r="DB41" i="22" s="1"/>
  <c r="O41" i="22" s="1"/>
  <c r="EB41" i="22"/>
  <c r="DL41" i="22"/>
  <c r="CZ41" i="22"/>
  <c r="EE41" i="22"/>
  <c r="EF41" i="22" s="1"/>
  <c r="DO41" i="22"/>
  <c r="DP41" i="22" s="1"/>
  <c r="DQ41" i="22"/>
  <c r="DR41" i="22" s="1"/>
  <c r="DZ41" i="22"/>
  <c r="CW41" i="22"/>
  <c r="L41" i="22" s="1"/>
  <c r="ET62" i="22"/>
  <c r="CX36" i="22"/>
  <c r="DO57" i="22"/>
  <c r="DP57" i="22" s="1"/>
  <c r="DZ36" i="22"/>
  <c r="CZ36" i="22"/>
  <c r="DQ36" i="22"/>
  <c r="DR36" i="22" s="1"/>
  <c r="CZ62" i="22"/>
  <c r="EB36" i="22"/>
  <c r="EC36" i="22"/>
  <c r="ED36" i="22" s="1"/>
  <c r="CW36" i="22"/>
  <c r="CY36" i="22" s="1"/>
  <c r="M36" i="22" s="1"/>
  <c r="DN57" i="22"/>
  <c r="DN36" i="22"/>
  <c r="DZ62" i="22"/>
  <c r="EE36" i="22"/>
  <c r="EF36" i="22" s="1"/>
  <c r="EC57" i="22"/>
  <c r="ED57" i="22" s="1"/>
  <c r="DA36" i="22"/>
  <c r="N36" i="22" s="1"/>
  <c r="ES36" i="22"/>
  <c r="EE62" i="22"/>
  <c r="EF62" i="22" s="1"/>
  <c r="DO62" i="22"/>
  <c r="DP62" i="22" s="1"/>
  <c r="DQ62" i="22"/>
  <c r="DR62" i="22" s="1"/>
  <c r="EC62" i="22"/>
  <c r="ED62" i="22" s="1"/>
  <c r="ET41" i="22"/>
  <c r="CZ57" i="22"/>
  <c r="EB57" i="22"/>
  <c r="DL62" i="22"/>
  <c r="CW62" i="22"/>
  <c r="L62" i="22" s="1"/>
  <c r="CX57" i="22"/>
  <c r="DA62" i="22"/>
  <c r="DB62" i="22" s="1"/>
  <c r="O62" i="22" s="1"/>
  <c r="DQ57" i="22"/>
  <c r="DR57" i="22" s="1"/>
  <c r="DL57" i="22"/>
  <c r="DN62" i="22"/>
  <c r="EE57" i="22"/>
  <c r="EF57" i="22" s="1"/>
  <c r="EB62" i="22"/>
  <c r="CW57" i="22"/>
  <c r="CY57" i="22" s="1"/>
  <c r="M57" i="22" s="1"/>
  <c r="EB64" i="22"/>
  <c r="DQ45" i="22"/>
  <c r="DR45" i="22" s="1"/>
  <c r="DO45" i="22"/>
  <c r="DP45" i="22" s="1"/>
  <c r="DN45" i="22"/>
  <c r="ES45" i="22"/>
  <c r="DQ24" i="22"/>
  <c r="DR24" i="22" s="1"/>
  <c r="EE24" i="22"/>
  <c r="EF24" i="22" s="1"/>
  <c r="CX24" i="22"/>
  <c r="CT24" i="22" s="1"/>
  <c r="CW24" i="22" s="1"/>
  <c r="L24" i="22" s="1"/>
  <c r="EB24" i="22"/>
  <c r="ET24" i="22"/>
  <c r="EB45" i="22"/>
  <c r="CX45" i="22"/>
  <c r="CZ45" i="22"/>
  <c r="DA45" i="22"/>
  <c r="DB45" i="22" s="1"/>
  <c r="O45" i="22" s="1"/>
  <c r="EC45" i="22"/>
  <c r="ED45" i="22" s="1"/>
  <c r="CW45" i="22"/>
  <c r="DZ45" i="22"/>
  <c r="EE45" i="22"/>
  <c r="EF45" i="22" s="1"/>
  <c r="DL24" i="22"/>
  <c r="EC24" i="22"/>
  <c r="ED24" i="22" s="1"/>
  <c r="DO77" i="22"/>
  <c r="DP77" i="22" s="1"/>
  <c r="DZ24" i="22"/>
  <c r="CZ24" i="22"/>
  <c r="CV24" i="22" s="1"/>
  <c r="DA24" i="22" s="1"/>
  <c r="DB24" i="22" s="1"/>
  <c r="O24" i="22" s="1"/>
  <c r="DN24" i="22"/>
  <c r="DL46" i="22"/>
  <c r="CZ64" i="22"/>
  <c r="ES46" i="22"/>
  <c r="EE54" i="22"/>
  <c r="EF54" i="22" s="1"/>
  <c r="DA51" i="22"/>
  <c r="N51" i="22" s="1"/>
  <c r="DQ54" i="22"/>
  <c r="DR54" i="22" s="1"/>
  <c r="DQ51" i="22"/>
  <c r="DR51" i="22" s="1"/>
  <c r="ES77" i="22"/>
  <c r="DA64" i="22"/>
  <c r="N64" i="22" s="1"/>
  <c r="EB52" i="22"/>
  <c r="EC52" i="22"/>
  <c r="ED52" i="22" s="1"/>
  <c r="DL64" i="22"/>
  <c r="EE52" i="22"/>
  <c r="EF52" i="22" s="1"/>
  <c r="DO52" i="22"/>
  <c r="DP52" i="22" s="1"/>
  <c r="CW64" i="22"/>
  <c r="L64" i="22" s="1"/>
  <c r="DN64" i="22"/>
  <c r="DZ64" i="22"/>
  <c r="DL52" i="22"/>
  <c r="CX64" i="22"/>
  <c r="DO64" i="22"/>
  <c r="DP64" i="22" s="1"/>
  <c r="CW52" i="22"/>
  <c r="CY52" i="22" s="1"/>
  <c r="M52" i="22" s="1"/>
  <c r="CZ52" i="22"/>
  <c r="DQ64" i="22"/>
  <c r="DR64" i="22" s="1"/>
  <c r="EC46" i="22"/>
  <c r="ED46" i="22" s="1"/>
  <c r="EB63" i="22"/>
  <c r="DA52" i="22"/>
  <c r="N52" i="22" s="1"/>
  <c r="DQ52" i="22"/>
  <c r="DR52" i="22" s="1"/>
  <c r="DL47" i="22"/>
  <c r="DB54" i="22"/>
  <c r="O54" i="22" s="1"/>
  <c r="DZ77" i="22"/>
  <c r="EC77" i="22"/>
  <c r="ED77" i="22" s="1"/>
  <c r="CZ54" i="22"/>
  <c r="DN30" i="22"/>
  <c r="DN77" i="22"/>
  <c r="ES30" i="22"/>
  <c r="DQ77" i="22"/>
  <c r="DR77" i="22" s="1"/>
  <c r="DN54" i="22"/>
  <c r="CZ30" i="22"/>
  <c r="CV30" i="22" s="1"/>
  <c r="DA30" i="22" s="1"/>
  <c r="N30" i="22" s="1"/>
  <c r="DO47" i="22"/>
  <c r="DP47" i="22" s="1"/>
  <c r="EC47" i="22"/>
  <c r="ED47" i="22" s="1"/>
  <c r="EB47" i="22"/>
  <c r="CZ47" i="22"/>
  <c r="CZ77" i="22"/>
  <c r="EE27" i="22"/>
  <c r="EF27" i="22" s="1"/>
  <c r="EB51" i="22"/>
  <c r="DN51" i="22"/>
  <c r="EB77" i="22"/>
  <c r="DA77" i="22"/>
  <c r="DB77" i="22" s="1"/>
  <c r="O77" i="22" s="1"/>
  <c r="CX47" i="22"/>
  <c r="DO54" i="22"/>
  <c r="DP54" i="22" s="1"/>
  <c r="EE77" i="22"/>
  <c r="EF77" i="22" s="1"/>
  <c r="EB54" i="22"/>
  <c r="CW77" i="22"/>
  <c r="CY77" i="22" s="1"/>
  <c r="M77" i="22" s="1"/>
  <c r="EE51" i="22"/>
  <c r="EF51" i="22" s="1"/>
  <c r="DZ63" i="22"/>
  <c r="DL77" i="22"/>
  <c r="DN47" i="22"/>
  <c r="ES74" i="22"/>
  <c r="DO34" i="32"/>
  <c r="DP34" i="32" s="1"/>
  <c r="ET40" i="22"/>
  <c r="DQ47" i="22"/>
  <c r="DR47" i="22" s="1"/>
  <c r="N57" i="22"/>
  <c r="EC30" i="22"/>
  <c r="ED30" i="22" s="1"/>
  <c r="DA47" i="22"/>
  <c r="DB47" i="22" s="1"/>
  <c r="O47" i="22" s="1"/>
  <c r="CW54" i="22"/>
  <c r="L54" i="22" s="1"/>
  <c r="DZ54" i="22"/>
  <c r="CW47" i="22"/>
  <c r="L47" i="22" s="1"/>
  <c r="DO51" i="22"/>
  <c r="DP51" i="22" s="1"/>
  <c r="EE63" i="22"/>
  <c r="EF63" i="22" s="1"/>
  <c r="ET75" i="22"/>
  <c r="DL75" i="22"/>
  <c r="DZ47" i="22"/>
  <c r="EC54" i="22"/>
  <c r="ED54" i="22" s="1"/>
  <c r="DL54" i="22"/>
  <c r="CX54" i="22"/>
  <c r="DL63" i="22"/>
  <c r="DA63" i="22"/>
  <c r="DB63" i="22" s="1"/>
  <c r="O63" i="22" s="1"/>
  <c r="DN46" i="22"/>
  <c r="CW46" i="22"/>
  <c r="L46" i="22" s="1"/>
  <c r="DA46" i="22"/>
  <c r="N46" i="22" s="1"/>
  <c r="EC63" i="22"/>
  <c r="ED63" i="22" s="1"/>
  <c r="ET63" i="22"/>
  <c r="DQ46" i="22"/>
  <c r="DR46" i="22" s="1"/>
  <c r="CZ63" i="22"/>
  <c r="CW63" i="22"/>
  <c r="L63" i="22" s="1"/>
  <c r="DO46" i="22"/>
  <c r="DP46" i="22" s="1"/>
  <c r="CX46" i="22"/>
  <c r="EB46" i="22"/>
  <c r="EE46" i="22"/>
  <c r="EF46" i="22" s="1"/>
  <c r="DZ46" i="22"/>
  <c r="CX63" i="22"/>
  <c r="DN63" i="22"/>
  <c r="DQ63" i="22"/>
  <c r="DR63" i="22" s="1"/>
  <c r="DZ75" i="22"/>
  <c r="L38" i="22"/>
  <c r="EC75" i="22"/>
  <c r="ED75" i="22" s="1"/>
  <c r="DL51" i="22"/>
  <c r="DO30" i="22"/>
  <c r="DP30" i="22" s="1"/>
  <c r="EC51" i="22"/>
  <c r="ED51" i="22" s="1"/>
  <c r="CW51" i="22"/>
  <c r="L51" i="22" s="1"/>
  <c r="DQ30" i="22"/>
  <c r="DR30" i="22" s="1"/>
  <c r="DZ27" i="22"/>
  <c r="EB27" i="22"/>
  <c r="DZ51" i="22"/>
  <c r="DL30" i="22"/>
  <c r="DN27" i="22"/>
  <c r="CX51" i="22"/>
  <c r="DQ27" i="22"/>
  <c r="DR27" i="22" s="1"/>
  <c r="CX27" i="22"/>
  <c r="CT27" i="22" s="1"/>
  <c r="CW27" i="22" s="1"/>
  <c r="L27" i="22" s="1"/>
  <c r="DZ30" i="22"/>
  <c r="DL27" i="22"/>
  <c r="EC27" i="22"/>
  <c r="ED27" i="22" s="1"/>
  <c r="CX30" i="22"/>
  <c r="CT30" i="22" s="1"/>
  <c r="CW30" i="22" s="1"/>
  <c r="DO27" i="22"/>
  <c r="DP27" i="22" s="1"/>
  <c r="EB30" i="22"/>
  <c r="EE30" i="22"/>
  <c r="EF30" i="22" s="1"/>
  <c r="ES38" i="22"/>
  <c r="EE75" i="22"/>
  <c r="EF75" i="22" s="1"/>
  <c r="DN40" i="22"/>
  <c r="CW75" i="22"/>
  <c r="L75" i="22" s="1"/>
  <c r="DZ38" i="22"/>
  <c r="DN75" i="22"/>
  <c r="EB38" i="22"/>
  <c r="DO75" i="22"/>
  <c r="DP75" i="22" s="1"/>
  <c r="CZ75" i="22"/>
  <c r="EE38" i="22"/>
  <c r="EF38" i="22" s="1"/>
  <c r="DQ40" i="22"/>
  <c r="DR40" i="22" s="1"/>
  <c r="DA38" i="22"/>
  <c r="DB38" i="22" s="1"/>
  <c r="O38" i="22" s="1"/>
  <c r="DQ75" i="22"/>
  <c r="DR75" i="22" s="1"/>
  <c r="DO40" i="22"/>
  <c r="DP40" i="22" s="1"/>
  <c r="DA75" i="22"/>
  <c r="N75" i="22" s="1"/>
  <c r="EC40" i="22"/>
  <c r="ED40" i="22" s="1"/>
  <c r="N40" i="22"/>
  <c r="EB75" i="22"/>
  <c r="DO38" i="22"/>
  <c r="DP38" i="22" s="1"/>
  <c r="CZ38" i="22"/>
  <c r="DL38" i="22"/>
  <c r="EC38" i="22"/>
  <c r="ED38" i="22" s="1"/>
  <c r="CW40" i="22"/>
  <c r="L40" i="22" s="1"/>
  <c r="DN38" i="22"/>
  <c r="CX38" i="22"/>
  <c r="DQ38" i="22"/>
  <c r="DR38" i="22" s="1"/>
  <c r="DL40" i="22"/>
  <c r="CZ40" i="22"/>
  <c r="EB40" i="22"/>
  <c r="DZ40" i="22"/>
  <c r="EE40" i="22"/>
  <c r="EF40" i="22" s="1"/>
  <c r="CX40" i="22"/>
  <c r="EB32" i="32"/>
  <c r="DX32" i="32" s="1"/>
  <c r="EE32" i="32" s="1"/>
  <c r="EF32" i="32" s="1"/>
  <c r="DN32" i="32"/>
  <c r="DJ32" i="32" s="1"/>
  <c r="DQ32" i="32" s="1"/>
  <c r="DR32" i="32" s="1"/>
  <c r="CX32" i="32"/>
  <c r="DZ32" i="32"/>
  <c r="DV32" i="32" s="1"/>
  <c r="EC32" i="32" s="1"/>
  <c r="ED32" i="32" s="1"/>
  <c r="DL39" i="19"/>
  <c r="DN39" i="19"/>
  <c r="CX39" i="19"/>
  <c r="EB39" i="19"/>
  <c r="DO39" i="19"/>
  <c r="DP39" i="19" s="1"/>
  <c r="CZ39" i="19"/>
  <c r="DQ39" i="19"/>
  <c r="DR39" i="19" s="1"/>
  <c r="EE39" i="19"/>
  <c r="EF39" i="19" s="1"/>
  <c r="EC39" i="19"/>
  <c r="ED39" i="19" s="1"/>
  <c r="EC34" i="32"/>
  <c r="ED34" i="32" s="1"/>
  <c r="ES34" i="32"/>
  <c r="DQ34" i="32"/>
  <c r="DR34" i="32" s="1"/>
  <c r="CX34" i="32"/>
  <c r="CW34" i="32" s="1"/>
  <c r="L34" i="32" s="1"/>
  <c r="ET36" i="32"/>
  <c r="ET23" i="32"/>
  <c r="ES12" i="32"/>
  <c r="EB34" i="32"/>
  <c r="CZ34" i="32"/>
  <c r="DA34" i="32" s="1"/>
  <c r="N34" i="32" s="1"/>
  <c r="EE34" i="32"/>
  <c r="EF34" i="32" s="1"/>
  <c r="ES21" i="32"/>
  <c r="DN34" i="32"/>
  <c r="DL34" i="32"/>
  <c r="DZ34" i="32"/>
  <c r="ET28" i="32"/>
  <c r="ER29" i="32"/>
  <c r="ET29" i="32" s="1"/>
  <c r="ES33" i="32"/>
  <c r="ER38" i="32"/>
  <c r="ES38" i="32" s="1"/>
  <c r="ER22" i="32"/>
  <c r="ET22" i="32" s="1"/>
  <c r="ER30" i="32"/>
  <c r="ET30" i="32" s="1"/>
  <c r="ER27" i="32"/>
  <c r="ET27" i="32" s="1"/>
  <c r="ER35" i="32"/>
  <c r="ES35" i="32" s="1"/>
  <c r="DA35" i="32"/>
  <c r="DB35" i="32" s="1"/>
  <c r="O35" i="32" s="1"/>
  <c r="CW35" i="32"/>
  <c r="L35" i="32" s="1"/>
  <c r="ER40" i="32"/>
  <c r="CW40" i="32"/>
  <c r="CY40" i="32" s="1"/>
  <c r="M40" i="32" s="1"/>
  <c r="DA40" i="32"/>
  <c r="CZ38" i="32"/>
  <c r="DA38" i="32" s="1"/>
  <c r="N38" i="32" s="1"/>
  <c r="CX38" i="32"/>
  <c r="CW38" i="32" s="1"/>
  <c r="DL38" i="32"/>
  <c r="DZ38" i="32"/>
  <c r="EC38" i="32"/>
  <c r="ED38" i="32" s="1"/>
  <c r="DN38" i="32"/>
  <c r="EB38" i="32"/>
  <c r="DQ38" i="32"/>
  <c r="DR38" i="32" s="1"/>
  <c r="EE38" i="32"/>
  <c r="EF38" i="32" s="1"/>
  <c r="DO38" i="32"/>
  <c r="DP38" i="32" s="1"/>
  <c r="ET53" i="41"/>
  <c r="DB53" i="41"/>
  <c r="O53" i="41" s="1"/>
  <c r="N53" i="41"/>
  <c r="L53" i="41"/>
  <c r="CY53" i="41"/>
  <c r="EL10" i="19"/>
  <c r="EK10" i="19"/>
  <c r="K112" i="31"/>
  <c r="L113" i="31" s="1"/>
  <c r="H101" i="31" s="1"/>
  <c r="BW18" i="41"/>
  <c r="BJ19" i="41"/>
  <c r="EL20" i="45"/>
  <c r="EK14" i="19"/>
  <c r="EL14" i="19"/>
  <c r="DB60" i="22"/>
  <c r="O60" i="22" s="1"/>
  <c r="N36" i="32"/>
  <c r="N58" i="22"/>
  <c r="CY76" i="22"/>
  <c r="M76" i="22" s="1"/>
  <c r="L69" i="22"/>
  <c r="CY69" i="22"/>
  <c r="M69" i="22" s="1"/>
  <c r="L20" i="22"/>
  <c r="CY20" i="22"/>
  <c r="M20" i="22" s="1"/>
  <c r="EI20" i="22" s="1"/>
  <c r="N39" i="32"/>
  <c r="DB39" i="32"/>
  <c r="O39" i="32" s="1"/>
  <c r="DB33" i="41" l="1"/>
  <c r="O33" i="41" s="1"/>
  <c r="DB38" i="19"/>
  <c r="O38" i="19" s="1"/>
  <c r="EL38" i="19" s="1"/>
  <c r="CY38" i="19"/>
  <c r="M38" i="19" s="1"/>
  <c r="EK38" i="19" s="1"/>
  <c r="N41" i="19"/>
  <c r="DQ23" i="32"/>
  <c r="DR23" i="32" s="1"/>
  <c r="DB40" i="19"/>
  <c r="O40" i="19" s="1"/>
  <c r="N40" i="19"/>
  <c r="CY40" i="19"/>
  <c r="L40" i="19"/>
  <c r="L41" i="19"/>
  <c r="CY41" i="19"/>
  <c r="DL18" i="32"/>
  <c r="DO22" i="32"/>
  <c r="DP22" i="32" s="1"/>
  <c r="CZ18" i="22"/>
  <c r="CV18" i="22" s="1"/>
  <c r="DA18" i="22" s="1"/>
  <c r="N18" i="22" s="1"/>
  <c r="DZ30" i="32"/>
  <c r="DN18" i="22"/>
  <c r="EB30" i="32"/>
  <c r="CZ30" i="32"/>
  <c r="EC30" i="32"/>
  <c r="ED30" i="32" s="1"/>
  <c r="EC18" i="22"/>
  <c r="ED18" i="22" s="1"/>
  <c r="DZ18" i="22"/>
  <c r="EE30" i="32"/>
  <c r="EF30" i="32" s="1"/>
  <c r="EE22" i="32"/>
  <c r="EF22" i="32" s="1"/>
  <c r="DN30" i="32"/>
  <c r="EC22" i="32"/>
  <c r="ED22" i="32" s="1"/>
  <c r="EE18" i="22"/>
  <c r="EF18" i="22" s="1"/>
  <c r="DL18" i="22"/>
  <c r="DL30" i="32"/>
  <c r="DO30" i="32"/>
  <c r="DP30" i="32" s="1"/>
  <c r="DQ18" i="22"/>
  <c r="DR18" i="22" s="1"/>
  <c r="EB18" i="22"/>
  <c r="DQ30" i="32"/>
  <c r="DR30" i="32" s="1"/>
  <c r="DQ18" i="32"/>
  <c r="DR18" i="32" s="1"/>
  <c r="CX18" i="32"/>
  <c r="CT18" i="32" s="1"/>
  <c r="CW18" i="32" s="1"/>
  <c r="DO18" i="22"/>
  <c r="DP18" i="22" s="1"/>
  <c r="CX23" i="32"/>
  <c r="CT23" i="32" s="1"/>
  <c r="CW23" i="32" s="1"/>
  <c r="DN27" i="32"/>
  <c r="DQ24" i="32"/>
  <c r="DR24" i="32" s="1"/>
  <c r="DZ18" i="32"/>
  <c r="EE18" i="32"/>
  <c r="EF18" i="32" s="1"/>
  <c r="DO18" i="32"/>
  <c r="DP18" i="32" s="1"/>
  <c r="EC18" i="32"/>
  <c r="ED18" i="32" s="1"/>
  <c r="DN18" i="32"/>
  <c r="EB18" i="32"/>
  <c r="DO23" i="32"/>
  <c r="DP23" i="32" s="1"/>
  <c r="ES27" i="22"/>
  <c r="EE23" i="32"/>
  <c r="EF23" i="32" s="1"/>
  <c r="DZ23" i="32"/>
  <c r="EC23" i="32"/>
  <c r="ED23" i="32" s="1"/>
  <c r="DL23" i="32"/>
  <c r="EB23" i="32"/>
  <c r="DN23" i="32"/>
  <c r="CY30" i="22"/>
  <c r="M30" i="22" s="1"/>
  <c r="L30" i="22"/>
  <c r="EB22" i="32"/>
  <c r="DZ22" i="32"/>
  <c r="DN22" i="32"/>
  <c r="DL22" i="32"/>
  <c r="CX22" i="32"/>
  <c r="CT22" i="32" s="1"/>
  <c r="CW22" i="32" s="1"/>
  <c r="DQ22" i="32"/>
  <c r="DR22" i="32" s="1"/>
  <c r="EB24" i="32"/>
  <c r="DL24" i="32"/>
  <c r="EE24" i="32"/>
  <c r="EF24" i="32" s="1"/>
  <c r="DN24" i="32"/>
  <c r="DZ24" i="32"/>
  <c r="CZ24" i="32"/>
  <c r="CV24" i="32" s="1"/>
  <c r="DA24" i="32" s="1"/>
  <c r="EC24" i="32"/>
  <c r="ED24" i="32" s="1"/>
  <c r="DO24" i="32"/>
  <c r="DP24" i="32" s="1"/>
  <c r="DL28" i="32"/>
  <c r="DN28" i="32"/>
  <c r="EE28" i="32"/>
  <c r="EF28" i="32" s="1"/>
  <c r="DZ28" i="32"/>
  <c r="DO28" i="32"/>
  <c r="DP28" i="32" s="1"/>
  <c r="CZ28" i="32"/>
  <c r="CV28" i="32" s="1"/>
  <c r="DA28" i="32" s="1"/>
  <c r="EC28" i="32"/>
  <c r="ED28" i="32" s="1"/>
  <c r="DQ28" i="32"/>
  <c r="DR28" i="32" s="1"/>
  <c r="EB28" i="32"/>
  <c r="DO27" i="32"/>
  <c r="DP27" i="32" s="1"/>
  <c r="EB27" i="32"/>
  <c r="CX27" i="32"/>
  <c r="CT27" i="32" s="1"/>
  <c r="CW27" i="32" s="1"/>
  <c r="EE27" i="32"/>
  <c r="EF27" i="32" s="1"/>
  <c r="DL27" i="32"/>
  <c r="DQ27" i="32"/>
  <c r="DR27" i="32" s="1"/>
  <c r="EC27" i="32"/>
  <c r="ED27" i="32" s="1"/>
  <c r="DZ27" i="32"/>
  <c r="N23" i="32"/>
  <c r="DB23" i="32"/>
  <c r="O23" i="32" s="1"/>
  <c r="EL23" i="32" s="1"/>
  <c r="CY24" i="32"/>
  <c r="M24" i="32" s="1"/>
  <c r="L24" i="32"/>
  <c r="DB18" i="32"/>
  <c r="O18" i="32" s="1"/>
  <c r="N18" i="32"/>
  <c r="DF17" i="32"/>
  <c r="DE17" i="32" s="1"/>
  <c r="CV24" i="41"/>
  <c r="DA24" i="41" s="1"/>
  <c r="CV30" i="41"/>
  <c r="DA30" i="41" s="1"/>
  <c r="CT24" i="41"/>
  <c r="CW24" i="41" s="1"/>
  <c r="CT30" i="41"/>
  <c r="CW30" i="41" s="1"/>
  <c r="CV18" i="41"/>
  <c r="DA18" i="41" s="1"/>
  <c r="CT23" i="41"/>
  <c r="CW23" i="41" s="1"/>
  <c r="CV17" i="41"/>
  <c r="DA17" i="41" s="1"/>
  <c r="CT29" i="41"/>
  <c r="CW29" i="41" s="1"/>
  <c r="CT18" i="41"/>
  <c r="CW18" i="41" s="1"/>
  <c r="CV23" i="41"/>
  <c r="DA23" i="41" s="1"/>
  <c r="CV29" i="41"/>
  <c r="DA29" i="41" s="1"/>
  <c r="CT17" i="41"/>
  <c r="CW17" i="41" s="1"/>
  <c r="CT29" i="47"/>
  <c r="CW29" i="47" s="1"/>
  <c r="CV18" i="47"/>
  <c r="DA18" i="47" s="1"/>
  <c r="CV29" i="47"/>
  <c r="DA29" i="47" s="1"/>
  <c r="CT18" i="47"/>
  <c r="CW18" i="47" s="1"/>
  <c r="CY18" i="47" s="1"/>
  <c r="M18" i="47" s="1"/>
  <c r="EI18" i="47" s="1"/>
  <c r="N30" i="47"/>
  <c r="DB30" i="47"/>
  <c r="O30" i="47" s="1"/>
  <c r="EJ30" i="47" s="1"/>
  <c r="L30" i="47"/>
  <c r="CY30" i="47"/>
  <c r="DB24" i="45"/>
  <c r="O24" i="45" s="1"/>
  <c r="N24" i="45"/>
  <c r="CY24" i="45"/>
  <c r="L24" i="45"/>
  <c r="W12" i="47"/>
  <c r="V12" i="47" s="1"/>
  <c r="C12" i="47" s="1"/>
  <c r="W24" i="32"/>
  <c r="V24" i="32" s="1"/>
  <c r="C24" i="32" s="1"/>
  <c r="W18" i="32"/>
  <c r="V18" i="32" s="1"/>
  <c r="C18" i="32" s="1"/>
  <c r="W30" i="45"/>
  <c r="V30" i="45" s="1"/>
  <c r="C30" i="45" s="1"/>
  <c r="W24" i="41"/>
  <c r="V24" i="41" s="1"/>
  <c r="C24" i="41" s="1"/>
  <c r="N29" i="45"/>
  <c r="CX29" i="32"/>
  <c r="CT29" i="32" s="1"/>
  <c r="CW29" i="32" s="1"/>
  <c r="CZ29" i="32"/>
  <c r="CV29" i="32" s="1"/>
  <c r="DA29" i="32" s="1"/>
  <c r="DL29" i="32"/>
  <c r="DZ29" i="32"/>
  <c r="EB29" i="32"/>
  <c r="DN29" i="32"/>
  <c r="DQ29" i="32"/>
  <c r="DR29" i="32" s="1"/>
  <c r="EC29" i="32"/>
  <c r="ED29" i="32" s="1"/>
  <c r="EE29" i="32"/>
  <c r="EF29" i="32" s="1"/>
  <c r="DZ21" i="32"/>
  <c r="DV21" i="32" s="1"/>
  <c r="EC21" i="32" s="1"/>
  <c r="ED21" i="32" s="1"/>
  <c r="CX21" i="32"/>
  <c r="CT21" i="32" s="1"/>
  <c r="CW21" i="32" s="1"/>
  <c r="DN21" i="32"/>
  <c r="DJ21" i="32" s="1"/>
  <c r="DQ21" i="32" s="1"/>
  <c r="DR21" i="32" s="1"/>
  <c r="CY30" i="45"/>
  <c r="DL21" i="32"/>
  <c r="DH21" i="32" s="1"/>
  <c r="DO21" i="32" s="1"/>
  <c r="DP21" i="32" s="1"/>
  <c r="EB21" i="32"/>
  <c r="DX21" i="32" s="1"/>
  <c r="EE21" i="32" s="1"/>
  <c r="EF21" i="32" s="1"/>
  <c r="J17" i="32"/>
  <c r="CO17" i="32"/>
  <c r="CN17" i="32" s="1"/>
  <c r="CS17" i="32"/>
  <c r="DS17" i="32"/>
  <c r="DT17" i="32" s="1"/>
  <c r="CU17" i="32"/>
  <c r="EU17" i="32"/>
  <c r="Z17" i="32"/>
  <c r="H17" i="32" s="1"/>
  <c r="EI29" i="22"/>
  <c r="DZ20" i="32"/>
  <c r="DV20" i="32" s="1"/>
  <c r="EC20" i="32" s="1"/>
  <c r="ED20" i="32" s="1"/>
  <c r="EB20" i="32"/>
  <c r="DX20" i="32" s="1"/>
  <c r="EE20" i="32" s="1"/>
  <c r="EF20" i="32" s="1"/>
  <c r="CX20" i="32"/>
  <c r="CT20" i="32" s="1"/>
  <c r="CW20" i="32" s="1"/>
  <c r="CZ20" i="32"/>
  <c r="CV20" i="32" s="1"/>
  <c r="DA20" i="32" s="1"/>
  <c r="DL20" i="32"/>
  <c r="DH20" i="32" s="1"/>
  <c r="DO20" i="32" s="1"/>
  <c r="DP20" i="32" s="1"/>
  <c r="L28" i="32"/>
  <c r="CY28" i="32"/>
  <c r="M28" i="32" s="1"/>
  <c r="EK28" i="32" s="1"/>
  <c r="CV30" i="32"/>
  <c r="DA30" i="32" s="1"/>
  <c r="N30" i="32" s="1"/>
  <c r="DB20" i="22"/>
  <c r="O20" i="22" s="1"/>
  <c r="EJ20" i="22" s="1"/>
  <c r="CZ32" i="22"/>
  <c r="CV32" i="22" s="1"/>
  <c r="DA32" i="22" s="1"/>
  <c r="N32" i="22" s="1"/>
  <c r="DN32" i="22"/>
  <c r="DJ32" i="22" s="1"/>
  <c r="DQ32" i="22" s="1"/>
  <c r="DR32" i="22" s="1"/>
  <c r="DZ32" i="22"/>
  <c r="DV32" i="22" s="1"/>
  <c r="EC32" i="22" s="1"/>
  <c r="ED32" i="22" s="1"/>
  <c r="CX32" i="22"/>
  <c r="CT32" i="22" s="1"/>
  <c r="CW32" i="22" s="1"/>
  <c r="L32" i="22" s="1"/>
  <c r="DL32" i="22"/>
  <c r="DH32" i="22" s="1"/>
  <c r="DO32" i="22" s="1"/>
  <c r="DP32" i="22" s="1"/>
  <c r="ES33" i="22"/>
  <c r="ES32" i="22"/>
  <c r="ES20" i="32"/>
  <c r="L33" i="41"/>
  <c r="ES32" i="32"/>
  <c r="CT32" i="32"/>
  <c r="CW32" i="32" s="1"/>
  <c r="DV34" i="41"/>
  <c r="EC34" i="41" s="1"/>
  <c r="ED34" i="41" s="1"/>
  <c r="DH34" i="41"/>
  <c r="DO34" i="41" s="1"/>
  <c r="DP34" i="41" s="1"/>
  <c r="DJ34" i="41"/>
  <c r="DQ34" i="41" s="1"/>
  <c r="DR34" i="41" s="1"/>
  <c r="CV34" i="41"/>
  <c r="DA34" i="41" s="1"/>
  <c r="N34" i="41" s="1"/>
  <c r="CT34" i="41"/>
  <c r="CW34" i="41" s="1"/>
  <c r="EI33" i="41"/>
  <c r="EK33" i="41"/>
  <c r="EJ33" i="41"/>
  <c r="EL33" i="41"/>
  <c r="CV32" i="41"/>
  <c r="DA32" i="41" s="1"/>
  <c r="CT32" i="41"/>
  <c r="CW32" i="41" s="1"/>
  <c r="N34" i="47"/>
  <c r="DB34" i="47"/>
  <c r="O34" i="47" s="1"/>
  <c r="EL34" i="47" s="1"/>
  <c r="CY34" i="47"/>
  <c r="L34" i="47"/>
  <c r="CT39" i="19"/>
  <c r="CW39" i="19" s="1"/>
  <c r="CV39" i="19"/>
  <c r="DA39" i="19" s="1"/>
  <c r="CT12" i="45"/>
  <c r="CW12" i="45" s="1"/>
  <c r="CV12" i="45"/>
  <c r="DA12" i="45" s="1"/>
  <c r="CT12" i="47"/>
  <c r="CW12" i="47" s="1"/>
  <c r="CV12" i="47"/>
  <c r="DA12" i="47" s="1"/>
  <c r="W36" i="47"/>
  <c r="V36" i="47" s="1"/>
  <c r="ES11" i="32"/>
  <c r="ET15" i="32"/>
  <c r="L36" i="32"/>
  <c r="CV12" i="41"/>
  <c r="DA12" i="41" s="1"/>
  <c r="CT12" i="41"/>
  <c r="CW12" i="41" s="1"/>
  <c r="ET10" i="32"/>
  <c r="DB15" i="32"/>
  <c r="O15" i="32" s="1"/>
  <c r="N15" i="32"/>
  <c r="CT15" i="32"/>
  <c r="CW15" i="32" s="1"/>
  <c r="CT11" i="32"/>
  <c r="CW11" i="32" s="1"/>
  <c r="V17" i="45"/>
  <c r="C17" i="45" s="1"/>
  <c r="W30" i="22"/>
  <c r="V30" i="22" s="1"/>
  <c r="C30" i="22" s="1"/>
  <c r="L44" i="19"/>
  <c r="CY44" i="19"/>
  <c r="M44" i="19" s="1"/>
  <c r="N44" i="19"/>
  <c r="DB44" i="19"/>
  <c r="O44" i="19" s="1"/>
  <c r="L46" i="19"/>
  <c r="CY46" i="19"/>
  <c r="M46" i="19" s="1"/>
  <c r="CY47" i="19"/>
  <c r="M47" i="19" s="1"/>
  <c r="L47" i="19"/>
  <c r="Q77" i="19"/>
  <c r="M78" i="19"/>
  <c r="EK78" i="19" s="1"/>
  <c r="Q78" i="19"/>
  <c r="DB76" i="19"/>
  <c r="O76" i="19" s="1"/>
  <c r="EL76" i="19" s="1"/>
  <c r="N76" i="19"/>
  <c r="L76" i="19"/>
  <c r="CY76" i="19"/>
  <c r="M76" i="19" s="1"/>
  <c r="EK76" i="19" s="1"/>
  <c r="N75" i="19"/>
  <c r="DB75" i="19"/>
  <c r="O75" i="19" s="1"/>
  <c r="EL75" i="19" s="1"/>
  <c r="CY75" i="19"/>
  <c r="M75" i="19" s="1"/>
  <c r="EK75" i="19" s="1"/>
  <c r="L75" i="19"/>
  <c r="L74" i="19"/>
  <c r="CY74" i="19"/>
  <c r="M74" i="19" s="1"/>
  <c r="EK74" i="19" s="1"/>
  <c r="N74" i="19"/>
  <c r="DB74" i="19"/>
  <c r="O74" i="19" s="1"/>
  <c r="EL74" i="19" s="1"/>
  <c r="DB72" i="19"/>
  <c r="O72" i="19" s="1"/>
  <c r="N72" i="19"/>
  <c r="CY72" i="19"/>
  <c r="M72" i="19" s="1"/>
  <c r="L72" i="19"/>
  <c r="CY71" i="19"/>
  <c r="L71" i="19"/>
  <c r="N71" i="19"/>
  <c r="DB71" i="19"/>
  <c r="O71" i="19" s="1"/>
  <c r="N68" i="19"/>
  <c r="DB68" i="19"/>
  <c r="O68" i="19" s="1"/>
  <c r="L68" i="19"/>
  <c r="CY68" i="19"/>
  <c r="M68" i="19" s="1"/>
  <c r="DB66" i="19"/>
  <c r="O66" i="19" s="1"/>
  <c r="N66" i="19"/>
  <c r="CY66" i="19"/>
  <c r="M66" i="19" s="1"/>
  <c r="L66" i="19"/>
  <c r="N65" i="19"/>
  <c r="DB65" i="19"/>
  <c r="O65" i="19" s="1"/>
  <c r="L65" i="19"/>
  <c r="CY65" i="19"/>
  <c r="M65" i="19" s="1"/>
  <c r="DB64" i="19"/>
  <c r="O64" i="19" s="1"/>
  <c r="N64" i="19"/>
  <c r="L64" i="19"/>
  <c r="CY64" i="19"/>
  <c r="M64" i="19" s="1"/>
  <c r="L63" i="19"/>
  <c r="CY63" i="19"/>
  <c r="N63" i="19"/>
  <c r="DB63" i="19"/>
  <c r="O63" i="19" s="1"/>
  <c r="CY62" i="19"/>
  <c r="L62" i="19"/>
  <c r="DB62" i="19"/>
  <c r="O62" i="19" s="1"/>
  <c r="N62" i="19"/>
  <c r="L58" i="19"/>
  <c r="CY58" i="19"/>
  <c r="M58" i="19" s="1"/>
  <c r="N58" i="19"/>
  <c r="DB58" i="19"/>
  <c r="O58" i="19" s="1"/>
  <c r="L57" i="19"/>
  <c r="CY57" i="19"/>
  <c r="N57" i="19"/>
  <c r="DB57" i="19"/>
  <c r="O57" i="19" s="1"/>
  <c r="L56" i="19"/>
  <c r="CY56" i="19"/>
  <c r="M56" i="19" s="1"/>
  <c r="N56" i="19"/>
  <c r="DB56" i="19"/>
  <c r="O56" i="19" s="1"/>
  <c r="M42" i="19"/>
  <c r="L36" i="19"/>
  <c r="CY36" i="19"/>
  <c r="M36" i="19" s="1"/>
  <c r="DB36" i="19"/>
  <c r="O36" i="19" s="1"/>
  <c r="N36" i="19"/>
  <c r="V72" i="47"/>
  <c r="W74" i="47"/>
  <c r="V66" i="41"/>
  <c r="W68" i="41"/>
  <c r="W74" i="41"/>
  <c r="V36" i="41"/>
  <c r="W38" i="41"/>
  <c r="DZ12" i="32"/>
  <c r="DV12" i="32" s="1"/>
  <c r="EC12" i="32" s="1"/>
  <c r="ED12" i="32" s="1"/>
  <c r="DL12" i="32"/>
  <c r="DH12" i="32" s="1"/>
  <c r="DO12" i="32" s="1"/>
  <c r="DP12" i="32" s="1"/>
  <c r="CZ12" i="32"/>
  <c r="CV12" i="32" s="1"/>
  <c r="EB12" i="32"/>
  <c r="DX12" i="32" s="1"/>
  <c r="EE12" i="32" s="1"/>
  <c r="EF12" i="32" s="1"/>
  <c r="DN12" i="32"/>
  <c r="DJ12" i="32" s="1"/>
  <c r="DQ12" i="32" s="1"/>
  <c r="DR12" i="32" s="1"/>
  <c r="CX12" i="32"/>
  <c r="CT12" i="32" s="1"/>
  <c r="V12" i="19"/>
  <c r="V11" i="19"/>
  <c r="W24" i="47"/>
  <c r="V24" i="47" s="1"/>
  <c r="C24" i="47" s="1"/>
  <c r="W30" i="47"/>
  <c r="V30" i="47" s="1"/>
  <c r="C30" i="47" s="1"/>
  <c r="W18" i="47"/>
  <c r="V18" i="47" s="1"/>
  <c r="C18" i="47" s="1"/>
  <c r="W12" i="22"/>
  <c r="V11" i="22"/>
  <c r="C11" i="22" s="1"/>
  <c r="V18" i="45"/>
  <c r="C18" i="45" s="1"/>
  <c r="W12" i="41"/>
  <c r="V12" i="41" s="1"/>
  <c r="C12" i="41" s="1"/>
  <c r="EI24" i="47"/>
  <c r="W12" i="45"/>
  <c r="V12" i="45" s="1"/>
  <c r="C12" i="45" s="1"/>
  <c r="C11" i="45"/>
  <c r="W22" i="22"/>
  <c r="V22" i="22" s="1"/>
  <c r="C22" i="22" s="1"/>
  <c r="C21" i="22"/>
  <c r="W21" i="45"/>
  <c r="V21" i="45" s="1"/>
  <c r="L53" i="22"/>
  <c r="N69" i="22"/>
  <c r="CY60" i="22"/>
  <c r="M60" i="22" s="1"/>
  <c r="CY39" i="32"/>
  <c r="M39" i="32" s="1"/>
  <c r="DB53" i="22"/>
  <c r="O53" i="22" s="1"/>
  <c r="DQ11" i="32"/>
  <c r="DR11" i="32" s="1"/>
  <c r="EE11" i="32"/>
  <c r="EF11" i="32" s="1"/>
  <c r="DO11" i="32"/>
  <c r="DP11" i="32" s="1"/>
  <c r="DZ11" i="32"/>
  <c r="EB11" i="32"/>
  <c r="DN11" i="32"/>
  <c r="DL11" i="32"/>
  <c r="EC11" i="32"/>
  <c r="ED11" i="32" s="1"/>
  <c r="CZ11" i="32"/>
  <c r="CV11" i="32" s="1"/>
  <c r="DL10" i="32"/>
  <c r="DO10" i="32" s="1"/>
  <c r="DP10" i="32" s="1"/>
  <c r="CX10" i="32"/>
  <c r="CZ10" i="32"/>
  <c r="DN10" i="32"/>
  <c r="DQ10" i="32" s="1"/>
  <c r="DR10" i="32" s="1"/>
  <c r="EB10" i="32"/>
  <c r="EE10" i="32" s="1"/>
  <c r="EF10" i="32" s="1"/>
  <c r="BJ20" i="47"/>
  <c r="BW19" i="47"/>
  <c r="BW41" i="19"/>
  <c r="CL23" i="19" s="1"/>
  <c r="BJ42" i="19"/>
  <c r="BJ43" i="19" s="1"/>
  <c r="BJ44" i="19" s="1"/>
  <c r="CY60" i="19"/>
  <c r="M60" i="19" s="1"/>
  <c r="EK60" i="19" s="1"/>
  <c r="L60" i="19"/>
  <c r="N60" i="19"/>
  <c r="DB60" i="19"/>
  <c r="O60" i="19" s="1"/>
  <c r="EL60" i="19" s="1"/>
  <c r="L59" i="19"/>
  <c r="CY59" i="19"/>
  <c r="M59" i="19" s="1"/>
  <c r="N59" i="19"/>
  <c r="DB59" i="19"/>
  <c r="O59" i="19" s="1"/>
  <c r="L66" i="22"/>
  <c r="L74" i="22"/>
  <c r="N74" i="22"/>
  <c r="N66" i="22"/>
  <c r="DB33" i="22"/>
  <c r="O33" i="22" s="1"/>
  <c r="EL33" i="22" s="1"/>
  <c r="L33" i="22"/>
  <c r="CY47" i="22"/>
  <c r="M47" i="22" s="1"/>
  <c r="DB70" i="19"/>
  <c r="O70" i="19" s="1"/>
  <c r="N70" i="19"/>
  <c r="CY70" i="19"/>
  <c r="M70" i="19" s="1"/>
  <c r="L70" i="19"/>
  <c r="Q69" i="19"/>
  <c r="N21" i="32"/>
  <c r="N32" i="32"/>
  <c r="BW41" i="45"/>
  <c r="BJ42" i="45"/>
  <c r="BJ43" i="45" s="1"/>
  <c r="BJ44" i="45" s="1"/>
  <c r="L36" i="41"/>
  <c r="CY36" i="41"/>
  <c r="M36" i="41" s="1"/>
  <c r="EI36" i="41" s="1"/>
  <c r="DB36" i="41"/>
  <c r="O36" i="41" s="1"/>
  <c r="EJ36" i="41" s="1"/>
  <c r="N36" i="41"/>
  <c r="L35" i="41"/>
  <c r="CY35" i="41"/>
  <c r="M35" i="41" s="1"/>
  <c r="EI35" i="41" s="1"/>
  <c r="N35" i="41"/>
  <c r="DB35" i="41"/>
  <c r="O35" i="41" s="1"/>
  <c r="EJ35" i="41" s="1"/>
  <c r="CY44" i="22"/>
  <c r="M44" i="22" s="1"/>
  <c r="DB35" i="22"/>
  <c r="O35" i="22" s="1"/>
  <c r="BW21" i="32"/>
  <c r="BJ22" i="32"/>
  <c r="N42" i="22"/>
  <c r="CY35" i="22"/>
  <c r="M35" i="22" s="1"/>
  <c r="CY42" i="22"/>
  <c r="M42" i="22" s="1"/>
  <c r="BJ21" i="22"/>
  <c r="BW20" i="22"/>
  <c r="DB50" i="22"/>
  <c r="O50" i="22" s="1"/>
  <c r="L39" i="22"/>
  <c r="CY50" i="22"/>
  <c r="M50" i="22" s="1"/>
  <c r="O79" i="45"/>
  <c r="O49" i="45"/>
  <c r="O61" i="45"/>
  <c r="M55" i="45"/>
  <c r="M37" i="45"/>
  <c r="O55" i="45"/>
  <c r="O43" i="45"/>
  <c r="M43" i="45"/>
  <c r="O37" i="45"/>
  <c r="M61" i="45"/>
  <c r="M67" i="45"/>
  <c r="Y62" i="45" s="1"/>
  <c r="M49" i="45"/>
  <c r="M79" i="45"/>
  <c r="Y74" i="45" s="1"/>
  <c r="O67" i="45"/>
  <c r="N39" i="22"/>
  <c r="L78" i="22"/>
  <c r="N78" i="22"/>
  <c r="L65" i="22"/>
  <c r="CY59" i="22"/>
  <c r="M59" i="22" s="1"/>
  <c r="N65" i="22"/>
  <c r="CY72" i="22"/>
  <c r="M72" i="22" s="1"/>
  <c r="N33" i="32"/>
  <c r="N59" i="22"/>
  <c r="DB72" i="22"/>
  <c r="O72" i="22" s="1"/>
  <c r="O73" i="22" s="1"/>
  <c r="CY34" i="22"/>
  <c r="M34" i="22" s="1"/>
  <c r="N34" i="22"/>
  <c r="DB76" i="22"/>
  <c r="O76" i="22" s="1"/>
  <c r="N70" i="22"/>
  <c r="L48" i="22"/>
  <c r="CY68" i="22"/>
  <c r="M68" i="22" s="1"/>
  <c r="L70" i="22"/>
  <c r="N71" i="22"/>
  <c r="N48" i="22"/>
  <c r="L33" i="32"/>
  <c r="N68" i="22"/>
  <c r="L56" i="22"/>
  <c r="L18" i="22"/>
  <c r="N45" i="22"/>
  <c r="N41" i="22"/>
  <c r="O61" i="22"/>
  <c r="CY41" i="22"/>
  <c r="M41" i="22" s="1"/>
  <c r="L36" i="22"/>
  <c r="CY62" i="22"/>
  <c r="M62" i="22" s="1"/>
  <c r="DB36" i="22"/>
  <c r="O36" i="22" s="1"/>
  <c r="L57" i="22"/>
  <c r="N62" i="22"/>
  <c r="DB52" i="22"/>
  <c r="O52" i="22" s="1"/>
  <c r="CY24" i="22"/>
  <c r="M24" i="22" s="1"/>
  <c r="N24" i="22"/>
  <c r="CY45" i="22"/>
  <c r="M45" i="22" s="1"/>
  <c r="L45" i="22"/>
  <c r="DB51" i="22"/>
  <c r="O51" i="22" s="1"/>
  <c r="L77" i="22"/>
  <c r="CY27" i="22"/>
  <c r="M27" i="22" s="1"/>
  <c r="EK27" i="22" s="1"/>
  <c r="N47" i="22"/>
  <c r="DB64" i="22"/>
  <c r="O64" i="22" s="1"/>
  <c r="O67" i="22" s="1"/>
  <c r="L52" i="22"/>
  <c r="CY64" i="22"/>
  <c r="M64" i="22" s="1"/>
  <c r="CY46" i="22"/>
  <c r="M46" i="22" s="1"/>
  <c r="CY75" i="22"/>
  <c r="M75" i="22" s="1"/>
  <c r="M79" i="22" s="1"/>
  <c r="Y74" i="22" s="1"/>
  <c r="DB46" i="22"/>
  <c r="O46" i="22" s="1"/>
  <c r="O49" i="22" s="1"/>
  <c r="N27" i="22"/>
  <c r="N77" i="22"/>
  <c r="CY51" i="22"/>
  <c r="M51" i="22" s="1"/>
  <c r="CY40" i="22"/>
  <c r="M40" i="22" s="1"/>
  <c r="CY54" i="22"/>
  <c r="M54" i="22" s="1"/>
  <c r="DB75" i="22"/>
  <c r="O75" i="22" s="1"/>
  <c r="N63" i="22"/>
  <c r="N38" i="22"/>
  <c r="CY63" i="22"/>
  <c r="M63" i="22" s="1"/>
  <c r="DB30" i="22"/>
  <c r="O30" i="22" s="1"/>
  <c r="EK11" i="41"/>
  <c r="EL11" i="41"/>
  <c r="CY34" i="32"/>
  <c r="M34" i="32" s="1"/>
  <c r="ET38" i="32"/>
  <c r="ET35" i="32"/>
  <c r="DB34" i="32"/>
  <c r="O34" i="32" s="1"/>
  <c r="O37" i="32" s="1"/>
  <c r="N35" i="32"/>
  <c r="CY35" i="32"/>
  <c r="M35" i="32" s="1"/>
  <c r="ES29" i="32"/>
  <c r="L38" i="32"/>
  <c r="CY38" i="32"/>
  <c r="M38" i="32" s="1"/>
  <c r="L40" i="32"/>
  <c r="ES27" i="32"/>
  <c r="ES30" i="32"/>
  <c r="ET40" i="32"/>
  <c r="ES40" i="32"/>
  <c r="DB27" i="32"/>
  <c r="O27" i="32" s="1"/>
  <c r="EL27" i="32" s="1"/>
  <c r="ES22" i="32"/>
  <c r="N40" i="32"/>
  <c r="DB40" i="32"/>
  <c r="O40" i="32" s="1"/>
  <c r="DB38" i="32"/>
  <c r="O38" i="32" s="1"/>
  <c r="N22" i="32"/>
  <c r="CY30" i="32"/>
  <c r="M30" i="32" s="1"/>
  <c r="M53" i="41"/>
  <c r="O55" i="41"/>
  <c r="H102" i="31"/>
  <c r="O93" i="31" s="1"/>
  <c r="O94" i="31"/>
  <c r="BJ20" i="41"/>
  <c r="BW19" i="41"/>
  <c r="EK20" i="45"/>
  <c r="O43" i="22"/>
  <c r="M41" i="19" l="1"/>
  <c r="Q41" i="19"/>
  <c r="M40" i="19"/>
  <c r="Q40" i="19"/>
  <c r="DB18" i="22"/>
  <c r="O18" i="22" s="1"/>
  <c r="Y44" i="45"/>
  <c r="Y50" i="45"/>
  <c r="Y56" i="45"/>
  <c r="Y38" i="45"/>
  <c r="Y32" i="45"/>
  <c r="Q30" i="22"/>
  <c r="Q27" i="22"/>
  <c r="Q24" i="22"/>
  <c r="Q20" i="22"/>
  <c r="L23" i="32"/>
  <c r="CY23" i="32"/>
  <c r="M23" i="32" s="1"/>
  <c r="EK23" i="32" s="1"/>
  <c r="DB24" i="32"/>
  <c r="N24" i="32"/>
  <c r="Q18" i="22"/>
  <c r="CY29" i="41"/>
  <c r="M29" i="41" s="1"/>
  <c r="EK29" i="41" s="1"/>
  <c r="L29" i="41"/>
  <c r="CY17" i="41"/>
  <c r="M17" i="41" s="1"/>
  <c r="EI17" i="41" s="1"/>
  <c r="L17" i="41"/>
  <c r="CY30" i="41"/>
  <c r="M30" i="41" s="1"/>
  <c r="L30" i="41"/>
  <c r="CY18" i="32"/>
  <c r="L18" i="32"/>
  <c r="N17" i="41"/>
  <c r="DB17" i="41"/>
  <c r="O17" i="41" s="1"/>
  <c r="L23" i="41"/>
  <c r="CY23" i="41"/>
  <c r="M23" i="41" s="1"/>
  <c r="N18" i="41"/>
  <c r="DB18" i="41"/>
  <c r="O18" i="41" s="1"/>
  <c r="DB29" i="41"/>
  <c r="O29" i="41" s="1"/>
  <c r="EL29" i="41" s="1"/>
  <c r="N29" i="41"/>
  <c r="N23" i="41"/>
  <c r="DB23" i="41"/>
  <c r="O23" i="41" s="1"/>
  <c r="L18" i="41"/>
  <c r="CY18" i="41"/>
  <c r="M18" i="41" s="1"/>
  <c r="L24" i="41"/>
  <c r="CY24" i="41"/>
  <c r="M24" i="41" s="1"/>
  <c r="N30" i="41"/>
  <c r="DB30" i="41"/>
  <c r="O30" i="41" s="1"/>
  <c r="N24" i="41"/>
  <c r="DB24" i="41"/>
  <c r="O24" i="41" s="1"/>
  <c r="EK17" i="41"/>
  <c r="N18" i="47"/>
  <c r="DB18" i="47"/>
  <c r="O18" i="47" s="1"/>
  <c r="EJ18" i="47" s="1"/>
  <c r="DB29" i="47"/>
  <c r="O29" i="47" s="1"/>
  <c r="N29" i="47"/>
  <c r="L29" i="47"/>
  <c r="CY29" i="47"/>
  <c r="M29" i="47" s="1"/>
  <c r="L18" i="47"/>
  <c r="M30" i="47"/>
  <c r="EI30" i="47" s="1"/>
  <c r="M30" i="45"/>
  <c r="M24" i="45"/>
  <c r="DF23" i="19"/>
  <c r="DE23" i="19" s="1"/>
  <c r="K17" i="32"/>
  <c r="EO17" i="32" s="1"/>
  <c r="CL18" i="45"/>
  <c r="DF18" i="45" s="1"/>
  <c r="CL26" i="45"/>
  <c r="CL28" i="45"/>
  <c r="CL22" i="45"/>
  <c r="CL20" i="45"/>
  <c r="CL27" i="45"/>
  <c r="CL23" i="45"/>
  <c r="DU17" i="32"/>
  <c r="DW17" i="32"/>
  <c r="DI17" i="32"/>
  <c r="DG17" i="32"/>
  <c r="EJ29" i="22"/>
  <c r="CY27" i="32"/>
  <c r="M27" i="32" s="1"/>
  <c r="EK27" i="32" s="1"/>
  <c r="L27" i="32"/>
  <c r="CY29" i="32"/>
  <c r="M29" i="32" s="1"/>
  <c r="L29" i="32"/>
  <c r="L21" i="32"/>
  <c r="CY21" i="32"/>
  <c r="M21" i="32" s="1"/>
  <c r="EI21" i="32" s="1"/>
  <c r="L22" i="32"/>
  <c r="CY22" i="32"/>
  <c r="N28" i="32"/>
  <c r="DB28" i="32"/>
  <c r="DB29" i="32"/>
  <c r="O29" i="32" s="1"/>
  <c r="N29" i="32"/>
  <c r="DB30" i="32"/>
  <c r="O30" i="32" s="1"/>
  <c r="DB32" i="22"/>
  <c r="O32" i="22" s="1"/>
  <c r="EL32" i="22" s="1"/>
  <c r="CY32" i="22"/>
  <c r="M32" i="22" s="1"/>
  <c r="EK32" i="22" s="1"/>
  <c r="Q33" i="22"/>
  <c r="Q32" i="22"/>
  <c r="L32" i="32"/>
  <c r="CY32" i="32"/>
  <c r="N20" i="32"/>
  <c r="DB20" i="32"/>
  <c r="O20" i="32" s="1"/>
  <c r="L20" i="32"/>
  <c r="CY20" i="32"/>
  <c r="DB34" i="41"/>
  <c r="O34" i="41" s="1"/>
  <c r="L34" i="41"/>
  <c r="CY34" i="41"/>
  <c r="M34" i="41" s="1"/>
  <c r="L32" i="41"/>
  <c r="CY32" i="41"/>
  <c r="M32" i="41" s="1"/>
  <c r="DB32" i="41"/>
  <c r="O32" i="41" s="1"/>
  <c r="N32" i="41"/>
  <c r="M34" i="47"/>
  <c r="EK34" i="47" s="1"/>
  <c r="CY39" i="19"/>
  <c r="L39" i="19"/>
  <c r="N39" i="19"/>
  <c r="DB39" i="19"/>
  <c r="O39" i="19" s="1"/>
  <c r="DB12" i="45"/>
  <c r="O12" i="45" s="1"/>
  <c r="N12" i="45"/>
  <c r="L12" i="45"/>
  <c r="CY12" i="45"/>
  <c r="M12" i="45" s="1"/>
  <c r="N12" i="47"/>
  <c r="DB12" i="47"/>
  <c r="O12" i="47" s="1"/>
  <c r="EJ12" i="47" s="1"/>
  <c r="CY12" i="47"/>
  <c r="M12" i="47" s="1"/>
  <c r="EI12" i="47" s="1"/>
  <c r="L12" i="47"/>
  <c r="L12" i="41"/>
  <c r="CY12" i="41"/>
  <c r="M12" i="41" s="1"/>
  <c r="DB12" i="41"/>
  <c r="O12" i="41" s="1"/>
  <c r="N12" i="41"/>
  <c r="L15" i="32"/>
  <c r="CY15" i="32"/>
  <c r="Q15" i="32" s="1"/>
  <c r="DA12" i="32"/>
  <c r="N12" i="32" s="1"/>
  <c r="CW12" i="32"/>
  <c r="L11" i="32"/>
  <c r="CY11" i="32"/>
  <c r="M11" i="32" s="1"/>
  <c r="EI11" i="32" s="1"/>
  <c r="DA11" i="32"/>
  <c r="CV10" i="32"/>
  <c r="DA10" i="32" s="1"/>
  <c r="CT10" i="32"/>
  <c r="CW10" i="32" s="1"/>
  <c r="Q76" i="19"/>
  <c r="Q75" i="19"/>
  <c r="Q74" i="19"/>
  <c r="Q72" i="19"/>
  <c r="M71" i="19"/>
  <c r="Q71" i="19"/>
  <c r="Q68" i="19"/>
  <c r="M63" i="19"/>
  <c r="M62" i="19"/>
  <c r="M57" i="19"/>
  <c r="V74" i="47"/>
  <c r="W75" i="47"/>
  <c r="V68" i="41"/>
  <c r="W69" i="41"/>
  <c r="V74" i="41"/>
  <c r="W75" i="41"/>
  <c r="V38" i="41"/>
  <c r="W39" i="41"/>
  <c r="Z23" i="19"/>
  <c r="CU23" i="19"/>
  <c r="DS23" i="19"/>
  <c r="DT23" i="19" s="1"/>
  <c r="CS23" i="19"/>
  <c r="J23" i="19"/>
  <c r="EU23" i="19"/>
  <c r="CO23" i="19"/>
  <c r="CN23" i="19" s="1"/>
  <c r="EU18" i="45"/>
  <c r="J18" i="45"/>
  <c r="Z18" i="45"/>
  <c r="CL24" i="19"/>
  <c r="CL34" i="19"/>
  <c r="CL35" i="19"/>
  <c r="W14" i="22"/>
  <c r="V12" i="22"/>
  <c r="C12" i="22" s="1"/>
  <c r="EJ27" i="47"/>
  <c r="EI26" i="47"/>
  <c r="EJ26" i="47"/>
  <c r="W23" i="22"/>
  <c r="V23" i="22" s="1"/>
  <c r="C23" i="22" s="1"/>
  <c r="W22" i="45"/>
  <c r="V22" i="45" s="1"/>
  <c r="C22" i="45" s="1"/>
  <c r="C21" i="45"/>
  <c r="CL32" i="19"/>
  <c r="DE32" i="19" s="1"/>
  <c r="CL22" i="19"/>
  <c r="M43" i="32"/>
  <c r="Y38" i="32" s="1"/>
  <c r="M61" i="22"/>
  <c r="Y56" i="22" s="1"/>
  <c r="CL26" i="19"/>
  <c r="BJ21" i="47"/>
  <c r="BW20" i="47"/>
  <c r="BJ45" i="19"/>
  <c r="BJ46" i="19" s="1"/>
  <c r="BJ47" i="19" s="1"/>
  <c r="BJ48" i="19" s="1"/>
  <c r="BJ49" i="19" s="1"/>
  <c r="BJ50" i="19" s="1"/>
  <c r="BW44" i="19"/>
  <c r="CL17" i="19" s="1"/>
  <c r="EI59" i="19"/>
  <c r="EJ59" i="19"/>
  <c r="EJ23" i="47"/>
  <c r="EL23" i="47"/>
  <c r="EI22" i="47"/>
  <c r="EK22" i="47"/>
  <c r="EJ22" i="47"/>
  <c r="EL22" i="47"/>
  <c r="EI70" i="19"/>
  <c r="EJ70" i="19"/>
  <c r="Q70" i="19"/>
  <c r="BW44" i="45"/>
  <c r="CL14" i="45" s="1"/>
  <c r="BJ45" i="45"/>
  <c r="BJ46" i="45" s="1"/>
  <c r="BJ47" i="45" s="1"/>
  <c r="BJ48" i="45" s="1"/>
  <c r="BJ49" i="45" s="1"/>
  <c r="BJ50" i="45" s="1"/>
  <c r="BJ23" i="32"/>
  <c r="BW22" i="32"/>
  <c r="BW21" i="22"/>
  <c r="BJ22" i="22"/>
  <c r="M73" i="22"/>
  <c r="Y68" i="22" s="1"/>
  <c r="O79" i="22"/>
  <c r="M43" i="22"/>
  <c r="Y38" i="22" s="1"/>
  <c r="O55" i="22"/>
  <c r="M49" i="22"/>
  <c r="Y44" i="22" s="1"/>
  <c r="M67" i="22"/>
  <c r="Y62" i="22" s="1"/>
  <c r="M55" i="22"/>
  <c r="Y50" i="22" s="1"/>
  <c r="O43" i="32"/>
  <c r="M55" i="41"/>
  <c r="BW20" i="41"/>
  <c r="BJ21" i="41"/>
  <c r="M39" i="19" l="1"/>
  <c r="Q39" i="19"/>
  <c r="DF34" i="19"/>
  <c r="DE34" i="19" s="1"/>
  <c r="DF35" i="19"/>
  <c r="DE35" i="19" s="1"/>
  <c r="CO18" i="45"/>
  <c r="CN18" i="45" s="1"/>
  <c r="DI18" i="45" s="1"/>
  <c r="Y50" i="41"/>
  <c r="H18" i="45"/>
  <c r="ER18" i="45" s="1"/>
  <c r="K23" i="19"/>
  <c r="EM23" i="19" s="1"/>
  <c r="Q23" i="32"/>
  <c r="Q27" i="32"/>
  <c r="O24" i="32"/>
  <c r="O25" i="32" s="1"/>
  <c r="Q24" i="32"/>
  <c r="EI29" i="32"/>
  <c r="EK29" i="32"/>
  <c r="M18" i="32"/>
  <c r="Q18" i="32"/>
  <c r="EJ29" i="32"/>
  <c r="EL29" i="32"/>
  <c r="EL17" i="41"/>
  <c r="EJ17" i="41"/>
  <c r="EI29" i="47"/>
  <c r="EK29" i="47"/>
  <c r="EJ29" i="47"/>
  <c r="EL29" i="47"/>
  <c r="DF14" i="45"/>
  <c r="DE14" i="45" s="1"/>
  <c r="DF28" i="45"/>
  <c r="DE28" i="45" s="1"/>
  <c r="DF26" i="45"/>
  <c r="DE26" i="45" s="1"/>
  <c r="DF23" i="45"/>
  <c r="DE23" i="45" s="1"/>
  <c r="DF27" i="45"/>
  <c r="DE27" i="45" s="1"/>
  <c r="DF20" i="45"/>
  <c r="DE20" i="45" s="1"/>
  <c r="DF22" i="45"/>
  <c r="DE22" i="45" s="1"/>
  <c r="DF26" i="19"/>
  <c r="DE26" i="19" s="1"/>
  <c r="DF22" i="19"/>
  <c r="DE22" i="19" s="1"/>
  <c r="DF24" i="19"/>
  <c r="DE24" i="19" s="1"/>
  <c r="DF17" i="19"/>
  <c r="DE17" i="19" s="1"/>
  <c r="DS18" i="45"/>
  <c r="DT18" i="45" s="1"/>
  <c r="DX18" i="45" s="1"/>
  <c r="DE18" i="45"/>
  <c r="CU18" i="45"/>
  <c r="CS18" i="45"/>
  <c r="EM17" i="32"/>
  <c r="EP17" i="32"/>
  <c r="EU26" i="45"/>
  <c r="DS26" i="45"/>
  <c r="DT26" i="45" s="1"/>
  <c r="CS26" i="45"/>
  <c r="CU26" i="45"/>
  <c r="Z26" i="45"/>
  <c r="CO26" i="45"/>
  <c r="CN26" i="45" s="1"/>
  <c r="J26" i="45"/>
  <c r="J23" i="45"/>
  <c r="CS23" i="45"/>
  <c r="Z23" i="45"/>
  <c r="CU23" i="45"/>
  <c r="CO23" i="45"/>
  <c r="CN23" i="45" s="1"/>
  <c r="EU23" i="45"/>
  <c r="DS23" i="45"/>
  <c r="DT23" i="45" s="1"/>
  <c r="CR17" i="32"/>
  <c r="DL17" i="32" s="1"/>
  <c r="DH17" i="32" s="1"/>
  <c r="DO17" i="32" s="1"/>
  <c r="DP17" i="32" s="1"/>
  <c r="J27" i="45"/>
  <c r="CU27" i="45"/>
  <c r="Z27" i="45"/>
  <c r="EU27" i="45"/>
  <c r="CO27" i="45"/>
  <c r="CN27" i="45" s="1"/>
  <c r="DS27" i="45"/>
  <c r="DT27" i="45" s="1"/>
  <c r="CS27" i="45"/>
  <c r="J20" i="45"/>
  <c r="CS20" i="45"/>
  <c r="Z20" i="45"/>
  <c r="DS20" i="45"/>
  <c r="DT20" i="45" s="1"/>
  <c r="CU20" i="45"/>
  <c r="EU20" i="45"/>
  <c r="CO20" i="45"/>
  <c r="CN20" i="45" s="1"/>
  <c r="EQ17" i="32"/>
  <c r="CS22" i="45"/>
  <c r="Z22" i="45"/>
  <c r="EU22" i="45"/>
  <c r="CO22" i="45"/>
  <c r="CN22" i="45" s="1"/>
  <c r="J22" i="45"/>
  <c r="DS22" i="45"/>
  <c r="DT22" i="45" s="1"/>
  <c r="CU22" i="45"/>
  <c r="CL30" i="19"/>
  <c r="DF30" i="19" s="1"/>
  <c r="DS28" i="45"/>
  <c r="DT28" i="45" s="1"/>
  <c r="CO28" i="45"/>
  <c r="CN28" i="45" s="1"/>
  <c r="CS28" i="45"/>
  <c r="CU28" i="45"/>
  <c r="EU28" i="45"/>
  <c r="Z28" i="45"/>
  <c r="J28" i="45"/>
  <c r="ER17" i="32"/>
  <c r="EL17" i="32"/>
  <c r="EJ26" i="32"/>
  <c r="EL15" i="41"/>
  <c r="EK15" i="41"/>
  <c r="K18" i="45"/>
  <c r="EM18" i="45" s="1"/>
  <c r="Q21" i="32"/>
  <c r="O28" i="32"/>
  <c r="EL28" i="32" s="1"/>
  <c r="Q28" i="32"/>
  <c r="Q30" i="32"/>
  <c r="M22" i="32"/>
  <c r="EK22" i="32" s="1"/>
  <c r="Q22" i="32"/>
  <c r="Q29" i="32"/>
  <c r="EL20" i="32"/>
  <c r="O37" i="22"/>
  <c r="M37" i="22"/>
  <c r="Y32" i="22" s="1"/>
  <c r="M32" i="32"/>
  <c r="Q32" i="32"/>
  <c r="M20" i="32"/>
  <c r="Q20" i="32"/>
  <c r="M37" i="41"/>
  <c r="EK9" i="41"/>
  <c r="EK82" i="41" s="1"/>
  <c r="EL9" i="41"/>
  <c r="EL82" i="41" s="1"/>
  <c r="EI34" i="41"/>
  <c r="EK34" i="41"/>
  <c r="EJ34" i="41"/>
  <c r="EL34" i="41"/>
  <c r="EJ32" i="41"/>
  <c r="EL32" i="41"/>
  <c r="EI32" i="41"/>
  <c r="EK32" i="41"/>
  <c r="O37" i="41"/>
  <c r="O43" i="41" s="1"/>
  <c r="EG14" i="22"/>
  <c r="EH14" i="22"/>
  <c r="DD14" i="22"/>
  <c r="M15" i="32"/>
  <c r="L12" i="32"/>
  <c r="CY12" i="32"/>
  <c r="DB12" i="32"/>
  <c r="O12" i="32" s="1"/>
  <c r="DB11" i="32"/>
  <c r="Q11" i="32" s="1"/>
  <c r="N11" i="32"/>
  <c r="L10" i="32"/>
  <c r="CY10" i="32"/>
  <c r="DB10" i="32"/>
  <c r="O10" i="32" s="1"/>
  <c r="EJ10" i="32" s="1"/>
  <c r="N10" i="32"/>
  <c r="H23" i="19"/>
  <c r="DV23" i="19"/>
  <c r="DX23" i="19"/>
  <c r="DH23" i="19"/>
  <c r="DJ23" i="19"/>
  <c r="V75" i="47"/>
  <c r="W76" i="47"/>
  <c r="V69" i="41"/>
  <c r="W70" i="41"/>
  <c r="V75" i="41"/>
  <c r="W76" i="41"/>
  <c r="V39" i="41"/>
  <c r="W40" i="41"/>
  <c r="DG23" i="19"/>
  <c r="DI23" i="19"/>
  <c r="DU23" i="19"/>
  <c r="DW23" i="19"/>
  <c r="CU14" i="45"/>
  <c r="Z14" i="45"/>
  <c r="EU14" i="45"/>
  <c r="DS14" i="45"/>
  <c r="DT14" i="45" s="1"/>
  <c r="J14" i="45"/>
  <c r="CS14" i="45"/>
  <c r="CO14" i="45"/>
  <c r="CN14" i="45" s="1"/>
  <c r="J35" i="19"/>
  <c r="CO35" i="19"/>
  <c r="CN35" i="19" s="1"/>
  <c r="CU35" i="19"/>
  <c r="Z35" i="19"/>
  <c r="CS35" i="19"/>
  <c r="DS35" i="19"/>
  <c r="DT35" i="19" s="1"/>
  <c r="EU35" i="19"/>
  <c r="EU34" i="19"/>
  <c r="CU34" i="19"/>
  <c r="Z34" i="19"/>
  <c r="DS34" i="19"/>
  <c r="DT34" i="19" s="1"/>
  <c r="CS34" i="19"/>
  <c r="CO34" i="19"/>
  <c r="CN34" i="19" s="1"/>
  <c r="J34" i="19"/>
  <c r="CO24" i="19"/>
  <c r="CN24" i="19" s="1"/>
  <c r="EU24" i="19"/>
  <c r="DS24" i="19"/>
  <c r="DT24" i="19" s="1"/>
  <c r="Z24" i="19"/>
  <c r="CU24" i="19"/>
  <c r="CS24" i="19"/>
  <c r="J24" i="19"/>
  <c r="W15" i="22"/>
  <c r="V14" i="22"/>
  <c r="C14" i="22" s="1"/>
  <c r="W24" i="22"/>
  <c r="V24" i="22" s="1"/>
  <c r="C24" i="22" s="1"/>
  <c r="W23" i="45"/>
  <c r="V23" i="45" s="1"/>
  <c r="C23" i="45" s="1"/>
  <c r="J30" i="19"/>
  <c r="EU30" i="19"/>
  <c r="Z30" i="19"/>
  <c r="CL20" i="19"/>
  <c r="CL33" i="19"/>
  <c r="EU32" i="19"/>
  <c r="DS32" i="19"/>
  <c r="DT32" i="19" s="1"/>
  <c r="CO32" i="19"/>
  <c r="CN32" i="19" s="1"/>
  <c r="J32" i="19"/>
  <c r="CU32" i="19"/>
  <c r="CS32" i="19"/>
  <c r="Z32" i="19"/>
  <c r="CO22" i="19"/>
  <c r="CN22" i="19" s="1"/>
  <c r="DS22" i="19"/>
  <c r="DT22" i="19" s="1"/>
  <c r="CU22" i="19"/>
  <c r="CS22" i="19"/>
  <c r="Z22" i="19"/>
  <c r="J22" i="19"/>
  <c r="EU22" i="19"/>
  <c r="J17" i="19"/>
  <c r="CO17" i="19"/>
  <c r="CN17" i="19" s="1"/>
  <c r="CS17" i="19"/>
  <c r="CU17" i="19"/>
  <c r="DS17" i="19"/>
  <c r="DT17" i="19" s="1"/>
  <c r="EU17" i="19"/>
  <c r="Z17" i="19"/>
  <c r="J26" i="19"/>
  <c r="CS26" i="19"/>
  <c r="CO26" i="19"/>
  <c r="CN26" i="19" s="1"/>
  <c r="DS26" i="19"/>
  <c r="DT26" i="19" s="1"/>
  <c r="Z26" i="19"/>
  <c r="CU26" i="19"/>
  <c r="EU26" i="19"/>
  <c r="CL18" i="19"/>
  <c r="BJ22" i="47"/>
  <c r="BW21" i="47"/>
  <c r="BJ51" i="19"/>
  <c r="BJ52" i="19" s="1"/>
  <c r="BJ53" i="19" s="1"/>
  <c r="BJ54" i="19" s="1"/>
  <c r="BJ55" i="19" s="1"/>
  <c r="BJ56" i="19" s="1"/>
  <c r="BW50" i="19"/>
  <c r="CL12" i="19" s="1"/>
  <c r="EI23" i="47"/>
  <c r="EK23" i="47"/>
  <c r="EI27" i="47"/>
  <c r="BW50" i="45"/>
  <c r="BJ51" i="45"/>
  <c r="BJ52" i="45" s="1"/>
  <c r="BJ53" i="45" s="1"/>
  <c r="BJ54" i="45" s="1"/>
  <c r="BJ55" i="45" s="1"/>
  <c r="BJ56" i="45" s="1"/>
  <c r="BJ24" i="32"/>
  <c r="BW23" i="32"/>
  <c r="BJ23" i="22"/>
  <c r="BW22" i="22"/>
  <c r="BJ22" i="41"/>
  <c r="BW21" i="41"/>
  <c r="M43" i="41" l="1"/>
  <c r="Y38" i="41" s="1"/>
  <c r="K35" i="19"/>
  <c r="EM35" i="19" s="1"/>
  <c r="DF33" i="19"/>
  <c r="DE33" i="19" s="1"/>
  <c r="K34" i="19"/>
  <c r="DJ18" i="45"/>
  <c r="DG18" i="45"/>
  <c r="DH18" i="45"/>
  <c r="Q18" i="45"/>
  <c r="H28" i="45"/>
  <c r="ER28" i="45" s="1"/>
  <c r="H27" i="45"/>
  <c r="H23" i="45"/>
  <c r="ER23" i="45" s="1"/>
  <c r="H14" i="45"/>
  <c r="H20" i="45"/>
  <c r="H22" i="45"/>
  <c r="ER22" i="45" s="1"/>
  <c r="H26" i="45"/>
  <c r="ER26" i="45" s="1"/>
  <c r="K32" i="19"/>
  <c r="Q32" i="19" s="1"/>
  <c r="K26" i="19"/>
  <c r="Q26" i="19" s="1"/>
  <c r="K30" i="19"/>
  <c r="Q30" i="19" s="1"/>
  <c r="K24" i="19"/>
  <c r="Q24" i="19" s="1"/>
  <c r="K22" i="19"/>
  <c r="EM22" i="19" s="1"/>
  <c r="DF20" i="19"/>
  <c r="DE20" i="19" s="1"/>
  <c r="DF18" i="19"/>
  <c r="DE18" i="19" s="1"/>
  <c r="DF12" i="19"/>
  <c r="DE12" i="19" s="1"/>
  <c r="DU18" i="45"/>
  <c r="DV18" i="45"/>
  <c r="DW18" i="45"/>
  <c r="DS30" i="19"/>
  <c r="DT30" i="19" s="1"/>
  <c r="DV30" i="19" s="1"/>
  <c r="DE30" i="19"/>
  <c r="CS30" i="19"/>
  <c r="CO30" i="19"/>
  <c r="CN30" i="19" s="1"/>
  <c r="DH30" i="19" s="1"/>
  <c r="CU30" i="19"/>
  <c r="DN17" i="32"/>
  <c r="DJ17" i="32" s="1"/>
  <c r="DQ17" i="32" s="1"/>
  <c r="DR17" i="32" s="1"/>
  <c r="K27" i="45"/>
  <c r="Q27" i="45" s="1"/>
  <c r="DH23" i="45"/>
  <c r="DJ23" i="45"/>
  <c r="DG23" i="45"/>
  <c r="DI23" i="45"/>
  <c r="DH26" i="45"/>
  <c r="DJ26" i="45"/>
  <c r="DI26" i="45"/>
  <c r="DG26" i="45"/>
  <c r="DJ28" i="45"/>
  <c r="DI28" i="45"/>
  <c r="DG28" i="45"/>
  <c r="DH28" i="45"/>
  <c r="DJ22" i="45"/>
  <c r="DI22" i="45"/>
  <c r="DG22" i="45"/>
  <c r="DH22" i="45"/>
  <c r="DI20" i="45"/>
  <c r="DG20" i="45"/>
  <c r="DJ20" i="45"/>
  <c r="DH20" i="45"/>
  <c r="K26" i="45"/>
  <c r="EM26" i="45" s="1"/>
  <c r="ET17" i="32"/>
  <c r="ES17" i="32"/>
  <c r="DX28" i="45"/>
  <c r="DU28" i="45"/>
  <c r="DW28" i="45"/>
  <c r="DV28" i="45"/>
  <c r="K23" i="45"/>
  <c r="EM23" i="45" s="1"/>
  <c r="K22" i="45"/>
  <c r="Q22" i="45" s="1"/>
  <c r="K28" i="45"/>
  <c r="Q28" i="45" s="1"/>
  <c r="CX17" i="32"/>
  <c r="CT17" i="32" s="1"/>
  <c r="CW17" i="32" s="1"/>
  <c r="CZ17" i="32"/>
  <c r="CV17" i="32" s="1"/>
  <c r="DA17" i="32" s="1"/>
  <c r="DW20" i="45"/>
  <c r="DU20" i="45"/>
  <c r="DX20" i="45"/>
  <c r="DX27" i="45"/>
  <c r="DU27" i="45"/>
  <c r="DV27" i="45"/>
  <c r="DW27" i="45"/>
  <c r="DX23" i="45"/>
  <c r="DV23" i="45"/>
  <c r="DU23" i="45"/>
  <c r="DW23" i="45"/>
  <c r="DZ17" i="32"/>
  <c r="DV17" i="32" s="1"/>
  <c r="EC17" i="32" s="1"/>
  <c r="ED17" i="32" s="1"/>
  <c r="DW26" i="45"/>
  <c r="DV26" i="45"/>
  <c r="DU26" i="45"/>
  <c r="DX26" i="45"/>
  <c r="DV22" i="45"/>
  <c r="DX22" i="45"/>
  <c r="DU22" i="45"/>
  <c r="DW22" i="45"/>
  <c r="K20" i="45"/>
  <c r="EM20" i="45" s="1"/>
  <c r="DJ27" i="45"/>
  <c r="DG27" i="45"/>
  <c r="DI27" i="45"/>
  <c r="DH27" i="45"/>
  <c r="EB17" i="32"/>
  <c r="DX17" i="32" s="1"/>
  <c r="EE17" i="32" s="1"/>
  <c r="EF17" i="32" s="1"/>
  <c r="EK17" i="32"/>
  <c r="K14" i="45"/>
  <c r="EM14" i="45" s="1"/>
  <c r="M25" i="32"/>
  <c r="Y20" i="32" s="1"/>
  <c r="EK20" i="32"/>
  <c r="ER23" i="19"/>
  <c r="ES23" i="19" s="1"/>
  <c r="Y32" i="41"/>
  <c r="M37" i="32"/>
  <c r="Y32" i="32" s="1"/>
  <c r="EK32" i="32"/>
  <c r="EK14" i="22"/>
  <c r="EL14" i="22"/>
  <c r="Q12" i="32"/>
  <c r="Q10" i="32"/>
  <c r="M12" i="32"/>
  <c r="M10" i="32"/>
  <c r="EI10" i="32" s="1"/>
  <c r="O11" i="32"/>
  <c r="EJ11" i="32" s="1"/>
  <c r="H24" i="19"/>
  <c r="EM24" i="19"/>
  <c r="H22" i="19"/>
  <c r="H30" i="19"/>
  <c r="EM30" i="19"/>
  <c r="H26" i="19"/>
  <c r="EM26" i="19"/>
  <c r="H35" i="19"/>
  <c r="H34" i="19"/>
  <c r="EM34" i="19"/>
  <c r="H32" i="19"/>
  <c r="EM32" i="19"/>
  <c r="K17" i="19"/>
  <c r="EM17" i="19" s="1"/>
  <c r="H17" i="19"/>
  <c r="Z12" i="19"/>
  <c r="DV22" i="19"/>
  <c r="DX22" i="19"/>
  <c r="DV24" i="19"/>
  <c r="DX24" i="19"/>
  <c r="DV26" i="19"/>
  <c r="DX26" i="19"/>
  <c r="DV32" i="19"/>
  <c r="DX32" i="19"/>
  <c r="DV34" i="19"/>
  <c r="DX34" i="19"/>
  <c r="DV35" i="19"/>
  <c r="DX35" i="19"/>
  <c r="DH22" i="19"/>
  <c r="DJ22" i="19"/>
  <c r="DH24" i="19"/>
  <c r="DJ24" i="19"/>
  <c r="DH26" i="19"/>
  <c r="DJ26" i="19"/>
  <c r="DH32" i="19"/>
  <c r="DJ32" i="19"/>
  <c r="DH34" i="19"/>
  <c r="DJ34" i="19"/>
  <c r="DH35" i="19"/>
  <c r="DJ35" i="19"/>
  <c r="V76" i="47"/>
  <c r="W77" i="47"/>
  <c r="V70" i="41"/>
  <c r="W71" i="41"/>
  <c r="V76" i="41"/>
  <c r="W77" i="41"/>
  <c r="V40" i="41"/>
  <c r="W41" i="41"/>
  <c r="CU20" i="19"/>
  <c r="EO23" i="19"/>
  <c r="CR23" i="19"/>
  <c r="EU12" i="19"/>
  <c r="DS12" i="19"/>
  <c r="DT12" i="19" s="1"/>
  <c r="DX12" i="19" s="1"/>
  <c r="CO12" i="19"/>
  <c r="CN12" i="19" s="1"/>
  <c r="DJ12" i="19" s="1"/>
  <c r="J12" i="19"/>
  <c r="ET18" i="45"/>
  <c r="ES18" i="45"/>
  <c r="DI14" i="45"/>
  <c r="DG14" i="45"/>
  <c r="EO18" i="45"/>
  <c r="CR18" i="45"/>
  <c r="DU14" i="45"/>
  <c r="DW14" i="45"/>
  <c r="DU24" i="19"/>
  <c r="DW24" i="19"/>
  <c r="DG34" i="19"/>
  <c r="DI34" i="19"/>
  <c r="DU35" i="19"/>
  <c r="DW35" i="19"/>
  <c r="CU12" i="19"/>
  <c r="DI35" i="19"/>
  <c r="DG35" i="19"/>
  <c r="DW34" i="19"/>
  <c r="DU34" i="19"/>
  <c r="CS12" i="19"/>
  <c r="DI24" i="19"/>
  <c r="DG24" i="19"/>
  <c r="W16" i="22"/>
  <c r="V15" i="22"/>
  <c r="C15" i="22" s="1"/>
  <c r="EU20" i="19"/>
  <c r="DS20" i="19"/>
  <c r="DT20" i="19" s="1"/>
  <c r="CS20" i="19"/>
  <c r="J20" i="19"/>
  <c r="Z20" i="19"/>
  <c r="CO20" i="19"/>
  <c r="CN20" i="19" s="1"/>
  <c r="W24" i="45"/>
  <c r="V24" i="45" s="1"/>
  <c r="C24" i="45" s="1"/>
  <c r="J33" i="19"/>
  <c r="Z33" i="19"/>
  <c r="CU33" i="19"/>
  <c r="DS33" i="19"/>
  <c r="DT33" i="19" s="1"/>
  <c r="EU33" i="19"/>
  <c r="CO33" i="19"/>
  <c r="CN33" i="19" s="1"/>
  <c r="CS33" i="19"/>
  <c r="DU32" i="19"/>
  <c r="DW32" i="19"/>
  <c r="DI32" i="19"/>
  <c r="DG32" i="19"/>
  <c r="DW22" i="19"/>
  <c r="DU22" i="19"/>
  <c r="DG22" i="19"/>
  <c r="DI22" i="19"/>
  <c r="DG26" i="19"/>
  <c r="DI26" i="19"/>
  <c r="CO18" i="19"/>
  <c r="CN18" i="19" s="1"/>
  <c r="CS18" i="19"/>
  <c r="EU18" i="19"/>
  <c r="Z18" i="19"/>
  <c r="J18" i="19"/>
  <c r="CU18" i="19"/>
  <c r="DS18" i="19"/>
  <c r="DT18" i="19" s="1"/>
  <c r="DW26" i="19"/>
  <c r="DU26" i="19"/>
  <c r="DU17" i="19"/>
  <c r="DW17" i="19"/>
  <c r="DG17" i="19"/>
  <c r="DI17" i="19"/>
  <c r="BJ23" i="47"/>
  <c r="BW22" i="47"/>
  <c r="BJ57" i="19"/>
  <c r="BJ58" i="19" s="1"/>
  <c r="BJ59" i="19" s="1"/>
  <c r="BJ60" i="19" s="1"/>
  <c r="BJ61" i="19" s="1"/>
  <c r="BJ62" i="19" s="1"/>
  <c r="BW56" i="19"/>
  <c r="BJ57" i="45"/>
  <c r="BJ58" i="45" s="1"/>
  <c r="BJ59" i="45" s="1"/>
  <c r="BJ60" i="45" s="1"/>
  <c r="BJ61" i="45" s="1"/>
  <c r="BJ62" i="45" s="1"/>
  <c r="BW56" i="45"/>
  <c r="BJ25" i="32"/>
  <c r="BW24" i="32"/>
  <c r="BJ24" i="22"/>
  <c r="BW23" i="22"/>
  <c r="BW22" i="41"/>
  <c r="BJ23" i="41"/>
  <c r="ER34" i="19" l="1"/>
  <c r="ET34" i="19" s="1"/>
  <c r="ER35" i="19"/>
  <c r="ET35" i="19" s="1"/>
  <c r="Q26" i="45"/>
  <c r="Q20" i="45"/>
  <c r="Q14" i="45"/>
  <c r="Q23" i="45"/>
  <c r="K33" i="19"/>
  <c r="EM33" i="19" s="1"/>
  <c r="K20" i="19"/>
  <c r="EM20" i="19" s="1"/>
  <c r="K18" i="19"/>
  <c r="Q18" i="19" s="1"/>
  <c r="K12" i="19"/>
  <c r="ER24" i="19"/>
  <c r="ES24" i="19" s="1"/>
  <c r="DZ18" i="45"/>
  <c r="EC18" i="45" s="1"/>
  <c r="ED18" i="45" s="1"/>
  <c r="DX30" i="19"/>
  <c r="DW30" i="19"/>
  <c r="DU30" i="19"/>
  <c r="DG30" i="19"/>
  <c r="DI30" i="19"/>
  <c r="DJ30" i="19"/>
  <c r="ER20" i="45"/>
  <c r="CY17" i="32"/>
  <c r="L17" i="32"/>
  <c r="CR22" i="45"/>
  <c r="DL22" i="45" s="1"/>
  <c r="EO22" i="45"/>
  <c r="ES22" i="45"/>
  <c r="ET22" i="45"/>
  <c r="EO23" i="45"/>
  <c r="CR23" i="45"/>
  <c r="DO23" i="45" s="1"/>
  <c r="DP23" i="45" s="1"/>
  <c r="EM28" i="45"/>
  <c r="EO28" i="45"/>
  <c r="CR28" i="45"/>
  <c r="EC28" i="45" s="1"/>
  <c r="ED28" i="45" s="1"/>
  <c r="ET23" i="45"/>
  <c r="ES23" i="45"/>
  <c r="EO26" i="45"/>
  <c r="CR26" i="45"/>
  <c r="EC26" i="45" s="1"/>
  <c r="ED26" i="45" s="1"/>
  <c r="EM27" i="45"/>
  <c r="CR27" i="45"/>
  <c r="EB27" i="45" s="1"/>
  <c r="EE27" i="45" s="1"/>
  <c r="EF27" i="45" s="1"/>
  <c r="EO27" i="45"/>
  <c r="ES28" i="45"/>
  <c r="ET28" i="45"/>
  <c r="ET26" i="45"/>
  <c r="ES26" i="45"/>
  <c r="ER27" i="45"/>
  <c r="CR20" i="45"/>
  <c r="DO20" i="45" s="1"/>
  <c r="DP20" i="45" s="1"/>
  <c r="EO20" i="45"/>
  <c r="N17" i="32"/>
  <c r="DB17" i="32"/>
  <c r="O17" i="32" s="1"/>
  <c r="EJ17" i="32" s="1"/>
  <c r="EM22" i="45"/>
  <c r="ER30" i="19"/>
  <c r="ET30" i="19" s="1"/>
  <c r="ET23" i="19"/>
  <c r="ER32" i="19"/>
  <c r="ES32" i="19" s="1"/>
  <c r="ER26" i="19"/>
  <c r="ES26" i="19" s="1"/>
  <c r="H18" i="19"/>
  <c r="EM18" i="19"/>
  <c r="H20" i="19"/>
  <c r="H33" i="19"/>
  <c r="H12" i="19"/>
  <c r="ER12" i="19" s="1"/>
  <c r="ER17" i="19"/>
  <c r="ES17" i="19" s="1"/>
  <c r="DV18" i="19"/>
  <c r="DX18" i="19"/>
  <c r="DV33" i="19"/>
  <c r="DX33" i="19"/>
  <c r="DW12" i="19"/>
  <c r="DV12" i="19"/>
  <c r="DH18" i="19"/>
  <c r="DJ18" i="19"/>
  <c r="DH33" i="19"/>
  <c r="DJ33" i="19"/>
  <c r="DI12" i="19"/>
  <c r="DH12" i="19"/>
  <c r="V77" i="47"/>
  <c r="W78" i="47"/>
  <c r="V78" i="47" s="1"/>
  <c r="V71" i="41"/>
  <c r="W72" i="41"/>
  <c r="V72" i="41" s="1"/>
  <c r="V77" i="41"/>
  <c r="W78" i="41"/>
  <c r="V78" i="41" s="1"/>
  <c r="V41" i="41"/>
  <c r="W42" i="41"/>
  <c r="V42" i="41" s="1"/>
  <c r="DG12" i="19"/>
  <c r="DW20" i="19"/>
  <c r="DG20" i="19"/>
  <c r="DI20" i="19"/>
  <c r="CZ23" i="19"/>
  <c r="CX23" i="19"/>
  <c r="DN23" i="19"/>
  <c r="DQ23" i="19" s="1"/>
  <c r="DR23" i="19" s="1"/>
  <c r="DL23" i="19"/>
  <c r="DO23" i="19" s="1"/>
  <c r="DP23" i="19" s="1"/>
  <c r="EB23" i="19"/>
  <c r="EE23" i="19" s="1"/>
  <c r="EF23" i="19" s="1"/>
  <c r="DZ23" i="19"/>
  <c r="EC23" i="19" s="1"/>
  <c r="ED23" i="19" s="1"/>
  <c r="DU12" i="19"/>
  <c r="EB18" i="45"/>
  <c r="DL18" i="45"/>
  <c r="DO18" i="45" s="1"/>
  <c r="DP18" i="45" s="1"/>
  <c r="ER14" i="45"/>
  <c r="CR14" i="45"/>
  <c r="EO14" i="45"/>
  <c r="CL15" i="45"/>
  <c r="CL10" i="45"/>
  <c r="EE18" i="45"/>
  <c r="EF18" i="45" s="1"/>
  <c r="CZ18" i="45"/>
  <c r="CX18" i="45"/>
  <c r="DN18" i="45"/>
  <c r="DQ18" i="45" s="1"/>
  <c r="DR18" i="45" s="1"/>
  <c r="CR24" i="19"/>
  <c r="DO24" i="19" s="1"/>
  <c r="DP24" i="19" s="1"/>
  <c r="EO24" i="19"/>
  <c r="EO35" i="19"/>
  <c r="CR35" i="19"/>
  <c r="EE35" i="19" s="1"/>
  <c r="EF35" i="19" s="1"/>
  <c r="CR34" i="19"/>
  <c r="DN34" i="19" s="1"/>
  <c r="DQ34" i="19" s="1"/>
  <c r="DR34" i="19" s="1"/>
  <c r="EO34" i="19"/>
  <c r="V16" i="22"/>
  <c r="C16" i="22" s="1"/>
  <c r="W17" i="22"/>
  <c r="DU20" i="19"/>
  <c r="DU33" i="19"/>
  <c r="DW33" i="19"/>
  <c r="EO32" i="19"/>
  <c r="CR32" i="19"/>
  <c r="DQ32" i="19" s="1"/>
  <c r="DR32" i="19" s="1"/>
  <c r="EO30" i="19"/>
  <c r="CR30" i="19"/>
  <c r="DI33" i="19"/>
  <c r="DG33" i="19"/>
  <c r="ER22" i="19"/>
  <c r="CR22" i="19"/>
  <c r="DL22" i="19" s="1"/>
  <c r="EO22" i="19"/>
  <c r="EO17" i="19"/>
  <c r="CR17" i="19"/>
  <c r="DL17" i="19" s="1"/>
  <c r="DH17" i="19" s="1"/>
  <c r="CR26" i="19"/>
  <c r="EO26" i="19"/>
  <c r="DI18" i="19"/>
  <c r="DG18" i="19"/>
  <c r="DW18" i="19"/>
  <c r="DU18" i="19"/>
  <c r="BJ24" i="47"/>
  <c r="BW23" i="47"/>
  <c r="BJ63" i="19"/>
  <c r="BJ64" i="19" s="1"/>
  <c r="BJ65" i="19" s="1"/>
  <c r="BJ66" i="19" s="1"/>
  <c r="BJ67" i="19" s="1"/>
  <c r="BJ68" i="19" s="1"/>
  <c r="BW62" i="19"/>
  <c r="CL29" i="19" s="1"/>
  <c r="BJ63" i="45"/>
  <c r="BJ64" i="45" s="1"/>
  <c r="BJ65" i="45" s="1"/>
  <c r="BJ66" i="45" s="1"/>
  <c r="BJ67" i="45" s="1"/>
  <c r="BJ68" i="45" s="1"/>
  <c r="BW62" i="45"/>
  <c r="BJ26" i="32"/>
  <c r="BW25" i="32"/>
  <c r="BJ25" i="22"/>
  <c r="BW24" i="22"/>
  <c r="BW23" i="41"/>
  <c r="BJ24" i="41"/>
  <c r="ES34" i="19" l="1"/>
  <c r="ES35" i="19"/>
  <c r="CR20" i="19"/>
  <c r="CZ20" i="19" s="1"/>
  <c r="CV20" i="19" s="1"/>
  <c r="DA20" i="19" s="1"/>
  <c r="DB20" i="19" s="1"/>
  <c r="EM12" i="19"/>
  <c r="EO20" i="19"/>
  <c r="DF10" i="45"/>
  <c r="DE10" i="45" s="1"/>
  <c r="DF15" i="45"/>
  <c r="DE15" i="45" s="1"/>
  <c r="ET24" i="19"/>
  <c r="DF29" i="19"/>
  <c r="DE29" i="19" s="1"/>
  <c r="DN22" i="45"/>
  <c r="DL30" i="19"/>
  <c r="DZ26" i="45"/>
  <c r="DO26" i="45"/>
  <c r="DP26" i="45" s="1"/>
  <c r="EE26" i="45"/>
  <c r="EF26" i="45" s="1"/>
  <c r="DQ23" i="45"/>
  <c r="DR23" i="45" s="1"/>
  <c r="EE23" i="45"/>
  <c r="EF23" i="45" s="1"/>
  <c r="DL26" i="45"/>
  <c r="DZ28" i="45"/>
  <c r="DQ26" i="45"/>
  <c r="DR26" i="45" s="1"/>
  <c r="DN27" i="45"/>
  <c r="DQ27" i="45" s="1"/>
  <c r="DR27" i="45" s="1"/>
  <c r="CZ27" i="45"/>
  <c r="CV27" i="45" s="1"/>
  <c r="DA27" i="45" s="1"/>
  <c r="CX27" i="45"/>
  <c r="CT27" i="45" s="1"/>
  <c r="CW27" i="45" s="1"/>
  <c r="EB28" i="45"/>
  <c r="CZ28" i="45"/>
  <c r="CV28" i="45" s="1"/>
  <c r="DA28" i="45" s="1"/>
  <c r="CX28" i="45"/>
  <c r="CT28" i="45" s="1"/>
  <c r="CW28" i="45" s="1"/>
  <c r="DQ28" i="45"/>
  <c r="DR28" i="45" s="1"/>
  <c r="DN28" i="45"/>
  <c r="DZ27" i="45"/>
  <c r="EC27" i="45" s="1"/>
  <c r="ED27" i="45" s="1"/>
  <c r="CZ22" i="45"/>
  <c r="CV22" i="45" s="1"/>
  <c r="DA22" i="45" s="1"/>
  <c r="CX22" i="45"/>
  <c r="CT22" i="45" s="1"/>
  <c r="CW22" i="45" s="1"/>
  <c r="DN20" i="45"/>
  <c r="DL20" i="45"/>
  <c r="EB26" i="45"/>
  <c r="CX23" i="45"/>
  <c r="CT23" i="45" s="1"/>
  <c r="CW23" i="45" s="1"/>
  <c r="CZ23" i="45"/>
  <c r="CV23" i="45" s="1"/>
  <c r="DA23" i="45" s="1"/>
  <c r="DZ22" i="45"/>
  <c r="EB22" i="45"/>
  <c r="Q17" i="32"/>
  <c r="M17" i="32"/>
  <c r="EI17" i="32" s="1"/>
  <c r="DO22" i="45"/>
  <c r="DP22" i="45" s="1"/>
  <c r="DZ20" i="45"/>
  <c r="DV20" i="45" s="1"/>
  <c r="EC20" i="45" s="1"/>
  <c r="ED20" i="45" s="1"/>
  <c r="DL23" i="45"/>
  <c r="DN23" i="45"/>
  <c r="CZ26" i="45"/>
  <c r="CV26" i="45" s="1"/>
  <c r="DA26" i="45" s="1"/>
  <c r="CX26" i="45"/>
  <c r="CT26" i="45" s="1"/>
  <c r="CW26" i="45" s="1"/>
  <c r="DZ23" i="45"/>
  <c r="EE20" i="45"/>
  <c r="EF20" i="45" s="1"/>
  <c r="DL28" i="45"/>
  <c r="DO28" i="45"/>
  <c r="DP28" i="45" s="1"/>
  <c r="ET27" i="45"/>
  <c r="ES27" i="45"/>
  <c r="EB20" i="45"/>
  <c r="EC22" i="45"/>
  <c r="ED22" i="45" s="1"/>
  <c r="EB23" i="45"/>
  <c r="DQ20" i="45"/>
  <c r="DR20" i="45" s="1"/>
  <c r="DQ22" i="45"/>
  <c r="DR22" i="45" s="1"/>
  <c r="CZ20" i="45"/>
  <c r="CV20" i="45" s="1"/>
  <c r="DA20" i="45" s="1"/>
  <c r="CX20" i="45"/>
  <c r="CT20" i="45" s="1"/>
  <c r="CW20" i="45" s="1"/>
  <c r="DN26" i="45"/>
  <c r="EC23" i="45"/>
  <c r="ED23" i="45" s="1"/>
  <c r="DL27" i="45"/>
  <c r="DO27" i="45" s="1"/>
  <c r="DP27" i="45" s="1"/>
  <c r="EE22" i="45"/>
  <c r="EF22" i="45" s="1"/>
  <c r="EE28" i="45"/>
  <c r="EF28" i="45" s="1"/>
  <c r="ES20" i="45"/>
  <c r="ET20" i="45"/>
  <c r="CV18" i="45"/>
  <c r="DA18" i="45" s="1"/>
  <c r="CT18" i="45"/>
  <c r="CW18" i="45" s="1"/>
  <c r="ES30" i="19"/>
  <c r="DO17" i="19"/>
  <c r="DP17" i="19" s="1"/>
  <c r="CV23" i="19"/>
  <c r="DA23" i="19" s="1"/>
  <c r="CT23" i="19"/>
  <c r="CW23" i="19" s="1"/>
  <c r="ER18" i="19"/>
  <c r="ES18" i="19" s="1"/>
  <c r="ET26" i="19"/>
  <c r="ET32" i="19"/>
  <c r="ER33" i="19"/>
  <c r="ES33" i="19" s="1"/>
  <c r="ET17" i="19"/>
  <c r="ES12" i="19"/>
  <c r="ET12" i="19"/>
  <c r="ER20" i="19"/>
  <c r="ES20" i="19" s="1"/>
  <c r="CO15" i="45"/>
  <c r="CN15" i="45" s="1"/>
  <c r="DJ15" i="45" s="1"/>
  <c r="CS15" i="45"/>
  <c r="CU15" i="45"/>
  <c r="CR12" i="19"/>
  <c r="DL12" i="19" s="1"/>
  <c r="DO12" i="19" s="1"/>
  <c r="DP12" i="19" s="1"/>
  <c r="EO12" i="19"/>
  <c r="Z15" i="45"/>
  <c r="DS15" i="45"/>
  <c r="DT15" i="45" s="1"/>
  <c r="DX15" i="45" s="1"/>
  <c r="J15" i="45"/>
  <c r="EU15" i="45"/>
  <c r="DZ20" i="19"/>
  <c r="DV20" i="19" s="1"/>
  <c r="DN14" i="45"/>
  <c r="DJ14" i="45" s="1"/>
  <c r="DQ14" i="45" s="1"/>
  <c r="DR14" i="45" s="1"/>
  <c r="CS10" i="45"/>
  <c r="J10" i="45"/>
  <c r="EU10" i="45"/>
  <c r="Z10" i="45"/>
  <c r="CU10" i="45"/>
  <c r="CO10" i="45"/>
  <c r="CN10" i="45" s="1"/>
  <c r="DS10" i="45"/>
  <c r="DT10" i="45" s="1"/>
  <c r="CX14" i="45"/>
  <c r="CZ14" i="45"/>
  <c r="DZ14" i="45"/>
  <c r="DV14" i="45" s="1"/>
  <c r="EC14" i="45" s="1"/>
  <c r="ED14" i="45" s="1"/>
  <c r="ET14" i="45"/>
  <c r="ES14" i="45"/>
  <c r="DL14" i="45"/>
  <c r="DH14" i="45" s="1"/>
  <c r="DO14" i="45" s="1"/>
  <c r="DP14" i="45" s="1"/>
  <c r="EB14" i="45"/>
  <c r="DX14" i="45" s="1"/>
  <c r="EE14" i="45" s="1"/>
  <c r="EF14" i="45" s="1"/>
  <c r="DN35" i="19"/>
  <c r="DZ34" i="19"/>
  <c r="EC34" i="19" s="1"/>
  <c r="ED34" i="19" s="1"/>
  <c r="DL24" i="19"/>
  <c r="EC35" i="19"/>
  <c r="ED35" i="19" s="1"/>
  <c r="EC24" i="19"/>
  <c r="ED24" i="19" s="1"/>
  <c r="EB24" i="19"/>
  <c r="DL35" i="19"/>
  <c r="EE24" i="19"/>
  <c r="EF24" i="19" s="1"/>
  <c r="DZ24" i="19"/>
  <c r="DZ35" i="19"/>
  <c r="CZ35" i="19"/>
  <c r="CX35" i="19"/>
  <c r="DO35" i="19"/>
  <c r="DP35" i="19" s="1"/>
  <c r="CX24" i="19"/>
  <c r="CZ24" i="19"/>
  <c r="DL34" i="19"/>
  <c r="DO34" i="19" s="1"/>
  <c r="DP34" i="19" s="1"/>
  <c r="CX34" i="19"/>
  <c r="CZ34" i="19"/>
  <c r="EB34" i="19"/>
  <c r="EE34" i="19" s="1"/>
  <c r="EF34" i="19" s="1"/>
  <c r="DQ35" i="19"/>
  <c r="DR35" i="19" s="1"/>
  <c r="DN24" i="19"/>
  <c r="EB35" i="19"/>
  <c r="DQ24" i="19"/>
  <c r="DR24" i="19" s="1"/>
  <c r="V17" i="22"/>
  <c r="C17" i="22" s="1"/>
  <c r="W18" i="22"/>
  <c r="V18" i="22" s="1"/>
  <c r="C18" i="22" s="1"/>
  <c r="EE32" i="19"/>
  <c r="EF32" i="19" s="1"/>
  <c r="EB30" i="19"/>
  <c r="EC32" i="19"/>
  <c r="ED32" i="19" s="1"/>
  <c r="DN32" i="19"/>
  <c r="DO32" i="19"/>
  <c r="DP32" i="19" s="1"/>
  <c r="DZ32" i="19"/>
  <c r="CO29" i="19"/>
  <c r="CN29" i="19" s="1"/>
  <c r="EU29" i="19"/>
  <c r="CS29" i="19"/>
  <c r="CU29" i="19"/>
  <c r="J29" i="19"/>
  <c r="Z29" i="19"/>
  <c r="DS29" i="19"/>
  <c r="DT29" i="19" s="1"/>
  <c r="DO30" i="19"/>
  <c r="DP30" i="19" s="1"/>
  <c r="CZ30" i="19"/>
  <c r="CX30" i="19"/>
  <c r="DQ30" i="19"/>
  <c r="DR30" i="19" s="1"/>
  <c r="EB32" i="19"/>
  <c r="EO33" i="19"/>
  <c r="CR33" i="19"/>
  <c r="EC33" i="19" s="1"/>
  <c r="ED33" i="19" s="1"/>
  <c r="DL32" i="19"/>
  <c r="CZ32" i="19"/>
  <c r="CX32" i="19"/>
  <c r="DZ30" i="19"/>
  <c r="EC30" i="19"/>
  <c r="ED30" i="19" s="1"/>
  <c r="EE30" i="19"/>
  <c r="EF30" i="19" s="1"/>
  <c r="DN30" i="19"/>
  <c r="DN22" i="19"/>
  <c r="DQ22" i="19" s="1"/>
  <c r="DR22" i="19" s="1"/>
  <c r="EB22" i="19"/>
  <c r="EE22" i="19" s="1"/>
  <c r="EF22" i="19" s="1"/>
  <c r="DZ22" i="19"/>
  <c r="EC22" i="19" s="1"/>
  <c r="ED22" i="19" s="1"/>
  <c r="DO22" i="19"/>
  <c r="DP22" i="19" s="1"/>
  <c r="ET22" i="19"/>
  <c r="ES22" i="19"/>
  <c r="CX22" i="19"/>
  <c r="CZ22" i="19"/>
  <c r="DZ17" i="19"/>
  <c r="DN17" i="19"/>
  <c r="EB17" i="19"/>
  <c r="DZ26" i="19"/>
  <c r="EC26" i="19" s="1"/>
  <c r="ED26" i="19" s="1"/>
  <c r="EB26" i="19"/>
  <c r="EE26" i="19" s="1"/>
  <c r="EF26" i="19" s="1"/>
  <c r="DL20" i="19"/>
  <c r="DH20" i="19" s="1"/>
  <c r="EO18" i="19"/>
  <c r="CR18" i="19"/>
  <c r="DN18" i="19" s="1"/>
  <c r="DQ18" i="19" s="1"/>
  <c r="DR18" i="19" s="1"/>
  <c r="EB20" i="19"/>
  <c r="DX20" i="19" s="1"/>
  <c r="DL26" i="19"/>
  <c r="DO26" i="19" s="1"/>
  <c r="DP26" i="19" s="1"/>
  <c r="CX17" i="19"/>
  <c r="CZ17" i="19"/>
  <c r="DN20" i="19"/>
  <c r="DJ20" i="19" s="1"/>
  <c r="DN26" i="19"/>
  <c r="DQ26" i="19" s="1"/>
  <c r="DR26" i="19" s="1"/>
  <c r="CZ26" i="19"/>
  <c r="CX26" i="19"/>
  <c r="BJ25" i="47"/>
  <c r="BW24" i="47"/>
  <c r="BJ69" i="19"/>
  <c r="BJ70" i="19" s="1"/>
  <c r="BJ71" i="19" s="1"/>
  <c r="BJ72" i="19" s="1"/>
  <c r="BJ73" i="19" s="1"/>
  <c r="BJ74" i="19" s="1"/>
  <c r="BW68" i="19"/>
  <c r="BJ69" i="45"/>
  <c r="BJ70" i="45" s="1"/>
  <c r="BJ71" i="45" s="1"/>
  <c r="BJ72" i="45" s="1"/>
  <c r="BJ73" i="45" s="1"/>
  <c r="BJ74" i="45" s="1"/>
  <c r="BW68" i="45"/>
  <c r="BJ27" i="32"/>
  <c r="BW26" i="32"/>
  <c r="BW25" i="22"/>
  <c r="BJ26" i="22"/>
  <c r="BJ25" i="41"/>
  <c r="BW24" i="41"/>
  <c r="CX20" i="19" l="1"/>
  <c r="CT35" i="19"/>
  <c r="CW35" i="19" s="1"/>
  <c r="CV35" i="19"/>
  <c r="DA35" i="19" s="1"/>
  <c r="CV34" i="19"/>
  <c r="DA34" i="19" s="1"/>
  <c r="CT34" i="19"/>
  <c r="CW34" i="19" s="1"/>
  <c r="H10" i="45"/>
  <c r="H15" i="45"/>
  <c r="ER15" i="45" s="1"/>
  <c r="ES15" i="45" s="1"/>
  <c r="K29" i="19"/>
  <c r="EM29" i="19" s="1"/>
  <c r="CV24" i="19"/>
  <c r="DA24" i="19" s="1"/>
  <c r="DB24" i="19" s="1"/>
  <c r="O24" i="19" s="1"/>
  <c r="CT24" i="19"/>
  <c r="CW24" i="19" s="1"/>
  <c r="CY28" i="45"/>
  <c r="M28" i="45" s="1"/>
  <c r="EK28" i="45" s="1"/>
  <c r="L28" i="45"/>
  <c r="DB28" i="45"/>
  <c r="O28" i="45" s="1"/>
  <c r="EL28" i="45" s="1"/>
  <c r="N28" i="45"/>
  <c r="L22" i="45"/>
  <c r="CY22" i="45"/>
  <c r="M22" i="45" s="1"/>
  <c r="CY27" i="45"/>
  <c r="M27" i="45" s="1"/>
  <c r="EK27" i="45" s="1"/>
  <c r="L27" i="45"/>
  <c r="L26" i="45"/>
  <c r="CY26" i="45"/>
  <c r="N22" i="45"/>
  <c r="DB22" i="45"/>
  <c r="O22" i="45" s="1"/>
  <c r="N27" i="45"/>
  <c r="DB27" i="45"/>
  <c r="O27" i="45" s="1"/>
  <c r="EL27" i="45" s="1"/>
  <c r="N26" i="45"/>
  <c r="DB26" i="45"/>
  <c r="O26" i="45" s="1"/>
  <c r="L20" i="45"/>
  <c r="CY20" i="45"/>
  <c r="N23" i="45"/>
  <c r="DB23" i="45"/>
  <c r="O23" i="45" s="1"/>
  <c r="N20" i="45"/>
  <c r="DB20" i="45"/>
  <c r="O20" i="45" s="1"/>
  <c r="CY23" i="45"/>
  <c r="L23" i="45"/>
  <c r="CY18" i="45"/>
  <c r="M18" i="45" s="1"/>
  <c r="L18" i="45"/>
  <c r="DB18" i="45"/>
  <c r="O18" i="45" s="1"/>
  <c r="N18" i="45"/>
  <c r="K10" i="45"/>
  <c r="EM10" i="45" s="1"/>
  <c r="CV30" i="19"/>
  <c r="DA30" i="19" s="1"/>
  <c r="CT30" i="19"/>
  <c r="CW30" i="19" s="1"/>
  <c r="DV17" i="19"/>
  <c r="EC17" i="19" s="1"/>
  <c r="ED17" i="19" s="1"/>
  <c r="DJ17" i="19"/>
  <c r="DQ17" i="19" s="1"/>
  <c r="DR17" i="19" s="1"/>
  <c r="DX17" i="19"/>
  <c r="EE17" i="19" s="1"/>
  <c r="EF17" i="19" s="1"/>
  <c r="ET18" i="19"/>
  <c r="L23" i="19"/>
  <c r="CY23" i="19"/>
  <c r="DB23" i="19"/>
  <c r="O23" i="19" s="1"/>
  <c r="EL23" i="19" s="1"/>
  <c r="N23" i="19"/>
  <c r="CV22" i="19"/>
  <c r="DA22" i="19" s="1"/>
  <c r="CT22" i="19"/>
  <c r="CW22" i="19" s="1"/>
  <c r="ET33" i="19"/>
  <c r="K15" i="45"/>
  <c r="EM15" i="45" s="1"/>
  <c r="CV14" i="45"/>
  <c r="DA14" i="45" s="1"/>
  <c r="CT14" i="45"/>
  <c r="CW14" i="45" s="1"/>
  <c r="CT32" i="19"/>
  <c r="CW32" i="19" s="1"/>
  <c r="CV32" i="19"/>
  <c r="DA32" i="19" s="1"/>
  <c r="CV26" i="19"/>
  <c r="DA26" i="19" s="1"/>
  <c r="CT26" i="19"/>
  <c r="CW26" i="19" s="1"/>
  <c r="CT20" i="19"/>
  <c r="CW20" i="19" s="1"/>
  <c r="DV10" i="45"/>
  <c r="DX10" i="45"/>
  <c r="DU15" i="45"/>
  <c r="DV15" i="45"/>
  <c r="DH10" i="45"/>
  <c r="DJ10" i="45"/>
  <c r="DG15" i="45"/>
  <c r="DH15" i="45"/>
  <c r="H29" i="19"/>
  <c r="CV17" i="19"/>
  <c r="DA17" i="19" s="1"/>
  <c r="CT17" i="19"/>
  <c r="CW17" i="19" s="1"/>
  <c r="DV29" i="19"/>
  <c r="DX29" i="19"/>
  <c r="DH29" i="19"/>
  <c r="DJ29" i="19"/>
  <c r="DQ20" i="19"/>
  <c r="DR20" i="19" s="1"/>
  <c r="EE20" i="19"/>
  <c r="EF20" i="19" s="1"/>
  <c r="EC20" i="19"/>
  <c r="ED20" i="19" s="1"/>
  <c r="DO20" i="19"/>
  <c r="DP20" i="19" s="1"/>
  <c r="ET20" i="19"/>
  <c r="DI15" i="45"/>
  <c r="DN12" i="19"/>
  <c r="DQ12" i="19" s="1"/>
  <c r="DR12" i="19" s="1"/>
  <c r="EB12" i="19"/>
  <c r="EE12" i="19" s="1"/>
  <c r="EF12" i="19" s="1"/>
  <c r="CX12" i="19"/>
  <c r="DZ12" i="19"/>
  <c r="EC12" i="19" s="1"/>
  <c r="ED12" i="19" s="1"/>
  <c r="CZ12" i="19"/>
  <c r="DW15" i="45"/>
  <c r="DW10" i="45"/>
  <c r="DU10" i="45"/>
  <c r="DG10" i="45"/>
  <c r="DI10" i="45"/>
  <c r="DL33" i="19"/>
  <c r="DZ33" i="19"/>
  <c r="DN33" i="19"/>
  <c r="EE33" i="19"/>
  <c r="EF33" i="19" s="1"/>
  <c r="CX33" i="19"/>
  <c r="CZ33" i="19"/>
  <c r="DO33" i="19"/>
  <c r="DP33" i="19" s="1"/>
  <c r="DG29" i="19"/>
  <c r="DI29" i="19"/>
  <c r="DW29" i="19"/>
  <c r="DU29" i="19"/>
  <c r="DQ33" i="19"/>
  <c r="DR33" i="19" s="1"/>
  <c r="EB33" i="19"/>
  <c r="EB18" i="19"/>
  <c r="EE18" i="19" s="1"/>
  <c r="EF18" i="19" s="1"/>
  <c r="DZ18" i="19"/>
  <c r="EC18" i="19" s="1"/>
  <c r="ED18" i="19" s="1"/>
  <c r="DL18" i="19"/>
  <c r="DO18" i="19" s="1"/>
  <c r="DP18" i="19" s="1"/>
  <c r="CX18" i="19"/>
  <c r="CZ18" i="19"/>
  <c r="O20" i="19"/>
  <c r="N20" i="19"/>
  <c r="BJ26" i="47"/>
  <c r="BW25" i="47"/>
  <c r="BJ75" i="19"/>
  <c r="BJ76" i="19" s="1"/>
  <c r="BJ77" i="19" s="1"/>
  <c r="BJ78" i="19" s="1"/>
  <c r="BJ79" i="19" s="1"/>
  <c r="BJ80" i="19" s="1"/>
  <c r="BW74" i="19"/>
  <c r="CL14" i="19" s="1"/>
  <c r="BJ75" i="45"/>
  <c r="BJ76" i="45" s="1"/>
  <c r="BJ77" i="45" s="1"/>
  <c r="BJ78" i="45" s="1"/>
  <c r="BJ79" i="45" s="1"/>
  <c r="BJ80" i="45" s="1"/>
  <c r="BW74" i="45"/>
  <c r="CL16" i="45" s="1"/>
  <c r="BJ28" i="32"/>
  <c r="BW27" i="32"/>
  <c r="BJ27" i="22"/>
  <c r="BW26" i="22"/>
  <c r="BJ26" i="41"/>
  <c r="BW25" i="41"/>
  <c r="CY34" i="19" l="1"/>
  <c r="M34" i="19" s="1"/>
  <c r="L34" i="19"/>
  <c r="N34" i="19"/>
  <c r="DB34" i="19"/>
  <c r="O34" i="19" s="1"/>
  <c r="N35" i="19"/>
  <c r="DB35" i="19"/>
  <c r="O35" i="19" s="1"/>
  <c r="CY35" i="19"/>
  <c r="L35" i="19"/>
  <c r="M23" i="19"/>
  <c r="EK23" i="19" s="1"/>
  <c r="Q23" i="19"/>
  <c r="Q15" i="45"/>
  <c r="Q10" i="45"/>
  <c r="DF16" i="45"/>
  <c r="DE16" i="45" s="1"/>
  <c r="L24" i="19"/>
  <c r="CY24" i="19"/>
  <c r="M24" i="19" s="1"/>
  <c r="N24" i="19"/>
  <c r="DF14" i="19"/>
  <c r="DE14" i="19" s="1"/>
  <c r="M20" i="45"/>
  <c r="M26" i="45"/>
  <c r="EL26" i="45"/>
  <c r="O31" i="45"/>
  <c r="M23" i="45"/>
  <c r="CY30" i="19"/>
  <c r="M30" i="19" s="1"/>
  <c r="L30" i="19"/>
  <c r="N30" i="19"/>
  <c r="DB30" i="19"/>
  <c r="O30" i="19" s="1"/>
  <c r="ER29" i="19"/>
  <c r="ES29" i="19" s="1"/>
  <c r="L22" i="19"/>
  <c r="CY22" i="19"/>
  <c r="DB22" i="19"/>
  <c r="O22" i="19" s="1"/>
  <c r="EL22" i="19" s="1"/>
  <c r="N22" i="19"/>
  <c r="CV18" i="19"/>
  <c r="DA18" i="19" s="1"/>
  <c r="N18" i="19" s="1"/>
  <c r="CT18" i="19"/>
  <c r="CW18" i="19" s="1"/>
  <c r="CR15" i="45"/>
  <c r="DZ15" i="45" s="1"/>
  <c r="EC15" i="45" s="1"/>
  <c r="ED15" i="45" s="1"/>
  <c r="EO15" i="45"/>
  <c r="L14" i="45"/>
  <c r="CY14" i="45"/>
  <c r="M14" i="45" s="1"/>
  <c r="N14" i="45"/>
  <c r="DB14" i="45"/>
  <c r="O14" i="45" s="1"/>
  <c r="DB32" i="19"/>
  <c r="O32" i="19" s="1"/>
  <c r="EL32" i="19" s="1"/>
  <c r="N32" i="19"/>
  <c r="CY32" i="19"/>
  <c r="M32" i="19" s="1"/>
  <c r="EK32" i="19" s="1"/>
  <c r="L32" i="19"/>
  <c r="CV33" i="19"/>
  <c r="DA33" i="19" s="1"/>
  <c r="CT33" i="19"/>
  <c r="CW33" i="19" s="1"/>
  <c r="N26" i="19"/>
  <c r="DB26" i="19"/>
  <c r="O26" i="19" s="1"/>
  <c r="EL26" i="19" s="1"/>
  <c r="CY26" i="19"/>
  <c r="M26" i="19" s="1"/>
  <c r="EK26" i="19" s="1"/>
  <c r="L26" i="19"/>
  <c r="CY20" i="19"/>
  <c r="M20" i="19" s="1"/>
  <c r="EI20" i="19" s="1"/>
  <c r="L20" i="19"/>
  <c r="ER10" i="45"/>
  <c r="ET10" i="45" s="1"/>
  <c r="ET15" i="45"/>
  <c r="L17" i="19"/>
  <c r="CY17" i="19"/>
  <c r="DB17" i="19"/>
  <c r="O17" i="19" s="1"/>
  <c r="EJ17" i="19" s="1"/>
  <c r="N17" i="19"/>
  <c r="CV12" i="19"/>
  <c r="DA12" i="19" s="1"/>
  <c r="CT12" i="19"/>
  <c r="CW12" i="19" s="1"/>
  <c r="L12" i="19" s="1"/>
  <c r="CU14" i="19"/>
  <c r="CO14" i="19"/>
  <c r="EU14" i="19"/>
  <c r="DS14" i="19"/>
  <c r="Z14" i="19"/>
  <c r="J14" i="19"/>
  <c r="CS14" i="19"/>
  <c r="EL20" i="19"/>
  <c r="EJ20" i="19"/>
  <c r="EO10" i="45"/>
  <c r="CR10" i="45"/>
  <c r="DN10" i="45" s="1"/>
  <c r="DQ10" i="45" s="1"/>
  <c r="DR10" i="45" s="1"/>
  <c r="CL11" i="19"/>
  <c r="CL21" i="19"/>
  <c r="EO29" i="19"/>
  <c r="CR29" i="19"/>
  <c r="EJ22" i="19"/>
  <c r="CL15" i="19"/>
  <c r="CL27" i="19"/>
  <c r="CL28" i="19"/>
  <c r="BJ27" i="47"/>
  <c r="BW26" i="47"/>
  <c r="CL9" i="19"/>
  <c r="BW80" i="19"/>
  <c r="CL16" i="19" s="1"/>
  <c r="BJ81" i="19"/>
  <c r="BJ82" i="19" s="1"/>
  <c r="BJ83" i="19" s="1"/>
  <c r="BJ84" i="19" s="1"/>
  <c r="BJ85" i="19" s="1"/>
  <c r="BJ86" i="19" s="1"/>
  <c r="CU16" i="45"/>
  <c r="CS16" i="45"/>
  <c r="J16" i="45"/>
  <c r="EU16" i="45"/>
  <c r="CO16" i="45"/>
  <c r="Z16" i="45"/>
  <c r="DS16" i="45"/>
  <c r="DT16" i="45" s="1"/>
  <c r="BJ81" i="45"/>
  <c r="BJ82" i="45" s="1"/>
  <c r="BJ83" i="45" s="1"/>
  <c r="BJ84" i="45" s="1"/>
  <c r="BJ85" i="45" s="1"/>
  <c r="BJ86" i="45" s="1"/>
  <c r="BW80" i="45"/>
  <c r="BJ29" i="32"/>
  <c r="BW28" i="32"/>
  <c r="BW27" i="22"/>
  <c r="BJ28" i="22"/>
  <c r="BW26" i="41"/>
  <c r="BJ27" i="41"/>
  <c r="Q34" i="19" l="1"/>
  <c r="M35" i="19"/>
  <c r="Q35" i="19"/>
  <c r="M22" i="19"/>
  <c r="Q22" i="19"/>
  <c r="Q20" i="19"/>
  <c r="M17" i="19"/>
  <c r="EI17" i="19" s="1"/>
  <c r="Q17" i="19"/>
  <c r="H16" i="45"/>
  <c r="ER16" i="45" s="1"/>
  <c r="EL14" i="45"/>
  <c r="EJ14" i="45"/>
  <c r="EK14" i="45"/>
  <c r="EI14" i="45"/>
  <c r="DF28" i="19"/>
  <c r="DE28" i="19" s="1"/>
  <c r="DF27" i="19"/>
  <c r="DE27" i="19" s="1"/>
  <c r="DF21" i="19"/>
  <c r="DE21" i="19" s="1"/>
  <c r="DF15" i="19"/>
  <c r="DE15" i="19" s="1"/>
  <c r="DF16" i="19"/>
  <c r="DE16" i="19" s="1"/>
  <c r="DF11" i="19"/>
  <c r="DE11" i="19" s="1"/>
  <c r="DF9" i="19"/>
  <c r="DE9" i="19" s="1"/>
  <c r="EK26" i="45"/>
  <c r="M31" i="45"/>
  <c r="ET29" i="19"/>
  <c r="EK20" i="19"/>
  <c r="CY18" i="19"/>
  <c r="M18" i="19" s="1"/>
  <c r="EI18" i="19" s="1"/>
  <c r="L18" i="19"/>
  <c r="DB18" i="19"/>
  <c r="O18" i="19" s="1"/>
  <c r="EJ18" i="19" s="1"/>
  <c r="CZ15" i="45"/>
  <c r="CV15" i="45" s="1"/>
  <c r="DA15" i="45" s="1"/>
  <c r="EB15" i="45"/>
  <c r="EE15" i="45" s="1"/>
  <c r="EF15" i="45" s="1"/>
  <c r="DL15" i="45"/>
  <c r="DO15" i="45" s="1"/>
  <c r="DP15" i="45" s="1"/>
  <c r="DN15" i="45"/>
  <c r="DQ15" i="45" s="1"/>
  <c r="DR15" i="45" s="1"/>
  <c r="CX15" i="45"/>
  <c r="CT15" i="45" s="1"/>
  <c r="CW15" i="45" s="1"/>
  <c r="K16" i="45"/>
  <c r="EM16" i="45" s="1"/>
  <c r="CY33" i="19"/>
  <c r="L33" i="19"/>
  <c r="N33" i="19"/>
  <c r="DB33" i="19"/>
  <c r="O33" i="19" s="1"/>
  <c r="EL33" i="19" s="1"/>
  <c r="ES10" i="45"/>
  <c r="K14" i="19"/>
  <c r="EM14" i="19" s="1"/>
  <c r="H14" i="19"/>
  <c r="DB12" i="19"/>
  <c r="O12" i="19" s="1"/>
  <c r="EJ12" i="19" s="1"/>
  <c r="N12" i="19"/>
  <c r="CY12" i="19"/>
  <c r="Z11" i="19"/>
  <c r="H11" i="19" s="1"/>
  <c r="EK22" i="19"/>
  <c r="EI22" i="19"/>
  <c r="CU21" i="19"/>
  <c r="CU11" i="19"/>
  <c r="CN14" i="19"/>
  <c r="DT14" i="19"/>
  <c r="DZ10" i="45"/>
  <c r="EC10" i="45" s="1"/>
  <c r="ED10" i="45" s="1"/>
  <c r="EB10" i="45"/>
  <c r="EE10" i="45" s="1"/>
  <c r="EF10" i="45" s="1"/>
  <c r="DL10" i="45"/>
  <c r="DO10" i="45" s="1"/>
  <c r="DP10" i="45" s="1"/>
  <c r="CL17" i="45"/>
  <c r="CL21" i="45"/>
  <c r="CL11" i="45"/>
  <c r="CX10" i="45"/>
  <c r="CZ10" i="45"/>
  <c r="EU11" i="19"/>
  <c r="J11" i="19"/>
  <c r="CS11" i="19"/>
  <c r="DS11" i="19"/>
  <c r="DT11" i="19" s="1"/>
  <c r="CO11" i="19"/>
  <c r="CN11" i="19" s="1"/>
  <c r="CX29" i="19"/>
  <c r="CZ29" i="19"/>
  <c r="EB29" i="19"/>
  <c r="EE29" i="19" s="1"/>
  <c r="EF29" i="19" s="1"/>
  <c r="DZ29" i="19"/>
  <c r="EC29" i="19" s="1"/>
  <c r="ED29" i="19" s="1"/>
  <c r="DS21" i="19"/>
  <c r="DT21" i="19" s="1"/>
  <c r="CS21" i="19"/>
  <c r="Z21" i="19"/>
  <c r="J21" i="19"/>
  <c r="CO21" i="19"/>
  <c r="CN21" i="19" s="1"/>
  <c r="EU21" i="19"/>
  <c r="CS16" i="19"/>
  <c r="J16" i="19"/>
  <c r="CO16" i="19"/>
  <c r="CN16" i="19" s="1"/>
  <c r="DS16" i="19"/>
  <c r="DT16" i="19" s="1"/>
  <c r="Z16" i="19"/>
  <c r="CU16" i="19"/>
  <c r="EU16" i="19"/>
  <c r="DN29" i="19"/>
  <c r="DQ29" i="19" s="1"/>
  <c r="DR29" i="19" s="1"/>
  <c r="DL29" i="19"/>
  <c r="DO29" i="19" s="1"/>
  <c r="DP29" i="19" s="1"/>
  <c r="J28" i="19"/>
  <c r="DS28" i="19"/>
  <c r="DT28" i="19" s="1"/>
  <c r="EU28" i="19"/>
  <c r="CS28" i="19"/>
  <c r="CU28" i="19"/>
  <c r="Z28" i="19"/>
  <c r="CO28" i="19"/>
  <c r="CN28" i="19" s="1"/>
  <c r="DS27" i="19"/>
  <c r="DT27" i="19" s="1"/>
  <c r="CS27" i="19"/>
  <c r="Z27" i="19"/>
  <c r="CU27" i="19"/>
  <c r="EU27" i="19"/>
  <c r="CO27" i="19"/>
  <c r="CN27" i="19" s="1"/>
  <c r="J27" i="19"/>
  <c r="J15" i="19"/>
  <c r="CS15" i="19"/>
  <c r="CO15" i="19"/>
  <c r="CN15" i="19" s="1"/>
  <c r="Z15" i="19"/>
  <c r="EU15" i="19"/>
  <c r="CU15" i="19"/>
  <c r="DS15" i="19"/>
  <c r="DT15" i="19" s="1"/>
  <c r="EI15" i="19"/>
  <c r="EJ15" i="19"/>
  <c r="BJ28" i="47"/>
  <c r="BW27" i="47"/>
  <c r="DS9" i="19"/>
  <c r="DT9" i="19" s="1"/>
  <c r="CS9" i="19"/>
  <c r="CO9" i="19"/>
  <c r="CN9" i="19" s="1"/>
  <c r="EU9" i="19"/>
  <c r="CU9" i="19"/>
  <c r="J9" i="19"/>
  <c r="BJ87" i="19"/>
  <c r="BJ88" i="19" s="1"/>
  <c r="BJ89" i="19" s="1"/>
  <c r="BJ90" i="19" s="1"/>
  <c r="BJ91" i="19" s="1"/>
  <c r="BJ92" i="19" s="1"/>
  <c r="BW86" i="19"/>
  <c r="DW16" i="45"/>
  <c r="DU16" i="45"/>
  <c r="CN16" i="45"/>
  <c r="BW86" i="45"/>
  <c r="BJ87" i="45"/>
  <c r="BJ88" i="45" s="1"/>
  <c r="BJ89" i="45" s="1"/>
  <c r="BJ90" i="45" s="1"/>
  <c r="BJ91" i="45" s="1"/>
  <c r="BJ92" i="45" s="1"/>
  <c r="BJ30" i="32"/>
  <c r="BW29" i="32"/>
  <c r="BJ29" i="22"/>
  <c r="BW28" i="22"/>
  <c r="BW27" i="41"/>
  <c r="BJ28" i="41"/>
  <c r="M33" i="19" l="1"/>
  <c r="EK33" i="19" s="1"/>
  <c r="Q33" i="19"/>
  <c r="M12" i="19"/>
  <c r="EI12" i="19" s="1"/>
  <c r="Q12" i="19"/>
  <c r="Q16" i="45"/>
  <c r="Y26" i="45"/>
  <c r="K27" i="19"/>
  <c r="EM27" i="19" s="1"/>
  <c r="K28" i="19"/>
  <c r="EM28" i="19" s="1"/>
  <c r="K11" i="19"/>
  <c r="CR11" i="19" s="1"/>
  <c r="DF21" i="45"/>
  <c r="DE21" i="45" s="1"/>
  <c r="DF11" i="45"/>
  <c r="DE11" i="45" s="1"/>
  <c r="DF17" i="45"/>
  <c r="DE17" i="45" s="1"/>
  <c r="CV29" i="19"/>
  <c r="DA29" i="19" s="1"/>
  <c r="CT29" i="19"/>
  <c r="CW29" i="19" s="1"/>
  <c r="CR16" i="45"/>
  <c r="CZ16" i="45" s="1"/>
  <c r="CV16" i="45" s="1"/>
  <c r="DA16" i="45" s="1"/>
  <c r="DB16" i="45" s="1"/>
  <c r="O16" i="45" s="1"/>
  <c r="EO16" i="45"/>
  <c r="L15" i="45"/>
  <c r="CY15" i="45"/>
  <c r="M15" i="45" s="1"/>
  <c r="DB15" i="45"/>
  <c r="O15" i="45" s="1"/>
  <c r="N15" i="45"/>
  <c r="CV10" i="45"/>
  <c r="DA10" i="45" s="1"/>
  <c r="CT10" i="45"/>
  <c r="CW10" i="45" s="1"/>
  <c r="H28" i="19"/>
  <c r="H27" i="19"/>
  <c r="H21" i="19"/>
  <c r="K21" i="19"/>
  <c r="EM21" i="19" s="1"/>
  <c r="K15" i="19"/>
  <c r="EM15" i="19" s="1"/>
  <c r="H15" i="19"/>
  <c r="K16" i="19"/>
  <c r="EM16" i="19" s="1"/>
  <c r="H16" i="19"/>
  <c r="ER14" i="19"/>
  <c r="ES14" i="19" s="1"/>
  <c r="DV9" i="19"/>
  <c r="DX9" i="19"/>
  <c r="DV15" i="19"/>
  <c r="DX15" i="19"/>
  <c r="DV27" i="19"/>
  <c r="DX27" i="19"/>
  <c r="DV28" i="19"/>
  <c r="DX28" i="19"/>
  <c r="DH9" i="19"/>
  <c r="DJ9" i="19"/>
  <c r="DH15" i="19"/>
  <c r="DJ15" i="19"/>
  <c r="DH27" i="19"/>
  <c r="DJ27" i="19"/>
  <c r="DH28" i="19"/>
  <c r="DJ28" i="19"/>
  <c r="DW21" i="19"/>
  <c r="DG21" i="19"/>
  <c r="DI21" i="19"/>
  <c r="EU17" i="45"/>
  <c r="J17" i="45"/>
  <c r="CR14" i="19"/>
  <c r="EO14" i="19"/>
  <c r="DW14" i="19"/>
  <c r="DU14" i="19"/>
  <c r="DI14" i="19"/>
  <c r="DG14" i="19"/>
  <c r="CO17" i="45"/>
  <c r="CN17" i="45" s="1"/>
  <c r="CU17" i="45"/>
  <c r="DS17" i="45"/>
  <c r="DT17" i="45" s="1"/>
  <c r="Z17" i="45"/>
  <c r="CS17" i="45"/>
  <c r="CS11" i="45"/>
  <c r="CU11" i="45"/>
  <c r="J11" i="45"/>
  <c r="Z11" i="45"/>
  <c r="EU11" i="45"/>
  <c r="CO11" i="45"/>
  <c r="CN11" i="45" s="1"/>
  <c r="DS11" i="45"/>
  <c r="DT11" i="45" s="1"/>
  <c r="CU21" i="45"/>
  <c r="Z21" i="45"/>
  <c r="EU21" i="45"/>
  <c r="J21" i="45"/>
  <c r="CS21" i="45"/>
  <c r="CO21" i="45"/>
  <c r="CN21" i="45" s="1"/>
  <c r="DS21" i="45"/>
  <c r="DT21" i="45" s="1"/>
  <c r="DG16" i="19"/>
  <c r="DI16" i="19"/>
  <c r="DU21" i="19"/>
  <c r="DW16" i="19"/>
  <c r="DU16" i="19"/>
  <c r="DU11" i="19"/>
  <c r="DW11" i="19"/>
  <c r="DI11" i="19"/>
  <c r="DG11" i="19"/>
  <c r="DW15" i="19"/>
  <c r="DU15" i="19"/>
  <c r="DG15" i="19"/>
  <c r="DI15" i="19"/>
  <c r="DG28" i="19"/>
  <c r="DI28" i="19"/>
  <c r="DI27" i="19"/>
  <c r="DG27" i="19"/>
  <c r="DU28" i="19"/>
  <c r="DW28" i="19"/>
  <c r="DU27" i="19"/>
  <c r="DW27" i="19"/>
  <c r="BJ29" i="47"/>
  <c r="BW28" i="47"/>
  <c r="DW9" i="19"/>
  <c r="DU9" i="19"/>
  <c r="DI9" i="19"/>
  <c r="DG9" i="19"/>
  <c r="BW92" i="19"/>
  <c r="BJ93" i="19"/>
  <c r="BJ94" i="19" s="1"/>
  <c r="BJ95" i="19" s="1"/>
  <c r="BJ96" i="19" s="1"/>
  <c r="ET16" i="45"/>
  <c r="ES16" i="45"/>
  <c r="EJ15" i="45"/>
  <c r="EI15" i="45"/>
  <c r="DI16" i="45"/>
  <c r="DG16" i="45"/>
  <c r="BW92" i="45"/>
  <c r="BJ93" i="45"/>
  <c r="BJ94" i="45" s="1"/>
  <c r="BJ95" i="45" s="1"/>
  <c r="BJ96" i="45" s="1"/>
  <c r="BJ31" i="32"/>
  <c r="BJ32" i="32" s="1"/>
  <c r="BJ33" i="32" s="1"/>
  <c r="BW30" i="32"/>
  <c r="BJ30" i="22"/>
  <c r="BW29" i="22"/>
  <c r="BW28" i="41"/>
  <c r="BJ29" i="41"/>
  <c r="H11" i="45" l="1"/>
  <c r="H21" i="45"/>
  <c r="ER21" i="45" s="1"/>
  <c r="H17" i="45"/>
  <c r="ER17" i="45" s="1"/>
  <c r="ES17" i="45" s="1"/>
  <c r="EO11" i="19"/>
  <c r="CL8" i="19"/>
  <c r="J8" i="19" s="1"/>
  <c r="CL10" i="19"/>
  <c r="K21" i="45"/>
  <c r="EM21" i="45" s="1"/>
  <c r="K17" i="45"/>
  <c r="EM17" i="45" s="1"/>
  <c r="K11" i="45"/>
  <c r="EM11" i="45" s="1"/>
  <c r="L29" i="19"/>
  <c r="CY29" i="19"/>
  <c r="N29" i="19"/>
  <c r="DB29" i="19"/>
  <c r="O29" i="19" s="1"/>
  <c r="ER28" i="19"/>
  <c r="ET28" i="19" s="1"/>
  <c r="CX16" i="45"/>
  <c r="CT16" i="45" s="1"/>
  <c r="CW16" i="45" s="1"/>
  <c r="L16" i="45" s="1"/>
  <c r="EB16" i="45"/>
  <c r="DX16" i="45" s="1"/>
  <c r="EE16" i="45" s="1"/>
  <c r="EF16" i="45" s="1"/>
  <c r="DL16" i="45"/>
  <c r="DH16" i="45" s="1"/>
  <c r="DO16" i="45" s="1"/>
  <c r="DP16" i="45" s="1"/>
  <c r="DN16" i="45"/>
  <c r="DJ16" i="45" s="1"/>
  <c r="DQ16" i="45" s="1"/>
  <c r="DR16" i="45" s="1"/>
  <c r="DZ16" i="45"/>
  <c r="DV16" i="45" s="1"/>
  <c r="EC16" i="45" s="1"/>
  <c r="ED16" i="45" s="1"/>
  <c r="ER27" i="19"/>
  <c r="ES27" i="19" s="1"/>
  <c r="L10" i="45"/>
  <c r="CY10" i="45"/>
  <c r="M10" i="45" s="1"/>
  <c r="EI10" i="45" s="1"/>
  <c r="N10" i="45"/>
  <c r="DB10" i="45"/>
  <c r="O10" i="45" s="1"/>
  <c r="EJ10" i="45" s="1"/>
  <c r="DV11" i="45"/>
  <c r="DX11" i="45"/>
  <c r="DW17" i="45"/>
  <c r="DH11" i="45"/>
  <c r="DJ11" i="45"/>
  <c r="DG17" i="45"/>
  <c r="EM11" i="19"/>
  <c r="ET14" i="19"/>
  <c r="ER16" i="19"/>
  <c r="ET16" i="19" s="1"/>
  <c r="ER15" i="19"/>
  <c r="ET15" i="19" s="1"/>
  <c r="Z45" i="19"/>
  <c r="Z48" i="19"/>
  <c r="ER21" i="19"/>
  <c r="ET21" i="19" s="1"/>
  <c r="DN14" i="19"/>
  <c r="ER11" i="19"/>
  <c r="ES11" i="19" s="1"/>
  <c r="EB14" i="19"/>
  <c r="DI17" i="45"/>
  <c r="DZ14" i="19"/>
  <c r="DL14" i="19"/>
  <c r="CX14" i="19"/>
  <c r="CZ14" i="19"/>
  <c r="DU17" i="45"/>
  <c r="DW11" i="45"/>
  <c r="DU11" i="45"/>
  <c r="DI11" i="45"/>
  <c r="DG11" i="45"/>
  <c r="DW21" i="45"/>
  <c r="DU21" i="45"/>
  <c r="DI21" i="45"/>
  <c r="DG21" i="45"/>
  <c r="EO21" i="19"/>
  <c r="CR21" i="19"/>
  <c r="EO16" i="19"/>
  <c r="CR16" i="19"/>
  <c r="DZ16" i="19" s="1"/>
  <c r="DN11" i="19"/>
  <c r="EB11" i="19"/>
  <c r="CZ11" i="19"/>
  <c r="CX11" i="19"/>
  <c r="CT11" i="19" s="1"/>
  <c r="DL11" i="19"/>
  <c r="DZ11" i="19"/>
  <c r="EO15" i="19"/>
  <c r="CR15" i="19"/>
  <c r="CR28" i="19"/>
  <c r="EB28" i="19" s="1"/>
  <c r="EE28" i="19" s="1"/>
  <c r="EF28" i="19" s="1"/>
  <c r="EO28" i="19"/>
  <c r="EO27" i="19"/>
  <c r="CR27" i="19"/>
  <c r="BJ30" i="47"/>
  <c r="BW29" i="47"/>
  <c r="CL9" i="45"/>
  <c r="DF9" i="45" s="1"/>
  <c r="DE9" i="45" s="1"/>
  <c r="CL8" i="45"/>
  <c r="BJ34" i="32"/>
  <c r="BW33" i="32"/>
  <c r="N16" i="45"/>
  <c r="BW31" i="32"/>
  <c r="BW30" i="22"/>
  <c r="BJ31" i="22"/>
  <c r="BJ32" i="22" s="1"/>
  <c r="BJ33" i="22" s="1"/>
  <c r="BJ30" i="41"/>
  <c r="BW29" i="41"/>
  <c r="M29" i="19" l="1"/>
  <c r="Q29" i="19"/>
  <c r="Q21" i="45"/>
  <c r="Q11" i="45"/>
  <c r="Q17" i="45"/>
  <c r="DH14" i="19"/>
  <c r="DO14" i="19" s="1"/>
  <c r="DP14" i="19" s="1"/>
  <c r="DV14" i="19"/>
  <c r="EC14" i="19" s="1"/>
  <c r="ED14" i="19" s="1"/>
  <c r="DX14" i="19"/>
  <c r="EE14" i="19" s="1"/>
  <c r="EF14" i="19" s="1"/>
  <c r="DJ14" i="19"/>
  <c r="DQ14" i="19" s="1"/>
  <c r="DR14" i="19" s="1"/>
  <c r="EI29" i="19"/>
  <c r="EK29" i="19"/>
  <c r="EJ29" i="19"/>
  <c r="EL29" i="19"/>
  <c r="CO8" i="19"/>
  <c r="CN8" i="19" s="1"/>
  <c r="DI8" i="19" s="1"/>
  <c r="CS8" i="19"/>
  <c r="DF8" i="45"/>
  <c r="DE8" i="45" s="1"/>
  <c r="DV11" i="19"/>
  <c r="EC11" i="19" s="1"/>
  <c r="ED11" i="19" s="1"/>
  <c r="DH11" i="19"/>
  <c r="DO11" i="19" s="1"/>
  <c r="DP11" i="19" s="1"/>
  <c r="DX11" i="19"/>
  <c r="EE11" i="19" s="1"/>
  <c r="EF11" i="19" s="1"/>
  <c r="DJ11" i="19"/>
  <c r="DQ11" i="19" s="1"/>
  <c r="DR11" i="19" s="1"/>
  <c r="DS8" i="19"/>
  <c r="DT8" i="19" s="1"/>
  <c r="DU8" i="19" s="1"/>
  <c r="DF8" i="19"/>
  <c r="DE8" i="19" s="1"/>
  <c r="EU8" i="19"/>
  <c r="Z8" i="19"/>
  <c r="H8" i="19" s="1"/>
  <c r="CU8" i="19"/>
  <c r="DS10" i="19"/>
  <c r="DT10" i="19" s="1"/>
  <c r="EU10" i="19"/>
  <c r="CS10" i="19"/>
  <c r="CU10" i="19"/>
  <c r="DF10" i="19"/>
  <c r="DE10" i="19" s="1"/>
  <c r="Z10" i="19"/>
  <c r="H10" i="19" s="1"/>
  <c r="CO10" i="19"/>
  <c r="CN10" i="19" s="1"/>
  <c r="J10" i="19"/>
  <c r="CR17" i="45"/>
  <c r="DL17" i="45" s="1"/>
  <c r="EO17" i="45"/>
  <c r="ES28" i="19"/>
  <c r="CY16" i="45"/>
  <c r="M16" i="45" s="1"/>
  <c r="ET27" i="19"/>
  <c r="Z52" i="19"/>
  <c r="Z9" i="19"/>
  <c r="H9" i="19" s="1"/>
  <c r="ES15" i="19"/>
  <c r="H45" i="19"/>
  <c r="ER45" i="19" s="1"/>
  <c r="ES16" i="19"/>
  <c r="DV16" i="19"/>
  <c r="EC16" i="19" s="1"/>
  <c r="ED16" i="19" s="1"/>
  <c r="H48" i="19"/>
  <c r="ER48" i="19" s="1"/>
  <c r="K45" i="19"/>
  <c r="EM45" i="19" s="1"/>
  <c r="CV14" i="19"/>
  <c r="DA14" i="19" s="1"/>
  <c r="CT14" i="19"/>
  <c r="CW14" i="19" s="1"/>
  <c r="CV11" i="19"/>
  <c r="DA11" i="19" s="1"/>
  <c r="N11" i="19" s="1"/>
  <c r="K48" i="19"/>
  <c r="EO48" i="19" s="1"/>
  <c r="ES21" i="19"/>
  <c r="DL21" i="19"/>
  <c r="CX21" i="19"/>
  <c r="CZ21" i="19"/>
  <c r="ET11" i="19"/>
  <c r="CW11" i="19"/>
  <c r="L11" i="19" s="1"/>
  <c r="ET17" i="45"/>
  <c r="CR21" i="45"/>
  <c r="DN21" i="45" s="1"/>
  <c r="EO21" i="45"/>
  <c r="ER11" i="45"/>
  <c r="EO11" i="45"/>
  <c r="CR11" i="45"/>
  <c r="EB11" i="45" s="1"/>
  <c r="EE11" i="45" s="1"/>
  <c r="EF11" i="45" s="1"/>
  <c r="ES21" i="45"/>
  <c r="ET21" i="45"/>
  <c r="DL16" i="19"/>
  <c r="EB16" i="19"/>
  <c r="EB21" i="19"/>
  <c r="DZ21" i="19"/>
  <c r="DN21" i="19"/>
  <c r="DN16" i="19"/>
  <c r="CX16" i="19"/>
  <c r="CZ16" i="19"/>
  <c r="DZ27" i="19"/>
  <c r="EC27" i="19" s="1"/>
  <c r="ED27" i="19" s="1"/>
  <c r="CZ27" i="19"/>
  <c r="DN27" i="19"/>
  <c r="DQ27" i="19" s="1"/>
  <c r="DR27" i="19" s="1"/>
  <c r="CX27" i="19"/>
  <c r="EB27" i="19"/>
  <c r="EE27" i="19" s="1"/>
  <c r="EF27" i="19" s="1"/>
  <c r="CZ15" i="19"/>
  <c r="CX15" i="19"/>
  <c r="DZ15" i="19"/>
  <c r="EC15" i="19" s="1"/>
  <c r="ED15" i="19" s="1"/>
  <c r="DN28" i="19"/>
  <c r="DQ28" i="19" s="1"/>
  <c r="DR28" i="19" s="1"/>
  <c r="DZ28" i="19"/>
  <c r="EC28" i="19" s="1"/>
  <c r="ED28" i="19" s="1"/>
  <c r="CX28" i="19"/>
  <c r="CZ28" i="19"/>
  <c r="DL28" i="19"/>
  <c r="DO28" i="19" s="1"/>
  <c r="DP28" i="19" s="1"/>
  <c r="DL27" i="19"/>
  <c r="DO27" i="19" s="1"/>
  <c r="DP27" i="19" s="1"/>
  <c r="EB15" i="19"/>
  <c r="EE15" i="19" s="1"/>
  <c r="EF15" i="19" s="1"/>
  <c r="DL15" i="19"/>
  <c r="DO15" i="19" s="1"/>
  <c r="DP15" i="19" s="1"/>
  <c r="DN15" i="19"/>
  <c r="DQ15" i="19" s="1"/>
  <c r="DR15" i="19" s="1"/>
  <c r="BW33" i="22"/>
  <c r="CL28" i="22" s="1"/>
  <c r="BJ34" i="22"/>
  <c r="BJ31" i="47"/>
  <c r="BW30" i="47"/>
  <c r="Z8" i="45"/>
  <c r="J8" i="45"/>
  <c r="DS8" i="45"/>
  <c r="DT8" i="45" s="1"/>
  <c r="CU8" i="45"/>
  <c r="EU8" i="45"/>
  <c r="CS8" i="45"/>
  <c r="CO8" i="45"/>
  <c r="CN8" i="45" s="1"/>
  <c r="Z9" i="45"/>
  <c r="EU9" i="45"/>
  <c r="CU9" i="45"/>
  <c r="DS9" i="45"/>
  <c r="DT9" i="45" s="1"/>
  <c r="CS9" i="45"/>
  <c r="J9" i="45"/>
  <c r="CO9" i="45"/>
  <c r="CN9" i="45" s="1"/>
  <c r="BW34" i="32"/>
  <c r="BJ35" i="32"/>
  <c r="BW31" i="22"/>
  <c r="BJ31" i="41"/>
  <c r="BW30" i="41"/>
  <c r="Q45" i="19" l="1"/>
  <c r="Q48" i="19"/>
  <c r="H8" i="45"/>
  <c r="H9" i="45"/>
  <c r="K52" i="19"/>
  <c r="Q52" i="19" s="1"/>
  <c r="K8" i="19"/>
  <c r="EM8" i="19" s="1"/>
  <c r="DF28" i="22"/>
  <c r="DE28" i="22" s="1"/>
  <c r="DG8" i="19"/>
  <c r="K10" i="19"/>
  <c r="EM10" i="19" s="1"/>
  <c r="DW8" i="19"/>
  <c r="ER8" i="19"/>
  <c r="ET8" i="19" s="1"/>
  <c r="DG10" i="19"/>
  <c r="DI10" i="19"/>
  <c r="EU81" i="19"/>
  <c r="DW10" i="19"/>
  <c r="DU10" i="19"/>
  <c r="J28" i="22"/>
  <c r="EU28" i="22"/>
  <c r="Z28" i="22"/>
  <c r="H28" i="22" s="1"/>
  <c r="DS28" i="22"/>
  <c r="DT28" i="22" s="1"/>
  <c r="CO28" i="22"/>
  <c r="CN28" i="22" s="1"/>
  <c r="CU28" i="22"/>
  <c r="CS28" i="22"/>
  <c r="EB17" i="45"/>
  <c r="DZ17" i="45"/>
  <c r="CZ17" i="45"/>
  <c r="CV17" i="45" s="1"/>
  <c r="DA17" i="45" s="1"/>
  <c r="DN17" i="45"/>
  <c r="CX17" i="45"/>
  <c r="CT17" i="45" s="1"/>
  <c r="CW17" i="45" s="1"/>
  <c r="DV17" i="45"/>
  <c r="EC17" i="45" s="1"/>
  <c r="ED17" i="45" s="1"/>
  <c r="DJ17" i="45"/>
  <c r="DQ17" i="45" s="1"/>
  <c r="DR17" i="45" s="1"/>
  <c r="DX17" i="45"/>
  <c r="EE17" i="45" s="1"/>
  <c r="EF17" i="45" s="1"/>
  <c r="DH17" i="45"/>
  <c r="DO17" i="45" s="1"/>
  <c r="DP17" i="45" s="1"/>
  <c r="DJ21" i="45"/>
  <c r="DQ21" i="45" s="1"/>
  <c r="DR21" i="45" s="1"/>
  <c r="K9" i="45"/>
  <c r="EM9" i="45" s="1"/>
  <c r="K8" i="45"/>
  <c r="EM8" i="45" s="1"/>
  <c r="CV28" i="19"/>
  <c r="DA28" i="19" s="1"/>
  <c r="CT28" i="19"/>
  <c r="CW28" i="19" s="1"/>
  <c r="DJ21" i="19"/>
  <c r="DQ21" i="19" s="1"/>
  <c r="DR21" i="19" s="1"/>
  <c r="DV21" i="19"/>
  <c r="EC21" i="19" s="1"/>
  <c r="ED21" i="19" s="1"/>
  <c r="DX21" i="19"/>
  <c r="EE21" i="19" s="1"/>
  <c r="EF21" i="19" s="1"/>
  <c r="DH21" i="19"/>
  <c r="DO21" i="19" s="1"/>
  <c r="DP21" i="19" s="1"/>
  <c r="CT27" i="19"/>
  <c r="CW27" i="19" s="1"/>
  <c r="CV27" i="19"/>
  <c r="DA27" i="19" s="1"/>
  <c r="DV9" i="45"/>
  <c r="DX9" i="45"/>
  <c r="DV8" i="45"/>
  <c r="DX8" i="45"/>
  <c r="DH8" i="45"/>
  <c r="DJ8" i="45"/>
  <c r="DH9" i="45"/>
  <c r="DJ9" i="45"/>
  <c r="EM52" i="19"/>
  <c r="H52" i="19"/>
  <c r="K9" i="19"/>
  <c r="EM9" i="19" s="1"/>
  <c r="EM48" i="19"/>
  <c r="CT21" i="19"/>
  <c r="CW21" i="19" s="1"/>
  <c r="CV21" i="19"/>
  <c r="DA21" i="19" s="1"/>
  <c r="DX16" i="19"/>
  <c r="EE16" i="19" s="1"/>
  <c r="EF16" i="19" s="1"/>
  <c r="DH16" i="19"/>
  <c r="DO16" i="19" s="1"/>
  <c r="DP16" i="19" s="1"/>
  <c r="DJ16" i="19"/>
  <c r="DQ16" i="19" s="1"/>
  <c r="DR16" i="19" s="1"/>
  <c r="ES48" i="19"/>
  <c r="ET48" i="19"/>
  <c r="ES45" i="19"/>
  <c r="ET45" i="19"/>
  <c r="CV16" i="19"/>
  <c r="DA16" i="19" s="1"/>
  <c r="CT16" i="19"/>
  <c r="CW16" i="19" s="1"/>
  <c r="CT15" i="19"/>
  <c r="CW15" i="19" s="1"/>
  <c r="CV15" i="19"/>
  <c r="DA15" i="19" s="1"/>
  <c r="N14" i="19"/>
  <c r="DB14" i="19"/>
  <c r="O14" i="19" s="1"/>
  <c r="EJ14" i="19" s="1"/>
  <c r="CY14" i="19"/>
  <c r="M14" i="19" s="1"/>
  <c r="EI14" i="19" s="1"/>
  <c r="L14" i="19"/>
  <c r="DB11" i="19"/>
  <c r="O11" i="19" s="1"/>
  <c r="EJ11" i="19" s="1"/>
  <c r="CR48" i="19"/>
  <c r="CZ48" i="19" s="1"/>
  <c r="CR45" i="19"/>
  <c r="EO45" i="19"/>
  <c r="EL11" i="19"/>
  <c r="CY11" i="19"/>
  <c r="M11" i="19" s="1"/>
  <c r="EB21" i="45"/>
  <c r="DZ21" i="45"/>
  <c r="DZ11" i="45"/>
  <c r="EC11" i="45" s="1"/>
  <c r="ED11" i="45" s="1"/>
  <c r="DN11" i="45"/>
  <c r="DQ11" i="45" s="1"/>
  <c r="DR11" i="45" s="1"/>
  <c r="CX11" i="45"/>
  <c r="CZ11" i="45"/>
  <c r="DL11" i="45"/>
  <c r="DO11" i="45" s="1"/>
  <c r="DP11" i="45" s="1"/>
  <c r="DL21" i="45"/>
  <c r="CX21" i="45"/>
  <c r="CZ21" i="45"/>
  <c r="ES11" i="45"/>
  <c r="ET11" i="45"/>
  <c r="BJ35" i="22"/>
  <c r="BW34" i="22"/>
  <c r="BJ32" i="47"/>
  <c r="BJ33" i="47" s="1"/>
  <c r="BW31" i="47"/>
  <c r="DI8" i="45"/>
  <c r="DG8" i="45"/>
  <c r="DU8" i="45"/>
  <c r="DW8" i="45"/>
  <c r="DU9" i="45"/>
  <c r="DW9" i="45"/>
  <c r="DI9" i="45"/>
  <c r="DG9" i="45"/>
  <c r="EU81" i="45"/>
  <c r="BW35" i="32"/>
  <c r="BJ36" i="32"/>
  <c r="BJ32" i="41"/>
  <c r="BJ33" i="41" s="1"/>
  <c r="BW31" i="41"/>
  <c r="Q14" i="19" l="1"/>
  <c r="Q9" i="45"/>
  <c r="Q8" i="45"/>
  <c r="Q11" i="19"/>
  <c r="CR8" i="19"/>
  <c r="EB8" i="19" s="1"/>
  <c r="EO8" i="19"/>
  <c r="ER10" i="19"/>
  <c r="CR10" i="19"/>
  <c r="DZ10" i="19" s="1"/>
  <c r="DV10" i="19" s="1"/>
  <c r="EC10" i="19" s="1"/>
  <c r="ED10" i="19" s="1"/>
  <c r="EO10" i="19"/>
  <c r="CL14" i="32"/>
  <c r="CL26" i="32"/>
  <c r="DH28" i="22"/>
  <c r="DJ28" i="22"/>
  <c r="DI28" i="22"/>
  <c r="DG28" i="22"/>
  <c r="DV28" i="22"/>
  <c r="DW28" i="22"/>
  <c r="DX28" i="22"/>
  <c r="DU28" i="22"/>
  <c r="K28" i="22"/>
  <c r="EO28" i="22" s="1"/>
  <c r="ER28" i="22"/>
  <c r="CY17" i="45"/>
  <c r="M17" i="45" s="1"/>
  <c r="EI17" i="45" s="1"/>
  <c r="L17" i="45"/>
  <c r="N17" i="45"/>
  <c r="DB17" i="45"/>
  <c r="O17" i="45" s="1"/>
  <c r="EJ17" i="45" s="1"/>
  <c r="CV21" i="45"/>
  <c r="DA21" i="45" s="1"/>
  <c r="CT21" i="45"/>
  <c r="CW21" i="45" s="1"/>
  <c r="DV21" i="45"/>
  <c r="EC21" i="45" s="1"/>
  <c r="ED21" i="45" s="1"/>
  <c r="DX21" i="45"/>
  <c r="EE21" i="45" s="1"/>
  <c r="EF21" i="45" s="1"/>
  <c r="DH21" i="45"/>
  <c r="DO21" i="45" s="1"/>
  <c r="DP21" i="45" s="1"/>
  <c r="CY28" i="19"/>
  <c r="L28" i="19"/>
  <c r="N28" i="19"/>
  <c r="DB28" i="19"/>
  <c r="O28" i="19" s="1"/>
  <c r="EL28" i="19" s="1"/>
  <c r="CY27" i="19"/>
  <c r="L27" i="19"/>
  <c r="DB27" i="19"/>
  <c r="O27" i="19" s="1"/>
  <c r="EL27" i="19" s="1"/>
  <c r="N27" i="19"/>
  <c r="CV11" i="45"/>
  <c r="DA11" i="45" s="1"/>
  <c r="CT11" i="45"/>
  <c r="CW11" i="45" s="1"/>
  <c r="ER9" i="45"/>
  <c r="ET9" i="45" s="1"/>
  <c r="ER8" i="45"/>
  <c r="ET8" i="45" s="1"/>
  <c r="ES8" i="19"/>
  <c r="ER9" i="19"/>
  <c r="ES9" i="19" s="1"/>
  <c r="CR52" i="19"/>
  <c r="EO52" i="19"/>
  <c r="ER52" i="19"/>
  <c r="CR9" i="19"/>
  <c r="EO9" i="19"/>
  <c r="DB21" i="19"/>
  <c r="O21" i="19" s="1"/>
  <c r="N21" i="19"/>
  <c r="CY21" i="19"/>
  <c r="M21" i="19" s="1"/>
  <c r="L21" i="19"/>
  <c r="L16" i="19"/>
  <c r="CY16" i="19"/>
  <c r="M16" i="19" s="1"/>
  <c r="EI16" i="19" s="1"/>
  <c r="N16" i="19"/>
  <c r="DB16" i="19"/>
  <c r="O16" i="19" s="1"/>
  <c r="EJ16" i="19" s="1"/>
  <c r="N15" i="19"/>
  <c r="DB15" i="19"/>
  <c r="O15" i="19" s="1"/>
  <c r="CY15" i="19"/>
  <c r="L15" i="19"/>
  <c r="EB48" i="19"/>
  <c r="DO48" i="19"/>
  <c r="DP48" i="19" s="1"/>
  <c r="DZ48" i="19"/>
  <c r="DQ48" i="19"/>
  <c r="DR48" i="19" s="1"/>
  <c r="EC48" i="19"/>
  <c r="ED48" i="19" s="1"/>
  <c r="DN48" i="19"/>
  <c r="EE48" i="19"/>
  <c r="EF48" i="19" s="1"/>
  <c r="CX48" i="19"/>
  <c r="CT48" i="19" s="1"/>
  <c r="CW48" i="19" s="1"/>
  <c r="DL48" i="19"/>
  <c r="EE45" i="19"/>
  <c r="EF45" i="19" s="1"/>
  <c r="DZ45" i="19"/>
  <c r="DN45" i="19"/>
  <c r="DQ45" i="19"/>
  <c r="DR45" i="19" s="1"/>
  <c r="CZ45" i="19"/>
  <c r="CV45" i="19" s="1"/>
  <c r="DA45" i="19" s="1"/>
  <c r="EC45" i="19"/>
  <c r="ED45" i="19" s="1"/>
  <c r="DO45" i="19"/>
  <c r="DP45" i="19" s="1"/>
  <c r="CX45" i="19"/>
  <c r="CT45" i="19" s="1"/>
  <c r="CW45" i="19" s="1"/>
  <c r="DL45" i="19"/>
  <c r="EB45" i="19"/>
  <c r="CV48" i="19"/>
  <c r="DA48" i="19" s="1"/>
  <c r="EI11" i="19"/>
  <c r="EK11" i="19"/>
  <c r="I86" i="19"/>
  <c r="B84" i="19"/>
  <c r="EL15" i="19"/>
  <c r="EK15" i="19"/>
  <c r="BW35" i="22"/>
  <c r="BJ36" i="22"/>
  <c r="BJ34" i="47"/>
  <c r="BW33" i="47"/>
  <c r="I86" i="45"/>
  <c r="EO9" i="45"/>
  <c r="CR9" i="45"/>
  <c r="EO8" i="45"/>
  <c r="CR8" i="45"/>
  <c r="DL8" i="45" s="1"/>
  <c r="DO8" i="45" s="1"/>
  <c r="DP8" i="45" s="1"/>
  <c r="BJ37" i="32"/>
  <c r="BW36" i="32"/>
  <c r="BJ34" i="41"/>
  <c r="BW33" i="41"/>
  <c r="CL56" i="41"/>
  <c r="DE56" i="41" s="1"/>
  <c r="M27" i="19" l="1"/>
  <c r="EK27" i="19" s="1"/>
  <c r="Q27" i="19"/>
  <c r="M28" i="19"/>
  <c r="EK28" i="19" s="1"/>
  <c r="Q28" i="19"/>
  <c r="M15" i="19"/>
  <c r="Q15" i="19"/>
  <c r="Q21" i="19"/>
  <c r="Q16" i="19"/>
  <c r="DL8" i="19"/>
  <c r="CX8" i="19"/>
  <c r="CT8" i="19" s="1"/>
  <c r="CW8" i="19" s="1"/>
  <c r="DZ8" i="19"/>
  <c r="DN8" i="19"/>
  <c r="CZ8" i="19"/>
  <c r="CV8" i="19" s="1"/>
  <c r="DA8" i="19" s="1"/>
  <c r="EM28" i="22"/>
  <c r="EP28" i="22"/>
  <c r="EQ28" i="22"/>
  <c r="CR28" i="22"/>
  <c r="CX28" i="22" s="1"/>
  <c r="CT28" i="22" s="1"/>
  <c r="CW28" i="22" s="1"/>
  <c r="L28" i="22" s="1"/>
  <c r="DF26" i="32"/>
  <c r="DE26" i="32" s="1"/>
  <c r="DF14" i="32"/>
  <c r="DE14" i="32" s="1"/>
  <c r="EK21" i="19"/>
  <c r="EI21" i="19"/>
  <c r="EL21" i="19"/>
  <c r="EJ21" i="19"/>
  <c r="DN10" i="19"/>
  <c r="DJ10" i="19" s="1"/>
  <c r="DQ10" i="19" s="1"/>
  <c r="DR10" i="19" s="1"/>
  <c r="CZ10" i="19"/>
  <c r="CV10" i="19" s="1"/>
  <c r="DA10" i="19" s="1"/>
  <c r="CX10" i="19"/>
  <c r="CT10" i="19" s="1"/>
  <c r="CW10" i="19" s="1"/>
  <c r="L10" i="19" s="1"/>
  <c r="ES10" i="19"/>
  <c r="ET10" i="19"/>
  <c r="EB10" i="19"/>
  <c r="DX10" i="19" s="1"/>
  <c r="EE10" i="19" s="1"/>
  <c r="EF10" i="19" s="1"/>
  <c r="DL10" i="19"/>
  <c r="DH10" i="19" s="1"/>
  <c r="DO10" i="19" s="1"/>
  <c r="DP10" i="19" s="1"/>
  <c r="J26" i="32"/>
  <c r="CO26" i="32"/>
  <c r="CN26" i="32" s="1"/>
  <c r="EU26" i="32"/>
  <c r="CS26" i="32"/>
  <c r="DS26" i="32"/>
  <c r="DT26" i="32" s="1"/>
  <c r="Z26" i="32"/>
  <c r="H26" i="32" s="1"/>
  <c r="CU26" i="32"/>
  <c r="DS14" i="32"/>
  <c r="DT14" i="32" s="1"/>
  <c r="Z14" i="32"/>
  <c r="H14" i="32" s="1"/>
  <c r="EU14" i="32"/>
  <c r="CU14" i="32"/>
  <c r="J14" i="32"/>
  <c r="CS14" i="32"/>
  <c r="CO14" i="32"/>
  <c r="CN14" i="32" s="1"/>
  <c r="ES28" i="22"/>
  <c r="ET28" i="22"/>
  <c r="L21" i="45"/>
  <c r="CY21" i="45"/>
  <c r="M21" i="45" s="1"/>
  <c r="EI21" i="45" s="1"/>
  <c r="DB21" i="45"/>
  <c r="O21" i="45" s="1"/>
  <c r="EJ21" i="45" s="1"/>
  <c r="N21" i="45"/>
  <c r="ES8" i="45"/>
  <c r="ES9" i="45"/>
  <c r="CY11" i="45"/>
  <c r="M11" i="45" s="1"/>
  <c r="EI11" i="45" s="1"/>
  <c r="L11" i="45"/>
  <c r="N11" i="45"/>
  <c r="DB11" i="45"/>
  <c r="O11" i="45" s="1"/>
  <c r="EJ11" i="45" s="1"/>
  <c r="CV56" i="41"/>
  <c r="CT56" i="41"/>
  <c r="ET9" i="19"/>
  <c r="CX9" i="19"/>
  <c r="CT9" i="19" s="1"/>
  <c r="CW9" i="19" s="1"/>
  <c r="L9" i="19" s="1"/>
  <c r="EB9" i="19"/>
  <c r="EE9" i="19" s="1"/>
  <c r="EF9" i="19" s="1"/>
  <c r="CZ9" i="19"/>
  <c r="CV9" i="19" s="1"/>
  <c r="DN9" i="19"/>
  <c r="DQ9" i="19" s="1"/>
  <c r="DR9" i="19" s="1"/>
  <c r="DZ9" i="19"/>
  <c r="EC9" i="19" s="1"/>
  <c r="ED9" i="19" s="1"/>
  <c r="DL9" i="19"/>
  <c r="DO9" i="19" s="1"/>
  <c r="DP9" i="19" s="1"/>
  <c r="ES52" i="19"/>
  <c r="ET52" i="19"/>
  <c r="CZ52" i="19"/>
  <c r="DQ52" i="19"/>
  <c r="DR52" i="19" s="1"/>
  <c r="DO52" i="19"/>
  <c r="DP52" i="19" s="1"/>
  <c r="EC52" i="19"/>
  <c r="ED52" i="19" s="1"/>
  <c r="EB52" i="19"/>
  <c r="DZ52" i="19"/>
  <c r="DN52" i="19"/>
  <c r="EE52" i="19"/>
  <c r="EF52" i="19" s="1"/>
  <c r="DL52" i="19"/>
  <c r="CX52" i="19"/>
  <c r="DV8" i="19"/>
  <c r="EC8" i="19" s="1"/>
  <c r="ED8" i="19" s="1"/>
  <c r="DH8" i="19"/>
  <c r="DO8" i="19" s="1"/>
  <c r="DP8" i="19" s="1"/>
  <c r="DJ8" i="19"/>
  <c r="DQ8" i="19" s="1"/>
  <c r="DR8" i="19" s="1"/>
  <c r="DX8" i="19"/>
  <c r="EE8" i="19" s="1"/>
  <c r="EF8" i="19" s="1"/>
  <c r="L45" i="19"/>
  <c r="CY45" i="19"/>
  <c r="M45" i="19" s="1"/>
  <c r="DB45" i="19"/>
  <c r="O45" i="19" s="1"/>
  <c r="N45" i="19"/>
  <c r="DB48" i="19"/>
  <c r="O48" i="19" s="1"/>
  <c r="N48" i="19"/>
  <c r="L48" i="19"/>
  <c r="CY48" i="19"/>
  <c r="BW36" i="22"/>
  <c r="BJ37" i="22"/>
  <c r="BW34" i="47"/>
  <c r="BJ35" i="47"/>
  <c r="EB8" i="45"/>
  <c r="EE8" i="45" s="1"/>
  <c r="EF8" i="45" s="1"/>
  <c r="B84" i="45"/>
  <c r="DN9" i="45"/>
  <c r="DQ9" i="45" s="1"/>
  <c r="DR9" i="45" s="1"/>
  <c r="CX9" i="45"/>
  <c r="CZ9" i="45"/>
  <c r="CZ8" i="45"/>
  <c r="CX8" i="45"/>
  <c r="EB9" i="45"/>
  <c r="EE9" i="45" s="1"/>
  <c r="EF9" i="45" s="1"/>
  <c r="DZ8" i="45"/>
  <c r="EC8" i="45" s="1"/>
  <c r="ED8" i="45" s="1"/>
  <c r="DL9" i="45"/>
  <c r="DO9" i="45" s="1"/>
  <c r="DP9" i="45" s="1"/>
  <c r="DN8" i="45"/>
  <c r="DQ8" i="45" s="1"/>
  <c r="DR8" i="45" s="1"/>
  <c r="ET81" i="45"/>
  <c r="DZ9" i="45"/>
  <c r="EC9" i="45" s="1"/>
  <c r="ED9" i="45" s="1"/>
  <c r="BW37" i="32"/>
  <c r="BJ38" i="32"/>
  <c r="BJ35" i="41"/>
  <c r="BW34" i="41"/>
  <c r="EU56" i="41"/>
  <c r="CU56" i="41"/>
  <c r="Z56" i="41"/>
  <c r="Q56" i="41" s="1"/>
  <c r="J56" i="41"/>
  <c r="CO56" i="41"/>
  <c r="CN56" i="41" s="1"/>
  <c r="DS56" i="41"/>
  <c r="DT56" i="41" s="1"/>
  <c r="CS56" i="41"/>
  <c r="EC28" i="22" l="1"/>
  <c r="ED28" i="22" s="1"/>
  <c r="EE28" i="22"/>
  <c r="EF28" i="22" s="1"/>
  <c r="DZ28" i="22"/>
  <c r="DL28" i="22"/>
  <c r="EB28" i="22"/>
  <c r="CY28" i="22"/>
  <c r="M28" i="22" s="1"/>
  <c r="EK28" i="22" s="1"/>
  <c r="DO28" i="22"/>
  <c r="DP28" i="22" s="1"/>
  <c r="DQ28" i="22"/>
  <c r="DR28" i="22" s="1"/>
  <c r="DN28" i="22"/>
  <c r="CZ28" i="22"/>
  <c r="CV28" i="22" s="1"/>
  <c r="DA28" i="22" s="1"/>
  <c r="N28" i="22" s="1"/>
  <c r="EI28" i="22"/>
  <c r="CY10" i="19"/>
  <c r="M10" i="19" s="1"/>
  <c r="EI10" i="19" s="1"/>
  <c r="DB10" i="19"/>
  <c r="O10" i="19" s="1"/>
  <c r="EJ10" i="19" s="1"/>
  <c r="N10" i="19"/>
  <c r="K26" i="32"/>
  <c r="EO26" i="32" s="1"/>
  <c r="ER14" i="32"/>
  <c r="K14" i="32"/>
  <c r="EO14" i="32" s="1"/>
  <c r="DX26" i="32"/>
  <c r="DW26" i="32"/>
  <c r="DU26" i="32"/>
  <c r="DV26" i="32"/>
  <c r="DU14" i="32"/>
  <c r="DW14" i="32"/>
  <c r="DG14" i="32"/>
  <c r="DI14" i="32"/>
  <c r="DI26" i="32"/>
  <c r="DH26" i="32"/>
  <c r="DJ26" i="32"/>
  <c r="DG26" i="32"/>
  <c r="CV9" i="45"/>
  <c r="DA9" i="45" s="1"/>
  <c r="CT9" i="45"/>
  <c r="CW9" i="45" s="1"/>
  <c r="CT8" i="45"/>
  <c r="CW8" i="45" s="1"/>
  <c r="CV8" i="45"/>
  <c r="DA8" i="45" s="1"/>
  <c r="H56" i="41"/>
  <c r="EM56" i="41"/>
  <c r="DV56" i="41"/>
  <c r="DX56" i="41"/>
  <c r="DH56" i="41"/>
  <c r="DJ56" i="41"/>
  <c r="ET81" i="19"/>
  <c r="DA9" i="19"/>
  <c r="CT52" i="19"/>
  <c r="CW52" i="19" s="1"/>
  <c r="CV52" i="19"/>
  <c r="DA52" i="19" s="1"/>
  <c r="CY9" i="19"/>
  <c r="L8" i="19"/>
  <c r="CY8" i="19"/>
  <c r="M8" i="19" s="1"/>
  <c r="DB8" i="19"/>
  <c r="O8" i="19" s="1"/>
  <c r="N8" i="19"/>
  <c r="M48" i="19"/>
  <c r="EL8" i="19"/>
  <c r="BJ38" i="22"/>
  <c r="BW37" i="22"/>
  <c r="BW35" i="47"/>
  <c r="BJ36" i="47"/>
  <c r="BJ39" i="32"/>
  <c r="BW38" i="32"/>
  <c r="BW35" i="41"/>
  <c r="BJ36" i="41"/>
  <c r="DW56" i="41"/>
  <c r="DU56" i="41"/>
  <c r="DI56" i="41"/>
  <c r="DG56" i="41"/>
  <c r="U78" i="29"/>
  <c r="AA62" i="29" s="1"/>
  <c r="AA74" i="29" s="1"/>
  <c r="Q10" i="19" l="1"/>
  <c r="Q8" i="19"/>
  <c r="DB28" i="22"/>
  <c r="O28" i="22" s="1"/>
  <c r="EP26" i="32"/>
  <c r="EM26" i="32"/>
  <c r="EQ26" i="32"/>
  <c r="CR26" i="32"/>
  <c r="CZ26" i="32" s="1"/>
  <c r="CV26" i="32" s="1"/>
  <c r="DA26" i="32" s="1"/>
  <c r="EP14" i="32"/>
  <c r="CR14" i="32"/>
  <c r="CZ14" i="32" s="1"/>
  <c r="CV14" i="32" s="1"/>
  <c r="DA14" i="32" s="1"/>
  <c r="N14" i="32" s="1"/>
  <c r="EM14" i="32"/>
  <c r="EQ14" i="32"/>
  <c r="ER26" i="32"/>
  <c r="ES14" i="32"/>
  <c r="ET14" i="32"/>
  <c r="CY9" i="45"/>
  <c r="M9" i="45" s="1"/>
  <c r="EI9" i="45" s="1"/>
  <c r="L9" i="45"/>
  <c r="N9" i="45"/>
  <c r="DB9" i="45"/>
  <c r="O9" i="45" s="1"/>
  <c r="EJ9" i="45" s="1"/>
  <c r="DB8" i="45"/>
  <c r="O8" i="45" s="1"/>
  <c r="EJ8" i="45" s="1"/>
  <c r="N8" i="45"/>
  <c r="CY8" i="45"/>
  <c r="M8" i="45" s="1"/>
  <c r="L8" i="45"/>
  <c r="N9" i="19"/>
  <c r="DB9" i="19"/>
  <c r="O9" i="19" s="1"/>
  <c r="EL9" i="19" s="1"/>
  <c r="EL81" i="19" s="1"/>
  <c r="DB52" i="19"/>
  <c r="O52" i="19" s="1"/>
  <c r="N52" i="19"/>
  <c r="L52" i="19"/>
  <c r="CY52" i="19"/>
  <c r="M52" i="19" s="1"/>
  <c r="M9" i="19"/>
  <c r="EK9" i="19" s="1"/>
  <c r="EJ8" i="19"/>
  <c r="EK8" i="19"/>
  <c r="EI8" i="19"/>
  <c r="EK9" i="45"/>
  <c r="EK82" i="45" s="1"/>
  <c r="EL9" i="45"/>
  <c r="EL81" i="45" s="1"/>
  <c r="AG5" i="45" s="1"/>
  <c r="BJ39" i="22"/>
  <c r="BW38" i="22"/>
  <c r="CL10" i="22" s="1"/>
  <c r="BW36" i="47"/>
  <c r="BJ37" i="47"/>
  <c r="BJ40" i="32"/>
  <c r="BJ41" i="32" s="1"/>
  <c r="BW39" i="32"/>
  <c r="BW36" i="41"/>
  <c r="BJ37" i="41"/>
  <c r="ER56" i="41"/>
  <c r="ET56" i="41" s="1"/>
  <c r="EO56" i="41"/>
  <c r="CR56" i="41"/>
  <c r="U77" i="29"/>
  <c r="Q9" i="19" l="1"/>
  <c r="EB26" i="32"/>
  <c r="CX26" i="32"/>
  <c r="CT26" i="32" s="1"/>
  <c r="CW26" i="32" s="1"/>
  <c r="L26" i="32" s="1"/>
  <c r="EE26" i="32"/>
  <c r="EF26" i="32" s="1"/>
  <c r="Q28" i="22"/>
  <c r="DL26" i="32"/>
  <c r="DZ26" i="32"/>
  <c r="DN26" i="32"/>
  <c r="DO26" i="32"/>
  <c r="DP26" i="32" s="1"/>
  <c r="EC26" i="32"/>
  <c r="ED26" i="32" s="1"/>
  <c r="DQ26" i="32"/>
  <c r="DR26" i="32" s="1"/>
  <c r="DN14" i="32"/>
  <c r="DJ14" i="32" s="1"/>
  <c r="DQ14" i="32" s="1"/>
  <c r="DR14" i="32" s="1"/>
  <c r="CX14" i="32"/>
  <c r="CT14" i="32" s="1"/>
  <c r="CW14" i="32" s="1"/>
  <c r="L14" i="32" s="1"/>
  <c r="DL14" i="32"/>
  <c r="DH14" i="32" s="1"/>
  <c r="DO14" i="32" s="1"/>
  <c r="DP14" i="32" s="1"/>
  <c r="DZ14" i="32"/>
  <c r="DV14" i="32" s="1"/>
  <c r="EC14" i="32" s="1"/>
  <c r="ED14" i="32" s="1"/>
  <c r="EB14" i="32"/>
  <c r="DX14" i="32" s="1"/>
  <c r="EE14" i="32" s="1"/>
  <c r="EF14" i="32" s="1"/>
  <c r="EJ28" i="22"/>
  <c r="EL28" i="22"/>
  <c r="DF10" i="22"/>
  <c r="DE10" i="22" s="1"/>
  <c r="EK81" i="19"/>
  <c r="M90" i="19" s="1"/>
  <c r="M99" i="19" s="1"/>
  <c r="O90" i="19"/>
  <c r="O99" i="19" s="1"/>
  <c r="AG5" i="19"/>
  <c r="DB14" i="32"/>
  <c r="O14" i="32" s="1"/>
  <c r="N26" i="32"/>
  <c r="DB26" i="32"/>
  <c r="O26" i="32" s="1"/>
  <c r="ET26" i="32"/>
  <c r="ES26" i="32"/>
  <c r="DS10" i="22"/>
  <c r="DT10" i="22" s="1"/>
  <c r="EU10" i="22"/>
  <c r="CU10" i="22"/>
  <c r="J10" i="22"/>
  <c r="Z10" i="22"/>
  <c r="H10" i="22" s="1"/>
  <c r="CS10" i="22"/>
  <c r="CO10" i="22"/>
  <c r="CN10" i="22" s="1"/>
  <c r="O13" i="19"/>
  <c r="EJ9" i="19"/>
  <c r="EJ81" i="19" s="1"/>
  <c r="M13" i="19"/>
  <c r="EI9" i="19"/>
  <c r="EI81" i="19" s="1"/>
  <c r="O2" i="45"/>
  <c r="O81" i="45" s="1"/>
  <c r="O13" i="45"/>
  <c r="O19" i="45" s="1"/>
  <c r="O25" i="45" s="1"/>
  <c r="O2" i="19"/>
  <c r="O81" i="19" s="1"/>
  <c r="M2" i="19"/>
  <c r="M81" i="19" s="1"/>
  <c r="O90" i="45"/>
  <c r="O99" i="45" s="1"/>
  <c r="EL82" i="45"/>
  <c r="EK81" i="45"/>
  <c r="AE5" i="45" s="1"/>
  <c r="BJ40" i="22"/>
  <c r="BJ41" i="22" s="1"/>
  <c r="BW39" i="22"/>
  <c r="BW37" i="47"/>
  <c r="BJ38" i="47"/>
  <c r="EJ82" i="45"/>
  <c r="EJ81" i="45"/>
  <c r="AF5" i="45" s="1"/>
  <c r="EI8" i="45"/>
  <c r="M13" i="45"/>
  <c r="M2" i="45"/>
  <c r="M81" i="45" s="1"/>
  <c r="BW41" i="32"/>
  <c r="BJ42" i="32"/>
  <c r="BJ43" i="32" s="1"/>
  <c r="BJ44" i="32" s="1"/>
  <c r="BJ38" i="41"/>
  <c r="BW37" i="41"/>
  <c r="ES56" i="41"/>
  <c r="DL56" i="41"/>
  <c r="CZ56" i="41"/>
  <c r="DA56" i="41" s="1"/>
  <c r="CX56" i="41"/>
  <c r="CW56" i="41" s="1"/>
  <c r="DO56" i="41"/>
  <c r="DP56" i="41" s="1"/>
  <c r="EE56" i="41"/>
  <c r="EF56" i="41" s="1"/>
  <c r="DQ56" i="41"/>
  <c r="DR56" i="41" s="1"/>
  <c r="DN56" i="41"/>
  <c r="EB56" i="41"/>
  <c r="DZ56" i="41"/>
  <c r="EC56" i="41"/>
  <c r="ED56" i="41" s="1"/>
  <c r="U81" i="29"/>
  <c r="U80" i="29"/>
  <c r="AA60" i="29"/>
  <c r="AA61" i="29" s="1"/>
  <c r="AA78" i="29" s="1"/>
  <c r="AB78" i="29" s="1"/>
  <c r="CY26" i="32" l="1"/>
  <c r="Q26" i="32" s="1"/>
  <c r="CY14" i="32"/>
  <c r="Q14" i="32" s="1"/>
  <c r="EL14" i="32"/>
  <c r="EJ14" i="32"/>
  <c r="AE5" i="19"/>
  <c r="DX10" i="22"/>
  <c r="DW10" i="22"/>
  <c r="DV10" i="22"/>
  <c r="DU10" i="22"/>
  <c r="DH10" i="22"/>
  <c r="DG10" i="22"/>
  <c r="DJ10" i="22"/>
  <c r="DI10" i="22"/>
  <c r="K10" i="22"/>
  <c r="EO10" i="22" s="1"/>
  <c r="EL26" i="32"/>
  <c r="O31" i="32"/>
  <c r="L90" i="19"/>
  <c r="AD5" i="19"/>
  <c r="N90" i="19"/>
  <c r="AF5" i="19"/>
  <c r="EL10" i="22"/>
  <c r="EL82" i="22" s="1"/>
  <c r="B88" i="45"/>
  <c r="I88" i="45"/>
  <c r="B89" i="45"/>
  <c r="B87" i="45"/>
  <c r="I88" i="19"/>
  <c r="B87" i="19"/>
  <c r="B89" i="19"/>
  <c r="B88" i="19"/>
  <c r="M90" i="45"/>
  <c r="M99" i="45" s="1"/>
  <c r="N90" i="45"/>
  <c r="Y8" i="45"/>
  <c r="M19" i="45"/>
  <c r="BW41" i="22"/>
  <c r="BJ42" i="22"/>
  <c r="BJ43" i="22" s="1"/>
  <c r="BJ44" i="22" s="1"/>
  <c r="BW38" i="47"/>
  <c r="BJ39" i="47"/>
  <c r="EI82" i="45"/>
  <c r="EI81" i="45"/>
  <c r="AD5" i="45" s="1"/>
  <c r="BJ45" i="32"/>
  <c r="BJ46" i="32" s="1"/>
  <c r="BJ47" i="32" s="1"/>
  <c r="BJ48" i="32" s="1"/>
  <c r="BJ49" i="32" s="1"/>
  <c r="BJ50" i="32" s="1"/>
  <c r="BW44" i="32"/>
  <c r="CL9" i="32" s="1"/>
  <c r="DF9" i="32" s="1"/>
  <c r="DE9" i="32" s="1"/>
  <c r="BW38" i="41"/>
  <c r="BJ39" i="41"/>
  <c r="N56" i="41"/>
  <c r="DB56" i="41"/>
  <c r="O56" i="41" s="1"/>
  <c r="CY56" i="41"/>
  <c r="M56" i="41" s="1"/>
  <c r="L56" i="41"/>
  <c r="AK29" i="38"/>
  <c r="N21" i="38"/>
  <c r="M26" i="32" l="1"/>
  <c r="M31" i="32" s="1"/>
  <c r="Y26" i="32" s="1"/>
  <c r="M14" i="32"/>
  <c r="EI14" i="32" s="1"/>
  <c r="EQ10" i="22"/>
  <c r="EP10" i="22"/>
  <c r="CR10" i="22"/>
  <c r="CZ10" i="22" s="1"/>
  <c r="CV10" i="22" s="1"/>
  <c r="DA10" i="22" s="1"/>
  <c r="N10" i="22" s="1"/>
  <c r="EM10" i="22"/>
  <c r="EK14" i="32"/>
  <c r="EI26" i="32"/>
  <c r="EK26" i="32"/>
  <c r="ER10" i="22"/>
  <c r="L90" i="45"/>
  <c r="CL26" i="22"/>
  <c r="CL23" i="22"/>
  <c r="CL15" i="22"/>
  <c r="CL17" i="22"/>
  <c r="CL8" i="22"/>
  <c r="J9" i="32"/>
  <c r="CO9" i="32"/>
  <c r="CN9" i="32" s="1"/>
  <c r="DS9" i="32"/>
  <c r="DT9" i="32" s="1"/>
  <c r="Z9" i="32"/>
  <c r="H9" i="32" s="1"/>
  <c r="CS9" i="32"/>
  <c r="EU9" i="32"/>
  <c r="CU9" i="32"/>
  <c r="Y14" i="45"/>
  <c r="M25" i="45"/>
  <c r="BJ45" i="22"/>
  <c r="BJ46" i="22" s="1"/>
  <c r="BJ47" i="22" s="1"/>
  <c r="BJ48" i="22" s="1"/>
  <c r="BJ49" i="22" s="1"/>
  <c r="BJ50" i="22" s="1"/>
  <c r="BW44" i="22"/>
  <c r="CL12" i="22" s="1"/>
  <c r="BW39" i="47"/>
  <c r="BJ40" i="47"/>
  <c r="BJ41" i="47" s="1"/>
  <c r="BJ51" i="32"/>
  <c r="BJ52" i="32" s="1"/>
  <c r="BJ53" i="32" s="1"/>
  <c r="BJ54" i="32" s="1"/>
  <c r="BJ55" i="32" s="1"/>
  <c r="BJ56" i="32" s="1"/>
  <c r="BW50" i="32"/>
  <c r="CL8" i="32" s="1"/>
  <c r="DF8" i="32" s="1"/>
  <c r="DE8" i="32" s="1"/>
  <c r="BJ40" i="41"/>
  <c r="BJ41" i="41" s="1"/>
  <c r="BW39" i="41"/>
  <c r="M61" i="41"/>
  <c r="O61" i="41"/>
  <c r="AH24" i="38"/>
  <c r="AH14" i="38"/>
  <c r="AH16" i="38"/>
  <c r="AH17" i="38"/>
  <c r="AH15" i="38"/>
  <c r="AH12" i="38"/>
  <c r="AH19" i="38"/>
  <c r="AH13" i="38"/>
  <c r="AH18" i="38"/>
  <c r="AH20" i="38"/>
  <c r="AH23" i="38"/>
  <c r="AH21" i="38"/>
  <c r="AH28" i="38"/>
  <c r="AH27" i="38"/>
  <c r="AH31" i="38"/>
  <c r="AH29" i="38"/>
  <c r="AH30" i="38"/>
  <c r="Y56" i="41" l="1"/>
  <c r="Y20" i="45"/>
  <c r="DF26" i="22"/>
  <c r="DE26" i="22" s="1"/>
  <c r="DF23" i="22"/>
  <c r="DE23" i="22" s="1"/>
  <c r="DF12" i="22"/>
  <c r="DE12" i="22" s="1"/>
  <c r="DQ10" i="22"/>
  <c r="DR10" i="22" s="1"/>
  <c r="DN10" i="22"/>
  <c r="EC10" i="22"/>
  <c r="ED10" i="22" s="1"/>
  <c r="EE10" i="22"/>
  <c r="EF10" i="22" s="1"/>
  <c r="DZ10" i="22"/>
  <c r="DF17" i="22"/>
  <c r="DE17" i="22" s="1"/>
  <c r="CX10" i="22"/>
  <c r="CT10" i="22" s="1"/>
  <c r="CW10" i="22" s="1"/>
  <c r="L10" i="22" s="1"/>
  <c r="DO10" i="22"/>
  <c r="DP10" i="22" s="1"/>
  <c r="EB10" i="22"/>
  <c r="DL10" i="22"/>
  <c r="DF15" i="22"/>
  <c r="DE15" i="22" s="1"/>
  <c r="DF8" i="22"/>
  <c r="DE8" i="22" s="1"/>
  <c r="DB10" i="22"/>
  <c r="O10" i="22" s="1"/>
  <c r="EJ10" i="22" s="1"/>
  <c r="ET10" i="22"/>
  <c r="ES10" i="22"/>
  <c r="K9" i="32"/>
  <c r="EM9" i="32" s="1"/>
  <c r="EK10" i="22"/>
  <c r="EK82" i="22" s="1"/>
  <c r="ER9" i="32"/>
  <c r="DH9" i="32"/>
  <c r="DJ9" i="32"/>
  <c r="DV9" i="32"/>
  <c r="DX9" i="32"/>
  <c r="J23" i="22"/>
  <c r="CO23" i="22"/>
  <c r="CN23" i="22" s="1"/>
  <c r="CS23" i="22"/>
  <c r="DS23" i="22"/>
  <c r="DT23" i="22" s="1"/>
  <c r="CU23" i="22"/>
  <c r="Z23" i="22"/>
  <c r="H23" i="22" s="1"/>
  <c r="EU23" i="22"/>
  <c r="DS12" i="22"/>
  <c r="DT12" i="22" s="1"/>
  <c r="CU12" i="22"/>
  <c r="CS12" i="22"/>
  <c r="EU12" i="22"/>
  <c r="CO12" i="22"/>
  <c r="CN12" i="22" s="1"/>
  <c r="J12" i="22"/>
  <c r="Z12" i="22"/>
  <c r="H12" i="22" s="1"/>
  <c r="J26" i="22"/>
  <c r="DS26" i="22"/>
  <c r="DT26" i="22" s="1"/>
  <c r="CO26" i="22"/>
  <c r="CN26" i="22" s="1"/>
  <c r="CS26" i="22"/>
  <c r="EU26" i="22"/>
  <c r="Z26" i="22"/>
  <c r="H26" i="22" s="1"/>
  <c r="CU26" i="22"/>
  <c r="J8" i="22"/>
  <c r="CO8" i="22"/>
  <c r="CN8" i="22" s="1"/>
  <c r="CS8" i="22"/>
  <c r="EU8" i="22"/>
  <c r="DS8" i="22"/>
  <c r="DT8" i="22" s="1"/>
  <c r="CU8" i="22"/>
  <c r="Z8" i="22"/>
  <c r="H8" i="22" s="1"/>
  <c r="J17" i="22"/>
  <c r="CO17" i="22"/>
  <c r="CN17" i="22" s="1"/>
  <c r="Z17" i="22"/>
  <c r="H17" i="22" s="1"/>
  <c r="CS17" i="22"/>
  <c r="DS17" i="22"/>
  <c r="DT17" i="22" s="1"/>
  <c r="EU17" i="22"/>
  <c r="CU17" i="22"/>
  <c r="J15" i="22"/>
  <c r="CS15" i="22"/>
  <c r="CO15" i="22"/>
  <c r="CN15" i="22" s="1"/>
  <c r="CU15" i="22"/>
  <c r="EU15" i="22"/>
  <c r="Z15" i="22"/>
  <c r="H15" i="22" s="1"/>
  <c r="DS15" i="22"/>
  <c r="DT15" i="22" s="1"/>
  <c r="DU9" i="32"/>
  <c r="DW9" i="32"/>
  <c r="DG9" i="32"/>
  <c r="DI9" i="32"/>
  <c r="M104" i="45"/>
  <c r="O104" i="45" s="1"/>
  <c r="BJ51" i="22"/>
  <c r="BJ52" i="22" s="1"/>
  <c r="BJ53" i="22" s="1"/>
  <c r="BJ54" i="22" s="1"/>
  <c r="BJ55" i="22" s="1"/>
  <c r="BJ56" i="22" s="1"/>
  <c r="BW50" i="22"/>
  <c r="BW41" i="47"/>
  <c r="CL28" i="47" s="1"/>
  <c r="BJ42" i="47"/>
  <c r="BJ43" i="47" s="1"/>
  <c r="BJ44" i="47" s="1"/>
  <c r="J8" i="32"/>
  <c r="CU8" i="32"/>
  <c r="CO8" i="32"/>
  <c r="CN8" i="32" s="1"/>
  <c r="CS8" i="32"/>
  <c r="DS8" i="32"/>
  <c r="DT8" i="32" s="1"/>
  <c r="EU8" i="32"/>
  <c r="Z8" i="32"/>
  <c r="H8" i="32" s="1"/>
  <c r="BJ57" i="32"/>
  <c r="BJ58" i="32" s="1"/>
  <c r="BJ59" i="32" s="1"/>
  <c r="BJ60" i="32" s="1"/>
  <c r="BJ61" i="32" s="1"/>
  <c r="BJ62" i="32" s="1"/>
  <c r="BW56" i="32"/>
  <c r="CL16" i="32" s="1"/>
  <c r="BW41" i="41"/>
  <c r="BJ42" i="41"/>
  <c r="BJ43" i="41" s="1"/>
  <c r="BJ44" i="41" s="1"/>
  <c r="CL21" i="41"/>
  <c r="CL22" i="41"/>
  <c r="CY10" i="22" l="1"/>
  <c r="Q10" i="22" s="1"/>
  <c r="ER17" i="22"/>
  <c r="K17" i="22"/>
  <c r="EP17" i="22" s="1"/>
  <c r="DF16" i="32"/>
  <c r="DE16" i="32" s="1"/>
  <c r="DF22" i="41"/>
  <c r="DE22" i="41" s="1"/>
  <c r="DF21" i="41"/>
  <c r="DE21" i="41" s="1"/>
  <c r="DF28" i="47"/>
  <c r="DE28" i="47" s="1"/>
  <c r="CO28" i="47"/>
  <c r="CN28" i="47" s="1"/>
  <c r="CS28" i="47"/>
  <c r="EU28" i="47"/>
  <c r="CU28" i="47"/>
  <c r="Z28" i="47"/>
  <c r="J28" i="47"/>
  <c r="DS28" i="47"/>
  <c r="DT28" i="47" s="1"/>
  <c r="CL8" i="41"/>
  <c r="DF8" i="41" s="1"/>
  <c r="CL28" i="41"/>
  <c r="CL14" i="41"/>
  <c r="CL20" i="41"/>
  <c r="CL15" i="41"/>
  <c r="CL27" i="41"/>
  <c r="CL10" i="41"/>
  <c r="CL11" i="41"/>
  <c r="CL9" i="41"/>
  <c r="K23" i="22"/>
  <c r="EO23" i="22" s="1"/>
  <c r="EP9" i="32"/>
  <c r="CR9" i="32"/>
  <c r="K8" i="32"/>
  <c r="EP8" i="32" s="1"/>
  <c r="K26" i="22"/>
  <c r="EO26" i="22" s="1"/>
  <c r="EO9" i="32"/>
  <c r="K15" i="22"/>
  <c r="EO15" i="22" s="1"/>
  <c r="K8" i="22"/>
  <c r="EP8" i="22" s="1"/>
  <c r="K12" i="22"/>
  <c r="EO12" i="22" s="1"/>
  <c r="DH17" i="22"/>
  <c r="DJ17" i="22"/>
  <c r="DH8" i="22"/>
  <c r="DJ8" i="22"/>
  <c r="DH23" i="22"/>
  <c r="DJ23" i="22"/>
  <c r="DH26" i="22"/>
  <c r="DJ26" i="22"/>
  <c r="DH12" i="22"/>
  <c r="DJ12" i="22"/>
  <c r="DH15" i="22"/>
  <c r="DJ15" i="22"/>
  <c r="DH8" i="32"/>
  <c r="DJ8" i="32"/>
  <c r="DX23" i="22"/>
  <c r="DV23" i="22"/>
  <c r="DX15" i="22"/>
  <c r="DV15" i="22"/>
  <c r="DX26" i="22"/>
  <c r="DV26" i="22"/>
  <c r="DX12" i="22"/>
  <c r="DV12" i="22"/>
  <c r="DX8" i="22"/>
  <c r="DV8" i="22"/>
  <c r="DX17" i="22"/>
  <c r="DV17" i="22"/>
  <c r="DV8" i="32"/>
  <c r="DX8" i="32"/>
  <c r="DW23" i="22"/>
  <c r="DU23" i="22"/>
  <c r="DI26" i="22"/>
  <c r="DG26" i="22"/>
  <c r="DW26" i="22"/>
  <c r="DU26" i="22"/>
  <c r="DG12" i="22"/>
  <c r="DI12" i="22"/>
  <c r="DI23" i="22"/>
  <c r="DG23" i="22"/>
  <c r="DW12" i="22"/>
  <c r="DU12" i="22"/>
  <c r="J16" i="32"/>
  <c r="CU16" i="32"/>
  <c r="CO16" i="32"/>
  <c r="CN16" i="32" s="1"/>
  <c r="Z16" i="32"/>
  <c r="H16" i="32" s="1"/>
  <c r="CS16" i="32"/>
  <c r="EU16" i="32"/>
  <c r="EU81" i="32" s="1"/>
  <c r="DS16" i="32"/>
  <c r="DT16" i="32" s="1"/>
  <c r="DI17" i="22"/>
  <c r="DG17" i="22"/>
  <c r="DW8" i="22"/>
  <c r="DU8" i="22"/>
  <c r="DG8" i="22"/>
  <c r="DI8" i="22"/>
  <c r="DW17" i="22"/>
  <c r="DU17" i="22"/>
  <c r="DU15" i="22"/>
  <c r="DW15" i="22"/>
  <c r="DG15" i="22"/>
  <c r="DI15" i="22"/>
  <c r="EQ9" i="32"/>
  <c r="ES9" i="32"/>
  <c r="ET9" i="32"/>
  <c r="CL24" i="47"/>
  <c r="CL33" i="47"/>
  <c r="DE33" i="47" s="1"/>
  <c r="CL21" i="47"/>
  <c r="BW56" i="22"/>
  <c r="CL14" i="22" s="1"/>
  <c r="BJ57" i="22"/>
  <c r="BJ58" i="22" s="1"/>
  <c r="BJ59" i="22" s="1"/>
  <c r="BJ60" i="22" s="1"/>
  <c r="BJ61" i="22" s="1"/>
  <c r="BJ62" i="22" s="1"/>
  <c r="BW44" i="47"/>
  <c r="CL11" i="47" s="1"/>
  <c r="BJ45" i="47"/>
  <c r="BJ46" i="47" s="1"/>
  <c r="BJ47" i="47" s="1"/>
  <c r="BJ48" i="47" s="1"/>
  <c r="BJ49" i="47" s="1"/>
  <c r="BJ50" i="47" s="1"/>
  <c r="BJ63" i="32"/>
  <c r="BJ64" i="32" s="1"/>
  <c r="BJ65" i="32" s="1"/>
  <c r="BJ66" i="32" s="1"/>
  <c r="BJ67" i="32" s="1"/>
  <c r="BJ68" i="32" s="1"/>
  <c r="BW62" i="32"/>
  <c r="DI8" i="32"/>
  <c r="DG8" i="32"/>
  <c r="DW8" i="32"/>
  <c r="DU8" i="32"/>
  <c r="BW44" i="41"/>
  <c r="CL26" i="41" s="1"/>
  <c r="BJ45" i="41"/>
  <c r="BJ46" i="41" s="1"/>
  <c r="BJ47" i="41" s="1"/>
  <c r="BJ48" i="41" s="1"/>
  <c r="BJ49" i="41" s="1"/>
  <c r="BJ50" i="41" s="1"/>
  <c r="DS21" i="41"/>
  <c r="DT21" i="41" s="1"/>
  <c r="CO21" i="41"/>
  <c r="CN21" i="41" s="1"/>
  <c r="J21" i="41"/>
  <c r="EU21" i="41"/>
  <c r="CS21" i="41"/>
  <c r="CU21" i="41"/>
  <c r="Z21" i="41"/>
  <c r="J22" i="41"/>
  <c r="CU22" i="41"/>
  <c r="CS22" i="41"/>
  <c r="CO22" i="41"/>
  <c r="CN22" i="41" s="1"/>
  <c r="DS22" i="41"/>
  <c r="DT22" i="41" s="1"/>
  <c r="Z22" i="41"/>
  <c r="EU22" i="41"/>
  <c r="H21" i="41" l="1"/>
  <c r="H22" i="41"/>
  <c r="H28" i="47"/>
  <c r="J8" i="41"/>
  <c r="EP26" i="22"/>
  <c r="EM26" i="22"/>
  <c r="EM23" i="22"/>
  <c r="CR23" i="22"/>
  <c r="DL23" i="22" s="1"/>
  <c r="EP23" i="22"/>
  <c r="CR26" i="22"/>
  <c r="DO26" i="22" s="1"/>
  <c r="DP26" i="22" s="1"/>
  <c r="EM17" i="22"/>
  <c r="M10" i="22"/>
  <c r="EI10" i="22" s="1"/>
  <c r="EO17" i="22"/>
  <c r="CR17" i="22"/>
  <c r="CX17" i="22" s="1"/>
  <c r="DF14" i="22"/>
  <c r="DE14" i="22" s="1"/>
  <c r="DF20" i="41"/>
  <c r="DE20" i="41" s="1"/>
  <c r="DF28" i="41"/>
  <c r="DE28" i="41" s="1"/>
  <c r="DF14" i="41"/>
  <c r="DE14" i="41" s="1"/>
  <c r="K21" i="41"/>
  <c r="Q21" i="41" s="1"/>
  <c r="DF26" i="41"/>
  <c r="DE26" i="41" s="1"/>
  <c r="DF9" i="41"/>
  <c r="DE9" i="41" s="1"/>
  <c r="DF11" i="41"/>
  <c r="DE11" i="41" s="1"/>
  <c r="DF10" i="41"/>
  <c r="DE10" i="41" s="1"/>
  <c r="K22" i="41"/>
  <c r="EM22" i="41" s="1"/>
  <c r="DF27" i="41"/>
  <c r="DE27" i="41" s="1"/>
  <c r="DF15" i="41"/>
  <c r="DE15" i="41" s="1"/>
  <c r="DF11" i="47"/>
  <c r="DE11" i="47" s="1"/>
  <c r="DF21" i="47"/>
  <c r="DE21" i="47" s="1"/>
  <c r="DF24" i="47"/>
  <c r="DE24" i="47" s="1"/>
  <c r="EU8" i="41"/>
  <c r="DE8" i="41"/>
  <c r="EP15" i="22"/>
  <c r="DS8" i="41"/>
  <c r="DT8" i="41" s="1"/>
  <c r="DX8" i="41" s="1"/>
  <c r="Z8" i="41"/>
  <c r="CU8" i="41"/>
  <c r="CS8" i="41"/>
  <c r="CO8" i="41"/>
  <c r="CN8" i="41" s="1"/>
  <c r="DJ8" i="41" s="1"/>
  <c r="EU15" i="41"/>
  <c r="CU15" i="41"/>
  <c r="Z15" i="41"/>
  <c r="CO15" i="41"/>
  <c r="CN15" i="41" s="1"/>
  <c r="DS15" i="41"/>
  <c r="DT15" i="41" s="1"/>
  <c r="CS15" i="41"/>
  <c r="J15" i="41"/>
  <c r="DV28" i="47"/>
  <c r="DX28" i="47"/>
  <c r="DU28" i="47"/>
  <c r="DW28" i="47"/>
  <c r="EU20" i="41"/>
  <c r="CO20" i="41"/>
  <c r="CN20" i="41" s="1"/>
  <c r="CU20" i="41"/>
  <c r="DS20" i="41"/>
  <c r="DT20" i="41" s="1"/>
  <c r="CS20" i="41"/>
  <c r="J20" i="41"/>
  <c r="Z20" i="41"/>
  <c r="CS26" i="41"/>
  <c r="CO26" i="41"/>
  <c r="CN26" i="41" s="1"/>
  <c r="CU26" i="41"/>
  <c r="DS26" i="41"/>
  <c r="DT26" i="41" s="1"/>
  <c r="Z26" i="41"/>
  <c r="J26" i="41"/>
  <c r="EU26" i="41"/>
  <c r="CS14" i="41"/>
  <c r="Z14" i="41"/>
  <c r="CU14" i="41"/>
  <c r="CO14" i="41"/>
  <c r="CN14" i="41" s="1"/>
  <c r="DS14" i="41"/>
  <c r="DT14" i="41" s="1"/>
  <c r="J14" i="41"/>
  <c r="EU14" i="41"/>
  <c r="Z28" i="41"/>
  <c r="CU28" i="41"/>
  <c r="J28" i="41"/>
  <c r="DS28" i="41"/>
  <c r="DT28" i="41" s="1"/>
  <c r="EU28" i="41"/>
  <c r="CS28" i="41"/>
  <c r="CO28" i="41"/>
  <c r="CN28" i="41" s="1"/>
  <c r="K28" i="47"/>
  <c r="EM28" i="47" s="1"/>
  <c r="Z9" i="41"/>
  <c r="DS9" i="41"/>
  <c r="DT9" i="41" s="1"/>
  <c r="CO9" i="41"/>
  <c r="CN9" i="41" s="1"/>
  <c r="J9" i="41"/>
  <c r="CS9" i="41"/>
  <c r="CU9" i="41"/>
  <c r="EU9" i="41"/>
  <c r="Z11" i="41"/>
  <c r="CO11" i="41"/>
  <c r="CN11" i="41" s="1"/>
  <c r="EU11" i="41"/>
  <c r="CU11" i="41"/>
  <c r="DS11" i="41"/>
  <c r="DT11" i="41" s="1"/>
  <c r="CS11" i="41"/>
  <c r="J11" i="41"/>
  <c r="Z10" i="41"/>
  <c r="J10" i="41"/>
  <c r="EU10" i="41"/>
  <c r="DS10" i="41"/>
  <c r="DT10" i="41" s="1"/>
  <c r="CO10" i="41"/>
  <c r="CN10" i="41" s="1"/>
  <c r="CU10" i="41"/>
  <c r="CS10" i="41"/>
  <c r="DS27" i="41"/>
  <c r="DT27" i="41" s="1"/>
  <c r="CO27" i="41"/>
  <c r="CN27" i="41" s="1"/>
  <c r="J27" i="41"/>
  <c r="CU27" i="41"/>
  <c r="Z27" i="41"/>
  <c r="EU27" i="41"/>
  <c r="CS27" i="41"/>
  <c r="DJ28" i="47"/>
  <c r="DI28" i="47"/>
  <c r="DH28" i="47"/>
  <c r="DG28" i="47"/>
  <c r="CR8" i="22"/>
  <c r="CX8" i="22" s="1"/>
  <c r="EM8" i="22"/>
  <c r="ER23" i="22"/>
  <c r="ET23" i="22" s="1"/>
  <c r="EM15" i="22"/>
  <c r="ER26" i="22"/>
  <c r="ES26" i="22" s="1"/>
  <c r="CR15" i="22"/>
  <c r="CZ15" i="22" s="1"/>
  <c r="CV15" i="22" s="1"/>
  <c r="EP12" i="22"/>
  <c r="EM12" i="22"/>
  <c r="CR12" i="22"/>
  <c r="EC12" i="22" s="1"/>
  <c r="ED12" i="22" s="1"/>
  <c r="K16" i="32"/>
  <c r="EM16" i="32" s="1"/>
  <c r="ER15" i="22"/>
  <c r="ET15" i="22" s="1"/>
  <c r="ER12" i="22"/>
  <c r="ES12" i="22" s="1"/>
  <c r="ER8" i="22"/>
  <c r="ES8" i="22" s="1"/>
  <c r="CT33" i="47"/>
  <c r="CV33" i="47"/>
  <c r="CR8" i="32"/>
  <c r="DZ8" i="32" s="1"/>
  <c r="EC8" i="32" s="1"/>
  <c r="ED8" i="32" s="1"/>
  <c r="EO8" i="32"/>
  <c r="EM8" i="32"/>
  <c r="EM21" i="41"/>
  <c r="DV22" i="41"/>
  <c r="DX22" i="41"/>
  <c r="DH22" i="41"/>
  <c r="DJ22" i="41"/>
  <c r="EQ23" i="22"/>
  <c r="EQ26" i="22"/>
  <c r="EQ12" i="22"/>
  <c r="DI16" i="32"/>
  <c r="DG16" i="32"/>
  <c r="DU16" i="32"/>
  <c r="DW16" i="32"/>
  <c r="EQ17" i="22"/>
  <c r="EQ8" i="22"/>
  <c r="J14" i="22"/>
  <c r="DS14" i="22"/>
  <c r="DT14" i="22" s="1"/>
  <c r="CO14" i="22"/>
  <c r="CN14" i="22" s="1"/>
  <c r="EU14" i="22"/>
  <c r="CS14" i="22"/>
  <c r="Z14" i="22"/>
  <c r="H14" i="22" s="1"/>
  <c r="CU14" i="22"/>
  <c r="ET17" i="22"/>
  <c r="ES17" i="22"/>
  <c r="EQ15" i="22"/>
  <c r="EO8" i="22"/>
  <c r="CZ9" i="32"/>
  <c r="CX9" i="32"/>
  <c r="DZ9" i="32"/>
  <c r="EC9" i="32" s="1"/>
  <c r="ED9" i="32" s="1"/>
  <c r="DN9" i="32"/>
  <c r="DQ9" i="32" s="1"/>
  <c r="DR9" i="32" s="1"/>
  <c r="EB9" i="32"/>
  <c r="EE9" i="32" s="1"/>
  <c r="EF9" i="32" s="1"/>
  <c r="DL9" i="32"/>
  <c r="DO9" i="32" s="1"/>
  <c r="DP9" i="32" s="1"/>
  <c r="Z21" i="47"/>
  <c r="EU21" i="47"/>
  <c r="CU21" i="47"/>
  <c r="DS21" i="47"/>
  <c r="DT21" i="47" s="1"/>
  <c r="J21" i="47"/>
  <c r="CS21" i="47"/>
  <c r="CO21" i="47"/>
  <c r="CN21" i="47" s="1"/>
  <c r="CL23" i="47"/>
  <c r="CL22" i="47"/>
  <c r="CL17" i="47"/>
  <c r="CO33" i="47"/>
  <c r="CN33" i="47" s="1"/>
  <c r="Z33" i="47"/>
  <c r="Q33" i="47" s="1"/>
  <c r="CS33" i="47"/>
  <c r="CU33" i="47"/>
  <c r="DS33" i="47"/>
  <c r="DT33" i="47" s="1"/>
  <c r="EU33" i="47"/>
  <c r="J33" i="47"/>
  <c r="J24" i="47"/>
  <c r="EU24" i="47"/>
  <c r="DS24" i="47"/>
  <c r="DT24" i="47" s="1"/>
  <c r="CO24" i="47"/>
  <c r="CN24" i="47" s="1"/>
  <c r="CS24" i="47"/>
  <c r="CU24" i="47"/>
  <c r="Z24" i="47"/>
  <c r="J11" i="47"/>
  <c r="CS11" i="47"/>
  <c r="EU11" i="47"/>
  <c r="CO11" i="47"/>
  <c r="CN11" i="47" s="1"/>
  <c r="CU11" i="47"/>
  <c r="DS11" i="47"/>
  <c r="DT11" i="47" s="1"/>
  <c r="Z11" i="47"/>
  <c r="BJ63" i="22"/>
  <c r="BJ64" i="22" s="1"/>
  <c r="BJ65" i="22" s="1"/>
  <c r="BJ66" i="22" s="1"/>
  <c r="BJ67" i="22" s="1"/>
  <c r="BJ68" i="22" s="1"/>
  <c r="BW62" i="22"/>
  <c r="BJ51" i="47"/>
  <c r="BJ52" i="47" s="1"/>
  <c r="BJ53" i="47" s="1"/>
  <c r="BJ54" i="47" s="1"/>
  <c r="BJ55" i="47" s="1"/>
  <c r="BJ56" i="47" s="1"/>
  <c r="BW50" i="47"/>
  <c r="EQ8" i="32"/>
  <c r="ER8" i="32"/>
  <c r="BJ69" i="32"/>
  <c r="BJ70" i="32" s="1"/>
  <c r="BJ71" i="32" s="1"/>
  <c r="BJ72" i="32" s="1"/>
  <c r="BJ73" i="32" s="1"/>
  <c r="BJ74" i="32" s="1"/>
  <c r="BW68" i="32"/>
  <c r="BW50" i="41"/>
  <c r="BJ51" i="41"/>
  <c r="BJ52" i="41" s="1"/>
  <c r="BJ53" i="41" s="1"/>
  <c r="BJ54" i="41" s="1"/>
  <c r="BJ55" i="41" s="1"/>
  <c r="BJ56" i="41" s="1"/>
  <c r="DW22" i="41"/>
  <c r="DU22" i="41"/>
  <c r="DG22" i="41"/>
  <c r="DI22" i="41"/>
  <c r="DI21" i="41"/>
  <c r="DG21" i="41"/>
  <c r="DU21" i="41"/>
  <c r="DW21" i="41"/>
  <c r="AK7" i="38"/>
  <c r="E15" i="31" s="1"/>
  <c r="Z81" i="29"/>
  <c r="AB80" i="29" s="1"/>
  <c r="Q28" i="47" l="1"/>
  <c r="Q22" i="41"/>
  <c r="H11" i="41"/>
  <c r="ER11" i="41" s="1"/>
  <c r="H10" i="41"/>
  <c r="H26" i="41"/>
  <c r="H27" i="41"/>
  <c r="H8" i="41"/>
  <c r="ER8" i="41" s="1"/>
  <c r="H14" i="41"/>
  <c r="H15" i="41"/>
  <c r="H20" i="41"/>
  <c r="H9" i="41"/>
  <c r="H28" i="41"/>
  <c r="H21" i="47"/>
  <c r="H24" i="47"/>
  <c r="H11" i="47"/>
  <c r="CT17" i="22"/>
  <c r="CW17" i="22" s="1"/>
  <c r="K11" i="47"/>
  <c r="EM11" i="47" s="1"/>
  <c r="DF17" i="47"/>
  <c r="DE17" i="47" s="1"/>
  <c r="DF22" i="47"/>
  <c r="DE22" i="47" s="1"/>
  <c r="K21" i="47"/>
  <c r="EM21" i="47" s="1"/>
  <c r="K24" i="47"/>
  <c r="EM24" i="47" s="1"/>
  <c r="DF23" i="47"/>
  <c r="DE23" i="47" s="1"/>
  <c r="DW8" i="41"/>
  <c r="DV8" i="41"/>
  <c r="DU8" i="41"/>
  <c r="ER22" i="41"/>
  <c r="ES22" i="41" s="1"/>
  <c r="K8" i="41"/>
  <c r="CR8" i="41" s="1"/>
  <c r="DG8" i="41"/>
  <c r="DI8" i="41"/>
  <c r="DH8" i="41"/>
  <c r="ES23" i="22"/>
  <c r="DV10" i="41"/>
  <c r="DX10" i="41"/>
  <c r="DW10" i="41"/>
  <c r="DU10" i="41"/>
  <c r="DV11" i="41"/>
  <c r="DX11" i="41"/>
  <c r="DW11" i="41"/>
  <c r="DU11" i="41"/>
  <c r="K9" i="41"/>
  <c r="Q9" i="41" s="1"/>
  <c r="K26" i="41"/>
  <c r="EM26" i="41" s="1"/>
  <c r="DV26" i="41"/>
  <c r="DU26" i="41"/>
  <c r="DX26" i="41"/>
  <c r="DW26" i="41"/>
  <c r="K20" i="41"/>
  <c r="EM20" i="41" s="1"/>
  <c r="ER28" i="47"/>
  <c r="DU28" i="41"/>
  <c r="DX28" i="41"/>
  <c r="DW28" i="41"/>
  <c r="DV28" i="41"/>
  <c r="DW15" i="41"/>
  <c r="DU15" i="41"/>
  <c r="K27" i="41"/>
  <c r="Q27" i="41" s="1"/>
  <c r="K10" i="41"/>
  <c r="EM10" i="41" s="1"/>
  <c r="DJ11" i="41"/>
  <c r="DI11" i="41"/>
  <c r="DH11" i="41"/>
  <c r="DG11" i="41"/>
  <c r="EO28" i="47"/>
  <c r="CR28" i="47"/>
  <c r="EB28" i="47" s="1"/>
  <c r="EE28" i="47" s="1"/>
  <c r="EF28" i="47" s="1"/>
  <c r="DJ26" i="41"/>
  <c r="DG26" i="41"/>
  <c r="DI26" i="41"/>
  <c r="DH26" i="41"/>
  <c r="DG15" i="41"/>
  <c r="DI15" i="41"/>
  <c r="K11" i="41"/>
  <c r="Q11" i="41" s="1"/>
  <c r="DU14" i="41"/>
  <c r="DW14" i="41"/>
  <c r="DU20" i="41"/>
  <c r="DW20" i="41"/>
  <c r="DV20" i="41"/>
  <c r="DX20" i="41"/>
  <c r="K15" i="41"/>
  <c r="EM15" i="41" s="1"/>
  <c r="CL15" i="47"/>
  <c r="CL20" i="47"/>
  <c r="K28" i="41"/>
  <c r="EM28" i="41" s="1"/>
  <c r="DG14" i="41"/>
  <c r="DI14" i="41"/>
  <c r="DG27" i="41"/>
  <c r="DI27" i="41"/>
  <c r="DJ27" i="41"/>
  <c r="DH27" i="41"/>
  <c r="DJ9" i="41"/>
  <c r="DG9" i="41"/>
  <c r="DH9" i="41"/>
  <c r="DI9" i="41"/>
  <c r="DG20" i="41"/>
  <c r="DJ20" i="41"/>
  <c r="DI20" i="41"/>
  <c r="DH20" i="41"/>
  <c r="DU27" i="41"/>
  <c r="DW27" i="41"/>
  <c r="DX27" i="41"/>
  <c r="DV27" i="41"/>
  <c r="DH10" i="41"/>
  <c r="DJ10" i="41"/>
  <c r="DI10" i="41"/>
  <c r="DG10" i="41"/>
  <c r="DV9" i="41"/>
  <c r="DX9" i="41"/>
  <c r="DW9" i="41"/>
  <c r="DU9" i="41"/>
  <c r="DJ28" i="41"/>
  <c r="DH28" i="41"/>
  <c r="DI28" i="41"/>
  <c r="DG28" i="41"/>
  <c r="K14" i="41"/>
  <c r="EM14" i="41" s="1"/>
  <c r="ET26" i="22"/>
  <c r="K14" i="22"/>
  <c r="CR14" i="22" s="1"/>
  <c r="ER21" i="41"/>
  <c r="ET21" i="41" s="1"/>
  <c r="EO16" i="32"/>
  <c r="CR16" i="32"/>
  <c r="DZ16" i="32" s="1"/>
  <c r="EP16" i="32"/>
  <c r="I86" i="32" s="1"/>
  <c r="ET8" i="22"/>
  <c r="ES15" i="22"/>
  <c r="DA15" i="22"/>
  <c r="DB15" i="22" s="1"/>
  <c r="O15" i="22" s="1"/>
  <c r="ET12" i="22"/>
  <c r="ER16" i="32"/>
  <c r="ET16" i="32" s="1"/>
  <c r="CT8" i="22"/>
  <c r="CW8" i="22" s="1"/>
  <c r="CT9" i="32"/>
  <c r="CW9" i="32" s="1"/>
  <c r="CV9" i="32"/>
  <c r="DA9" i="32" s="1"/>
  <c r="H33" i="47"/>
  <c r="ER33" i="47" s="1"/>
  <c r="EM33" i="47"/>
  <c r="DV24" i="47"/>
  <c r="DX24" i="47"/>
  <c r="DV11" i="47"/>
  <c r="DX11" i="47"/>
  <c r="DV33" i="47"/>
  <c r="DX33" i="47"/>
  <c r="DH33" i="47"/>
  <c r="DJ33" i="47"/>
  <c r="DH24" i="47"/>
  <c r="DJ24" i="47"/>
  <c r="DH11" i="47"/>
  <c r="DJ11" i="47"/>
  <c r="EB23" i="22"/>
  <c r="EB12" i="22"/>
  <c r="DQ12" i="22"/>
  <c r="DR12" i="22" s="1"/>
  <c r="DL12" i="22"/>
  <c r="DL26" i="22"/>
  <c r="DQ26" i="22"/>
  <c r="DR26" i="22" s="1"/>
  <c r="EE12" i="22"/>
  <c r="EF12" i="22" s="1"/>
  <c r="EC23" i="22"/>
  <c r="ED23" i="22" s="1"/>
  <c r="EQ16" i="32"/>
  <c r="H87" i="32" s="1"/>
  <c r="DO12" i="22"/>
  <c r="DP12" i="22" s="1"/>
  <c r="DO23" i="22"/>
  <c r="DP23" i="22" s="1"/>
  <c r="DZ23" i="22"/>
  <c r="DQ23" i="22"/>
  <c r="DR23" i="22" s="1"/>
  <c r="CX23" i="22"/>
  <c r="CZ23" i="22"/>
  <c r="EE23" i="22"/>
  <c r="EF23" i="22" s="1"/>
  <c r="DZ12" i="22"/>
  <c r="DN23" i="22"/>
  <c r="EB26" i="22"/>
  <c r="CZ26" i="22"/>
  <c r="CX26" i="22"/>
  <c r="DN26" i="22"/>
  <c r="DZ26" i="22"/>
  <c r="EE26" i="22"/>
  <c r="EF26" i="22" s="1"/>
  <c r="EC26" i="22"/>
  <c r="ED26" i="22" s="1"/>
  <c r="CX12" i="22"/>
  <c r="CZ12" i="22"/>
  <c r="DN12" i="22"/>
  <c r="B84" i="32"/>
  <c r="DO17" i="22"/>
  <c r="DP17" i="22" s="1"/>
  <c r="DN17" i="22"/>
  <c r="EB17" i="22"/>
  <c r="EB15" i="22"/>
  <c r="DL17" i="22"/>
  <c r="EC17" i="22"/>
  <c r="ED17" i="22" s="1"/>
  <c r="EE17" i="22"/>
  <c r="EF17" i="22" s="1"/>
  <c r="DZ17" i="22"/>
  <c r="DQ17" i="22"/>
  <c r="DR17" i="22" s="1"/>
  <c r="CZ17" i="22"/>
  <c r="EC15" i="22"/>
  <c r="ED15" i="22" s="1"/>
  <c r="EC8" i="22"/>
  <c r="ED8" i="22" s="1"/>
  <c r="EB8" i="22"/>
  <c r="EE8" i="22" s="1"/>
  <c r="EF8" i="22" s="1"/>
  <c r="DO8" i="22"/>
  <c r="DP8" i="22" s="1"/>
  <c r="DL8" i="22"/>
  <c r="DN8" i="22"/>
  <c r="DQ8" i="22" s="1"/>
  <c r="DR8" i="22" s="1"/>
  <c r="CZ8" i="22"/>
  <c r="EE15" i="22"/>
  <c r="EF15" i="22" s="1"/>
  <c r="CX15" i="22"/>
  <c r="DZ15" i="22"/>
  <c r="DN15" i="22"/>
  <c r="DZ8" i="22"/>
  <c r="DQ15" i="22"/>
  <c r="DR15" i="22" s="1"/>
  <c r="DO15" i="22"/>
  <c r="DP15" i="22" s="1"/>
  <c r="DL15" i="22"/>
  <c r="DU14" i="22"/>
  <c r="DW14" i="22"/>
  <c r="DG14" i="22"/>
  <c r="DI14" i="22"/>
  <c r="J17" i="47"/>
  <c r="EU17" i="47"/>
  <c r="CO17" i="47"/>
  <c r="CN17" i="47" s="1"/>
  <c r="Z17" i="47"/>
  <c r="CU17" i="47"/>
  <c r="DS17" i="47"/>
  <c r="DT17" i="47" s="1"/>
  <c r="CS17" i="47"/>
  <c r="DW21" i="47"/>
  <c r="DU21" i="47"/>
  <c r="CU22" i="47"/>
  <c r="J22" i="47"/>
  <c r="Z22" i="47"/>
  <c r="CO22" i="47"/>
  <c r="CN22" i="47" s="1"/>
  <c r="EU22" i="47"/>
  <c r="CS22" i="47"/>
  <c r="DS22" i="47"/>
  <c r="DT22" i="47" s="1"/>
  <c r="DG21" i="47"/>
  <c r="DI21" i="47"/>
  <c r="DI24" i="47"/>
  <c r="DG24" i="47"/>
  <c r="EU23" i="47"/>
  <c r="Z23" i="47"/>
  <c r="CS23" i="47"/>
  <c r="J23" i="47"/>
  <c r="CU23" i="47"/>
  <c r="DS23" i="47"/>
  <c r="DT23" i="47" s="1"/>
  <c r="CO23" i="47"/>
  <c r="CN23" i="47" s="1"/>
  <c r="DW24" i="47"/>
  <c r="DU24" i="47"/>
  <c r="DW33" i="47"/>
  <c r="DU33" i="47"/>
  <c r="DG33" i="47"/>
  <c r="DI33" i="47"/>
  <c r="DU11" i="47"/>
  <c r="DW11" i="47"/>
  <c r="DI11" i="47"/>
  <c r="DG11" i="47"/>
  <c r="BJ69" i="22"/>
  <c r="BJ70" i="22" s="1"/>
  <c r="BJ71" i="22" s="1"/>
  <c r="BJ72" i="22" s="1"/>
  <c r="BJ73" i="22" s="1"/>
  <c r="BJ74" i="22" s="1"/>
  <c r="BW68" i="22"/>
  <c r="BW56" i="47"/>
  <c r="BJ57" i="47"/>
  <c r="BJ58" i="47" s="1"/>
  <c r="BJ59" i="47" s="1"/>
  <c r="BJ60" i="47" s="1"/>
  <c r="BJ61" i="47" s="1"/>
  <c r="BJ62" i="47" s="1"/>
  <c r="DL8" i="32"/>
  <c r="DO8" i="32" s="1"/>
  <c r="DP8" i="32" s="1"/>
  <c r="CX8" i="32"/>
  <c r="CZ8" i="32"/>
  <c r="EB8" i="32"/>
  <c r="EE8" i="32" s="1"/>
  <c r="EF8" i="32" s="1"/>
  <c r="DN8" i="32"/>
  <c r="DQ8" i="32" s="1"/>
  <c r="DR8" i="32" s="1"/>
  <c r="BJ75" i="32"/>
  <c r="BJ76" i="32" s="1"/>
  <c r="BJ77" i="32" s="1"/>
  <c r="BJ78" i="32" s="1"/>
  <c r="BJ79" i="32" s="1"/>
  <c r="BJ80" i="32" s="1"/>
  <c r="BW74" i="32"/>
  <c r="ES8" i="32"/>
  <c r="ET8" i="32"/>
  <c r="BW56" i="41"/>
  <c r="BJ57" i="41"/>
  <c r="BJ58" i="41" s="1"/>
  <c r="BJ59" i="41" s="1"/>
  <c r="BJ60" i="41" s="1"/>
  <c r="BJ61" i="41" s="1"/>
  <c r="BJ62" i="41" s="1"/>
  <c r="EO22" i="41"/>
  <c r="CR22" i="41"/>
  <c r="EB22" i="41" s="1"/>
  <c r="EE22" i="41" s="1"/>
  <c r="EF22" i="41" s="1"/>
  <c r="CR21" i="41"/>
  <c r="DN21" i="41" s="1"/>
  <c r="EO21" i="41"/>
  <c r="E14" i="31"/>
  <c r="C90" i="31" s="1"/>
  <c r="C91" i="31" s="1"/>
  <c r="N15" i="38"/>
  <c r="AB83" i="29"/>
  <c r="AK49" i="38"/>
  <c r="R14" i="38" s="1"/>
  <c r="C73" i="38" s="1"/>
  <c r="Q21" i="47" l="1"/>
  <c r="Q15" i="41"/>
  <c r="Q26" i="41"/>
  <c r="Q28" i="41"/>
  <c r="Q14" i="41"/>
  <c r="Q10" i="41"/>
  <c r="Q11" i="47"/>
  <c r="Q8" i="41"/>
  <c r="Q24" i="47"/>
  <c r="Q20" i="41"/>
  <c r="H23" i="47"/>
  <c r="ER23" i="47" s="1"/>
  <c r="H22" i="47"/>
  <c r="H17" i="47"/>
  <c r="L17" i="22"/>
  <c r="CY17" i="22"/>
  <c r="M17" i="22" s="1"/>
  <c r="EI17" i="22" s="1"/>
  <c r="CV17" i="22"/>
  <c r="DA17" i="22" s="1"/>
  <c r="EM8" i="41"/>
  <c r="DJ21" i="41"/>
  <c r="DQ21" i="41" s="1"/>
  <c r="DR21" i="41" s="1"/>
  <c r="DF20" i="47"/>
  <c r="DE20" i="47" s="1"/>
  <c r="DF15" i="47"/>
  <c r="DE15" i="47" s="1"/>
  <c r="K23" i="47"/>
  <c r="EM23" i="47" s="1"/>
  <c r="K22" i="47"/>
  <c r="EM22" i="47" s="1"/>
  <c r="K17" i="47"/>
  <c r="EM17" i="47" s="1"/>
  <c r="ET22" i="41"/>
  <c r="EB8" i="41"/>
  <c r="EE8" i="41" s="1"/>
  <c r="EF8" i="41" s="1"/>
  <c r="EO8" i="41"/>
  <c r="DN28" i="47"/>
  <c r="DQ28" i="47" s="1"/>
  <c r="DR28" i="47" s="1"/>
  <c r="CO15" i="47"/>
  <c r="CN15" i="47" s="1"/>
  <c r="J15" i="47"/>
  <c r="CU15" i="47"/>
  <c r="DS15" i="47"/>
  <c r="DT15" i="47" s="1"/>
  <c r="CS15" i="47"/>
  <c r="EU15" i="47"/>
  <c r="Z15" i="47"/>
  <c r="EO11" i="41"/>
  <c r="CR11" i="41"/>
  <c r="DL11" i="41" s="1"/>
  <c r="DO11" i="41" s="1"/>
  <c r="DP11" i="41" s="1"/>
  <c r="ER27" i="41"/>
  <c r="ER9" i="41"/>
  <c r="ET11" i="41"/>
  <c r="ES11" i="41"/>
  <c r="EO27" i="41"/>
  <c r="CR27" i="41"/>
  <c r="DL27" i="41" s="1"/>
  <c r="ER20" i="41"/>
  <c r="EO9" i="41"/>
  <c r="CR9" i="41"/>
  <c r="DN9" i="41" s="1"/>
  <c r="ER15" i="41"/>
  <c r="EO20" i="41"/>
  <c r="CR20" i="41"/>
  <c r="DN20" i="41" s="1"/>
  <c r="DQ20" i="41" s="1"/>
  <c r="DR20" i="41" s="1"/>
  <c r="EO15" i="41"/>
  <c r="CR15" i="41"/>
  <c r="DN15" i="41" s="1"/>
  <c r="DJ15" i="41" s="1"/>
  <c r="ER28" i="41"/>
  <c r="ER26" i="41"/>
  <c r="ER14" i="41"/>
  <c r="EO28" i="41"/>
  <c r="CR28" i="41"/>
  <c r="EB28" i="41" s="1"/>
  <c r="EE28" i="41" s="1"/>
  <c r="EF28" i="41" s="1"/>
  <c r="DZ28" i="47"/>
  <c r="EC28" i="47" s="1"/>
  <c r="ED28" i="47" s="1"/>
  <c r="CZ28" i="47"/>
  <c r="CV28" i="47" s="1"/>
  <c r="DA28" i="47" s="1"/>
  <c r="CX28" i="47"/>
  <c r="CT28" i="47" s="1"/>
  <c r="CW28" i="47" s="1"/>
  <c r="ER10" i="41"/>
  <c r="ET28" i="47"/>
  <c r="ES28" i="47"/>
  <c r="CR26" i="41"/>
  <c r="EO26" i="41"/>
  <c r="EO14" i="41"/>
  <c r="CR14" i="41"/>
  <c r="DZ14" i="41" s="1"/>
  <c r="DV14" i="41" s="1"/>
  <c r="CR10" i="41"/>
  <c r="DO10" i="41" s="1"/>
  <c r="DP10" i="41" s="1"/>
  <c r="EO10" i="41"/>
  <c r="DL28" i="47"/>
  <c r="DO28" i="47" s="1"/>
  <c r="DP28" i="47" s="1"/>
  <c r="DS20" i="47"/>
  <c r="DT20" i="47" s="1"/>
  <c r="Z20" i="47"/>
  <c r="CS20" i="47"/>
  <c r="J20" i="47"/>
  <c r="CU20" i="47"/>
  <c r="CO20" i="47"/>
  <c r="CN20" i="47" s="1"/>
  <c r="EU20" i="47"/>
  <c r="EM11" i="41"/>
  <c r="EM27" i="41"/>
  <c r="EM9" i="41"/>
  <c r="CV23" i="22"/>
  <c r="DA23" i="22" s="1"/>
  <c r="CT23" i="22"/>
  <c r="CW23" i="22" s="1"/>
  <c r="EP14" i="22"/>
  <c r="EO14" i="22"/>
  <c r="EM14" i="22"/>
  <c r="CV26" i="22"/>
  <c r="DA26" i="22" s="1"/>
  <c r="CT26" i="22"/>
  <c r="CW26" i="22" s="1"/>
  <c r="ER14" i="22"/>
  <c r="ET14" i="22" s="1"/>
  <c r="ES21" i="41"/>
  <c r="ER21" i="47"/>
  <c r="ES21" i="47" s="1"/>
  <c r="ER11" i="47"/>
  <c r="ES11" i="47" s="1"/>
  <c r="N15" i="22"/>
  <c r="ES16" i="32"/>
  <c r="CT15" i="22"/>
  <c r="CW15" i="22" s="1"/>
  <c r="DV16" i="32"/>
  <c r="EC16" i="32" s="1"/>
  <c r="ED16" i="32" s="1"/>
  <c r="CV12" i="22"/>
  <c r="DA12" i="22" s="1"/>
  <c r="CT12" i="22"/>
  <c r="CW12" i="22" s="1"/>
  <c r="L8" i="22"/>
  <c r="CY8" i="22"/>
  <c r="M8" i="22" s="1"/>
  <c r="CV8" i="22"/>
  <c r="DA8" i="22" s="1"/>
  <c r="DN8" i="41"/>
  <c r="DQ8" i="41" s="1"/>
  <c r="DR8" i="41" s="1"/>
  <c r="CZ8" i="41"/>
  <c r="CV8" i="41" s="1"/>
  <c r="DA8" i="41" s="1"/>
  <c r="CX8" i="41"/>
  <c r="CT8" i="41" s="1"/>
  <c r="CW8" i="41" s="1"/>
  <c r="ES8" i="41"/>
  <c r="ET8" i="41"/>
  <c r="DZ8" i="41"/>
  <c r="EC8" i="41" s="1"/>
  <c r="ED8" i="41" s="1"/>
  <c r="DL8" i="41"/>
  <c r="DO8" i="41" s="1"/>
  <c r="DP8" i="41" s="1"/>
  <c r="DB9" i="32"/>
  <c r="O9" i="32" s="1"/>
  <c r="N9" i="32"/>
  <c r="L9" i="32"/>
  <c r="CY9" i="32"/>
  <c r="CV8" i="32"/>
  <c r="DA8" i="32" s="1"/>
  <c r="CT8" i="32"/>
  <c r="CW8" i="32" s="1"/>
  <c r="DV23" i="47"/>
  <c r="DX23" i="47"/>
  <c r="DV22" i="47"/>
  <c r="DX22" i="47"/>
  <c r="DH22" i="47"/>
  <c r="DJ22" i="47"/>
  <c r="DH23" i="47"/>
  <c r="DJ23" i="47"/>
  <c r="CZ16" i="32"/>
  <c r="DN16" i="32"/>
  <c r="CX16" i="32"/>
  <c r="DL16" i="32"/>
  <c r="ET81" i="32"/>
  <c r="EB16" i="32"/>
  <c r="CX14" i="22"/>
  <c r="EQ14" i="22"/>
  <c r="EO21" i="47"/>
  <c r="CR21" i="47"/>
  <c r="DN21" i="47" s="1"/>
  <c r="ER24" i="47"/>
  <c r="DG23" i="47"/>
  <c r="DI23" i="47"/>
  <c r="ES33" i="47"/>
  <c r="ET33" i="47"/>
  <c r="DU22" i="47"/>
  <c r="DW22" i="47"/>
  <c r="EO24" i="47"/>
  <c r="CR24" i="47"/>
  <c r="DZ24" i="47" s="1"/>
  <c r="EC24" i="47" s="1"/>
  <c r="ED24" i="47" s="1"/>
  <c r="DU23" i="47"/>
  <c r="DW23" i="47"/>
  <c r="EO33" i="47"/>
  <c r="CR33" i="47"/>
  <c r="DN33" i="47" s="1"/>
  <c r="DQ33" i="47" s="1"/>
  <c r="DR33" i="47" s="1"/>
  <c r="DI17" i="47"/>
  <c r="DG17" i="47"/>
  <c r="DU17" i="47"/>
  <c r="DW17" i="47"/>
  <c r="DG22" i="47"/>
  <c r="DI22" i="47"/>
  <c r="EO11" i="47"/>
  <c r="CR11" i="47"/>
  <c r="DZ11" i="47" s="1"/>
  <c r="EC11" i="47" s="1"/>
  <c r="ED11" i="47" s="1"/>
  <c r="BW74" i="22"/>
  <c r="CL16" i="22" s="1"/>
  <c r="BJ75" i="22"/>
  <c r="BJ76" i="22" s="1"/>
  <c r="BJ77" i="22" s="1"/>
  <c r="BJ78" i="22" s="1"/>
  <c r="BJ79" i="22" s="1"/>
  <c r="BJ80" i="22" s="1"/>
  <c r="BW62" i="47"/>
  <c r="CL14" i="47" s="1"/>
  <c r="BJ63" i="47"/>
  <c r="BJ64" i="47" s="1"/>
  <c r="BJ65" i="47" s="1"/>
  <c r="BJ66" i="47" s="1"/>
  <c r="BJ67" i="47" s="1"/>
  <c r="BJ68" i="47" s="1"/>
  <c r="H73" i="38"/>
  <c r="H75" i="38" s="1"/>
  <c r="BW80" i="32"/>
  <c r="BJ81" i="32"/>
  <c r="BJ82" i="32" s="1"/>
  <c r="BJ83" i="32" s="1"/>
  <c r="BJ84" i="32" s="1"/>
  <c r="BJ85" i="32" s="1"/>
  <c r="BJ86" i="32" s="1"/>
  <c r="BW62" i="41"/>
  <c r="BJ63" i="41"/>
  <c r="BJ64" i="41" s="1"/>
  <c r="BJ65" i="41" s="1"/>
  <c r="BJ66" i="41" s="1"/>
  <c r="BJ67" i="41" s="1"/>
  <c r="BJ68" i="41" s="1"/>
  <c r="DZ21" i="41"/>
  <c r="CX22" i="41"/>
  <c r="CZ22" i="41"/>
  <c r="DZ22" i="41"/>
  <c r="EC22" i="41" s="1"/>
  <c r="ED22" i="41" s="1"/>
  <c r="DN22" i="41"/>
  <c r="DQ22" i="41" s="1"/>
  <c r="DR22" i="41" s="1"/>
  <c r="DL22" i="41"/>
  <c r="DO22" i="41" s="1"/>
  <c r="DP22" i="41" s="1"/>
  <c r="EB21" i="41"/>
  <c r="CX21" i="41"/>
  <c r="CZ21" i="41"/>
  <c r="DL21" i="41"/>
  <c r="H112" i="31"/>
  <c r="G112" i="31"/>
  <c r="Q17" i="47" l="1"/>
  <c r="Q22" i="47"/>
  <c r="Q23" i="47"/>
  <c r="H20" i="47"/>
  <c r="ER20" i="47" s="1"/>
  <c r="ET20" i="47" s="1"/>
  <c r="H15" i="47"/>
  <c r="ER15" i="47" s="1"/>
  <c r="ET15" i="47" s="1"/>
  <c r="DB17" i="22"/>
  <c r="N17" i="22"/>
  <c r="DH21" i="41"/>
  <c r="DO21" i="41" s="1"/>
  <c r="DP21" i="41" s="1"/>
  <c r="DX21" i="41"/>
  <c r="EE21" i="41" s="1"/>
  <c r="EF21" i="41" s="1"/>
  <c r="DV21" i="41"/>
  <c r="EC21" i="41" s="1"/>
  <c r="ED21" i="41" s="1"/>
  <c r="DF14" i="47"/>
  <c r="DE14" i="47" s="1"/>
  <c r="Z16" i="22"/>
  <c r="H16" i="22" s="1"/>
  <c r="DF16" i="22"/>
  <c r="DE16" i="22" s="1"/>
  <c r="DS16" i="22"/>
  <c r="J16" i="22"/>
  <c r="CS16" i="22"/>
  <c r="CU16" i="22"/>
  <c r="CO16" i="22"/>
  <c r="CN16" i="22" s="1"/>
  <c r="EU16" i="22"/>
  <c r="CT22" i="41"/>
  <c r="CW22" i="41" s="1"/>
  <c r="CV22" i="41"/>
  <c r="DA22" i="41" s="1"/>
  <c r="DN11" i="41"/>
  <c r="DQ11" i="41" s="1"/>
  <c r="DR11" i="41" s="1"/>
  <c r="EB11" i="41"/>
  <c r="EE11" i="41" s="1"/>
  <c r="EF11" i="41" s="1"/>
  <c r="DZ11" i="41"/>
  <c r="EC11" i="41" s="1"/>
  <c r="ED11" i="41" s="1"/>
  <c r="DZ20" i="41"/>
  <c r="EC20" i="41" s="1"/>
  <c r="ED20" i="41" s="1"/>
  <c r="DZ27" i="41"/>
  <c r="EB9" i="41"/>
  <c r="DL28" i="41"/>
  <c r="DO28" i="41" s="1"/>
  <c r="DP28" i="41" s="1"/>
  <c r="DL9" i="41"/>
  <c r="EB15" i="41"/>
  <c r="DX15" i="41" s="1"/>
  <c r="EE15" i="41" s="1"/>
  <c r="EF15" i="41" s="1"/>
  <c r="DO9" i="41"/>
  <c r="DP9" i="41" s="1"/>
  <c r="DL15" i="41"/>
  <c r="DH15" i="41" s="1"/>
  <c r="DO15" i="41" s="1"/>
  <c r="DP15" i="41" s="1"/>
  <c r="DN14" i="41"/>
  <c r="DJ14" i="41" s="1"/>
  <c r="DQ14" i="41" s="1"/>
  <c r="DR14" i="41" s="1"/>
  <c r="DQ9" i="41"/>
  <c r="DR9" i="41" s="1"/>
  <c r="EC9" i="41"/>
  <c r="ED9" i="41" s="1"/>
  <c r="EE9" i="41"/>
  <c r="EF9" i="41" s="1"/>
  <c r="DQ27" i="41"/>
  <c r="DR27" i="41" s="1"/>
  <c r="DN27" i="41"/>
  <c r="DQ15" i="41"/>
  <c r="DR15" i="41" s="1"/>
  <c r="DZ10" i="41"/>
  <c r="ET15" i="41"/>
  <c r="ES15" i="41"/>
  <c r="ET20" i="41"/>
  <c r="ES20" i="41"/>
  <c r="DQ10" i="41"/>
  <c r="DR10" i="41" s="1"/>
  <c r="ES27" i="41"/>
  <c r="ET27" i="41"/>
  <c r="DU15" i="47"/>
  <c r="DW15" i="47"/>
  <c r="DV15" i="47"/>
  <c r="DX15" i="47"/>
  <c r="K20" i="47"/>
  <c r="EM20" i="47" s="1"/>
  <c r="CX14" i="41"/>
  <c r="CT14" i="41" s="1"/>
  <c r="CW14" i="41" s="1"/>
  <c r="CZ14" i="41"/>
  <c r="CV14" i="41" s="1"/>
  <c r="DA14" i="41" s="1"/>
  <c r="ET26" i="41"/>
  <c r="ES26" i="41"/>
  <c r="CX15" i="41"/>
  <c r="CT15" i="41" s="1"/>
  <c r="CW15" i="41" s="1"/>
  <c r="CZ15" i="41"/>
  <c r="CV15" i="41" s="1"/>
  <c r="DA15" i="41" s="1"/>
  <c r="DZ28" i="41"/>
  <c r="EC28" i="41" s="1"/>
  <c r="ED28" i="41" s="1"/>
  <c r="CZ27" i="41"/>
  <c r="CV27" i="41" s="1"/>
  <c r="DA27" i="41" s="1"/>
  <c r="CX27" i="41"/>
  <c r="CT27" i="41" s="1"/>
  <c r="CW27" i="41" s="1"/>
  <c r="EE10" i="41"/>
  <c r="EF10" i="41" s="1"/>
  <c r="DW20" i="47"/>
  <c r="DU20" i="47"/>
  <c r="ES10" i="41"/>
  <c r="ET10" i="41"/>
  <c r="EB27" i="41"/>
  <c r="DZ15" i="41"/>
  <c r="DV15" i="41" s="1"/>
  <c r="EC15" i="41" s="1"/>
  <c r="ED15" i="41" s="1"/>
  <c r="EE27" i="41"/>
  <c r="EF27" i="41" s="1"/>
  <c r="CX11" i="41"/>
  <c r="CT11" i="41" s="1"/>
  <c r="CW11" i="41" s="1"/>
  <c r="CZ11" i="41"/>
  <c r="CV11" i="41" s="1"/>
  <c r="DA11" i="41" s="1"/>
  <c r="CX10" i="41"/>
  <c r="CT10" i="41" s="1"/>
  <c r="CW10" i="41" s="1"/>
  <c r="CZ10" i="41"/>
  <c r="CV10" i="41" s="1"/>
  <c r="DA10" i="41" s="1"/>
  <c r="CY28" i="47"/>
  <c r="M28" i="47" s="1"/>
  <c r="L28" i="47"/>
  <c r="EC10" i="41"/>
  <c r="ED10" i="41" s="1"/>
  <c r="DI15" i="47"/>
  <c r="DH15" i="47"/>
  <c r="DJ15" i="47"/>
  <c r="DG15" i="47"/>
  <c r="DI20" i="47"/>
  <c r="DG20" i="47"/>
  <c r="CZ26" i="41"/>
  <c r="CV26" i="41" s="1"/>
  <c r="DA26" i="41" s="1"/>
  <c r="CX26" i="41"/>
  <c r="CT26" i="41" s="1"/>
  <c r="CW26" i="41" s="1"/>
  <c r="N28" i="47"/>
  <c r="DB28" i="47"/>
  <c r="O28" i="47" s="1"/>
  <c r="EC27" i="41"/>
  <c r="ED27" i="41" s="1"/>
  <c r="DN26" i="41"/>
  <c r="DQ26" i="41" s="1"/>
  <c r="DR26" i="41" s="1"/>
  <c r="CZ9" i="41"/>
  <c r="CV9" i="41" s="1"/>
  <c r="DA9" i="41" s="1"/>
  <c r="CX9" i="41"/>
  <c r="CT9" i="41" s="1"/>
  <c r="CW9" i="41" s="1"/>
  <c r="ET9" i="41"/>
  <c r="ES9" i="41"/>
  <c r="K15" i="47"/>
  <c r="EM15" i="47" s="1"/>
  <c r="EB10" i="41"/>
  <c r="DO20" i="41"/>
  <c r="DP20" i="41" s="1"/>
  <c r="EB20" i="41"/>
  <c r="EE20" i="41" s="1"/>
  <c r="EF20" i="41" s="1"/>
  <c r="DZ26" i="41"/>
  <c r="EC26" i="41" s="1"/>
  <c r="ED26" i="41" s="1"/>
  <c r="EB26" i="41"/>
  <c r="EE26" i="41" s="1"/>
  <c r="EF26" i="41" s="1"/>
  <c r="DZ9" i="41"/>
  <c r="EB14" i="41"/>
  <c r="DX14" i="41" s="1"/>
  <c r="EE14" i="41" s="1"/>
  <c r="EF14" i="41" s="1"/>
  <c r="EC14" i="41"/>
  <c r="ED14" i="41" s="1"/>
  <c r="DL10" i="41"/>
  <c r="ET14" i="41"/>
  <c r="ES14" i="41"/>
  <c r="DL14" i="41"/>
  <c r="DH14" i="41" s="1"/>
  <c r="DO14" i="41" s="1"/>
  <c r="DP14" i="41" s="1"/>
  <c r="DN10" i="41"/>
  <c r="CX28" i="41"/>
  <c r="CT28" i="41" s="1"/>
  <c r="CW28" i="41" s="1"/>
  <c r="CZ28" i="41"/>
  <c r="CV28" i="41" s="1"/>
  <c r="DA28" i="41" s="1"/>
  <c r="ET28" i="41"/>
  <c r="ES28" i="41"/>
  <c r="DL26" i="41"/>
  <c r="DO26" i="41" s="1"/>
  <c r="DP26" i="41" s="1"/>
  <c r="DL20" i="41"/>
  <c r="CZ20" i="41"/>
  <c r="CV20" i="41" s="1"/>
  <c r="DA20" i="41" s="1"/>
  <c r="CX20" i="41"/>
  <c r="CT20" i="41" s="1"/>
  <c r="CW20" i="41" s="1"/>
  <c r="DO27" i="41"/>
  <c r="DP27" i="41" s="1"/>
  <c r="DN28" i="41"/>
  <c r="DQ28" i="41" s="1"/>
  <c r="DR28" i="41" s="1"/>
  <c r="ER17" i="47"/>
  <c r="ET17" i="47" s="1"/>
  <c r="CY23" i="22"/>
  <c r="L23" i="22"/>
  <c r="DB23" i="22"/>
  <c r="O23" i="22" s="1"/>
  <c r="EL23" i="22" s="1"/>
  <c r="N23" i="22"/>
  <c r="ER22" i="47"/>
  <c r="ES22" i="47" s="1"/>
  <c r="EI8" i="22"/>
  <c r="ES14" i="22"/>
  <c r="ET21" i="47"/>
  <c r="CY26" i="22"/>
  <c r="M26" i="22" s="1"/>
  <c r="L26" i="22"/>
  <c r="N26" i="22"/>
  <c r="DB26" i="22"/>
  <c r="O26" i="22" s="1"/>
  <c r="EL26" i="22" s="1"/>
  <c r="CT14" i="22"/>
  <c r="CW14" i="22" s="1"/>
  <c r="EL9" i="32"/>
  <c r="EL82" i="32" s="1"/>
  <c r="EJ9" i="32"/>
  <c r="CV21" i="41"/>
  <c r="DA21" i="41" s="1"/>
  <c r="CT21" i="41"/>
  <c r="CW21" i="41" s="1"/>
  <c r="DJ21" i="47"/>
  <c r="DQ21" i="47" s="1"/>
  <c r="DR21" i="47" s="1"/>
  <c r="ET11" i="47"/>
  <c r="Q9" i="32"/>
  <c r="M9" i="32"/>
  <c r="L15" i="22"/>
  <c r="CY15" i="22"/>
  <c r="Q15" i="22" s="1"/>
  <c r="DX16" i="32"/>
  <c r="EE16" i="32" s="1"/>
  <c r="EF16" i="32" s="1"/>
  <c r="DH16" i="32"/>
  <c r="DO16" i="32" s="1"/>
  <c r="DP16" i="32" s="1"/>
  <c r="DJ16" i="32"/>
  <c r="DQ16" i="32" s="1"/>
  <c r="DR16" i="32" s="1"/>
  <c r="CV16" i="32"/>
  <c r="DA16" i="32" s="1"/>
  <c r="CT16" i="32"/>
  <c r="CW16" i="32" s="1"/>
  <c r="CY12" i="22"/>
  <c r="L12" i="22"/>
  <c r="DB12" i="22"/>
  <c r="O12" i="22" s="1"/>
  <c r="EJ12" i="22" s="1"/>
  <c r="N12" i="22"/>
  <c r="N8" i="22"/>
  <c r="DB8" i="22"/>
  <c r="N8" i="41"/>
  <c r="DB8" i="41"/>
  <c r="O8" i="41" s="1"/>
  <c r="L8" i="41"/>
  <c r="CY8" i="41"/>
  <c r="M8" i="41" s="1"/>
  <c r="CY8" i="32"/>
  <c r="L8" i="32"/>
  <c r="DB8" i="32"/>
  <c r="O8" i="32" s="1"/>
  <c r="N8" i="32"/>
  <c r="DL14" i="22"/>
  <c r="DZ14" i="22"/>
  <c r="CZ14" i="22"/>
  <c r="EB14" i="22"/>
  <c r="DN14" i="22"/>
  <c r="DL33" i="47"/>
  <c r="DO33" i="47" s="1"/>
  <c r="DP33" i="47" s="1"/>
  <c r="EB21" i="47"/>
  <c r="DL21" i="47"/>
  <c r="DZ21" i="47"/>
  <c r="EB24" i="47"/>
  <c r="EE24" i="47" s="1"/>
  <c r="EF24" i="47" s="1"/>
  <c r="ET24" i="47"/>
  <c r="ES24" i="47"/>
  <c r="DN24" i="47"/>
  <c r="DQ24" i="47" s="1"/>
  <c r="DR24" i="47" s="1"/>
  <c r="EO23" i="47"/>
  <c r="CR23" i="47"/>
  <c r="DZ23" i="47" s="1"/>
  <c r="EC23" i="47" s="1"/>
  <c r="ED23" i="47" s="1"/>
  <c r="EO22" i="47"/>
  <c r="CR22" i="47"/>
  <c r="CX21" i="47"/>
  <c r="CZ21" i="47"/>
  <c r="DZ33" i="47"/>
  <c r="EC33" i="47" s="1"/>
  <c r="ED33" i="47" s="1"/>
  <c r="CZ33" i="47"/>
  <c r="DA33" i="47" s="1"/>
  <c r="CX33" i="47"/>
  <c r="CW33" i="47" s="1"/>
  <c r="ET23" i="47"/>
  <c r="ES23" i="47"/>
  <c r="EB33" i="47"/>
  <c r="EE33" i="47" s="1"/>
  <c r="EF33" i="47" s="1"/>
  <c r="EO17" i="47"/>
  <c r="CR17" i="47"/>
  <c r="DN17" i="47" s="1"/>
  <c r="CZ24" i="47"/>
  <c r="CX24" i="47"/>
  <c r="DL24" i="47"/>
  <c r="DO24" i="47" s="1"/>
  <c r="DP24" i="47" s="1"/>
  <c r="DL11" i="47"/>
  <c r="DO11" i="47" s="1"/>
  <c r="DP11" i="47" s="1"/>
  <c r="DN11" i="47"/>
  <c r="DQ11" i="47" s="1"/>
  <c r="DR11" i="47" s="1"/>
  <c r="EB11" i="47"/>
  <c r="EE11" i="47" s="1"/>
  <c r="EF11" i="47" s="1"/>
  <c r="CU14" i="47"/>
  <c r="CO14" i="47"/>
  <c r="CN14" i="47" s="1"/>
  <c r="DS14" i="47"/>
  <c r="DT14" i="47" s="1"/>
  <c r="Z14" i="47"/>
  <c r="CS14" i="47"/>
  <c r="EU14" i="47"/>
  <c r="J14" i="47"/>
  <c r="CZ11" i="47"/>
  <c r="CX11" i="47"/>
  <c r="BJ81" i="22"/>
  <c r="BJ82" i="22" s="1"/>
  <c r="BJ83" i="22" s="1"/>
  <c r="BJ84" i="22" s="1"/>
  <c r="BJ85" i="22" s="1"/>
  <c r="BJ86" i="22" s="1"/>
  <c r="BW80" i="22"/>
  <c r="BW68" i="47"/>
  <c r="BJ69" i="47"/>
  <c r="BJ70" i="47" s="1"/>
  <c r="BJ71" i="47" s="1"/>
  <c r="BJ72" i="47" s="1"/>
  <c r="BJ73" i="47" s="1"/>
  <c r="BJ74" i="47" s="1"/>
  <c r="BJ87" i="32"/>
  <c r="BJ88" i="32" s="1"/>
  <c r="BJ89" i="32" s="1"/>
  <c r="BJ90" i="32" s="1"/>
  <c r="BJ91" i="32" s="1"/>
  <c r="BJ92" i="32" s="1"/>
  <c r="BW86" i="32"/>
  <c r="BJ69" i="41"/>
  <c r="BJ70" i="41" s="1"/>
  <c r="BJ71" i="41" s="1"/>
  <c r="BJ72" i="41" s="1"/>
  <c r="BJ73" i="41" s="1"/>
  <c r="BJ74" i="41" s="1"/>
  <c r="BW68" i="41"/>
  <c r="G113" i="31"/>
  <c r="O112" i="31"/>
  <c r="E68" i="31"/>
  <c r="H113" i="31"/>
  <c r="G67" i="31" s="1"/>
  <c r="P112" i="31"/>
  <c r="E67" i="31"/>
  <c r="Q20" i="47" l="1"/>
  <c r="Q15" i="47"/>
  <c r="H14" i="47"/>
  <c r="DJ14" i="22"/>
  <c r="DQ14" i="22" s="1"/>
  <c r="DR14" i="22" s="1"/>
  <c r="DX14" i="22"/>
  <c r="EE14" i="22" s="1"/>
  <c r="EF14" i="22" s="1"/>
  <c r="DV14" i="22"/>
  <c r="EC14" i="22" s="1"/>
  <c r="ED14" i="22" s="1"/>
  <c r="DH14" i="22"/>
  <c r="DO14" i="22" s="1"/>
  <c r="DP14" i="22" s="1"/>
  <c r="O17" i="22"/>
  <c r="EJ17" i="22" s="1"/>
  <c r="Q17" i="22"/>
  <c r="EI28" i="47"/>
  <c r="EK28" i="47"/>
  <c r="K14" i="47"/>
  <c r="EM14" i="47" s="1"/>
  <c r="CT24" i="47"/>
  <c r="CW24" i="47" s="1"/>
  <c r="CV24" i="47"/>
  <c r="DA24" i="47" s="1"/>
  <c r="EJ28" i="47"/>
  <c r="EL28" i="47"/>
  <c r="DG16" i="22"/>
  <c r="DI16" i="22"/>
  <c r="DT16" i="22"/>
  <c r="K16" i="22"/>
  <c r="N22" i="41"/>
  <c r="DB22" i="41"/>
  <c r="O22" i="41" s="1"/>
  <c r="EL22" i="41" s="1"/>
  <c r="CY22" i="41"/>
  <c r="M22" i="41" s="1"/>
  <c r="EK22" i="41" s="1"/>
  <c r="L22" i="41"/>
  <c r="ES20" i="47"/>
  <c r="DB28" i="41"/>
  <c r="O28" i="41" s="1"/>
  <c r="N28" i="41"/>
  <c r="CY9" i="41"/>
  <c r="L9" i="41"/>
  <c r="DB26" i="41"/>
  <c r="O26" i="41" s="1"/>
  <c r="EL26" i="41" s="1"/>
  <c r="N26" i="41"/>
  <c r="CY15" i="41"/>
  <c r="L15" i="41"/>
  <c r="CY28" i="41"/>
  <c r="L28" i="41"/>
  <c r="DB9" i="41"/>
  <c r="O9" i="41" s="1"/>
  <c r="EJ9" i="41" s="1"/>
  <c r="N9" i="41"/>
  <c r="L20" i="41"/>
  <c r="CY20" i="41"/>
  <c r="M20" i="41" s="1"/>
  <c r="CR20" i="47"/>
  <c r="EO20" i="47"/>
  <c r="DB20" i="41"/>
  <c r="O20" i="41" s="1"/>
  <c r="N20" i="41"/>
  <c r="N10" i="41"/>
  <c r="DB10" i="41"/>
  <c r="O10" i="41" s="1"/>
  <c r="EJ10" i="41" s="1"/>
  <c r="L27" i="41"/>
  <c r="CY27" i="41"/>
  <c r="M27" i="41" s="1"/>
  <c r="EK27" i="41" s="1"/>
  <c r="DB14" i="41"/>
  <c r="O14" i="41" s="1"/>
  <c r="EJ14" i="41" s="1"/>
  <c r="N14" i="41"/>
  <c r="EO15" i="47"/>
  <c r="CR15" i="47"/>
  <c r="L10" i="41"/>
  <c r="CY10" i="41"/>
  <c r="N27" i="41"/>
  <c r="DB27" i="41"/>
  <c r="O27" i="41" s="1"/>
  <c r="EL27" i="41" s="1"/>
  <c r="CY14" i="41"/>
  <c r="M14" i="41" s="1"/>
  <c r="EI14" i="41" s="1"/>
  <c r="L14" i="41"/>
  <c r="ES15" i="47"/>
  <c r="N11" i="41"/>
  <c r="DB11" i="41"/>
  <c r="O11" i="41" s="1"/>
  <c r="EJ11" i="41" s="1"/>
  <c r="L26" i="41"/>
  <c r="CY26" i="41"/>
  <c r="M26" i="41" s="1"/>
  <c r="EK26" i="41" s="1"/>
  <c r="CY11" i="41"/>
  <c r="L11" i="41"/>
  <c r="DB15" i="41"/>
  <c r="O15" i="41" s="1"/>
  <c r="EJ15" i="41" s="1"/>
  <c r="N15" i="41"/>
  <c r="ES17" i="47"/>
  <c r="DJ17" i="47"/>
  <c r="DQ17" i="47" s="1"/>
  <c r="DR17" i="47" s="1"/>
  <c r="M23" i="22"/>
  <c r="EK23" i="22" s="1"/>
  <c r="Q23" i="22"/>
  <c r="ET22" i="47"/>
  <c r="EL81" i="32"/>
  <c r="AG5" i="32" s="1"/>
  <c r="Q26" i="22"/>
  <c r="L14" i="22"/>
  <c r="CY14" i="22"/>
  <c r="M14" i="22" s="1"/>
  <c r="EI14" i="22" s="1"/>
  <c r="CV14" i="22"/>
  <c r="DA14" i="22" s="1"/>
  <c r="EK9" i="32"/>
  <c r="EK81" i="32" s="1"/>
  <c r="EI9" i="32"/>
  <c r="N21" i="41"/>
  <c r="DB21" i="41"/>
  <c r="O21" i="41" s="1"/>
  <c r="EJ21" i="41" s="1"/>
  <c r="CY21" i="41"/>
  <c r="M21" i="41" s="1"/>
  <c r="EI21" i="41" s="1"/>
  <c r="L21" i="41"/>
  <c r="DV21" i="47"/>
  <c r="EC21" i="47" s="1"/>
  <c r="ED21" i="47" s="1"/>
  <c r="DH21" i="47"/>
  <c r="DO21" i="47" s="1"/>
  <c r="DP21" i="47" s="1"/>
  <c r="DX21" i="47"/>
  <c r="EE21" i="47" s="1"/>
  <c r="EF21" i="47" s="1"/>
  <c r="CV21" i="47"/>
  <c r="DA21" i="47" s="1"/>
  <c r="CT21" i="47"/>
  <c r="CW21" i="47" s="1"/>
  <c r="CT11" i="47"/>
  <c r="CW11" i="47" s="1"/>
  <c r="CV11" i="47"/>
  <c r="DA11" i="47" s="1"/>
  <c r="O8" i="22"/>
  <c r="Q8" i="22"/>
  <c r="Q12" i="22"/>
  <c r="Q8" i="32"/>
  <c r="M12" i="22"/>
  <c r="EI12" i="22" s="1"/>
  <c r="M8" i="32"/>
  <c r="M15" i="22"/>
  <c r="L16" i="32"/>
  <c r="CY16" i="32"/>
  <c r="M16" i="32" s="1"/>
  <c r="DB16" i="32"/>
  <c r="O16" i="32" s="1"/>
  <c r="N16" i="32"/>
  <c r="O13" i="32"/>
  <c r="EJ8" i="32"/>
  <c r="EJ81" i="32" s="1"/>
  <c r="EI8" i="41"/>
  <c r="EJ8" i="41"/>
  <c r="EK26" i="22"/>
  <c r="DN23" i="47"/>
  <c r="DQ23" i="47" s="1"/>
  <c r="DR23" i="47" s="1"/>
  <c r="CL22" i="22"/>
  <c r="CL21" i="22"/>
  <c r="CL11" i="22"/>
  <c r="CL9" i="22"/>
  <c r="EB23" i="47"/>
  <c r="EE23" i="47" s="1"/>
  <c r="EF23" i="47" s="1"/>
  <c r="DL23" i="47"/>
  <c r="DO23" i="47" s="1"/>
  <c r="DP23" i="47" s="1"/>
  <c r="DB33" i="47"/>
  <c r="O33" i="47" s="1"/>
  <c r="EL33" i="47" s="1"/>
  <c r="N33" i="47"/>
  <c r="CZ23" i="47"/>
  <c r="CX23" i="47"/>
  <c r="DZ17" i="47"/>
  <c r="EB17" i="47"/>
  <c r="CZ17" i="47"/>
  <c r="CX17" i="47"/>
  <c r="EB22" i="47"/>
  <c r="EE22" i="47" s="1"/>
  <c r="EF22" i="47" s="1"/>
  <c r="CX22" i="47"/>
  <c r="CZ22" i="47"/>
  <c r="DL17" i="47"/>
  <c r="L33" i="47"/>
  <c r="CY33" i="47"/>
  <c r="DL22" i="47"/>
  <c r="DO22" i="47" s="1"/>
  <c r="DP22" i="47" s="1"/>
  <c r="DZ22" i="47"/>
  <c r="EC22" i="47" s="1"/>
  <c r="ED22" i="47" s="1"/>
  <c r="DN22" i="47"/>
  <c r="DQ22" i="47" s="1"/>
  <c r="DR22" i="47" s="1"/>
  <c r="DG14" i="47"/>
  <c r="DI14" i="47"/>
  <c r="DU14" i="47"/>
  <c r="DW14" i="47"/>
  <c r="BJ87" i="22"/>
  <c r="BJ88" i="22" s="1"/>
  <c r="BJ89" i="22" s="1"/>
  <c r="BJ90" i="22" s="1"/>
  <c r="BJ91" i="22" s="1"/>
  <c r="BJ92" i="22" s="1"/>
  <c r="BW86" i="22"/>
  <c r="BW74" i="47"/>
  <c r="CL9" i="47" s="1"/>
  <c r="BJ75" i="47"/>
  <c r="BJ76" i="47" s="1"/>
  <c r="BJ77" i="47" s="1"/>
  <c r="BJ78" i="47" s="1"/>
  <c r="BJ79" i="47" s="1"/>
  <c r="BJ80" i="47" s="1"/>
  <c r="BW92" i="32"/>
  <c r="BJ93" i="32"/>
  <c r="BJ94" i="32" s="1"/>
  <c r="BJ95" i="32" s="1"/>
  <c r="BJ96" i="32" s="1"/>
  <c r="G68" i="31"/>
  <c r="N48" i="38" s="1"/>
  <c r="L48" i="38" s="1"/>
  <c r="BJ75" i="41"/>
  <c r="BJ76" i="41" s="1"/>
  <c r="BJ77" i="41" s="1"/>
  <c r="BJ78" i="41" s="1"/>
  <c r="BJ79" i="41" s="1"/>
  <c r="BJ80" i="41" s="1"/>
  <c r="BW74" i="41"/>
  <c r="N37" i="38"/>
  <c r="L37" i="38" s="1"/>
  <c r="M3" i="19"/>
  <c r="N47" i="38"/>
  <c r="L47" i="38" s="1"/>
  <c r="M3" i="47"/>
  <c r="N38" i="38"/>
  <c r="L38" i="38" s="1"/>
  <c r="M3" i="45"/>
  <c r="H114" i="31"/>
  <c r="P113" i="31"/>
  <c r="G114" i="31"/>
  <c r="O113" i="31"/>
  <c r="Q14" i="47" l="1"/>
  <c r="DF22" i="22"/>
  <c r="DE22" i="22" s="1"/>
  <c r="DB24" i="47"/>
  <c r="O24" i="47" s="1"/>
  <c r="EL24" i="47" s="1"/>
  <c r="N24" i="47"/>
  <c r="L24" i="47"/>
  <c r="CY24" i="47"/>
  <c r="M24" i="47" s="1"/>
  <c r="EK24" i="47" s="1"/>
  <c r="DF9" i="47"/>
  <c r="DE9" i="47" s="1"/>
  <c r="CT23" i="47"/>
  <c r="CW23" i="47" s="1"/>
  <c r="CV23" i="47"/>
  <c r="DA23" i="47" s="1"/>
  <c r="ER16" i="22"/>
  <c r="DW16" i="22"/>
  <c r="DU16" i="22"/>
  <c r="CR16" i="22"/>
  <c r="DN16" i="22" s="1"/>
  <c r="DJ16" i="22" s="1"/>
  <c r="DQ16" i="22" s="1"/>
  <c r="DR16" i="22" s="1"/>
  <c r="EO16" i="22"/>
  <c r="EP16" i="22"/>
  <c r="EM16" i="22"/>
  <c r="EQ16" i="22"/>
  <c r="DF11" i="22"/>
  <c r="DE11" i="22" s="1"/>
  <c r="DF21" i="22"/>
  <c r="DE21" i="22" s="1"/>
  <c r="DF9" i="22"/>
  <c r="DE9" i="22" s="1"/>
  <c r="EL28" i="41"/>
  <c r="EJ28" i="41"/>
  <c r="EJ82" i="41"/>
  <c r="O13" i="41"/>
  <c r="EB15" i="47"/>
  <c r="EE15" i="47" s="1"/>
  <c r="EF15" i="47" s="1"/>
  <c r="DN15" i="47"/>
  <c r="DQ15" i="47" s="1"/>
  <c r="DR15" i="47" s="1"/>
  <c r="DL15" i="47"/>
  <c r="DO15" i="47" s="1"/>
  <c r="DP15" i="47" s="1"/>
  <c r="DZ15" i="47"/>
  <c r="EC15" i="47" s="1"/>
  <c r="ED15" i="47" s="1"/>
  <c r="CZ15" i="47"/>
  <c r="CV15" i="47" s="1"/>
  <c r="DA15" i="47" s="1"/>
  <c r="N15" i="47" s="1"/>
  <c r="CX15" i="47"/>
  <c r="CT15" i="47" s="1"/>
  <c r="CW15" i="47" s="1"/>
  <c r="CY15" i="47" s="1"/>
  <c r="M15" i="47" s="1"/>
  <c r="EI15" i="47" s="1"/>
  <c r="O31" i="41"/>
  <c r="M9" i="41"/>
  <c r="EU9" i="47"/>
  <c r="J9" i="47"/>
  <c r="CS9" i="47"/>
  <c r="Z9" i="47"/>
  <c r="DS9" i="47"/>
  <c r="CO9" i="47"/>
  <c r="CU9" i="47"/>
  <c r="M28" i="41"/>
  <c r="M11" i="41"/>
  <c r="EI11" i="41" s="1"/>
  <c r="DZ20" i="47"/>
  <c r="DL20" i="47"/>
  <c r="CZ20" i="47"/>
  <c r="CV20" i="47" s="1"/>
  <c r="DA20" i="47" s="1"/>
  <c r="DB20" i="47" s="1"/>
  <c r="O20" i="47" s="1"/>
  <c r="CX20" i="47"/>
  <c r="CT20" i="47" s="1"/>
  <c r="CW20" i="47" s="1"/>
  <c r="CY20" i="47" s="1"/>
  <c r="M20" i="47" s="1"/>
  <c r="EI20" i="47" s="1"/>
  <c r="EB20" i="47"/>
  <c r="DN20" i="47"/>
  <c r="M10" i="41"/>
  <c r="EI10" i="41" s="1"/>
  <c r="M15" i="41"/>
  <c r="EI15" i="41" s="1"/>
  <c r="DX17" i="47"/>
  <c r="EE17" i="47" s="1"/>
  <c r="EF17" i="47" s="1"/>
  <c r="DV17" i="47"/>
  <c r="EC17" i="47" s="1"/>
  <c r="ED17" i="47" s="1"/>
  <c r="DH17" i="47"/>
  <c r="DO17" i="47" s="1"/>
  <c r="DP17" i="47" s="1"/>
  <c r="CT17" i="47"/>
  <c r="CW17" i="47" s="1"/>
  <c r="CV17" i="47"/>
  <c r="DA17" i="47" s="1"/>
  <c r="M25" i="41"/>
  <c r="EK21" i="41"/>
  <c r="O25" i="41"/>
  <c r="EL21" i="41"/>
  <c r="CT22" i="47"/>
  <c r="CW22" i="47" s="1"/>
  <c r="ER14" i="47"/>
  <c r="ES14" i="47" s="1"/>
  <c r="CV22" i="47"/>
  <c r="DA22" i="47" s="1"/>
  <c r="EJ8" i="22"/>
  <c r="O2" i="32"/>
  <c r="O81" i="32" s="1"/>
  <c r="M13" i="32"/>
  <c r="Y8" i="32" s="1"/>
  <c r="M2" i="32"/>
  <c r="M81" i="32" s="1"/>
  <c r="O90" i="32"/>
  <c r="O99" i="32" s="1"/>
  <c r="EK82" i="32"/>
  <c r="N14" i="22"/>
  <c r="DB14" i="22"/>
  <c r="M90" i="32"/>
  <c r="M99" i="32" s="1"/>
  <c r="AE5" i="32"/>
  <c r="L21" i="47"/>
  <c r="CY21" i="47"/>
  <c r="M21" i="47" s="1"/>
  <c r="DB21" i="47"/>
  <c r="O21" i="47" s="1"/>
  <c r="N21" i="47"/>
  <c r="N11" i="47"/>
  <c r="DB11" i="47"/>
  <c r="O11" i="47" s="1"/>
  <c r="EJ11" i="47" s="1"/>
  <c r="CY11" i="47"/>
  <c r="M11" i="47" s="1"/>
  <c r="EI11" i="47" s="1"/>
  <c r="L11" i="47"/>
  <c r="Q16" i="32"/>
  <c r="B87" i="32" s="1"/>
  <c r="EI8" i="32"/>
  <c r="EI81" i="32" s="1"/>
  <c r="O19" i="32"/>
  <c r="M19" i="32"/>
  <c r="Y14" i="32" s="1"/>
  <c r="EJ82" i="32"/>
  <c r="N90" i="32"/>
  <c r="AF5" i="32"/>
  <c r="EL9" i="47"/>
  <c r="J21" i="22"/>
  <c r="CO21" i="22"/>
  <c r="CN21" i="22" s="1"/>
  <c r="EU21" i="22"/>
  <c r="CU21" i="22"/>
  <c r="DS21" i="22"/>
  <c r="DT21" i="22" s="1"/>
  <c r="CS21" i="22"/>
  <c r="Z21" i="22"/>
  <c r="H21" i="22" s="1"/>
  <c r="J11" i="22"/>
  <c r="EU11" i="22"/>
  <c r="CU11" i="22"/>
  <c r="CS11" i="22"/>
  <c r="Z11" i="22"/>
  <c r="H11" i="22" s="1"/>
  <c r="DS11" i="22"/>
  <c r="DT11" i="22" s="1"/>
  <c r="CO11" i="22"/>
  <c r="CN11" i="22" s="1"/>
  <c r="J22" i="22"/>
  <c r="DS22" i="22"/>
  <c r="DT22" i="22" s="1"/>
  <c r="EU22" i="22"/>
  <c r="CU22" i="22"/>
  <c r="Z22" i="22"/>
  <c r="H22" i="22" s="1"/>
  <c r="CO22" i="22"/>
  <c r="CN22" i="22" s="1"/>
  <c r="CS22" i="22"/>
  <c r="J9" i="22"/>
  <c r="Z9" i="22"/>
  <c r="H9" i="22" s="1"/>
  <c r="CO9" i="22"/>
  <c r="CN9" i="22" s="1"/>
  <c r="CU9" i="22"/>
  <c r="EU9" i="22"/>
  <c r="CS9" i="22"/>
  <c r="DS9" i="22"/>
  <c r="DT9" i="22" s="1"/>
  <c r="M33" i="47"/>
  <c r="EK33" i="47" s="1"/>
  <c r="CR14" i="47"/>
  <c r="DZ14" i="47" s="1"/>
  <c r="EO14" i="47"/>
  <c r="BJ93" i="22"/>
  <c r="BJ94" i="22" s="1"/>
  <c r="BJ95" i="22" s="1"/>
  <c r="BJ96" i="22" s="1"/>
  <c r="BW92" i="22"/>
  <c r="CL29" i="22" s="1"/>
  <c r="BW80" i="47"/>
  <c r="BJ81" i="47"/>
  <c r="BJ82" i="47" s="1"/>
  <c r="BJ83" i="47" s="1"/>
  <c r="BJ84" i="47" s="1"/>
  <c r="BJ85" i="47" s="1"/>
  <c r="BJ86" i="47" s="1"/>
  <c r="M3" i="41"/>
  <c r="M82" i="41" s="1"/>
  <c r="BJ81" i="41"/>
  <c r="BJ82" i="41" s="1"/>
  <c r="BJ83" i="41" s="1"/>
  <c r="BJ84" i="41" s="1"/>
  <c r="BJ85" i="41" s="1"/>
  <c r="BJ86" i="41" s="1"/>
  <c r="BW80" i="41"/>
  <c r="M82" i="47"/>
  <c r="L2" i="45"/>
  <c r="L81" i="45"/>
  <c r="M82" i="45"/>
  <c r="L83" i="45" s="1"/>
  <c r="L81" i="19"/>
  <c r="L2" i="19"/>
  <c r="M82" i="19"/>
  <c r="O114" i="31"/>
  <c r="I68" i="31"/>
  <c r="P114" i="31"/>
  <c r="I67" i="31"/>
  <c r="Y20" i="41" l="1"/>
  <c r="H9" i="47"/>
  <c r="EL81" i="41"/>
  <c r="AG5" i="41" s="1"/>
  <c r="DF29" i="22"/>
  <c r="DE29" i="22" s="1"/>
  <c r="CY23" i="47"/>
  <c r="M23" i="47" s="1"/>
  <c r="L23" i="47"/>
  <c r="N23" i="47"/>
  <c r="DB23" i="47"/>
  <c r="O23" i="47" s="1"/>
  <c r="DV14" i="47"/>
  <c r="EC14" i="47" s="1"/>
  <c r="ED14" i="47" s="1"/>
  <c r="DL16" i="22"/>
  <c r="DH16" i="22" s="1"/>
  <c r="DO16" i="22" s="1"/>
  <c r="DP16" i="22" s="1"/>
  <c r="DZ16" i="22"/>
  <c r="DV16" i="22" s="1"/>
  <c r="EC16" i="22" s="1"/>
  <c r="ED16" i="22" s="1"/>
  <c r="EB16" i="22"/>
  <c r="DX16" i="22" s="1"/>
  <c r="EE16" i="22" s="1"/>
  <c r="EF16" i="22" s="1"/>
  <c r="ES16" i="22"/>
  <c r="ET16" i="22"/>
  <c r="CZ16" i="22"/>
  <c r="CV16" i="22" s="1"/>
  <c r="DA16" i="22" s="1"/>
  <c r="CX16" i="22"/>
  <c r="CT16" i="22" s="1"/>
  <c r="CW16" i="22" s="1"/>
  <c r="EL21" i="47"/>
  <c r="EJ21" i="47"/>
  <c r="EK21" i="47"/>
  <c r="EI21" i="47"/>
  <c r="EK28" i="41"/>
  <c r="EK81" i="41" s="1"/>
  <c r="AE5" i="41" s="1"/>
  <c r="EI28" i="41"/>
  <c r="DV20" i="47"/>
  <c r="EC20" i="47" s="1"/>
  <c r="ED20" i="47" s="1"/>
  <c r="DJ20" i="47"/>
  <c r="DQ20" i="47" s="1"/>
  <c r="DR20" i="47" s="1"/>
  <c r="DX20" i="47"/>
  <c r="EE20" i="47" s="1"/>
  <c r="EF20" i="47" s="1"/>
  <c r="DH20" i="47"/>
  <c r="DO20" i="47" s="1"/>
  <c r="DP20" i="47" s="1"/>
  <c r="M31" i="41"/>
  <c r="N20" i="47"/>
  <c r="DB15" i="47"/>
  <c r="O15" i="47" s="1"/>
  <c r="EJ15" i="47" s="1"/>
  <c r="L15" i="47"/>
  <c r="CL27" i="47"/>
  <c r="CL26" i="47"/>
  <c r="CL16" i="47"/>
  <c r="CL10" i="47"/>
  <c r="DF10" i="47" s="1"/>
  <c r="DE10" i="47" s="1"/>
  <c r="K9" i="47"/>
  <c r="Q9" i="47" s="1"/>
  <c r="J29" i="22"/>
  <c r="CS29" i="22"/>
  <c r="CO29" i="22"/>
  <c r="CN29" i="22" s="1"/>
  <c r="DS29" i="22"/>
  <c r="DT29" i="22" s="1"/>
  <c r="CU29" i="22"/>
  <c r="Z29" i="22"/>
  <c r="H29" i="22" s="1"/>
  <c r="EU29" i="22"/>
  <c r="EU81" i="22" s="1"/>
  <c r="L20" i="47"/>
  <c r="CN9" i="47"/>
  <c r="EI9" i="41"/>
  <c r="EI82" i="41" s="1"/>
  <c r="M13" i="41"/>
  <c r="DT9" i="47"/>
  <c r="L17" i="47"/>
  <c r="CY17" i="47"/>
  <c r="M17" i="47" s="1"/>
  <c r="EI17" i="47" s="1"/>
  <c r="N17" i="47"/>
  <c r="DB17" i="47"/>
  <c r="O17" i="47" s="1"/>
  <c r="EJ17" i="47" s="1"/>
  <c r="K22" i="22"/>
  <c r="EO22" i="22" s="1"/>
  <c r="EK10" i="47"/>
  <c r="EL10" i="47"/>
  <c r="ET14" i="47"/>
  <c r="EL20" i="47"/>
  <c r="EJ20" i="47"/>
  <c r="DB22" i="47"/>
  <c r="O22" i="47" s="1"/>
  <c r="N22" i="47"/>
  <c r="CY22" i="47"/>
  <c r="M22" i="47" s="1"/>
  <c r="L22" i="47"/>
  <c r="M104" i="32"/>
  <c r="O104" i="32" s="1"/>
  <c r="K21" i="22"/>
  <c r="EP21" i="22" s="1"/>
  <c r="O14" i="22"/>
  <c r="EJ14" i="22" s="1"/>
  <c r="Q14" i="22"/>
  <c r="EI82" i="32"/>
  <c r="K11" i="22"/>
  <c r="CR11" i="22" s="1"/>
  <c r="K9" i="22"/>
  <c r="EM9" i="22" s="1"/>
  <c r="B89" i="32"/>
  <c r="I88" i="32"/>
  <c r="B88" i="32"/>
  <c r="L90" i="32"/>
  <c r="AD5" i="32"/>
  <c r="DH22" i="22"/>
  <c r="DJ22" i="22"/>
  <c r="DH11" i="22"/>
  <c r="DJ11" i="22"/>
  <c r="DX11" i="22"/>
  <c r="DV11" i="22"/>
  <c r="DX22" i="22"/>
  <c r="DV22" i="22"/>
  <c r="M97" i="45"/>
  <c r="M98" i="45"/>
  <c r="EK9" i="47"/>
  <c r="DI11" i="22"/>
  <c r="DG11" i="22"/>
  <c r="DW11" i="22"/>
  <c r="DU11" i="22"/>
  <c r="DW9" i="22"/>
  <c r="DU9" i="22"/>
  <c r="DU22" i="22"/>
  <c r="DW22" i="22"/>
  <c r="DW21" i="22"/>
  <c r="DU21" i="22"/>
  <c r="DG21" i="22"/>
  <c r="DI21" i="22"/>
  <c r="DI9" i="22"/>
  <c r="DG9" i="22"/>
  <c r="DG22" i="22"/>
  <c r="DI22" i="22"/>
  <c r="EK20" i="47"/>
  <c r="CL32" i="47"/>
  <c r="DE32" i="47" s="1"/>
  <c r="CL8" i="47"/>
  <c r="DL14" i="47"/>
  <c r="EB14" i="47"/>
  <c r="DN14" i="47"/>
  <c r="CX14" i="47"/>
  <c r="CZ14" i="47"/>
  <c r="BW86" i="47"/>
  <c r="BJ87" i="47"/>
  <c r="BJ88" i="47" s="1"/>
  <c r="BJ89" i="47" s="1"/>
  <c r="BJ90" i="47" s="1"/>
  <c r="BJ91" i="47" s="1"/>
  <c r="BJ92" i="47" s="1"/>
  <c r="BJ87" i="41"/>
  <c r="BJ88" i="41" s="1"/>
  <c r="BJ89" i="41" s="1"/>
  <c r="BJ90" i="41" s="1"/>
  <c r="BJ91" i="41" s="1"/>
  <c r="BJ92" i="41" s="1"/>
  <c r="BW86" i="41"/>
  <c r="M103" i="45"/>
  <c r="M105" i="45" s="1"/>
  <c r="L5" i="45" s="1"/>
  <c r="L83" i="19"/>
  <c r="M103" i="19"/>
  <c r="M103" i="47"/>
  <c r="M103" i="41"/>
  <c r="M3" i="32"/>
  <c r="N57" i="38"/>
  <c r="L57" i="38" s="1"/>
  <c r="M3" i="22"/>
  <c r="N58" i="38"/>
  <c r="L58" i="38" s="1"/>
  <c r="L73" i="45" l="1"/>
  <c r="L79" i="45"/>
  <c r="L61" i="45"/>
  <c r="L67" i="45"/>
  <c r="L49" i="45"/>
  <c r="L55" i="45"/>
  <c r="L37" i="45"/>
  <c r="L43" i="45"/>
  <c r="L25" i="45"/>
  <c r="L31" i="45"/>
  <c r="L13" i="45"/>
  <c r="L19" i="45"/>
  <c r="Y8" i="41"/>
  <c r="Y26" i="41"/>
  <c r="O90" i="41"/>
  <c r="O99" i="41" s="1"/>
  <c r="CR22" i="22"/>
  <c r="CX22" i="22" s="1"/>
  <c r="CT22" i="22" s="1"/>
  <c r="EP22" i="22"/>
  <c r="EM22" i="22"/>
  <c r="DH14" i="47"/>
  <c r="DO14" i="47" s="1"/>
  <c r="DP14" i="47" s="1"/>
  <c r="DF27" i="47"/>
  <c r="DE27" i="47" s="1"/>
  <c r="DJ14" i="47"/>
  <c r="DQ14" i="47" s="1"/>
  <c r="DR14" i="47" s="1"/>
  <c r="DF16" i="47"/>
  <c r="DE16" i="47" s="1"/>
  <c r="DX14" i="47"/>
  <c r="EE14" i="47" s="1"/>
  <c r="EF14" i="47" s="1"/>
  <c r="DF26" i="47"/>
  <c r="DE26" i="47" s="1"/>
  <c r="DF8" i="47"/>
  <c r="DE8" i="47" s="1"/>
  <c r="CY16" i="22"/>
  <c r="L16" i="22"/>
  <c r="DB16" i="22"/>
  <c r="O16" i="22" s="1"/>
  <c r="EL16" i="22" s="1"/>
  <c r="N16" i="22"/>
  <c r="M90" i="41"/>
  <c r="M99" i="41" s="1"/>
  <c r="K29" i="22"/>
  <c r="EO29" i="22" s="1"/>
  <c r="ER29" i="22"/>
  <c r="ER9" i="47"/>
  <c r="EM9" i="47"/>
  <c r="CR9" i="47"/>
  <c r="EO9" i="47"/>
  <c r="DW9" i="47"/>
  <c r="DU9" i="47"/>
  <c r="EU10" i="47"/>
  <c r="Z10" i="47"/>
  <c r="CO10" i="47"/>
  <c r="CN10" i="47" s="1"/>
  <c r="CU10" i="47"/>
  <c r="J10" i="47"/>
  <c r="DS10" i="47"/>
  <c r="DT10" i="47" s="1"/>
  <c r="CS10" i="47"/>
  <c r="DW29" i="22"/>
  <c r="DU29" i="22"/>
  <c r="J16" i="47"/>
  <c r="Z16" i="47"/>
  <c r="DS16" i="47"/>
  <c r="DT16" i="47" s="1"/>
  <c r="CS16" i="47"/>
  <c r="CO16" i="47"/>
  <c r="CN16" i="47" s="1"/>
  <c r="EU16" i="47"/>
  <c r="CU16" i="47"/>
  <c r="DI29" i="22"/>
  <c r="DG29" i="22"/>
  <c r="EU26" i="47"/>
  <c r="CS26" i="47"/>
  <c r="J26" i="47"/>
  <c r="CU26" i="47"/>
  <c r="DS26" i="47"/>
  <c r="DT26" i="47" s="1"/>
  <c r="CO26" i="47"/>
  <c r="CN26" i="47" s="1"/>
  <c r="Z26" i="47"/>
  <c r="DI9" i="47"/>
  <c r="DG9" i="47"/>
  <c r="DS27" i="47"/>
  <c r="DT27" i="47" s="1"/>
  <c r="CO27" i="47"/>
  <c r="CN27" i="47" s="1"/>
  <c r="J27" i="47"/>
  <c r="CS27" i="47"/>
  <c r="EU27" i="47"/>
  <c r="CU27" i="47"/>
  <c r="Z27" i="47"/>
  <c r="ER22" i="22"/>
  <c r="ET22" i="22" s="1"/>
  <c r="M25" i="47"/>
  <c r="CT14" i="47"/>
  <c r="CW14" i="47" s="1"/>
  <c r="CV14" i="47"/>
  <c r="DA14" i="47" s="1"/>
  <c r="EO21" i="22"/>
  <c r="CR21" i="22"/>
  <c r="DN21" i="22" s="1"/>
  <c r="EM21" i="22"/>
  <c r="ER21" i="22"/>
  <c r="ET21" i="22" s="1"/>
  <c r="EO11" i="22"/>
  <c r="EP11" i="22"/>
  <c r="EM11" i="22"/>
  <c r="EP9" i="22"/>
  <c r="EO9" i="22"/>
  <c r="CR9" i="22"/>
  <c r="CZ9" i="22" s="1"/>
  <c r="ER11" i="22"/>
  <c r="ES11" i="22" s="1"/>
  <c r="ER9" i="22"/>
  <c r="ET9" i="22" s="1"/>
  <c r="EQ11" i="22"/>
  <c r="EQ22" i="22"/>
  <c r="EQ21" i="22"/>
  <c r="EB11" i="22"/>
  <c r="EE11" i="22" s="1"/>
  <c r="EF11" i="22" s="1"/>
  <c r="EQ9" i="22"/>
  <c r="CO8" i="47"/>
  <c r="CN8" i="47" s="1"/>
  <c r="J8" i="47"/>
  <c r="Z8" i="47"/>
  <c r="CS8" i="47"/>
  <c r="CU8" i="47"/>
  <c r="DS8" i="47"/>
  <c r="DT8" i="47" s="1"/>
  <c r="EU8" i="47"/>
  <c r="J32" i="47"/>
  <c r="EU32" i="47"/>
  <c r="Z32" i="47"/>
  <c r="CO32" i="47"/>
  <c r="CN32" i="47" s="1"/>
  <c r="CS32" i="47"/>
  <c r="CU32" i="47"/>
  <c r="DS32" i="47"/>
  <c r="DT32" i="47" s="1"/>
  <c r="BW92" i="47"/>
  <c r="BJ93" i="47"/>
  <c r="BJ94" i="47" s="1"/>
  <c r="BJ95" i="47" s="1"/>
  <c r="BJ96" i="47" s="1"/>
  <c r="BJ93" i="41"/>
  <c r="BJ94" i="41" s="1"/>
  <c r="BJ95" i="41" s="1"/>
  <c r="BJ96" i="41" s="1"/>
  <c r="BW92" i="41"/>
  <c r="CL16" i="41" s="1"/>
  <c r="L4" i="45"/>
  <c r="M97" i="19"/>
  <c r="M98" i="19"/>
  <c r="M82" i="22"/>
  <c r="M82" i="32"/>
  <c r="L83" i="32" s="1"/>
  <c r="L81" i="32"/>
  <c r="L2" i="32"/>
  <c r="Y20" i="47" l="1"/>
  <c r="H16" i="47"/>
  <c r="H8" i="47"/>
  <c r="H27" i="47"/>
  <c r="H10" i="47"/>
  <c r="ER10" i="47" s="1"/>
  <c r="K32" i="47"/>
  <c r="Q32" i="47" s="1"/>
  <c r="H26" i="47"/>
  <c r="DF16" i="41"/>
  <c r="DE16" i="41" s="1"/>
  <c r="M16" i="22"/>
  <c r="Q16" i="22"/>
  <c r="K8" i="47"/>
  <c r="Q8" i="47" s="1"/>
  <c r="CR29" i="22"/>
  <c r="CZ29" i="22" s="1"/>
  <c r="CV29" i="22" s="1"/>
  <c r="DA29" i="22" s="1"/>
  <c r="N29" i="22" s="1"/>
  <c r="EM29" i="22"/>
  <c r="B84" i="22" s="1"/>
  <c r="EP29" i="22"/>
  <c r="I86" i="22" s="1"/>
  <c r="DZ9" i="47"/>
  <c r="DV9" i="47" s="1"/>
  <c r="EC9" i="47" s="1"/>
  <c r="ED9" i="47" s="1"/>
  <c r="DL9" i="47"/>
  <c r="DH9" i="47" s="1"/>
  <c r="DO9" i="47" s="1"/>
  <c r="DP9" i="47" s="1"/>
  <c r="EB9" i="47"/>
  <c r="DX9" i="47" s="1"/>
  <c r="EE9" i="47" s="1"/>
  <c r="EF9" i="47" s="1"/>
  <c r="DN9" i="47"/>
  <c r="DJ9" i="47" s="1"/>
  <c r="DQ9" i="47" s="1"/>
  <c r="DR9" i="47" s="1"/>
  <c r="DW26" i="47"/>
  <c r="DU26" i="47"/>
  <c r="DU16" i="47"/>
  <c r="DW16" i="47"/>
  <c r="K16" i="47"/>
  <c r="EM16" i="47" s="1"/>
  <c r="DG10" i="47"/>
  <c r="DI10" i="47"/>
  <c r="K10" i="47"/>
  <c r="Q10" i="47" s="1"/>
  <c r="CZ9" i="47"/>
  <c r="CV9" i="47" s="1"/>
  <c r="DA9" i="47" s="1"/>
  <c r="CX9" i="47"/>
  <c r="CT9" i="47" s="1"/>
  <c r="CW9" i="47" s="1"/>
  <c r="DI26" i="47"/>
  <c r="DG26" i="47"/>
  <c r="EQ29" i="22"/>
  <c r="H87" i="22" s="1"/>
  <c r="ES9" i="47"/>
  <c r="ET9" i="47"/>
  <c r="DI27" i="47"/>
  <c r="DG27" i="47"/>
  <c r="DG16" i="47"/>
  <c r="DI16" i="47"/>
  <c r="ET29" i="22"/>
  <c r="ES29" i="22"/>
  <c r="K27" i="47"/>
  <c r="EM27" i="47" s="1"/>
  <c r="DW27" i="47"/>
  <c r="DU27" i="47"/>
  <c r="K26" i="47"/>
  <c r="EM26" i="47" s="1"/>
  <c r="DW10" i="47"/>
  <c r="DU10" i="47"/>
  <c r="ES22" i="22"/>
  <c r="DB14" i="47"/>
  <c r="O14" i="47" s="1"/>
  <c r="EJ14" i="47" s="1"/>
  <c r="N14" i="47"/>
  <c r="CY14" i="47"/>
  <c r="M14" i="47" s="1"/>
  <c r="L14" i="47"/>
  <c r="ES21" i="22"/>
  <c r="DJ21" i="22"/>
  <c r="DQ21" i="22" s="1"/>
  <c r="DR21" i="22" s="1"/>
  <c r="ET11" i="22"/>
  <c r="ES9" i="22"/>
  <c r="CV9" i="22"/>
  <c r="DA9" i="22" s="1"/>
  <c r="H32" i="47"/>
  <c r="EM32" i="47"/>
  <c r="EM8" i="47"/>
  <c r="DV32" i="47"/>
  <c r="DX32" i="47"/>
  <c r="DV8" i="47"/>
  <c r="DX8" i="47"/>
  <c r="DH32" i="47"/>
  <c r="DJ32" i="47"/>
  <c r="DH8" i="47"/>
  <c r="DJ8" i="47"/>
  <c r="M97" i="32"/>
  <c r="M98" i="32"/>
  <c r="L92" i="45"/>
  <c r="AD7" i="45"/>
  <c r="AD4" i="45" s="1"/>
  <c r="CZ22" i="22"/>
  <c r="CV22" i="22" s="1"/>
  <c r="DA22" i="22" s="1"/>
  <c r="N22" i="22" s="1"/>
  <c r="CW22" i="22"/>
  <c r="L22" i="22" s="1"/>
  <c r="DZ22" i="22"/>
  <c r="EB22" i="22"/>
  <c r="CX9" i="22"/>
  <c r="DO22" i="22"/>
  <c r="DP22" i="22" s="1"/>
  <c r="DN22" i="22"/>
  <c r="EC22" i="22"/>
  <c r="ED22" i="22" s="1"/>
  <c r="DZ9" i="22"/>
  <c r="DN9" i="22"/>
  <c r="DL9" i="22"/>
  <c r="EE22" i="22"/>
  <c r="EF22" i="22" s="1"/>
  <c r="DQ22" i="22"/>
  <c r="DR22" i="22" s="1"/>
  <c r="DL22" i="22"/>
  <c r="EB9" i="22"/>
  <c r="DL11" i="22"/>
  <c r="DO11" i="22" s="1"/>
  <c r="DP11" i="22" s="1"/>
  <c r="DZ11" i="22"/>
  <c r="EC11" i="22" s="1"/>
  <c r="ED11" i="22" s="1"/>
  <c r="DN11" i="22"/>
  <c r="DQ11" i="22" s="1"/>
  <c r="DR11" i="22" s="1"/>
  <c r="CZ11" i="22"/>
  <c r="CX11" i="22"/>
  <c r="CZ21" i="22"/>
  <c r="CX21" i="22"/>
  <c r="EB21" i="22"/>
  <c r="DZ21" i="22"/>
  <c r="DL21" i="22"/>
  <c r="DU8" i="47"/>
  <c r="DW8" i="47"/>
  <c r="DU32" i="47"/>
  <c r="DW32" i="47"/>
  <c r="DG32" i="47"/>
  <c r="DI32" i="47"/>
  <c r="DI8" i="47"/>
  <c r="DG8" i="47"/>
  <c r="EU81" i="47"/>
  <c r="J16" i="41"/>
  <c r="Z16" i="41"/>
  <c r="CS16" i="41"/>
  <c r="DS16" i="41"/>
  <c r="DT16" i="41" s="1"/>
  <c r="EU16" i="41"/>
  <c r="EU81" i="41" s="1"/>
  <c r="CO16" i="41"/>
  <c r="CN16" i="41" s="1"/>
  <c r="CU16" i="41"/>
  <c r="M103" i="32"/>
  <c r="M105" i="32" s="1"/>
  <c r="L5" i="32" s="1"/>
  <c r="M103" i="22"/>
  <c r="L73" i="32" l="1"/>
  <c r="L79" i="32"/>
  <c r="L61" i="32"/>
  <c r="L67" i="32"/>
  <c r="L49" i="32"/>
  <c r="L55" i="32"/>
  <c r="L37" i="32"/>
  <c r="L43" i="32"/>
  <c r="L25" i="32"/>
  <c r="L31" i="32"/>
  <c r="L13" i="32"/>
  <c r="L19" i="32"/>
  <c r="Q27" i="47"/>
  <c r="Q26" i="47"/>
  <c r="Q16" i="47"/>
  <c r="H16" i="41"/>
  <c r="K16" i="41"/>
  <c r="CR16" i="41" s="1"/>
  <c r="CZ16" i="41" s="1"/>
  <c r="EK16" i="22"/>
  <c r="M19" i="22"/>
  <c r="Y14" i="22" s="1"/>
  <c r="ER32" i="47"/>
  <c r="ET32" i="47" s="1"/>
  <c r="DB29" i="22"/>
  <c r="O29" i="22" s="1"/>
  <c r="EL29" i="22" s="1"/>
  <c r="CX29" i="22"/>
  <c r="CT29" i="22" s="1"/>
  <c r="CW29" i="22" s="1"/>
  <c r="ET81" i="22"/>
  <c r="EB29" i="22"/>
  <c r="DX29" i="22" s="1"/>
  <c r="EE29" i="22" s="1"/>
  <c r="EF29" i="22" s="1"/>
  <c r="DN29" i="22"/>
  <c r="DJ29" i="22" s="1"/>
  <c r="DQ29" i="22" s="1"/>
  <c r="DR29" i="22" s="1"/>
  <c r="DZ29" i="22"/>
  <c r="DV29" i="22" s="1"/>
  <c r="EC29" i="22" s="1"/>
  <c r="ED29" i="22" s="1"/>
  <c r="DL29" i="22"/>
  <c r="DH29" i="22" s="1"/>
  <c r="DO29" i="22" s="1"/>
  <c r="DP29" i="22" s="1"/>
  <c r="ER27" i="47"/>
  <c r="ER26" i="47"/>
  <c r="EO27" i="47"/>
  <c r="CR27" i="47"/>
  <c r="DL27" i="47" s="1"/>
  <c r="DH27" i="47" s="1"/>
  <c r="DO27" i="47" s="1"/>
  <c r="DP27" i="47" s="1"/>
  <c r="L9" i="47"/>
  <c r="CY9" i="47"/>
  <c r="EO26" i="47"/>
  <c r="CR26" i="47"/>
  <c r="DN26" i="47" s="1"/>
  <c r="DJ26" i="47" s="1"/>
  <c r="DQ26" i="47" s="1"/>
  <c r="DR26" i="47" s="1"/>
  <c r="N9" i="47"/>
  <c r="DB9" i="47"/>
  <c r="O9" i="47" s="1"/>
  <c r="EJ9" i="47" s="1"/>
  <c r="EM10" i="47"/>
  <c r="CR10" i="47"/>
  <c r="DZ10" i="47" s="1"/>
  <c r="DV10" i="47" s="1"/>
  <c r="EC10" i="47" s="1"/>
  <c r="ED10" i="47" s="1"/>
  <c r="EO10" i="47"/>
  <c r="ER16" i="47"/>
  <c r="ES10" i="47"/>
  <c r="ET10" i="47"/>
  <c r="EO16" i="47"/>
  <c r="CR16" i="47"/>
  <c r="DZ16" i="47" s="1"/>
  <c r="DV16" i="47" s="1"/>
  <c r="EC16" i="47" s="1"/>
  <c r="ED16" i="47" s="1"/>
  <c r="DV21" i="22"/>
  <c r="EC21" i="22" s="1"/>
  <c r="ED21" i="22" s="1"/>
  <c r="DX21" i="22"/>
  <c r="EE21" i="22" s="1"/>
  <c r="EF21" i="22" s="1"/>
  <c r="CV21" i="22"/>
  <c r="DA21" i="22" s="1"/>
  <c r="CT21" i="22"/>
  <c r="CW21" i="22" s="1"/>
  <c r="L21" i="22" s="1"/>
  <c r="DH21" i="22"/>
  <c r="DO21" i="22" s="1"/>
  <c r="DP21" i="22" s="1"/>
  <c r="DX9" i="22"/>
  <c r="EE9" i="22" s="1"/>
  <c r="EF9" i="22" s="1"/>
  <c r="DV9" i="22"/>
  <c r="EC9" i="22" s="1"/>
  <c r="ED9" i="22" s="1"/>
  <c r="DH9" i="22"/>
  <c r="DO9" i="22" s="1"/>
  <c r="DP9" i="22" s="1"/>
  <c r="DJ9" i="22"/>
  <c r="DQ9" i="22" s="1"/>
  <c r="DR9" i="22" s="1"/>
  <c r="ER8" i="47"/>
  <c r="ES8" i="47" s="1"/>
  <c r="CT11" i="22"/>
  <c r="CW11" i="22" s="1"/>
  <c r="CV11" i="22"/>
  <c r="DA11" i="22" s="1"/>
  <c r="DB9" i="22"/>
  <c r="O9" i="22" s="1"/>
  <c r="N9" i="22"/>
  <c r="CT9" i="22"/>
  <c r="CW9" i="22" s="1"/>
  <c r="L99" i="45"/>
  <c r="L98" i="45" s="1"/>
  <c r="L89" i="45"/>
  <c r="CY22" i="22"/>
  <c r="M22" i="22" s="1"/>
  <c r="EI22" i="22" s="1"/>
  <c r="DB22" i="22"/>
  <c r="O22" i="22" s="1"/>
  <c r="EJ22" i="22" s="1"/>
  <c r="CR32" i="47"/>
  <c r="DN32" i="47" s="1"/>
  <c r="DQ32" i="47" s="1"/>
  <c r="DR32" i="47" s="1"/>
  <c r="EO32" i="47"/>
  <c r="CR8" i="47"/>
  <c r="DZ8" i="47" s="1"/>
  <c r="EC8" i="47" s="1"/>
  <c r="ED8" i="47" s="1"/>
  <c r="EO8" i="47"/>
  <c r="EI14" i="47"/>
  <c r="DW16" i="41"/>
  <c r="DU16" i="41"/>
  <c r="DG16" i="41"/>
  <c r="DI16" i="41"/>
  <c r="L4" i="32"/>
  <c r="AD7" i="32" s="1"/>
  <c r="AD4" i="32" s="1"/>
  <c r="Q16" i="41" l="1"/>
  <c r="EM16" i="41"/>
  <c r="I86" i="41" s="1"/>
  <c r="EO16" i="41"/>
  <c r="ES32" i="47"/>
  <c r="O31" i="22"/>
  <c r="CY29" i="22"/>
  <c r="M29" i="22" s="1"/>
  <c r="L29" i="22"/>
  <c r="DL26" i="47"/>
  <c r="DH26" i="47" s="1"/>
  <c r="DO26" i="47" s="1"/>
  <c r="DP26" i="47" s="1"/>
  <c r="DN27" i="47"/>
  <c r="DJ27" i="47" s="1"/>
  <c r="DQ27" i="47" s="1"/>
  <c r="DR27" i="47" s="1"/>
  <c r="DZ26" i="47"/>
  <c r="DV26" i="47" s="1"/>
  <c r="EC26" i="47" s="1"/>
  <c r="ED26" i="47" s="1"/>
  <c r="EB10" i="47"/>
  <c r="DX10" i="47" s="1"/>
  <c r="EE10" i="47" s="1"/>
  <c r="EF10" i="47" s="1"/>
  <c r="CX10" i="47"/>
  <c r="CT10" i="47" s="1"/>
  <c r="CW10" i="47" s="1"/>
  <c r="CZ10" i="47"/>
  <c r="CV10" i="47" s="1"/>
  <c r="DA10" i="47" s="1"/>
  <c r="CZ16" i="47"/>
  <c r="CV16" i="47" s="1"/>
  <c r="DA16" i="47" s="1"/>
  <c r="CX16" i="47"/>
  <c r="CT16" i="47" s="1"/>
  <c r="CW16" i="47" s="1"/>
  <c r="EB26" i="47"/>
  <c r="DX26" i="47" s="1"/>
  <c r="EE26" i="47" s="1"/>
  <c r="EF26" i="47" s="1"/>
  <c r="CX26" i="47"/>
  <c r="CT26" i="47" s="1"/>
  <c r="CW26" i="47" s="1"/>
  <c r="CZ26" i="47"/>
  <c r="CV26" i="47" s="1"/>
  <c r="DA26" i="47" s="1"/>
  <c r="DZ27" i="47"/>
  <c r="DV27" i="47" s="1"/>
  <c r="EC27" i="47" s="1"/>
  <c r="ED27" i="47" s="1"/>
  <c r="CZ27" i="47"/>
  <c r="CV27" i="47" s="1"/>
  <c r="DA27" i="47" s="1"/>
  <c r="CX27" i="47"/>
  <c r="CT27" i="47" s="1"/>
  <c r="CW27" i="47" s="1"/>
  <c r="DL16" i="47"/>
  <c r="DH16" i="47" s="1"/>
  <c r="DO16" i="47" s="1"/>
  <c r="DP16" i="47" s="1"/>
  <c r="DN10" i="47"/>
  <c r="DJ10" i="47" s="1"/>
  <c r="DQ10" i="47" s="1"/>
  <c r="DR10" i="47" s="1"/>
  <c r="EB16" i="47"/>
  <c r="DX16" i="47" s="1"/>
  <c r="EE16" i="47" s="1"/>
  <c r="EF16" i="47" s="1"/>
  <c r="DL10" i="47"/>
  <c r="DH10" i="47" s="1"/>
  <c r="DO10" i="47" s="1"/>
  <c r="DP10" i="47" s="1"/>
  <c r="M9" i="47"/>
  <c r="EI9" i="47" s="1"/>
  <c r="ET27" i="47"/>
  <c r="ES27" i="47"/>
  <c r="ES26" i="47"/>
  <c r="ET26" i="47"/>
  <c r="DN16" i="47"/>
  <c r="DJ16" i="47" s="1"/>
  <c r="DQ16" i="47" s="1"/>
  <c r="DR16" i="47" s="1"/>
  <c r="ES16" i="47"/>
  <c r="ET16" i="47"/>
  <c r="EB27" i="47"/>
  <c r="DX27" i="47" s="1"/>
  <c r="EE27" i="47" s="1"/>
  <c r="EF27" i="47" s="1"/>
  <c r="Q22" i="22"/>
  <c r="EJ9" i="22"/>
  <c r="N21" i="22"/>
  <c r="DB21" i="22"/>
  <c r="O21" i="22" s="1"/>
  <c r="CY21" i="22"/>
  <c r="M21" i="22" s="1"/>
  <c r="ET8" i="47"/>
  <c r="ER16" i="41"/>
  <c r="ET16" i="41" s="1"/>
  <c r="ET81" i="41" s="1"/>
  <c r="CV16" i="41"/>
  <c r="DA16" i="41" s="1"/>
  <c r="DB16" i="41" s="1"/>
  <c r="O16" i="41" s="1"/>
  <c r="EJ16" i="41" s="1"/>
  <c r="EJ81" i="41" s="1"/>
  <c r="N11" i="22"/>
  <c r="DB11" i="22"/>
  <c r="O11" i="22" s="1"/>
  <c r="EJ11" i="22" s="1"/>
  <c r="L11" i="22"/>
  <c r="CY11" i="22"/>
  <c r="L9" i="22"/>
  <c r="CY9" i="22"/>
  <c r="Q9" i="22" s="1"/>
  <c r="L92" i="32"/>
  <c r="EB8" i="47"/>
  <c r="EE8" i="47" s="1"/>
  <c r="EF8" i="47" s="1"/>
  <c r="B84" i="47"/>
  <c r="I86" i="47"/>
  <c r="CX32" i="47"/>
  <c r="CZ32" i="47"/>
  <c r="EB32" i="47"/>
  <c r="EE32" i="47" s="1"/>
  <c r="EF32" i="47" s="1"/>
  <c r="DN8" i="47"/>
  <c r="DQ8" i="47" s="1"/>
  <c r="DR8" i="47" s="1"/>
  <c r="DZ32" i="47"/>
  <c r="EC32" i="47" s="1"/>
  <c r="ED32" i="47" s="1"/>
  <c r="DL8" i="47"/>
  <c r="DO8" i="47" s="1"/>
  <c r="DP8" i="47" s="1"/>
  <c r="CZ8" i="47"/>
  <c r="CX8" i="47"/>
  <c r="DL32" i="47"/>
  <c r="DO32" i="47" s="1"/>
  <c r="DP32" i="47" s="1"/>
  <c r="DL16" i="41"/>
  <c r="DZ16" i="41"/>
  <c r="CX16" i="41"/>
  <c r="CT16" i="41" s="1"/>
  <c r="EB16" i="41"/>
  <c r="DN16" i="41"/>
  <c r="F33" i="31"/>
  <c r="B84" i="41" l="1"/>
  <c r="Q29" i="22"/>
  <c r="EK21" i="22"/>
  <c r="EI21" i="22"/>
  <c r="EL21" i="22"/>
  <c r="EL81" i="22" s="1"/>
  <c r="AG5" i="22" s="1"/>
  <c r="EJ21" i="22"/>
  <c r="EJ81" i="22" s="1"/>
  <c r="AF5" i="22" s="1"/>
  <c r="EJ82" i="22"/>
  <c r="CV32" i="47"/>
  <c r="DA32" i="47" s="1"/>
  <c r="CT32" i="47"/>
  <c r="CW32" i="47" s="1"/>
  <c r="M31" i="22"/>
  <c r="Y26" i="22" s="1"/>
  <c r="EK29" i="22"/>
  <c r="EK81" i="22" s="1"/>
  <c r="O2" i="22"/>
  <c r="O81" i="22" s="1"/>
  <c r="CY16" i="47"/>
  <c r="M16" i="47" s="1"/>
  <c r="L16" i="47"/>
  <c r="DB16" i="47"/>
  <c r="O16" i="47" s="1"/>
  <c r="N16" i="47"/>
  <c r="N27" i="47"/>
  <c r="DB27" i="47"/>
  <c r="O27" i="47" s="1"/>
  <c r="EL27" i="47" s="1"/>
  <c r="CY10" i="47"/>
  <c r="M10" i="47" s="1"/>
  <c r="EI10" i="47" s="1"/>
  <c r="L10" i="47"/>
  <c r="CY26" i="47"/>
  <c r="L26" i="47"/>
  <c r="N10" i="47"/>
  <c r="DB10" i="47"/>
  <c r="O10" i="47" s="1"/>
  <c r="EJ10" i="47" s="1"/>
  <c r="ET81" i="47"/>
  <c r="CY27" i="47"/>
  <c r="L27" i="47"/>
  <c r="DB26" i="47"/>
  <c r="O26" i="47" s="1"/>
  <c r="N26" i="47"/>
  <c r="M25" i="22"/>
  <c r="Y20" i="22" s="1"/>
  <c r="Q21" i="22"/>
  <c r="CV8" i="47"/>
  <c r="DA8" i="47" s="1"/>
  <c r="CT8" i="47"/>
  <c r="CW8" i="47" s="1"/>
  <c r="Q11" i="22"/>
  <c r="M9" i="22"/>
  <c r="M11" i="22"/>
  <c r="EI11" i="22" s="1"/>
  <c r="ES16" i="41"/>
  <c r="AF5" i="41"/>
  <c r="N90" i="41"/>
  <c r="DH16" i="41"/>
  <c r="DO16" i="41" s="1"/>
  <c r="DP16" i="41" s="1"/>
  <c r="DJ16" i="41"/>
  <c r="DQ16" i="41" s="1"/>
  <c r="DR16" i="41" s="1"/>
  <c r="DV16" i="41"/>
  <c r="EC16" i="41" s="1"/>
  <c r="ED16" i="41" s="1"/>
  <c r="DX16" i="41"/>
  <c r="EE16" i="41" s="1"/>
  <c r="EF16" i="41" s="1"/>
  <c r="CW16" i="41"/>
  <c r="CY16" i="41" s="1"/>
  <c r="O13" i="22"/>
  <c r="O19" i="22" s="1"/>
  <c r="O25" i="22" s="1"/>
  <c r="L89" i="32"/>
  <c r="L99" i="32"/>
  <c r="L98" i="32" s="1"/>
  <c r="O19" i="41"/>
  <c r="O2" i="41"/>
  <c r="O81" i="41" s="1"/>
  <c r="N16" i="41"/>
  <c r="AR12" i="38"/>
  <c r="G33" i="31" s="1"/>
  <c r="C124" i="31" s="1"/>
  <c r="C125" i="31" s="1"/>
  <c r="R16" i="38"/>
  <c r="J86" i="38" s="1"/>
  <c r="P86" i="38" s="1"/>
  <c r="P93" i="38" s="1"/>
  <c r="H93" i="38" s="1"/>
  <c r="H94" i="38" s="1"/>
  <c r="O90" i="22" l="1"/>
  <c r="O99" i="22" s="1"/>
  <c r="CY32" i="47"/>
  <c r="M32" i="47" s="1"/>
  <c r="M37" i="47" s="1"/>
  <c r="L32" i="47"/>
  <c r="N32" i="47"/>
  <c r="DB32" i="47"/>
  <c r="O32" i="47" s="1"/>
  <c r="O37" i="47" s="1"/>
  <c r="AE5" i="22"/>
  <c r="M90" i="22"/>
  <c r="M99" i="22" s="1"/>
  <c r="M27" i="47"/>
  <c r="EK27" i="47" s="1"/>
  <c r="N90" i="22"/>
  <c r="EL26" i="47"/>
  <c r="O31" i="47"/>
  <c r="M26" i="47"/>
  <c r="EJ16" i="47"/>
  <c r="O19" i="47"/>
  <c r="O25" i="47" s="1"/>
  <c r="EI16" i="47"/>
  <c r="M19" i="47"/>
  <c r="M2" i="22"/>
  <c r="L81" i="22" s="1"/>
  <c r="EI9" i="22"/>
  <c r="EI82" i="22" s="1"/>
  <c r="CY8" i="47"/>
  <c r="M8" i="47" s="1"/>
  <c r="L8" i="47"/>
  <c r="DB8" i="47"/>
  <c r="O8" i="47" s="1"/>
  <c r="N8" i="47"/>
  <c r="M13" i="22"/>
  <c r="Y8" i="22" s="1"/>
  <c r="M104" i="22" s="1"/>
  <c r="O104" i="22" s="1"/>
  <c r="L16" i="41"/>
  <c r="B87" i="22"/>
  <c r="B88" i="22"/>
  <c r="B89" i="22"/>
  <c r="I88" i="22"/>
  <c r="EL32" i="47"/>
  <c r="EK32" i="47"/>
  <c r="M16" i="41"/>
  <c r="EI16" i="41" s="1"/>
  <c r="EI81" i="41" s="1"/>
  <c r="C127" i="31"/>
  <c r="D190" i="31" s="1"/>
  <c r="D191" i="31" s="1"/>
  <c r="E218" i="31" s="1"/>
  <c r="G218" i="31" s="1"/>
  <c r="C126" i="31"/>
  <c r="D185" i="31" s="1"/>
  <c r="D186" i="31" s="1"/>
  <c r="E212" i="31" s="1"/>
  <c r="H127" i="31"/>
  <c r="D195" i="31" s="1"/>
  <c r="D196" i="31" s="1"/>
  <c r="E225" i="31" s="1"/>
  <c r="E227" i="31" s="1"/>
  <c r="Y14" i="47" l="1"/>
  <c r="Y32" i="47"/>
  <c r="EJ8" i="47"/>
  <c r="EJ82" i="47" s="1"/>
  <c r="EL8" i="47"/>
  <c r="EL82" i="47" s="1"/>
  <c r="EI8" i="47"/>
  <c r="EI81" i="47" s="1"/>
  <c r="EK8" i="47"/>
  <c r="EK82" i="47" s="1"/>
  <c r="EI81" i="22"/>
  <c r="AD5" i="22" s="1"/>
  <c r="EK26" i="47"/>
  <c r="M31" i="47"/>
  <c r="O2" i="47"/>
  <c r="O81" i="47" s="1"/>
  <c r="O13" i="47"/>
  <c r="M2" i="47"/>
  <c r="M81" i="47" s="1"/>
  <c r="L83" i="47" s="1"/>
  <c r="M13" i="47"/>
  <c r="B89" i="47"/>
  <c r="M81" i="22"/>
  <c r="L83" i="22" s="1"/>
  <c r="M97" i="22" s="1"/>
  <c r="L2" i="22"/>
  <c r="M105" i="22"/>
  <c r="L5" i="22" s="1"/>
  <c r="AD5" i="41"/>
  <c r="L90" i="41"/>
  <c r="M2" i="41"/>
  <c r="M19" i="41"/>
  <c r="I88" i="41"/>
  <c r="B89" i="41"/>
  <c r="B87" i="41"/>
  <c r="B88" i="41"/>
  <c r="G225" i="31"/>
  <c r="G227" i="31" s="1"/>
  <c r="H226" i="31" s="1"/>
  <c r="J226" i="31" s="1"/>
  <c r="D232" i="31" s="1"/>
  <c r="E219" i="31"/>
  <c r="G219" i="31" s="1"/>
  <c r="G221" i="31" s="1"/>
  <c r="G212" i="31"/>
  <c r="G214" i="31" s="1"/>
  <c r="E214" i="31"/>
  <c r="L73" i="22" l="1"/>
  <c r="L79" i="22"/>
  <c r="L61" i="22"/>
  <c r="L67" i="22"/>
  <c r="L49" i="22"/>
  <c r="L55" i="22"/>
  <c r="L37" i="22"/>
  <c r="L43" i="22"/>
  <c r="L25" i="22"/>
  <c r="L31" i="22"/>
  <c r="L13" i="22"/>
  <c r="L19" i="22"/>
  <c r="Y14" i="41"/>
  <c r="M104" i="41" s="1"/>
  <c r="M105" i="41" s="1"/>
  <c r="L5" i="41" s="1"/>
  <c r="L79" i="41" s="1"/>
  <c r="Y8" i="47"/>
  <c r="Y26" i="47"/>
  <c r="EK81" i="47"/>
  <c r="AE5" i="47" s="1"/>
  <c r="EL81" i="47"/>
  <c r="O90" i="47" s="1"/>
  <c r="O99" i="47" s="1"/>
  <c r="EJ81" i="47"/>
  <c r="N90" i="47" s="1"/>
  <c r="EI82" i="47"/>
  <c r="L90" i="22"/>
  <c r="L2" i="47"/>
  <c r="I88" i="47"/>
  <c r="B87" i="47"/>
  <c r="B88" i="47"/>
  <c r="L81" i="47"/>
  <c r="M98" i="22"/>
  <c r="L4" i="22"/>
  <c r="AD7" i="22" s="1"/>
  <c r="AD4" i="22" s="1"/>
  <c r="M98" i="47"/>
  <c r="M97" i="47"/>
  <c r="L90" i="47"/>
  <c r="AD5" i="47"/>
  <c r="L2" i="41"/>
  <c r="M81" i="41"/>
  <c r="L83" i="41" s="1"/>
  <c r="L81" i="41"/>
  <c r="H225" i="31"/>
  <c r="H227" i="31" s="1"/>
  <c r="J225" i="31" s="1"/>
  <c r="D234" i="31" s="1"/>
  <c r="E221" i="31"/>
  <c r="H218" i="31" s="1"/>
  <c r="H213" i="31"/>
  <c r="J213" i="31" s="1"/>
  <c r="E232" i="31" s="1"/>
  <c r="I232" i="31" s="1"/>
  <c r="H212" i="31"/>
  <c r="L73" i="41" l="1"/>
  <c r="L67" i="41"/>
  <c r="L55" i="41"/>
  <c r="L61" i="41"/>
  <c r="L43" i="41"/>
  <c r="L49" i="41"/>
  <c r="L31" i="41"/>
  <c r="L37" i="41"/>
  <c r="L19" i="41"/>
  <c r="L25" i="41"/>
  <c r="L13" i="41"/>
  <c r="O104" i="41"/>
  <c r="M104" i="47"/>
  <c r="M105" i="47" s="1"/>
  <c r="L5" i="47" s="1"/>
  <c r="M90" i="47"/>
  <c r="M99" i="47" s="1"/>
  <c r="AG5" i="47"/>
  <c r="AF5" i="47"/>
  <c r="L92" i="22"/>
  <c r="L89" i="22" s="1"/>
  <c r="M98" i="41"/>
  <c r="M97" i="41"/>
  <c r="L4" i="41"/>
  <c r="AD7" i="41" s="1"/>
  <c r="AD4" i="41" s="1"/>
  <c r="H220" i="31"/>
  <c r="J220" i="31" s="1"/>
  <c r="F232" i="31" s="1"/>
  <c r="J232" i="31" s="1"/>
  <c r="M232" i="31" s="1"/>
  <c r="P232" i="31" s="1"/>
  <c r="E71" i="31" s="1"/>
  <c r="O3" i="45" s="1"/>
  <c r="H219" i="31"/>
  <c r="H214" i="31"/>
  <c r="J212" i="31" s="1"/>
  <c r="E233" i="31" s="1"/>
  <c r="I233" i="31" s="1"/>
  <c r="L73" i="47" l="1"/>
  <c r="L79" i="47"/>
  <c r="L61" i="47"/>
  <c r="L67" i="47"/>
  <c r="L49" i="47"/>
  <c r="L55" i="47"/>
  <c r="L37" i="47"/>
  <c r="L43" i="47"/>
  <c r="L25" i="47"/>
  <c r="L31" i="47"/>
  <c r="L13" i="47"/>
  <c r="L19" i="47"/>
  <c r="O104" i="47"/>
  <c r="L4" i="47"/>
  <c r="L92" i="47" s="1"/>
  <c r="L99" i="47" s="1"/>
  <c r="L98" i="47" s="1"/>
  <c r="L99" i="22"/>
  <c r="L98" i="22" s="1"/>
  <c r="L92" i="41"/>
  <c r="H221" i="31"/>
  <c r="J218" i="31" s="1"/>
  <c r="F234" i="31" s="1"/>
  <c r="J234" i="31" s="1"/>
  <c r="M234" i="31" s="1"/>
  <c r="P234" i="31" s="1"/>
  <c r="I71" i="31" s="1"/>
  <c r="O3" i="32" s="1"/>
  <c r="J219" i="31"/>
  <c r="F233" i="31" s="1"/>
  <c r="J233" i="31" s="1"/>
  <c r="M233" i="31" s="1"/>
  <c r="P233" i="31" s="1"/>
  <c r="G71" i="31" s="1"/>
  <c r="O3" i="47" s="1"/>
  <c r="N2" i="47" s="1"/>
  <c r="O3" i="19"/>
  <c r="O82" i="19" s="1"/>
  <c r="N39" i="38"/>
  <c r="L39" i="38" s="1"/>
  <c r="Q3" i="45"/>
  <c r="N2" i="45"/>
  <c r="N81" i="45"/>
  <c r="O82" i="45"/>
  <c r="N83" i="45" s="1"/>
  <c r="L89" i="47" l="1"/>
  <c r="AD7" i="47"/>
  <c r="AD4" i="47" s="1"/>
  <c r="O98" i="45"/>
  <c r="O97" i="45"/>
  <c r="L89" i="41"/>
  <c r="L99" i="41"/>
  <c r="L98" i="41" s="1"/>
  <c r="N59" i="38"/>
  <c r="L59" i="38" s="1"/>
  <c r="O3" i="22"/>
  <c r="O82" i="22" s="1"/>
  <c r="N83" i="22" s="1"/>
  <c r="N2" i="19"/>
  <c r="N81" i="19"/>
  <c r="Q3" i="19"/>
  <c r="N49" i="38"/>
  <c r="L49" i="38" s="1"/>
  <c r="O82" i="47"/>
  <c r="N83" i="47" s="1"/>
  <c r="Q3" i="47"/>
  <c r="N81" i="47"/>
  <c r="O3" i="41"/>
  <c r="N2" i="41" s="1"/>
  <c r="N81" i="32"/>
  <c r="O82" i="32"/>
  <c r="N83" i="32" s="1"/>
  <c r="N2" i="32"/>
  <c r="Q3" i="32"/>
  <c r="O103" i="45"/>
  <c r="O105" i="45" s="1"/>
  <c r="N5" i="45" s="1"/>
  <c r="O103" i="19"/>
  <c r="N83" i="19"/>
  <c r="N73" i="45" l="1"/>
  <c r="Q73" i="45" s="1"/>
  <c r="N79" i="45"/>
  <c r="N61" i="45"/>
  <c r="Q61" i="45" s="1"/>
  <c r="N67" i="45"/>
  <c r="Q67" i="45" s="1"/>
  <c r="N49" i="45"/>
  <c r="Q49" i="45" s="1"/>
  <c r="N55" i="45"/>
  <c r="Q55" i="45" s="1"/>
  <c r="N37" i="45"/>
  <c r="Q37" i="45" s="1"/>
  <c r="N43" i="45"/>
  <c r="Q43" i="45" s="1"/>
  <c r="N25" i="45"/>
  <c r="Q25" i="45" s="1"/>
  <c r="N31" i="45"/>
  <c r="Q31" i="45" s="1"/>
  <c r="N13" i="45"/>
  <c r="Q13" i="45" s="1"/>
  <c r="N19" i="45"/>
  <c r="Q19" i="45" s="1"/>
  <c r="O98" i="32"/>
  <c r="O97" i="32"/>
  <c r="O97" i="47"/>
  <c r="O98" i="47"/>
  <c r="O97" i="22"/>
  <c r="O98" i="22"/>
  <c r="N4" i="45"/>
  <c r="N81" i="22"/>
  <c r="N2" i="22"/>
  <c r="Q3" i="22"/>
  <c r="Q3" i="41"/>
  <c r="N81" i="41"/>
  <c r="O103" i="47"/>
  <c r="O105" i="47" s="1"/>
  <c r="N5" i="47" s="1"/>
  <c r="O82" i="41"/>
  <c r="O103" i="22"/>
  <c r="O105" i="22" s="1"/>
  <c r="N5" i="22" s="1"/>
  <c r="N79" i="22" s="1"/>
  <c r="O103" i="32"/>
  <c r="O105" i="32" s="1"/>
  <c r="N5" i="32" s="1"/>
  <c r="N79" i="32" s="1"/>
  <c r="O98" i="19"/>
  <c r="O97" i="19"/>
  <c r="N67" i="22" l="1"/>
  <c r="Q67" i="22" s="1"/>
  <c r="N73" i="22"/>
  <c r="Q73" i="22" s="1"/>
  <c r="N55" i="22"/>
  <c r="Q55" i="22" s="1"/>
  <c r="N61" i="22"/>
  <c r="Q61" i="22" s="1"/>
  <c r="N43" i="22"/>
  <c r="Q43" i="22" s="1"/>
  <c r="N49" i="22"/>
  <c r="Q49" i="22" s="1"/>
  <c r="N31" i="22"/>
  <c r="Q31" i="22" s="1"/>
  <c r="N37" i="22"/>
  <c r="Q37" i="22" s="1"/>
  <c r="N19" i="22"/>
  <c r="Q19" i="22" s="1"/>
  <c r="N25" i="22"/>
  <c r="Q25" i="22" s="1"/>
  <c r="N13" i="22"/>
  <c r="Q13" i="22" s="1"/>
  <c r="N67" i="32"/>
  <c r="Q67" i="32" s="1"/>
  <c r="N73" i="32"/>
  <c r="Q73" i="32" s="1"/>
  <c r="N55" i="32"/>
  <c r="Q55" i="32" s="1"/>
  <c r="N61" i="32"/>
  <c r="Q61" i="32" s="1"/>
  <c r="N43" i="32"/>
  <c r="Q43" i="32" s="1"/>
  <c r="N49" i="32"/>
  <c r="Q49" i="32" s="1"/>
  <c r="N31" i="32"/>
  <c r="Q31" i="32" s="1"/>
  <c r="N37" i="32"/>
  <c r="Q37" i="32" s="1"/>
  <c r="N19" i="32"/>
  <c r="Q19" i="32" s="1"/>
  <c r="N25" i="32"/>
  <c r="Q25" i="32" s="1"/>
  <c r="N13" i="32"/>
  <c r="Q13" i="32" s="1"/>
  <c r="N67" i="47"/>
  <c r="Q67" i="47" s="1"/>
  <c r="N79" i="47"/>
  <c r="N73" i="47"/>
  <c r="Q73" i="47" s="1"/>
  <c r="N55" i="47"/>
  <c r="Q55" i="47" s="1"/>
  <c r="N61" i="47"/>
  <c r="Q61" i="47" s="1"/>
  <c r="N43" i="47"/>
  <c r="Q43" i="47" s="1"/>
  <c r="N49" i="47"/>
  <c r="Q49" i="47" s="1"/>
  <c r="N31" i="47"/>
  <c r="Q31" i="47" s="1"/>
  <c r="N37" i="47"/>
  <c r="Q37" i="47" s="1"/>
  <c r="N19" i="47"/>
  <c r="Q19" i="47" s="1"/>
  <c r="N25" i="47"/>
  <c r="Q25" i="47" s="1"/>
  <c r="N13" i="47"/>
  <c r="Q13" i="47" s="1"/>
  <c r="O103" i="41"/>
  <c r="O105" i="41" s="1"/>
  <c r="N5" i="41" s="1"/>
  <c r="N83" i="41"/>
  <c r="N92" i="45"/>
  <c r="AF7" i="45"/>
  <c r="AF4" i="45" s="1"/>
  <c r="N4" i="47"/>
  <c r="AF7" i="47" s="1"/>
  <c r="AF4" i="47" s="1"/>
  <c r="N4" i="22"/>
  <c r="AF7" i="22" s="1"/>
  <c r="AF4" i="22" s="1"/>
  <c r="N4" i="32"/>
  <c r="AF7" i="32" s="1"/>
  <c r="AF4" i="32" s="1"/>
  <c r="Q79" i="45"/>
  <c r="J84" i="45" s="1"/>
  <c r="B85" i="45"/>
  <c r="Q4" i="45"/>
  <c r="N73" i="41" l="1"/>
  <c r="Q73" i="41" s="1"/>
  <c r="N79" i="41"/>
  <c r="Q79" i="41" s="1"/>
  <c r="N61" i="41"/>
  <c r="Q61" i="41" s="1"/>
  <c r="N67" i="41"/>
  <c r="Q67" i="41" s="1"/>
  <c r="N49" i="41"/>
  <c r="Q49" i="41" s="1"/>
  <c r="N55" i="41"/>
  <c r="Q55" i="41" s="1"/>
  <c r="N37" i="41"/>
  <c r="Q37" i="41" s="1"/>
  <c r="N43" i="41"/>
  <c r="Q43" i="41" s="1"/>
  <c r="N25" i="41"/>
  <c r="Q25" i="41" s="1"/>
  <c r="N31" i="41"/>
  <c r="Q31" i="41" s="1"/>
  <c r="N13" i="41"/>
  <c r="Q13" i="41" s="1"/>
  <c r="N19" i="41"/>
  <c r="Q19" i="41" s="1"/>
  <c r="N4" i="41"/>
  <c r="AF7" i="41" s="1"/>
  <c r="AF4" i="41" s="1"/>
  <c r="O98" i="41"/>
  <c r="O97" i="41"/>
  <c r="N89" i="45"/>
  <c r="I90" i="45"/>
  <c r="N99" i="45"/>
  <c r="N98" i="45" s="1"/>
  <c r="N92" i="22"/>
  <c r="I90" i="22" s="1"/>
  <c r="N92" i="32"/>
  <c r="I90" i="32" s="1"/>
  <c r="N92" i="47"/>
  <c r="I90" i="47" s="1"/>
  <c r="Q79" i="47"/>
  <c r="J84" i="47" s="1"/>
  <c r="B85" i="47"/>
  <c r="Q4" i="47"/>
  <c r="Q79" i="22"/>
  <c r="Q5" i="22" s="1"/>
  <c r="B85" i="22"/>
  <c r="Q4" i="22"/>
  <c r="Q5" i="45"/>
  <c r="J85" i="45"/>
  <c r="J97" i="45" s="1"/>
  <c r="B98" i="45"/>
  <c r="B97" i="45"/>
  <c r="Q79" i="32"/>
  <c r="J84" i="32" s="1"/>
  <c r="B85" i="32"/>
  <c r="Q4" i="32"/>
  <c r="N92" i="41" l="1"/>
  <c r="I90" i="41" s="1"/>
  <c r="Q4" i="41"/>
  <c r="Q5" i="41"/>
  <c r="J85" i="41"/>
  <c r="B85" i="41"/>
  <c r="B97" i="41" s="1"/>
  <c r="J84" i="41"/>
  <c r="N89" i="22"/>
  <c r="N99" i="22"/>
  <c r="N98" i="22" s="1"/>
  <c r="N89" i="32"/>
  <c r="N99" i="32"/>
  <c r="N98" i="32" s="1"/>
  <c r="N99" i="47"/>
  <c r="N98" i="47" s="1"/>
  <c r="N89" i="47"/>
  <c r="J85" i="47"/>
  <c r="J97" i="47" s="1"/>
  <c r="B98" i="47"/>
  <c r="B97" i="47"/>
  <c r="Q5" i="47"/>
  <c r="J84" i="22"/>
  <c r="B98" i="22"/>
  <c r="B97" i="22"/>
  <c r="J85" i="22"/>
  <c r="Q5" i="32"/>
  <c r="J98" i="45"/>
  <c r="Q98" i="45" s="1"/>
  <c r="Q6" i="45" s="1"/>
  <c r="Q97" i="45"/>
  <c r="J85" i="32"/>
  <c r="J98" i="32" s="1"/>
  <c r="B98" i="32"/>
  <c r="B97" i="32"/>
  <c r="N99" i="41" l="1"/>
  <c r="N98" i="41" s="1"/>
  <c r="N89" i="41"/>
  <c r="J97" i="41"/>
  <c r="Q97" i="41" s="1"/>
  <c r="B98" i="41"/>
  <c r="J98" i="41"/>
  <c r="J98" i="47"/>
  <c r="Q98" i="47" s="1"/>
  <c r="Q6" i="47" s="1"/>
  <c r="Q97" i="47"/>
  <c r="J98" i="22"/>
  <c r="Q98" i="22" s="1"/>
  <c r="Q6" i="22" s="1"/>
  <c r="J97" i="22"/>
  <c r="Q97" i="22" s="1"/>
  <c r="Q98" i="32"/>
  <c r="Q6" i="32" s="1"/>
  <c r="J97" i="32"/>
  <c r="Q97" i="32" s="1"/>
  <c r="C10" i="19"/>
  <c r="C12" i="19"/>
  <c r="J13" i="19"/>
  <c r="C11" i="19"/>
  <c r="C9" i="19"/>
  <c r="C8" i="19"/>
  <c r="T8" i="19"/>
  <c r="R14" i="19"/>
  <c r="Q98" i="41" l="1"/>
  <c r="Q6" i="41" s="1"/>
  <c r="S14" i="19"/>
  <c r="B14" i="19" s="1"/>
  <c r="Y8" i="19" l="1"/>
  <c r="M19" i="19" l="1"/>
  <c r="O19" i="19"/>
  <c r="T14" i="19"/>
  <c r="W14" i="19"/>
  <c r="V14" i="19" s="1"/>
  <c r="C14" i="19" s="1"/>
  <c r="J19" i="19"/>
  <c r="R20" i="19"/>
  <c r="W15" i="19" l="1"/>
  <c r="V15" i="19" s="1"/>
  <c r="C15" i="19" s="1"/>
  <c r="S20" i="19"/>
  <c r="B20" i="19" s="1"/>
  <c r="EJ82" i="19" s="1"/>
  <c r="EI82" i="19" l="1"/>
  <c r="EL82" i="19"/>
  <c r="EK82" i="19"/>
  <c r="Y14" i="19"/>
  <c r="W16" i="19"/>
  <c r="V16" i="19" s="1"/>
  <c r="C16" i="19" s="1"/>
  <c r="M25" i="19" l="1"/>
  <c r="J25" i="19"/>
  <c r="O25" i="19"/>
  <c r="T20" i="19"/>
  <c r="W17" i="19"/>
  <c r="V17" i="19" s="1"/>
  <c r="C17" i="19" s="1"/>
  <c r="R26" i="19"/>
  <c r="S26" i="19" l="1"/>
  <c r="B26" i="19" s="1"/>
  <c r="W18" i="19"/>
  <c r="V18" i="19" s="1"/>
  <c r="C18" i="19" s="1"/>
  <c r="W20" i="19"/>
  <c r="Y20" i="19" l="1"/>
  <c r="J31" i="19"/>
  <c r="T26" i="19"/>
  <c r="O31" i="19"/>
  <c r="M31" i="19"/>
  <c r="V20" i="19"/>
  <c r="C20" i="19" s="1"/>
  <c r="W21" i="19"/>
  <c r="R32" i="19"/>
  <c r="S32" i="19" l="1"/>
  <c r="B32" i="19" s="1"/>
  <c r="V21" i="19"/>
  <c r="C21" i="19" s="1"/>
  <c r="W22" i="19"/>
  <c r="V22" i="19" s="1"/>
  <c r="C22" i="19" s="1"/>
  <c r="O37" i="19" l="1"/>
  <c r="Y26" i="19"/>
  <c r="J37" i="19"/>
  <c r="M37" i="19"/>
  <c r="T32" i="19"/>
  <c r="W23" i="19"/>
  <c r="V23" i="19" s="1"/>
  <c r="C23" i="19" s="1"/>
  <c r="R8" i="19"/>
  <c r="R38" i="19"/>
  <c r="S38" i="19" l="1"/>
  <c r="B38" i="19" s="1"/>
  <c r="W24" i="19"/>
  <c r="V24" i="19" s="1"/>
  <c r="C24" i="19" s="1"/>
  <c r="W26" i="19"/>
  <c r="S8" i="19"/>
  <c r="O43" i="19" l="1"/>
  <c r="T38" i="19"/>
  <c r="J43" i="19"/>
  <c r="Y32" i="19"/>
  <c r="M43" i="19"/>
  <c r="V26" i="19"/>
  <c r="C26" i="19" s="1"/>
  <c r="W27" i="19"/>
  <c r="R44" i="19"/>
  <c r="S44" i="19" l="1"/>
  <c r="B44" i="19" s="1"/>
  <c r="Y38" i="19" s="1"/>
  <c r="W28" i="19"/>
  <c r="V27" i="19"/>
  <c r="C27" i="19" s="1"/>
  <c r="T44" i="19" l="1"/>
  <c r="W44" i="19"/>
  <c r="M49" i="19"/>
  <c r="J49" i="19"/>
  <c r="O49" i="19"/>
  <c r="W29" i="19"/>
  <c r="V28" i="19"/>
  <c r="C28" i="19" s="1"/>
  <c r="R50" i="19"/>
  <c r="S50" i="19" l="1"/>
  <c r="B50" i="19" s="1"/>
  <c r="V44" i="19"/>
  <c r="C44" i="19" s="1"/>
  <c r="W45" i="19"/>
  <c r="V29" i="19"/>
  <c r="C29" i="19" s="1"/>
  <c r="W30" i="19"/>
  <c r="V30" i="19" l="1"/>
  <c r="C30" i="19" s="1"/>
  <c r="W32" i="19"/>
  <c r="V45" i="19"/>
  <c r="C45" i="19" s="1"/>
  <c r="W46" i="19"/>
  <c r="J55" i="19"/>
  <c r="Y44" i="19"/>
  <c r="M55" i="19"/>
  <c r="T50" i="19"/>
  <c r="O55" i="19"/>
  <c r="R56" i="19"/>
  <c r="W33" i="19" l="1"/>
  <c r="W34" i="19" s="1"/>
  <c r="V32" i="19"/>
  <c r="C32" i="19" s="1"/>
  <c r="S56" i="19"/>
  <c r="B56" i="19" s="1"/>
  <c r="V46" i="19"/>
  <c r="C46" i="19" s="1"/>
  <c r="W47" i="19"/>
  <c r="V33" i="19" l="1"/>
  <c r="C33" i="19" s="1"/>
  <c r="W35" i="19"/>
  <c r="V34" i="19"/>
  <c r="C34" i="19" s="1"/>
  <c r="V47" i="19"/>
  <c r="C47" i="19" s="1"/>
  <c r="W48" i="19"/>
  <c r="O61" i="19"/>
  <c r="Y50" i="19"/>
  <c r="M61" i="19"/>
  <c r="T56" i="19"/>
  <c r="J61" i="19"/>
  <c r="R62" i="19"/>
  <c r="V48" i="19" l="1"/>
  <c r="C48" i="19" s="1"/>
  <c r="W50" i="19"/>
  <c r="W36" i="19"/>
  <c r="V35" i="19"/>
  <c r="C35" i="19" s="1"/>
  <c r="S62" i="19"/>
  <c r="B62" i="19" l="1"/>
  <c r="Y56" i="19" s="1"/>
  <c r="V50" i="19"/>
  <c r="C50" i="19" s="1"/>
  <c r="W51" i="19"/>
  <c r="V36" i="19"/>
  <c r="C36" i="19" s="1"/>
  <c r="W38" i="19"/>
  <c r="J67" i="19" l="1"/>
  <c r="O67" i="19"/>
  <c r="T62" i="19"/>
  <c r="M67" i="19"/>
  <c r="V51" i="19"/>
  <c r="C51" i="19" s="1"/>
  <c r="W52" i="19"/>
  <c r="V38" i="19"/>
  <c r="C38" i="19" s="1"/>
  <c r="W39" i="19"/>
  <c r="R68" i="19"/>
  <c r="S68" i="19" l="1"/>
  <c r="B68" i="19" s="1"/>
  <c r="Y62" i="19" s="1"/>
  <c r="W53" i="19"/>
  <c r="V52" i="19"/>
  <c r="C52" i="19" s="1"/>
  <c r="V39" i="19"/>
  <c r="C39" i="19" s="1"/>
  <c r="W40" i="19"/>
  <c r="O73" i="19" l="1"/>
  <c r="J73" i="19"/>
  <c r="W54" i="19"/>
  <c r="V53" i="19"/>
  <c r="C53" i="19" s="1"/>
  <c r="M73" i="19"/>
  <c r="T68" i="19"/>
  <c r="V40" i="19"/>
  <c r="C40" i="19" s="1"/>
  <c r="W41" i="19"/>
  <c r="R74" i="19"/>
  <c r="V54" i="19" l="1"/>
  <c r="C54" i="19" s="1"/>
  <c r="W56" i="19"/>
  <c r="S74" i="19"/>
  <c r="V41" i="19"/>
  <c r="C41" i="19" s="1"/>
  <c r="W42" i="19"/>
  <c r="V42" i="19" s="1"/>
  <c r="C42" i="19" s="1"/>
  <c r="B74" i="19" l="1"/>
  <c r="O79" i="19" s="1"/>
  <c r="V56" i="19"/>
  <c r="C56" i="19" s="1"/>
  <c r="W57" i="19"/>
  <c r="Y68" i="19" l="1"/>
  <c r="M79" i="19"/>
  <c r="Y74" i="19" s="1"/>
  <c r="J79" i="19"/>
  <c r="T74" i="19"/>
  <c r="V57" i="19"/>
  <c r="C57" i="19" s="1"/>
  <c r="W58" i="19"/>
  <c r="M104" i="19" l="1"/>
  <c r="V58" i="19"/>
  <c r="C58" i="19" s="1"/>
  <c r="W59" i="19"/>
  <c r="M105" i="19" l="1"/>
  <c r="L5" i="19" s="1"/>
  <c r="O104" i="19"/>
  <c r="O105" i="19" s="1"/>
  <c r="N5" i="19" s="1"/>
  <c r="N79" i="19" s="1"/>
  <c r="V59" i="19"/>
  <c r="C59" i="19" s="1"/>
  <c r="W60" i="19"/>
  <c r="N67" i="19" l="1"/>
  <c r="N73" i="19"/>
  <c r="N55" i="19"/>
  <c r="N61" i="19"/>
  <c r="N43" i="19"/>
  <c r="N49" i="19"/>
  <c r="N31" i="19"/>
  <c r="N37" i="19"/>
  <c r="N19" i="19"/>
  <c r="N25" i="19"/>
  <c r="N13" i="19"/>
  <c r="L73" i="19"/>
  <c r="L79" i="19"/>
  <c r="L61" i="19"/>
  <c r="L67" i="19"/>
  <c r="L49" i="19"/>
  <c r="L55" i="19"/>
  <c r="L37" i="19"/>
  <c r="L43" i="19"/>
  <c r="L25" i="19"/>
  <c r="L31" i="19"/>
  <c r="L19" i="19"/>
  <c r="N4" i="19"/>
  <c r="AF7" i="19" s="1"/>
  <c r="AF4" i="19" s="1"/>
  <c r="L13" i="19"/>
  <c r="L4" i="19"/>
  <c r="V60" i="19"/>
  <c r="C60" i="19" s="1"/>
  <c r="W62" i="19"/>
  <c r="Q79" i="19" l="1"/>
  <c r="Q61" i="19"/>
  <c r="Q73" i="19"/>
  <c r="Q67" i="19"/>
  <c r="Q49" i="19"/>
  <c r="Q55" i="19"/>
  <c r="Q37" i="19"/>
  <c r="Q43" i="19"/>
  <c r="Q13" i="19"/>
  <c r="Q31" i="19"/>
  <c r="Q25" i="19"/>
  <c r="N92" i="19"/>
  <c r="N89" i="19" s="1"/>
  <c r="Q19" i="19"/>
  <c r="B85" i="19"/>
  <c r="B97" i="19" s="1"/>
  <c r="AD7" i="19"/>
  <c r="AD4" i="19" s="1"/>
  <c r="Q4" i="19"/>
  <c r="L92" i="19"/>
  <c r="V62" i="19"/>
  <c r="C62" i="19" s="1"/>
  <c r="W63" i="19"/>
  <c r="Q5" i="19" l="1"/>
  <c r="N99" i="19"/>
  <c r="N98" i="19" s="1"/>
  <c r="J85" i="19"/>
  <c r="J84" i="19"/>
  <c r="B98" i="19"/>
  <c r="L89" i="19"/>
  <c r="I90" i="19"/>
  <c r="L99" i="19"/>
  <c r="L98" i="19" s="1"/>
  <c r="W64" i="19"/>
  <c r="V63" i="19"/>
  <c r="C63" i="19" s="1"/>
  <c r="J98" i="19" l="1"/>
  <c r="Q98" i="19" s="1"/>
  <c r="Q6" i="19" s="1"/>
  <c r="J97" i="19"/>
  <c r="Q97" i="19" s="1"/>
  <c r="W65" i="19"/>
  <c r="V64" i="19"/>
  <c r="C64" i="19" s="1"/>
  <c r="W66" i="19" l="1"/>
  <c r="V65" i="19"/>
  <c r="C65" i="19" s="1"/>
  <c r="W68" i="19" l="1"/>
  <c r="V66" i="19"/>
  <c r="C66" i="19" s="1"/>
  <c r="V68" i="19" l="1"/>
  <c r="C68" i="19" s="1"/>
  <c r="W69" i="19"/>
  <c r="W70" i="19" l="1"/>
  <c r="V69" i="19"/>
  <c r="C69" i="19" s="1"/>
  <c r="V70" i="19" l="1"/>
  <c r="C70" i="19" s="1"/>
  <c r="W71" i="19"/>
  <c r="V71" i="19" l="1"/>
  <c r="C71" i="19" s="1"/>
  <c r="W72" i="19"/>
  <c r="V72" i="19" l="1"/>
  <c r="C72" i="19" s="1"/>
  <c r="W74" i="19"/>
  <c r="W75" i="19" l="1"/>
  <c r="V74" i="19"/>
  <c r="C74" i="19" s="1"/>
  <c r="V75" i="19" l="1"/>
  <c r="C75" i="19" s="1"/>
  <c r="W76" i="19"/>
  <c r="W77" i="19" l="1"/>
  <c r="V76" i="19"/>
  <c r="C76" i="19" s="1"/>
  <c r="V77" i="19" l="1"/>
  <c r="C77" i="19" s="1"/>
  <c r="W78" i="19"/>
  <c r="V78" i="19" s="1"/>
  <c r="C7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29" authorId="0" shapeId="0" xr:uid="{00000000-0006-0000-0300-000001000000}">
      <text>
        <r>
          <rPr>
            <b/>
            <sz val="8"/>
            <color indexed="81"/>
            <rFont val="Tahoma"/>
            <family val="2"/>
          </rPr>
          <t xml:space="preserve"> :</t>
        </r>
        <r>
          <rPr>
            <sz val="8"/>
            <color indexed="81"/>
            <rFont val="Tahoma"/>
            <family val="2"/>
          </rPr>
          <t xml:space="preserve">
This is the roof angle if Roof Width and Roof Height were correct</t>
        </r>
      </text>
    </comment>
    <comment ref="H29" authorId="0" shapeId="0" xr:uid="{00000000-0006-0000-0300-000002000000}">
      <text>
        <r>
          <rPr>
            <b/>
            <sz val="8"/>
            <color indexed="81"/>
            <rFont val="Tahoma"/>
            <family val="2"/>
          </rPr>
          <t xml:space="preserve"> :</t>
        </r>
        <r>
          <rPr>
            <sz val="8"/>
            <color indexed="81"/>
            <rFont val="Tahoma"/>
            <family val="2"/>
          </rPr>
          <t xml:space="preserve">
The higher of what is 'real' and what has been entered</t>
        </r>
      </text>
    </comment>
    <comment ref="F45" authorId="0" shapeId="0" xr:uid="{00000000-0006-0000-0300-000003000000}">
      <text>
        <r>
          <rPr>
            <b/>
            <sz val="9"/>
            <color indexed="81"/>
            <rFont val="Tahoma"/>
            <family val="2"/>
          </rPr>
          <t xml:space="preserve"> :</t>
        </r>
        <r>
          <rPr>
            <sz val="9"/>
            <color indexed="81"/>
            <rFont val="Tahoma"/>
            <family val="2"/>
          </rPr>
          <t xml:space="preserve">
HLI</t>
        </r>
      </text>
    </comment>
    <comment ref="C91" authorId="0" shapeId="0" xr:uid="{00000000-0006-0000-0300-000004000000}">
      <text>
        <r>
          <rPr>
            <b/>
            <sz val="8"/>
            <color indexed="81"/>
            <rFont val="Tahoma"/>
            <family val="2"/>
          </rPr>
          <t xml:space="preserve"> :</t>
        </r>
        <r>
          <rPr>
            <sz val="8"/>
            <color indexed="81"/>
            <rFont val="Tahoma"/>
            <family val="2"/>
          </rPr>
          <t xml:space="preserve">
QQQ</t>
        </r>
      </text>
    </comment>
    <comment ref="J94" authorId="0" shapeId="0" xr:uid="{00000000-0006-0000-0300-000005000000}">
      <text>
        <r>
          <rPr>
            <b/>
            <sz val="9"/>
            <color indexed="81"/>
            <rFont val="Tahoma"/>
            <family val="2"/>
          </rPr>
          <t xml:space="preserve"> :</t>
        </r>
        <r>
          <rPr>
            <sz val="9"/>
            <color indexed="81"/>
            <rFont val="Tahoma"/>
            <family val="2"/>
          </rPr>
          <t xml:space="preserve">
This is LS</t>
        </r>
      </text>
    </comment>
    <comment ref="O104" authorId="0" shapeId="0" xr:uid="{00000000-0006-0000-0300-000006000000}">
      <text>
        <r>
          <rPr>
            <b/>
            <sz val="9"/>
            <color indexed="81"/>
            <rFont val="Tahoma"/>
            <family val="2"/>
          </rPr>
          <t xml:space="preserve"> :</t>
        </r>
        <r>
          <rPr>
            <sz val="9"/>
            <color indexed="81"/>
            <rFont val="Tahoma"/>
            <family val="2"/>
          </rPr>
          <t xml:space="preserve">
HEI</t>
        </r>
      </text>
    </comment>
    <comment ref="O105" authorId="0" shapeId="0" xr:uid="{00000000-0006-0000-0300-000007000000}">
      <text>
        <r>
          <rPr>
            <b/>
            <sz val="9"/>
            <color indexed="81"/>
            <rFont val="Tahoma"/>
            <family val="2"/>
          </rPr>
          <t xml:space="preserve"> :</t>
        </r>
        <r>
          <rPr>
            <sz val="9"/>
            <color indexed="81"/>
            <rFont val="Tahoma"/>
            <family val="2"/>
          </rPr>
          <t xml:space="preserve">
LE</t>
        </r>
      </text>
    </comment>
    <comment ref="K106" authorId="0" shapeId="0" xr:uid="{00000000-0006-0000-0300-000008000000}">
      <text>
        <r>
          <rPr>
            <b/>
            <sz val="8"/>
            <color indexed="81"/>
            <rFont val="Tahoma"/>
            <family val="2"/>
          </rPr>
          <t>The higher of zero or difference between upper width and lower width</t>
        </r>
      </text>
    </comment>
    <comment ref="O106" authorId="0" shapeId="0" xr:uid="{00000000-0006-0000-0300-000009000000}">
      <text>
        <r>
          <rPr>
            <b/>
            <sz val="9"/>
            <color indexed="81"/>
            <rFont val="Tahoma"/>
            <family val="2"/>
          </rPr>
          <t xml:space="preserve"> :</t>
        </r>
        <r>
          <rPr>
            <sz val="9"/>
            <color indexed="81"/>
            <rFont val="Tahoma"/>
            <family val="2"/>
          </rPr>
          <t xml:space="preserve">
WE</t>
        </r>
      </text>
    </comment>
    <comment ref="C115" authorId="0" shapeId="0" xr:uid="{00000000-0006-0000-0300-00000A000000}">
      <text>
        <r>
          <rPr>
            <b/>
            <sz val="8"/>
            <color indexed="81"/>
            <rFont val="Tahoma"/>
            <family val="2"/>
          </rPr>
          <t>This is CPW</t>
        </r>
      </text>
    </comment>
    <comment ref="C126" authorId="0" shapeId="0" xr:uid="{00000000-0006-0000-0300-00000B000000}">
      <text>
        <r>
          <rPr>
            <b/>
            <sz val="8"/>
            <color indexed="81"/>
            <rFont val="Tahoma"/>
            <family val="2"/>
          </rPr>
          <t>Factored on the maximum of the Lower GpA and the Upper GPA</t>
        </r>
      </text>
    </comment>
    <comment ref="C127" authorId="0" shapeId="0" xr:uid="{00000000-0006-0000-0300-00000C000000}">
      <text>
        <r>
          <rPr>
            <b/>
            <sz val="8"/>
            <color indexed="81"/>
            <rFont val="Tahoma"/>
            <family val="2"/>
          </rPr>
          <t xml:space="preserve"> :</t>
        </r>
        <r>
          <rPr>
            <sz val="8"/>
            <color indexed="81"/>
            <rFont val="Tahoma"/>
            <family val="2"/>
          </rPr>
          <t xml:space="preserve">
Factors on the maximum of the Lower GOA and the Sub floor GPA</t>
        </r>
      </text>
    </comment>
    <comment ref="H127" authorId="0" shapeId="0" xr:uid="{00000000-0006-0000-0300-00000D000000}">
      <text>
        <r>
          <rPr>
            <b/>
            <sz val="8"/>
            <color indexed="81"/>
            <rFont val="Tahoma"/>
            <family val="2"/>
          </rPr>
          <t xml:space="preserve"> :</t>
        </r>
        <r>
          <rPr>
            <sz val="8"/>
            <color indexed="81"/>
            <rFont val="Tahoma"/>
            <family val="2"/>
          </rPr>
          <t xml:space="preserve">
Factors on the Upper or Single GPA and the Sub floor GPA</t>
        </r>
      </text>
    </comment>
    <comment ref="H177" authorId="0" shapeId="0" xr:uid="{00000000-0006-0000-0300-00000E000000}">
      <text>
        <r>
          <rPr>
            <b/>
            <sz val="8"/>
            <color indexed="81"/>
            <rFont val="Tahoma"/>
            <family val="2"/>
          </rPr>
          <t xml:space="preserve"> :</t>
        </r>
        <r>
          <rPr>
            <sz val="8"/>
            <color indexed="81"/>
            <rFont val="Tahoma"/>
            <family val="2"/>
          </rPr>
          <t xml:space="preserve">
This is Tan slope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Ernst</author>
    <author>Kevin Van Hest</author>
    <author>manager</author>
  </authors>
  <commentList>
    <comment ref="Q2" authorId="0" shapeId="0" xr:uid="{00000000-0006-0000-0D00-000001000000}">
      <text>
        <r>
          <rPr>
            <sz val="10"/>
            <color indexed="81"/>
            <rFont val="Tahoma"/>
            <family val="2"/>
          </rPr>
          <t xml:space="preserve">Several types of suggestions and warnings appear in this column.
For Example:
If the system EMPH is chosen  (Multiboard on one side and Plywood on the either)  
    If the comment:  " ESPH provides same result in WIND " appears it means that the Wind performance of the ESPH bracing system is the same as EMPH  bracing system that was chosen.
    If the comment:   "ESPH provides the same results"" appears it means that BOTH the Wind AND the Earthquake performance of the ESPH bracing system is the same as EMPH bracing system that was chosen.
</t>
        </r>
      </text>
    </comment>
    <comment ref="B3" authorId="0" shapeId="0" xr:uid="{00000000-0006-0000-0D00-000002000000}">
      <text>
        <r>
          <rPr>
            <sz val="10"/>
            <color indexed="81"/>
            <rFont val="Tahoma"/>
            <family val="2"/>
          </rPr>
          <t>These labels can be manually changed.  e.g. East-West"</t>
        </r>
        <r>
          <rPr>
            <b/>
            <sz val="8"/>
            <color indexed="81"/>
            <rFont val="Tahoma"/>
            <family val="2"/>
          </rPr>
          <t xml:space="preserve">
</t>
        </r>
        <r>
          <rPr>
            <sz val="10"/>
            <color indexed="81"/>
            <rFont val="Tahoma"/>
            <family val="2"/>
          </rPr>
          <t>If changing these default names ..Remember to use a new Template for each new Project.</t>
        </r>
      </text>
    </comment>
    <comment ref="I3" authorId="0" shapeId="0" xr:uid="{00000000-0006-0000-0D00-000003000000}">
      <text>
        <r>
          <rPr>
            <sz val="10"/>
            <color indexed="81"/>
            <rFont val="Tahoma"/>
            <family val="2"/>
          </rPr>
          <t xml:space="preserve">If the Wind or EQ demand is alternatively sourced then return to the Project Demand tab and  select "Other" in the Demand Source drop down box near cell N53.
Place  the source name and alternative demand totals in the relevant cells
</t>
        </r>
      </text>
    </comment>
    <comment ref="M3" authorId="0" shapeId="0" xr:uid="{00000000-0006-0000-0D00-000004000000}">
      <text>
        <r>
          <rPr>
            <sz val="10"/>
            <color indexed="81"/>
            <rFont val="Tahoma"/>
            <family val="2"/>
          </rPr>
          <t xml:space="preserve">This is the Wind Demand for the Along direction at this floor level. 
 Alternatively Sourced Bracing Demands can be manually placed in the Project Demand sheet.
</t>
        </r>
      </text>
    </comment>
    <comment ref="O3" authorId="0" shapeId="0" xr:uid="{00000000-0006-0000-0D00-000005000000}">
      <text>
        <r>
          <rPr>
            <sz val="10"/>
            <color indexed="81"/>
            <rFont val="Tahoma"/>
            <family val="2"/>
          </rPr>
          <t xml:space="preserve">This is the EQ Demand for the Along direction at this floor level.     
Alternatively Sourced Bracing Demands can be manually placed in the Project Demand sheet.
</t>
        </r>
      </text>
    </comment>
    <comment ref="B4" authorId="0" shapeId="0" xr:uid="{00000000-0006-0000-0D00-000006000000}">
      <text>
        <r>
          <rPr>
            <sz val="10"/>
            <color indexed="81"/>
            <rFont val="Tahoma"/>
            <family val="2"/>
          </rPr>
          <t>The Storey Label can be manually changed.   E.g. "Basement"
If changing these default names then...Remember to use a new Template for each new Project</t>
        </r>
      </text>
    </comment>
    <comment ref="L4" authorId="1" shapeId="0" xr:uid="{00000000-0006-0000-0D00-000007000000}">
      <text>
        <r>
          <rPr>
            <sz val="10"/>
            <color indexed="81"/>
            <rFont val="Tahoma"/>
            <family val="2"/>
          </rPr>
          <t>This is the minimum Bu's required for the</t>
        </r>
        <r>
          <rPr>
            <u/>
            <sz val="10"/>
            <color indexed="81"/>
            <rFont val="Tahoma"/>
            <family val="2"/>
          </rPr>
          <t xml:space="preserve"> Wind</t>
        </r>
        <r>
          <rPr>
            <sz val="10"/>
            <color indexed="81"/>
            <rFont val="Tahoma"/>
            <family val="2"/>
          </rPr>
          <t xml:space="preserve"> Demand on the External Bracing lines on either side of the project.
The individual  External Bracing elements ON each line have been labelled (in column 'D')  either  "Top External" or "Bottom External" or "Internal"  to distinguish elements that are on either side of the project or are on internal walls.  (Blank indicates no particular designation) 
The term Top External  or Bottom External  </t>
        </r>
        <r>
          <rPr>
            <u/>
            <sz val="10"/>
            <color indexed="81"/>
            <rFont val="Tahoma"/>
            <family val="2"/>
          </rPr>
          <t xml:space="preserve"> doesn't necessarily</t>
        </r>
        <r>
          <rPr>
            <sz val="10"/>
            <color indexed="81"/>
            <rFont val="Tahoma"/>
            <family val="2"/>
          </rPr>
          <t xml:space="preserve"> literally mean the </t>
        </r>
        <r>
          <rPr>
            <u/>
            <sz val="10"/>
            <color indexed="81"/>
            <rFont val="Tahoma"/>
            <family val="2"/>
          </rPr>
          <t>top</t>
        </r>
        <r>
          <rPr>
            <sz val="10"/>
            <color indexed="81"/>
            <rFont val="Tahoma"/>
            <family val="2"/>
          </rPr>
          <t xml:space="preserve"> side external line or</t>
        </r>
        <r>
          <rPr>
            <u/>
            <sz val="10"/>
            <color indexed="81"/>
            <rFont val="Tahoma"/>
            <family val="2"/>
          </rPr>
          <t xml:space="preserve"> bottom</t>
        </r>
        <r>
          <rPr>
            <sz val="10"/>
            <color indexed="81"/>
            <rFont val="Tahoma"/>
            <family val="2"/>
          </rPr>
          <t xml:space="preserve"> side external line of the floor plan .  It could mean the left external lines or the right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N4" authorId="1" shapeId="0" xr:uid="{00000000-0006-0000-0D00-000008000000}">
      <text>
        <r>
          <rPr>
            <sz val="10"/>
            <color indexed="81"/>
            <rFont val="Tahoma"/>
            <family val="2"/>
          </rPr>
          <t>This is the minimum Bu's required for the</t>
        </r>
        <r>
          <rPr>
            <u/>
            <sz val="10"/>
            <color indexed="81"/>
            <rFont val="Tahoma"/>
            <family val="2"/>
          </rPr>
          <t xml:space="preserve"> Earthquake</t>
        </r>
        <r>
          <rPr>
            <sz val="10"/>
            <color indexed="81"/>
            <rFont val="Tahoma"/>
            <family val="2"/>
          </rPr>
          <t xml:space="preserve"> Demand on the External Bracing lines on either side of the project.
The individual  External Bracing elements ON each line have been labelled (in column 'D')  either  "Left External" or "Right External" or "Internal"  to distinguish elements that are on either side of the project or are on internal walls.  (Blank indicates no particular designation) 
The term Left External  or Right External  </t>
        </r>
        <r>
          <rPr>
            <u/>
            <sz val="10"/>
            <color indexed="81"/>
            <rFont val="Tahoma"/>
            <family val="2"/>
          </rPr>
          <t xml:space="preserve"> doesn't necessarily</t>
        </r>
        <r>
          <rPr>
            <sz val="10"/>
            <color indexed="81"/>
            <rFont val="Tahoma"/>
            <family val="2"/>
          </rPr>
          <t xml:space="preserve"> literally mean the</t>
        </r>
        <r>
          <rPr>
            <u/>
            <sz val="10"/>
            <color indexed="81"/>
            <rFont val="Tahoma"/>
            <family val="2"/>
          </rPr>
          <t xml:space="preserve"> left</t>
        </r>
        <r>
          <rPr>
            <sz val="10"/>
            <color indexed="81"/>
            <rFont val="Tahoma"/>
            <family val="2"/>
          </rPr>
          <t xml:space="preserve"> side external line or</t>
        </r>
        <r>
          <rPr>
            <u/>
            <sz val="10"/>
            <color indexed="81"/>
            <rFont val="Tahoma"/>
            <family val="2"/>
          </rPr>
          <t xml:space="preserve"> right</t>
        </r>
        <r>
          <rPr>
            <sz val="10"/>
            <color indexed="81"/>
            <rFont val="Tahoma"/>
            <family val="2"/>
          </rPr>
          <t xml:space="preserve"> side external line of the floor plan .  It could mean the top external lines or the bottom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B5" authorId="2" shapeId="0" xr:uid="{00000000-0006-0000-0D00-000009000000}">
      <text>
        <r>
          <rPr>
            <sz val="10"/>
            <color indexed="81"/>
            <rFont val="Arial"/>
            <family val="2"/>
          </rPr>
          <t xml:space="preserve">Optionally show distinct Element numbers for the ER1 and ER2 Regular plasterboard fixing codes.  
Not showing them would improve pre-line and post-line procedures.
Show them if it is felt that clarity is required in their position on the bracing plan. </t>
        </r>
        <r>
          <rPr>
            <sz val="9"/>
            <color indexed="81"/>
            <rFont val="Tahoma"/>
            <family val="2"/>
          </rPr>
          <t xml:space="preserve">
</t>
        </r>
      </text>
    </comment>
    <comment ref="L5" authorId="0" shapeId="0" xr:uid="{00000000-0006-0000-0D00-00000A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N5" authorId="0" shapeId="0" xr:uid="{00000000-0006-0000-0D00-00000B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B6" authorId="0" shapeId="0" xr:uid="{00000000-0006-0000-0D00-00000C000000}">
      <text>
        <r>
          <rPr>
            <sz val="10"/>
            <color indexed="81"/>
            <rFont val="Tahoma"/>
            <family val="2"/>
          </rPr>
          <t>These line labels can be manually altered;
If a bracing line has more than 5 elements then repeat the Bracing line label into the next box down. For example , overwrite the "B" in cell B14 with an "A".  This will now allow line "A" to have 10 elements etc.
Remember to use a new Template for each new Project.</t>
        </r>
      </text>
    </comment>
    <comment ref="C6" authorId="0" shapeId="0" xr:uid="{00000000-0006-0000-0D00-00000D000000}">
      <text>
        <r>
          <rPr>
            <sz val="10"/>
            <color indexed="81"/>
            <rFont val="Tahoma"/>
            <family val="2"/>
          </rPr>
          <t>For Regular Plasterboard fixing systems, "ER1" and "ER2" , Element numbers can be optionally indicated.
The Element numbers can be manually altered
Including continuing the number over the next line label for Bracing lines with more than 5 Elements.
Remember to keep an original template</t>
        </r>
      </text>
    </comment>
    <comment ref="D6" authorId="0" shapeId="0" xr:uid="{00000000-0006-0000-0D00-00000E000000}">
      <text>
        <r>
          <rPr>
            <b/>
            <sz val="10"/>
            <color indexed="81"/>
            <rFont val="Tahoma"/>
            <family val="2"/>
          </rPr>
          <t>1.</t>
        </r>
        <r>
          <rPr>
            <sz val="10"/>
            <color indexed="81"/>
            <rFont val="Tahoma"/>
            <family val="2"/>
          </rPr>
          <t xml:space="preserve">   The Terms " Top External",   "Bottom External"  OR  "Left External, Right External"  (in the drop down  boxes  in column 'D')  refer to bracing elements on external walls that are either on one side of the project or on the other side of the project.  This</t>
        </r>
        <r>
          <rPr>
            <u/>
            <sz val="10"/>
            <color indexed="81"/>
            <rFont val="Tahoma"/>
            <family val="2"/>
          </rPr>
          <t xml:space="preserve"> doesn't necessarily</t>
        </r>
        <r>
          <rPr>
            <sz val="10"/>
            <color indexed="81"/>
            <rFont val="Tahoma"/>
            <family val="2"/>
          </rPr>
          <t xml:space="preserve"> literally mean the Top, Bottom , Left or Right  external lines  of the floor plan .  
 (It depends on the plans orientation as you view it.)   
</t>
        </r>
        <r>
          <rPr>
            <b/>
            <sz val="10"/>
            <color indexed="81"/>
            <rFont val="Tahoma"/>
            <family val="2"/>
          </rPr>
          <t xml:space="preserve">2.  </t>
        </r>
        <r>
          <rPr>
            <sz val="10"/>
            <color indexed="81"/>
            <rFont val="Tahoma"/>
            <family val="2"/>
          </rPr>
          <t xml:space="preserve">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They can be on walls that lie near </t>
        </r>
        <r>
          <rPr>
            <u/>
            <sz val="10"/>
            <color indexed="81"/>
            <rFont val="Tahoma"/>
            <family val="2"/>
          </rPr>
          <t>(2m or less</t>
        </r>
        <r>
          <rPr>
            <sz val="10"/>
            <color indexed="81"/>
            <rFont val="Tahoma"/>
            <family val="2"/>
          </rPr>
          <t xml:space="preserve">) and usually parallel to the outside external line.
</t>
        </r>
        <r>
          <rPr>
            <b/>
            <sz val="10"/>
            <color indexed="81"/>
            <rFont val="Tahoma"/>
            <family val="2"/>
          </rPr>
          <t xml:space="preserve">3.   </t>
        </r>
        <r>
          <rPr>
            <sz val="10"/>
            <color indexed="81"/>
            <rFont val="Tahoma"/>
            <family val="2"/>
          </rPr>
          <t>The Elements that are on External Bracing Lines  are summed and compared to the External Bracing Line Required as shown in cells K4 and M4.
A more detailed table below shows the Wind and Earthquake Achieved on external lines on either side of the project.
Note  :  "Internal" indicates an element is on an Internal wall/line of the project.   Blank cell indicates no particular designation.
Altering the drop down box will alter the defaults so...Remember to use a new Template for each new Project</t>
        </r>
      </text>
    </comment>
    <comment ref="E6" authorId="0" shapeId="0" xr:uid="{00000000-0006-0000-0D00-00000F000000}">
      <text>
        <r>
          <rPr>
            <b/>
            <sz val="10"/>
            <color indexed="81"/>
            <rFont val="Tahoma"/>
            <family val="2"/>
          </rPr>
          <t>F</t>
        </r>
        <r>
          <rPr>
            <sz val="10"/>
            <color indexed="81"/>
            <rFont val="Tahoma"/>
            <family val="2"/>
          </rPr>
          <t xml:space="preserve">or Internal Walls,  select "Double Sided"  if both sides can be plasterboard and not be affected by "Wet Area" or other restrictions 
For External Walls select "Double Sided"  if the intention is to use Plywood on the exterior side
Otherwise select "Single Sided" 
No selection assumes Single sided or Double sided systems can be used
</t>
        </r>
      </text>
    </comment>
    <comment ref="F6" authorId="0" shapeId="0" xr:uid="{00000000-0006-0000-0D00-000010000000}">
      <text>
        <r>
          <rPr>
            <sz val="10"/>
            <color indexed="81"/>
            <rFont val="Tahoma"/>
            <family val="2"/>
          </rPr>
          <t xml:space="preserve">It is recommended to use full wall length if available (excluding wall areas with large openings like windows or doors)    Use all available Internal and External walls segments in order to optimise the low cost ER1 and ER2 options.    </t>
        </r>
      </text>
    </comment>
    <comment ref="G6" authorId="3" shapeId="0" xr:uid="{00000000-0006-0000-0D00-000011000000}">
      <text>
        <r>
          <rPr>
            <sz val="10"/>
            <color indexed="81"/>
            <rFont val="Tahoma"/>
            <family val="2"/>
          </rPr>
          <t>For elements whose angles are  &gt;=45 degrees, consider placing same element on the perpendicular bracing lines at an angle (90 degrees - the angle entered)  below.</t>
        </r>
      </text>
    </comment>
    <comment ref="H6" authorId="0" shapeId="0" xr:uid="{00000000-0006-0000-0D00-000012000000}">
      <text>
        <r>
          <rPr>
            <sz val="10"/>
            <color indexed="81"/>
            <rFont val="Tahoma"/>
            <family val="2"/>
          </rPr>
          <t xml:space="preserve">The Element Height is taken from the Internal Stud Height that was entered in the Project Demand Sheet. (Usually the most common internal stud height or the average internal stud height)    This can be manually overwritten.  
If it has been overwritten, the original formula in the cell has been replaced by the number entered and the cell will no longer obtain its value from the internal stud height value that was entered in the Project Demand sheet.  The cell colour will change to orange as a reminder.
To restore the original cell formula either  Copy then Paste </t>
        </r>
        <r>
          <rPr>
            <u/>
            <sz val="10"/>
            <color indexed="81"/>
            <rFont val="Tahoma"/>
            <family val="2"/>
          </rPr>
          <t>(DO NOT</t>
        </r>
        <r>
          <rPr>
            <sz val="10"/>
            <color indexed="81"/>
            <rFont val="Tahoma"/>
            <family val="2"/>
          </rPr>
          <t xml:space="preserve"> Drag and Drop) the formula from an  unchanged cell in column "G" into the overwritten cell;
</t>
        </r>
        <r>
          <rPr>
            <b/>
            <sz val="10"/>
            <color indexed="81"/>
            <rFont val="Tahoma"/>
            <family val="2"/>
          </rPr>
          <t>OR</t>
        </r>
        <r>
          <rPr>
            <sz val="10"/>
            <color indexed="81"/>
            <rFont val="Tahoma"/>
            <family val="2"/>
          </rPr>
          <t xml:space="preserve">
Remember to use a new Template for each new Project.</t>
        </r>
      </text>
    </comment>
    <comment ref="I6" authorId="0" shapeId="0" xr:uid="{00000000-0006-0000-0D00-000013000000}">
      <text>
        <r>
          <rPr>
            <sz val="11"/>
            <color indexed="81"/>
            <rFont val="Tahoma"/>
            <family val="2"/>
          </rPr>
          <t xml:space="preserve">Allow software to suggest the ER1 and ER2 systems 
OR allow the user to select the initial systems.
If allowing the software to suggest, then in the "Available Wall Lengths", is recommended to identify  ALL the wall lengths available in the project. And indicate in column "E" which must be Single sided and which can be double sided .
</t>
        </r>
      </text>
    </comment>
    <comment ref="K6" authorId="3" shapeId="0" xr:uid="{00000000-0006-0000-0D00-000014000000}">
      <text>
        <r>
          <rPr>
            <sz val="10"/>
            <color indexed="81"/>
            <rFont val="Tahoma"/>
            <family val="2"/>
          </rPr>
          <t>The Element Resistance Limitation is set from the options selected in the Project Demand tab at Cell E59.
These defaults can be overridden below.
This is useful when the floor may have part timber or part slab sections.
If the bracing element is situated in a section that is timber floor then Limit the Element Resistance to 120 Bu's.
If the bracing element is situated in a section that is slab floor then Limit the Element Resistance to 150 Bu's.
For Elements that are NOT Foundation Dependent then select "SD".  However specific engineering must ensure that uplift forces generated by elements higher than the default settings can be resisted by the floor framing or slab.
Remember to use a new Template for each new project.</t>
        </r>
      </text>
    </comment>
    <comment ref="I7" authorId="0" shapeId="0" xr:uid="{00000000-0006-0000-0D00-000015000000}">
      <text>
        <r>
          <rPr>
            <sz val="11"/>
            <color indexed="81"/>
            <rFont val="Tahoma"/>
            <family val="2"/>
          </rPr>
          <t xml:space="preserve">Bring the curser to each required cell below, click to activate the drop down box.
Alternatively you can type the System Number directly in the cells below.
</t>
        </r>
      </text>
    </comment>
    <comment ref="AL8" authorId="0" shapeId="0" xr:uid="{00000000-0006-0000-0D00-000016000000}">
      <text>
        <r>
          <rPr>
            <sz val="10"/>
            <color indexed="81"/>
            <rFont val="Tahoma"/>
            <family val="2"/>
          </rPr>
          <t xml:space="preserve">These systems are derived from NZS3604:2011.  
Their performances are not affected by stud  height. 
 However their performances are affected by </t>
        </r>
        <r>
          <rPr>
            <u/>
            <sz val="10"/>
            <color indexed="81"/>
            <rFont val="Tahoma"/>
            <family val="2"/>
          </rPr>
          <t>wall angle</t>
        </r>
        <r>
          <rPr>
            <sz val="10"/>
            <color indexed="81"/>
            <rFont val="Tahoma"/>
            <family val="2"/>
          </rPr>
          <t xml:space="preserve"> (except the Cantilever and Anchor Piles).</t>
        </r>
      </text>
    </comment>
    <comment ref="BM8" authorId="0" shapeId="0" xr:uid="{00000000-0006-0000-0D00-000017000000}">
      <text>
        <r>
          <rPr>
            <b/>
            <sz val="9"/>
            <color indexed="81"/>
            <rFont val="Tahoma"/>
            <family val="2"/>
          </rPr>
          <t xml:space="preserve"> :</t>
        </r>
        <r>
          <rPr>
            <sz val="9"/>
            <color indexed="81"/>
            <rFont val="Tahoma"/>
            <family val="2"/>
          </rPr>
          <t xml:space="preserve">
This cannot be cleared or be a zero</t>
        </r>
      </text>
    </comment>
    <comment ref="BM9" authorId="0" shapeId="0" xr:uid="{00000000-0006-0000-0D00-000018000000}">
      <text>
        <r>
          <rPr>
            <b/>
            <sz val="9"/>
            <color indexed="81"/>
            <rFont val="Tahoma"/>
            <family val="2"/>
          </rPr>
          <t xml:space="preserve"> :</t>
        </r>
        <r>
          <rPr>
            <sz val="9"/>
            <color indexed="81"/>
            <rFont val="Tahoma"/>
            <family val="2"/>
          </rPr>
          <t xml:space="preserve">
These are important</t>
        </r>
      </text>
    </comment>
    <comment ref="CH9" authorId="0" shapeId="0" xr:uid="{00000000-0006-0000-0D00-000019000000}">
      <text>
        <r>
          <rPr>
            <b/>
            <sz val="9"/>
            <color indexed="81"/>
            <rFont val="Tahoma"/>
            <family val="2"/>
          </rPr>
          <t xml:space="preserve"> :</t>
        </r>
        <r>
          <rPr>
            <sz val="9"/>
            <color indexed="81"/>
            <rFont val="Tahoma"/>
            <family val="2"/>
          </rPr>
          <t xml:space="preserve">
These are really fucking important</t>
        </r>
      </text>
    </comment>
    <comment ref="E13" authorId="0" shapeId="0" xr:uid="{00000000-0006-0000-0D00-00001A000000}">
      <text>
        <r>
          <rPr>
            <b/>
            <sz val="8"/>
            <color indexed="81"/>
            <rFont val="Tahoma"/>
            <family val="2"/>
          </rPr>
          <t>Comments can be entered in these field</t>
        </r>
      </text>
    </comment>
    <comment ref="L13" authorId="0" shapeId="0" xr:uid="{00000000-0006-0000-0D00-00001B000000}">
      <text>
        <r>
          <rPr>
            <sz val="9"/>
            <color indexed="81"/>
            <rFont val="Tahoma"/>
            <family val="2"/>
          </rPr>
          <t>Minimum Bu's per line can be manually placed in these fields when required to over ride the software's calculated minimum line requirement detailed in cells L5 or N5</t>
        </r>
      </text>
    </comment>
    <comment ref="N13" authorId="0" shapeId="0" xr:uid="{00000000-0006-0000-0D00-00001C000000}">
      <text>
        <r>
          <rPr>
            <sz val="9"/>
            <color indexed="81"/>
            <rFont val="Tahoma"/>
            <family val="2"/>
          </rPr>
          <t>Minimum Bu's per line can be manually placed in these fields when required to over ride the software's calculated minimum line requirement detailed in cells L5 or N5</t>
        </r>
      </text>
    </comment>
    <comment ref="Q13" authorId="0" shapeId="0" xr:uid="{00000000-0006-0000-0D00-00001D000000}">
      <text>
        <r>
          <rPr>
            <sz val="10"/>
            <color indexed="81"/>
            <rFont val="Tahoma"/>
            <family val="2"/>
          </rPr>
          <t>The "Achieved &lt; Min Req per line" comment only needs to be resolved once all the intended bracing lines to be used have at least one element in them.</t>
        </r>
      </text>
    </comment>
    <comment ref="E19" authorId="0" shapeId="0" xr:uid="{00000000-0006-0000-0D00-00001E000000}">
      <text>
        <r>
          <rPr>
            <b/>
            <sz val="8"/>
            <color indexed="81"/>
            <rFont val="Tahoma"/>
            <family val="2"/>
          </rPr>
          <t>Comments can be entered in these field</t>
        </r>
      </text>
    </comment>
    <comment ref="L19" authorId="0" shapeId="0" xr:uid="{00000000-0006-0000-0D00-00001F000000}">
      <text>
        <r>
          <rPr>
            <sz val="9"/>
            <color indexed="81"/>
            <rFont val="Tahoma"/>
            <family val="2"/>
          </rPr>
          <t>Minimum Bu's per line can be manually placed in these fields when required to over ride the software's calculated minimum line requirement detailed in cells L5 or N5</t>
        </r>
      </text>
    </comment>
    <comment ref="N19" authorId="0" shapeId="0" xr:uid="{00000000-0006-0000-0D00-000020000000}">
      <text>
        <r>
          <rPr>
            <sz val="9"/>
            <color indexed="81"/>
            <rFont val="Tahoma"/>
            <family val="2"/>
          </rPr>
          <t>Minimum Bu's per line can be manually placed in these fields when required to over ride the software's calculated minimum line requirement detailed in cells L5 or N5</t>
        </r>
      </text>
    </comment>
    <comment ref="Q19" authorId="0" shapeId="0" xr:uid="{00000000-0006-0000-0D00-000021000000}">
      <text>
        <r>
          <rPr>
            <sz val="10"/>
            <color indexed="81"/>
            <rFont val="Tahoma"/>
            <family val="2"/>
          </rPr>
          <t>The "Achieved &lt; Min Req per line" comment only needs to be resolved once all the intended bracing lines to be used have at least one element in them.</t>
        </r>
      </text>
    </comment>
    <comment ref="E25" authorId="0" shapeId="0" xr:uid="{00000000-0006-0000-0D00-000022000000}">
      <text>
        <r>
          <rPr>
            <b/>
            <sz val="8"/>
            <color indexed="81"/>
            <rFont val="Tahoma"/>
            <family val="2"/>
          </rPr>
          <t>Comments can be entered in these field</t>
        </r>
      </text>
    </comment>
    <comment ref="L25" authorId="0" shapeId="0" xr:uid="{00000000-0006-0000-0D00-000023000000}">
      <text>
        <r>
          <rPr>
            <sz val="9"/>
            <color indexed="81"/>
            <rFont val="Tahoma"/>
            <family val="2"/>
          </rPr>
          <t>Minimum Bu's per line can be manually placed in these fields when required to over ride the software's calculated minimum line requirement detailed in cells L5 or N5</t>
        </r>
      </text>
    </comment>
    <comment ref="N25" authorId="0" shapeId="0" xr:uid="{00000000-0006-0000-0D00-000024000000}">
      <text>
        <r>
          <rPr>
            <sz val="9"/>
            <color indexed="81"/>
            <rFont val="Tahoma"/>
            <family val="2"/>
          </rPr>
          <t>Minimum Bu's per line can be manually placed in these fields when required to over ride the software's calculated minimum line requirement detailed in cells L5 or N5</t>
        </r>
      </text>
    </comment>
    <comment ref="Q25" authorId="0" shapeId="0" xr:uid="{00000000-0006-0000-0D00-000025000000}">
      <text>
        <r>
          <rPr>
            <sz val="10"/>
            <color indexed="81"/>
            <rFont val="Tahoma"/>
            <family val="2"/>
          </rPr>
          <t>The "Achieved &lt; Min Req per line" comment only needs to be resolved once all the intended bracing lines to be used have at least one element in them.</t>
        </r>
      </text>
    </comment>
    <comment ref="E31" authorId="0" shapeId="0" xr:uid="{00000000-0006-0000-0D00-000026000000}">
      <text>
        <r>
          <rPr>
            <b/>
            <sz val="8"/>
            <color indexed="81"/>
            <rFont val="Tahoma"/>
            <family val="2"/>
          </rPr>
          <t>Comments can be entered in these field</t>
        </r>
      </text>
    </comment>
    <comment ref="L31" authorId="0" shapeId="0" xr:uid="{00000000-0006-0000-0D00-000027000000}">
      <text>
        <r>
          <rPr>
            <sz val="9"/>
            <color indexed="81"/>
            <rFont val="Tahoma"/>
            <family val="2"/>
          </rPr>
          <t>Minimum Bu's per line can be manually placed in these fields when required to over ride the software's calculated minimum line requirement detailed in cells L5 or N5</t>
        </r>
      </text>
    </comment>
    <comment ref="N31" authorId="0" shapeId="0" xr:uid="{00000000-0006-0000-0D00-000028000000}">
      <text>
        <r>
          <rPr>
            <sz val="9"/>
            <color indexed="81"/>
            <rFont val="Tahoma"/>
            <family val="2"/>
          </rPr>
          <t>Minimum Bu's per line can be manually placed in these fields when required to over ride the software's calculated minimum line requirement detailed in cells L5 or N5</t>
        </r>
      </text>
    </comment>
    <comment ref="Q31" authorId="0" shapeId="0" xr:uid="{00000000-0006-0000-0D00-000029000000}">
      <text>
        <r>
          <rPr>
            <sz val="10"/>
            <color indexed="81"/>
            <rFont val="Tahoma"/>
            <family val="2"/>
          </rPr>
          <t>The "Achieved &lt; Min Req per line" comment only needs to be resolved once all the intended bracing lines to be used have at least one element in them.</t>
        </r>
      </text>
    </comment>
    <comment ref="E37" authorId="0" shapeId="0" xr:uid="{00000000-0006-0000-0D00-00002A000000}">
      <text>
        <r>
          <rPr>
            <b/>
            <sz val="8"/>
            <color indexed="81"/>
            <rFont val="Tahoma"/>
            <family val="2"/>
          </rPr>
          <t>Comments can be entered in these field</t>
        </r>
      </text>
    </comment>
    <comment ref="L37" authorId="0" shapeId="0" xr:uid="{00000000-0006-0000-0D00-00002B000000}">
      <text>
        <r>
          <rPr>
            <sz val="9"/>
            <color indexed="81"/>
            <rFont val="Tahoma"/>
            <family val="2"/>
          </rPr>
          <t>Minimum Bu's per line can be manually placed in these fields when required to over ride the software's calculated minimum line requirement detailed in cells L5 or N5</t>
        </r>
      </text>
    </comment>
    <comment ref="N37" authorId="0" shapeId="0" xr:uid="{00000000-0006-0000-0D00-00002C000000}">
      <text>
        <r>
          <rPr>
            <sz val="9"/>
            <color indexed="81"/>
            <rFont val="Tahoma"/>
            <family val="2"/>
          </rPr>
          <t>Minimum Bu's per line can be manually placed in these fields when required to over ride the software's calculated minimum line requirement detailed in cells L5 or N5</t>
        </r>
      </text>
    </comment>
    <comment ref="Q37" authorId="0" shapeId="0" xr:uid="{00000000-0006-0000-0D00-00002D000000}">
      <text>
        <r>
          <rPr>
            <sz val="10"/>
            <color indexed="81"/>
            <rFont val="Tahoma"/>
            <family val="2"/>
          </rPr>
          <t>The "Achieved &lt; Min Req per line" comment only needs to be resolved once all the intended bracing lines to be used have at least one element in them.</t>
        </r>
      </text>
    </comment>
    <comment ref="E43" authorId="0" shapeId="0" xr:uid="{00000000-0006-0000-0D00-00002E000000}">
      <text>
        <r>
          <rPr>
            <b/>
            <sz val="8"/>
            <color indexed="81"/>
            <rFont val="Tahoma"/>
            <family val="2"/>
          </rPr>
          <t>Comments can be entered in these field</t>
        </r>
      </text>
    </comment>
    <comment ref="L43" authorId="0" shapeId="0" xr:uid="{00000000-0006-0000-0D00-00002F000000}">
      <text>
        <r>
          <rPr>
            <sz val="9"/>
            <color indexed="81"/>
            <rFont val="Tahoma"/>
            <family val="2"/>
          </rPr>
          <t>Minimum Bu's per line can be manually placed in these fields when required to over ride the software's calculated minimum line requirement detailed in cells L5 or N5</t>
        </r>
      </text>
    </comment>
    <comment ref="N43" authorId="0" shapeId="0" xr:uid="{00000000-0006-0000-0D00-000030000000}">
      <text>
        <r>
          <rPr>
            <sz val="9"/>
            <color indexed="81"/>
            <rFont val="Tahoma"/>
            <family val="2"/>
          </rPr>
          <t>Minimum Bu's per line can be manually placed in these fields when required to over ride the software's calculated minimum line requirement detailed in cells L5 or N5</t>
        </r>
      </text>
    </comment>
    <comment ref="Q43" authorId="0" shapeId="0" xr:uid="{00000000-0006-0000-0D00-000031000000}">
      <text>
        <r>
          <rPr>
            <sz val="10"/>
            <color indexed="81"/>
            <rFont val="Tahoma"/>
            <family val="2"/>
          </rPr>
          <t>The "Achieved &lt; Min Req per line" comment only needs to be resolved once all the intended bracing lines to be used have at least one element in them.</t>
        </r>
      </text>
    </comment>
    <comment ref="AK45" authorId="0" shapeId="0" xr:uid="{00000000-0006-0000-0D00-000032000000}">
      <text>
        <r>
          <rPr>
            <sz val="12"/>
            <color indexed="81"/>
            <rFont val="Tahoma"/>
            <family val="2"/>
          </rPr>
          <t xml:space="preserve">To enter "Custom Elements" go to the "Customs Elements tab below  </t>
        </r>
        <r>
          <rPr>
            <sz val="12"/>
            <color indexed="10"/>
            <rFont val="Tahoma"/>
            <family val="2"/>
          </rPr>
          <t>(to the right of the "Project Demand" tab)</t>
        </r>
        <r>
          <rPr>
            <sz val="12"/>
            <color indexed="81"/>
            <rFont val="Tahoma"/>
            <family val="2"/>
          </rPr>
          <t>.   
 Enter Custom Elements there and these will show up in ALL the solution sheets</t>
        </r>
      </text>
    </comment>
    <comment ref="E49" authorId="0" shapeId="0" xr:uid="{00000000-0006-0000-0D00-000033000000}">
      <text>
        <r>
          <rPr>
            <b/>
            <sz val="8"/>
            <color indexed="81"/>
            <rFont val="Tahoma"/>
            <family val="2"/>
          </rPr>
          <t>Comments can be entered in these field</t>
        </r>
      </text>
    </comment>
    <comment ref="L49" authorId="0" shapeId="0" xr:uid="{00000000-0006-0000-0D00-000034000000}">
      <text>
        <r>
          <rPr>
            <sz val="9"/>
            <color indexed="81"/>
            <rFont val="Tahoma"/>
            <family val="2"/>
          </rPr>
          <t>Minimum Bu's per line can be manually placed in these fields when required to over ride the software's calculated minimum line requirement detailed in cells L5 or N5</t>
        </r>
      </text>
    </comment>
    <comment ref="N49" authorId="0" shapeId="0" xr:uid="{00000000-0006-0000-0D00-000035000000}">
      <text>
        <r>
          <rPr>
            <sz val="9"/>
            <color indexed="81"/>
            <rFont val="Tahoma"/>
            <family val="2"/>
          </rPr>
          <t>Minimum Bu's per line can be manually placed in these fields when required to over ride the software's calculated minimum line requirement detailed in cells L5 or N5</t>
        </r>
      </text>
    </comment>
    <comment ref="Q49" authorId="0" shapeId="0" xr:uid="{00000000-0006-0000-0D00-000036000000}">
      <text>
        <r>
          <rPr>
            <sz val="10"/>
            <color indexed="81"/>
            <rFont val="Tahoma"/>
            <family val="2"/>
          </rPr>
          <t>The "Achieved &lt; Min Req per line" comment only needs to be resolved once all the intended bracing lines to be used have at least one element in them.</t>
        </r>
      </text>
    </comment>
    <comment ref="E55" authorId="0" shapeId="0" xr:uid="{00000000-0006-0000-0D00-000037000000}">
      <text>
        <r>
          <rPr>
            <b/>
            <sz val="8"/>
            <color indexed="81"/>
            <rFont val="Tahoma"/>
            <family val="2"/>
          </rPr>
          <t>Comments can be entered in these field</t>
        </r>
      </text>
    </comment>
    <comment ref="L55" authorId="0" shapeId="0" xr:uid="{00000000-0006-0000-0D00-000038000000}">
      <text>
        <r>
          <rPr>
            <sz val="9"/>
            <color indexed="81"/>
            <rFont val="Tahoma"/>
            <family val="2"/>
          </rPr>
          <t>Minimum Bu's per line can be manually placed in these fields when required to over ride the software's calculated minimum line requirement detailed in cells L5 or N5</t>
        </r>
      </text>
    </comment>
    <comment ref="N55" authorId="0" shapeId="0" xr:uid="{00000000-0006-0000-0D00-000039000000}">
      <text>
        <r>
          <rPr>
            <sz val="9"/>
            <color indexed="81"/>
            <rFont val="Tahoma"/>
            <family val="2"/>
          </rPr>
          <t>Minimum Bu's per line can be manually placed in these fields when required to over ride the software's calculated minimum line requirement detailed in cells L5 or N5</t>
        </r>
      </text>
    </comment>
    <comment ref="Q55" authorId="0" shapeId="0" xr:uid="{00000000-0006-0000-0D00-00003A000000}">
      <text>
        <r>
          <rPr>
            <sz val="10"/>
            <color indexed="81"/>
            <rFont val="Tahoma"/>
            <family val="2"/>
          </rPr>
          <t>The "Achieved &lt; Min Req per line" comment only needs to be resolved once all the intended bracing lines to be used have at least one element in them.</t>
        </r>
      </text>
    </comment>
    <comment ref="E61" authorId="0" shapeId="0" xr:uid="{00000000-0006-0000-0D00-00003B000000}">
      <text>
        <r>
          <rPr>
            <b/>
            <sz val="8"/>
            <color indexed="81"/>
            <rFont val="Tahoma"/>
            <family val="2"/>
          </rPr>
          <t>Comments can be entered in these field</t>
        </r>
      </text>
    </comment>
    <comment ref="L61" authorId="0" shapeId="0" xr:uid="{00000000-0006-0000-0D00-00003C000000}">
      <text>
        <r>
          <rPr>
            <sz val="9"/>
            <color indexed="81"/>
            <rFont val="Tahoma"/>
            <family val="2"/>
          </rPr>
          <t>Minimum Bu's per line can be manually placed in these fields when required to over ride the software's calculated minimum line requirement detailed in cells L5 or N5</t>
        </r>
      </text>
    </comment>
    <comment ref="N61" authorId="0" shapeId="0" xr:uid="{00000000-0006-0000-0D00-00003D000000}">
      <text>
        <r>
          <rPr>
            <sz val="9"/>
            <color indexed="81"/>
            <rFont val="Tahoma"/>
            <family val="2"/>
          </rPr>
          <t>Minimum Bu's per line can be manually placed in these fields when required to over ride the software's calculated minimum line requirement detailed in cells L5 or N5</t>
        </r>
      </text>
    </comment>
    <comment ref="Q61" authorId="0" shapeId="0" xr:uid="{00000000-0006-0000-0D00-00003E000000}">
      <text>
        <r>
          <rPr>
            <sz val="10"/>
            <color indexed="81"/>
            <rFont val="Tahoma"/>
            <family val="2"/>
          </rPr>
          <t>The "Achieved &lt; Min Req per line" comment only needs to be resolved once all the intended bracing lines to be used have at least one element in them.</t>
        </r>
      </text>
    </comment>
    <comment ref="BV61" authorId="0" shapeId="0" xr:uid="{00000000-0006-0000-0D00-00003F000000}">
      <text>
        <r>
          <rPr>
            <b/>
            <sz val="9"/>
            <color indexed="81"/>
            <rFont val="Tahoma"/>
            <family val="2"/>
          </rPr>
          <t>This is important</t>
        </r>
      </text>
    </comment>
    <comment ref="BW61" authorId="0" shapeId="0" xr:uid="{00000000-0006-0000-0D00-000040000000}">
      <text>
        <r>
          <rPr>
            <b/>
            <sz val="9"/>
            <color indexed="81"/>
            <rFont val="Tahoma"/>
            <family val="2"/>
          </rPr>
          <t>This is important</t>
        </r>
      </text>
    </comment>
    <comment ref="E67" authorId="0" shapeId="0" xr:uid="{00000000-0006-0000-0D00-000041000000}">
      <text>
        <r>
          <rPr>
            <b/>
            <sz val="8"/>
            <color indexed="81"/>
            <rFont val="Tahoma"/>
            <family val="2"/>
          </rPr>
          <t>Comments can be entered in these field</t>
        </r>
      </text>
    </comment>
    <comment ref="L67" authorId="0" shapeId="0" xr:uid="{00000000-0006-0000-0D00-000042000000}">
      <text>
        <r>
          <rPr>
            <sz val="9"/>
            <color indexed="81"/>
            <rFont val="Tahoma"/>
            <family val="2"/>
          </rPr>
          <t>Minimum Bu's per line can be manually placed in these fields when required to over ride the software's calculated minimum line requirement detailed in cells L5 or N5</t>
        </r>
      </text>
    </comment>
    <comment ref="N67" authorId="0" shapeId="0" xr:uid="{00000000-0006-0000-0D00-000043000000}">
      <text>
        <r>
          <rPr>
            <sz val="9"/>
            <color indexed="81"/>
            <rFont val="Tahoma"/>
            <family val="2"/>
          </rPr>
          <t>Minimum Bu's per line can be manually placed in these fields when required to over ride the software's calculated minimum line requirement detailed in cells L5 or N5</t>
        </r>
      </text>
    </comment>
    <comment ref="Q67" authorId="0" shapeId="0" xr:uid="{00000000-0006-0000-0D00-000044000000}">
      <text>
        <r>
          <rPr>
            <sz val="10"/>
            <color indexed="81"/>
            <rFont val="Tahoma"/>
            <family val="2"/>
          </rPr>
          <t>The "Achieved &lt; Min Req per line" comment only needs to be resolved once all the intended bracing lines to be used have at least one element in them.</t>
        </r>
      </text>
    </comment>
    <comment ref="E73" authorId="0" shapeId="0" xr:uid="{00000000-0006-0000-0D00-000045000000}">
      <text>
        <r>
          <rPr>
            <b/>
            <sz val="8"/>
            <color indexed="81"/>
            <rFont val="Tahoma"/>
            <family val="2"/>
          </rPr>
          <t>Comments can be entered in these field</t>
        </r>
      </text>
    </comment>
    <comment ref="L73" authorId="0" shapeId="0" xr:uid="{00000000-0006-0000-0D00-000046000000}">
      <text>
        <r>
          <rPr>
            <sz val="9"/>
            <color indexed="81"/>
            <rFont val="Tahoma"/>
            <family val="2"/>
          </rPr>
          <t>Minimum Bu's per line can be manually placed in these fields when required to over ride the software's calculated minimum line requirement detailed in cells L5 or N5</t>
        </r>
      </text>
    </comment>
    <comment ref="N73" authorId="0" shapeId="0" xr:uid="{00000000-0006-0000-0D00-000047000000}">
      <text>
        <r>
          <rPr>
            <sz val="9"/>
            <color indexed="81"/>
            <rFont val="Tahoma"/>
            <family val="2"/>
          </rPr>
          <t>Minimum Bu's per line can be manually placed in these fields when required to over ride the software's calculated minimum line requirement detailed in cells L5 or N5</t>
        </r>
      </text>
    </comment>
    <comment ref="Q73" authorId="0" shapeId="0" xr:uid="{00000000-0006-0000-0D00-000048000000}">
      <text>
        <r>
          <rPr>
            <sz val="10"/>
            <color indexed="81"/>
            <rFont val="Tahoma"/>
            <family val="2"/>
          </rPr>
          <t>The "Achieved &lt; Min Req per line" comment only needs to be resolved once all the intended bracing lines to be used have at least one element in them.</t>
        </r>
      </text>
    </comment>
    <comment ref="E79" authorId="0" shapeId="0" xr:uid="{00000000-0006-0000-0D00-000049000000}">
      <text>
        <r>
          <rPr>
            <b/>
            <sz val="8"/>
            <color indexed="81"/>
            <rFont val="Tahoma"/>
            <family val="2"/>
          </rPr>
          <t>Comments can be entered in these field</t>
        </r>
      </text>
    </comment>
    <comment ref="L79" authorId="0" shapeId="0" xr:uid="{00000000-0006-0000-0D00-00004A000000}">
      <text>
        <r>
          <rPr>
            <sz val="9"/>
            <color indexed="81"/>
            <rFont val="Tahoma"/>
            <family val="2"/>
          </rPr>
          <t>Minimum Bu's per line can be manually placed in these fields when required to over ride the software's calculated minimum line requirement detailed in cells L5 or N5</t>
        </r>
      </text>
    </comment>
    <comment ref="N79" authorId="0" shapeId="0" xr:uid="{00000000-0006-0000-0D00-00004B000000}">
      <text>
        <r>
          <rPr>
            <sz val="9"/>
            <color indexed="81"/>
            <rFont val="Tahoma"/>
            <family val="2"/>
          </rPr>
          <t>Minimum Bu's per line can be manually placed in these fields when required to over ride the software's calculated minimum line requirement detailed in cells L5 or N5</t>
        </r>
      </text>
    </comment>
    <comment ref="Q79" authorId="0" shapeId="0" xr:uid="{00000000-0006-0000-0D00-00004C000000}">
      <text>
        <r>
          <rPr>
            <sz val="10"/>
            <color indexed="81"/>
            <rFont val="Tahoma"/>
            <family val="2"/>
          </rPr>
          <t>The "Achieved &lt; Min Req per line" comment only needs to be resolved once all the intended bracing lines to be used have at least one element in them.</t>
        </r>
      </text>
    </comment>
    <comment ref="M82" authorId="0" shapeId="0" xr:uid="{00000000-0006-0000-0D00-00004D000000}">
      <text>
        <r>
          <rPr>
            <sz val="10"/>
            <color indexed="81"/>
            <rFont val="Tahoma"/>
            <family val="2"/>
          </rPr>
          <t xml:space="preserve">Alternatively Sourced Bracing Demands can be manually placed in the Project Demand sheet.
</t>
        </r>
      </text>
    </comment>
    <comment ref="O82" authorId="0" shapeId="0" xr:uid="{00000000-0006-0000-0D00-00004E000000}">
      <text>
        <r>
          <rPr>
            <sz val="10"/>
            <color indexed="81"/>
            <rFont val="Tahoma"/>
            <family val="2"/>
          </rPr>
          <t xml:space="preserve">Alternatively Sourced Bracing Demands can be manually placed in the Project Demand sheet.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Ernst</author>
    <author>Kevin Van Hest</author>
    <author>manager</author>
  </authors>
  <commentList>
    <comment ref="Q2" authorId="0" shapeId="0" xr:uid="{00000000-0006-0000-0E00-000001000000}">
      <text>
        <r>
          <rPr>
            <sz val="10"/>
            <color indexed="81"/>
            <rFont val="Tahoma"/>
            <family val="2"/>
          </rPr>
          <t xml:space="preserve">Several types of suggestions and warnings appear in this column.
For Example:
If the system EMPH is chosen  (Multiboard on one side and Plywood on the either)  
    If the comment:  " ESPH provides same result in WIND " appears it means that the Wind performance of the ESPH bracing system is the same as EMPH  bracing system that was chosen.
    If the comment:   "ESPH provides the same results"" appears it means that BOTH the Wind AND the Earthquake performance of the ESPH bracing system is the same as EMPH bracing system that was chosen.
</t>
        </r>
      </text>
    </comment>
    <comment ref="B3" authorId="0" shapeId="0" xr:uid="{00000000-0006-0000-0E00-000002000000}">
      <text>
        <r>
          <rPr>
            <sz val="10"/>
            <color indexed="81"/>
            <rFont val="Tahoma"/>
            <family val="2"/>
          </rPr>
          <t>These labels can be manually changed.  e.g. "North-South"</t>
        </r>
        <r>
          <rPr>
            <b/>
            <sz val="8"/>
            <color indexed="81"/>
            <rFont val="Tahoma"/>
            <family val="2"/>
          </rPr>
          <t xml:space="preserve">
</t>
        </r>
        <r>
          <rPr>
            <sz val="10"/>
            <color indexed="81"/>
            <rFont val="Tahoma"/>
            <family val="2"/>
          </rPr>
          <t>If changing these default names ..Remember to use a new Template for each new Project.</t>
        </r>
      </text>
    </comment>
    <comment ref="I3" authorId="0" shapeId="0" xr:uid="{00000000-0006-0000-0E00-000003000000}">
      <text>
        <r>
          <rPr>
            <sz val="10"/>
            <color indexed="81"/>
            <rFont val="Tahoma"/>
            <family val="2"/>
          </rPr>
          <t xml:space="preserve">If the Wind or EQ demand is alternatively sourced then return to the Project Demand tab and  select "Other" in the Demand Source drop down box near cell N53.
Place  the source name and alternative demand totals in the relevant cells
</t>
        </r>
      </text>
    </comment>
    <comment ref="M3" authorId="0" shapeId="0" xr:uid="{00000000-0006-0000-0E00-000004000000}">
      <text>
        <r>
          <rPr>
            <sz val="10"/>
            <color indexed="81"/>
            <rFont val="Tahoma"/>
            <family val="2"/>
          </rPr>
          <t xml:space="preserve">This is the Wind Demand for the Across direction at this floor level. 
 Alternatively Sourced Bracing Demands can be manually placed in the Project Demand sheet.
</t>
        </r>
      </text>
    </comment>
    <comment ref="O3" authorId="0" shapeId="0" xr:uid="{00000000-0006-0000-0E00-000005000000}">
      <text>
        <r>
          <rPr>
            <sz val="10"/>
            <color indexed="81"/>
            <rFont val="Tahoma"/>
            <family val="2"/>
          </rPr>
          <t xml:space="preserve">This is the EQ Demand for the Across direction at this floor level.     
Alternatively Sourced Bracing Demands can be manually placed in the Project Demand sheet.
</t>
        </r>
      </text>
    </comment>
    <comment ref="B4" authorId="0" shapeId="0" xr:uid="{00000000-0006-0000-0E00-000006000000}">
      <text>
        <r>
          <rPr>
            <sz val="10"/>
            <color indexed="81"/>
            <rFont val="Tahoma"/>
            <family val="2"/>
          </rPr>
          <t>The Storey Label can be manually changed.   E.g. "Basement"
If changing these default names then...Remember to use a new Template for each new Project</t>
        </r>
      </text>
    </comment>
    <comment ref="L4" authorId="1" shapeId="0" xr:uid="{00000000-0006-0000-0E00-000007000000}">
      <text>
        <r>
          <rPr>
            <sz val="10"/>
            <color indexed="81"/>
            <rFont val="Tahoma"/>
            <family val="2"/>
          </rPr>
          <t>This is the minimum Bu's required for the</t>
        </r>
        <r>
          <rPr>
            <u/>
            <sz val="10"/>
            <color indexed="81"/>
            <rFont val="Tahoma"/>
            <family val="2"/>
          </rPr>
          <t xml:space="preserve"> Wind</t>
        </r>
        <r>
          <rPr>
            <sz val="10"/>
            <color indexed="81"/>
            <rFont val="Tahoma"/>
            <family val="2"/>
          </rPr>
          <t xml:space="preserve"> Demand on the External Bracing lines on either side of the project.
The individual  External Bracing elements ON each line have been labelled (in column 'D')  either  "Top External" or "Bottom External" or "Internal"  to distinguish elements that are on either side of the project or are on internal walls.  (Blank indicates no particular designation) 
The term Top External  or Bottom External  </t>
        </r>
        <r>
          <rPr>
            <u/>
            <sz val="10"/>
            <color indexed="81"/>
            <rFont val="Tahoma"/>
            <family val="2"/>
          </rPr>
          <t xml:space="preserve"> doesn't necessarily</t>
        </r>
        <r>
          <rPr>
            <sz val="10"/>
            <color indexed="81"/>
            <rFont val="Tahoma"/>
            <family val="2"/>
          </rPr>
          <t xml:space="preserve"> literally mean the </t>
        </r>
        <r>
          <rPr>
            <u/>
            <sz val="10"/>
            <color indexed="81"/>
            <rFont val="Tahoma"/>
            <family val="2"/>
          </rPr>
          <t>top</t>
        </r>
        <r>
          <rPr>
            <sz val="10"/>
            <color indexed="81"/>
            <rFont val="Tahoma"/>
            <family val="2"/>
          </rPr>
          <t xml:space="preserve"> side external line or</t>
        </r>
        <r>
          <rPr>
            <u/>
            <sz val="10"/>
            <color indexed="81"/>
            <rFont val="Tahoma"/>
            <family val="2"/>
          </rPr>
          <t xml:space="preserve"> bottom</t>
        </r>
        <r>
          <rPr>
            <sz val="10"/>
            <color indexed="81"/>
            <rFont val="Tahoma"/>
            <family val="2"/>
          </rPr>
          <t xml:space="preserve"> side external line of the floor plan .  It could mean the left external lines or the right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N4" authorId="1" shapeId="0" xr:uid="{00000000-0006-0000-0E00-000008000000}">
      <text>
        <r>
          <rPr>
            <sz val="10"/>
            <color indexed="81"/>
            <rFont val="Tahoma"/>
            <family val="2"/>
          </rPr>
          <t>This is the minimum Bu's required for the</t>
        </r>
        <r>
          <rPr>
            <u/>
            <sz val="10"/>
            <color indexed="81"/>
            <rFont val="Tahoma"/>
            <family val="2"/>
          </rPr>
          <t xml:space="preserve"> Earthquake</t>
        </r>
        <r>
          <rPr>
            <sz val="10"/>
            <color indexed="81"/>
            <rFont val="Tahoma"/>
            <family val="2"/>
          </rPr>
          <t xml:space="preserve"> Demand on the External Bracing lines on either side of the project.
The individual  External Bracing elements ON each line have been labelled (in column 'D')  either  "Top External" or "Bottom External" or "Internal"  to distinguish elements that are on either side of the project or are on internal walls.  (Blank indicates no particular designation) 
The term Top External  or Bottom External  </t>
        </r>
        <r>
          <rPr>
            <u/>
            <sz val="10"/>
            <color indexed="81"/>
            <rFont val="Tahoma"/>
            <family val="2"/>
          </rPr>
          <t xml:space="preserve"> doesn't necessarily</t>
        </r>
        <r>
          <rPr>
            <sz val="10"/>
            <color indexed="81"/>
            <rFont val="Tahoma"/>
            <family val="2"/>
          </rPr>
          <t xml:space="preserve"> literally mean the </t>
        </r>
        <r>
          <rPr>
            <u/>
            <sz val="10"/>
            <color indexed="81"/>
            <rFont val="Tahoma"/>
            <family val="2"/>
          </rPr>
          <t>top</t>
        </r>
        <r>
          <rPr>
            <sz val="10"/>
            <color indexed="81"/>
            <rFont val="Tahoma"/>
            <family val="2"/>
          </rPr>
          <t xml:space="preserve"> side external line or</t>
        </r>
        <r>
          <rPr>
            <u/>
            <sz val="10"/>
            <color indexed="81"/>
            <rFont val="Tahoma"/>
            <family val="2"/>
          </rPr>
          <t xml:space="preserve"> bottom</t>
        </r>
        <r>
          <rPr>
            <sz val="10"/>
            <color indexed="81"/>
            <rFont val="Tahoma"/>
            <family val="2"/>
          </rPr>
          <t xml:space="preserve"> side external line of the floor plan .  It could mean the left external lines or the right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B5" authorId="2" shapeId="0" xr:uid="{00000000-0006-0000-0E00-000009000000}">
      <text>
        <r>
          <rPr>
            <sz val="10"/>
            <color indexed="81"/>
            <rFont val="Arial"/>
            <family val="2"/>
          </rPr>
          <t xml:space="preserve">Optionally show distinct Element numbers for the ER1 and ER2 Regular plasterboard fixing codes.  
Not showing them would improve pre-line and post-line procedures.
Show them if it is felt that clarity is required in their position on the bracing plan. </t>
        </r>
        <r>
          <rPr>
            <sz val="9"/>
            <color indexed="81"/>
            <rFont val="Tahoma"/>
            <family val="2"/>
          </rPr>
          <t xml:space="preserve">
</t>
        </r>
      </text>
    </comment>
    <comment ref="L5" authorId="0" shapeId="0" xr:uid="{00000000-0006-0000-0E00-00000A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N5" authorId="0" shapeId="0" xr:uid="{00000000-0006-0000-0E00-00000B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B6" authorId="0" shapeId="0" xr:uid="{00000000-0006-0000-0E00-00000C000000}">
      <text>
        <r>
          <rPr>
            <sz val="10"/>
            <color indexed="81"/>
            <rFont val="Tahoma"/>
            <family val="2"/>
          </rPr>
          <t>These line labels can be manually altered;
If a bracing line has more than 5 elements then repeat the Bracing line label into the next box down. For example , overwrite the "N" in cell B14 with an "M".  This will now allow line "M" to have 10 elements etc.
Remember to use a new Template for each new Project.</t>
        </r>
      </text>
    </comment>
    <comment ref="C6" authorId="0" shapeId="0" xr:uid="{00000000-0006-0000-0E00-00000D000000}">
      <text>
        <r>
          <rPr>
            <sz val="10"/>
            <color indexed="81"/>
            <rFont val="Tahoma"/>
            <family val="2"/>
          </rPr>
          <t>For Regular Plasterboard fixing systems, "ER1" and "ER2" , Element numbers can be optionally indicated.
The Element numbers can be manually altered
Including continuing the number over the next line label for Bracing lines with more than 5 Elements.
Remember to keep an original template</t>
        </r>
      </text>
    </comment>
    <comment ref="D6" authorId="0" shapeId="0" xr:uid="{00000000-0006-0000-0E00-00000E000000}">
      <text>
        <r>
          <rPr>
            <b/>
            <sz val="10"/>
            <color indexed="81"/>
            <rFont val="Tahoma"/>
            <family val="2"/>
          </rPr>
          <t>1.</t>
        </r>
        <r>
          <rPr>
            <sz val="10"/>
            <color indexed="81"/>
            <rFont val="Tahoma"/>
            <family val="2"/>
          </rPr>
          <t xml:space="preserve">   The Terms " Top External",   "Bottom External"  OR  "Left External, Right External"  (in the drop down  boxes  in column 'D')  refer to bracing elements on external walls that are either on one side of the project or on the other side of the project.  This</t>
        </r>
        <r>
          <rPr>
            <u/>
            <sz val="10"/>
            <color indexed="81"/>
            <rFont val="Tahoma"/>
            <family val="2"/>
          </rPr>
          <t xml:space="preserve"> doesn't necessarily</t>
        </r>
        <r>
          <rPr>
            <sz val="10"/>
            <color indexed="81"/>
            <rFont val="Tahoma"/>
            <family val="2"/>
          </rPr>
          <t xml:space="preserve"> literally mean the Top, Bottom , Left or Right  external lines  of the floor plan .  
 (It depends on the plans orientation as you view it.)   
</t>
        </r>
        <r>
          <rPr>
            <b/>
            <sz val="10"/>
            <color indexed="81"/>
            <rFont val="Tahoma"/>
            <family val="2"/>
          </rPr>
          <t xml:space="preserve">2.  </t>
        </r>
        <r>
          <rPr>
            <sz val="10"/>
            <color indexed="81"/>
            <rFont val="Tahoma"/>
            <family val="2"/>
          </rPr>
          <t xml:space="preserve">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They can be on walls that lie near </t>
        </r>
        <r>
          <rPr>
            <u/>
            <sz val="10"/>
            <color indexed="81"/>
            <rFont val="Tahoma"/>
            <family val="2"/>
          </rPr>
          <t>(2m or less</t>
        </r>
        <r>
          <rPr>
            <sz val="10"/>
            <color indexed="81"/>
            <rFont val="Tahoma"/>
            <family val="2"/>
          </rPr>
          <t xml:space="preserve">) and usually parallel to the outside external line.
</t>
        </r>
        <r>
          <rPr>
            <b/>
            <sz val="10"/>
            <color indexed="81"/>
            <rFont val="Tahoma"/>
            <family val="2"/>
          </rPr>
          <t xml:space="preserve">3.   </t>
        </r>
        <r>
          <rPr>
            <sz val="10"/>
            <color indexed="81"/>
            <rFont val="Tahoma"/>
            <family val="2"/>
          </rPr>
          <t>The Elements that are on External Bracing Lines  are summed and compared to the External Bracing Line Required as shown in cells K4 and M4.
A more detailed table below shows the Wind and Earthquake Achieved on external lines on either side of the project.
Note  :  "Internal" indicates an element is on an Internal wall/line of the project.   Blank cell indicates no particular designation.
Altering the drop down box will alter the defaults so...Remember to use a new Template for each new Project</t>
        </r>
      </text>
    </comment>
    <comment ref="E6" authorId="0" shapeId="0" xr:uid="{00000000-0006-0000-0E00-00000F000000}">
      <text>
        <r>
          <rPr>
            <b/>
            <sz val="10"/>
            <color indexed="81"/>
            <rFont val="Tahoma"/>
            <family val="2"/>
          </rPr>
          <t>F</t>
        </r>
        <r>
          <rPr>
            <sz val="10"/>
            <color indexed="81"/>
            <rFont val="Tahoma"/>
            <family val="2"/>
          </rPr>
          <t xml:space="preserve">or Internal Walls,  select "Double Sided"  if both sides can be plasterboard and not be affected by "Wet Area" or other restrictions 
For External Walls select "Double Sided"  if the intention is to use Plywood on the exterior side
Otherwise select "Single Sided"
No selection assumes Single sided or Double sided systems can be used
</t>
        </r>
      </text>
    </comment>
    <comment ref="F6" authorId="0" shapeId="0" xr:uid="{00000000-0006-0000-0E00-000010000000}">
      <text>
        <r>
          <rPr>
            <sz val="10"/>
            <color indexed="81"/>
            <rFont val="Tahoma"/>
            <family val="2"/>
          </rPr>
          <t xml:space="preserve">It is recommended to use full wall length if available (excluding wall areas with large openings like windows or doors)    Use all available Internal and External walls segments in order to optimise the low cost ER1 and ER2 options.    </t>
        </r>
      </text>
    </comment>
    <comment ref="G6" authorId="3" shapeId="0" xr:uid="{00000000-0006-0000-0E00-000011000000}">
      <text>
        <r>
          <rPr>
            <sz val="10"/>
            <color indexed="81"/>
            <rFont val="Tahoma"/>
            <family val="2"/>
          </rPr>
          <t>For elements whose angles are  &gt;=45 degrees, consider placing same element on the perpendicular bracing lines at an angle (90 degrees - the angle entered)  below.</t>
        </r>
      </text>
    </comment>
    <comment ref="H6" authorId="0" shapeId="0" xr:uid="{00000000-0006-0000-0E00-000012000000}">
      <text>
        <r>
          <rPr>
            <sz val="10"/>
            <color indexed="81"/>
            <rFont val="Tahoma"/>
            <family val="2"/>
          </rPr>
          <t xml:space="preserve">The Element Height is taken from the Internal Stud Height that was entered in the Project Demand Sheet. (Usually the most common internal stud height or the average internal stud height)    This can be manually overwritten.  
If it has been overwritten, the original formula in the cell has been replaced by the number entered and the cell will no longer obtain its value from the internal stud height value that was entered in the Project Demand sheet.  The cell colour will change to orange as a reminder.
To restore the original cell formula either  Copy then Paste </t>
        </r>
        <r>
          <rPr>
            <u/>
            <sz val="10"/>
            <color indexed="81"/>
            <rFont val="Tahoma"/>
            <family val="2"/>
          </rPr>
          <t>(DO NOT</t>
        </r>
        <r>
          <rPr>
            <sz val="10"/>
            <color indexed="81"/>
            <rFont val="Tahoma"/>
            <family val="2"/>
          </rPr>
          <t xml:space="preserve"> Drag and Drop) the formula from an  unchanged cell in column "G" into the overwritten cell;
</t>
        </r>
        <r>
          <rPr>
            <b/>
            <sz val="10"/>
            <color indexed="81"/>
            <rFont val="Tahoma"/>
            <family val="2"/>
          </rPr>
          <t>OR</t>
        </r>
        <r>
          <rPr>
            <sz val="10"/>
            <color indexed="81"/>
            <rFont val="Tahoma"/>
            <family val="2"/>
          </rPr>
          <t xml:space="preserve">
Remember to use a new Template for each new Project.</t>
        </r>
      </text>
    </comment>
    <comment ref="I6" authorId="0" shapeId="0" xr:uid="{00000000-0006-0000-0E00-000013000000}">
      <text>
        <r>
          <rPr>
            <sz val="11"/>
            <color indexed="81"/>
            <rFont val="Tahoma"/>
            <family val="2"/>
          </rPr>
          <t xml:space="preserve">Allow software to suggest the ER1 and ER2 systems 
OR allow the user to select the initial systems.
If allowing the software to suggest, then in the "Available Wall Lengths", is recommended to identify  ALL the wall lengths available in the project. And indicate in column "E" which must be Single sided and which can be double sided .
</t>
        </r>
      </text>
    </comment>
    <comment ref="K6" authorId="3" shapeId="0" xr:uid="{00000000-0006-0000-0E00-000014000000}">
      <text>
        <r>
          <rPr>
            <sz val="10"/>
            <color indexed="81"/>
            <rFont val="Tahoma"/>
            <family val="2"/>
          </rPr>
          <t>The Element Resistance Limitation is set from the options selected in the Project Demand tab at Cell E59.
These defaults can be overridden below.
This is useful when the floor may have part timber or part slab sections.
If the bracing element is situated in a section that is timber floor then Limit the Element Resistance to 120 Bu's.
If the bracing element is situated in a section that is slab floor then Limit the Element Resistance to 150 Bu's.
For Elements that are NOT Foundation Dependent then select "SD".  However specific engineering must ensure that uplift forces generated by elements higher than the default settings can be resisted by the floor framing or slab.
Remember to use a new Template for each new project.</t>
        </r>
      </text>
    </comment>
    <comment ref="I7" authorId="0" shapeId="0" xr:uid="{00000000-0006-0000-0E00-000015000000}">
      <text>
        <r>
          <rPr>
            <sz val="11"/>
            <color indexed="81"/>
            <rFont val="Tahoma"/>
            <family val="2"/>
          </rPr>
          <t xml:space="preserve">Bring the curser to each required cell below, click to activate the drop down box.
Alternatively you can type the System Number directly in the cells below.
</t>
        </r>
      </text>
    </comment>
    <comment ref="AL8" authorId="0" shapeId="0" xr:uid="{00000000-0006-0000-0E00-000016000000}">
      <text>
        <r>
          <rPr>
            <sz val="10"/>
            <color indexed="81"/>
            <rFont val="Tahoma"/>
            <family val="2"/>
          </rPr>
          <t xml:space="preserve">These systems are derived from NZS3604:2011.  
Their performances are not affected by stud  height. 
 However their performances are affected by </t>
        </r>
        <r>
          <rPr>
            <u/>
            <sz val="10"/>
            <color indexed="81"/>
            <rFont val="Tahoma"/>
            <family val="2"/>
          </rPr>
          <t>wall angle</t>
        </r>
        <r>
          <rPr>
            <sz val="10"/>
            <color indexed="81"/>
            <rFont val="Tahoma"/>
            <family val="2"/>
          </rPr>
          <t xml:space="preserve"> (except the Cantilever and Anchor Piles).</t>
        </r>
      </text>
    </comment>
    <comment ref="BM8" authorId="0" shapeId="0" xr:uid="{00000000-0006-0000-0E00-000017000000}">
      <text>
        <r>
          <rPr>
            <b/>
            <sz val="9"/>
            <color indexed="81"/>
            <rFont val="Tahoma"/>
            <family val="2"/>
          </rPr>
          <t xml:space="preserve"> :</t>
        </r>
        <r>
          <rPr>
            <sz val="9"/>
            <color indexed="81"/>
            <rFont val="Tahoma"/>
            <family val="2"/>
          </rPr>
          <t xml:space="preserve">
This cannot be cleared or be zero
</t>
        </r>
      </text>
    </comment>
    <comment ref="BM9" authorId="0" shapeId="0" xr:uid="{00000000-0006-0000-0E00-000018000000}">
      <text>
        <r>
          <rPr>
            <b/>
            <sz val="9"/>
            <color indexed="81"/>
            <rFont val="Tahoma"/>
            <family val="2"/>
          </rPr>
          <t xml:space="preserve"> :</t>
        </r>
        <r>
          <rPr>
            <sz val="9"/>
            <color indexed="81"/>
            <rFont val="Tahoma"/>
            <family val="2"/>
          </rPr>
          <t xml:space="preserve">
These are very important
</t>
        </r>
      </text>
    </comment>
    <comment ref="CH9" authorId="0" shapeId="0" xr:uid="{00000000-0006-0000-0E00-000019000000}">
      <text>
        <r>
          <rPr>
            <b/>
            <sz val="9"/>
            <color indexed="81"/>
            <rFont val="Tahoma"/>
            <family val="2"/>
          </rPr>
          <t>These rea fucking important</t>
        </r>
      </text>
    </comment>
    <comment ref="E13" authorId="0" shapeId="0" xr:uid="{00000000-0006-0000-0E00-00001A000000}">
      <text>
        <r>
          <rPr>
            <b/>
            <sz val="8"/>
            <color indexed="81"/>
            <rFont val="Tahoma"/>
            <family val="2"/>
          </rPr>
          <t>Comments can be entered in these field</t>
        </r>
      </text>
    </comment>
    <comment ref="L13" authorId="0" shapeId="0" xr:uid="{00000000-0006-0000-0E00-00001B000000}">
      <text>
        <r>
          <rPr>
            <sz val="9"/>
            <color indexed="81"/>
            <rFont val="Tahoma"/>
            <family val="2"/>
          </rPr>
          <t>Minimum Bu's per line can be manually placed in these fields when required to over ride the software's calculated minimum line requirement detailed in cells L5 or N5</t>
        </r>
      </text>
    </comment>
    <comment ref="N13" authorId="0" shapeId="0" xr:uid="{00000000-0006-0000-0E00-00001C000000}">
      <text>
        <r>
          <rPr>
            <sz val="9"/>
            <color indexed="81"/>
            <rFont val="Tahoma"/>
            <family val="2"/>
          </rPr>
          <t>Minimum Bu's per line can be manually placed in these fields when required to over ride the software's calculated minimum line requirement detailed in cells L5 or N5</t>
        </r>
      </text>
    </comment>
    <comment ref="Q13" authorId="0" shapeId="0" xr:uid="{00000000-0006-0000-0E00-00001D000000}">
      <text>
        <r>
          <rPr>
            <sz val="10"/>
            <color indexed="81"/>
            <rFont val="Tahoma"/>
            <family val="2"/>
          </rPr>
          <t>The "Achieved &lt; Min Req per line" comment only needs to be resolved once all the intended bracing lines to be used have at least one element in them.</t>
        </r>
      </text>
    </comment>
    <comment ref="E19" authorId="0" shapeId="0" xr:uid="{00000000-0006-0000-0E00-00001E000000}">
      <text>
        <r>
          <rPr>
            <b/>
            <sz val="8"/>
            <color indexed="81"/>
            <rFont val="Tahoma"/>
            <family val="2"/>
          </rPr>
          <t>Comments can be entered in these field</t>
        </r>
      </text>
    </comment>
    <comment ref="L19" authorId="0" shapeId="0" xr:uid="{00000000-0006-0000-0E00-00001F000000}">
      <text>
        <r>
          <rPr>
            <sz val="9"/>
            <color indexed="81"/>
            <rFont val="Tahoma"/>
            <family val="2"/>
          </rPr>
          <t>Minimum Bu's per line can be manually placed in these fields when required to over ride the software's calculated minimum line requirement detailed in cells L5 or N5</t>
        </r>
      </text>
    </comment>
    <comment ref="N19" authorId="0" shapeId="0" xr:uid="{00000000-0006-0000-0E00-000020000000}">
      <text>
        <r>
          <rPr>
            <sz val="9"/>
            <color indexed="81"/>
            <rFont val="Tahoma"/>
            <family val="2"/>
          </rPr>
          <t>Minimum Bu's per line can be manually placed in these fields when required to over ride the software's calculated minimum line requirement detailed in cells L5 or N5</t>
        </r>
      </text>
    </comment>
    <comment ref="Q19" authorId="0" shapeId="0" xr:uid="{00000000-0006-0000-0E00-000021000000}">
      <text>
        <r>
          <rPr>
            <sz val="10"/>
            <color indexed="81"/>
            <rFont val="Tahoma"/>
            <family val="2"/>
          </rPr>
          <t>The "Achieved &lt; Min Req per line" comment only needs to be resolved once all the intended bracing lines to be used have at least one element in them.</t>
        </r>
      </text>
    </comment>
    <comment ref="E25" authorId="0" shapeId="0" xr:uid="{00000000-0006-0000-0E00-000022000000}">
      <text>
        <r>
          <rPr>
            <b/>
            <sz val="8"/>
            <color indexed="81"/>
            <rFont val="Tahoma"/>
            <family val="2"/>
          </rPr>
          <t>Comments can be entered in these field</t>
        </r>
      </text>
    </comment>
    <comment ref="L25" authorId="0" shapeId="0" xr:uid="{00000000-0006-0000-0E00-000023000000}">
      <text>
        <r>
          <rPr>
            <sz val="9"/>
            <color indexed="81"/>
            <rFont val="Tahoma"/>
            <family val="2"/>
          </rPr>
          <t>Minimum Bu's per line can be manually placed in these fields when required to over ride the software's calculated minimum line requirement detailed in cells L5 or N5</t>
        </r>
      </text>
    </comment>
    <comment ref="N25" authorId="0" shapeId="0" xr:uid="{00000000-0006-0000-0E00-000024000000}">
      <text>
        <r>
          <rPr>
            <sz val="9"/>
            <color indexed="81"/>
            <rFont val="Tahoma"/>
            <family val="2"/>
          </rPr>
          <t>Minimum Bu's per line can be manually placed in these fields when required to over ride the software's calculated minimum line requirement detailed in cells L5 or N5</t>
        </r>
      </text>
    </comment>
    <comment ref="Q25" authorId="0" shapeId="0" xr:uid="{00000000-0006-0000-0E00-000025000000}">
      <text>
        <r>
          <rPr>
            <sz val="10"/>
            <color indexed="81"/>
            <rFont val="Tahoma"/>
            <family val="2"/>
          </rPr>
          <t>The "Achieved &lt; Min Req per line" comment only needs to be resolved once all the intended bracing lines to be used have at least one element in them.</t>
        </r>
      </text>
    </comment>
    <comment ref="E31" authorId="0" shapeId="0" xr:uid="{00000000-0006-0000-0E00-000026000000}">
      <text>
        <r>
          <rPr>
            <b/>
            <sz val="8"/>
            <color indexed="81"/>
            <rFont val="Tahoma"/>
            <family val="2"/>
          </rPr>
          <t>Comments can be entered in these field</t>
        </r>
      </text>
    </comment>
    <comment ref="L31" authorId="0" shapeId="0" xr:uid="{00000000-0006-0000-0E00-000027000000}">
      <text>
        <r>
          <rPr>
            <sz val="9"/>
            <color indexed="81"/>
            <rFont val="Tahoma"/>
            <family val="2"/>
          </rPr>
          <t>Minimum Bu's per line can be manually placed in these fields when required to over ride the software's calculated minimum line requirement detailed in cells L5 or N5</t>
        </r>
      </text>
    </comment>
    <comment ref="N31" authorId="0" shapeId="0" xr:uid="{00000000-0006-0000-0E00-000028000000}">
      <text>
        <r>
          <rPr>
            <sz val="9"/>
            <color indexed="81"/>
            <rFont val="Tahoma"/>
            <family val="2"/>
          </rPr>
          <t>Minimum Bu's per line can be manually placed in these fields when required to over ride the software's calculated minimum line requirement detailed in cells L5 or N5</t>
        </r>
      </text>
    </comment>
    <comment ref="Q31" authorId="0" shapeId="0" xr:uid="{00000000-0006-0000-0E00-000029000000}">
      <text>
        <r>
          <rPr>
            <sz val="10"/>
            <color indexed="81"/>
            <rFont val="Tahoma"/>
            <family val="2"/>
          </rPr>
          <t>The "Achieved &lt; Min Req per line" comment only needs to be resolved once all the intended bracing lines to be used have at least one element in them.</t>
        </r>
      </text>
    </comment>
    <comment ref="E37" authorId="0" shapeId="0" xr:uid="{00000000-0006-0000-0E00-00002A000000}">
      <text>
        <r>
          <rPr>
            <b/>
            <sz val="8"/>
            <color indexed="81"/>
            <rFont val="Tahoma"/>
            <family val="2"/>
          </rPr>
          <t>Comments can be entered in these field</t>
        </r>
      </text>
    </comment>
    <comment ref="L37" authorId="0" shapeId="0" xr:uid="{00000000-0006-0000-0E00-00002B000000}">
      <text>
        <r>
          <rPr>
            <sz val="9"/>
            <color indexed="81"/>
            <rFont val="Tahoma"/>
            <family val="2"/>
          </rPr>
          <t>Minimum Bu's per line can be manually placed in these fields when required to over ride the software's calculated minimum line requirement detailed in cells L5 or N5</t>
        </r>
      </text>
    </comment>
    <comment ref="N37" authorId="0" shapeId="0" xr:uid="{00000000-0006-0000-0E00-00002C000000}">
      <text>
        <r>
          <rPr>
            <sz val="9"/>
            <color indexed="81"/>
            <rFont val="Tahoma"/>
            <family val="2"/>
          </rPr>
          <t>Minimum Bu's per line can be manually placed in these fields when required to over ride the software's calculated minimum line requirement detailed in cells L5 or N5</t>
        </r>
      </text>
    </comment>
    <comment ref="Q37" authorId="0" shapeId="0" xr:uid="{00000000-0006-0000-0E00-00002D000000}">
      <text>
        <r>
          <rPr>
            <sz val="10"/>
            <color indexed="81"/>
            <rFont val="Tahoma"/>
            <family val="2"/>
          </rPr>
          <t>The "Achieved &lt; Min Req per line" comment only needs to be resolved once all the intended bracing lines to be used have at least one element in them.</t>
        </r>
      </text>
    </comment>
    <comment ref="E43" authorId="0" shapeId="0" xr:uid="{00000000-0006-0000-0E00-00002E000000}">
      <text>
        <r>
          <rPr>
            <b/>
            <sz val="8"/>
            <color indexed="81"/>
            <rFont val="Tahoma"/>
            <family val="2"/>
          </rPr>
          <t>Comments can be entered in these field</t>
        </r>
      </text>
    </comment>
    <comment ref="L43" authorId="0" shapeId="0" xr:uid="{00000000-0006-0000-0E00-00002F000000}">
      <text>
        <r>
          <rPr>
            <sz val="9"/>
            <color indexed="81"/>
            <rFont val="Tahoma"/>
            <family val="2"/>
          </rPr>
          <t>Minimum Bu's per line can be manually placed in these fields when required to over ride the software's calculated minimum line requirement detailed in cells L5 or N5</t>
        </r>
      </text>
    </comment>
    <comment ref="N43" authorId="0" shapeId="0" xr:uid="{00000000-0006-0000-0E00-000030000000}">
      <text>
        <r>
          <rPr>
            <sz val="9"/>
            <color indexed="81"/>
            <rFont val="Tahoma"/>
            <family val="2"/>
          </rPr>
          <t>Minimum Bu's per line can be manually placed in these fields when required to over ride the software's calculated minimum line requirement detailed in cells L5 or N5</t>
        </r>
      </text>
    </comment>
    <comment ref="Q43" authorId="0" shapeId="0" xr:uid="{00000000-0006-0000-0E00-000031000000}">
      <text>
        <r>
          <rPr>
            <sz val="10"/>
            <color indexed="81"/>
            <rFont val="Tahoma"/>
            <family val="2"/>
          </rPr>
          <t>The "Achieved &lt; Min Req per line" comment only needs to be resolved once all the intended bracing lines to be used have at least one element in them.</t>
        </r>
      </text>
    </comment>
    <comment ref="AK45" authorId="0" shapeId="0" xr:uid="{00000000-0006-0000-0E00-000032000000}">
      <text>
        <r>
          <rPr>
            <sz val="12"/>
            <color indexed="81"/>
            <rFont val="Tahoma"/>
            <family val="2"/>
          </rPr>
          <t xml:space="preserve">To enter "Custom Elements" go to the "Customs Elements tab below  </t>
        </r>
        <r>
          <rPr>
            <sz val="12"/>
            <color indexed="10"/>
            <rFont val="Tahoma"/>
            <family val="2"/>
          </rPr>
          <t>(to the right of the "Project Demand" tab)</t>
        </r>
        <r>
          <rPr>
            <sz val="12"/>
            <color indexed="81"/>
            <rFont val="Tahoma"/>
            <family val="2"/>
          </rPr>
          <t>.   
 Enter Custom Elements there and these will show up in ALL the solution sheets</t>
        </r>
      </text>
    </comment>
    <comment ref="E49" authorId="0" shapeId="0" xr:uid="{00000000-0006-0000-0E00-000033000000}">
      <text>
        <r>
          <rPr>
            <b/>
            <sz val="8"/>
            <color indexed="81"/>
            <rFont val="Tahoma"/>
            <family val="2"/>
          </rPr>
          <t>Comments can be entered in these field</t>
        </r>
      </text>
    </comment>
    <comment ref="L49" authorId="0" shapeId="0" xr:uid="{00000000-0006-0000-0E00-000034000000}">
      <text>
        <r>
          <rPr>
            <sz val="9"/>
            <color indexed="81"/>
            <rFont val="Tahoma"/>
            <family val="2"/>
          </rPr>
          <t>Minimum Bu's per line can be manually placed in these fields when required to over ride the software's calculated minimum line requirement detailed in cells L5 or N5</t>
        </r>
      </text>
    </comment>
    <comment ref="N49" authorId="0" shapeId="0" xr:uid="{00000000-0006-0000-0E00-000035000000}">
      <text>
        <r>
          <rPr>
            <sz val="9"/>
            <color indexed="81"/>
            <rFont val="Tahoma"/>
            <family val="2"/>
          </rPr>
          <t>Minimum Bu's per line can be manually placed in these fields when required to over ride the software's calculated minimum line requirement detailed in cells L5 or N5</t>
        </r>
      </text>
    </comment>
    <comment ref="Q49" authorId="0" shapeId="0" xr:uid="{00000000-0006-0000-0E00-000036000000}">
      <text>
        <r>
          <rPr>
            <sz val="10"/>
            <color indexed="81"/>
            <rFont val="Tahoma"/>
            <family val="2"/>
          </rPr>
          <t>The "Achieved &lt; Min Req per line" comment only needs to be resolved once all the intended bracing lines to be used have at least one element in them.</t>
        </r>
      </text>
    </comment>
    <comment ref="E55" authorId="0" shapeId="0" xr:uid="{00000000-0006-0000-0E00-000037000000}">
      <text>
        <r>
          <rPr>
            <b/>
            <sz val="8"/>
            <color indexed="81"/>
            <rFont val="Tahoma"/>
            <family val="2"/>
          </rPr>
          <t>Comments can be entered in these field</t>
        </r>
      </text>
    </comment>
    <comment ref="L55" authorId="0" shapeId="0" xr:uid="{00000000-0006-0000-0E00-000038000000}">
      <text>
        <r>
          <rPr>
            <sz val="9"/>
            <color indexed="81"/>
            <rFont val="Tahoma"/>
            <family val="2"/>
          </rPr>
          <t>Minimum Bu's per line can be manually placed in these fields when required to over ride the software's calculated minimum line requirement detailed in cells L5 or N5</t>
        </r>
      </text>
    </comment>
    <comment ref="N55" authorId="0" shapeId="0" xr:uid="{00000000-0006-0000-0E00-000039000000}">
      <text>
        <r>
          <rPr>
            <sz val="9"/>
            <color indexed="81"/>
            <rFont val="Tahoma"/>
            <family val="2"/>
          </rPr>
          <t>Minimum Bu's per line can be manually placed in these fields when required to over ride the software's calculated minimum line requirement detailed in cells L5 or N5</t>
        </r>
      </text>
    </comment>
    <comment ref="Q55" authorId="0" shapeId="0" xr:uid="{00000000-0006-0000-0E00-00003A000000}">
      <text>
        <r>
          <rPr>
            <sz val="10"/>
            <color indexed="81"/>
            <rFont val="Tahoma"/>
            <family val="2"/>
          </rPr>
          <t>The "Achieved &lt; Min Req per line" comment only needs to be resolved once all the intended bracing lines to be used have at least one element in them.</t>
        </r>
      </text>
    </comment>
    <comment ref="E61" authorId="0" shapeId="0" xr:uid="{00000000-0006-0000-0E00-00003B000000}">
      <text>
        <r>
          <rPr>
            <b/>
            <sz val="8"/>
            <color indexed="81"/>
            <rFont val="Tahoma"/>
            <family val="2"/>
          </rPr>
          <t>Comments can be entered in these field</t>
        </r>
      </text>
    </comment>
    <comment ref="L61" authorId="0" shapeId="0" xr:uid="{00000000-0006-0000-0E00-00003C000000}">
      <text>
        <r>
          <rPr>
            <sz val="9"/>
            <color indexed="81"/>
            <rFont val="Tahoma"/>
            <family val="2"/>
          </rPr>
          <t>Minimum Bu's per line can be manually placed in these fields when required to over ride the software's calculated minimum line requirement detailed in cells L5 or N5</t>
        </r>
      </text>
    </comment>
    <comment ref="N61" authorId="0" shapeId="0" xr:uid="{00000000-0006-0000-0E00-00003D000000}">
      <text>
        <r>
          <rPr>
            <sz val="9"/>
            <color indexed="81"/>
            <rFont val="Tahoma"/>
            <family val="2"/>
          </rPr>
          <t>Minimum Bu's per line can be manually placed in these fields when required to over ride the software's calculated minimum line requirement detailed in cells L5 or N5</t>
        </r>
      </text>
    </comment>
    <comment ref="Q61" authorId="0" shapeId="0" xr:uid="{00000000-0006-0000-0E00-00003E000000}">
      <text>
        <r>
          <rPr>
            <sz val="10"/>
            <color indexed="81"/>
            <rFont val="Tahoma"/>
            <family val="2"/>
          </rPr>
          <t>The "Achieved &lt; Min Req per line" comment only needs to be resolved once all the intended bracing lines to be used have at least one element in them.</t>
        </r>
      </text>
    </comment>
    <comment ref="BV61" authorId="0" shapeId="0" xr:uid="{00000000-0006-0000-0E00-00003F000000}">
      <text>
        <r>
          <rPr>
            <b/>
            <sz val="9"/>
            <color indexed="81"/>
            <rFont val="Tahoma"/>
            <family val="2"/>
          </rPr>
          <t>This is important</t>
        </r>
      </text>
    </comment>
    <comment ref="BW61" authorId="0" shapeId="0" xr:uid="{00000000-0006-0000-0E00-000040000000}">
      <text>
        <r>
          <rPr>
            <b/>
            <sz val="9"/>
            <color indexed="81"/>
            <rFont val="Tahoma"/>
            <family val="2"/>
          </rPr>
          <t>This is important</t>
        </r>
      </text>
    </comment>
    <comment ref="E67" authorId="0" shapeId="0" xr:uid="{00000000-0006-0000-0E00-000041000000}">
      <text>
        <r>
          <rPr>
            <b/>
            <sz val="8"/>
            <color indexed="81"/>
            <rFont val="Tahoma"/>
            <family val="2"/>
          </rPr>
          <t>Comments can be entered in these field</t>
        </r>
      </text>
    </comment>
    <comment ref="L67" authorId="0" shapeId="0" xr:uid="{00000000-0006-0000-0E00-000042000000}">
      <text>
        <r>
          <rPr>
            <sz val="9"/>
            <color indexed="81"/>
            <rFont val="Tahoma"/>
            <family val="2"/>
          </rPr>
          <t>Minimum Bu's per line can be manually placed in these fields when required to over ride the software's calculated minimum line requirement detailed in cells L5 or N5</t>
        </r>
      </text>
    </comment>
    <comment ref="N67" authorId="0" shapeId="0" xr:uid="{00000000-0006-0000-0E00-000043000000}">
      <text>
        <r>
          <rPr>
            <sz val="9"/>
            <color indexed="81"/>
            <rFont val="Tahoma"/>
            <family val="2"/>
          </rPr>
          <t>Minimum Bu's per line can be manually placed in these fields when required to over ride the software's calculated minimum line requirement detailed in cells L5 or N5</t>
        </r>
      </text>
    </comment>
    <comment ref="Q67" authorId="0" shapeId="0" xr:uid="{00000000-0006-0000-0E00-000044000000}">
      <text>
        <r>
          <rPr>
            <sz val="10"/>
            <color indexed="81"/>
            <rFont val="Tahoma"/>
            <family val="2"/>
          </rPr>
          <t>The "Achieved &lt; Min Req per line" comment only needs to be resolved once all the intended bracing lines to be used have at least one element in them.</t>
        </r>
      </text>
    </comment>
    <comment ref="E73" authorId="0" shapeId="0" xr:uid="{00000000-0006-0000-0E00-000045000000}">
      <text>
        <r>
          <rPr>
            <b/>
            <sz val="8"/>
            <color indexed="81"/>
            <rFont val="Tahoma"/>
            <family val="2"/>
          </rPr>
          <t>Comments can be entered in these field</t>
        </r>
      </text>
    </comment>
    <comment ref="L73" authorId="0" shapeId="0" xr:uid="{00000000-0006-0000-0E00-000046000000}">
      <text>
        <r>
          <rPr>
            <sz val="9"/>
            <color indexed="81"/>
            <rFont val="Tahoma"/>
            <family val="2"/>
          </rPr>
          <t>Minimum Bu's per line can be manually placed in these fields when required to over ride the software's calculated minimum line requirement detailed in cells L5 or N5</t>
        </r>
      </text>
    </comment>
    <comment ref="N73" authorId="0" shapeId="0" xr:uid="{00000000-0006-0000-0E00-000047000000}">
      <text>
        <r>
          <rPr>
            <sz val="9"/>
            <color indexed="81"/>
            <rFont val="Tahoma"/>
            <family val="2"/>
          </rPr>
          <t>Minimum Bu's per line can be manually placed in these fields when required to over ride the software's calculated minimum line requirement detailed in cells L5 or N5</t>
        </r>
      </text>
    </comment>
    <comment ref="Q73" authorId="0" shapeId="0" xr:uid="{00000000-0006-0000-0E00-000048000000}">
      <text>
        <r>
          <rPr>
            <sz val="10"/>
            <color indexed="81"/>
            <rFont val="Tahoma"/>
            <family val="2"/>
          </rPr>
          <t>The "Achieved &lt; Min Req per line" comment only needs to be resolved once all the intended bracing lines to be used have at least one element in them.</t>
        </r>
      </text>
    </comment>
    <comment ref="E79" authorId="0" shapeId="0" xr:uid="{00000000-0006-0000-0E00-000049000000}">
      <text>
        <r>
          <rPr>
            <b/>
            <sz val="8"/>
            <color indexed="81"/>
            <rFont val="Tahoma"/>
            <family val="2"/>
          </rPr>
          <t>Comments can be entered in these field</t>
        </r>
      </text>
    </comment>
    <comment ref="L79" authorId="0" shapeId="0" xr:uid="{00000000-0006-0000-0E00-00004A000000}">
      <text>
        <r>
          <rPr>
            <sz val="9"/>
            <color indexed="81"/>
            <rFont val="Tahoma"/>
            <family val="2"/>
          </rPr>
          <t>Minimum Bu's per line can be manually placed in these fields when required to over ride the software's calculated minimum line requirement detailed in cells L5 or N5</t>
        </r>
      </text>
    </comment>
    <comment ref="N79" authorId="0" shapeId="0" xr:uid="{00000000-0006-0000-0E00-00004B000000}">
      <text>
        <r>
          <rPr>
            <sz val="9"/>
            <color indexed="81"/>
            <rFont val="Tahoma"/>
            <family val="2"/>
          </rPr>
          <t>Minimum Bu's per line can be manually placed in these fields when required to over ride the software's calculated minimum line requirement detailed in cells L5 or N5</t>
        </r>
      </text>
    </comment>
    <comment ref="Q79" authorId="0" shapeId="0" xr:uid="{00000000-0006-0000-0E00-00004C000000}">
      <text>
        <r>
          <rPr>
            <sz val="10"/>
            <color indexed="81"/>
            <rFont val="Tahoma"/>
            <family val="2"/>
          </rPr>
          <t>The "Achieved &lt; Min Req per line" comment only needs to be resolved once all the intended bracing lines to be used have at least one element in them.</t>
        </r>
      </text>
    </comment>
    <comment ref="M82" authorId="0" shapeId="0" xr:uid="{00000000-0006-0000-0E00-00004D000000}">
      <text>
        <r>
          <rPr>
            <b/>
            <sz val="8"/>
            <color indexed="81"/>
            <rFont val="Tahoma"/>
            <family val="2"/>
          </rPr>
          <t>To place alternatively sourced demand values  use Cell L3 above</t>
        </r>
      </text>
    </comment>
    <comment ref="O82" authorId="0" shapeId="0" xr:uid="{00000000-0006-0000-0E00-00004E000000}">
      <text>
        <r>
          <rPr>
            <b/>
            <sz val="8"/>
            <color indexed="81"/>
            <rFont val="Tahoma"/>
            <family val="2"/>
          </rPr>
          <t>To place alternatively sourced demand values  use Cell N3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S2" authorId="0" shapeId="0" xr:uid="{00000000-0006-0000-0400-000001000000}">
      <text>
        <r>
          <rPr>
            <b/>
            <sz val="9"/>
            <color indexed="81"/>
            <rFont val="Tahoma"/>
            <family val="2"/>
          </rPr>
          <t xml:space="preserve"> :</t>
        </r>
        <r>
          <rPr>
            <sz val="9"/>
            <color indexed="81"/>
            <rFont val="Tahoma"/>
            <family val="2"/>
          </rPr>
          <t xml:space="preserve">
Thei is the BU or kN switch</t>
        </r>
      </text>
    </comment>
    <comment ref="W2" authorId="0" shapeId="0" xr:uid="{00000000-0006-0000-0400-000002000000}">
      <text>
        <r>
          <rPr>
            <b/>
            <sz val="9"/>
            <color indexed="81"/>
            <rFont val="Tahoma"/>
            <family val="2"/>
          </rPr>
          <t xml:space="preserve"> :</t>
        </r>
        <r>
          <rPr>
            <sz val="9"/>
            <color indexed="81"/>
            <rFont val="Tahoma"/>
            <family val="2"/>
          </rPr>
          <t xml:space="preserve">
This is a hangover of the switchbrace switch</t>
        </r>
      </text>
    </comment>
    <comment ref="O81" authorId="0" shapeId="0" xr:uid="{00000000-0006-0000-0400-000003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Q81" authorId="0" shapeId="0" xr:uid="{00000000-0006-0000-0400-000004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O86" authorId="0" shapeId="0" xr:uid="{00000000-0006-0000-0400-000005000000}">
      <text>
        <r>
          <rPr>
            <sz val="10"/>
            <color indexed="81"/>
            <rFont val="Tahoma"/>
            <family val="2"/>
          </rPr>
          <t>Plasterboard systems are subjected to P21 Tests at a height of 2.4m and so have System Type Flag "T"</t>
        </r>
      </text>
    </comment>
    <comment ref="Q86" authorId="0" shapeId="0" xr:uid="{00000000-0006-0000-0400-000006000000}">
      <text>
        <r>
          <rPr>
            <sz val="10"/>
            <color indexed="81"/>
            <rFont val="Tahoma"/>
            <family val="2"/>
          </rPr>
          <t>Plasterboard systems are subjected to P21 Tests at a height of 2.4m and so have System Type Flag "T"</t>
        </r>
      </text>
    </comment>
    <comment ref="O87" authorId="0" shapeId="0" xr:uid="{00000000-0006-0000-0400-000007000000}">
      <text>
        <r>
          <rPr>
            <sz val="10"/>
            <color indexed="81"/>
            <rFont val="Tahoma"/>
            <family val="2"/>
          </rPr>
          <t>Plasterboard systems are subjected to P21 Tests at a height of 2.4m and so have System Type Flag "T"</t>
        </r>
      </text>
    </comment>
    <comment ref="Q87" authorId="0" shapeId="0" xr:uid="{00000000-0006-0000-0400-000008000000}">
      <text>
        <r>
          <rPr>
            <sz val="10"/>
            <color indexed="81"/>
            <rFont val="Tahoma"/>
            <family val="2"/>
          </rPr>
          <t>Plasterboard systems are subjected to P21 Tests at a height of 2.4m and so have System Type Flag "T"</t>
        </r>
      </text>
    </comment>
    <comment ref="O88" authorId="0" shapeId="0" xr:uid="{00000000-0006-0000-0400-000009000000}">
      <text>
        <r>
          <rPr>
            <sz val="10"/>
            <color indexed="81"/>
            <rFont val="Tahoma"/>
            <family val="2"/>
          </rPr>
          <t>Plasterboard systems are subjected to P21 Tests at a height of 2.4m and so have System Type Flag "T"</t>
        </r>
      </text>
    </comment>
    <comment ref="Q88" authorId="0" shapeId="0" xr:uid="{00000000-0006-0000-0400-00000A000000}">
      <text>
        <r>
          <rPr>
            <sz val="10"/>
            <color indexed="81"/>
            <rFont val="Tahoma"/>
            <family val="2"/>
          </rPr>
          <t>Plasterboard systems are subjected to P21 Tests at a height of 2.4m and so have System Type Flag "T"</t>
        </r>
      </text>
    </comment>
    <comment ref="O90" authorId="0" shapeId="0" xr:uid="{00000000-0006-0000-0400-00000B000000}">
      <text>
        <r>
          <rPr>
            <sz val="10"/>
            <color indexed="81"/>
            <rFont val="Tahoma"/>
            <family val="2"/>
          </rPr>
          <t>Plasterboard systems are subjected to P21 Tests at a height of 2.4m and so have System Type Flag "T"</t>
        </r>
      </text>
    </comment>
    <comment ref="Q90" authorId="0" shapeId="0" xr:uid="{00000000-0006-0000-0400-00000C000000}">
      <text>
        <r>
          <rPr>
            <sz val="10"/>
            <color indexed="81"/>
            <rFont val="Tahoma"/>
            <family val="2"/>
          </rPr>
          <t>Plasterboard systems are subjected to P21 Tests at a height of 2.4m and so have System Type Flag "T"</t>
        </r>
      </text>
    </comment>
    <comment ref="O91" authorId="0" shapeId="0" xr:uid="{00000000-0006-0000-0400-00000D000000}">
      <text>
        <r>
          <rPr>
            <sz val="10"/>
            <color indexed="81"/>
            <rFont val="Tahoma"/>
            <family val="2"/>
          </rPr>
          <t>Plasterboard systems are subjected to P21 Tests at a height of 2.4m and so have System Type Flag "T"</t>
        </r>
      </text>
    </comment>
    <comment ref="Q91" authorId="0" shapeId="0" xr:uid="{00000000-0006-0000-0400-00000E000000}">
      <text>
        <r>
          <rPr>
            <sz val="10"/>
            <color indexed="81"/>
            <rFont val="Tahoma"/>
            <family val="2"/>
          </rPr>
          <t>Plasterboard systems are subjected to P21 Tests at a height of 2.4m and so have System Type Flag "T"</t>
        </r>
      </text>
    </comment>
    <comment ref="O92" authorId="0" shapeId="0" xr:uid="{00000000-0006-0000-0400-00000F000000}">
      <text>
        <r>
          <rPr>
            <sz val="10"/>
            <color indexed="81"/>
            <rFont val="Tahoma"/>
            <family val="2"/>
          </rPr>
          <t>Plasterboard systems are subjected to P21 Tests at a height of 2.4m and so have System Type Flag "T"</t>
        </r>
      </text>
    </comment>
    <comment ref="Q92" authorId="0" shapeId="0" xr:uid="{00000000-0006-0000-0400-000010000000}">
      <text>
        <r>
          <rPr>
            <sz val="10"/>
            <color indexed="81"/>
            <rFont val="Tahoma"/>
            <family val="2"/>
          </rPr>
          <t>Plasterboard systems are subjected to P21 Tests at a height of 2.4m and so have System Type Flag "T"</t>
        </r>
      </text>
    </comment>
    <comment ref="O97" authorId="0" shapeId="0" xr:uid="{00000000-0006-0000-0400-000011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Q97" authorId="0" shapeId="0" xr:uid="{00000000-0006-0000-0400-000012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O102" authorId="0" shapeId="0" xr:uid="{00000000-0006-0000-0400-000013000000}">
      <text>
        <r>
          <rPr>
            <sz val="10"/>
            <color indexed="81"/>
            <rFont val="Tahoma"/>
            <family val="2"/>
          </rPr>
          <t>Plasterboard systems are subjected to P21 Tests at a height of 2.4m and so have System Type Flag "T"</t>
        </r>
      </text>
    </comment>
    <comment ref="Q102" authorId="0" shapeId="0" xr:uid="{00000000-0006-0000-0400-000014000000}">
      <text>
        <r>
          <rPr>
            <sz val="10"/>
            <color indexed="81"/>
            <rFont val="Tahoma"/>
            <family val="2"/>
          </rPr>
          <t>Plasterboard systems are subjected to P21 Tests at a height of 2.4m and so have System Type Flag "T"</t>
        </r>
      </text>
    </comment>
    <comment ref="O103" authorId="0" shapeId="0" xr:uid="{00000000-0006-0000-0400-000015000000}">
      <text>
        <r>
          <rPr>
            <sz val="10"/>
            <color indexed="81"/>
            <rFont val="Tahoma"/>
            <family val="2"/>
          </rPr>
          <t>Plasterboard systems are subjected to P21 Tests at a height of 2.4m and so have System Type Flag "T"</t>
        </r>
      </text>
    </comment>
    <comment ref="Q103" authorId="0" shapeId="0" xr:uid="{00000000-0006-0000-0400-000016000000}">
      <text>
        <r>
          <rPr>
            <sz val="10"/>
            <color indexed="81"/>
            <rFont val="Tahoma"/>
            <family val="2"/>
          </rPr>
          <t>Plasterboard systems are subjected to P21 Tests at a height of 2.4m and so have System Type Flag "T"</t>
        </r>
      </text>
    </comment>
    <comment ref="O104" authorId="0" shapeId="0" xr:uid="{00000000-0006-0000-0400-000017000000}">
      <text>
        <r>
          <rPr>
            <sz val="10"/>
            <color indexed="81"/>
            <rFont val="Tahoma"/>
            <family val="2"/>
          </rPr>
          <t>Plasterboard systems are subjected to P21 Tests at a height of 2.4m and so have System Type Flag "T"</t>
        </r>
      </text>
    </comment>
    <comment ref="Q104" authorId="0" shapeId="0" xr:uid="{00000000-0006-0000-0400-000018000000}">
      <text>
        <r>
          <rPr>
            <sz val="10"/>
            <color indexed="81"/>
            <rFont val="Tahoma"/>
            <family val="2"/>
          </rPr>
          <t>Plasterboard systems are subjected to P21 Tests at a height of 2.4m and so have System Type Flag "T"</t>
        </r>
      </text>
    </comment>
    <comment ref="O105" authorId="0" shapeId="0" xr:uid="{00000000-0006-0000-0400-000019000000}">
      <text>
        <r>
          <rPr>
            <sz val="10"/>
            <color indexed="81"/>
            <rFont val="Tahoma"/>
            <family val="2"/>
          </rPr>
          <t>Plasterboard systems are subjected to P21 Tests at a height of 2.4m and so have System Type Flag "T"</t>
        </r>
      </text>
    </comment>
    <comment ref="Q105" authorId="0" shapeId="0" xr:uid="{00000000-0006-0000-0400-00001A000000}">
      <text>
        <r>
          <rPr>
            <sz val="10"/>
            <color indexed="81"/>
            <rFont val="Tahoma"/>
            <family val="2"/>
          </rPr>
          <t>Plasterboard systems are subjected to P21 Tests at a height of 2.4m and so have System Type Flag "T"</t>
        </r>
      </text>
    </comment>
    <comment ref="O106" authorId="0" shapeId="0" xr:uid="{00000000-0006-0000-0400-00001B000000}">
      <text>
        <r>
          <rPr>
            <sz val="10"/>
            <color indexed="81"/>
            <rFont val="Tahoma"/>
            <family val="2"/>
          </rPr>
          <t>Plasterboard systems are subjected to P21 Tests at a height of 2.4m and so have System Type Flag "T"</t>
        </r>
      </text>
    </comment>
    <comment ref="Q106" authorId="0" shapeId="0" xr:uid="{00000000-0006-0000-0400-00001C000000}">
      <text>
        <r>
          <rPr>
            <sz val="10"/>
            <color indexed="81"/>
            <rFont val="Tahoma"/>
            <family val="2"/>
          </rPr>
          <t>Plasterboard systems are subjected to P21 Tests at a height of 2.4m and so have System Type Flag "T"</t>
        </r>
      </text>
    </comment>
    <comment ref="O107" authorId="0" shapeId="0" xr:uid="{00000000-0006-0000-0400-00001D000000}">
      <text>
        <r>
          <rPr>
            <sz val="10"/>
            <color indexed="81"/>
            <rFont val="Tahoma"/>
            <family val="2"/>
          </rPr>
          <t>Plasterboard systems are subjected to P21 Tests at a height of 2.4m and so have System Type Flag "T"</t>
        </r>
      </text>
    </comment>
    <comment ref="Q107" authorId="0" shapeId="0" xr:uid="{00000000-0006-0000-0400-00001E000000}">
      <text>
        <r>
          <rPr>
            <sz val="10"/>
            <color indexed="81"/>
            <rFont val="Tahoma"/>
            <family val="2"/>
          </rPr>
          <t>Plasterboard systems are subjected to P21 Tests at a height of 2.4m and so have System Type Flag "T"</t>
        </r>
      </text>
    </comment>
    <comment ref="O108" authorId="0" shapeId="0" xr:uid="{00000000-0006-0000-0400-00001F000000}">
      <text>
        <r>
          <rPr>
            <sz val="10"/>
            <color indexed="81"/>
            <rFont val="Tahoma"/>
            <family val="2"/>
          </rPr>
          <t>Plasterboard systems are subjected to P21 Tests at a height of 2.4m and so have System Type Flag "T"</t>
        </r>
      </text>
    </comment>
    <comment ref="Q108" authorId="0" shapeId="0" xr:uid="{00000000-0006-0000-0400-000020000000}">
      <text>
        <r>
          <rPr>
            <sz val="10"/>
            <color indexed="81"/>
            <rFont val="Tahoma"/>
            <family val="2"/>
          </rPr>
          <t>Plasterboard systems are subjected to P21 Tests at a height of 2.4m and so have System Type Flag "T"</t>
        </r>
      </text>
    </comment>
    <comment ref="O109" authorId="0" shapeId="0" xr:uid="{00000000-0006-0000-0400-000021000000}">
      <text>
        <r>
          <rPr>
            <sz val="10"/>
            <color indexed="81"/>
            <rFont val="Tahoma"/>
            <family val="2"/>
          </rPr>
          <t>Plasterboard systems are subjected to P21 Tests at a height of 2.4m and so have System Type Flag "T"</t>
        </r>
      </text>
    </comment>
    <comment ref="Q109" authorId="0" shapeId="0" xr:uid="{00000000-0006-0000-0400-000022000000}">
      <text>
        <r>
          <rPr>
            <sz val="10"/>
            <color indexed="81"/>
            <rFont val="Tahoma"/>
            <family val="2"/>
          </rPr>
          <t>Plasterboard systems are subjected to P21 Tests at a height of 2.4m and so have System Type Flag "T"</t>
        </r>
      </text>
    </comment>
    <comment ref="O110" authorId="0" shapeId="0" xr:uid="{00000000-0006-0000-0400-000023000000}">
      <text>
        <r>
          <rPr>
            <sz val="10"/>
            <color indexed="81"/>
            <rFont val="Tahoma"/>
            <family val="2"/>
          </rPr>
          <t>Plasterboard systems are subjected to P21 Tests at a height of 2.4m and so have System Type Flag "T"</t>
        </r>
      </text>
    </comment>
    <comment ref="Q110" authorId="0" shapeId="0" xr:uid="{00000000-0006-0000-0400-000024000000}">
      <text>
        <r>
          <rPr>
            <sz val="10"/>
            <color indexed="81"/>
            <rFont val="Tahoma"/>
            <family val="2"/>
          </rPr>
          <t>Plasterboard systems are subjected to P21 Tests at a height of 2.4m and so have System Type Flag "T"</t>
        </r>
      </text>
    </comment>
    <comment ref="O111" authorId="0" shapeId="0" xr:uid="{00000000-0006-0000-0400-000025000000}">
      <text>
        <r>
          <rPr>
            <sz val="10"/>
            <color indexed="81"/>
            <rFont val="Tahoma"/>
            <family val="2"/>
          </rPr>
          <t>Plasterboard systems are subjected to P21 Tests at a height of 2.4m and so have System Type Flag "T"</t>
        </r>
      </text>
    </comment>
    <comment ref="Q111" authorId="0" shapeId="0" xr:uid="{00000000-0006-0000-0400-000026000000}">
      <text>
        <r>
          <rPr>
            <sz val="10"/>
            <color indexed="81"/>
            <rFont val="Tahoma"/>
            <family val="2"/>
          </rPr>
          <t>Plasterboard systems are subjected to P21 Tests at a height of 2.4m and so have System Type Flag "T"</t>
        </r>
      </text>
    </comment>
    <comment ref="O112" authorId="0" shapeId="0" xr:uid="{00000000-0006-0000-0400-000027000000}">
      <text>
        <r>
          <rPr>
            <sz val="10"/>
            <color indexed="81"/>
            <rFont val="Tahoma"/>
            <family val="2"/>
          </rPr>
          <t>Plasterboard systems are subjected to P21 Tests at a height of 2.4m and so have System Type Flag "T"</t>
        </r>
      </text>
    </comment>
    <comment ref="Q112" authorId="0" shapeId="0" xr:uid="{00000000-0006-0000-0400-000028000000}">
      <text>
        <r>
          <rPr>
            <sz val="10"/>
            <color indexed="81"/>
            <rFont val="Tahoma"/>
            <family val="2"/>
          </rPr>
          <t>Plasterboard systems are subjected to P21 Tests at a height of 2.4m and so have System Type Flag "T"</t>
        </r>
      </text>
    </comment>
    <comment ref="O113" authorId="0" shapeId="0" xr:uid="{00000000-0006-0000-0400-000029000000}">
      <text>
        <r>
          <rPr>
            <sz val="10"/>
            <color indexed="81"/>
            <rFont val="Tahoma"/>
            <family val="2"/>
          </rPr>
          <t>Plasterboard systems are subjected to P21 Tests at a height of 2.4m and so have System Type Flag "T"</t>
        </r>
      </text>
    </comment>
    <comment ref="Q113" authorId="0" shapeId="0" xr:uid="{00000000-0006-0000-0400-00002A000000}">
      <text>
        <r>
          <rPr>
            <sz val="10"/>
            <color indexed="81"/>
            <rFont val="Tahoma"/>
            <family val="2"/>
          </rPr>
          <t>Plasterboard systems are subjected to P21 Tests at a height of 2.4m and so have System Type Flag "T"</t>
        </r>
      </text>
    </comment>
    <comment ref="O115" authorId="0" shapeId="0" xr:uid="{00000000-0006-0000-0400-00002B000000}">
      <text>
        <r>
          <rPr>
            <sz val="10"/>
            <color indexed="81"/>
            <rFont val="Tahoma"/>
            <family val="2"/>
          </rPr>
          <t>Plasterboard systems are subjected to P21 Tests at a height of 2.4m and so have System Type Flag "T"</t>
        </r>
      </text>
    </comment>
    <comment ref="Q115" authorId="0" shapeId="0" xr:uid="{00000000-0006-0000-0400-00002C000000}">
      <text>
        <r>
          <rPr>
            <sz val="10"/>
            <color indexed="81"/>
            <rFont val="Tahoma"/>
            <family val="2"/>
          </rPr>
          <t>Plasterboard systems are subjected to P21 Tests at a height of 2.4m and so have System Type Flag "T"</t>
        </r>
      </text>
    </comment>
    <comment ref="O116" authorId="0" shapeId="0" xr:uid="{00000000-0006-0000-0400-00002D000000}">
      <text>
        <r>
          <rPr>
            <sz val="10"/>
            <color indexed="81"/>
            <rFont val="Tahoma"/>
            <family val="2"/>
          </rPr>
          <t>Plasterboard systems are subjected to P21 Tests at a height of 2.4m and so have System Type Flag "T"</t>
        </r>
      </text>
    </comment>
    <comment ref="Q116" authorId="0" shapeId="0" xr:uid="{00000000-0006-0000-0400-00002E000000}">
      <text>
        <r>
          <rPr>
            <sz val="10"/>
            <color indexed="81"/>
            <rFont val="Tahoma"/>
            <family val="2"/>
          </rPr>
          <t>Plasterboard systems are subjected to P21 Tests at a height of 2.4m and so have System Type Flag "T"</t>
        </r>
      </text>
    </comment>
    <comment ref="O117" authorId="0" shapeId="0" xr:uid="{00000000-0006-0000-0400-00002F000000}">
      <text>
        <r>
          <rPr>
            <sz val="10"/>
            <color indexed="81"/>
            <rFont val="Tahoma"/>
            <family val="2"/>
          </rPr>
          <t>Plasterboard systems are subjected to P21 Tests at a height of 2.4m and so have System Type Flag "T"</t>
        </r>
      </text>
    </comment>
    <comment ref="Q117" authorId="0" shapeId="0" xr:uid="{00000000-0006-0000-0400-000030000000}">
      <text>
        <r>
          <rPr>
            <sz val="10"/>
            <color indexed="81"/>
            <rFont val="Tahoma"/>
            <family val="2"/>
          </rPr>
          <t>Plasterboard systems are subjected to P21 Tests at a height of 2.4m and so have System Type Flag "T"</t>
        </r>
      </text>
    </comment>
    <comment ref="O118" authorId="0" shapeId="0" xr:uid="{00000000-0006-0000-0400-000031000000}">
      <text>
        <r>
          <rPr>
            <sz val="10"/>
            <color indexed="81"/>
            <rFont val="Tahoma"/>
            <family val="2"/>
          </rPr>
          <t>Plasterboard systems are subjected to P21 Tests at a height of 2.4m and so have System Type Flag "T"</t>
        </r>
      </text>
    </comment>
    <comment ref="Q118" authorId="0" shapeId="0" xr:uid="{00000000-0006-0000-0400-000032000000}">
      <text>
        <r>
          <rPr>
            <sz val="10"/>
            <color indexed="81"/>
            <rFont val="Tahoma"/>
            <family val="2"/>
          </rPr>
          <t>Plasterboard systems are subjected to P21 Tests at a height of 2.4m and so have System Type Flag "T"</t>
        </r>
      </text>
    </comment>
    <comment ref="O119" authorId="0" shapeId="0" xr:uid="{00000000-0006-0000-0400-000033000000}">
      <text>
        <r>
          <rPr>
            <sz val="10"/>
            <color indexed="81"/>
            <rFont val="Tahoma"/>
            <family val="2"/>
          </rPr>
          <t>Plasterboard systems are subjected to P21 Tests at a height of 2.4m and so have System Type Flag "T"</t>
        </r>
      </text>
    </comment>
    <comment ref="Q119" authorId="0" shapeId="0" xr:uid="{00000000-0006-0000-0400-000034000000}">
      <text>
        <r>
          <rPr>
            <sz val="10"/>
            <color indexed="81"/>
            <rFont val="Tahoma"/>
            <family val="2"/>
          </rPr>
          <t>Plasterboard systems are subjected to P21 Tests at a height of 2.4m and so have System Type Flag "T"</t>
        </r>
      </text>
    </comment>
    <comment ref="O120" authorId="0" shapeId="0" xr:uid="{00000000-0006-0000-0400-000035000000}">
      <text>
        <r>
          <rPr>
            <sz val="10"/>
            <color indexed="81"/>
            <rFont val="Tahoma"/>
            <family val="2"/>
          </rPr>
          <t>Plasterboard systems are subjected to P21 Tests at a height of 2.4m and so have System Type Flag "T"</t>
        </r>
      </text>
    </comment>
    <comment ref="Q120" authorId="0" shapeId="0" xr:uid="{00000000-0006-0000-0400-000036000000}">
      <text>
        <r>
          <rPr>
            <sz val="10"/>
            <color indexed="81"/>
            <rFont val="Tahoma"/>
            <family val="2"/>
          </rPr>
          <t>Plasterboard systems are subjected to P21 Tests at a height of 2.4m and so have System Type Flag "T"</t>
        </r>
      </text>
    </comment>
    <comment ref="O121" authorId="0" shapeId="0" xr:uid="{00000000-0006-0000-0400-000037000000}">
      <text>
        <r>
          <rPr>
            <sz val="10"/>
            <color indexed="81"/>
            <rFont val="Tahoma"/>
            <family val="2"/>
          </rPr>
          <t>Plasterboard systems are subjected to P21 Tests at a height of 2.4m and so have System Type Flag "T"</t>
        </r>
      </text>
    </comment>
    <comment ref="Q121" authorId="0" shapeId="0" xr:uid="{00000000-0006-0000-0400-000038000000}">
      <text>
        <r>
          <rPr>
            <sz val="10"/>
            <color indexed="81"/>
            <rFont val="Tahoma"/>
            <family val="2"/>
          </rPr>
          <t>Plasterboard systems are subjected to P21 Tests at a height of 2.4m and so have System Type Flag "T"</t>
        </r>
      </text>
    </comment>
    <comment ref="O122" authorId="0" shapeId="0" xr:uid="{00000000-0006-0000-0400-000039000000}">
      <text>
        <r>
          <rPr>
            <sz val="10"/>
            <color indexed="81"/>
            <rFont val="Tahoma"/>
            <family val="2"/>
          </rPr>
          <t>Plasterboard systems are subjected to P21 Tests at a height of 2.4m and so have System Type Flag "T"</t>
        </r>
      </text>
    </comment>
    <comment ref="Q122" authorId="0" shapeId="0" xr:uid="{00000000-0006-0000-0400-00003A000000}">
      <text>
        <r>
          <rPr>
            <sz val="10"/>
            <color indexed="81"/>
            <rFont val="Tahoma"/>
            <family val="2"/>
          </rPr>
          <t>Plasterboard systems are subjected to P21 Tests at a height of 2.4m and so have System Type Flag "T"</t>
        </r>
      </text>
    </comment>
    <comment ref="O123" authorId="0" shapeId="0" xr:uid="{00000000-0006-0000-0400-00003B000000}">
      <text>
        <r>
          <rPr>
            <sz val="10"/>
            <color indexed="81"/>
            <rFont val="Tahoma"/>
            <family val="2"/>
          </rPr>
          <t>Plasterboard systems are subjected to P21 Tests at a height of 2.4m and so have System Type Flag "T"</t>
        </r>
      </text>
    </comment>
    <comment ref="Q123" authorId="0" shapeId="0" xr:uid="{00000000-0006-0000-0400-00003C000000}">
      <text>
        <r>
          <rPr>
            <sz val="10"/>
            <color indexed="81"/>
            <rFont val="Tahoma"/>
            <family val="2"/>
          </rPr>
          <t>Plasterboard systems are subjected to P21 Tests at a height of 2.4m and so have System Type Flag "T"</t>
        </r>
      </text>
    </comment>
    <comment ref="O124" authorId="0" shapeId="0" xr:uid="{00000000-0006-0000-0400-00003D000000}">
      <text>
        <r>
          <rPr>
            <sz val="10"/>
            <color indexed="81"/>
            <rFont val="Tahoma"/>
            <family val="2"/>
          </rPr>
          <t>Plasterboard systems are subjected to P21 Tests at a height of 2.4m and so have System Type Flag "T"</t>
        </r>
      </text>
    </comment>
    <comment ref="Q124" authorId="0" shapeId="0" xr:uid="{00000000-0006-0000-0400-00003E000000}">
      <text>
        <r>
          <rPr>
            <sz val="10"/>
            <color indexed="81"/>
            <rFont val="Tahoma"/>
            <family val="2"/>
          </rPr>
          <t>Plasterboard systems are subjected to P21 Tests at a height of 2.4m and so have System Type Flag "T"</t>
        </r>
      </text>
    </comment>
    <comment ref="O125" authorId="0" shapeId="0" xr:uid="{00000000-0006-0000-0400-00003F000000}">
      <text>
        <r>
          <rPr>
            <sz val="10"/>
            <color indexed="81"/>
            <rFont val="Tahoma"/>
            <family val="2"/>
          </rPr>
          <t>Plasterboard systems are subjected to P21 Tests at a height of 2.4m and so have System Type Flag "T"</t>
        </r>
      </text>
    </comment>
    <comment ref="Q125" authorId="0" shapeId="0" xr:uid="{00000000-0006-0000-0400-000040000000}">
      <text>
        <r>
          <rPr>
            <sz val="10"/>
            <color indexed="81"/>
            <rFont val="Tahoma"/>
            <family val="2"/>
          </rPr>
          <t>Plasterboard systems are subjected to P21 Tests at a height of 2.4m and so have System Type Flag "T"</t>
        </r>
      </text>
    </comment>
    <comment ref="O126" authorId="0" shapeId="0" xr:uid="{00000000-0006-0000-0400-000041000000}">
      <text>
        <r>
          <rPr>
            <sz val="10"/>
            <color indexed="81"/>
            <rFont val="Tahoma"/>
            <family val="2"/>
          </rPr>
          <t>Plasterboard systems are subjected to P21 Tests at a height of 2.4m and so have System Type Flag "T"</t>
        </r>
      </text>
    </comment>
    <comment ref="Q126" authorId="0" shapeId="0" xr:uid="{00000000-0006-0000-0400-000042000000}">
      <text>
        <r>
          <rPr>
            <sz val="10"/>
            <color indexed="81"/>
            <rFont val="Tahoma"/>
            <family val="2"/>
          </rPr>
          <t>Plasterboard systems are subjected to P21 Tests at a height of 2.4m and so have System Type Flag "T"</t>
        </r>
      </text>
    </comment>
    <comment ref="O128" authorId="0" shapeId="0" xr:uid="{00000000-0006-0000-0400-000043000000}">
      <text>
        <r>
          <rPr>
            <b/>
            <sz val="10"/>
            <color indexed="81"/>
            <rFont val="Tahoma"/>
            <family val="2"/>
          </rPr>
          <t>Plasterboard systems are subjected to P21 Tests at a height of 2.4m and so have System Type Flag "T"</t>
        </r>
      </text>
    </comment>
    <comment ref="Q128" authorId="0" shapeId="0" xr:uid="{00000000-0006-0000-0400-000044000000}">
      <text>
        <r>
          <rPr>
            <b/>
            <sz val="10"/>
            <color indexed="81"/>
            <rFont val="Tahoma"/>
            <family val="2"/>
          </rPr>
          <t>Plasterboard systems are subjected to P21 Tests at a height of 2.4m and so have System Type Flag "T"</t>
        </r>
      </text>
    </comment>
    <comment ref="O129" authorId="0" shapeId="0" xr:uid="{00000000-0006-0000-0400-000045000000}">
      <text>
        <r>
          <rPr>
            <b/>
            <sz val="10"/>
            <color indexed="81"/>
            <rFont val="Tahoma"/>
            <family val="2"/>
          </rPr>
          <t>Plasterboard systems are subjected to P21 Tests at a height of 2.4m and so have System Type Flag "T"</t>
        </r>
      </text>
    </comment>
    <comment ref="Q129" authorId="0" shapeId="0" xr:uid="{00000000-0006-0000-0400-000046000000}">
      <text>
        <r>
          <rPr>
            <b/>
            <sz val="10"/>
            <color indexed="81"/>
            <rFont val="Tahoma"/>
            <family val="2"/>
          </rPr>
          <t>Plasterboard systems are subjected to P21 Tests at a height of 2.4m and so have System Type Flag "T"</t>
        </r>
      </text>
    </comment>
    <comment ref="O130" authorId="0" shapeId="0" xr:uid="{00000000-0006-0000-0400-000047000000}">
      <text>
        <r>
          <rPr>
            <b/>
            <sz val="10"/>
            <color indexed="81"/>
            <rFont val="Tahoma"/>
            <family val="2"/>
          </rPr>
          <t>Plasterboard systems are subjected to P21 Tests at a height of 2.4m and so have System Type Flag "T"</t>
        </r>
      </text>
    </comment>
    <comment ref="Q130" authorId="0" shapeId="0" xr:uid="{00000000-0006-0000-0400-000048000000}">
      <text>
        <r>
          <rPr>
            <b/>
            <sz val="10"/>
            <color indexed="81"/>
            <rFont val="Tahoma"/>
            <family val="2"/>
          </rPr>
          <t>Plasterboard systems are subjected to P21 Tests at a height of 2.4m and so have System Type Flag "T"</t>
        </r>
      </text>
    </comment>
    <comment ref="O131" authorId="0" shapeId="0" xr:uid="{00000000-0006-0000-0400-000049000000}">
      <text>
        <r>
          <rPr>
            <b/>
            <sz val="10"/>
            <color indexed="81"/>
            <rFont val="Tahoma"/>
            <family val="2"/>
          </rPr>
          <t>Plasterboard systems are subjected to P21 Tests at a height of 2.4m and so have System Type Flag "T"</t>
        </r>
      </text>
    </comment>
    <comment ref="Q131" authorId="0" shapeId="0" xr:uid="{00000000-0006-0000-0400-00004A000000}">
      <text>
        <r>
          <rPr>
            <b/>
            <sz val="10"/>
            <color indexed="81"/>
            <rFont val="Tahoma"/>
            <family val="2"/>
          </rPr>
          <t>Plasterboard systems are subjected to P21 Tests at a height of 2.4m and so have System Type Flag "T"</t>
        </r>
      </text>
    </comment>
    <comment ref="O132" authorId="0" shapeId="0" xr:uid="{00000000-0006-0000-0400-00004B000000}">
      <text>
        <r>
          <rPr>
            <b/>
            <sz val="10"/>
            <color indexed="81"/>
            <rFont val="Tahoma"/>
            <family val="2"/>
          </rPr>
          <t>Plasterboard systems are subjected to P21 Tests at a height of 2.4m and so have System Type Flag "T"</t>
        </r>
      </text>
    </comment>
    <comment ref="Q132" authorId="0" shapeId="0" xr:uid="{00000000-0006-0000-0400-00004C000000}">
      <text>
        <r>
          <rPr>
            <b/>
            <sz val="10"/>
            <color indexed="81"/>
            <rFont val="Tahoma"/>
            <family val="2"/>
          </rPr>
          <t>Plasterboard systems are subjected to P21 Tests at a height of 2.4m and so have System Type Flag "T"</t>
        </r>
      </text>
    </comment>
    <comment ref="O133" authorId="0" shapeId="0" xr:uid="{00000000-0006-0000-0400-00004D000000}">
      <text>
        <r>
          <rPr>
            <b/>
            <sz val="10"/>
            <color indexed="81"/>
            <rFont val="Tahoma"/>
            <family val="2"/>
          </rPr>
          <t>Plasterboard systems are subjected to P21 Tests at a height of 2.4m and so have System Type Flag "T"</t>
        </r>
      </text>
    </comment>
    <comment ref="Q133" authorId="0" shapeId="0" xr:uid="{00000000-0006-0000-0400-00004E000000}">
      <text>
        <r>
          <rPr>
            <b/>
            <sz val="10"/>
            <color indexed="81"/>
            <rFont val="Tahoma"/>
            <family val="2"/>
          </rPr>
          <t>Plasterboard systems are subjected to P21 Tests at a height of 2.4m and so have System Type Flag "T"</t>
        </r>
      </text>
    </comment>
    <comment ref="O134" authorId="0" shapeId="0" xr:uid="{00000000-0006-0000-0400-00004F000000}">
      <text>
        <r>
          <rPr>
            <b/>
            <sz val="10"/>
            <color indexed="81"/>
            <rFont val="Tahoma"/>
            <family val="2"/>
          </rPr>
          <t>Plasterboard systems are subjected to P21 Tests at a height of 2.4m and so have System Type Flag "T"</t>
        </r>
      </text>
    </comment>
    <comment ref="Q134" authorId="0" shapeId="0" xr:uid="{00000000-0006-0000-0400-000050000000}">
      <text>
        <r>
          <rPr>
            <b/>
            <sz val="10"/>
            <color indexed="81"/>
            <rFont val="Tahoma"/>
            <family val="2"/>
          </rPr>
          <t>Plasterboard systems are subjected to P21 Tests at a height of 2.4m and so have System Type Flag "T"</t>
        </r>
      </text>
    </comment>
    <comment ref="O135" authorId="0" shapeId="0" xr:uid="{00000000-0006-0000-0400-000051000000}">
      <text>
        <r>
          <rPr>
            <b/>
            <sz val="10"/>
            <color indexed="81"/>
            <rFont val="Tahoma"/>
            <family val="2"/>
          </rPr>
          <t>Plasterboard systems are subjected to P21 Tests at a height of 2.4m and so have System Type Flag "T"</t>
        </r>
      </text>
    </comment>
    <comment ref="Q135" authorId="0" shapeId="0" xr:uid="{00000000-0006-0000-0400-000052000000}">
      <text>
        <r>
          <rPr>
            <b/>
            <sz val="10"/>
            <color indexed="81"/>
            <rFont val="Tahoma"/>
            <family val="2"/>
          </rPr>
          <t>Plasterboard systems are subjected to P21 Tests at a height of 2.4m and so have System Type Flag "T"</t>
        </r>
      </text>
    </comment>
    <comment ref="O136" authorId="0" shapeId="0" xr:uid="{00000000-0006-0000-0400-000053000000}">
      <text>
        <r>
          <rPr>
            <b/>
            <sz val="10"/>
            <color indexed="81"/>
            <rFont val="Tahoma"/>
            <family val="2"/>
          </rPr>
          <t>Plasterboard systems are subjected to P21 Tests at a height of 2.4m and so have System Type Flag "T"</t>
        </r>
      </text>
    </comment>
    <comment ref="Q136" authorId="0" shapeId="0" xr:uid="{00000000-0006-0000-0400-000054000000}">
      <text>
        <r>
          <rPr>
            <b/>
            <sz val="10"/>
            <color indexed="81"/>
            <rFont val="Tahoma"/>
            <family val="2"/>
          </rPr>
          <t>Plasterboard systems are subjected to P21 Tests at a height of 2.4m and so have System Type Flag "T"</t>
        </r>
      </text>
    </comment>
    <comment ref="O144" authorId="0" shapeId="0" xr:uid="{00000000-0006-0000-0400-000055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Q144" authorId="0" shapeId="0" xr:uid="{00000000-0006-0000-0400-000056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O149" authorId="0" shapeId="0" xr:uid="{00000000-0006-0000-0400-000057000000}">
      <text>
        <r>
          <rPr>
            <sz val="10"/>
            <color indexed="81"/>
            <rFont val="Tahoma"/>
            <family val="2"/>
          </rPr>
          <t>Plasterboard systems are subjected to P21 Tests at a height of 2.4m and so have System Type Flag "T"</t>
        </r>
      </text>
    </comment>
    <comment ref="Q149" authorId="0" shapeId="0" xr:uid="{00000000-0006-0000-0400-000058000000}">
      <text>
        <r>
          <rPr>
            <sz val="10"/>
            <color indexed="81"/>
            <rFont val="Tahoma"/>
            <family val="2"/>
          </rPr>
          <t>Plasterboard systems are subjected to P21 Tests at a height of 2.4m and so have System Type Flag "T"</t>
        </r>
      </text>
    </comment>
    <comment ref="O150" authorId="0" shapeId="0" xr:uid="{00000000-0006-0000-0400-000059000000}">
      <text>
        <r>
          <rPr>
            <sz val="10"/>
            <color indexed="81"/>
            <rFont val="Tahoma"/>
            <family val="2"/>
          </rPr>
          <t>Plasterboard systems are subjected to P21 Tests at a height of 2.4m and so have System Type Flag "T"</t>
        </r>
      </text>
    </comment>
    <comment ref="Q150" authorId="0" shapeId="0" xr:uid="{00000000-0006-0000-0400-00005A000000}">
      <text>
        <r>
          <rPr>
            <sz val="10"/>
            <color indexed="81"/>
            <rFont val="Tahoma"/>
            <family val="2"/>
          </rPr>
          <t>Plasterboard systems are subjected to P21 Tests at a height of 2.4m and so have System Type Flag "T"</t>
        </r>
      </text>
    </comment>
    <comment ref="O151" authorId="0" shapeId="0" xr:uid="{00000000-0006-0000-0400-00005B000000}">
      <text>
        <r>
          <rPr>
            <sz val="10"/>
            <color indexed="81"/>
            <rFont val="Tahoma"/>
            <family val="2"/>
          </rPr>
          <t>Plasterboard systems are subjected to P21 Tests at a height of 2.4m and so have System Type Flag "T"</t>
        </r>
      </text>
    </comment>
    <comment ref="Q151" authorId="0" shapeId="0" xr:uid="{00000000-0006-0000-0400-00005C000000}">
      <text>
        <r>
          <rPr>
            <sz val="10"/>
            <color indexed="81"/>
            <rFont val="Tahoma"/>
            <family val="2"/>
          </rPr>
          <t>Plasterboard systems are subjected to P21 Tests at a height of 2.4m and so have System Type Flag "T"</t>
        </r>
      </text>
    </comment>
    <comment ref="O153" authorId="0" shapeId="0" xr:uid="{00000000-0006-0000-0400-00005D000000}">
      <text>
        <r>
          <rPr>
            <sz val="10"/>
            <color indexed="81"/>
            <rFont val="Tahoma"/>
            <family val="2"/>
          </rPr>
          <t>Plasterboard systems are subjected to P21 Tests at a height of 2.4m and so have System Type Flag "T"</t>
        </r>
      </text>
    </comment>
    <comment ref="Q153" authorId="0" shapeId="0" xr:uid="{00000000-0006-0000-0400-00005E000000}">
      <text>
        <r>
          <rPr>
            <sz val="10"/>
            <color indexed="81"/>
            <rFont val="Tahoma"/>
            <family val="2"/>
          </rPr>
          <t>Plasterboard systems are subjected to P21 Tests at a height of 2.4m and so have System Type Flag "T"</t>
        </r>
      </text>
    </comment>
    <comment ref="O154" authorId="0" shapeId="0" xr:uid="{00000000-0006-0000-0400-00005F000000}">
      <text>
        <r>
          <rPr>
            <sz val="10"/>
            <color indexed="81"/>
            <rFont val="Tahoma"/>
            <family val="2"/>
          </rPr>
          <t>Plasterboard systems are subjected to P21 Tests at a height of 2.4m and so have System Type Flag "T"</t>
        </r>
      </text>
    </comment>
    <comment ref="Q154" authorId="0" shapeId="0" xr:uid="{00000000-0006-0000-0400-000060000000}">
      <text>
        <r>
          <rPr>
            <sz val="10"/>
            <color indexed="81"/>
            <rFont val="Tahoma"/>
            <family val="2"/>
          </rPr>
          <t>Plasterboard systems are subjected to P21 Tests at a height of 2.4m and so have System Type Flag "T"</t>
        </r>
      </text>
    </comment>
    <comment ref="O155" authorId="0" shapeId="0" xr:uid="{00000000-0006-0000-0400-000061000000}">
      <text>
        <r>
          <rPr>
            <sz val="10"/>
            <color indexed="81"/>
            <rFont val="Tahoma"/>
            <family val="2"/>
          </rPr>
          <t>Plasterboard systems are subjected to P21 Tests at a height of 2.4m and so have System Type Flag "T"</t>
        </r>
      </text>
    </comment>
    <comment ref="Q155" authorId="0" shapeId="0" xr:uid="{00000000-0006-0000-0400-000062000000}">
      <text>
        <r>
          <rPr>
            <sz val="10"/>
            <color indexed="81"/>
            <rFont val="Tahoma"/>
            <family val="2"/>
          </rPr>
          <t>Plasterboard systems are subjected to P21 Tests at a height of 2.4m and so have System Type Flag "T"</t>
        </r>
      </text>
    </comment>
    <comment ref="O160" authorId="0" shapeId="0" xr:uid="{00000000-0006-0000-0400-000063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Q160" authorId="0" shapeId="0" xr:uid="{00000000-0006-0000-0400-000064000000}">
      <text>
        <r>
          <rPr>
            <sz val="10"/>
            <color indexed="81"/>
            <rFont val="Tahoma"/>
            <family val="2"/>
          </rPr>
          <t>Plasterboard Bracing Systems are tested using the BRANZ P21 Test Method at a stud height of 2.4m.  
Final on site performance reduces as a factor of  stud height.   E.g.  A system on a 3.0m stud height will perform at a rate of 2.4/3.0 or 80% of those stated here.</t>
        </r>
        <r>
          <rPr>
            <b/>
            <sz val="8"/>
            <color indexed="81"/>
            <rFont val="Tahoma"/>
            <family val="2"/>
          </rPr>
          <t xml:space="preserve">
</t>
        </r>
        <r>
          <rPr>
            <sz val="10"/>
            <color indexed="81"/>
            <rFont val="Tahoma"/>
            <family val="2"/>
          </rPr>
          <t xml:space="preserve">
</t>
        </r>
      </text>
    </comment>
    <comment ref="O165" authorId="0" shapeId="0" xr:uid="{00000000-0006-0000-0400-000065000000}">
      <text>
        <r>
          <rPr>
            <sz val="10"/>
            <color indexed="81"/>
            <rFont val="Tahoma"/>
            <family val="2"/>
          </rPr>
          <t>Plasterboard systems are subjected to P21 Tests at a height of 2.4m and so have System Type Flag "T"</t>
        </r>
      </text>
    </comment>
    <comment ref="Q165" authorId="0" shapeId="0" xr:uid="{00000000-0006-0000-0400-000066000000}">
      <text>
        <r>
          <rPr>
            <sz val="10"/>
            <color indexed="81"/>
            <rFont val="Tahoma"/>
            <family val="2"/>
          </rPr>
          <t>Plasterboard systems are subjected to P21 Tests at a height of 2.4m and so have System Type Flag "T"</t>
        </r>
      </text>
    </comment>
    <comment ref="O166" authorId="0" shapeId="0" xr:uid="{00000000-0006-0000-0400-000067000000}">
      <text>
        <r>
          <rPr>
            <sz val="10"/>
            <color indexed="81"/>
            <rFont val="Tahoma"/>
            <family val="2"/>
          </rPr>
          <t>Plasterboard systems are subjected to P21 Tests at a height of 2.4m and so have System Type Flag "T"</t>
        </r>
      </text>
    </comment>
    <comment ref="Q166" authorId="0" shapeId="0" xr:uid="{00000000-0006-0000-0400-000068000000}">
      <text>
        <r>
          <rPr>
            <sz val="10"/>
            <color indexed="81"/>
            <rFont val="Tahoma"/>
            <family val="2"/>
          </rPr>
          <t>Plasterboard systems are subjected to P21 Tests at a height of 2.4m and so have System Type Flag "T"</t>
        </r>
      </text>
    </comment>
    <comment ref="O167" authorId="0" shapeId="0" xr:uid="{00000000-0006-0000-0400-000069000000}">
      <text>
        <r>
          <rPr>
            <sz val="10"/>
            <color indexed="81"/>
            <rFont val="Tahoma"/>
            <family val="2"/>
          </rPr>
          <t>Plasterboard systems are subjected to P21 Tests at a height of 2.4m and so have System Type Flag "T"</t>
        </r>
      </text>
    </comment>
    <comment ref="Q167" authorId="0" shapeId="0" xr:uid="{00000000-0006-0000-0400-00006A000000}">
      <text>
        <r>
          <rPr>
            <sz val="10"/>
            <color indexed="81"/>
            <rFont val="Tahoma"/>
            <family val="2"/>
          </rPr>
          <t>Plasterboard systems are subjected to P21 Tests at a height of 2.4m and so have System Type Flag "T"</t>
        </r>
      </text>
    </comment>
    <comment ref="O168" authorId="0" shapeId="0" xr:uid="{00000000-0006-0000-0400-00006B000000}">
      <text>
        <r>
          <rPr>
            <sz val="10"/>
            <color indexed="81"/>
            <rFont val="Tahoma"/>
            <family val="2"/>
          </rPr>
          <t>Plasterboard systems are subjected to P21 Tests at a height of 2.4m and so have System Type Flag "T"</t>
        </r>
      </text>
    </comment>
    <comment ref="Q168" authorId="0" shapeId="0" xr:uid="{00000000-0006-0000-0400-00006C000000}">
      <text>
        <r>
          <rPr>
            <sz val="10"/>
            <color indexed="81"/>
            <rFont val="Tahoma"/>
            <family val="2"/>
          </rPr>
          <t>Plasterboard systems are subjected to P21 Tests at a height of 2.4m and so have System Type Flag "T"</t>
        </r>
      </text>
    </comment>
    <comment ref="O169" authorId="0" shapeId="0" xr:uid="{00000000-0006-0000-0400-00006D000000}">
      <text>
        <r>
          <rPr>
            <sz val="10"/>
            <color indexed="81"/>
            <rFont val="Tahoma"/>
            <family val="2"/>
          </rPr>
          <t>Plasterboard systems are subjected to P21 Tests at a height of 2.4m and so have System Type Flag "T"</t>
        </r>
      </text>
    </comment>
    <comment ref="Q169" authorId="0" shapeId="0" xr:uid="{00000000-0006-0000-0400-00006E000000}">
      <text>
        <r>
          <rPr>
            <sz val="10"/>
            <color indexed="81"/>
            <rFont val="Tahoma"/>
            <family val="2"/>
          </rPr>
          <t>Plasterboard systems are subjected to P21 Tests at a height of 2.4m and so have System Type Flag "T"</t>
        </r>
      </text>
    </comment>
    <comment ref="O170" authorId="0" shapeId="0" xr:uid="{00000000-0006-0000-0400-00006F000000}">
      <text>
        <r>
          <rPr>
            <sz val="10"/>
            <color indexed="81"/>
            <rFont val="Tahoma"/>
            <family val="2"/>
          </rPr>
          <t>Plasterboard systems are subjected to P21 Tests at a height of 2.4m and so have System Type Flag "T"</t>
        </r>
      </text>
    </comment>
    <comment ref="Q170" authorId="0" shapeId="0" xr:uid="{00000000-0006-0000-0400-000070000000}">
      <text>
        <r>
          <rPr>
            <sz val="10"/>
            <color indexed="81"/>
            <rFont val="Tahoma"/>
            <family val="2"/>
          </rPr>
          <t>Plasterboard systems are subjected to P21 Tests at a height of 2.4m and so have System Type Flag "T"</t>
        </r>
      </text>
    </comment>
    <comment ref="O171" authorId="0" shapeId="0" xr:uid="{00000000-0006-0000-0400-000071000000}">
      <text>
        <r>
          <rPr>
            <sz val="10"/>
            <color indexed="81"/>
            <rFont val="Tahoma"/>
            <family val="2"/>
          </rPr>
          <t>Plasterboard systems are subjected to P21 Tests at a height of 2.4m and so have System Type Flag "T"</t>
        </r>
      </text>
    </comment>
    <comment ref="Q171" authorId="0" shapeId="0" xr:uid="{00000000-0006-0000-0400-000072000000}">
      <text>
        <r>
          <rPr>
            <sz val="10"/>
            <color indexed="81"/>
            <rFont val="Tahoma"/>
            <family val="2"/>
          </rPr>
          <t>Plasterboard systems are subjected to P21 Tests at a height of 2.4m and so have System Type Flag "T"</t>
        </r>
      </text>
    </comment>
    <comment ref="O172" authorId="0" shapeId="0" xr:uid="{00000000-0006-0000-0400-000073000000}">
      <text>
        <r>
          <rPr>
            <sz val="10"/>
            <color indexed="81"/>
            <rFont val="Tahoma"/>
            <family val="2"/>
          </rPr>
          <t>Plasterboard systems are subjected to P21 Tests at a height of 2.4m and so have System Type Flag "T"</t>
        </r>
      </text>
    </comment>
    <comment ref="Q172" authorId="0" shapeId="0" xr:uid="{00000000-0006-0000-0400-000074000000}">
      <text>
        <r>
          <rPr>
            <sz val="10"/>
            <color indexed="81"/>
            <rFont val="Tahoma"/>
            <family val="2"/>
          </rPr>
          <t>Plasterboard systems are subjected to P21 Tests at a height of 2.4m and so have System Type Flag "T"</t>
        </r>
      </text>
    </comment>
    <comment ref="O173" authorId="0" shapeId="0" xr:uid="{00000000-0006-0000-0400-000075000000}">
      <text>
        <r>
          <rPr>
            <sz val="10"/>
            <color indexed="81"/>
            <rFont val="Tahoma"/>
            <family val="2"/>
          </rPr>
          <t>Plasterboard systems are subjected to P21 Tests at a height of 2.4m and so have System Type Flag "T"</t>
        </r>
      </text>
    </comment>
    <comment ref="Q173" authorId="0" shapeId="0" xr:uid="{00000000-0006-0000-0400-000076000000}">
      <text>
        <r>
          <rPr>
            <sz val="10"/>
            <color indexed="81"/>
            <rFont val="Tahoma"/>
            <family val="2"/>
          </rPr>
          <t>Plasterboard systems are subjected to P21 Tests at a height of 2.4m and so have System Type Flag "T"</t>
        </r>
      </text>
    </comment>
    <comment ref="O174" authorId="0" shapeId="0" xr:uid="{00000000-0006-0000-0400-000077000000}">
      <text>
        <r>
          <rPr>
            <sz val="10"/>
            <color indexed="81"/>
            <rFont val="Tahoma"/>
            <family val="2"/>
          </rPr>
          <t>Plasterboard systems are subjected to P21 Tests at a height of 2.4m and so have System Type Flag "T"</t>
        </r>
      </text>
    </comment>
    <comment ref="Q174" authorId="0" shapeId="0" xr:uid="{00000000-0006-0000-0400-000078000000}">
      <text>
        <r>
          <rPr>
            <sz val="10"/>
            <color indexed="81"/>
            <rFont val="Tahoma"/>
            <family val="2"/>
          </rPr>
          <t>Plasterboard systems are subjected to P21 Tests at a height of 2.4m and so have System Type Flag "T"</t>
        </r>
      </text>
    </comment>
    <comment ref="O175" authorId="0" shapeId="0" xr:uid="{00000000-0006-0000-0400-000079000000}">
      <text>
        <r>
          <rPr>
            <sz val="10"/>
            <color indexed="81"/>
            <rFont val="Tahoma"/>
            <family val="2"/>
          </rPr>
          <t>Plasterboard systems are subjected to P21 Tests at a height of 2.4m and so have System Type Flag "T"</t>
        </r>
      </text>
    </comment>
    <comment ref="Q175" authorId="0" shapeId="0" xr:uid="{00000000-0006-0000-0400-00007A000000}">
      <text>
        <r>
          <rPr>
            <sz val="10"/>
            <color indexed="81"/>
            <rFont val="Tahoma"/>
            <family val="2"/>
          </rPr>
          <t>Plasterboard systems are subjected to P21 Tests at a height of 2.4m and so have System Type Flag "T"</t>
        </r>
      </text>
    </comment>
    <comment ref="O176" authorId="0" shapeId="0" xr:uid="{00000000-0006-0000-0400-00007B000000}">
      <text>
        <r>
          <rPr>
            <sz val="10"/>
            <color indexed="81"/>
            <rFont val="Tahoma"/>
            <family val="2"/>
          </rPr>
          <t>Plasterboard systems are subjected to P21 Tests at a height of 2.4m and so have System Type Flag "T"</t>
        </r>
      </text>
    </comment>
    <comment ref="Q176" authorId="0" shapeId="0" xr:uid="{00000000-0006-0000-0400-00007C000000}">
      <text>
        <r>
          <rPr>
            <sz val="10"/>
            <color indexed="81"/>
            <rFont val="Tahoma"/>
            <family val="2"/>
          </rPr>
          <t>Plasterboard systems are subjected to P21 Tests at a height of 2.4m and so have System Type Flag "T"</t>
        </r>
      </text>
    </comment>
    <comment ref="O178" authorId="0" shapeId="0" xr:uid="{00000000-0006-0000-0400-00007D000000}">
      <text>
        <r>
          <rPr>
            <sz val="10"/>
            <color indexed="81"/>
            <rFont val="Tahoma"/>
            <family val="2"/>
          </rPr>
          <t>Plasterboard systems are subjected to P21 Tests at a height of 2.4m and so have System Type Flag "T"</t>
        </r>
      </text>
    </comment>
    <comment ref="Q178" authorId="0" shapeId="0" xr:uid="{00000000-0006-0000-0400-00007E000000}">
      <text>
        <r>
          <rPr>
            <sz val="10"/>
            <color indexed="81"/>
            <rFont val="Tahoma"/>
            <family val="2"/>
          </rPr>
          <t>Plasterboard systems are subjected to P21 Tests at a height of 2.4m and so have System Type Flag "T"</t>
        </r>
      </text>
    </comment>
    <comment ref="O179" authorId="0" shapeId="0" xr:uid="{00000000-0006-0000-0400-00007F000000}">
      <text>
        <r>
          <rPr>
            <sz val="10"/>
            <color indexed="81"/>
            <rFont val="Tahoma"/>
            <family val="2"/>
          </rPr>
          <t>Plasterboard systems are subjected to P21 Tests at a height of 2.4m and so have System Type Flag "T"</t>
        </r>
      </text>
    </comment>
    <comment ref="Q179" authorId="0" shapeId="0" xr:uid="{00000000-0006-0000-0400-000080000000}">
      <text>
        <r>
          <rPr>
            <sz val="10"/>
            <color indexed="81"/>
            <rFont val="Tahoma"/>
            <family val="2"/>
          </rPr>
          <t>Plasterboard systems are subjected to P21 Tests at a height of 2.4m and so have System Type Flag "T"</t>
        </r>
      </text>
    </comment>
    <comment ref="O180" authorId="0" shapeId="0" xr:uid="{00000000-0006-0000-0400-000081000000}">
      <text>
        <r>
          <rPr>
            <sz val="10"/>
            <color indexed="81"/>
            <rFont val="Tahoma"/>
            <family val="2"/>
          </rPr>
          <t>Plasterboard systems are subjected to P21 Tests at a height of 2.4m and so have System Type Flag "T"</t>
        </r>
      </text>
    </comment>
    <comment ref="Q180" authorId="0" shapeId="0" xr:uid="{00000000-0006-0000-0400-000082000000}">
      <text>
        <r>
          <rPr>
            <sz val="10"/>
            <color indexed="81"/>
            <rFont val="Tahoma"/>
            <family val="2"/>
          </rPr>
          <t>Plasterboard systems are subjected to P21 Tests at a height of 2.4m and so have System Type Flag "T"</t>
        </r>
      </text>
    </comment>
    <comment ref="O181" authorId="0" shapeId="0" xr:uid="{00000000-0006-0000-0400-000083000000}">
      <text>
        <r>
          <rPr>
            <sz val="10"/>
            <color indexed="81"/>
            <rFont val="Tahoma"/>
            <family val="2"/>
          </rPr>
          <t>Plasterboard systems are subjected to P21 Tests at a height of 2.4m and so have System Type Flag "T"</t>
        </r>
      </text>
    </comment>
    <comment ref="Q181" authorId="0" shapeId="0" xr:uid="{00000000-0006-0000-0400-000084000000}">
      <text>
        <r>
          <rPr>
            <sz val="10"/>
            <color indexed="81"/>
            <rFont val="Tahoma"/>
            <family val="2"/>
          </rPr>
          <t>Plasterboard systems are subjected to P21 Tests at a height of 2.4m and so have System Type Flag "T"</t>
        </r>
      </text>
    </comment>
    <comment ref="O182" authorId="0" shapeId="0" xr:uid="{00000000-0006-0000-0400-000085000000}">
      <text>
        <r>
          <rPr>
            <sz val="10"/>
            <color indexed="81"/>
            <rFont val="Tahoma"/>
            <family val="2"/>
          </rPr>
          <t>Plasterboard systems are subjected to P21 Tests at a height of 2.4m and so have System Type Flag "T"</t>
        </r>
      </text>
    </comment>
    <comment ref="Q182" authorId="0" shapeId="0" xr:uid="{00000000-0006-0000-0400-000086000000}">
      <text>
        <r>
          <rPr>
            <sz val="10"/>
            <color indexed="81"/>
            <rFont val="Tahoma"/>
            <family val="2"/>
          </rPr>
          <t>Plasterboard systems are subjected to P21 Tests at a height of 2.4m and so have System Type Flag "T"</t>
        </r>
      </text>
    </comment>
    <comment ref="O183" authorId="0" shapeId="0" xr:uid="{00000000-0006-0000-0400-000087000000}">
      <text>
        <r>
          <rPr>
            <sz val="10"/>
            <color indexed="81"/>
            <rFont val="Tahoma"/>
            <family val="2"/>
          </rPr>
          <t>Plasterboard systems are subjected to P21 Tests at a height of 2.4m and so have System Type Flag "T"</t>
        </r>
      </text>
    </comment>
    <comment ref="Q183" authorId="0" shapeId="0" xr:uid="{00000000-0006-0000-0400-000088000000}">
      <text>
        <r>
          <rPr>
            <sz val="10"/>
            <color indexed="81"/>
            <rFont val="Tahoma"/>
            <family val="2"/>
          </rPr>
          <t>Plasterboard systems are subjected to P21 Tests at a height of 2.4m and so have System Type Flag "T"</t>
        </r>
      </text>
    </comment>
    <comment ref="O184" authorId="0" shapeId="0" xr:uid="{00000000-0006-0000-0400-000089000000}">
      <text>
        <r>
          <rPr>
            <sz val="10"/>
            <color indexed="81"/>
            <rFont val="Tahoma"/>
            <family val="2"/>
          </rPr>
          <t>Plasterboard systems are subjected to P21 Tests at a height of 2.4m and so have System Type Flag "T"</t>
        </r>
      </text>
    </comment>
    <comment ref="Q184" authorId="0" shapeId="0" xr:uid="{00000000-0006-0000-0400-00008A000000}">
      <text>
        <r>
          <rPr>
            <sz val="10"/>
            <color indexed="81"/>
            <rFont val="Tahoma"/>
            <family val="2"/>
          </rPr>
          <t>Plasterboard systems are subjected to P21 Tests at a height of 2.4m and so have System Type Flag "T"</t>
        </r>
      </text>
    </comment>
    <comment ref="O185" authorId="0" shapeId="0" xr:uid="{00000000-0006-0000-0400-00008B000000}">
      <text>
        <r>
          <rPr>
            <sz val="10"/>
            <color indexed="81"/>
            <rFont val="Tahoma"/>
            <family val="2"/>
          </rPr>
          <t>Plasterboard systems are subjected to P21 Tests at a height of 2.4m and so have System Type Flag "T"</t>
        </r>
      </text>
    </comment>
    <comment ref="Q185" authorId="0" shapeId="0" xr:uid="{00000000-0006-0000-0400-00008C000000}">
      <text>
        <r>
          <rPr>
            <sz val="10"/>
            <color indexed="81"/>
            <rFont val="Tahoma"/>
            <family val="2"/>
          </rPr>
          <t>Plasterboard systems are subjected to P21 Tests at a height of 2.4m and so have System Type Flag "T"</t>
        </r>
      </text>
    </comment>
    <comment ref="O186" authorId="0" shapeId="0" xr:uid="{00000000-0006-0000-0400-00008D000000}">
      <text>
        <r>
          <rPr>
            <sz val="10"/>
            <color indexed="81"/>
            <rFont val="Tahoma"/>
            <family val="2"/>
          </rPr>
          <t>Plasterboard systems are subjected to P21 Tests at a height of 2.4m and so have System Type Flag "T"</t>
        </r>
      </text>
    </comment>
    <comment ref="Q186" authorId="0" shapeId="0" xr:uid="{00000000-0006-0000-0400-00008E000000}">
      <text>
        <r>
          <rPr>
            <sz val="10"/>
            <color indexed="81"/>
            <rFont val="Tahoma"/>
            <family val="2"/>
          </rPr>
          <t>Plasterboard systems are subjected to P21 Tests at a height of 2.4m and so have System Type Flag "T"</t>
        </r>
      </text>
    </comment>
    <comment ref="O187" authorId="0" shapeId="0" xr:uid="{00000000-0006-0000-0400-00008F000000}">
      <text>
        <r>
          <rPr>
            <sz val="10"/>
            <color indexed="81"/>
            <rFont val="Tahoma"/>
            <family val="2"/>
          </rPr>
          <t>Plasterboard systems are subjected to P21 Tests at a height of 2.4m and so have System Type Flag "T"</t>
        </r>
      </text>
    </comment>
    <comment ref="Q187" authorId="0" shapeId="0" xr:uid="{00000000-0006-0000-0400-000090000000}">
      <text>
        <r>
          <rPr>
            <sz val="10"/>
            <color indexed="81"/>
            <rFont val="Tahoma"/>
            <family val="2"/>
          </rPr>
          <t>Plasterboard systems are subjected to P21 Tests at a height of 2.4m and so have System Type Flag "T"</t>
        </r>
      </text>
    </comment>
    <comment ref="O188" authorId="0" shapeId="0" xr:uid="{00000000-0006-0000-0400-000091000000}">
      <text>
        <r>
          <rPr>
            <sz val="10"/>
            <color indexed="81"/>
            <rFont val="Tahoma"/>
            <family val="2"/>
          </rPr>
          <t>Plasterboard systems are subjected to P21 Tests at a height of 2.4m and so have System Type Flag "T"</t>
        </r>
      </text>
    </comment>
    <comment ref="Q188" authorId="0" shapeId="0" xr:uid="{00000000-0006-0000-0400-000092000000}">
      <text>
        <r>
          <rPr>
            <sz val="10"/>
            <color indexed="81"/>
            <rFont val="Tahoma"/>
            <family val="2"/>
          </rPr>
          <t>Plasterboard systems are subjected to P21 Tests at a height of 2.4m and so have System Type Flag "T"</t>
        </r>
      </text>
    </comment>
    <comment ref="O189" authorId="0" shapeId="0" xr:uid="{00000000-0006-0000-0400-000093000000}">
      <text>
        <r>
          <rPr>
            <sz val="10"/>
            <color indexed="81"/>
            <rFont val="Tahoma"/>
            <family val="2"/>
          </rPr>
          <t>Plasterboard systems are subjected to P21 Tests at a height of 2.4m and so have System Type Flag "T"</t>
        </r>
      </text>
    </comment>
    <comment ref="Q189" authorId="0" shapeId="0" xr:uid="{00000000-0006-0000-0400-000094000000}">
      <text>
        <r>
          <rPr>
            <sz val="10"/>
            <color indexed="81"/>
            <rFont val="Tahoma"/>
            <family val="2"/>
          </rPr>
          <t>Plasterboard systems are subjected to P21 Tests at a height of 2.4m and so have System Type Flag "T"</t>
        </r>
      </text>
    </comment>
    <comment ref="O191" authorId="0" shapeId="0" xr:uid="{00000000-0006-0000-0400-000095000000}">
      <text>
        <r>
          <rPr>
            <b/>
            <sz val="10"/>
            <color indexed="81"/>
            <rFont val="Tahoma"/>
            <family val="2"/>
          </rPr>
          <t>Plasterboard systems are subjected to P21 Tests at a height of 2.4m and so have System Type Flag "T"</t>
        </r>
      </text>
    </comment>
    <comment ref="Q191" authorId="0" shapeId="0" xr:uid="{00000000-0006-0000-0400-000096000000}">
      <text>
        <r>
          <rPr>
            <b/>
            <sz val="10"/>
            <color indexed="81"/>
            <rFont val="Tahoma"/>
            <family val="2"/>
          </rPr>
          <t>Plasterboard systems are subjected to P21 Tests at a height of 2.4m and so have System Type Flag "T"</t>
        </r>
      </text>
    </comment>
    <comment ref="O192" authorId="0" shapeId="0" xr:uid="{00000000-0006-0000-0400-000097000000}">
      <text>
        <r>
          <rPr>
            <b/>
            <sz val="10"/>
            <color indexed="81"/>
            <rFont val="Tahoma"/>
            <family val="2"/>
          </rPr>
          <t>Plasterboard systems are subjected to P21 Tests at a height of 2.4m and so have System Type Flag "T"</t>
        </r>
      </text>
    </comment>
    <comment ref="Q192" authorId="0" shapeId="0" xr:uid="{00000000-0006-0000-0400-000098000000}">
      <text>
        <r>
          <rPr>
            <b/>
            <sz val="10"/>
            <color indexed="81"/>
            <rFont val="Tahoma"/>
            <family val="2"/>
          </rPr>
          <t>Plasterboard systems are subjected to P21 Tests at a height of 2.4m and so have System Type Flag "T"</t>
        </r>
      </text>
    </comment>
    <comment ref="O193" authorId="0" shapeId="0" xr:uid="{00000000-0006-0000-0400-000099000000}">
      <text>
        <r>
          <rPr>
            <b/>
            <sz val="10"/>
            <color indexed="81"/>
            <rFont val="Tahoma"/>
            <family val="2"/>
          </rPr>
          <t>Plasterboard systems are subjected to P21 Tests at a height of 2.4m and so have System Type Flag "T"</t>
        </r>
      </text>
    </comment>
    <comment ref="Q193" authorId="0" shapeId="0" xr:uid="{00000000-0006-0000-0400-00009A000000}">
      <text>
        <r>
          <rPr>
            <b/>
            <sz val="10"/>
            <color indexed="81"/>
            <rFont val="Tahoma"/>
            <family val="2"/>
          </rPr>
          <t>Plasterboard systems are subjected to P21 Tests at a height of 2.4m and so have System Type Flag "T"</t>
        </r>
      </text>
    </comment>
    <comment ref="O194" authorId="0" shapeId="0" xr:uid="{00000000-0006-0000-0400-00009B000000}">
      <text>
        <r>
          <rPr>
            <b/>
            <sz val="10"/>
            <color indexed="81"/>
            <rFont val="Tahoma"/>
            <family val="2"/>
          </rPr>
          <t>Plasterboard systems are subjected to P21 Tests at a height of 2.4m and so have System Type Flag "T"</t>
        </r>
      </text>
    </comment>
    <comment ref="Q194" authorId="0" shapeId="0" xr:uid="{00000000-0006-0000-0400-00009C000000}">
      <text>
        <r>
          <rPr>
            <b/>
            <sz val="10"/>
            <color indexed="81"/>
            <rFont val="Tahoma"/>
            <family val="2"/>
          </rPr>
          <t>Plasterboard systems are subjected to P21 Tests at a height of 2.4m and so have System Type Flag "T"</t>
        </r>
      </text>
    </comment>
    <comment ref="O195" authorId="0" shapeId="0" xr:uid="{00000000-0006-0000-0400-00009D000000}">
      <text>
        <r>
          <rPr>
            <b/>
            <sz val="10"/>
            <color indexed="81"/>
            <rFont val="Tahoma"/>
            <family val="2"/>
          </rPr>
          <t>Plasterboard systems are subjected to P21 Tests at a height of 2.4m and so have System Type Flag "T"</t>
        </r>
      </text>
    </comment>
    <comment ref="Q195" authorId="0" shapeId="0" xr:uid="{00000000-0006-0000-0400-00009E000000}">
      <text>
        <r>
          <rPr>
            <b/>
            <sz val="10"/>
            <color indexed="81"/>
            <rFont val="Tahoma"/>
            <family val="2"/>
          </rPr>
          <t>Plasterboard systems are subjected to P21 Tests at a height of 2.4m and so have System Type Flag "T"</t>
        </r>
      </text>
    </comment>
    <comment ref="O196" authorId="0" shapeId="0" xr:uid="{00000000-0006-0000-0400-00009F000000}">
      <text>
        <r>
          <rPr>
            <b/>
            <sz val="10"/>
            <color indexed="81"/>
            <rFont val="Tahoma"/>
            <family val="2"/>
          </rPr>
          <t>Plasterboard systems are subjected to P21 Tests at a height of 2.4m and so have System Type Flag "T"</t>
        </r>
      </text>
    </comment>
    <comment ref="Q196" authorId="0" shapeId="0" xr:uid="{00000000-0006-0000-0400-0000A0000000}">
      <text>
        <r>
          <rPr>
            <b/>
            <sz val="10"/>
            <color indexed="81"/>
            <rFont val="Tahoma"/>
            <family val="2"/>
          </rPr>
          <t>Plasterboard systems are subjected to P21 Tests at a height of 2.4m and so have System Type Flag "T"</t>
        </r>
      </text>
    </comment>
    <comment ref="O197" authorId="0" shapeId="0" xr:uid="{00000000-0006-0000-0400-0000A1000000}">
      <text>
        <r>
          <rPr>
            <b/>
            <sz val="10"/>
            <color indexed="81"/>
            <rFont val="Tahoma"/>
            <family val="2"/>
          </rPr>
          <t>Plasterboard systems are subjected to P21 Tests at a height of 2.4m and so have System Type Flag "T"</t>
        </r>
      </text>
    </comment>
    <comment ref="Q197" authorId="0" shapeId="0" xr:uid="{00000000-0006-0000-0400-0000A2000000}">
      <text>
        <r>
          <rPr>
            <b/>
            <sz val="10"/>
            <color indexed="81"/>
            <rFont val="Tahoma"/>
            <family val="2"/>
          </rPr>
          <t>Plasterboard systems are subjected to P21 Tests at a height of 2.4m and so have System Type Flag "T"</t>
        </r>
      </text>
    </comment>
    <comment ref="O198" authorId="0" shapeId="0" xr:uid="{00000000-0006-0000-0400-0000A3000000}">
      <text>
        <r>
          <rPr>
            <b/>
            <sz val="10"/>
            <color indexed="81"/>
            <rFont val="Tahoma"/>
            <family val="2"/>
          </rPr>
          <t>Plasterboard systems are subjected to P21 Tests at a height of 2.4m and so have System Type Flag "T"</t>
        </r>
      </text>
    </comment>
    <comment ref="Q198" authorId="0" shapeId="0" xr:uid="{00000000-0006-0000-0400-0000A4000000}">
      <text>
        <r>
          <rPr>
            <b/>
            <sz val="10"/>
            <color indexed="81"/>
            <rFont val="Tahoma"/>
            <family val="2"/>
          </rPr>
          <t>Plasterboard systems are subjected to P21 Tests at a height of 2.4m and so have System Type Flag "T"</t>
        </r>
      </text>
    </comment>
    <comment ref="O199" authorId="0" shapeId="0" xr:uid="{00000000-0006-0000-0400-0000A5000000}">
      <text>
        <r>
          <rPr>
            <b/>
            <sz val="10"/>
            <color indexed="81"/>
            <rFont val="Tahoma"/>
            <family val="2"/>
          </rPr>
          <t>Plasterboard systems are subjected to P21 Tests at a height of 2.4m and so have System Type Flag "T"</t>
        </r>
      </text>
    </comment>
    <comment ref="Q199" authorId="0" shapeId="0" xr:uid="{00000000-0006-0000-0400-0000A6000000}">
      <text>
        <r>
          <rPr>
            <b/>
            <sz val="10"/>
            <color indexed="81"/>
            <rFont val="Tahoma"/>
            <family val="2"/>
          </rPr>
          <t>Plasterboard systems are subjected to P21 Tests at a height of 2.4m and so have System Type Flag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Kevin Van Hest</author>
    <author>manager</author>
  </authors>
  <commentList>
    <comment ref="B2" authorId="0" shapeId="0" xr:uid="{00000000-0006-0000-0500-000001000000}">
      <text>
        <r>
          <rPr>
            <sz val="9"/>
            <color indexed="81"/>
            <rFont val="Tahoma"/>
            <family val="2"/>
          </rPr>
          <t>This drop down box option will assist you in determining what are the external lines on the plan for each bracing line direction (Along or Across).
If the Along Lines are Horizontal as you view the plan then those External Along lines will be labelled "Top External" and "Bottom External"
Otherwise if the Along lines are Vertical as you view the plan then the External Along lines will be labelled "Left External" and "Right External"
The reverse will occur for the Across Lines</t>
        </r>
      </text>
    </comment>
    <comment ref="R4" authorId="1" shapeId="0" xr:uid="{00000000-0006-0000-0500-000002000000}">
      <text>
        <r>
          <rPr>
            <b/>
            <sz val="9"/>
            <color indexed="81"/>
            <rFont val="Tahoma"/>
            <family val="2"/>
          </rPr>
          <t>Some Warnings that appear below would need to be resolved in orer to comply with NZS3604.   However many warnings or suggestions can be ignored and only appear in order to remind of a possible issue.    So relax!</t>
        </r>
        <r>
          <rPr>
            <sz val="9"/>
            <color indexed="81"/>
            <rFont val="Tahoma"/>
            <family val="2"/>
          </rPr>
          <t xml:space="preserve">
</t>
        </r>
      </text>
    </comment>
    <comment ref="K14" authorId="0" shapeId="0" xr:uid="{00000000-0006-0000-0500-000003000000}">
      <text>
        <r>
          <rPr>
            <sz val="11"/>
            <color indexed="81"/>
            <rFont val="Tahoma"/>
            <family val="2"/>
          </rPr>
          <t>If the Wind Zone is not available or not known, select "Not Available" from the drop down box and fill out the variables below. Otherwise select the known Wind Zone.</t>
        </r>
      </text>
    </comment>
    <comment ref="K15" authorId="0" shapeId="0" xr:uid="{00000000-0006-0000-0500-000004000000}">
      <text>
        <r>
          <rPr>
            <sz val="9"/>
            <color indexed="81"/>
            <rFont val="Tahoma"/>
            <family val="2"/>
          </rPr>
          <t>The determined wind zone on the right  is derived from the variables entered below</t>
        </r>
      </text>
    </comment>
    <comment ref="AK15" authorId="0" shapeId="0" xr:uid="{00000000-0006-0000-0500-000005000000}">
      <text>
        <r>
          <rPr>
            <b/>
            <sz val="8"/>
            <color indexed="81"/>
            <rFont val="Tahoma"/>
            <family val="2"/>
          </rPr>
          <t xml:space="preserve"> :</t>
        </r>
        <r>
          <rPr>
            <sz val="8"/>
            <color indexed="81"/>
            <rFont val="Tahoma"/>
            <family val="2"/>
          </rPr>
          <t xml:space="preserve">
Undulations under 25m</t>
        </r>
      </text>
    </comment>
    <comment ref="C16" authorId="0" shapeId="0" xr:uid="{00000000-0006-0000-0500-000006000000}">
      <text>
        <r>
          <rPr>
            <b/>
            <sz val="8"/>
            <color indexed="81"/>
            <rFont val="Tahoma"/>
            <family val="2"/>
          </rPr>
          <t>If the Project is on a Subfloor foundation it is important to fill out the actual Subfloor External heights in the Subfloor Specifications Boxes below.    The Length, Width and GPA of the Subfloor default to the dimensions and area of the floor directly above.  However these can also be over written.    
 Remember to use a new Template for each new project.</t>
        </r>
      </text>
    </comment>
    <comment ref="K16" authorId="2" shapeId="0" xr:uid="{00000000-0006-0000-0500-000007000000}">
      <text>
        <r>
          <rPr>
            <b/>
            <sz val="8"/>
            <color indexed="81"/>
            <rFont val="Tahoma"/>
            <family val="2"/>
          </rPr>
          <t>Refer to Fig 5.1  in NZS3604:2011</t>
        </r>
        <r>
          <rPr>
            <sz val="8"/>
            <color indexed="81"/>
            <rFont val="Tahoma"/>
            <family val="2"/>
          </rPr>
          <t xml:space="preserve">
</t>
        </r>
      </text>
    </comment>
    <comment ref="C18" authorId="0" shapeId="0" xr:uid="{00000000-0006-0000-0500-000008000000}">
      <text>
        <r>
          <rPr>
            <sz val="9"/>
            <color indexed="81"/>
            <rFont val="Tahoma"/>
            <family val="2"/>
          </rPr>
          <t>If the Project has more than one Roof Weight, choose the Heavier Roof Weight.</t>
        </r>
      </text>
    </comment>
    <comment ref="E18" authorId="0" shapeId="0" xr:uid="{00000000-0006-0000-0500-000009000000}">
      <text>
        <r>
          <rPr>
            <b/>
            <sz val="9"/>
            <color indexed="81"/>
            <rFont val="Tahoma"/>
            <family val="2"/>
          </rPr>
          <t xml:space="preserve">If manually inputting  the roof weight, </t>
        </r>
        <r>
          <rPr>
            <b/>
            <u/>
            <sz val="9"/>
            <color indexed="81"/>
            <rFont val="Tahoma"/>
            <family val="2"/>
          </rPr>
          <t xml:space="preserve">
Include</t>
        </r>
        <r>
          <rPr>
            <b/>
            <sz val="9"/>
            <color indexed="81"/>
            <rFont val="Tahoma"/>
            <family val="2"/>
          </rPr>
          <t xml:space="preserve"> the Sarking weight</t>
        </r>
      </text>
    </comment>
    <comment ref="E19" authorId="0" shapeId="0" xr:uid="{00000000-0006-0000-0500-00000A000000}">
      <text>
        <r>
          <rPr>
            <b/>
            <sz val="9"/>
            <color indexed="81"/>
            <rFont val="Tahoma"/>
            <family val="2"/>
          </rPr>
          <t xml:space="preserve">If manually inputting cladding weight, </t>
        </r>
        <r>
          <rPr>
            <b/>
            <u/>
            <sz val="9"/>
            <color indexed="81"/>
            <rFont val="Tahoma"/>
            <family val="2"/>
          </rPr>
          <t>Exclude</t>
        </r>
        <r>
          <rPr>
            <b/>
            <sz val="9"/>
            <color indexed="81"/>
            <rFont val="Tahoma"/>
            <family val="2"/>
          </rPr>
          <t xml:space="preserve"> the frame weight</t>
        </r>
      </text>
    </comment>
    <comment ref="K19" authorId="2" shapeId="0" xr:uid="{00000000-0006-0000-0500-00000B000000}">
      <text>
        <r>
          <rPr>
            <b/>
            <sz val="8"/>
            <color indexed="81"/>
            <rFont val="Tahoma"/>
            <family val="2"/>
          </rPr>
          <t>Refer to Fig 5.1 in NZS3604:2011</t>
        </r>
      </text>
    </comment>
    <comment ref="E20" authorId="0" shapeId="0" xr:uid="{00000000-0006-0000-0500-00000C000000}">
      <text>
        <r>
          <rPr>
            <b/>
            <sz val="9"/>
            <color indexed="81"/>
            <rFont val="Tahoma"/>
            <family val="2"/>
          </rPr>
          <t xml:space="preserve">If manually inputting cladding weight, </t>
        </r>
        <r>
          <rPr>
            <b/>
            <u/>
            <sz val="9"/>
            <color indexed="81"/>
            <rFont val="Tahoma"/>
            <family val="2"/>
          </rPr>
          <t>Exclude</t>
        </r>
        <r>
          <rPr>
            <b/>
            <sz val="9"/>
            <color indexed="81"/>
            <rFont val="Tahoma"/>
            <family val="2"/>
          </rPr>
          <t xml:space="preserve"> the frame weight</t>
        </r>
      </text>
    </comment>
    <comment ref="K20" authorId="2" shapeId="0" xr:uid="{00000000-0006-0000-0500-00000D000000}">
      <text>
        <r>
          <rPr>
            <b/>
            <sz val="8"/>
            <color indexed="81"/>
            <rFont val="Tahoma"/>
            <family val="2"/>
          </rPr>
          <t>Refer to Table 5.3  in NZS3604:2011</t>
        </r>
      </text>
    </comment>
    <comment ref="M20" authorId="0" shapeId="0" xr:uid="{00000000-0006-0000-0500-00000E000000}">
      <text>
        <r>
          <rPr>
            <sz val="9"/>
            <color indexed="81"/>
            <rFont val="Tahoma"/>
            <family val="2"/>
          </rPr>
          <t>Select "Calculate" if the Topographic Class is unknown.   And then use the below fields to help determine it.</t>
        </r>
      </text>
    </comment>
    <comment ref="E21" authorId="0" shapeId="0" xr:uid="{00000000-0006-0000-0500-00000F000000}">
      <text>
        <r>
          <rPr>
            <b/>
            <sz val="9"/>
            <color indexed="81"/>
            <rFont val="Tahoma"/>
            <family val="2"/>
          </rPr>
          <t xml:space="preserve">If manually inputting cladding weight, </t>
        </r>
        <r>
          <rPr>
            <b/>
            <u/>
            <sz val="9"/>
            <color indexed="81"/>
            <rFont val="Tahoma"/>
            <family val="2"/>
          </rPr>
          <t>Exclude</t>
        </r>
        <r>
          <rPr>
            <b/>
            <sz val="9"/>
            <color indexed="81"/>
            <rFont val="Tahoma"/>
            <family val="2"/>
          </rPr>
          <t xml:space="preserve"> the frame weight</t>
        </r>
      </text>
    </comment>
    <comment ref="K21" authorId="0" shapeId="0" xr:uid="{00000000-0006-0000-0500-000010000000}">
      <text>
        <r>
          <rPr>
            <sz val="9"/>
            <color indexed="81"/>
            <rFont val="Tahoma"/>
            <family val="2"/>
          </rPr>
          <t>The Calculated Topographic Class on the right is determined by the variables selected below</t>
        </r>
      </text>
    </comment>
    <comment ref="K22" authorId="2" shapeId="0" xr:uid="{00000000-0006-0000-0500-000011000000}">
      <text>
        <r>
          <rPr>
            <sz val="10"/>
            <color indexed="81"/>
            <rFont val="Tahoma"/>
            <family val="2"/>
          </rPr>
          <t>Refer to Fig 5.2  in NZS3604:2011 or the Images at bottom far right</t>
        </r>
      </text>
    </comment>
    <comment ref="AK23" authorId="0" shapeId="0" xr:uid="{00000000-0006-0000-0500-000012000000}">
      <text>
        <r>
          <rPr>
            <b/>
            <sz val="8"/>
            <color indexed="81"/>
            <rFont val="Tahoma"/>
            <family val="2"/>
          </rPr>
          <t xml:space="preserve"> :</t>
        </r>
        <r>
          <rPr>
            <sz val="8"/>
            <color indexed="81"/>
            <rFont val="Tahoma"/>
            <family val="2"/>
          </rPr>
          <t xml:space="preserve">
Known Accelerated zone</t>
        </r>
      </text>
    </comment>
    <comment ref="C24" authorId="0" shapeId="0" xr:uid="{00000000-0006-0000-0500-000013000000}">
      <text>
        <r>
          <rPr>
            <sz val="9"/>
            <color indexed="81"/>
            <rFont val="Tahoma"/>
            <family val="2"/>
          </rPr>
          <t>Due to the very accurate methodology of the First Principle Engineering calculations embedded in this software we recommend that the predominant roof type for your project be selected from the drop down list.  Mono Pitched Roofs generally create higher wind loads whereas Hip Roofs generally reduce wind loads relative to Typical (Gabled Ended) Roofs.      
Please note that not all bracing calculation software available in the market are the same. 
This Software endeavours to be accurate.</t>
        </r>
      </text>
    </comment>
    <comment ref="C25" authorId="0" shapeId="0" xr:uid="{00000000-0006-0000-0500-000014000000}">
      <text>
        <r>
          <rPr>
            <sz val="9"/>
            <color indexed="81"/>
            <rFont val="Tahoma"/>
            <family val="2"/>
          </rPr>
          <t>If the Project has more than one Roof Pitch, enter the largest Pitch.</t>
        </r>
      </text>
    </comment>
    <comment ref="G25" authorId="0" shapeId="0" xr:uid="{00000000-0006-0000-0500-000015000000}">
      <text>
        <r>
          <rPr>
            <sz val="10"/>
            <color indexed="81"/>
            <rFont val="Tahoma"/>
            <family val="2"/>
          </rPr>
          <t>This is the Roof Pitch based on the Trig Calculation of the "Roof Width" and "Height above Eaves" entered.  Provided as a guide only in case entered variables are significantly mismatched to trigonomic rules.</t>
        </r>
      </text>
    </comment>
    <comment ref="C26" authorId="0" shapeId="0" xr:uid="{00000000-0006-0000-0500-000016000000}">
      <text>
        <r>
          <rPr>
            <b/>
            <sz val="8"/>
            <color indexed="81"/>
            <rFont val="Tahoma"/>
            <family val="2"/>
          </rPr>
          <t xml:space="preserve">The actual roof length and width should be entered irrespective as to the roof pitch angle.  </t>
        </r>
      </text>
    </comment>
    <comment ref="C27" authorId="0" shapeId="0" xr:uid="{00000000-0006-0000-0500-000017000000}">
      <text>
        <r>
          <rPr>
            <b/>
            <sz val="8"/>
            <color indexed="81"/>
            <rFont val="Tahoma"/>
            <family val="2"/>
          </rPr>
          <t xml:space="preserve">The actual roof length and width should be entered irrespective as to the roof pitch angle.  </t>
        </r>
      </text>
    </comment>
    <comment ref="K28" authorId="2" shapeId="0" xr:uid="{00000000-0006-0000-0500-000018000000}">
      <text>
        <r>
          <rPr>
            <b/>
            <sz val="8"/>
            <color indexed="81"/>
            <rFont val="Tahoma"/>
            <family val="2"/>
          </rPr>
          <t>Refer to Fig 5.4 in NZS3604:2011</t>
        </r>
      </text>
    </comment>
    <comment ref="K29" authorId="1" shapeId="0" xr:uid="{00000000-0006-0000-0500-000019000000}">
      <text>
        <r>
          <rPr>
            <sz val="9"/>
            <color indexed="81"/>
            <rFont val="Tahoma"/>
            <family val="2"/>
          </rPr>
          <t xml:space="preserve">If unknown select "E:  Very Soft"
</t>
        </r>
      </text>
    </comment>
    <comment ref="C30" authorId="0" shapeId="0" xr:uid="{00000000-0006-0000-0500-00001A000000}">
      <text>
        <r>
          <rPr>
            <sz val="9"/>
            <color indexed="81"/>
            <rFont val="Tahoma"/>
            <family val="2"/>
          </rPr>
          <t xml:space="preserve">For Single Storey Projects enter the height from the tip of the roof eaves to the Apex of the roof.
For Double Storey Projects enter the height from the tip of the </t>
        </r>
        <r>
          <rPr>
            <u/>
            <sz val="9"/>
            <color indexed="81"/>
            <rFont val="Tahoma"/>
            <family val="2"/>
          </rPr>
          <t>Upper level</t>
        </r>
        <r>
          <rPr>
            <sz val="9"/>
            <color indexed="81"/>
            <rFont val="Tahoma"/>
            <family val="2"/>
          </rPr>
          <t xml:space="preserve"> roof eaves to the Apex of the roof.</t>
        </r>
      </text>
    </comment>
    <comment ref="C31" authorId="0" shapeId="0" xr:uid="{00000000-0006-0000-0500-00001B000000}">
      <text>
        <r>
          <rPr>
            <sz val="9"/>
            <color indexed="81"/>
            <rFont val="Tahoma"/>
            <family val="2"/>
          </rPr>
          <t xml:space="preserve">For Projects on Slab Foundation, enter the height from the </t>
        </r>
        <r>
          <rPr>
            <u/>
            <sz val="9"/>
            <color indexed="81"/>
            <rFont val="Tahoma"/>
            <family val="2"/>
          </rPr>
          <t>top of the slab</t>
        </r>
        <r>
          <rPr>
            <sz val="9"/>
            <color indexed="81"/>
            <rFont val="Tahoma"/>
            <family val="2"/>
          </rPr>
          <t xml:space="preserve"> to the Apex of the roof.
For Projects on Subfloor Foundation, enter the height from the </t>
        </r>
        <r>
          <rPr>
            <u/>
            <sz val="9"/>
            <color indexed="81"/>
            <rFont val="Tahoma"/>
            <family val="2"/>
          </rPr>
          <t>Average ground level</t>
        </r>
        <r>
          <rPr>
            <sz val="9"/>
            <color indexed="81"/>
            <rFont val="Tahoma"/>
            <family val="2"/>
          </rPr>
          <t xml:space="preserve"> to the Apex of the roof. </t>
        </r>
      </text>
    </comment>
    <comment ref="M33" authorId="0" shapeId="0" xr:uid="{00000000-0006-0000-0500-00001C000000}">
      <text>
        <r>
          <rPr>
            <sz val="9"/>
            <color indexed="81"/>
            <rFont val="Tahoma"/>
            <family val="2"/>
          </rPr>
          <t xml:space="preserve">Alternatively sourced Bracing Demands can be used in this spreadsheet. If so, select </t>
        </r>
        <r>
          <rPr>
            <b/>
            <sz val="9"/>
            <color indexed="81"/>
            <rFont val="Tahoma"/>
            <family val="2"/>
          </rPr>
          <t>'Other</t>
        </r>
        <r>
          <rPr>
            <sz val="9"/>
            <color indexed="81"/>
            <rFont val="Tahoma"/>
            <family val="2"/>
          </rPr>
          <t xml:space="preserve">' from the drop down box on right then enter the source name (usually the name of the Engineer or source) below  and the alternative Wind and EQ Demand totals in the Cells provided.
It is </t>
        </r>
        <r>
          <rPr>
            <u/>
            <sz val="9"/>
            <color indexed="81"/>
            <rFont val="Tahoma"/>
            <family val="2"/>
          </rPr>
          <t>still important</t>
        </r>
        <r>
          <rPr>
            <sz val="9"/>
            <color indexed="81"/>
            <rFont val="Tahoma"/>
            <family val="2"/>
          </rPr>
          <t xml:space="preserve"> to enter </t>
        </r>
        <r>
          <rPr>
            <u/>
            <sz val="9"/>
            <color indexed="81"/>
            <rFont val="Tahoma"/>
            <family val="2"/>
          </rPr>
          <t>some</t>
        </r>
        <r>
          <rPr>
            <sz val="9"/>
            <color indexed="81"/>
            <rFont val="Tahoma"/>
            <family val="2"/>
          </rPr>
          <t xml:space="preserve"> of the correct variables in the Cells in Column "E".
These include the following:  
1.  The Project Details.
       </t>
        </r>
        <r>
          <rPr>
            <sz val="9"/>
            <color indexed="10"/>
            <rFont val="Tahoma"/>
            <family val="2"/>
          </rPr>
          <t>To ensure the Project Name and Project Site Address transfer to the Solution Sheets.</t>
        </r>
        <r>
          <rPr>
            <sz val="9"/>
            <color indexed="81"/>
            <rFont val="Tahoma"/>
            <family val="2"/>
          </rPr>
          <t xml:space="preserve">
2.  The Storey Type.  (Single or Double)
       </t>
        </r>
        <r>
          <rPr>
            <sz val="9"/>
            <color indexed="10"/>
            <rFont val="Tahoma"/>
            <family val="2"/>
          </rPr>
          <t>To ensure that the right number of  levels become available to enter demands and provide solutions.</t>
        </r>
        <r>
          <rPr>
            <sz val="9"/>
            <color indexed="81"/>
            <rFont val="Tahoma"/>
            <family val="2"/>
          </rPr>
          <t xml:space="preserve">
3. The Foundation Type. (Slab or Subfloor)
       </t>
        </r>
        <r>
          <rPr>
            <sz val="9"/>
            <color indexed="10"/>
            <rFont val="Tahoma"/>
            <family val="2"/>
          </rPr>
          <t>To ensure that the subfloor level becomes available to enter demands and to provide solutions.</t>
        </r>
        <r>
          <rPr>
            <sz val="9"/>
            <color indexed="81"/>
            <rFont val="Tahoma"/>
            <family val="2"/>
          </rPr>
          <t xml:space="preserve">
4. The correct or most common "Internal Stud Height" for each level.    
       </t>
        </r>
        <r>
          <rPr>
            <sz val="9"/>
            <color indexed="10"/>
            <rFont val="Tahoma"/>
            <family val="2"/>
          </rPr>
          <t>To ensure that those heights transfer to the individual Solution sheets.</t>
        </r>
        <r>
          <rPr>
            <sz val="9"/>
            <color indexed="81"/>
            <rFont val="Tahoma"/>
            <family val="2"/>
          </rPr>
          <t xml:space="preserve">
5.  The correct Floor limits for each level. (e.g.  120 bu's (6kN)  for Timber Floors and 150 bu's (7.5 kN) for Slab Floors)
       </t>
        </r>
        <r>
          <rPr>
            <sz val="9"/>
            <color indexed="10"/>
            <rFont val="Tahoma"/>
            <family val="2"/>
          </rPr>
          <t>To ensure compliance to NZS3604:2011 limitations or to optimise the bracing systems selected.</t>
        </r>
        <r>
          <rPr>
            <sz val="9"/>
            <color indexed="81"/>
            <rFont val="Tahoma"/>
            <family val="2"/>
          </rPr>
          <t xml:space="preserve">
</t>
        </r>
        <r>
          <rPr>
            <b/>
            <sz val="9"/>
            <color indexed="81"/>
            <rFont val="Tahoma"/>
            <family val="2"/>
          </rPr>
          <t xml:space="preserve">6. The correct Building Lengths and Widths for each level.   
       </t>
        </r>
        <r>
          <rPr>
            <b/>
            <sz val="9"/>
            <color indexed="10"/>
            <rFont val="Tahoma"/>
            <family val="2"/>
          </rPr>
          <t>This will ensure that the reminders for the  minimum bracing units required on External and  Internal bracing lines in each Solution sheet remain correct</t>
        </r>
        <r>
          <rPr>
            <b/>
            <sz val="9"/>
            <color indexed="81"/>
            <rFont val="Tahoma"/>
            <family val="2"/>
          </rPr>
          <t xml:space="preserve">.     </t>
        </r>
      </text>
    </comment>
    <comment ref="C34" authorId="0" shapeId="0" xr:uid="{00000000-0006-0000-0500-00001D000000}">
      <text>
        <r>
          <rPr>
            <sz val="12"/>
            <color indexed="81"/>
            <rFont val="Tahoma"/>
            <family val="2"/>
          </rPr>
          <t xml:space="preserve">  </t>
        </r>
        <r>
          <rPr>
            <u/>
            <sz val="12"/>
            <color indexed="81"/>
            <rFont val="Tahoma"/>
            <family val="2"/>
          </rPr>
          <t>For Single Storey on Slab</t>
        </r>
        <r>
          <rPr>
            <sz val="12"/>
            <color indexed="81"/>
            <rFont val="Tahoma"/>
            <family val="2"/>
          </rPr>
          <t xml:space="preserve">: This External Wall height (Eh)  is calculated by subtracting the height above eaves (h) 
  from the Height to Apex (H)   i.e.   </t>
        </r>
        <r>
          <rPr>
            <b/>
            <sz val="12"/>
            <color indexed="81"/>
            <rFont val="Tahoma"/>
            <family val="2"/>
          </rPr>
          <t xml:space="preserve">Eh = H-h  </t>
        </r>
        <r>
          <rPr>
            <u/>
            <sz val="12"/>
            <color indexed="81"/>
            <rFont val="Tahoma"/>
            <family val="2"/>
          </rPr>
          <t xml:space="preserve">
</t>
        </r>
        <r>
          <rPr>
            <sz val="12"/>
            <color indexed="81"/>
            <rFont val="Tahoma"/>
            <family val="2"/>
          </rPr>
          <t xml:space="preserve">  </t>
        </r>
        <r>
          <rPr>
            <u/>
            <sz val="12"/>
            <color indexed="81"/>
            <rFont val="Tahoma"/>
            <family val="2"/>
          </rPr>
          <t>For Single Storey on Sub Floor</t>
        </r>
        <r>
          <rPr>
            <sz val="12"/>
            <color indexed="81"/>
            <rFont val="Tahoma"/>
            <family val="2"/>
          </rPr>
          <t xml:space="preserve">: This External Wall height (Eh)  is calculated by subtracting the height above eaves (h) 
  and Sub floor External heights (SEh)  from the  Height to Apex (H)    i.e.   </t>
        </r>
        <r>
          <rPr>
            <b/>
            <sz val="12"/>
            <color indexed="81"/>
            <rFont val="Tahoma"/>
            <family val="2"/>
          </rPr>
          <t>Eh = H-(h+SEh)</t>
        </r>
        <r>
          <rPr>
            <u/>
            <sz val="12"/>
            <color indexed="81"/>
            <rFont val="Tahoma"/>
            <family val="2"/>
          </rPr>
          <t xml:space="preserve">
</t>
        </r>
        <r>
          <rPr>
            <sz val="12"/>
            <color indexed="81"/>
            <rFont val="Tahoma"/>
            <family val="2"/>
          </rPr>
          <t xml:space="preserve">  </t>
        </r>
        <r>
          <rPr>
            <u/>
            <sz val="12"/>
            <color indexed="81"/>
            <rFont val="Tahoma"/>
            <family val="2"/>
          </rPr>
          <t>For Double Storey on Slab</t>
        </r>
        <r>
          <rPr>
            <sz val="12"/>
            <color indexed="81"/>
            <rFont val="Tahoma"/>
            <family val="2"/>
          </rPr>
          <t xml:space="preserve">: This External Wall height (Eh)  is calculated by subtracting the height above eaves (h)  
  and Lower External height (LEh)   from the Height to Apex (H)    i.e.   </t>
        </r>
        <r>
          <rPr>
            <b/>
            <sz val="12"/>
            <color indexed="81"/>
            <rFont val="Tahoma"/>
            <family val="2"/>
          </rPr>
          <t>Eh = H-(h+LEh)</t>
        </r>
        <r>
          <rPr>
            <u/>
            <sz val="12"/>
            <color indexed="81"/>
            <rFont val="Tahoma"/>
            <family val="2"/>
          </rPr>
          <t xml:space="preserve">
</t>
        </r>
        <r>
          <rPr>
            <sz val="12"/>
            <color indexed="81"/>
            <rFont val="Tahoma"/>
            <family val="2"/>
          </rPr>
          <t xml:space="preserve">  </t>
        </r>
        <r>
          <rPr>
            <u/>
            <sz val="12"/>
            <color indexed="81"/>
            <rFont val="Tahoma"/>
            <family val="2"/>
          </rPr>
          <t>For Double Storey on Sub Floor</t>
        </r>
        <r>
          <rPr>
            <sz val="12"/>
            <color indexed="81"/>
            <rFont val="Tahoma"/>
            <family val="2"/>
          </rPr>
          <t xml:space="preserve">:  This External Wall height (Eh)  is calculated by subtracting the height above eaves (h) ,
  Lower External height (LEh) and Sub floor External heights (SEh) from the Height to Apex (H)  i.e.   </t>
        </r>
        <r>
          <rPr>
            <b/>
            <sz val="12"/>
            <color indexed="81"/>
            <rFont val="Tahoma"/>
            <family val="2"/>
          </rPr>
          <t>Eh = H-(h+LEh+SEh)</t>
        </r>
      </text>
    </comment>
    <comment ref="E34" authorId="0" shapeId="0" xr:uid="{00000000-0006-0000-0500-00001E000000}">
      <text>
        <r>
          <rPr>
            <b/>
            <sz val="11"/>
            <color indexed="81"/>
            <rFont val="Tahoma"/>
            <family val="2"/>
          </rPr>
          <t xml:space="preserve">This External Wall height (Eh) field is calculated automatically by this software and cannot be manually changed.  
It is the calculated by subtracting all the other heights manually entered from the height from the top of the slab (for Slab foundation) or from the average ground level (for sub floor foundation) to the Apex.   This is to ensure that all the manually entered external heights plus this automatically calculated height plus the height above eaves to  Apex will equal the height from top of slab or average ground to Apex.  </t>
        </r>
        <r>
          <rPr>
            <sz val="11"/>
            <color indexed="81"/>
            <rFont val="Tahoma"/>
            <family val="2"/>
          </rPr>
          <t xml:space="preserve">    
</t>
        </r>
        <r>
          <rPr>
            <u/>
            <sz val="11"/>
            <color indexed="81"/>
            <rFont val="Tahoma"/>
            <family val="2"/>
          </rPr>
          <t>For Single Storey on Slab</t>
        </r>
        <r>
          <rPr>
            <sz val="11"/>
            <color indexed="81"/>
            <rFont val="Tahoma"/>
            <family val="2"/>
          </rPr>
          <t xml:space="preserve">: This External Wall height (Eh)  is calculated by subtracting the height above eaves (h) 
  from the Height to Apex (H)   i.e.   </t>
        </r>
        <r>
          <rPr>
            <b/>
            <sz val="11"/>
            <color indexed="81"/>
            <rFont val="Tahoma"/>
            <family val="2"/>
          </rPr>
          <t xml:space="preserve">Eh = H-h  </t>
        </r>
        <r>
          <rPr>
            <u/>
            <sz val="11"/>
            <color indexed="81"/>
            <rFont val="Tahoma"/>
            <family val="2"/>
          </rPr>
          <t xml:space="preserve">
</t>
        </r>
        <r>
          <rPr>
            <sz val="11"/>
            <color indexed="81"/>
            <rFont val="Tahoma"/>
            <family val="2"/>
          </rPr>
          <t xml:space="preserve">  </t>
        </r>
        <r>
          <rPr>
            <u/>
            <sz val="11"/>
            <color indexed="81"/>
            <rFont val="Tahoma"/>
            <family val="2"/>
          </rPr>
          <t>For Single Storey on Sub Floor</t>
        </r>
        <r>
          <rPr>
            <sz val="11"/>
            <color indexed="81"/>
            <rFont val="Tahoma"/>
            <family val="2"/>
          </rPr>
          <t xml:space="preserve">: This External Wall height (Eh)  is calculated by subtracting the height above eaves (h) 
  and Sub floor External heights (SEh)  from the  Height to Apex (H)    i.e.   </t>
        </r>
        <r>
          <rPr>
            <b/>
            <sz val="11"/>
            <color indexed="81"/>
            <rFont val="Tahoma"/>
            <family val="2"/>
          </rPr>
          <t>Eh = H-(h+SEh)</t>
        </r>
        <r>
          <rPr>
            <u/>
            <sz val="11"/>
            <color indexed="81"/>
            <rFont val="Tahoma"/>
            <family val="2"/>
          </rPr>
          <t xml:space="preserve">
</t>
        </r>
        <r>
          <rPr>
            <sz val="11"/>
            <color indexed="81"/>
            <rFont val="Tahoma"/>
            <family val="2"/>
          </rPr>
          <t xml:space="preserve">  </t>
        </r>
        <r>
          <rPr>
            <u/>
            <sz val="11"/>
            <color indexed="81"/>
            <rFont val="Tahoma"/>
            <family val="2"/>
          </rPr>
          <t>For Double Storey on Slab</t>
        </r>
        <r>
          <rPr>
            <sz val="11"/>
            <color indexed="81"/>
            <rFont val="Tahoma"/>
            <family val="2"/>
          </rPr>
          <t xml:space="preserve">: This External Wall height (Eh)  is calculated by subtracting the height above eaves (h)  
  and Lower External height (LEh)   from the Height to Apex (H)    i.e.   </t>
        </r>
        <r>
          <rPr>
            <b/>
            <sz val="11"/>
            <color indexed="81"/>
            <rFont val="Tahoma"/>
            <family val="2"/>
          </rPr>
          <t>Eh = H-(h+LEh)</t>
        </r>
        <r>
          <rPr>
            <u/>
            <sz val="11"/>
            <color indexed="81"/>
            <rFont val="Tahoma"/>
            <family val="2"/>
          </rPr>
          <t xml:space="preserve">
</t>
        </r>
        <r>
          <rPr>
            <sz val="11"/>
            <color indexed="81"/>
            <rFont val="Tahoma"/>
            <family val="2"/>
          </rPr>
          <t xml:space="preserve">  </t>
        </r>
        <r>
          <rPr>
            <u/>
            <sz val="11"/>
            <color indexed="81"/>
            <rFont val="Tahoma"/>
            <family val="2"/>
          </rPr>
          <t>For Double Storey on Sub Floor</t>
        </r>
        <r>
          <rPr>
            <sz val="11"/>
            <color indexed="81"/>
            <rFont val="Tahoma"/>
            <family val="2"/>
          </rPr>
          <t xml:space="preserve">:  This External Wall height (Eh)  is calculated by subtracting the height above eaves (h),   Lower External height (LEh) and Sub floor External heights (SEh) from the Height to Apex (H)  i.e.   </t>
        </r>
        <r>
          <rPr>
            <b/>
            <sz val="11"/>
            <color indexed="81"/>
            <rFont val="Tahoma"/>
            <family val="2"/>
          </rPr>
          <t>Eh = H-(h+LEh+SEh)</t>
        </r>
      </text>
    </comment>
    <comment ref="C36" authorId="0" shapeId="0" xr:uid="{00000000-0006-0000-0500-00001F000000}">
      <text>
        <r>
          <rPr>
            <b/>
            <sz val="8"/>
            <color indexed="81"/>
            <rFont val="Tahoma"/>
            <family val="2"/>
          </rPr>
          <t xml:space="preserve">The actual Building Length and Width should be entered irrespective of the roof angle.   </t>
        </r>
      </text>
    </comment>
    <comment ref="C37" authorId="0" shapeId="0" xr:uid="{00000000-0006-0000-0500-000020000000}">
      <text>
        <r>
          <rPr>
            <b/>
            <sz val="8"/>
            <color indexed="81"/>
            <rFont val="Tahoma"/>
            <family val="2"/>
          </rPr>
          <t xml:space="preserve">The actual Building Length and Width should be entered irrespective of the roof angle.   </t>
        </r>
      </text>
    </comment>
    <comment ref="M37" authorId="0" shapeId="0" xr:uid="{00000000-0006-0000-0500-000021000000}">
      <text>
        <r>
          <rPr>
            <sz val="9"/>
            <color indexed="81"/>
            <rFont val="Tahoma"/>
            <family val="2"/>
          </rPr>
          <t>Enter the Alternatively Sourced Bracing Demands (in Bu's) in these fields</t>
        </r>
      </text>
    </comment>
    <comment ref="M38" authorId="0" shapeId="0" xr:uid="{00000000-0006-0000-0500-000022000000}">
      <text>
        <r>
          <rPr>
            <sz val="9"/>
            <color indexed="81"/>
            <rFont val="Tahoma"/>
            <family val="2"/>
          </rPr>
          <t>Enter the Alternatively Sourced Bracing Demands (in Bu's) in these fields</t>
        </r>
      </text>
    </comment>
    <comment ref="C39" authorId="0" shapeId="0" xr:uid="{00000000-0006-0000-0500-000023000000}">
      <text>
        <r>
          <rPr>
            <b/>
            <sz val="9"/>
            <color indexed="81"/>
            <rFont val="Tahoma"/>
            <family val="2"/>
          </rPr>
          <t>If this floor level has a timber floor then limit the Element Resistance to  "120 Bu's/m"
If this floor level has a concrete slab floor then  limit the Element Resistance to  "150 Bu's/m"
These limits can be optionally declined.
Furthermore if the floor is part timber and part slab then  these limits can be overridden on each individually entered bracing element in the Along and Across sheets tabs in column "K" so that the limits can be optimised.</t>
        </r>
      </text>
    </comment>
    <comment ref="M39" authorId="0" shapeId="0" xr:uid="{00000000-0006-0000-0500-000024000000}">
      <text>
        <r>
          <rPr>
            <sz val="9"/>
            <color indexed="81"/>
            <rFont val="Tahoma"/>
            <family val="2"/>
          </rPr>
          <t>Enter the Alternatively Sourced Bracing Demands (in Bu's) in these fields</t>
        </r>
      </text>
    </comment>
    <comment ref="M43" authorId="0" shapeId="0" xr:uid="{00000000-0006-0000-0500-000025000000}">
      <text>
        <r>
          <rPr>
            <sz val="9"/>
            <color indexed="81"/>
            <rFont val="Tahoma"/>
            <family val="2"/>
          </rPr>
          <t>Alternatively sourced Bracing Demands can be used in this spreadsheet. If so, select "</t>
        </r>
        <r>
          <rPr>
            <b/>
            <sz val="9"/>
            <color indexed="81"/>
            <rFont val="Tahoma"/>
            <family val="2"/>
          </rPr>
          <t>Other</t>
        </r>
        <r>
          <rPr>
            <sz val="9"/>
            <color indexed="81"/>
            <rFont val="Tahoma"/>
            <family val="2"/>
          </rPr>
          <t xml:space="preserve">" from the drop down box on the right and then enter the source name (usually the name of the Engineer source) below  and the alternative Wind and EQ Demand totals in the Cells provided.
It is </t>
        </r>
        <r>
          <rPr>
            <u/>
            <sz val="9"/>
            <color indexed="81"/>
            <rFont val="Tahoma"/>
            <family val="2"/>
          </rPr>
          <t>still important</t>
        </r>
        <r>
          <rPr>
            <sz val="9"/>
            <color indexed="81"/>
            <rFont val="Tahoma"/>
            <family val="2"/>
          </rPr>
          <t xml:space="preserve"> to enter </t>
        </r>
        <r>
          <rPr>
            <u/>
            <sz val="9"/>
            <color indexed="81"/>
            <rFont val="Tahoma"/>
            <family val="2"/>
          </rPr>
          <t>some</t>
        </r>
        <r>
          <rPr>
            <sz val="9"/>
            <color indexed="81"/>
            <rFont val="Tahoma"/>
            <family val="2"/>
          </rPr>
          <t xml:space="preserve"> of the correct variables in the Cells in Column "E".
These include the following:  
1.  The Project Details.
       </t>
        </r>
        <r>
          <rPr>
            <sz val="9"/>
            <color indexed="10"/>
            <rFont val="Tahoma"/>
            <family val="2"/>
          </rPr>
          <t>To ensure the Project Name and Project Site Address transfer to the Solution Sheets.</t>
        </r>
        <r>
          <rPr>
            <sz val="9"/>
            <color indexed="81"/>
            <rFont val="Tahoma"/>
            <family val="2"/>
          </rPr>
          <t xml:space="preserve">
2.  The Storey Type.  (Single or Double)
       </t>
        </r>
        <r>
          <rPr>
            <sz val="9"/>
            <color indexed="10"/>
            <rFont val="Tahoma"/>
            <family val="2"/>
          </rPr>
          <t>To ensure that the right number of  levels become available to enter demands and provide solutions.</t>
        </r>
        <r>
          <rPr>
            <sz val="9"/>
            <color indexed="81"/>
            <rFont val="Tahoma"/>
            <family val="2"/>
          </rPr>
          <t xml:space="preserve">
3. The Foundation Type. (Slab or Subfloor)
       </t>
        </r>
        <r>
          <rPr>
            <sz val="9"/>
            <color indexed="10"/>
            <rFont val="Tahoma"/>
            <family val="2"/>
          </rPr>
          <t>To ensure that the subfloor level becomes available to enter demands and to provide solutions.</t>
        </r>
        <r>
          <rPr>
            <sz val="9"/>
            <color indexed="81"/>
            <rFont val="Tahoma"/>
            <family val="2"/>
          </rPr>
          <t xml:space="preserve">
4. The correct or most common "Internal Stud Height" for each level.    
       </t>
        </r>
        <r>
          <rPr>
            <sz val="9"/>
            <color indexed="10"/>
            <rFont val="Tahoma"/>
            <family val="2"/>
          </rPr>
          <t>To ensure that those heights transfer to the individual Solution sheets.</t>
        </r>
        <r>
          <rPr>
            <sz val="9"/>
            <color indexed="81"/>
            <rFont val="Tahoma"/>
            <family val="2"/>
          </rPr>
          <t xml:space="preserve">
5.  The correct Floor limits for each level. (e.g.  120 bu's (6kN)  for Timber Floors and 150 bu's (7.5 kN) for Slab Floors)
       </t>
        </r>
        <r>
          <rPr>
            <sz val="9"/>
            <color indexed="10"/>
            <rFont val="Tahoma"/>
            <family val="2"/>
          </rPr>
          <t>To ensure compliance to NZS3604:2011 limitations or to optimise the bracing systems selected.</t>
        </r>
        <r>
          <rPr>
            <sz val="9"/>
            <color indexed="81"/>
            <rFont val="Tahoma"/>
            <family val="2"/>
          </rPr>
          <t xml:space="preserve">
</t>
        </r>
        <r>
          <rPr>
            <b/>
            <sz val="9"/>
            <color indexed="81"/>
            <rFont val="Tahoma"/>
            <family val="2"/>
          </rPr>
          <t xml:space="preserve">6. The correct Building Lengths and Widths for each level.   
       </t>
        </r>
        <r>
          <rPr>
            <b/>
            <sz val="9"/>
            <color indexed="10"/>
            <rFont val="Tahoma"/>
            <family val="2"/>
          </rPr>
          <t>This will ensure that the reminders for the  minimum bracing units required on External and  Internal bracing lines in each Solution sheet remain correct</t>
        </r>
        <r>
          <rPr>
            <b/>
            <sz val="9"/>
            <color indexed="81"/>
            <rFont val="Tahoma"/>
            <family val="2"/>
          </rPr>
          <t xml:space="preserve">.     </t>
        </r>
      </text>
    </comment>
    <comment ref="AK44" authorId="0" shapeId="0" xr:uid="{00000000-0006-0000-0500-000026000000}">
      <text>
        <r>
          <rPr>
            <b/>
            <sz val="8"/>
            <color indexed="81"/>
            <rFont val="Tahoma"/>
            <family val="2"/>
          </rPr>
          <t xml:space="preserve"> :</t>
        </r>
        <r>
          <rPr>
            <sz val="8"/>
            <color indexed="81"/>
            <rFont val="Tahoma"/>
            <family val="2"/>
          </rPr>
          <t xml:space="preserve">
Lee Zone    No = 1    Yes = 2</t>
        </r>
      </text>
    </comment>
    <comment ref="M47" authorId="0" shapeId="0" xr:uid="{00000000-0006-0000-0500-000027000000}">
      <text>
        <r>
          <rPr>
            <sz val="9"/>
            <color indexed="81"/>
            <rFont val="Tahoma"/>
            <family val="2"/>
          </rPr>
          <t>Enter the Alternatively Sourced Bracing Demands (in Bu's) in these fields</t>
        </r>
      </text>
    </comment>
    <comment ref="M48" authorId="0" shapeId="0" xr:uid="{00000000-0006-0000-0500-000028000000}">
      <text>
        <r>
          <rPr>
            <sz val="9"/>
            <color indexed="81"/>
            <rFont val="Tahoma"/>
            <family val="2"/>
          </rPr>
          <t>Enter the Alternatively Sourced Bracing Demands (in Bu's) in these fields</t>
        </r>
      </text>
    </comment>
    <comment ref="C49" authorId="0" shapeId="0" xr:uid="{00000000-0006-0000-0500-000029000000}">
      <text>
        <r>
          <rPr>
            <b/>
            <sz val="9"/>
            <color indexed="81"/>
            <rFont val="Tahoma"/>
            <family val="2"/>
          </rPr>
          <t>If this floor level has a timber floor then limit the Element Resistance to  "120 Bu's/m"
If this floor level has a concrete slab floor then  limit the Element Resistance to  "150 Bu's/m"
These limits can be optionally declined.
Furthermore if the floor is part timber and part slab then  these limits can be overridden on each individually entered bracing element in the Along and Across sheets tabs in column "K" so that the limits can be optimised.</t>
        </r>
      </text>
    </comment>
    <comment ref="M49" authorId="0" shapeId="0" xr:uid="{00000000-0006-0000-0500-00002A000000}">
      <text>
        <r>
          <rPr>
            <sz val="9"/>
            <color indexed="81"/>
            <rFont val="Tahoma"/>
            <family val="2"/>
          </rPr>
          <t>Enter the Alternatively Sourced Bracing Demands (in Bu's) in these fields</t>
        </r>
      </text>
    </comment>
    <comment ref="M53" authorId="0" shapeId="0" xr:uid="{00000000-0006-0000-0500-00002B000000}">
      <text>
        <r>
          <rPr>
            <sz val="9"/>
            <color indexed="81"/>
            <rFont val="Tahoma"/>
            <family val="2"/>
          </rPr>
          <t>Alternatively sourced Bracing Demands can be used in this spreadsheet. If so, select "</t>
        </r>
        <r>
          <rPr>
            <b/>
            <sz val="9"/>
            <color indexed="81"/>
            <rFont val="Tahoma"/>
            <family val="2"/>
          </rPr>
          <t>Other</t>
        </r>
        <r>
          <rPr>
            <sz val="9"/>
            <color indexed="81"/>
            <rFont val="Tahoma"/>
            <family val="2"/>
          </rPr>
          <t xml:space="preserve">" from the drop down box on the right and then enter the source name (usually the name of the Engineer or source) below and the alternative Wind and EQ Demand totals in the Cells provided.
It is </t>
        </r>
        <r>
          <rPr>
            <u/>
            <sz val="9"/>
            <color indexed="81"/>
            <rFont val="Tahoma"/>
            <family val="2"/>
          </rPr>
          <t>still important</t>
        </r>
        <r>
          <rPr>
            <sz val="9"/>
            <color indexed="81"/>
            <rFont val="Tahoma"/>
            <family val="2"/>
          </rPr>
          <t xml:space="preserve"> to enter </t>
        </r>
        <r>
          <rPr>
            <u/>
            <sz val="9"/>
            <color indexed="81"/>
            <rFont val="Tahoma"/>
            <family val="2"/>
          </rPr>
          <t>some</t>
        </r>
        <r>
          <rPr>
            <sz val="9"/>
            <color indexed="81"/>
            <rFont val="Tahoma"/>
            <family val="2"/>
          </rPr>
          <t xml:space="preserve"> of the correct variables in the Cells in Column "E".
These include the following:  
1.  The Project Details.
       </t>
        </r>
        <r>
          <rPr>
            <sz val="9"/>
            <color indexed="10"/>
            <rFont val="Tahoma"/>
            <family val="2"/>
          </rPr>
          <t>To ensure the Project Name and Project Site Address transfer to the Solution Sheets.</t>
        </r>
        <r>
          <rPr>
            <sz val="9"/>
            <color indexed="81"/>
            <rFont val="Tahoma"/>
            <family val="2"/>
          </rPr>
          <t xml:space="preserve">
2.  The Storey Type.  (Single or Double)
       </t>
        </r>
        <r>
          <rPr>
            <sz val="9"/>
            <color indexed="10"/>
            <rFont val="Tahoma"/>
            <family val="2"/>
          </rPr>
          <t>To ensure that the right number of  levels become available to enter demands and provide solutions.</t>
        </r>
        <r>
          <rPr>
            <sz val="9"/>
            <color indexed="81"/>
            <rFont val="Tahoma"/>
            <family val="2"/>
          </rPr>
          <t xml:space="preserve">
3. The Foundation Type. (Slab or Subfloor)
       </t>
        </r>
        <r>
          <rPr>
            <sz val="9"/>
            <color indexed="10"/>
            <rFont val="Tahoma"/>
            <family val="2"/>
          </rPr>
          <t>To ensure that the subfloor level becomes available to enter demands and to provide solutions.</t>
        </r>
        <r>
          <rPr>
            <sz val="9"/>
            <color indexed="81"/>
            <rFont val="Tahoma"/>
            <family val="2"/>
          </rPr>
          <t xml:space="preserve">
4. The correct or most common "Internal Stud Height" for each level.    
       </t>
        </r>
        <r>
          <rPr>
            <sz val="9"/>
            <color indexed="10"/>
            <rFont val="Tahoma"/>
            <family val="2"/>
          </rPr>
          <t>To ensure that those heights transfer to the individual Solution sheets.</t>
        </r>
        <r>
          <rPr>
            <sz val="9"/>
            <color indexed="81"/>
            <rFont val="Tahoma"/>
            <family val="2"/>
          </rPr>
          <t xml:space="preserve">
5.  The correct Floor limits for each level. (e.g.  120 bu's (6kN)  for Timber Floors and 150 bu's (7.5 kN) for Slab Floors)
       </t>
        </r>
        <r>
          <rPr>
            <sz val="9"/>
            <color indexed="10"/>
            <rFont val="Tahoma"/>
            <family val="2"/>
          </rPr>
          <t>To ensure compliance to NZS3604:2011 limitations or to optimise the bracing systems selected.</t>
        </r>
        <r>
          <rPr>
            <sz val="9"/>
            <color indexed="81"/>
            <rFont val="Tahoma"/>
            <family val="2"/>
          </rPr>
          <t xml:space="preserve">
</t>
        </r>
        <r>
          <rPr>
            <b/>
            <sz val="9"/>
            <color indexed="81"/>
            <rFont val="Tahoma"/>
            <family val="2"/>
          </rPr>
          <t xml:space="preserve">6. The correct Building Lengths and Widths for each level.   
       </t>
        </r>
        <r>
          <rPr>
            <b/>
            <sz val="9"/>
            <color indexed="10"/>
            <rFont val="Tahoma"/>
            <family val="2"/>
          </rPr>
          <t>This will ensure that the reminders for the  minimum bracing units required on External and  Internal bracing lines in each Solution sheet remain correct</t>
        </r>
        <r>
          <rPr>
            <b/>
            <sz val="9"/>
            <color indexed="81"/>
            <rFont val="Tahoma"/>
            <family val="2"/>
          </rPr>
          <t xml:space="preserve">.     </t>
        </r>
      </text>
    </comment>
    <comment ref="C54" authorId="0" shapeId="0" xr:uid="{00000000-0006-0000-0500-00002C000000}">
      <text>
        <r>
          <rPr>
            <sz val="9"/>
            <color indexed="81"/>
            <rFont val="Tahoma"/>
            <family val="2"/>
          </rPr>
          <t xml:space="preserve">Enter the height from the Average ground level to the floor level above. </t>
        </r>
      </text>
    </comment>
    <comment ref="C55" authorId="0" shapeId="0" xr:uid="{00000000-0006-0000-0500-00002D000000}">
      <text>
        <r>
          <rPr>
            <sz val="9"/>
            <color indexed="81"/>
            <rFont val="Tahoma"/>
            <family val="2"/>
          </rPr>
          <t xml:space="preserve">This Height defaults to the Subfloor Height  (Average ground level to the Floor level above). 
 If applicable enter the actual </t>
        </r>
        <r>
          <rPr>
            <u/>
            <sz val="9"/>
            <color indexed="81"/>
            <rFont val="Tahoma"/>
            <family val="2"/>
          </rPr>
          <t>Interna</t>
        </r>
        <r>
          <rPr>
            <sz val="9"/>
            <color indexed="81"/>
            <rFont val="Tahoma"/>
            <family val="2"/>
          </rPr>
          <t>l Stud Height of the Subfloor level.
Remember to use a new Template for each new Project.</t>
        </r>
      </text>
    </comment>
    <comment ref="C56" authorId="0" shapeId="0" xr:uid="{00000000-0006-0000-0500-00002E000000}">
      <text>
        <r>
          <rPr>
            <sz val="9"/>
            <color indexed="81"/>
            <rFont val="Tahoma"/>
            <family val="2"/>
          </rPr>
          <t xml:space="preserve">The Subfloor Length and Width initially defaults to the Building Length and Width of the level above.   This can be over written.   
Remember to use a new template for each new project. </t>
        </r>
      </text>
    </comment>
    <comment ref="C57" authorId="0" shapeId="0" xr:uid="{00000000-0006-0000-0500-00002F000000}">
      <text>
        <r>
          <rPr>
            <sz val="9"/>
            <color indexed="81"/>
            <rFont val="Tahoma"/>
            <family val="2"/>
          </rPr>
          <t xml:space="preserve">The Subfloor Length and Width initially defaults to the Building Length and Width of the level above.   This can be over written.   
Remember to use a new template for each new project. </t>
        </r>
      </text>
    </comment>
    <comment ref="M57" authorId="0" shapeId="0" xr:uid="{00000000-0006-0000-0500-000030000000}">
      <text>
        <r>
          <rPr>
            <sz val="9"/>
            <color indexed="81"/>
            <rFont val="Tahoma"/>
            <family val="2"/>
          </rPr>
          <t>Enter the Alternatively Sourced Bracing Demands (in Bu's) in these fields</t>
        </r>
      </text>
    </comment>
    <comment ref="C58" authorId="0" shapeId="0" xr:uid="{00000000-0006-0000-0500-000031000000}">
      <text>
        <r>
          <rPr>
            <sz val="9"/>
            <color indexed="81"/>
            <rFont val="Tahoma"/>
            <family val="2"/>
          </rPr>
          <t>The Subfloor Gross Plan Area Defaults to the Gross Plan Area of the level above.  This can be over written.
Remember to use a new template for each new Project.</t>
        </r>
      </text>
    </comment>
    <comment ref="M58" authorId="0" shapeId="0" xr:uid="{00000000-0006-0000-0500-000032000000}">
      <text>
        <r>
          <rPr>
            <sz val="9"/>
            <color indexed="81"/>
            <rFont val="Tahoma"/>
            <family val="2"/>
          </rPr>
          <t>Enter the Alternatively Sourced Bracing Demands (in Bu's) in these fields</t>
        </r>
      </text>
    </comment>
    <comment ref="C59" authorId="0" shapeId="0" xr:uid="{00000000-0006-0000-0500-000033000000}">
      <text>
        <r>
          <rPr>
            <b/>
            <sz val="9"/>
            <color indexed="81"/>
            <rFont val="Tahoma"/>
            <family val="2"/>
          </rPr>
          <t>It is assumed that the floor of a subfloor is Not Timber or Concrete slab.  And so "No Floor" is indicated.
This can be overridden if there is a Timber floor or Slab Floor.  The Element Resistance Limits for these floor types will be set accordingly  (120 bu's/m for timber or 150 bu's/m for slab)
However consideration should be given to the possibility that the structure is actually 3 full levels and so falls outside the scope of NZS3604,  or that the sub-floor is actually the lower storey of a double storey building.</t>
        </r>
      </text>
    </comment>
    <comment ref="M59" authorId="0" shapeId="0" xr:uid="{00000000-0006-0000-0500-000034000000}">
      <text>
        <r>
          <rPr>
            <sz val="9"/>
            <color indexed="81"/>
            <rFont val="Tahoma"/>
            <family val="2"/>
          </rPr>
          <t>Enter the Alternatively Sourced Bracing Demands (in Bu's) in these fields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U77" authorId="0" shapeId="0" xr:uid="{00000000-0006-0000-0600-000001000000}">
      <text>
        <r>
          <rPr>
            <b/>
            <sz val="8"/>
            <color indexed="81"/>
            <rFont val="Tahoma"/>
            <family val="2"/>
          </rPr>
          <t xml:space="preserve"> :</t>
        </r>
        <r>
          <rPr>
            <sz val="8"/>
            <color indexed="81"/>
            <rFont val="Tahoma"/>
            <family val="2"/>
          </rPr>
          <t xml:space="preserve">
This decides if the Tope class is calculated above or directly entered</t>
        </r>
      </text>
    </comment>
    <comment ref="U78" authorId="0" shapeId="0" xr:uid="{00000000-0006-0000-0600-000002000000}">
      <text>
        <r>
          <rPr>
            <b/>
            <sz val="8"/>
            <color indexed="81"/>
            <rFont val="Tahoma"/>
            <family val="2"/>
          </rPr>
          <t xml:space="preserve"> :</t>
        </r>
        <r>
          <rPr>
            <sz val="8"/>
            <color indexed="81"/>
            <rFont val="Tahoma"/>
            <family val="2"/>
          </rPr>
          <t xml:space="preserve">
This decides if the Tope class is calculated above or directly entered</t>
        </r>
      </text>
    </comment>
    <comment ref="Z81" authorId="0" shapeId="0" xr:uid="{00000000-0006-0000-0600-000003000000}">
      <text>
        <r>
          <rPr>
            <b/>
            <sz val="8"/>
            <color indexed="81"/>
            <rFont val="Tahoma"/>
            <family val="2"/>
          </rPr>
          <t xml:space="preserve"> :</t>
        </r>
        <r>
          <rPr>
            <sz val="8"/>
            <color indexed="81"/>
            <rFont val="Tahoma"/>
            <family val="2"/>
          </rPr>
          <t xml:space="preserve">
This is the manually user enterd Wind Zone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Kevin Van Hest</author>
    <author xml:space="preserve"> </author>
    <author>manager</author>
  </authors>
  <commentList>
    <comment ref="H6" authorId="0" shapeId="0" xr:uid="{00000000-0006-0000-0800-000001000000}">
      <text>
        <r>
          <rPr>
            <b/>
            <sz val="9"/>
            <color indexed="81"/>
            <rFont val="Tahoma"/>
            <family val="2"/>
          </rPr>
          <t xml:space="preserve">For most systems (e.g  Portal Frames, Masonry, piles etc)   select "Single".   
They then can be used on single or doubled sided walls.
For plasterboard, plywood and fibre cement panel systems that require panels on </t>
        </r>
        <r>
          <rPr>
            <b/>
            <u/>
            <sz val="9"/>
            <color indexed="81"/>
            <rFont val="Tahoma"/>
            <family val="2"/>
          </rPr>
          <t>both sides</t>
        </r>
        <r>
          <rPr>
            <b/>
            <sz val="9"/>
            <color indexed="81"/>
            <rFont val="Tahoma"/>
            <family val="2"/>
          </rPr>
          <t xml:space="preserve"> (including combinations of plasterboard and plywood OR combinations of  plasterboard and fibre cement systems etc)  then select "Double".  
This will ensure the software will provide warnings if those "Double" sided systems are inadvertently placed on walls that can only have "Single" sided panel systems placed on them. 
</t>
        </r>
      </text>
    </comment>
    <comment ref="I6" authorId="0" shapeId="0" xr:uid="{00000000-0006-0000-0800-000002000000}">
      <text>
        <r>
          <rPr>
            <b/>
            <sz val="9"/>
            <color indexed="81"/>
            <rFont val="Tahoma"/>
            <family val="2"/>
          </rPr>
          <t>For Systems that reduce their performance as a function of the stud height select "Yes",   For example plasterboard , plywood or fibre cement sheeting systems which generally publish their performance based on a 2.4m stud height.
Systems such as portal frame , or block walls etc select "No"</t>
        </r>
      </text>
    </comment>
    <comment ref="J6" authorId="0" shapeId="0" xr:uid="{00000000-0006-0000-0800-000003000000}">
      <text>
        <r>
          <rPr>
            <b/>
            <sz val="9"/>
            <color indexed="81"/>
            <rFont val="Tahoma"/>
            <family val="2"/>
          </rPr>
          <t>Systems that require their system performance to be capped due to foundation hold down capability select "Yes".  E.g.   Plasterboard , plywood , fibre cement sheeting systems etc whom performance is limited by bottom plate and bolt or nail hold down capability.
For systems such as Portal frames or block walls etc select "No"</t>
        </r>
      </text>
    </comment>
    <comment ref="P6" authorId="1" shapeId="0" xr:uid="{00000000-0006-0000-0800-000004000000}">
      <text>
        <r>
          <rPr>
            <sz val="10"/>
            <color indexed="81"/>
            <rFont val="Tahoma"/>
            <family val="2"/>
          </rPr>
          <t xml:space="preserve">These systems are derived from NZS3604:2011.  
Their performances are not affected by stud  height. 
 However their performances are affected by </t>
        </r>
        <r>
          <rPr>
            <u/>
            <sz val="10"/>
            <color indexed="81"/>
            <rFont val="Tahoma"/>
            <family val="2"/>
          </rPr>
          <t>wall angle</t>
        </r>
        <r>
          <rPr>
            <sz val="10"/>
            <color indexed="81"/>
            <rFont val="Tahoma"/>
            <family val="2"/>
          </rPr>
          <t xml:space="preserve"> (except the Cantilever and Anchor Piles).</t>
        </r>
      </text>
    </comment>
    <comment ref="AB6" authorId="1" shapeId="0" xr:uid="{00000000-0006-0000-0800-000005000000}">
      <text>
        <r>
          <rPr>
            <sz val="10"/>
            <color indexed="81"/>
            <rFont val="Tahoma"/>
            <family val="2"/>
          </rPr>
          <t xml:space="preserve">These systems are derived from NZS3604:2011.  
Their performances are not affected by stud  height. 
 However their performances are affected by </t>
        </r>
        <r>
          <rPr>
            <u/>
            <sz val="10"/>
            <color indexed="81"/>
            <rFont val="Tahoma"/>
            <family val="2"/>
          </rPr>
          <t>wall angle</t>
        </r>
        <r>
          <rPr>
            <sz val="10"/>
            <color indexed="81"/>
            <rFont val="Tahoma"/>
            <family val="2"/>
          </rPr>
          <t xml:space="preserve"> (except the Cantilever and Anchor Piles).</t>
        </r>
      </text>
    </comment>
    <comment ref="AG6" authorId="1" shapeId="0" xr:uid="{00000000-0006-0000-0800-000006000000}">
      <text>
        <r>
          <rPr>
            <sz val="10"/>
            <color indexed="81"/>
            <rFont val="Tahoma"/>
            <family val="2"/>
          </rPr>
          <t xml:space="preserve">These systems are derived from NZS3604:2011.  
Their performances are not affected by stud  height.  Therefore they have a System Flag of "E".
 However their performances are affected by </t>
        </r>
        <r>
          <rPr>
            <u/>
            <sz val="10"/>
            <color indexed="81"/>
            <rFont val="Tahoma"/>
            <family val="2"/>
          </rPr>
          <t>wall angle</t>
        </r>
        <r>
          <rPr>
            <sz val="10"/>
            <color indexed="81"/>
            <rFont val="Tahoma"/>
            <family val="2"/>
          </rPr>
          <t xml:space="preserve"> 
 (except the Cantilever and Anchor Piles.)</t>
        </r>
      </text>
    </comment>
    <comment ref="AK6" authorId="1" shapeId="0" xr:uid="{00000000-0006-0000-0800-000007000000}">
      <text>
        <r>
          <rPr>
            <sz val="10"/>
            <color indexed="81"/>
            <rFont val="Tahoma"/>
            <family val="2"/>
          </rPr>
          <t xml:space="preserve">These systems are derived from NZS3604:2011.  
Their performances are not affected by stud  height. 
 However their performances are affected by </t>
        </r>
        <r>
          <rPr>
            <u/>
            <sz val="10"/>
            <color indexed="81"/>
            <rFont val="Tahoma"/>
            <family val="2"/>
          </rPr>
          <t>wall angle</t>
        </r>
        <r>
          <rPr>
            <sz val="10"/>
            <color indexed="81"/>
            <rFont val="Tahoma"/>
            <family val="2"/>
          </rPr>
          <t xml:space="preserve"> (except the Cantilever and Anchor Piles).</t>
        </r>
      </text>
    </comment>
    <comment ref="AP6" authorId="1" shapeId="0" xr:uid="{00000000-0006-0000-0800-000008000000}">
      <text>
        <r>
          <rPr>
            <sz val="10"/>
            <color indexed="81"/>
            <rFont val="Tahoma"/>
            <family val="2"/>
          </rPr>
          <t xml:space="preserve">These systems are derived from NZS3604:2011.  
Their performances are not affected by stud  height.  Therefore they have a System Flag of "E".
 However their performances are affected by </t>
        </r>
        <r>
          <rPr>
            <u/>
            <sz val="10"/>
            <color indexed="81"/>
            <rFont val="Tahoma"/>
            <family val="2"/>
          </rPr>
          <t>wall angle</t>
        </r>
        <r>
          <rPr>
            <sz val="10"/>
            <color indexed="81"/>
            <rFont val="Tahoma"/>
            <family val="2"/>
          </rPr>
          <t xml:space="preserve"> 
 (except the Cantilever and Anchor Piles.)</t>
        </r>
      </text>
    </comment>
    <comment ref="P9" authorId="2" shapeId="0" xr:uid="{00000000-0006-0000-0800-000009000000}">
      <text>
        <r>
          <rPr>
            <sz val="10"/>
            <color indexed="81"/>
            <rFont val="Tahoma"/>
            <family val="2"/>
          </rPr>
          <t>Reinforced concrete or masonry wall with a length to height ratio of 0.75 or more  BUT less than 1.5</t>
        </r>
      </text>
    </comment>
    <comment ref="AB9" authorId="2" shapeId="0" xr:uid="{00000000-0006-0000-0800-00000A000000}">
      <text>
        <r>
          <rPr>
            <sz val="10"/>
            <color indexed="81"/>
            <rFont val="Tahoma"/>
            <family val="2"/>
          </rPr>
          <t>Reinforced concrete or masonry wall with a length to height ratio of 0.75 or more  BUT less than 1.5</t>
        </r>
      </text>
    </comment>
    <comment ref="AG9" authorId="1" shapeId="0" xr:uid="{00000000-0006-0000-0800-00000B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K9" authorId="2" shapeId="0" xr:uid="{00000000-0006-0000-0800-00000C000000}">
      <text>
        <r>
          <rPr>
            <sz val="10"/>
            <color indexed="81"/>
            <rFont val="Tahoma"/>
            <family val="2"/>
          </rPr>
          <t>Reinforced concrete or masonry wall with a length to height ratio of 0.75 or more  BUT less than 1.5</t>
        </r>
      </text>
    </comment>
    <comment ref="AP9" authorId="1" shapeId="0" xr:uid="{00000000-0006-0000-0800-00000D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P10" authorId="2" shapeId="0" xr:uid="{00000000-0006-0000-0800-00000E000000}">
      <text>
        <r>
          <rPr>
            <sz val="10"/>
            <color indexed="81"/>
            <rFont val="Tahoma"/>
            <family val="2"/>
          </rPr>
          <t>Reinforced concrete or masonry wall with a length to height ratio of 1.5 or more BUT less than 3.0</t>
        </r>
      </text>
    </comment>
    <comment ref="AB10" authorId="2" shapeId="0" xr:uid="{00000000-0006-0000-0800-00000F000000}">
      <text>
        <r>
          <rPr>
            <sz val="10"/>
            <color indexed="81"/>
            <rFont val="Tahoma"/>
            <family val="2"/>
          </rPr>
          <t>Reinforced concrete or masonry wall with a length to height ratio of 1.5 or more BUT less than 3.0</t>
        </r>
      </text>
    </comment>
    <comment ref="AG10" authorId="1" shapeId="0" xr:uid="{00000000-0006-0000-0800-000010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K10" authorId="2" shapeId="0" xr:uid="{00000000-0006-0000-0800-000011000000}">
      <text>
        <r>
          <rPr>
            <sz val="10"/>
            <color indexed="81"/>
            <rFont val="Tahoma"/>
            <family val="2"/>
          </rPr>
          <t>Reinforced concrete or masonry wall with a length to height ratio of 1.5 or more BUT less than 3.0</t>
        </r>
      </text>
    </comment>
    <comment ref="AP10" authorId="1" shapeId="0" xr:uid="{00000000-0006-0000-0800-000012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P11" authorId="2" shapeId="0" xr:uid="{00000000-0006-0000-0800-000013000000}">
      <text>
        <r>
          <rPr>
            <sz val="10"/>
            <color indexed="81"/>
            <rFont val="Tahoma"/>
            <family val="2"/>
          </rPr>
          <t>Reinforced concrete or masonry wall with a length to height ratio of 3.0 or more BUT less than 4.5</t>
        </r>
      </text>
    </comment>
    <comment ref="AB11" authorId="2" shapeId="0" xr:uid="{00000000-0006-0000-0800-000014000000}">
      <text>
        <r>
          <rPr>
            <sz val="10"/>
            <color indexed="81"/>
            <rFont val="Tahoma"/>
            <family val="2"/>
          </rPr>
          <t>Reinforced concrete or masonry wall with a length to height ratio of 3.0 or more BUT less than 4.5</t>
        </r>
      </text>
    </comment>
    <comment ref="AG11" authorId="1" shapeId="0" xr:uid="{00000000-0006-0000-0800-000015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K11" authorId="2" shapeId="0" xr:uid="{00000000-0006-0000-0800-000016000000}">
      <text>
        <r>
          <rPr>
            <sz val="10"/>
            <color indexed="81"/>
            <rFont val="Tahoma"/>
            <family val="2"/>
          </rPr>
          <t>Reinforced concrete or masonry wall with a length to height ratio of 3.0 or more BUT less than 4.5</t>
        </r>
      </text>
    </comment>
    <comment ref="AP11" authorId="1" shapeId="0" xr:uid="{00000000-0006-0000-0800-000017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P12" authorId="2" shapeId="0" xr:uid="{00000000-0006-0000-0800-000018000000}">
      <text>
        <r>
          <rPr>
            <sz val="10"/>
            <color indexed="81"/>
            <rFont val="Tahoma"/>
            <family val="2"/>
          </rPr>
          <t>Reinforced concrete or masonry wall with a length to height ratio of 4.5 or more.</t>
        </r>
      </text>
    </comment>
    <comment ref="AB12" authorId="2" shapeId="0" xr:uid="{00000000-0006-0000-0800-000019000000}">
      <text>
        <r>
          <rPr>
            <sz val="10"/>
            <color indexed="81"/>
            <rFont val="Tahoma"/>
            <family val="2"/>
          </rPr>
          <t>Reinforced concrete or masonry wall with a length to height ratio of 4.5 or more.</t>
        </r>
      </text>
    </comment>
    <comment ref="AG12" authorId="1" shapeId="0" xr:uid="{00000000-0006-0000-0800-00001A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K12" authorId="2" shapeId="0" xr:uid="{00000000-0006-0000-0800-00001B000000}">
      <text>
        <r>
          <rPr>
            <sz val="10"/>
            <color indexed="81"/>
            <rFont val="Tahoma"/>
            <family val="2"/>
          </rPr>
          <t>Reinforced concrete or masonry wall with a length to height ratio of 4.5 or more.</t>
        </r>
      </text>
    </comment>
    <comment ref="AP12" authorId="1" shapeId="0" xr:uid="{00000000-0006-0000-0800-00001C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P13" authorId="1" shapeId="0" xr:uid="{00000000-0006-0000-0800-00001D000000}">
      <text>
        <r>
          <rPr>
            <sz val="10"/>
            <color indexed="81"/>
            <rFont val="Tahoma"/>
            <family val="2"/>
          </rPr>
          <t>Brace Pile System (consisting of 2 piles and a diagonal brace)    Provides Bracing only in one direction.</t>
        </r>
      </text>
    </comment>
    <comment ref="AB13" authorId="1" shapeId="0" xr:uid="{00000000-0006-0000-0800-00001E000000}">
      <text>
        <r>
          <rPr>
            <sz val="10"/>
            <color indexed="81"/>
            <rFont val="Tahoma"/>
            <family val="2"/>
          </rPr>
          <t>Brace Pile System (consisting of 2 piles and a diagonal brace)    Provides Bracing only in one direction.</t>
        </r>
      </text>
    </comment>
    <comment ref="AG13" authorId="1" shapeId="0" xr:uid="{00000000-0006-0000-0800-00001F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K13" authorId="1" shapeId="0" xr:uid="{00000000-0006-0000-0800-000020000000}">
      <text>
        <r>
          <rPr>
            <sz val="10"/>
            <color indexed="81"/>
            <rFont val="Tahoma"/>
            <family val="2"/>
          </rPr>
          <t>Brace Pile System (consisting of 2 piles and a diagonal brace)    Provides Bracing only in one direction.</t>
        </r>
      </text>
    </comment>
    <comment ref="AP13" authorId="1" shapeId="0" xr:uid="{00000000-0006-0000-0800-000021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P14" authorId="1" shapeId="0" xr:uid="{00000000-0006-0000-0800-000022000000}">
      <text>
        <r>
          <rPr>
            <sz val="10"/>
            <color indexed="81"/>
            <rFont val="Tahoma"/>
            <family val="2"/>
          </rPr>
          <t>The same Cantilever pile can be used to provide bracing in both the Along and the Across direction.</t>
        </r>
      </text>
    </comment>
    <comment ref="AB14" authorId="1" shapeId="0" xr:uid="{00000000-0006-0000-0800-000023000000}">
      <text>
        <r>
          <rPr>
            <sz val="10"/>
            <color indexed="81"/>
            <rFont val="Tahoma"/>
            <family val="2"/>
          </rPr>
          <t>The same Cantilever pile can be used to provide bracing in both the Along and the Across direction.</t>
        </r>
      </text>
    </comment>
    <comment ref="AG14" authorId="1" shapeId="0" xr:uid="{00000000-0006-0000-0800-000024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K14" authorId="1" shapeId="0" xr:uid="{00000000-0006-0000-0800-000025000000}">
      <text>
        <r>
          <rPr>
            <sz val="10"/>
            <color indexed="81"/>
            <rFont val="Tahoma"/>
            <family val="2"/>
          </rPr>
          <t>The same Cantilever pile can be used to provide bracing in both the Along and the Across direction.</t>
        </r>
      </text>
    </comment>
    <comment ref="AP14" authorId="1" shapeId="0" xr:uid="{00000000-0006-0000-0800-000026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P15" authorId="1" shapeId="0" xr:uid="{00000000-0006-0000-0800-000027000000}">
      <text>
        <r>
          <rPr>
            <sz val="10"/>
            <color indexed="81"/>
            <rFont val="Tahoma"/>
            <family val="2"/>
          </rPr>
          <t>The same Anchor pile can used to provide bracing in both the Along and the Across direction.</t>
        </r>
      </text>
    </comment>
    <comment ref="AB15" authorId="1" shapeId="0" xr:uid="{00000000-0006-0000-0800-000028000000}">
      <text>
        <r>
          <rPr>
            <sz val="10"/>
            <color indexed="81"/>
            <rFont val="Tahoma"/>
            <family val="2"/>
          </rPr>
          <t>The same Anchor pile can used to provide bracing in both the Along and the Across direction.</t>
        </r>
      </text>
    </comment>
    <comment ref="AG15" authorId="1" shapeId="0" xr:uid="{00000000-0006-0000-0800-000029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K15" authorId="1" shapeId="0" xr:uid="{00000000-0006-0000-0800-00002A000000}">
      <text>
        <r>
          <rPr>
            <sz val="10"/>
            <color indexed="81"/>
            <rFont val="Tahoma"/>
            <family val="2"/>
          </rPr>
          <t>The same Anchor pile can used to provide bracing in both the Along and the Across direction.</t>
        </r>
      </text>
    </comment>
    <comment ref="AP15" authorId="1" shapeId="0" xr:uid="{00000000-0006-0000-0800-00002B000000}">
      <text>
        <r>
          <rPr>
            <b/>
            <sz val="10"/>
            <color indexed="81"/>
            <rFont val="Tahoma"/>
            <family val="2"/>
          </rPr>
          <t>These NZS 3604 Systems performances are not altered by stud heights. Therefore they have a System Type Flag  of "E"</t>
        </r>
        <r>
          <rPr>
            <sz val="10"/>
            <color indexed="81"/>
            <rFont val="Tahoma"/>
            <family val="2"/>
          </rPr>
          <t xml:space="preserve"> </t>
        </r>
      </text>
    </comment>
    <comment ref="AB19" authorId="1" shapeId="0" xr:uid="{00000000-0006-0000-0800-00002C000000}">
      <text>
        <r>
          <rPr>
            <sz val="10"/>
            <color indexed="81"/>
            <rFont val="Tahoma"/>
            <family val="2"/>
          </rPr>
          <t xml:space="preserve">These are Elephant Plasterboard on </t>
        </r>
        <r>
          <rPr>
            <b/>
            <sz val="10"/>
            <color indexed="81"/>
            <rFont val="Tahoma"/>
            <family val="2"/>
          </rPr>
          <t>Steel Stud</t>
        </r>
        <r>
          <rPr>
            <sz val="10"/>
            <color indexed="81"/>
            <rFont val="Tahoma"/>
            <family val="2"/>
          </rPr>
          <t xml:space="preserve">  systems and their performances are based on a stud height of 2.4m   
Therefore the System Type Flag is set at "T" . 
</t>
        </r>
      </text>
    </comment>
    <comment ref="AG19" authorId="1" shapeId="0" xr:uid="{00000000-0006-0000-0800-00002D000000}">
      <text>
        <r>
          <rPr>
            <sz val="10"/>
            <color indexed="81"/>
            <rFont val="Tahoma"/>
            <family val="2"/>
          </rPr>
          <t xml:space="preserve">These are Elephant Plasterboard on </t>
        </r>
        <r>
          <rPr>
            <b/>
            <sz val="10"/>
            <color indexed="81"/>
            <rFont val="Tahoma"/>
            <family val="2"/>
          </rPr>
          <t>Steel Stud</t>
        </r>
        <r>
          <rPr>
            <sz val="10"/>
            <color indexed="81"/>
            <rFont val="Tahoma"/>
            <family val="2"/>
          </rPr>
          <t xml:space="preserve">  systems and their performances are based on a stud height of 2.4m   
Therefore the System Type Flag is set at "T" . 
</t>
        </r>
      </text>
    </comment>
    <comment ref="AK19" authorId="1" shapeId="0" xr:uid="{00000000-0006-0000-0800-00002E000000}">
      <text>
        <r>
          <rPr>
            <sz val="10"/>
            <color indexed="81"/>
            <rFont val="Tahoma"/>
            <family val="2"/>
          </rPr>
          <t xml:space="preserve">These are Elephant Plasterboard on </t>
        </r>
        <r>
          <rPr>
            <b/>
            <sz val="10"/>
            <color indexed="81"/>
            <rFont val="Tahoma"/>
            <family val="2"/>
          </rPr>
          <t>Steel Stud</t>
        </r>
        <r>
          <rPr>
            <sz val="10"/>
            <color indexed="81"/>
            <rFont val="Tahoma"/>
            <family val="2"/>
          </rPr>
          <t xml:space="preserve">  systems and their performances are based on a stud height of 2.4m   
Therefore the System Type Flag is set at "T" . 
</t>
        </r>
      </text>
    </comment>
    <comment ref="AP19" authorId="1" shapeId="0" xr:uid="{00000000-0006-0000-0800-00002F000000}">
      <text>
        <r>
          <rPr>
            <sz val="10"/>
            <color indexed="81"/>
            <rFont val="Tahoma"/>
            <family val="2"/>
          </rPr>
          <t xml:space="preserve">These are Elephant Plasterboard on </t>
        </r>
        <r>
          <rPr>
            <b/>
            <sz val="10"/>
            <color indexed="81"/>
            <rFont val="Tahoma"/>
            <family val="2"/>
          </rPr>
          <t>Steel Stud</t>
        </r>
        <r>
          <rPr>
            <sz val="10"/>
            <color indexed="81"/>
            <rFont val="Tahoma"/>
            <family val="2"/>
          </rPr>
          <t xml:space="preserve">  systems and their performances are based on a stud height of 2.4m   
Therefore the System Type Flag is set at "T" .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Ernst</author>
    <author>Kevin Van Hest</author>
    <author>manager</author>
  </authors>
  <commentList>
    <comment ref="Q2" authorId="0" shapeId="0" xr:uid="{00000000-0006-0000-0900-000001000000}">
      <text>
        <r>
          <rPr>
            <sz val="10"/>
            <color indexed="81"/>
            <rFont val="Tahoma"/>
            <family val="2"/>
          </rPr>
          <t xml:space="preserve">Several types of suggestions and warnings appear in this column.
For Example:
If the system EMPH is chosen  (Multiboard on one side and Plywood on the either)  
    If the comment:  " ESPH provides same result in WIND " appears it means that the Wind performance of the ESPH bracing system is the same as EMPH  bracing system that was chosen.
    If the comment:   "ESPH provides the same results"" appears it means that BOTH the Wind AND the Earthquake performance of the ESPH bracing system is the same as EMPH bracing system that was chosen.
</t>
        </r>
      </text>
    </comment>
    <comment ref="AZ2" authorId="0" shapeId="0" xr:uid="{00000000-0006-0000-0900-000002000000}">
      <text>
        <r>
          <rPr>
            <b/>
            <sz val="9"/>
            <color indexed="81"/>
            <rFont val="Tahoma"/>
            <family val="2"/>
          </rPr>
          <t xml:space="preserve"> :</t>
        </r>
        <r>
          <rPr>
            <sz val="9"/>
            <color indexed="81"/>
            <rFont val="Tahoma"/>
            <family val="2"/>
          </rPr>
          <t xml:space="preserve">
This is an old SwitchBrace switch</t>
        </r>
      </text>
    </comment>
    <comment ref="B3" authorId="0" shapeId="0" xr:uid="{00000000-0006-0000-0900-000003000000}">
      <text>
        <r>
          <rPr>
            <sz val="10"/>
            <color indexed="81"/>
            <rFont val="Tahoma"/>
            <family val="2"/>
          </rPr>
          <t>These labels can be manually changed.  e.g. East-West"</t>
        </r>
        <r>
          <rPr>
            <b/>
            <sz val="8"/>
            <color indexed="81"/>
            <rFont val="Tahoma"/>
            <family val="2"/>
          </rPr>
          <t xml:space="preserve">
</t>
        </r>
        <r>
          <rPr>
            <sz val="10"/>
            <color indexed="81"/>
            <rFont val="Tahoma"/>
            <family val="2"/>
          </rPr>
          <t>If changing these default names ..Remember to use a new Template for each new Project.</t>
        </r>
      </text>
    </comment>
    <comment ref="I3" authorId="0" shapeId="0" xr:uid="{00000000-0006-0000-0900-000004000000}">
      <text>
        <r>
          <rPr>
            <sz val="10"/>
            <color indexed="81"/>
            <rFont val="Tahoma"/>
            <family val="2"/>
          </rPr>
          <t xml:space="preserve">If the Wind or EQ demand is alternatively sourced then return to the Project Demand tab and  select "Other" in the Demand Source drop down box near cell N33.
Place  the source name and alternative demand totals in the relevant cells
</t>
        </r>
      </text>
    </comment>
    <comment ref="M3" authorId="0" shapeId="0" xr:uid="{00000000-0006-0000-0900-000005000000}">
      <text>
        <r>
          <rPr>
            <sz val="10"/>
            <color indexed="81"/>
            <rFont val="Tahoma"/>
            <family val="2"/>
          </rPr>
          <t xml:space="preserve">This is the Wind Demand for the Along direction at this floor level. 
 Alternatively Sourced Bracing Demands can be manually placed in the Project Demand sheet.
</t>
        </r>
      </text>
    </comment>
    <comment ref="O3" authorId="0" shapeId="0" xr:uid="{00000000-0006-0000-0900-000006000000}">
      <text>
        <r>
          <rPr>
            <sz val="10"/>
            <color indexed="81"/>
            <rFont val="Tahoma"/>
            <family val="2"/>
          </rPr>
          <t xml:space="preserve">This is the EQ Demand for the Along direction at this floor level.     
Alternatively Sourced Bracing Demands can be manually placed in the Project Demand sheet.
</t>
        </r>
      </text>
    </comment>
    <comment ref="B4" authorId="0" shapeId="0" xr:uid="{00000000-0006-0000-0900-000007000000}">
      <text>
        <r>
          <rPr>
            <sz val="10"/>
            <color indexed="81"/>
            <rFont val="Tahoma"/>
            <family val="2"/>
          </rPr>
          <t>The Storey Label can be manually changed.  E.g. "Top Floor"
If changing these default names then ..Remember to use a new Template for each new Project.</t>
        </r>
      </text>
    </comment>
    <comment ref="L4" authorId="1" shapeId="0" xr:uid="{00000000-0006-0000-0900-000008000000}">
      <text>
        <r>
          <rPr>
            <sz val="10"/>
            <color indexed="81"/>
            <rFont val="Tahoma"/>
            <family val="2"/>
          </rPr>
          <t>This is the minimum Bu's required for the</t>
        </r>
        <r>
          <rPr>
            <u/>
            <sz val="10"/>
            <color indexed="81"/>
            <rFont val="Tahoma"/>
            <family val="2"/>
          </rPr>
          <t xml:space="preserve"> Wind</t>
        </r>
        <r>
          <rPr>
            <sz val="10"/>
            <color indexed="81"/>
            <rFont val="Tahoma"/>
            <family val="2"/>
          </rPr>
          <t xml:space="preserve"> Demand on the External Bracing lines on either side of the project.
The individual  External Bracing elements ON each line have been labelled (in column 'D')  either  "Top External" or "Bottom External" or "Internal"  to distinguish elements that are on either side of the project or are on internal walls.  (Blank indicates no particular designation) 
The term Top External  or Bottom External  </t>
        </r>
        <r>
          <rPr>
            <u/>
            <sz val="10"/>
            <color indexed="81"/>
            <rFont val="Tahoma"/>
            <family val="2"/>
          </rPr>
          <t xml:space="preserve"> doesn't necessarily</t>
        </r>
        <r>
          <rPr>
            <sz val="10"/>
            <color indexed="81"/>
            <rFont val="Tahoma"/>
            <family val="2"/>
          </rPr>
          <t xml:space="preserve"> literally mean the </t>
        </r>
        <r>
          <rPr>
            <u/>
            <sz val="10"/>
            <color indexed="81"/>
            <rFont val="Tahoma"/>
            <family val="2"/>
          </rPr>
          <t>top</t>
        </r>
        <r>
          <rPr>
            <sz val="10"/>
            <color indexed="81"/>
            <rFont val="Tahoma"/>
            <family val="2"/>
          </rPr>
          <t xml:space="preserve"> side external line or</t>
        </r>
        <r>
          <rPr>
            <u/>
            <sz val="10"/>
            <color indexed="81"/>
            <rFont val="Tahoma"/>
            <family val="2"/>
          </rPr>
          <t xml:space="preserve"> bottom</t>
        </r>
        <r>
          <rPr>
            <sz val="10"/>
            <color indexed="81"/>
            <rFont val="Tahoma"/>
            <family val="2"/>
          </rPr>
          <t xml:space="preserve"> side external line of the floor plan .  It could mean the left external lines or the right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N4" authorId="1" shapeId="0" xr:uid="{00000000-0006-0000-0900-000009000000}">
      <text>
        <r>
          <rPr>
            <sz val="10"/>
            <color indexed="81"/>
            <rFont val="Tahoma"/>
            <family val="2"/>
          </rPr>
          <t xml:space="preserve">This is the minimum Bu's required for the </t>
        </r>
        <r>
          <rPr>
            <u/>
            <sz val="10"/>
            <color indexed="81"/>
            <rFont val="Tahoma"/>
            <family val="2"/>
          </rPr>
          <t>Earthquake</t>
        </r>
        <r>
          <rPr>
            <sz val="10"/>
            <color indexed="81"/>
            <rFont val="Tahoma"/>
            <family val="2"/>
          </rPr>
          <t xml:space="preserve"> Demand on the External Bracing lines on either side of the project.
The individual  External Bracing elements ON each line have been labelled (in column 'D')  either  "Top External" or "Bottom External" or "Internal"  to distinguish elements that are on either side of the project or are on internal walls.  (Blank indicates no particular designation) 
The term Top External  or Bottom External  </t>
        </r>
        <r>
          <rPr>
            <u/>
            <sz val="10"/>
            <color indexed="81"/>
            <rFont val="Tahoma"/>
            <family val="2"/>
          </rPr>
          <t xml:space="preserve"> doesn't necessarily</t>
        </r>
        <r>
          <rPr>
            <sz val="10"/>
            <color indexed="81"/>
            <rFont val="Tahoma"/>
            <family val="2"/>
          </rPr>
          <t xml:space="preserve"> literally mean the </t>
        </r>
        <r>
          <rPr>
            <u/>
            <sz val="10"/>
            <color indexed="81"/>
            <rFont val="Tahoma"/>
            <family val="2"/>
          </rPr>
          <t>top</t>
        </r>
        <r>
          <rPr>
            <sz val="10"/>
            <color indexed="81"/>
            <rFont val="Tahoma"/>
            <family val="2"/>
          </rPr>
          <t xml:space="preserve"> side external line or</t>
        </r>
        <r>
          <rPr>
            <u/>
            <sz val="10"/>
            <color indexed="81"/>
            <rFont val="Tahoma"/>
            <family val="2"/>
          </rPr>
          <t xml:space="preserve"> bottom</t>
        </r>
        <r>
          <rPr>
            <sz val="10"/>
            <color indexed="81"/>
            <rFont val="Tahoma"/>
            <family val="2"/>
          </rPr>
          <t xml:space="preserve"> side external line of the floor plan .  It could mean the left external lines or the right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B5" authorId="2" shapeId="0" xr:uid="{00000000-0006-0000-0900-00000A000000}">
      <text>
        <r>
          <rPr>
            <sz val="10"/>
            <color indexed="81"/>
            <rFont val="Arial"/>
            <family val="2"/>
          </rPr>
          <t xml:space="preserve">Optionally show distinct Element numbers for the ER1 and ER2 Regular plasterboard fixing codes.  
Not showing them would improve pre-line and post-line procedures.
Show them if it is felt that clarity is required in their position on the bracing plan. </t>
        </r>
        <r>
          <rPr>
            <sz val="9"/>
            <color indexed="81"/>
            <rFont val="Tahoma"/>
            <family val="2"/>
          </rPr>
          <t xml:space="preserve">
</t>
        </r>
      </text>
    </comment>
    <comment ref="L5" authorId="0" shapeId="0" xr:uid="{00000000-0006-0000-0900-00000B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N5" authorId="0" shapeId="0" xr:uid="{00000000-0006-0000-0900-00000C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B6" authorId="0" shapeId="0" xr:uid="{00000000-0006-0000-0900-00000D000000}">
      <text>
        <r>
          <rPr>
            <sz val="10"/>
            <color indexed="81"/>
            <rFont val="Tahoma"/>
            <family val="2"/>
          </rPr>
          <t>These line labels can be manually altered;
If a bracing line has more than 5 elements then repeat the Bracing line label into the next box down. For example , overwrite the "B" in cell B14 with an "A".  This will now allow line "A" to have 10 elements etc.
Remember to use a new Template for each new Project.</t>
        </r>
      </text>
    </comment>
    <comment ref="C6" authorId="0" shapeId="0" xr:uid="{00000000-0006-0000-0900-00000E000000}">
      <text>
        <r>
          <rPr>
            <sz val="10"/>
            <color indexed="81"/>
            <rFont val="Tahoma"/>
            <family val="2"/>
          </rPr>
          <t>For Regular Plasterboard fixing systems, "ER1" and "ER2" , Element numbers can be optionally indicated.
The Element numbers can be manually altered
Including continuing the number over the next line label for Bracing lines with more than 5 Elements.
Remember to keep an original template</t>
        </r>
      </text>
    </comment>
    <comment ref="D6" authorId="0" shapeId="0" xr:uid="{00000000-0006-0000-0900-00000F000000}">
      <text>
        <r>
          <rPr>
            <b/>
            <sz val="10"/>
            <color indexed="81"/>
            <rFont val="Tahoma"/>
            <family val="2"/>
          </rPr>
          <t>1.</t>
        </r>
        <r>
          <rPr>
            <sz val="10"/>
            <color indexed="81"/>
            <rFont val="Tahoma"/>
            <family val="2"/>
          </rPr>
          <t xml:space="preserve">   The Terms " Top External",   "Bottom External"  OR  "Left External, Right External"  (in the drop down  boxes  in column 'D')  refer to bracing elements on external walls that are either on one side of the project or on the other side of the project.  This</t>
        </r>
        <r>
          <rPr>
            <u/>
            <sz val="10"/>
            <color indexed="81"/>
            <rFont val="Tahoma"/>
            <family val="2"/>
          </rPr>
          <t xml:space="preserve"> doesn't necessarily</t>
        </r>
        <r>
          <rPr>
            <sz val="10"/>
            <color indexed="81"/>
            <rFont val="Tahoma"/>
            <family val="2"/>
          </rPr>
          <t xml:space="preserve"> literally mean the Top, Bottom , Left or Right  external lines  of the floor plan .  
 (It depends on the plans orientation as you view it.)   
</t>
        </r>
        <r>
          <rPr>
            <b/>
            <sz val="10"/>
            <color indexed="81"/>
            <rFont val="Tahoma"/>
            <family val="2"/>
          </rPr>
          <t xml:space="preserve">2.  </t>
        </r>
        <r>
          <rPr>
            <sz val="10"/>
            <color indexed="81"/>
            <rFont val="Tahoma"/>
            <family val="2"/>
          </rPr>
          <t xml:space="preserve">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They can be on walls that lie near </t>
        </r>
        <r>
          <rPr>
            <u/>
            <sz val="10"/>
            <color indexed="81"/>
            <rFont val="Tahoma"/>
            <family val="2"/>
          </rPr>
          <t>(2m or less</t>
        </r>
        <r>
          <rPr>
            <sz val="10"/>
            <color indexed="81"/>
            <rFont val="Tahoma"/>
            <family val="2"/>
          </rPr>
          <t xml:space="preserve">) and usually parallel to the outside external line.
</t>
        </r>
        <r>
          <rPr>
            <b/>
            <sz val="10"/>
            <color indexed="81"/>
            <rFont val="Tahoma"/>
            <family val="2"/>
          </rPr>
          <t xml:space="preserve">3.   </t>
        </r>
        <r>
          <rPr>
            <sz val="10"/>
            <color indexed="81"/>
            <rFont val="Tahoma"/>
            <family val="2"/>
          </rPr>
          <t>The Elements that are on External Bracing Lines  are summed and compared to the External Bracing Line Required as shown in cells K4 and M4.
A more detailed table below shows the Wind and Earthquake Achieved on external lines on either side of the project.
Note  :  "Internal" indicates an element is on an Internal wall/line of the project.   Blank cell indicates no particular designation.
Altering the drop down box will alter the defaults so...Remember to use a new Template for each new Project</t>
        </r>
      </text>
    </comment>
    <comment ref="E6" authorId="0" shapeId="0" xr:uid="{00000000-0006-0000-0900-000010000000}">
      <text>
        <r>
          <rPr>
            <b/>
            <sz val="10"/>
            <color indexed="81"/>
            <rFont val="Tahoma"/>
            <family val="2"/>
          </rPr>
          <t>F</t>
        </r>
        <r>
          <rPr>
            <sz val="10"/>
            <color indexed="81"/>
            <rFont val="Tahoma"/>
            <family val="2"/>
          </rPr>
          <t xml:space="preserve">or Internal Walls,  select "Double Sided"  if both sides can be plasterboard and not be affected by "Wet Area" or other restrictions 
For External Walls select "Double Sided"  if the intention is to use Plywood on the exterior side
Otherwise select "Single Sided"
No selection assumes Single sided or Double sided systems can be used
</t>
        </r>
      </text>
    </comment>
    <comment ref="F6" authorId="0" shapeId="0" xr:uid="{00000000-0006-0000-0900-000011000000}">
      <text>
        <r>
          <rPr>
            <sz val="10"/>
            <color indexed="81"/>
            <rFont val="Tahoma"/>
            <family val="2"/>
          </rPr>
          <t xml:space="preserve">It is recommended to use full wall length if available (excluding wall areas with large openings like windows or doors)    Use all available Internal and External walls segments in order to optimise the low cost ER1 and ER2 options.    </t>
        </r>
      </text>
    </comment>
    <comment ref="G6" authorId="3" shapeId="0" xr:uid="{00000000-0006-0000-0900-000012000000}">
      <text>
        <r>
          <rPr>
            <sz val="10"/>
            <color indexed="81"/>
            <rFont val="Tahoma"/>
            <family val="2"/>
          </rPr>
          <t>For elements whose angles are  &gt;=45 degrees, consider placing same element on the perpendicular bracing lines at an angle (90 degrees - the angle entered)  below.</t>
        </r>
      </text>
    </comment>
    <comment ref="H6" authorId="0" shapeId="0" xr:uid="{00000000-0006-0000-0900-000013000000}">
      <text>
        <r>
          <rPr>
            <sz val="10"/>
            <color indexed="81"/>
            <rFont val="Tahoma"/>
            <family val="2"/>
          </rPr>
          <t xml:space="preserve">The Element Height is taken from the Internal Stud Height that was entered in the Project Demand Sheet. (Usually the most common internal stud height or the average internal stud height)    This can be manually overwritten.  
If it has been overwritten, the original formula in the cell has been replaced by the number entered and the cell will no longer obtain its value from the internal stud height value that was entered in the Project Demand sheet.  The cell colour will change to orange as a reminder.
To restore the original cell formula either  Copy then Paste </t>
        </r>
        <r>
          <rPr>
            <u/>
            <sz val="10"/>
            <color indexed="81"/>
            <rFont val="Tahoma"/>
            <family val="2"/>
          </rPr>
          <t>(DO NOT</t>
        </r>
        <r>
          <rPr>
            <sz val="10"/>
            <color indexed="81"/>
            <rFont val="Tahoma"/>
            <family val="2"/>
          </rPr>
          <t xml:space="preserve"> Drag and Drop) the formula from an  unchanged cell in column "G" into the overwritten cell;
</t>
        </r>
        <r>
          <rPr>
            <b/>
            <sz val="10"/>
            <color indexed="81"/>
            <rFont val="Tahoma"/>
            <family val="2"/>
          </rPr>
          <t>OR</t>
        </r>
        <r>
          <rPr>
            <sz val="10"/>
            <color indexed="81"/>
            <rFont val="Tahoma"/>
            <family val="2"/>
          </rPr>
          <t xml:space="preserve">
Remember to use a new Template for each new Project.</t>
        </r>
      </text>
    </comment>
    <comment ref="I6" authorId="0" shapeId="0" xr:uid="{00000000-0006-0000-0900-000014000000}">
      <text>
        <r>
          <rPr>
            <sz val="11"/>
            <color indexed="81"/>
            <rFont val="Tahoma"/>
            <family val="2"/>
          </rPr>
          <t xml:space="preserve">Allow software to suggest the ER1 and ER2 systems 
OR allow the user to select the initial systems.
If allowing the software to suggest, then in the "Available Wall Lengths", is recommended to identify  ALL the wall lengths available in the project. And indicate in column "E" which must be Single sided and which can be double sided .
</t>
        </r>
      </text>
    </comment>
    <comment ref="K6" authorId="3" shapeId="0" xr:uid="{00000000-0006-0000-0900-000015000000}">
      <text>
        <r>
          <rPr>
            <sz val="10"/>
            <color indexed="81"/>
            <rFont val="Tahoma"/>
            <family val="2"/>
          </rPr>
          <t>The Element Resistance Limitation is set from the options selected in the Project Demand tab at Cell E39.
These defaults can be overridden below.
This is useful when the floor may have part timber or part slab sections.
If the bracing element is situated in a section that is timber floor then Limit the Element Resistance to 120 Bu's.
If the bracing element is situated in a section that is slab floor then Limit the Element Resistance to 150 Bu's.
For Elements that are NOT Foundation Dependent then select "SD".  However specific engineering must ensure that uplift forces generated by elements higher than the default settings can be resisted by the floor framing or slab.
Remember to use a new Template for each new project.</t>
        </r>
      </text>
    </comment>
    <comment ref="I7" authorId="0" shapeId="0" xr:uid="{00000000-0006-0000-0900-000016000000}">
      <text>
        <r>
          <rPr>
            <sz val="11"/>
            <color indexed="81"/>
            <rFont val="Tahoma"/>
            <family val="2"/>
          </rPr>
          <t xml:space="preserve">Bring the curser to each required cell below, click to activate the drop down box.
Alternatively you can type the System Number directly in the cells below.
</t>
        </r>
      </text>
    </comment>
    <comment ref="BM8" authorId="0" shapeId="0" xr:uid="{00000000-0006-0000-0900-000017000000}">
      <text>
        <r>
          <rPr>
            <b/>
            <sz val="8"/>
            <color indexed="81"/>
            <rFont val="Tahoma"/>
            <family val="2"/>
          </rPr>
          <t xml:space="preserve"> :</t>
        </r>
        <r>
          <rPr>
            <sz val="8"/>
            <color indexed="81"/>
            <rFont val="Tahoma"/>
            <family val="2"/>
          </rPr>
          <t xml:space="preserve">
This cant have a 0 in it or be cleared </t>
        </r>
      </text>
    </comment>
    <comment ref="BM9" authorId="0" shapeId="0" xr:uid="{00000000-0006-0000-0900-000018000000}">
      <text>
        <r>
          <rPr>
            <b/>
            <sz val="8"/>
            <color indexed="81"/>
            <rFont val="Tahoma"/>
            <family val="2"/>
          </rPr>
          <t xml:space="preserve"> :</t>
        </r>
        <r>
          <rPr>
            <sz val="8"/>
            <color indexed="81"/>
            <rFont val="Tahoma"/>
            <family val="2"/>
          </rPr>
          <t xml:space="preserve">
An important Offset point</t>
        </r>
      </text>
    </comment>
    <comment ref="BN9" authorId="0" shapeId="0" xr:uid="{00000000-0006-0000-0900-000019000000}">
      <text>
        <r>
          <rPr>
            <b/>
            <sz val="8"/>
            <color indexed="81"/>
            <rFont val="Tahoma"/>
            <family val="2"/>
          </rPr>
          <t xml:space="preserve"> :</t>
        </r>
        <r>
          <rPr>
            <sz val="8"/>
            <color indexed="81"/>
            <rFont val="Tahoma"/>
            <family val="2"/>
          </rPr>
          <t xml:space="preserve">
An important Offset point</t>
        </r>
      </text>
    </comment>
    <comment ref="BO9" authorId="0" shapeId="0" xr:uid="{00000000-0006-0000-0900-00001A000000}">
      <text>
        <r>
          <rPr>
            <b/>
            <sz val="8"/>
            <color indexed="81"/>
            <rFont val="Tahoma"/>
            <family val="2"/>
          </rPr>
          <t xml:space="preserve"> :</t>
        </r>
        <r>
          <rPr>
            <sz val="8"/>
            <color indexed="81"/>
            <rFont val="Tahoma"/>
            <family val="2"/>
          </rPr>
          <t xml:space="preserve">
An important Offset point</t>
        </r>
      </text>
    </comment>
    <comment ref="CH9" authorId="0" shapeId="0" xr:uid="{00000000-0006-0000-0900-00001B000000}">
      <text>
        <r>
          <rPr>
            <b/>
            <sz val="8"/>
            <color indexed="81"/>
            <rFont val="Tahoma"/>
            <family val="2"/>
          </rPr>
          <t xml:space="preserve"> :</t>
        </r>
        <r>
          <rPr>
            <sz val="8"/>
            <color indexed="81"/>
            <rFont val="Tahoma"/>
            <family val="2"/>
          </rPr>
          <t xml:space="preserve">
Wow this is Weird!</t>
        </r>
      </text>
    </comment>
    <comment ref="E13" authorId="0" shapeId="0" xr:uid="{00000000-0006-0000-0900-00001C000000}">
      <text>
        <r>
          <rPr>
            <b/>
            <sz val="8"/>
            <color indexed="81"/>
            <rFont val="Tahoma"/>
            <family val="2"/>
          </rPr>
          <t>Comments can be entered in these field</t>
        </r>
      </text>
    </comment>
    <comment ref="L13" authorId="0" shapeId="0" xr:uid="{00000000-0006-0000-0900-00001D000000}">
      <text>
        <r>
          <rPr>
            <sz val="9"/>
            <color indexed="81"/>
            <rFont val="Tahoma"/>
            <family val="2"/>
          </rPr>
          <t>Minimum Bu's per line can be manually placed in these fields when required to over ride the software's calculated minimum line requirement detailed in cells L5 or N5</t>
        </r>
      </text>
    </comment>
    <comment ref="N13" authorId="0" shapeId="0" xr:uid="{00000000-0006-0000-0900-00001E000000}">
      <text>
        <r>
          <rPr>
            <sz val="9"/>
            <color indexed="81"/>
            <rFont val="Tahoma"/>
            <family val="2"/>
          </rPr>
          <t>Minimum Bu's per line can be manually placed in these fields when required to over ride the software's calculated minimum line requirement detailed in cells L5 or N5</t>
        </r>
      </text>
    </comment>
    <comment ref="Q13" authorId="0" shapeId="0" xr:uid="{00000000-0006-0000-0900-00001F000000}">
      <text>
        <r>
          <rPr>
            <sz val="10"/>
            <color indexed="81"/>
            <rFont val="Tahoma"/>
            <family val="2"/>
          </rPr>
          <t>The "Achieved &lt; Min Req per line" comment only needs to be resolved once all the intended bracing lines to be used have at least one element in them.</t>
        </r>
      </text>
    </comment>
    <comment ref="E19" authorId="0" shapeId="0" xr:uid="{00000000-0006-0000-0900-000020000000}">
      <text>
        <r>
          <rPr>
            <b/>
            <sz val="8"/>
            <color indexed="81"/>
            <rFont val="Tahoma"/>
            <family val="2"/>
          </rPr>
          <t>Comments can be entered in these field</t>
        </r>
      </text>
    </comment>
    <comment ref="L19" authorId="0" shapeId="0" xr:uid="{00000000-0006-0000-0900-000021000000}">
      <text>
        <r>
          <rPr>
            <sz val="9"/>
            <color indexed="81"/>
            <rFont val="Tahoma"/>
            <family val="2"/>
          </rPr>
          <t>Minimum Bu's per line can be manually placed in these fields when required to over ride the software's calculated minimum line requirement detailed in cells L5 or N5</t>
        </r>
      </text>
    </comment>
    <comment ref="N19" authorId="0" shapeId="0" xr:uid="{00000000-0006-0000-0900-000022000000}">
      <text>
        <r>
          <rPr>
            <sz val="9"/>
            <color indexed="81"/>
            <rFont val="Tahoma"/>
            <family val="2"/>
          </rPr>
          <t>Minimum Bu's per line can be manually placed in these fields when required to over ride the software's calculated minimum line requirement detailed in cells L5 or N5</t>
        </r>
      </text>
    </comment>
    <comment ref="Q19" authorId="0" shapeId="0" xr:uid="{00000000-0006-0000-0900-000023000000}">
      <text>
        <r>
          <rPr>
            <sz val="10"/>
            <color indexed="81"/>
            <rFont val="Tahoma"/>
            <family val="2"/>
          </rPr>
          <t>The "Achieved &lt; Min Req per line" comment only needs to be resolved once all the intended bracing lines to be used have at least one element in them.</t>
        </r>
      </text>
    </comment>
    <comment ref="E25" authorId="0" shapeId="0" xr:uid="{00000000-0006-0000-0900-000024000000}">
      <text>
        <r>
          <rPr>
            <b/>
            <sz val="8"/>
            <color indexed="81"/>
            <rFont val="Tahoma"/>
            <family val="2"/>
          </rPr>
          <t>Comments can be entered in these field</t>
        </r>
      </text>
    </comment>
    <comment ref="L25" authorId="0" shapeId="0" xr:uid="{00000000-0006-0000-0900-000025000000}">
      <text>
        <r>
          <rPr>
            <sz val="9"/>
            <color indexed="81"/>
            <rFont val="Tahoma"/>
            <family val="2"/>
          </rPr>
          <t>Minimum Bu's per line can be manually placed in these fields when required to over ride the software's calculated minimum line requirement detailed in cells L5 or N5</t>
        </r>
      </text>
    </comment>
    <comment ref="N25" authorId="0" shapeId="0" xr:uid="{00000000-0006-0000-0900-000026000000}">
      <text>
        <r>
          <rPr>
            <sz val="9"/>
            <color indexed="81"/>
            <rFont val="Tahoma"/>
            <family val="2"/>
          </rPr>
          <t>Minimum Bu's per line can be manually placed in these fields when required to over ride the software's calculated minimum line requirement detailed in cells L5 or N5</t>
        </r>
      </text>
    </comment>
    <comment ref="Q25" authorId="0" shapeId="0" xr:uid="{00000000-0006-0000-0900-000027000000}">
      <text>
        <r>
          <rPr>
            <sz val="10"/>
            <color indexed="81"/>
            <rFont val="Tahoma"/>
            <family val="2"/>
          </rPr>
          <t>The "Achieved &lt; Min Req per line" comment only needs to be resolved once all the intended bracing lines to be used have at least one element in them.</t>
        </r>
      </text>
    </comment>
    <comment ref="E31" authorId="0" shapeId="0" xr:uid="{00000000-0006-0000-0900-000028000000}">
      <text>
        <r>
          <rPr>
            <b/>
            <sz val="8"/>
            <color indexed="81"/>
            <rFont val="Tahoma"/>
            <family val="2"/>
          </rPr>
          <t>Comments can be entered in these field</t>
        </r>
      </text>
    </comment>
    <comment ref="L31" authorId="0" shapeId="0" xr:uid="{00000000-0006-0000-0900-000029000000}">
      <text>
        <r>
          <rPr>
            <sz val="9"/>
            <color indexed="81"/>
            <rFont val="Tahoma"/>
            <family val="2"/>
          </rPr>
          <t>Minimum Bu's per line can be manually placed in these fields when required to over ride the software's calculated minimum line requirement detailed in cells L5 or N5</t>
        </r>
      </text>
    </comment>
    <comment ref="N31" authorId="0" shapeId="0" xr:uid="{00000000-0006-0000-0900-00002A000000}">
      <text>
        <r>
          <rPr>
            <sz val="9"/>
            <color indexed="81"/>
            <rFont val="Tahoma"/>
            <family val="2"/>
          </rPr>
          <t>Minimum Bu's per line can be manually placed in these fields when required to over ride the software's calculated minimum line requirement detailed in cells L5 or N5</t>
        </r>
      </text>
    </comment>
    <comment ref="Q31" authorId="0" shapeId="0" xr:uid="{00000000-0006-0000-0900-00002B000000}">
      <text>
        <r>
          <rPr>
            <sz val="10"/>
            <color indexed="81"/>
            <rFont val="Tahoma"/>
            <family val="2"/>
          </rPr>
          <t>The "Achieved &lt; Min Req per line" comment only needs to be resolved once all the intended bracing lines to be used have at least one element in them.</t>
        </r>
      </text>
    </comment>
    <comment ref="E37" authorId="0" shapeId="0" xr:uid="{00000000-0006-0000-0900-00002C000000}">
      <text>
        <r>
          <rPr>
            <b/>
            <sz val="8"/>
            <color indexed="81"/>
            <rFont val="Tahoma"/>
            <family val="2"/>
          </rPr>
          <t>Comments can be entered in these field</t>
        </r>
      </text>
    </comment>
    <comment ref="L37" authorId="0" shapeId="0" xr:uid="{00000000-0006-0000-0900-00002D000000}">
      <text>
        <r>
          <rPr>
            <sz val="9"/>
            <color indexed="81"/>
            <rFont val="Tahoma"/>
            <family val="2"/>
          </rPr>
          <t>Minimum Bu's per line can be manually placed in these fields when required to over ride the software's calculated minimum line requirement detailed in cells L5 or N5</t>
        </r>
      </text>
    </comment>
    <comment ref="N37" authorId="0" shapeId="0" xr:uid="{00000000-0006-0000-0900-00002E000000}">
      <text>
        <r>
          <rPr>
            <sz val="9"/>
            <color indexed="81"/>
            <rFont val="Tahoma"/>
            <family val="2"/>
          </rPr>
          <t>Minimum Bu's per line can be manually placed in these fields when required to over ride the software's calculated minimum line requirement detailed in cells L5 or N5</t>
        </r>
      </text>
    </comment>
    <comment ref="Q37" authorId="0" shapeId="0" xr:uid="{00000000-0006-0000-0900-00002F000000}">
      <text>
        <r>
          <rPr>
            <sz val="10"/>
            <color indexed="81"/>
            <rFont val="Tahoma"/>
            <family val="2"/>
          </rPr>
          <t>The "Achieved &lt; Min Req per line" comment only needs to be resolved once all the intended bracing lines to be used have at least one element in them.</t>
        </r>
      </text>
    </comment>
    <comment ref="E43" authorId="0" shapeId="0" xr:uid="{00000000-0006-0000-0900-000030000000}">
      <text>
        <r>
          <rPr>
            <b/>
            <sz val="8"/>
            <color indexed="81"/>
            <rFont val="Tahoma"/>
            <family val="2"/>
          </rPr>
          <t>Comments can be entered in these field</t>
        </r>
      </text>
    </comment>
    <comment ref="L43" authorId="0" shapeId="0" xr:uid="{00000000-0006-0000-0900-000031000000}">
      <text>
        <r>
          <rPr>
            <sz val="9"/>
            <color indexed="81"/>
            <rFont val="Tahoma"/>
            <family val="2"/>
          </rPr>
          <t>Minimum Bu's per line can be manually placed in these fields when required to over ride the software's calculated minimum line requirement detailed in cells L5 or N5</t>
        </r>
      </text>
    </comment>
    <comment ref="N43" authorId="0" shapeId="0" xr:uid="{00000000-0006-0000-0900-000032000000}">
      <text>
        <r>
          <rPr>
            <sz val="9"/>
            <color indexed="81"/>
            <rFont val="Tahoma"/>
            <family val="2"/>
          </rPr>
          <t>Minimum Bu's per line can be manually placed in these fields when required to over ride the software's calculated minimum line requirement detailed in cells L5 or N5</t>
        </r>
      </text>
    </comment>
    <comment ref="Q43" authorId="0" shapeId="0" xr:uid="{00000000-0006-0000-0900-000033000000}">
      <text>
        <r>
          <rPr>
            <sz val="10"/>
            <color indexed="81"/>
            <rFont val="Tahoma"/>
            <family val="2"/>
          </rPr>
          <t>The "Achieved &lt; Min Req per line" comment only needs to be resolved once all the intended bracing lines to be used have at least one element in them.</t>
        </r>
      </text>
    </comment>
    <comment ref="AK45" authorId="0" shapeId="0" xr:uid="{00000000-0006-0000-0900-000034000000}">
      <text>
        <r>
          <rPr>
            <sz val="12"/>
            <color indexed="81"/>
            <rFont val="Tahoma"/>
            <family val="2"/>
          </rPr>
          <t xml:space="preserve">To enter "Custom Elements" go to the "Customs Elements tab below  </t>
        </r>
        <r>
          <rPr>
            <sz val="12"/>
            <color indexed="10"/>
            <rFont val="Tahoma"/>
            <family val="2"/>
          </rPr>
          <t>(to the right of the "Project Demand" tab)</t>
        </r>
        <r>
          <rPr>
            <sz val="12"/>
            <color indexed="81"/>
            <rFont val="Tahoma"/>
            <family val="2"/>
          </rPr>
          <t>.   
 Enter Custom Elements there and these will show up in ALL the solution sheets</t>
        </r>
      </text>
    </comment>
    <comment ref="E49" authorId="0" shapeId="0" xr:uid="{00000000-0006-0000-0900-000035000000}">
      <text>
        <r>
          <rPr>
            <b/>
            <sz val="8"/>
            <color indexed="81"/>
            <rFont val="Tahoma"/>
            <family val="2"/>
          </rPr>
          <t>Comments can be entered in these field</t>
        </r>
      </text>
    </comment>
    <comment ref="L49" authorId="0" shapeId="0" xr:uid="{00000000-0006-0000-0900-000036000000}">
      <text>
        <r>
          <rPr>
            <sz val="9"/>
            <color indexed="81"/>
            <rFont val="Tahoma"/>
            <family val="2"/>
          </rPr>
          <t>Minimum Bu's per line can be manually placed in these fields when required to over ride the software's calculated minimum line requirement detailed in cells L5 or N5</t>
        </r>
      </text>
    </comment>
    <comment ref="N49" authorId="0" shapeId="0" xr:uid="{00000000-0006-0000-0900-000037000000}">
      <text>
        <r>
          <rPr>
            <sz val="9"/>
            <color indexed="81"/>
            <rFont val="Tahoma"/>
            <family val="2"/>
          </rPr>
          <t>Minimum Bu's per line can be manually placed in these fields when required to over ride the software's calculated minimum line requirement detailed in cells L5 or N5</t>
        </r>
      </text>
    </comment>
    <comment ref="Q49" authorId="0" shapeId="0" xr:uid="{00000000-0006-0000-0900-000038000000}">
      <text>
        <r>
          <rPr>
            <sz val="10"/>
            <color indexed="81"/>
            <rFont val="Tahoma"/>
            <family val="2"/>
          </rPr>
          <t>The "Achieved &lt; Min Req per line" comment only needs to be resolved once all the intended bracing lines to be used have at least one element in them.</t>
        </r>
      </text>
    </comment>
    <comment ref="E55" authorId="0" shapeId="0" xr:uid="{00000000-0006-0000-0900-000039000000}">
      <text>
        <r>
          <rPr>
            <b/>
            <sz val="8"/>
            <color indexed="81"/>
            <rFont val="Tahoma"/>
            <family val="2"/>
          </rPr>
          <t>Comments can be entered in these field</t>
        </r>
      </text>
    </comment>
    <comment ref="L55" authorId="0" shapeId="0" xr:uid="{00000000-0006-0000-0900-00003A000000}">
      <text>
        <r>
          <rPr>
            <sz val="9"/>
            <color indexed="81"/>
            <rFont val="Tahoma"/>
            <family val="2"/>
          </rPr>
          <t>Minimum Bu's per line can be manually placed in these fields when required to over ride the software's calculated minimum line requirement detailed in cells L5 or N5</t>
        </r>
      </text>
    </comment>
    <comment ref="N55" authorId="0" shapeId="0" xr:uid="{00000000-0006-0000-0900-00003B000000}">
      <text>
        <r>
          <rPr>
            <sz val="9"/>
            <color indexed="81"/>
            <rFont val="Tahoma"/>
            <family val="2"/>
          </rPr>
          <t>Minimum Bu's per line can be manually placed in these fields when required to over ride the software's calculated minimum line requirement detailed in cells L5 or N5</t>
        </r>
      </text>
    </comment>
    <comment ref="Q55" authorId="0" shapeId="0" xr:uid="{00000000-0006-0000-0900-00003C000000}">
      <text>
        <r>
          <rPr>
            <sz val="10"/>
            <color indexed="81"/>
            <rFont val="Tahoma"/>
            <family val="2"/>
          </rPr>
          <t>The "Achieved &lt; Min Req per line" comment only needs to be resolved once all the intended bracing lines to be used have at least one element in them.</t>
        </r>
      </text>
    </comment>
    <comment ref="E61" authorId="0" shapeId="0" xr:uid="{00000000-0006-0000-0900-00003D000000}">
      <text>
        <r>
          <rPr>
            <b/>
            <sz val="8"/>
            <color indexed="81"/>
            <rFont val="Tahoma"/>
            <family val="2"/>
          </rPr>
          <t>Comments can be entered in these field</t>
        </r>
      </text>
    </comment>
    <comment ref="L61" authorId="0" shapeId="0" xr:uid="{00000000-0006-0000-0900-00003E000000}">
      <text>
        <r>
          <rPr>
            <sz val="9"/>
            <color indexed="81"/>
            <rFont val="Tahoma"/>
            <family val="2"/>
          </rPr>
          <t>Minimum Bu's per line can be manually placed in these fields when required to over ride the software's calculated minimum line requirement detailed in cells L5 or N5</t>
        </r>
      </text>
    </comment>
    <comment ref="N61" authorId="0" shapeId="0" xr:uid="{00000000-0006-0000-0900-00003F000000}">
      <text>
        <r>
          <rPr>
            <sz val="9"/>
            <color indexed="81"/>
            <rFont val="Tahoma"/>
            <family val="2"/>
          </rPr>
          <t>Minimum Bu's per line can be manually placed in these fields when required to over ride the software's calculated minimum line requirement detailed in cells L5 or N5</t>
        </r>
      </text>
    </comment>
    <comment ref="Q61" authorId="0" shapeId="0" xr:uid="{00000000-0006-0000-0900-000040000000}">
      <text>
        <r>
          <rPr>
            <sz val="10"/>
            <color indexed="81"/>
            <rFont val="Tahoma"/>
            <family val="2"/>
          </rPr>
          <t>The "Achieved &lt; Min Req per line" comment only needs to be resolved once all the intended bracing lines to be used have at least one element in them.</t>
        </r>
      </text>
    </comment>
    <comment ref="BV61" authorId="0" shapeId="0" xr:uid="{00000000-0006-0000-0900-000041000000}">
      <text>
        <r>
          <rPr>
            <b/>
            <sz val="9"/>
            <color indexed="81"/>
            <rFont val="Tahoma"/>
            <family val="2"/>
          </rPr>
          <t>This is important</t>
        </r>
      </text>
    </comment>
    <comment ref="BW61" authorId="0" shapeId="0" xr:uid="{00000000-0006-0000-0900-000042000000}">
      <text>
        <r>
          <rPr>
            <b/>
            <sz val="9"/>
            <color indexed="81"/>
            <rFont val="Tahoma"/>
            <family val="2"/>
          </rPr>
          <t>This is important</t>
        </r>
      </text>
    </comment>
    <comment ref="E67" authorId="0" shapeId="0" xr:uid="{00000000-0006-0000-0900-000043000000}">
      <text>
        <r>
          <rPr>
            <b/>
            <sz val="8"/>
            <color indexed="81"/>
            <rFont val="Tahoma"/>
            <family val="2"/>
          </rPr>
          <t>Comments can be entered in these field</t>
        </r>
      </text>
    </comment>
    <comment ref="L67" authorId="0" shapeId="0" xr:uid="{00000000-0006-0000-0900-000044000000}">
      <text>
        <r>
          <rPr>
            <sz val="9"/>
            <color indexed="81"/>
            <rFont val="Tahoma"/>
            <family val="2"/>
          </rPr>
          <t>Minimum Bu's per line can be manually placed in these fields when required to over ride the software's calculated minimum line requirement detailed in cells L5 or N5</t>
        </r>
      </text>
    </comment>
    <comment ref="N67" authorId="0" shapeId="0" xr:uid="{00000000-0006-0000-0900-000045000000}">
      <text>
        <r>
          <rPr>
            <sz val="9"/>
            <color indexed="81"/>
            <rFont val="Tahoma"/>
            <family val="2"/>
          </rPr>
          <t>Minimum Bu's per line can be manually placed in these fields when required to over ride the software's calculated minimum line requirement detailed in cells L5 or N5</t>
        </r>
      </text>
    </comment>
    <comment ref="Q67" authorId="0" shapeId="0" xr:uid="{00000000-0006-0000-0900-000046000000}">
      <text>
        <r>
          <rPr>
            <sz val="10"/>
            <color indexed="81"/>
            <rFont val="Tahoma"/>
            <family val="2"/>
          </rPr>
          <t>The "Achieved &lt; Min Req per line" comment only needs to be resolved once all the intended bracing lines to be used have at least one element in them.</t>
        </r>
      </text>
    </comment>
    <comment ref="E73" authorId="0" shapeId="0" xr:uid="{00000000-0006-0000-0900-000047000000}">
      <text>
        <r>
          <rPr>
            <b/>
            <sz val="8"/>
            <color indexed="81"/>
            <rFont val="Tahoma"/>
            <family val="2"/>
          </rPr>
          <t>Comments can be entered in these field</t>
        </r>
      </text>
    </comment>
    <comment ref="L73" authorId="0" shapeId="0" xr:uid="{00000000-0006-0000-0900-000048000000}">
      <text>
        <r>
          <rPr>
            <sz val="9"/>
            <color indexed="81"/>
            <rFont val="Tahoma"/>
            <family val="2"/>
          </rPr>
          <t>Minimum Bu's per line can be manually placed in these fields when required to over ride the software's calculated minimum line requirement detailed in cells L5 or N5</t>
        </r>
      </text>
    </comment>
    <comment ref="N73" authorId="0" shapeId="0" xr:uid="{00000000-0006-0000-0900-000049000000}">
      <text>
        <r>
          <rPr>
            <sz val="9"/>
            <color indexed="81"/>
            <rFont val="Tahoma"/>
            <family val="2"/>
          </rPr>
          <t>Minimum Bu's per line can be manually placed in these fields when required to over ride the software's calculated minimum line requirement detailed in cells L5 or N5</t>
        </r>
      </text>
    </comment>
    <comment ref="Q73" authorId="0" shapeId="0" xr:uid="{00000000-0006-0000-0900-00004A000000}">
      <text>
        <r>
          <rPr>
            <sz val="10"/>
            <color indexed="81"/>
            <rFont val="Tahoma"/>
            <family val="2"/>
          </rPr>
          <t>The "Achieved &lt; Min Req per line" comment only needs to be resolved once all the intended bracing lines to be used have at least one element in them.</t>
        </r>
      </text>
    </comment>
    <comment ref="E79" authorId="0" shapeId="0" xr:uid="{00000000-0006-0000-0900-00004B000000}">
      <text>
        <r>
          <rPr>
            <b/>
            <sz val="8"/>
            <color indexed="81"/>
            <rFont val="Tahoma"/>
            <family val="2"/>
          </rPr>
          <t>Comments can be entered in these field</t>
        </r>
      </text>
    </comment>
    <comment ref="L79" authorId="0" shapeId="0" xr:uid="{00000000-0006-0000-0900-00004C000000}">
      <text>
        <r>
          <rPr>
            <sz val="9"/>
            <color indexed="81"/>
            <rFont val="Tahoma"/>
            <family val="2"/>
          </rPr>
          <t>Minimum Bu's per line can be manually placed in these fields when required to over ride the software's calculated minimum line requirement detailed in cells L5 or N5</t>
        </r>
      </text>
    </comment>
    <comment ref="N79" authorId="0" shapeId="0" xr:uid="{00000000-0006-0000-0900-00004D000000}">
      <text>
        <r>
          <rPr>
            <sz val="9"/>
            <color indexed="81"/>
            <rFont val="Tahoma"/>
            <family val="2"/>
          </rPr>
          <t>Minimum Bu's per line can be manually placed in these fields when required to over ride the software's calculated minimum line requirement detailed in cells L5 or N5</t>
        </r>
      </text>
    </comment>
    <comment ref="Q79" authorId="0" shapeId="0" xr:uid="{00000000-0006-0000-0900-00004E000000}">
      <text>
        <r>
          <rPr>
            <sz val="10"/>
            <color indexed="81"/>
            <rFont val="Tahoma"/>
            <family val="2"/>
          </rPr>
          <t>The "Achieved &lt; Min Req per line" comment only needs to be resolved once all the intended bracing lines to be used have at least one element in them.</t>
        </r>
      </text>
    </comment>
    <comment ref="M82" authorId="0" shapeId="0" xr:uid="{00000000-0006-0000-0900-00004F000000}">
      <text>
        <r>
          <rPr>
            <sz val="10"/>
            <color indexed="81"/>
            <rFont val="Tahoma"/>
            <family val="2"/>
          </rPr>
          <t xml:space="preserve">Alternatively Sourced Bracing Demands can be manually placed in the Project Demand sheet.
</t>
        </r>
      </text>
    </comment>
    <comment ref="O82" authorId="0" shapeId="0" xr:uid="{00000000-0006-0000-0900-000050000000}">
      <text>
        <r>
          <rPr>
            <sz val="10"/>
            <color indexed="81"/>
            <rFont val="Tahoma"/>
            <family val="2"/>
          </rPr>
          <t xml:space="preserve">Alternatively Sourced Bracing Demands can be manually placed in the Project Demand sheet.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Ernst</author>
    <author>Kevin Van Hest</author>
    <author>manager</author>
  </authors>
  <commentList>
    <comment ref="Q2" authorId="0" shapeId="0" xr:uid="{00000000-0006-0000-0A00-000001000000}">
      <text>
        <r>
          <rPr>
            <sz val="10"/>
            <color indexed="81"/>
            <rFont val="Tahoma"/>
            <family val="2"/>
          </rPr>
          <t xml:space="preserve">Several types of suggestions and warnings appear in this column.
For Example:
If the system EMPH is chosen  (Multiboard on one side and Plywood on the either)  
    If the comment:  " ESPH provides same result in WIND " appears it means that the Wind performance of the ESPH bracing system is the same as EMPH  bracing system that was chosen.
    If the comment:   "ESPH provides the same results"" appears it means that BOTH the Wind AND the Earthquake performance of the ESPH bracing system is the same as EMPH bracing system that was chosen.
</t>
        </r>
      </text>
    </comment>
    <comment ref="B3" authorId="0" shapeId="0" xr:uid="{00000000-0006-0000-0A00-000002000000}">
      <text>
        <r>
          <rPr>
            <sz val="10"/>
            <color indexed="81"/>
            <rFont val="Tahoma"/>
            <family val="2"/>
          </rPr>
          <t>These labels can be manually changed.  e.g. "North-South"</t>
        </r>
        <r>
          <rPr>
            <b/>
            <sz val="8"/>
            <color indexed="81"/>
            <rFont val="Tahoma"/>
            <family val="2"/>
          </rPr>
          <t xml:space="preserve">
</t>
        </r>
        <r>
          <rPr>
            <sz val="10"/>
            <color indexed="81"/>
            <rFont val="Tahoma"/>
            <family val="2"/>
          </rPr>
          <t>If changing these default names ..Remember to use a new Template for each new Project.</t>
        </r>
      </text>
    </comment>
    <comment ref="I3" authorId="0" shapeId="0" xr:uid="{00000000-0006-0000-0A00-000003000000}">
      <text>
        <r>
          <rPr>
            <sz val="10"/>
            <color indexed="81"/>
            <rFont val="Tahoma"/>
            <family val="2"/>
          </rPr>
          <t xml:space="preserve">If the Wind or EQ demand is alternatively sourced then return to the Project Demand tab and  select "Other" in the Demand Source drop down box near cell N33.
Place  the source name and alternative demand totals in the relevant cells
</t>
        </r>
      </text>
    </comment>
    <comment ref="M3" authorId="0" shapeId="0" xr:uid="{00000000-0006-0000-0A00-000004000000}">
      <text>
        <r>
          <rPr>
            <sz val="10"/>
            <color indexed="81"/>
            <rFont val="Tahoma"/>
            <family val="2"/>
          </rPr>
          <t xml:space="preserve">This is the Wind Demand for the Across direction at this floor level. 
 Alternatively Sourced Bracing Demands can be manually placed in the Project Demand sheet.
</t>
        </r>
      </text>
    </comment>
    <comment ref="O3" authorId="0" shapeId="0" xr:uid="{00000000-0006-0000-0A00-000005000000}">
      <text>
        <r>
          <rPr>
            <sz val="10"/>
            <color indexed="81"/>
            <rFont val="Tahoma"/>
            <family val="2"/>
          </rPr>
          <t xml:space="preserve">This is the EQ Demand for the Across direction at this floor level.     
Alternatively Sourced Bracing Demands can be manually placed in the Project Demand sheet.
</t>
        </r>
      </text>
    </comment>
    <comment ref="B4" authorId="0" shapeId="0" xr:uid="{00000000-0006-0000-0A00-000006000000}">
      <text>
        <r>
          <rPr>
            <sz val="10"/>
            <color indexed="81"/>
            <rFont val="Tahoma"/>
            <family val="2"/>
          </rPr>
          <t>The Storey Label can be manually changed.  E.g. "Top Floor"
If changing these default names then ..Remember to use a new Template for each new Project.</t>
        </r>
      </text>
    </comment>
    <comment ref="L4" authorId="1" shapeId="0" xr:uid="{00000000-0006-0000-0A00-000007000000}">
      <text>
        <r>
          <rPr>
            <sz val="10"/>
            <color indexed="81"/>
            <rFont val="Tahoma"/>
            <family val="2"/>
          </rPr>
          <t>This is the minimum Bu's  required for the</t>
        </r>
        <r>
          <rPr>
            <u/>
            <sz val="10"/>
            <color indexed="81"/>
            <rFont val="Tahoma"/>
            <family val="2"/>
          </rPr>
          <t xml:space="preserve"> Wind</t>
        </r>
        <r>
          <rPr>
            <sz val="10"/>
            <color indexed="81"/>
            <rFont val="Tahoma"/>
            <family val="2"/>
          </rPr>
          <t xml:space="preserve"> Demand on the External Bracing lines on either side of the project.
The individual  External Bracing elements ON each line have been labelled (in column 'D')  either  "Left External" or "Right External" or "Internal"  to distinguish elements that are on either side of the project or are on internal walls.  (Blank indicates no particular designation) 
The term Left External  or Right External  </t>
        </r>
        <r>
          <rPr>
            <u/>
            <sz val="10"/>
            <color indexed="81"/>
            <rFont val="Tahoma"/>
            <family val="2"/>
          </rPr>
          <t xml:space="preserve"> doesn't necessarily</t>
        </r>
        <r>
          <rPr>
            <sz val="10"/>
            <color indexed="81"/>
            <rFont val="Tahoma"/>
            <family val="2"/>
          </rPr>
          <t xml:space="preserve"> literally mean the</t>
        </r>
        <r>
          <rPr>
            <u/>
            <sz val="10"/>
            <color indexed="81"/>
            <rFont val="Tahoma"/>
            <family val="2"/>
          </rPr>
          <t xml:space="preserve"> left</t>
        </r>
        <r>
          <rPr>
            <sz val="10"/>
            <color indexed="81"/>
            <rFont val="Tahoma"/>
            <family val="2"/>
          </rPr>
          <t xml:space="preserve"> side external line or</t>
        </r>
        <r>
          <rPr>
            <u/>
            <sz val="10"/>
            <color indexed="81"/>
            <rFont val="Tahoma"/>
            <family val="2"/>
          </rPr>
          <t xml:space="preserve"> right</t>
        </r>
        <r>
          <rPr>
            <sz val="10"/>
            <color indexed="81"/>
            <rFont val="Tahoma"/>
            <family val="2"/>
          </rPr>
          <t xml:space="preserve"> side external line of the floor plan .  It could mean the top external lines or the bottom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N4" authorId="1" shapeId="0" xr:uid="{00000000-0006-0000-0A00-000008000000}">
      <text>
        <r>
          <rPr>
            <sz val="10"/>
            <color indexed="81"/>
            <rFont val="Tahoma"/>
            <family val="2"/>
          </rPr>
          <t>This is the minimum Bu's required for the</t>
        </r>
        <r>
          <rPr>
            <u/>
            <sz val="10"/>
            <color indexed="81"/>
            <rFont val="Tahoma"/>
            <family val="2"/>
          </rPr>
          <t xml:space="preserve"> Earthquake</t>
        </r>
        <r>
          <rPr>
            <sz val="10"/>
            <color indexed="81"/>
            <rFont val="Tahoma"/>
            <family val="2"/>
          </rPr>
          <t xml:space="preserve"> Demand on the External Bracing lines on either side of the project.
The individual  External Bracing elements ON each line have been labelled (in column 'D')  either  "Left External" or "Right External" or "Internal"  to distinguish elements that are on either side of the project or are on internal walls.  (Blank indicates no particular designation) 
The term Left External  or Right External  </t>
        </r>
        <r>
          <rPr>
            <u/>
            <sz val="10"/>
            <color indexed="81"/>
            <rFont val="Tahoma"/>
            <family val="2"/>
          </rPr>
          <t xml:space="preserve"> doesn't necessarily</t>
        </r>
        <r>
          <rPr>
            <sz val="10"/>
            <color indexed="81"/>
            <rFont val="Tahoma"/>
            <family val="2"/>
          </rPr>
          <t xml:space="preserve"> literally mean the</t>
        </r>
        <r>
          <rPr>
            <u/>
            <sz val="10"/>
            <color indexed="81"/>
            <rFont val="Tahoma"/>
            <family val="2"/>
          </rPr>
          <t xml:space="preserve"> left</t>
        </r>
        <r>
          <rPr>
            <sz val="10"/>
            <color indexed="81"/>
            <rFont val="Tahoma"/>
            <family val="2"/>
          </rPr>
          <t xml:space="preserve"> side external line or</t>
        </r>
        <r>
          <rPr>
            <u/>
            <sz val="10"/>
            <color indexed="81"/>
            <rFont val="Tahoma"/>
            <family val="2"/>
          </rPr>
          <t xml:space="preserve"> right</t>
        </r>
        <r>
          <rPr>
            <sz val="10"/>
            <color indexed="81"/>
            <rFont val="Tahoma"/>
            <family val="2"/>
          </rPr>
          <t xml:space="preserve"> side external line of the floor plan .  It could mean the top external lines or the bottom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B5" authorId="2" shapeId="0" xr:uid="{00000000-0006-0000-0A00-000009000000}">
      <text>
        <r>
          <rPr>
            <sz val="10"/>
            <color indexed="81"/>
            <rFont val="Arial"/>
            <family val="2"/>
          </rPr>
          <t xml:space="preserve">Optionally show distinct Element numbers for the ER1 and ER2 Regular plasterboard fixing codes.  
Not showing them would improve pre-line and post-line procedures.
Show them if it is felt that clarity is required in their position on the bracing plan. </t>
        </r>
        <r>
          <rPr>
            <sz val="9"/>
            <color indexed="81"/>
            <rFont val="Tahoma"/>
            <family val="2"/>
          </rPr>
          <t xml:space="preserve">
</t>
        </r>
      </text>
    </comment>
    <comment ref="L5" authorId="0" shapeId="0" xr:uid="{00000000-0006-0000-0A00-00000A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N5" authorId="0" shapeId="0" xr:uid="{00000000-0006-0000-0A00-00000B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B6" authorId="0" shapeId="0" xr:uid="{00000000-0006-0000-0A00-00000C000000}">
      <text>
        <r>
          <rPr>
            <sz val="10"/>
            <color indexed="81"/>
            <rFont val="Tahoma"/>
            <family val="2"/>
          </rPr>
          <t>These line labels can be manually altered;
If a bracing line has more than 5 elements then repeat the Bracing line label into the next box down. For example , overwrite the "N" in cell B14 with an "M".  This will now allow line "M" to have 10 elements etc.
Remember to use a new Template for each new Project.</t>
        </r>
      </text>
    </comment>
    <comment ref="C6" authorId="0" shapeId="0" xr:uid="{00000000-0006-0000-0A00-00000D000000}">
      <text>
        <r>
          <rPr>
            <sz val="10"/>
            <color indexed="81"/>
            <rFont val="Tahoma"/>
            <family val="2"/>
          </rPr>
          <t>For Regular Plasterboard fixing systems, "ER1" and "ER2" , Element numbers can be optionally indicated.
The Element numbers can be manually altered
Including continuing the number over the next line label for Bracing lines with more than 5 Elements.
Remember to keep an original template</t>
        </r>
      </text>
    </comment>
    <comment ref="D6" authorId="0" shapeId="0" xr:uid="{00000000-0006-0000-0A00-00000E000000}">
      <text>
        <r>
          <rPr>
            <b/>
            <sz val="10"/>
            <color indexed="81"/>
            <rFont val="Tahoma"/>
            <family val="2"/>
          </rPr>
          <t>1.</t>
        </r>
        <r>
          <rPr>
            <sz val="10"/>
            <color indexed="81"/>
            <rFont val="Tahoma"/>
            <family val="2"/>
          </rPr>
          <t xml:space="preserve">   The Terms " Top External",   "Bottom External"  OR  "Left External, Right External"  (in the drop down  boxes  in column 'D')  refer to bracing elements on external walls that are either on one side of the project or on the other side of the project.  This</t>
        </r>
        <r>
          <rPr>
            <u/>
            <sz val="10"/>
            <color indexed="81"/>
            <rFont val="Tahoma"/>
            <family val="2"/>
          </rPr>
          <t xml:space="preserve"> doesn't necessarily</t>
        </r>
        <r>
          <rPr>
            <sz val="10"/>
            <color indexed="81"/>
            <rFont val="Tahoma"/>
            <family val="2"/>
          </rPr>
          <t xml:space="preserve"> literally mean the Top, Bottom , Left or Right  external lines  of the floor plan .  
 (It depends on the plans orientation as you view it.)   
</t>
        </r>
        <r>
          <rPr>
            <b/>
            <sz val="10"/>
            <color indexed="81"/>
            <rFont val="Tahoma"/>
            <family val="2"/>
          </rPr>
          <t xml:space="preserve">2.  </t>
        </r>
        <r>
          <rPr>
            <sz val="10"/>
            <color indexed="81"/>
            <rFont val="Tahoma"/>
            <family val="2"/>
          </rPr>
          <t xml:space="preserve">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They can be on walls that lie near </t>
        </r>
        <r>
          <rPr>
            <u/>
            <sz val="10"/>
            <color indexed="81"/>
            <rFont val="Tahoma"/>
            <family val="2"/>
          </rPr>
          <t>(2m or less</t>
        </r>
        <r>
          <rPr>
            <sz val="10"/>
            <color indexed="81"/>
            <rFont val="Tahoma"/>
            <family val="2"/>
          </rPr>
          <t xml:space="preserve">) and usually parallel to the outside external line.
</t>
        </r>
        <r>
          <rPr>
            <b/>
            <sz val="10"/>
            <color indexed="81"/>
            <rFont val="Tahoma"/>
            <family val="2"/>
          </rPr>
          <t xml:space="preserve">3.   </t>
        </r>
        <r>
          <rPr>
            <sz val="10"/>
            <color indexed="81"/>
            <rFont val="Tahoma"/>
            <family val="2"/>
          </rPr>
          <t>The Elements that are on External Bracing Lines  are summed and compared to the External Bracing Line Required as shown in cells K4 and M4.
A more detailed table below shows the Wind and Earthquake Achieved on external lines on either side of the project.
Note  :  "Internal" indicates an element is on an Internal wall/line of the project.   Blank cell indicates no particular designation.
Altering the drop down box will alter the defaults so...Remember to use a new Template for each new Project</t>
        </r>
      </text>
    </comment>
    <comment ref="E6" authorId="0" shapeId="0" xr:uid="{00000000-0006-0000-0A00-00000F000000}">
      <text>
        <r>
          <rPr>
            <b/>
            <sz val="10"/>
            <color indexed="81"/>
            <rFont val="Tahoma"/>
            <family val="2"/>
          </rPr>
          <t>F</t>
        </r>
        <r>
          <rPr>
            <sz val="10"/>
            <color indexed="81"/>
            <rFont val="Tahoma"/>
            <family val="2"/>
          </rPr>
          <t xml:space="preserve">or Internal Walls,  select "Double Sided"  if both sides can be plasterboard and not be affected by "Wet Area" or other restrictions 
For External Walls select "Double Sided"  if the intention is to use Plywood on the exterior side
Otherwise select "Single Sided"
No selection assumes Single sided or Double sided systems can be used
</t>
        </r>
      </text>
    </comment>
    <comment ref="F6" authorId="0" shapeId="0" xr:uid="{00000000-0006-0000-0A00-000010000000}">
      <text>
        <r>
          <rPr>
            <sz val="10"/>
            <color indexed="81"/>
            <rFont val="Tahoma"/>
            <family val="2"/>
          </rPr>
          <t xml:space="preserve">It is recommended to use full wall length if available (excluding wall areas with large openings like windows or doors)    Use all available Internal and External walls segments in order to optimise the low cost ER1 and ER2 options.    </t>
        </r>
      </text>
    </comment>
    <comment ref="G6" authorId="3" shapeId="0" xr:uid="{00000000-0006-0000-0A00-000011000000}">
      <text>
        <r>
          <rPr>
            <sz val="10"/>
            <color indexed="81"/>
            <rFont val="Tahoma"/>
            <family val="2"/>
          </rPr>
          <t>For elements whose angles are  &gt;=45 degrees, consider placing same element on the perpendicular bracing lines at an angle (90 degrees - the angle entered)  below.</t>
        </r>
      </text>
    </comment>
    <comment ref="H6" authorId="0" shapeId="0" xr:uid="{00000000-0006-0000-0A00-000012000000}">
      <text>
        <r>
          <rPr>
            <sz val="10"/>
            <color indexed="81"/>
            <rFont val="Tahoma"/>
            <family val="2"/>
          </rPr>
          <t xml:space="preserve">The Element Height is taken from the Internal Stud Height that was entered in the Project Demand Sheet. (Usually the most common internal stud height or the average internal stud height)    This can be manually overwritten.  
If it has been overwritten, the original formula in the cell has been replaced by the number entered and the cell will no longer obtain its value from the internal stud height value that was entered in the Project Demand sheet.  The cell colour will change to orange as a reminder.
To restore the original cell formula either  Copy then Paste </t>
        </r>
        <r>
          <rPr>
            <u/>
            <sz val="10"/>
            <color indexed="81"/>
            <rFont val="Tahoma"/>
            <family val="2"/>
          </rPr>
          <t>(DO NOT</t>
        </r>
        <r>
          <rPr>
            <sz val="10"/>
            <color indexed="81"/>
            <rFont val="Tahoma"/>
            <family val="2"/>
          </rPr>
          <t xml:space="preserve"> Drag and Drop) the formula from an  unchanged cell in column "G" into the overwritten cell;
</t>
        </r>
        <r>
          <rPr>
            <b/>
            <sz val="10"/>
            <color indexed="81"/>
            <rFont val="Tahoma"/>
            <family val="2"/>
          </rPr>
          <t>OR</t>
        </r>
        <r>
          <rPr>
            <sz val="10"/>
            <color indexed="81"/>
            <rFont val="Tahoma"/>
            <family val="2"/>
          </rPr>
          <t xml:space="preserve">
Remember to use a new Template for each new Project.</t>
        </r>
      </text>
    </comment>
    <comment ref="I6" authorId="0" shapeId="0" xr:uid="{00000000-0006-0000-0A00-000013000000}">
      <text>
        <r>
          <rPr>
            <sz val="11"/>
            <color indexed="81"/>
            <rFont val="Tahoma"/>
            <family val="2"/>
          </rPr>
          <t xml:space="preserve">Allow software to suggest the ER1 and ER2 systems 
OR allow the user to select the initial systems.
If allowing the software to suggest, then in the "Available Wall Lengths", is recommended to identify  ALL the wall lengths available in the project. And indicate in column "E" which must be Single sided and which can be double sided .
</t>
        </r>
      </text>
    </comment>
    <comment ref="K6" authorId="3" shapeId="0" xr:uid="{00000000-0006-0000-0A00-000014000000}">
      <text>
        <r>
          <rPr>
            <sz val="10"/>
            <color indexed="81"/>
            <rFont val="Tahoma"/>
            <family val="2"/>
          </rPr>
          <t>The Element Resistance Limitation is set from the options selected in the Project Demand tab at Cell E39.
These defaults can be overridden below.
This is useful when the floor may have part timber or part slab sections.
If the bracing element is situated in a section that is timber floor then Limit the Element Resistance to 120 Bu's.
If the bracing element is situated in a section that is slab floor then Limit the Element Resistance to 150 Bu's.
For Elements that are NOT Foundation Dependent then select "SD".  However specific engineering must ensure that uplift forces generated by elements higher than the default settings can be resisted by the floor framing or slab.
Remember to use a new Template for each new project.</t>
        </r>
      </text>
    </comment>
    <comment ref="I7" authorId="0" shapeId="0" xr:uid="{00000000-0006-0000-0A00-000015000000}">
      <text>
        <r>
          <rPr>
            <sz val="11"/>
            <color indexed="81"/>
            <rFont val="Tahoma"/>
            <family val="2"/>
          </rPr>
          <t xml:space="preserve">Bring the curser to each required cell below, click to activate the drop down box.
Alternatively you can type the System Number directly in the cells below.
</t>
        </r>
      </text>
    </comment>
    <comment ref="BM8" authorId="0" shapeId="0" xr:uid="{00000000-0006-0000-0A00-000016000000}">
      <text>
        <r>
          <rPr>
            <b/>
            <sz val="8"/>
            <color indexed="81"/>
            <rFont val="Tahoma"/>
            <family val="2"/>
          </rPr>
          <t xml:space="preserve"> :</t>
        </r>
        <r>
          <rPr>
            <sz val="8"/>
            <color indexed="81"/>
            <rFont val="Tahoma"/>
            <family val="2"/>
          </rPr>
          <t xml:space="preserve">
This cant have a 0 in it or be cleared </t>
        </r>
      </text>
    </comment>
    <comment ref="BM9" authorId="0" shapeId="0" xr:uid="{00000000-0006-0000-0A00-000017000000}">
      <text>
        <r>
          <rPr>
            <b/>
            <sz val="8"/>
            <color indexed="81"/>
            <rFont val="Tahoma"/>
            <family val="2"/>
          </rPr>
          <t xml:space="preserve"> :</t>
        </r>
        <r>
          <rPr>
            <sz val="8"/>
            <color indexed="81"/>
            <rFont val="Tahoma"/>
            <family val="2"/>
          </rPr>
          <t xml:space="preserve">
An important Offset point</t>
        </r>
      </text>
    </comment>
    <comment ref="BN9" authorId="0" shapeId="0" xr:uid="{00000000-0006-0000-0A00-000018000000}">
      <text>
        <r>
          <rPr>
            <b/>
            <sz val="8"/>
            <color indexed="81"/>
            <rFont val="Tahoma"/>
            <family val="2"/>
          </rPr>
          <t xml:space="preserve"> :</t>
        </r>
        <r>
          <rPr>
            <sz val="8"/>
            <color indexed="81"/>
            <rFont val="Tahoma"/>
            <family val="2"/>
          </rPr>
          <t xml:space="preserve">
An important Offset point</t>
        </r>
      </text>
    </comment>
    <comment ref="BO9" authorId="0" shapeId="0" xr:uid="{00000000-0006-0000-0A00-000019000000}">
      <text>
        <r>
          <rPr>
            <b/>
            <sz val="8"/>
            <color indexed="81"/>
            <rFont val="Tahoma"/>
            <family val="2"/>
          </rPr>
          <t xml:space="preserve"> :</t>
        </r>
        <r>
          <rPr>
            <sz val="8"/>
            <color indexed="81"/>
            <rFont val="Tahoma"/>
            <family val="2"/>
          </rPr>
          <t xml:space="preserve">
An important Offset point</t>
        </r>
      </text>
    </comment>
    <comment ref="CH9" authorId="0" shapeId="0" xr:uid="{00000000-0006-0000-0A00-00001A000000}">
      <text>
        <r>
          <rPr>
            <b/>
            <sz val="8"/>
            <color indexed="81"/>
            <rFont val="Tahoma"/>
            <family val="2"/>
          </rPr>
          <t xml:space="preserve"> :</t>
        </r>
        <r>
          <rPr>
            <sz val="8"/>
            <color indexed="81"/>
            <rFont val="Tahoma"/>
            <family val="2"/>
          </rPr>
          <t xml:space="preserve">
Wow this is Weird!</t>
        </r>
      </text>
    </comment>
    <comment ref="E13" authorId="0" shapeId="0" xr:uid="{00000000-0006-0000-0A00-00001B000000}">
      <text>
        <r>
          <rPr>
            <b/>
            <sz val="8"/>
            <color indexed="81"/>
            <rFont val="Tahoma"/>
            <family val="2"/>
          </rPr>
          <t>Comments can be entered in these field</t>
        </r>
      </text>
    </comment>
    <comment ref="L13" authorId="0" shapeId="0" xr:uid="{00000000-0006-0000-0A00-00001C000000}">
      <text>
        <r>
          <rPr>
            <sz val="9"/>
            <color indexed="81"/>
            <rFont val="Tahoma"/>
            <family val="2"/>
          </rPr>
          <t>Minimum Bu's per line can be manually placed in these fields when required to over ride the software's calculated minimum line requirement detailed in cells L5 or N5</t>
        </r>
      </text>
    </comment>
    <comment ref="N13" authorId="0" shapeId="0" xr:uid="{00000000-0006-0000-0A00-00001D000000}">
      <text>
        <r>
          <rPr>
            <sz val="9"/>
            <color indexed="81"/>
            <rFont val="Tahoma"/>
            <family val="2"/>
          </rPr>
          <t>Minimum Bu's per line can be manually placed in these fields when required to over ride the software's calculated minimum line requirement detailed in cells L5 or N5</t>
        </r>
      </text>
    </comment>
    <comment ref="Q13" authorId="0" shapeId="0" xr:uid="{00000000-0006-0000-0A00-00001E000000}">
      <text>
        <r>
          <rPr>
            <sz val="10"/>
            <color indexed="81"/>
            <rFont val="Tahoma"/>
            <family val="2"/>
          </rPr>
          <t>The "Achieved &lt; Min Req per line" comment only needs to be resolved once all the intended bracing lines to be used have at least one element in them.</t>
        </r>
      </text>
    </comment>
    <comment ref="E19" authorId="0" shapeId="0" xr:uid="{00000000-0006-0000-0A00-00001F000000}">
      <text>
        <r>
          <rPr>
            <b/>
            <sz val="8"/>
            <color indexed="81"/>
            <rFont val="Tahoma"/>
            <family val="2"/>
          </rPr>
          <t>Comments can be entered in these field</t>
        </r>
      </text>
    </comment>
    <comment ref="L19" authorId="0" shapeId="0" xr:uid="{00000000-0006-0000-0A00-000020000000}">
      <text>
        <r>
          <rPr>
            <sz val="9"/>
            <color indexed="81"/>
            <rFont val="Tahoma"/>
            <family val="2"/>
          </rPr>
          <t>Minimum Bu's per line can be manually placed in these fields when required to over ride the software's calculated minimum line requirement detailed in cells L5 or N5</t>
        </r>
      </text>
    </comment>
    <comment ref="N19" authorId="0" shapeId="0" xr:uid="{00000000-0006-0000-0A00-000021000000}">
      <text>
        <r>
          <rPr>
            <sz val="9"/>
            <color indexed="81"/>
            <rFont val="Tahoma"/>
            <family val="2"/>
          </rPr>
          <t>Minimum Bu's per line can be manually placed in these fields when required to over ride the software's calculated minimum line requirement detailed in cells L5 or N5</t>
        </r>
      </text>
    </comment>
    <comment ref="Q19" authorId="0" shapeId="0" xr:uid="{00000000-0006-0000-0A00-000022000000}">
      <text>
        <r>
          <rPr>
            <sz val="10"/>
            <color indexed="81"/>
            <rFont val="Tahoma"/>
            <family val="2"/>
          </rPr>
          <t>The "Achieved &lt; Min Req per line" comment only needs to be resolved once all the intended bracing lines to be used have at least one element in them.</t>
        </r>
      </text>
    </comment>
    <comment ref="E25" authorId="0" shapeId="0" xr:uid="{00000000-0006-0000-0A00-000023000000}">
      <text>
        <r>
          <rPr>
            <b/>
            <sz val="8"/>
            <color indexed="81"/>
            <rFont val="Tahoma"/>
            <family val="2"/>
          </rPr>
          <t>Comments can be entered in these field</t>
        </r>
      </text>
    </comment>
    <comment ref="L25" authorId="0" shapeId="0" xr:uid="{00000000-0006-0000-0A00-000024000000}">
      <text>
        <r>
          <rPr>
            <sz val="9"/>
            <color indexed="81"/>
            <rFont val="Tahoma"/>
            <family val="2"/>
          </rPr>
          <t>Minimum Bu's per line can be manually placed in these fields when required to over ride the software's calculated minimum line requirement detailed in cells L5 or N5</t>
        </r>
      </text>
    </comment>
    <comment ref="N25" authorId="0" shapeId="0" xr:uid="{00000000-0006-0000-0A00-000025000000}">
      <text>
        <r>
          <rPr>
            <sz val="9"/>
            <color indexed="81"/>
            <rFont val="Tahoma"/>
            <family val="2"/>
          </rPr>
          <t>Minimum Bu's per line can be manually placed in these fields when required to over ride the software's calculated minimum line requirement detailed in cells L5 or N5</t>
        </r>
      </text>
    </comment>
    <comment ref="Q25" authorId="0" shapeId="0" xr:uid="{00000000-0006-0000-0A00-000026000000}">
      <text>
        <r>
          <rPr>
            <sz val="10"/>
            <color indexed="81"/>
            <rFont val="Tahoma"/>
            <family val="2"/>
          </rPr>
          <t>The "Achieved &lt; Min Req per line" comment only needs to be resolved once all the intended bracing lines to be used have at least one element in them.</t>
        </r>
      </text>
    </comment>
    <comment ref="E31" authorId="0" shapeId="0" xr:uid="{00000000-0006-0000-0A00-000027000000}">
      <text>
        <r>
          <rPr>
            <b/>
            <sz val="8"/>
            <color indexed="81"/>
            <rFont val="Tahoma"/>
            <family val="2"/>
          </rPr>
          <t>Comments can be entered in these field</t>
        </r>
      </text>
    </comment>
    <comment ref="L31" authorId="0" shapeId="0" xr:uid="{00000000-0006-0000-0A00-000028000000}">
      <text>
        <r>
          <rPr>
            <sz val="9"/>
            <color indexed="81"/>
            <rFont val="Tahoma"/>
            <family val="2"/>
          </rPr>
          <t>Minimum Bu's per line can be manually placed in these fields when required to over ride the software's calculated minimum line requirement detailed in cells L5 or N5</t>
        </r>
      </text>
    </comment>
    <comment ref="N31" authorId="0" shapeId="0" xr:uid="{00000000-0006-0000-0A00-000029000000}">
      <text>
        <r>
          <rPr>
            <sz val="9"/>
            <color indexed="81"/>
            <rFont val="Tahoma"/>
            <family val="2"/>
          </rPr>
          <t>Minimum Bu's per line can be manually placed in these fields when required to over ride the software's calculated minimum line requirement detailed in cells L5 or N5</t>
        </r>
      </text>
    </comment>
    <comment ref="Q31" authorId="0" shapeId="0" xr:uid="{00000000-0006-0000-0A00-00002A000000}">
      <text>
        <r>
          <rPr>
            <sz val="10"/>
            <color indexed="81"/>
            <rFont val="Tahoma"/>
            <family val="2"/>
          </rPr>
          <t>The "Achieved &lt; Min Req per line" comment only needs to be resolved once all the intended bracing lines to be used have at least one element in them.</t>
        </r>
      </text>
    </comment>
    <comment ref="E37" authorId="0" shapeId="0" xr:uid="{00000000-0006-0000-0A00-00002B000000}">
      <text>
        <r>
          <rPr>
            <b/>
            <sz val="8"/>
            <color indexed="81"/>
            <rFont val="Tahoma"/>
            <family val="2"/>
          </rPr>
          <t>Comments can be entered in these field</t>
        </r>
      </text>
    </comment>
    <comment ref="L37" authorId="0" shapeId="0" xr:uid="{00000000-0006-0000-0A00-00002C000000}">
      <text>
        <r>
          <rPr>
            <sz val="9"/>
            <color indexed="81"/>
            <rFont val="Tahoma"/>
            <family val="2"/>
          </rPr>
          <t>Minimum Bu's per line can be manually placed in these fields when required to over ride the software's calculated minimum line requirement detailed in cells L5 or N5</t>
        </r>
      </text>
    </comment>
    <comment ref="N37" authorId="0" shapeId="0" xr:uid="{00000000-0006-0000-0A00-00002D000000}">
      <text>
        <r>
          <rPr>
            <sz val="9"/>
            <color indexed="81"/>
            <rFont val="Tahoma"/>
            <family val="2"/>
          </rPr>
          <t>Minimum Bu's per line can be manually placed in these fields when required to over ride the software's calculated minimum line requirement detailed in cells L5 or N5</t>
        </r>
      </text>
    </comment>
    <comment ref="Q37" authorId="0" shapeId="0" xr:uid="{00000000-0006-0000-0A00-00002E000000}">
      <text>
        <r>
          <rPr>
            <sz val="10"/>
            <color indexed="81"/>
            <rFont val="Tahoma"/>
            <family val="2"/>
          </rPr>
          <t>The "Achieved &lt; Min Req per line" comment only needs to be resolved once all the intended bracing lines to be used have at least one element in them.</t>
        </r>
      </text>
    </comment>
    <comment ref="E43" authorId="0" shapeId="0" xr:uid="{00000000-0006-0000-0A00-00002F000000}">
      <text>
        <r>
          <rPr>
            <b/>
            <sz val="8"/>
            <color indexed="81"/>
            <rFont val="Tahoma"/>
            <family val="2"/>
          </rPr>
          <t>Comments can be entered in these field</t>
        </r>
      </text>
    </comment>
    <comment ref="L43" authorId="0" shapeId="0" xr:uid="{00000000-0006-0000-0A00-000030000000}">
      <text>
        <r>
          <rPr>
            <sz val="9"/>
            <color indexed="81"/>
            <rFont val="Tahoma"/>
            <family val="2"/>
          </rPr>
          <t>Minimum Bu's per line can be manually placed in these fields when required to over ride the software's calculated minimum line requirement detailed in cells L5 or N5</t>
        </r>
      </text>
    </comment>
    <comment ref="N43" authorId="0" shapeId="0" xr:uid="{00000000-0006-0000-0A00-000031000000}">
      <text>
        <r>
          <rPr>
            <sz val="9"/>
            <color indexed="81"/>
            <rFont val="Tahoma"/>
            <family val="2"/>
          </rPr>
          <t>Minimum Bu's per line can be manually placed in these fields when required to over ride the software's calculated minimum line requirement detailed in cells L5 or N5</t>
        </r>
      </text>
    </comment>
    <comment ref="Q43" authorId="0" shapeId="0" xr:uid="{00000000-0006-0000-0A00-000032000000}">
      <text>
        <r>
          <rPr>
            <sz val="10"/>
            <color indexed="81"/>
            <rFont val="Tahoma"/>
            <family val="2"/>
          </rPr>
          <t>The "Achieved &lt; Min Req per line" comment only needs to be resolved once all the intended bracing lines to be used have at least one element in them.</t>
        </r>
      </text>
    </comment>
    <comment ref="AK45" authorId="0" shapeId="0" xr:uid="{00000000-0006-0000-0A00-000033000000}">
      <text>
        <r>
          <rPr>
            <sz val="12"/>
            <color indexed="81"/>
            <rFont val="Tahoma"/>
            <family val="2"/>
          </rPr>
          <t xml:space="preserve">To enter "Custom Elements" go to the "Customs Elements tab below  </t>
        </r>
        <r>
          <rPr>
            <sz val="12"/>
            <color indexed="10"/>
            <rFont val="Tahoma"/>
            <family val="2"/>
          </rPr>
          <t>(to the right of the "Project Demand" tab)</t>
        </r>
        <r>
          <rPr>
            <sz val="12"/>
            <color indexed="81"/>
            <rFont val="Tahoma"/>
            <family val="2"/>
          </rPr>
          <t>.   
 Enter Custom Elements there and these will show up in ALL the solution sheets</t>
        </r>
      </text>
    </comment>
    <comment ref="E49" authorId="0" shapeId="0" xr:uid="{00000000-0006-0000-0A00-000034000000}">
      <text>
        <r>
          <rPr>
            <b/>
            <sz val="8"/>
            <color indexed="81"/>
            <rFont val="Tahoma"/>
            <family val="2"/>
          </rPr>
          <t>Comments can be entered in these field</t>
        </r>
      </text>
    </comment>
    <comment ref="L49" authorId="0" shapeId="0" xr:uid="{00000000-0006-0000-0A00-000035000000}">
      <text>
        <r>
          <rPr>
            <sz val="9"/>
            <color indexed="81"/>
            <rFont val="Tahoma"/>
            <family val="2"/>
          </rPr>
          <t>Minimum Bu's per line can be manually placed in these fields when required to over ride the software's calculated minimum line requirement detailed in cells L5 or N5</t>
        </r>
      </text>
    </comment>
    <comment ref="N49" authorId="0" shapeId="0" xr:uid="{00000000-0006-0000-0A00-000036000000}">
      <text>
        <r>
          <rPr>
            <sz val="9"/>
            <color indexed="81"/>
            <rFont val="Tahoma"/>
            <family val="2"/>
          </rPr>
          <t>Minimum Bu's per line can be manually placed in these fields when required to over ride the software's calculated minimum line requirement detailed in cells L5 or N5</t>
        </r>
      </text>
    </comment>
    <comment ref="Q49" authorId="0" shapeId="0" xr:uid="{00000000-0006-0000-0A00-000037000000}">
      <text>
        <r>
          <rPr>
            <sz val="10"/>
            <color indexed="81"/>
            <rFont val="Tahoma"/>
            <family val="2"/>
          </rPr>
          <t>The "Achieved &lt; Min Req per line" comment only needs to be resolved once all the intended bracing lines to be used have at least one element in them.</t>
        </r>
      </text>
    </comment>
    <comment ref="E55" authorId="0" shapeId="0" xr:uid="{00000000-0006-0000-0A00-000038000000}">
      <text>
        <r>
          <rPr>
            <b/>
            <sz val="8"/>
            <color indexed="81"/>
            <rFont val="Tahoma"/>
            <family val="2"/>
          </rPr>
          <t>Comments can be entered in these field</t>
        </r>
      </text>
    </comment>
    <comment ref="L55" authorId="0" shapeId="0" xr:uid="{00000000-0006-0000-0A00-000039000000}">
      <text>
        <r>
          <rPr>
            <sz val="9"/>
            <color indexed="81"/>
            <rFont val="Tahoma"/>
            <family val="2"/>
          </rPr>
          <t>Minimum Bu's per line can be manually placed in these fields when required to over ride the software's calculated minimum line requirement detailed in cells L5 or N5</t>
        </r>
      </text>
    </comment>
    <comment ref="N55" authorId="0" shapeId="0" xr:uid="{00000000-0006-0000-0A00-00003A000000}">
      <text>
        <r>
          <rPr>
            <sz val="9"/>
            <color indexed="81"/>
            <rFont val="Tahoma"/>
            <family val="2"/>
          </rPr>
          <t>Minimum Bu's per line can be manually placed in these fields when required to over ride the software's calculated minimum line requirement detailed in cells L5 or N5</t>
        </r>
      </text>
    </comment>
    <comment ref="Q55" authorId="0" shapeId="0" xr:uid="{00000000-0006-0000-0A00-00003B000000}">
      <text>
        <r>
          <rPr>
            <sz val="10"/>
            <color indexed="81"/>
            <rFont val="Tahoma"/>
            <family val="2"/>
          </rPr>
          <t>The "Achieved &lt; Min Req per line" comment only needs to be resolved once all the intended bracing lines to be used have at least one element in them.</t>
        </r>
      </text>
    </comment>
    <comment ref="E61" authorId="0" shapeId="0" xr:uid="{00000000-0006-0000-0A00-00003C000000}">
      <text>
        <r>
          <rPr>
            <b/>
            <sz val="8"/>
            <color indexed="81"/>
            <rFont val="Tahoma"/>
            <family val="2"/>
          </rPr>
          <t>Comments can be entered in these field</t>
        </r>
      </text>
    </comment>
    <comment ref="L61" authorId="0" shapeId="0" xr:uid="{00000000-0006-0000-0A00-00003D000000}">
      <text>
        <r>
          <rPr>
            <sz val="9"/>
            <color indexed="81"/>
            <rFont val="Tahoma"/>
            <family val="2"/>
          </rPr>
          <t>Minimum Bu's per line can be manually placed in these fields when required to over ride the software's calculated minimum line requirement detailed in cells L5 or N5</t>
        </r>
      </text>
    </comment>
    <comment ref="N61" authorId="0" shapeId="0" xr:uid="{00000000-0006-0000-0A00-00003E000000}">
      <text>
        <r>
          <rPr>
            <sz val="9"/>
            <color indexed="81"/>
            <rFont val="Tahoma"/>
            <family val="2"/>
          </rPr>
          <t>Minimum Bu's per line can be manually placed in these fields when required to over ride the software's calculated minimum line requirement detailed in cells L5 or N5</t>
        </r>
      </text>
    </comment>
    <comment ref="Q61" authorId="0" shapeId="0" xr:uid="{00000000-0006-0000-0A00-00003F000000}">
      <text>
        <r>
          <rPr>
            <sz val="10"/>
            <color indexed="81"/>
            <rFont val="Tahoma"/>
            <family val="2"/>
          </rPr>
          <t>The "Achieved &lt; Min Req per line" comment only needs to be resolved once all the intended bracing lines to be used have at least one element in them.</t>
        </r>
      </text>
    </comment>
    <comment ref="BV61" authorId="0" shapeId="0" xr:uid="{00000000-0006-0000-0A00-000040000000}">
      <text>
        <r>
          <rPr>
            <b/>
            <sz val="9"/>
            <color indexed="81"/>
            <rFont val="Tahoma"/>
            <family val="2"/>
          </rPr>
          <t>This is important</t>
        </r>
      </text>
    </comment>
    <comment ref="BW61" authorId="0" shapeId="0" xr:uid="{00000000-0006-0000-0A00-000041000000}">
      <text>
        <r>
          <rPr>
            <b/>
            <sz val="9"/>
            <color indexed="81"/>
            <rFont val="Tahoma"/>
            <family val="2"/>
          </rPr>
          <t>This is important</t>
        </r>
      </text>
    </comment>
    <comment ref="E67" authorId="0" shapeId="0" xr:uid="{00000000-0006-0000-0A00-000042000000}">
      <text>
        <r>
          <rPr>
            <b/>
            <sz val="8"/>
            <color indexed="81"/>
            <rFont val="Tahoma"/>
            <family val="2"/>
          </rPr>
          <t>Comments can be entered in these field</t>
        </r>
      </text>
    </comment>
    <comment ref="L67" authorId="0" shapeId="0" xr:uid="{00000000-0006-0000-0A00-000043000000}">
      <text>
        <r>
          <rPr>
            <sz val="9"/>
            <color indexed="81"/>
            <rFont val="Tahoma"/>
            <family val="2"/>
          </rPr>
          <t>Minimum Bu's per line can be manually placed in these fields when required to over ride the software's calculated minimum line requirement detailed in cells L5 or N5</t>
        </r>
      </text>
    </comment>
    <comment ref="N67" authorId="0" shapeId="0" xr:uid="{00000000-0006-0000-0A00-000044000000}">
      <text>
        <r>
          <rPr>
            <sz val="9"/>
            <color indexed="81"/>
            <rFont val="Tahoma"/>
            <family val="2"/>
          </rPr>
          <t>Minimum Bu's per line can be manually placed in these fields when required to over ride the software's calculated minimum line requirement detailed in cells L5 or N5</t>
        </r>
      </text>
    </comment>
    <comment ref="Q67" authorId="0" shapeId="0" xr:uid="{00000000-0006-0000-0A00-000045000000}">
      <text>
        <r>
          <rPr>
            <sz val="10"/>
            <color indexed="81"/>
            <rFont val="Tahoma"/>
            <family val="2"/>
          </rPr>
          <t>The "Achieved &lt; Min Req per line" comment only needs to be resolved once all the intended bracing lines to be used have at least one element in them.</t>
        </r>
      </text>
    </comment>
    <comment ref="E73" authorId="0" shapeId="0" xr:uid="{00000000-0006-0000-0A00-000046000000}">
      <text>
        <r>
          <rPr>
            <b/>
            <sz val="8"/>
            <color indexed="81"/>
            <rFont val="Tahoma"/>
            <family val="2"/>
          </rPr>
          <t>Comments can be entered in these field</t>
        </r>
      </text>
    </comment>
    <comment ref="L73" authorId="0" shapeId="0" xr:uid="{00000000-0006-0000-0A00-000047000000}">
      <text>
        <r>
          <rPr>
            <sz val="9"/>
            <color indexed="81"/>
            <rFont val="Tahoma"/>
            <family val="2"/>
          </rPr>
          <t>Minimum Bu's per line can be manually placed in these fields when required to over ride the software's calculated minimum line requirement detailed in cells L5 or N5</t>
        </r>
      </text>
    </comment>
    <comment ref="N73" authorId="0" shapeId="0" xr:uid="{00000000-0006-0000-0A00-000048000000}">
      <text>
        <r>
          <rPr>
            <sz val="9"/>
            <color indexed="81"/>
            <rFont val="Tahoma"/>
            <family val="2"/>
          </rPr>
          <t>Minimum Bu's per line can be manually placed in these fields when required to over ride the software's calculated minimum line requirement detailed in cells L5 or N5</t>
        </r>
      </text>
    </comment>
    <comment ref="Q73" authorId="0" shapeId="0" xr:uid="{00000000-0006-0000-0A00-000049000000}">
      <text>
        <r>
          <rPr>
            <sz val="10"/>
            <color indexed="81"/>
            <rFont val="Tahoma"/>
            <family val="2"/>
          </rPr>
          <t>The "Achieved &lt; Min Req per line" comment only needs to be resolved once all the intended bracing lines to be used have at least one element in them.</t>
        </r>
      </text>
    </comment>
    <comment ref="E79" authorId="0" shapeId="0" xr:uid="{00000000-0006-0000-0A00-00004A000000}">
      <text>
        <r>
          <rPr>
            <b/>
            <sz val="8"/>
            <color indexed="81"/>
            <rFont val="Tahoma"/>
            <family val="2"/>
          </rPr>
          <t>Comments can be entered in these field</t>
        </r>
      </text>
    </comment>
    <comment ref="L79" authorId="0" shapeId="0" xr:uid="{00000000-0006-0000-0A00-00004B000000}">
      <text>
        <r>
          <rPr>
            <sz val="9"/>
            <color indexed="81"/>
            <rFont val="Tahoma"/>
            <family val="2"/>
          </rPr>
          <t>Minimum Bu's per line can be manually placed in these fields when required to over ride the software's calculated minimum line requirement detailed in cells L5 or N5</t>
        </r>
      </text>
    </comment>
    <comment ref="N79" authorId="0" shapeId="0" xr:uid="{00000000-0006-0000-0A00-00004C000000}">
      <text>
        <r>
          <rPr>
            <sz val="9"/>
            <color indexed="81"/>
            <rFont val="Tahoma"/>
            <family val="2"/>
          </rPr>
          <t>Minimum Bu's per line can be manually placed in these fields when required to over ride the software's calculated minimum line requirement detailed in cells L5 or N5</t>
        </r>
      </text>
    </comment>
    <comment ref="Q79" authorId="0" shapeId="0" xr:uid="{00000000-0006-0000-0A00-00004D000000}">
      <text>
        <r>
          <rPr>
            <sz val="10"/>
            <color indexed="81"/>
            <rFont val="Tahoma"/>
            <family val="2"/>
          </rPr>
          <t>The "Achieved &lt; Min Req per line" comment only needs to be resolved once all the intended bracing lines to be used have at least one element in them.</t>
        </r>
      </text>
    </comment>
    <comment ref="M82" authorId="0" shapeId="0" xr:uid="{00000000-0006-0000-0A00-00004E000000}">
      <text>
        <r>
          <rPr>
            <sz val="10"/>
            <color indexed="81"/>
            <rFont val="Tahoma"/>
            <family val="2"/>
          </rPr>
          <t xml:space="preserve">Alternatively Sourced Bracing Demands can be manually placed in the Project Demand sheet.
</t>
        </r>
      </text>
    </comment>
    <comment ref="O82" authorId="0" shapeId="0" xr:uid="{00000000-0006-0000-0A00-00004F000000}">
      <text>
        <r>
          <rPr>
            <sz val="10"/>
            <color indexed="81"/>
            <rFont val="Tahoma"/>
            <family val="2"/>
          </rPr>
          <t xml:space="preserve">Alternatively Sourced Bracing Demands can be manually placed in the Project Demand sheet.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Ernst</author>
    <author>Kevin Van Hest</author>
    <author>manager</author>
  </authors>
  <commentList>
    <comment ref="Q2" authorId="0" shapeId="0" xr:uid="{00000000-0006-0000-0B00-000001000000}">
      <text>
        <r>
          <rPr>
            <sz val="10"/>
            <color indexed="81"/>
            <rFont val="Tahoma"/>
            <family val="2"/>
          </rPr>
          <t xml:space="preserve">Several types of suggestions and warnings appear in this column.
For Example:
If the system EMPH is chosen  (Multiboard on one side and Plywood on the either)  
    If the comment:  " ESPH provides same result in WIND " appears it means that the Wind performance of the ESPH bracing system is the same as EMPH  bracing system that was chosen.
    If the comment:   "ESPH provides the same results"" appears it means that BOTH the Wind AND the Earthquake performance of the ESPH bracing system is the same as EMPH bracing system that was chosen.
</t>
        </r>
      </text>
    </comment>
    <comment ref="AZ2" authorId="0" shapeId="0" xr:uid="{00000000-0006-0000-0B00-000002000000}">
      <text>
        <r>
          <rPr>
            <b/>
            <sz val="9"/>
            <color indexed="81"/>
            <rFont val="Tahoma"/>
            <family val="2"/>
          </rPr>
          <t xml:space="preserve"> :</t>
        </r>
        <r>
          <rPr>
            <sz val="9"/>
            <color indexed="81"/>
            <rFont val="Tahoma"/>
            <family val="2"/>
          </rPr>
          <t xml:space="preserve">
This is an old SwitchBrace switch</t>
        </r>
      </text>
    </comment>
    <comment ref="B3" authorId="0" shapeId="0" xr:uid="{00000000-0006-0000-0B00-000003000000}">
      <text>
        <r>
          <rPr>
            <sz val="10"/>
            <color indexed="81"/>
            <rFont val="Tahoma"/>
            <family val="2"/>
          </rPr>
          <t>These labels can be manually changed.  e.g. East-West"</t>
        </r>
        <r>
          <rPr>
            <b/>
            <sz val="8"/>
            <color indexed="81"/>
            <rFont val="Tahoma"/>
            <family val="2"/>
          </rPr>
          <t xml:space="preserve">
</t>
        </r>
        <r>
          <rPr>
            <sz val="10"/>
            <color indexed="81"/>
            <rFont val="Tahoma"/>
            <family val="2"/>
          </rPr>
          <t>If changing these default names ..Remember to use a new Template for each new Project.</t>
        </r>
      </text>
    </comment>
    <comment ref="I3" authorId="0" shapeId="0" xr:uid="{00000000-0006-0000-0B00-000004000000}">
      <text>
        <r>
          <rPr>
            <sz val="10"/>
            <color indexed="81"/>
            <rFont val="Tahoma"/>
            <family val="2"/>
          </rPr>
          <t xml:space="preserve">If the Wind or EQ demand is alternatively sourced then return to the Project Demand tab and  select "Other" in the Demand Source drop down box near cell N43.
Place  the source name and alternative demand totals in the relevant cells
</t>
        </r>
      </text>
    </comment>
    <comment ref="M3" authorId="0" shapeId="0" xr:uid="{00000000-0006-0000-0B00-000005000000}">
      <text>
        <r>
          <rPr>
            <sz val="10"/>
            <color indexed="81"/>
            <rFont val="Tahoma"/>
            <family val="2"/>
          </rPr>
          <t xml:space="preserve">This is the Wind Demand for the Along direction at this floor level. 
 Alternatively Sourced Bracing Demands can be manually placed in the Project Demand sheet.
</t>
        </r>
      </text>
    </comment>
    <comment ref="O3" authorId="0" shapeId="0" xr:uid="{00000000-0006-0000-0B00-000006000000}">
      <text>
        <r>
          <rPr>
            <sz val="10"/>
            <color indexed="81"/>
            <rFont val="Tahoma"/>
            <family val="2"/>
          </rPr>
          <t xml:space="preserve">This is the EQ Demand for the Along direction at this floor level.     
Alternatively Sourced Bracing Demands can be manually placed in the Project Demand sheet.
</t>
        </r>
      </text>
    </comment>
    <comment ref="B4" authorId="0" shapeId="0" xr:uid="{00000000-0006-0000-0B00-000007000000}">
      <text>
        <r>
          <rPr>
            <sz val="10"/>
            <color indexed="81"/>
            <rFont val="Tahoma"/>
            <family val="2"/>
          </rPr>
          <t>The Storey Label can be manually changed.  E.g. "Ground Floor"
If changing these default names then...Remember to use a new Template for each new Project.</t>
        </r>
      </text>
    </comment>
    <comment ref="L4" authorId="1" shapeId="0" xr:uid="{00000000-0006-0000-0B00-000008000000}">
      <text>
        <r>
          <rPr>
            <sz val="10"/>
            <color indexed="81"/>
            <rFont val="Tahoma"/>
            <family val="2"/>
          </rPr>
          <t>This is the minimum Bu's required for the</t>
        </r>
        <r>
          <rPr>
            <u/>
            <sz val="10"/>
            <color indexed="81"/>
            <rFont val="Tahoma"/>
            <family val="2"/>
          </rPr>
          <t xml:space="preserve"> Wind</t>
        </r>
        <r>
          <rPr>
            <sz val="10"/>
            <color indexed="81"/>
            <rFont val="Tahoma"/>
            <family val="2"/>
          </rPr>
          <t xml:space="preserve"> Demand on the External Bracing lines on either side of the project.
The individual  External Bracing elements ON each line have been labelled (in column 'D')  either  "Top External" or "Bottom External" or "Internal"  to distinguish elements that are on either side of the project or are on internal walls.  (Blank indicates no particular designation) 
The term Top External  or Bottom External  </t>
        </r>
        <r>
          <rPr>
            <u/>
            <sz val="10"/>
            <color indexed="81"/>
            <rFont val="Tahoma"/>
            <family val="2"/>
          </rPr>
          <t xml:space="preserve"> doesn't necessarily</t>
        </r>
        <r>
          <rPr>
            <sz val="10"/>
            <color indexed="81"/>
            <rFont val="Tahoma"/>
            <family val="2"/>
          </rPr>
          <t xml:space="preserve"> literally mean the </t>
        </r>
        <r>
          <rPr>
            <u/>
            <sz val="10"/>
            <color indexed="81"/>
            <rFont val="Tahoma"/>
            <family val="2"/>
          </rPr>
          <t>top</t>
        </r>
        <r>
          <rPr>
            <sz val="10"/>
            <color indexed="81"/>
            <rFont val="Tahoma"/>
            <family val="2"/>
          </rPr>
          <t xml:space="preserve"> side external line or</t>
        </r>
        <r>
          <rPr>
            <u/>
            <sz val="10"/>
            <color indexed="81"/>
            <rFont val="Tahoma"/>
            <family val="2"/>
          </rPr>
          <t xml:space="preserve"> bottom</t>
        </r>
        <r>
          <rPr>
            <sz val="10"/>
            <color indexed="81"/>
            <rFont val="Tahoma"/>
            <family val="2"/>
          </rPr>
          <t xml:space="preserve"> side external line of the floor plan .  It could mean the left external lines or the right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N4" authorId="1" shapeId="0" xr:uid="{00000000-0006-0000-0B00-000009000000}">
      <text>
        <r>
          <rPr>
            <sz val="10"/>
            <color indexed="81"/>
            <rFont val="Tahoma"/>
            <family val="2"/>
          </rPr>
          <t>This is the minimum Bu's required for the</t>
        </r>
        <r>
          <rPr>
            <u/>
            <sz val="10"/>
            <color indexed="81"/>
            <rFont val="Tahoma"/>
            <family val="2"/>
          </rPr>
          <t xml:space="preserve"> Earthquake</t>
        </r>
        <r>
          <rPr>
            <sz val="10"/>
            <color indexed="81"/>
            <rFont val="Tahoma"/>
            <family val="2"/>
          </rPr>
          <t xml:space="preserve"> Demand on the External Bracing lines on either side of the project.
The individual  External Bracing elements ON each line have been labelled (in column 'D')  either  "Top External" or "Bottom External" or "Internal"  to distinguish elements that are on either side of the project or are on internal walls.  (Blank indicates no particular designation) 
The term Top External  or Bottom External  </t>
        </r>
        <r>
          <rPr>
            <u/>
            <sz val="10"/>
            <color indexed="81"/>
            <rFont val="Tahoma"/>
            <family val="2"/>
          </rPr>
          <t xml:space="preserve"> doesn't necessarily</t>
        </r>
        <r>
          <rPr>
            <sz val="10"/>
            <color indexed="81"/>
            <rFont val="Tahoma"/>
            <family val="2"/>
          </rPr>
          <t xml:space="preserve"> literally mean the </t>
        </r>
        <r>
          <rPr>
            <u/>
            <sz val="10"/>
            <color indexed="81"/>
            <rFont val="Tahoma"/>
            <family val="2"/>
          </rPr>
          <t>top</t>
        </r>
        <r>
          <rPr>
            <sz val="10"/>
            <color indexed="81"/>
            <rFont val="Tahoma"/>
            <family val="2"/>
          </rPr>
          <t xml:space="preserve"> side external line or</t>
        </r>
        <r>
          <rPr>
            <u/>
            <sz val="10"/>
            <color indexed="81"/>
            <rFont val="Tahoma"/>
            <family val="2"/>
          </rPr>
          <t xml:space="preserve"> bottom</t>
        </r>
        <r>
          <rPr>
            <sz val="10"/>
            <color indexed="81"/>
            <rFont val="Tahoma"/>
            <family val="2"/>
          </rPr>
          <t xml:space="preserve"> side external line of the floor plan .  It could mean the left external lines or the right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B5" authorId="2" shapeId="0" xr:uid="{00000000-0006-0000-0B00-00000A000000}">
      <text>
        <r>
          <rPr>
            <sz val="10"/>
            <color indexed="81"/>
            <rFont val="Arial"/>
            <family val="2"/>
          </rPr>
          <t xml:space="preserve">Optionally show distinct Element numbers for the ER1 and ER2 Regular plasterboard fixing codes.  
Not showing them would improve pre-line and post-line procedures.
Show them if it is felt that clarity is required in their position on the bracing plan. </t>
        </r>
        <r>
          <rPr>
            <sz val="9"/>
            <color indexed="81"/>
            <rFont val="Tahoma"/>
            <family val="2"/>
          </rPr>
          <t xml:space="preserve">
</t>
        </r>
      </text>
    </comment>
    <comment ref="L5" authorId="0" shapeId="0" xr:uid="{00000000-0006-0000-0B00-00000B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N5" authorId="0" shapeId="0" xr:uid="{00000000-0006-0000-0B00-00000C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B6" authorId="0" shapeId="0" xr:uid="{00000000-0006-0000-0B00-00000D000000}">
      <text>
        <r>
          <rPr>
            <sz val="10"/>
            <color indexed="81"/>
            <rFont val="Tahoma"/>
            <family val="2"/>
          </rPr>
          <t>These line labels can be manually altered;
If a bracing line has more than 5 elements then repeat the Bracing line label into the next box down. For example , overwrite the "B" in cell B14 with an "A".  This will now allow line "A" to have 10 elements etc.
Remember to use a new Template for each new Project.</t>
        </r>
      </text>
    </comment>
    <comment ref="C6" authorId="0" shapeId="0" xr:uid="{00000000-0006-0000-0B00-00000E000000}">
      <text>
        <r>
          <rPr>
            <sz val="10"/>
            <color indexed="81"/>
            <rFont val="Tahoma"/>
            <family val="2"/>
          </rPr>
          <t>For Regular Plasterboard fixing systems, "ER1" and "ER2" , Element numbers can be optionally indicated.
The Element numbers can be manually altered
Including continuing the number over the next line label for Bracing lines with more than 5 Elements.
Remember to keep an original template</t>
        </r>
      </text>
    </comment>
    <comment ref="D6" authorId="0" shapeId="0" xr:uid="{00000000-0006-0000-0B00-00000F000000}">
      <text>
        <r>
          <rPr>
            <b/>
            <sz val="10"/>
            <color indexed="81"/>
            <rFont val="Tahoma"/>
            <family val="2"/>
          </rPr>
          <t>1.</t>
        </r>
        <r>
          <rPr>
            <sz val="10"/>
            <color indexed="81"/>
            <rFont val="Tahoma"/>
            <family val="2"/>
          </rPr>
          <t xml:space="preserve">   The Terms " Top External",   "Bottom External"  OR  "Left External, Right External"  (in the drop down  boxes  in column 'D')  refer to bracing elements on external walls that are either on one side of the project or on the other side of the project.  This</t>
        </r>
        <r>
          <rPr>
            <u/>
            <sz val="10"/>
            <color indexed="81"/>
            <rFont val="Tahoma"/>
            <family val="2"/>
          </rPr>
          <t xml:space="preserve"> doesn't necessarily</t>
        </r>
        <r>
          <rPr>
            <sz val="10"/>
            <color indexed="81"/>
            <rFont val="Tahoma"/>
            <family val="2"/>
          </rPr>
          <t xml:space="preserve"> literally mean the Top, Bottom , Left or Right  external lines  of the floor plan .  
 (It depends on the plans orientation as you view it.)   
</t>
        </r>
        <r>
          <rPr>
            <b/>
            <sz val="10"/>
            <color indexed="81"/>
            <rFont val="Tahoma"/>
            <family val="2"/>
          </rPr>
          <t xml:space="preserve">2.  </t>
        </r>
        <r>
          <rPr>
            <sz val="10"/>
            <color indexed="81"/>
            <rFont val="Tahoma"/>
            <family val="2"/>
          </rPr>
          <t xml:space="preserve">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They can be on walls that lie near </t>
        </r>
        <r>
          <rPr>
            <u/>
            <sz val="10"/>
            <color indexed="81"/>
            <rFont val="Tahoma"/>
            <family val="2"/>
          </rPr>
          <t>(2m or less</t>
        </r>
        <r>
          <rPr>
            <sz val="10"/>
            <color indexed="81"/>
            <rFont val="Tahoma"/>
            <family val="2"/>
          </rPr>
          <t xml:space="preserve">) and usually parallel to the outside external line.
</t>
        </r>
        <r>
          <rPr>
            <b/>
            <sz val="10"/>
            <color indexed="81"/>
            <rFont val="Tahoma"/>
            <family val="2"/>
          </rPr>
          <t xml:space="preserve">3.   </t>
        </r>
        <r>
          <rPr>
            <sz val="10"/>
            <color indexed="81"/>
            <rFont val="Tahoma"/>
            <family val="2"/>
          </rPr>
          <t>The Elements that are on External Bracing Lines  are summed and compared to the External Bracing Line Required as shown in cells K4 and M4.
A more detailed table below shows the Wind and Earthquake Achieved on external lines on either side of the project.
Note  :  "Internal" indicates an element is on an Internal wall/line of the project.   Blank cell indicates no particular designation.
Altering the drop down box will alter the defaults so...Remember to use a new Template for each new Project</t>
        </r>
      </text>
    </comment>
    <comment ref="E6" authorId="0" shapeId="0" xr:uid="{00000000-0006-0000-0B00-000010000000}">
      <text>
        <r>
          <rPr>
            <b/>
            <sz val="10"/>
            <color indexed="81"/>
            <rFont val="Tahoma"/>
            <family val="2"/>
          </rPr>
          <t>F</t>
        </r>
        <r>
          <rPr>
            <sz val="10"/>
            <color indexed="81"/>
            <rFont val="Tahoma"/>
            <family val="2"/>
          </rPr>
          <t xml:space="preserve">or Internal Walls,  select "Double Sided"  if both sides can be plasterboard and not be affected by "Wet Area" or other restrictions 
For External Walls select "Double Sided"  if the intention is to use Plywood on the exterior side
Otherwise select "Single Sided"
No selection assumes Single sided or Double sided systems can be used
</t>
        </r>
      </text>
    </comment>
    <comment ref="F6" authorId="0" shapeId="0" xr:uid="{00000000-0006-0000-0B00-000011000000}">
      <text>
        <r>
          <rPr>
            <sz val="10"/>
            <color indexed="81"/>
            <rFont val="Tahoma"/>
            <family val="2"/>
          </rPr>
          <t xml:space="preserve">It is recommended to use full wall length if available (excluding wall areas with large openings like windows or doors)    Use all available Internal and External walls segments in order to optimise the low cost ER1 and ER2 options.    </t>
        </r>
      </text>
    </comment>
    <comment ref="G6" authorId="3" shapeId="0" xr:uid="{00000000-0006-0000-0B00-000012000000}">
      <text>
        <r>
          <rPr>
            <sz val="10"/>
            <color indexed="81"/>
            <rFont val="Tahoma"/>
            <family val="2"/>
          </rPr>
          <t>For elements whose angles are  &gt;=45 degrees, consider placing same element on the perpendicular bracing lines at an angle (90 degrees - the angle entered)  below.</t>
        </r>
      </text>
    </comment>
    <comment ref="H6" authorId="0" shapeId="0" xr:uid="{00000000-0006-0000-0B00-000013000000}">
      <text>
        <r>
          <rPr>
            <sz val="10"/>
            <color indexed="81"/>
            <rFont val="Tahoma"/>
            <family val="2"/>
          </rPr>
          <t xml:space="preserve">The Element Height is taken from the Internal Stud Height that was entered in the Project Demand Sheet. (Usually the most common internal stud height or the average internal stud height)    This can be manually overwritten.  
If it has been overwritten, the original formula in the cell has been replaced by the number entered and the cell will no longer obtain its value from the internal stud height value that was entered in the Project Demand sheet.  The cell colour will change to orange as a reminder.
To restore the original cell formula either  Copy then Paste </t>
        </r>
        <r>
          <rPr>
            <u/>
            <sz val="10"/>
            <color indexed="81"/>
            <rFont val="Tahoma"/>
            <family val="2"/>
          </rPr>
          <t>(DO NOT</t>
        </r>
        <r>
          <rPr>
            <sz val="10"/>
            <color indexed="81"/>
            <rFont val="Tahoma"/>
            <family val="2"/>
          </rPr>
          <t xml:space="preserve"> Drag and Drop) the formula from an  unchanged cell in column "G" into the overwritten cell;
</t>
        </r>
        <r>
          <rPr>
            <b/>
            <sz val="10"/>
            <color indexed="81"/>
            <rFont val="Tahoma"/>
            <family val="2"/>
          </rPr>
          <t>OR</t>
        </r>
        <r>
          <rPr>
            <sz val="10"/>
            <color indexed="81"/>
            <rFont val="Tahoma"/>
            <family val="2"/>
          </rPr>
          <t xml:space="preserve">
Remember to use a new Template for each new Project.</t>
        </r>
      </text>
    </comment>
    <comment ref="I6" authorId="0" shapeId="0" xr:uid="{00000000-0006-0000-0B00-000014000000}">
      <text>
        <r>
          <rPr>
            <sz val="11"/>
            <color indexed="81"/>
            <rFont val="Tahoma"/>
            <family val="2"/>
          </rPr>
          <t xml:space="preserve">Allow software to suggest the ER1 and ER2 systems 
OR allow the user to select the initial systems.
If allowing the software to suggest, then in the "Available Wall Lengths", is recommended to identify  ALL the wall lengths available in the project. And indicate in column "E" which must be Single sided and which can be double sided .
</t>
        </r>
      </text>
    </comment>
    <comment ref="K6" authorId="3" shapeId="0" xr:uid="{00000000-0006-0000-0B00-000015000000}">
      <text>
        <r>
          <rPr>
            <sz val="10"/>
            <color indexed="81"/>
            <rFont val="Tahoma"/>
            <family val="2"/>
          </rPr>
          <t>The Element Resistance Limitation is set from the options selected in the Project Demand tab at Cell E49.
These defaults can be overridden below.
This is useful when the floor may have part timber or part slab sections.
If the bracing element is situated in a section that is timber floor then Limit the Element Resistance to 120 Bu's.
If the bracing element is situated in a section that is slab floor then Limit the Element Resistance to 150 Bu's.
For Elements that are NOT Foundation Dependent then select "SD".  However specific engineering must ensure that uplift forces generated by elements higher than the default settings can be resisted by the floor framing or slab.
Remember to use a new Template for each new project.</t>
        </r>
      </text>
    </comment>
    <comment ref="I7" authorId="0" shapeId="0" xr:uid="{00000000-0006-0000-0B00-000016000000}">
      <text>
        <r>
          <rPr>
            <sz val="11"/>
            <color indexed="81"/>
            <rFont val="Tahoma"/>
            <family val="2"/>
          </rPr>
          <t xml:space="preserve">Bring the curser to each required cell below, click to activate the drop down box.
Alternatively you can type the System Number directly in the cells below.
</t>
        </r>
      </text>
    </comment>
    <comment ref="BM8" authorId="0" shapeId="0" xr:uid="{00000000-0006-0000-0B00-000017000000}">
      <text>
        <r>
          <rPr>
            <b/>
            <sz val="8"/>
            <color indexed="81"/>
            <rFont val="Tahoma"/>
            <family val="2"/>
          </rPr>
          <t xml:space="preserve"> :</t>
        </r>
        <r>
          <rPr>
            <sz val="8"/>
            <color indexed="81"/>
            <rFont val="Tahoma"/>
            <family val="2"/>
          </rPr>
          <t xml:space="preserve">
This cant have a 0 in it or be cleared </t>
        </r>
      </text>
    </comment>
    <comment ref="BM9" authorId="0" shapeId="0" xr:uid="{00000000-0006-0000-0B00-000018000000}">
      <text>
        <r>
          <rPr>
            <b/>
            <sz val="8"/>
            <color indexed="81"/>
            <rFont val="Tahoma"/>
            <family val="2"/>
          </rPr>
          <t xml:space="preserve"> :</t>
        </r>
        <r>
          <rPr>
            <sz val="8"/>
            <color indexed="81"/>
            <rFont val="Tahoma"/>
            <family val="2"/>
          </rPr>
          <t xml:space="preserve">
An important Offset point</t>
        </r>
      </text>
    </comment>
    <comment ref="BN9" authorId="0" shapeId="0" xr:uid="{00000000-0006-0000-0B00-000019000000}">
      <text>
        <r>
          <rPr>
            <b/>
            <sz val="8"/>
            <color indexed="81"/>
            <rFont val="Tahoma"/>
            <family val="2"/>
          </rPr>
          <t xml:space="preserve"> :</t>
        </r>
        <r>
          <rPr>
            <sz val="8"/>
            <color indexed="81"/>
            <rFont val="Tahoma"/>
            <family val="2"/>
          </rPr>
          <t xml:space="preserve">
An important Offset point</t>
        </r>
      </text>
    </comment>
    <comment ref="BO9" authorId="0" shapeId="0" xr:uid="{00000000-0006-0000-0B00-00001A000000}">
      <text>
        <r>
          <rPr>
            <b/>
            <sz val="8"/>
            <color indexed="81"/>
            <rFont val="Tahoma"/>
            <family val="2"/>
          </rPr>
          <t xml:space="preserve"> :</t>
        </r>
        <r>
          <rPr>
            <sz val="8"/>
            <color indexed="81"/>
            <rFont val="Tahoma"/>
            <family val="2"/>
          </rPr>
          <t xml:space="preserve">
An important Offset point</t>
        </r>
      </text>
    </comment>
    <comment ref="CH9" authorId="0" shapeId="0" xr:uid="{00000000-0006-0000-0B00-00001B000000}">
      <text>
        <r>
          <rPr>
            <b/>
            <sz val="8"/>
            <color indexed="81"/>
            <rFont val="Tahoma"/>
            <family val="2"/>
          </rPr>
          <t xml:space="preserve"> :</t>
        </r>
        <r>
          <rPr>
            <sz val="8"/>
            <color indexed="81"/>
            <rFont val="Tahoma"/>
            <family val="2"/>
          </rPr>
          <t xml:space="preserve">
Wow this is fucking important</t>
        </r>
      </text>
    </comment>
    <comment ref="CI9" authorId="0" shapeId="0" xr:uid="{00000000-0006-0000-0B00-00001C000000}">
      <text>
        <r>
          <rPr>
            <b/>
            <sz val="8"/>
            <color indexed="81"/>
            <rFont val="Tahoma"/>
            <family val="2"/>
          </rPr>
          <t xml:space="preserve"> :</t>
        </r>
        <r>
          <rPr>
            <sz val="8"/>
            <color indexed="81"/>
            <rFont val="Tahoma"/>
            <family val="2"/>
          </rPr>
          <t xml:space="preserve">
Wow this is fucking important</t>
        </r>
      </text>
    </comment>
    <comment ref="BV11" authorId="0" shapeId="0" xr:uid="{00000000-0006-0000-0B00-00001D000000}">
      <text>
        <r>
          <rPr>
            <b/>
            <sz val="9"/>
            <color indexed="81"/>
            <rFont val="Tahoma"/>
            <family val="2"/>
          </rPr>
          <t xml:space="preserve"> :</t>
        </r>
        <r>
          <rPr>
            <sz val="9"/>
            <color indexed="81"/>
            <rFont val="Tahoma"/>
            <family val="2"/>
          </rPr>
          <t xml:space="preserve">
This can only be a space
</t>
        </r>
      </text>
    </comment>
    <comment ref="E13" authorId="0" shapeId="0" xr:uid="{00000000-0006-0000-0B00-00001E000000}">
      <text>
        <r>
          <rPr>
            <b/>
            <sz val="8"/>
            <color indexed="81"/>
            <rFont val="Tahoma"/>
            <family val="2"/>
          </rPr>
          <t>Comments can be entered in these field</t>
        </r>
      </text>
    </comment>
    <comment ref="L13" authorId="0" shapeId="0" xr:uid="{00000000-0006-0000-0B00-00001F000000}">
      <text>
        <r>
          <rPr>
            <sz val="9"/>
            <color indexed="81"/>
            <rFont val="Tahoma"/>
            <family val="2"/>
          </rPr>
          <t>Minimum Bu's per line can be manually placed in these fields when required to over ride the software's calculated minimum line requirement detailed in cells L5 or N5</t>
        </r>
      </text>
    </comment>
    <comment ref="N13" authorId="0" shapeId="0" xr:uid="{00000000-0006-0000-0B00-000020000000}">
      <text>
        <r>
          <rPr>
            <sz val="9"/>
            <color indexed="81"/>
            <rFont val="Tahoma"/>
            <family val="2"/>
          </rPr>
          <t>Minimum Bu's per line can be manually placed in these fields when required to over ride the software's calculated minimum line requirement detailed in cells L5 or N5</t>
        </r>
      </text>
    </comment>
    <comment ref="Q13" authorId="0" shapeId="0" xr:uid="{00000000-0006-0000-0B00-000021000000}">
      <text>
        <r>
          <rPr>
            <sz val="10"/>
            <color indexed="81"/>
            <rFont val="Tahoma"/>
            <family val="2"/>
          </rPr>
          <t>The "Achieved &lt; Min Req per line" comment only needs to be resolved once all the intended bracing lines to be used have at least one element in them.</t>
        </r>
      </text>
    </comment>
    <comment ref="E19" authorId="0" shapeId="0" xr:uid="{00000000-0006-0000-0B00-000022000000}">
      <text>
        <r>
          <rPr>
            <b/>
            <sz val="8"/>
            <color indexed="81"/>
            <rFont val="Tahoma"/>
            <family val="2"/>
          </rPr>
          <t>Comments can be entered in these field</t>
        </r>
      </text>
    </comment>
    <comment ref="L19" authorId="0" shapeId="0" xr:uid="{00000000-0006-0000-0B00-000023000000}">
      <text>
        <r>
          <rPr>
            <sz val="9"/>
            <color indexed="81"/>
            <rFont val="Tahoma"/>
            <family val="2"/>
          </rPr>
          <t>Minimum Bu's per line can be manually placed in these fields when required to over ride the software's calculated minimum line requirement detailed in cells L5 or N5</t>
        </r>
      </text>
    </comment>
    <comment ref="N19" authorId="0" shapeId="0" xr:uid="{00000000-0006-0000-0B00-000024000000}">
      <text>
        <r>
          <rPr>
            <sz val="9"/>
            <color indexed="81"/>
            <rFont val="Tahoma"/>
            <family val="2"/>
          </rPr>
          <t>Minimum Bu's per line can be manually placed in these fields when required to over ride the software's calculated minimum line requirement detailed in cells L5 or N5</t>
        </r>
      </text>
    </comment>
    <comment ref="Q19" authorId="0" shapeId="0" xr:uid="{00000000-0006-0000-0B00-000025000000}">
      <text>
        <r>
          <rPr>
            <sz val="10"/>
            <color indexed="81"/>
            <rFont val="Tahoma"/>
            <family val="2"/>
          </rPr>
          <t>The "Achieved &lt; Min Req per line" comment only needs to be resolved once all the intended bracing lines to be used have at least one element in them.</t>
        </r>
      </text>
    </comment>
    <comment ref="E25" authorId="0" shapeId="0" xr:uid="{00000000-0006-0000-0B00-000026000000}">
      <text>
        <r>
          <rPr>
            <b/>
            <sz val="8"/>
            <color indexed="81"/>
            <rFont val="Tahoma"/>
            <family val="2"/>
          </rPr>
          <t>Comments can be entered in these field</t>
        </r>
      </text>
    </comment>
    <comment ref="L25" authorId="0" shapeId="0" xr:uid="{00000000-0006-0000-0B00-000027000000}">
      <text>
        <r>
          <rPr>
            <sz val="9"/>
            <color indexed="81"/>
            <rFont val="Tahoma"/>
            <family val="2"/>
          </rPr>
          <t>Minimum Bu's per line can be manually placed in these fields when required to over ride the software's calculated minimum line requirement detailed in cells L5 or N5</t>
        </r>
      </text>
    </comment>
    <comment ref="N25" authorId="0" shapeId="0" xr:uid="{00000000-0006-0000-0B00-000028000000}">
      <text>
        <r>
          <rPr>
            <sz val="9"/>
            <color indexed="81"/>
            <rFont val="Tahoma"/>
            <family val="2"/>
          </rPr>
          <t>Minimum Bu's per line can be manually placed in these fields when required to over ride the software's calculated minimum line requirement detailed in cells L5 or N5</t>
        </r>
      </text>
    </comment>
    <comment ref="Q25" authorId="0" shapeId="0" xr:uid="{00000000-0006-0000-0B00-000029000000}">
      <text>
        <r>
          <rPr>
            <sz val="10"/>
            <color indexed="81"/>
            <rFont val="Tahoma"/>
            <family val="2"/>
          </rPr>
          <t>The "Achieved &lt; Min Req per line" comment only needs to be resolved once all the intended bracing lines to be used have at least one element in them.</t>
        </r>
      </text>
    </comment>
    <comment ref="E31" authorId="0" shapeId="0" xr:uid="{00000000-0006-0000-0B00-00002A000000}">
      <text>
        <r>
          <rPr>
            <b/>
            <sz val="8"/>
            <color indexed="81"/>
            <rFont val="Tahoma"/>
            <family val="2"/>
          </rPr>
          <t>Comments can be entered in these field</t>
        </r>
      </text>
    </comment>
    <comment ref="L31" authorId="0" shapeId="0" xr:uid="{00000000-0006-0000-0B00-00002B000000}">
      <text>
        <r>
          <rPr>
            <sz val="9"/>
            <color indexed="81"/>
            <rFont val="Tahoma"/>
            <family val="2"/>
          </rPr>
          <t>Minimum Bu's per line can be manually placed in these fields when required to over ride the software's calculated minimum line requirement detailed in cells L5 or N5</t>
        </r>
      </text>
    </comment>
    <comment ref="N31" authorId="0" shapeId="0" xr:uid="{00000000-0006-0000-0B00-00002C000000}">
      <text>
        <r>
          <rPr>
            <sz val="9"/>
            <color indexed="81"/>
            <rFont val="Tahoma"/>
            <family val="2"/>
          </rPr>
          <t>Minimum Bu's per line can be manually placed in these fields when required to over ride the software's calculated minimum line requirement detailed in cells L5 or N5</t>
        </r>
      </text>
    </comment>
    <comment ref="Q31" authorId="0" shapeId="0" xr:uid="{00000000-0006-0000-0B00-00002D000000}">
      <text>
        <r>
          <rPr>
            <sz val="10"/>
            <color indexed="81"/>
            <rFont val="Tahoma"/>
            <family val="2"/>
          </rPr>
          <t>The "Achieved &lt; Min Req per line" comment only needs to be resolved once all the intended bracing lines to be used have at least one element in them.</t>
        </r>
      </text>
    </comment>
    <comment ref="E37" authorId="0" shapeId="0" xr:uid="{00000000-0006-0000-0B00-00002E000000}">
      <text>
        <r>
          <rPr>
            <b/>
            <sz val="8"/>
            <color indexed="81"/>
            <rFont val="Tahoma"/>
            <family val="2"/>
          </rPr>
          <t>Comments can be entered in these field</t>
        </r>
      </text>
    </comment>
    <comment ref="L37" authorId="0" shapeId="0" xr:uid="{00000000-0006-0000-0B00-00002F000000}">
      <text>
        <r>
          <rPr>
            <sz val="9"/>
            <color indexed="81"/>
            <rFont val="Tahoma"/>
            <family val="2"/>
          </rPr>
          <t>Minimum Bu's per line can be manually placed in these fields when required to over ride the software's calculated minimum line requirement detailed in cells L5 or N5</t>
        </r>
      </text>
    </comment>
    <comment ref="N37" authorId="0" shapeId="0" xr:uid="{00000000-0006-0000-0B00-000030000000}">
      <text>
        <r>
          <rPr>
            <sz val="9"/>
            <color indexed="81"/>
            <rFont val="Tahoma"/>
            <family val="2"/>
          </rPr>
          <t>Minimum Bu's per line can be manually placed in these fields when required to over ride the software's calculated minimum line requirement detailed in cells L5 or N5</t>
        </r>
      </text>
    </comment>
    <comment ref="Q37" authorId="0" shapeId="0" xr:uid="{00000000-0006-0000-0B00-000031000000}">
      <text>
        <r>
          <rPr>
            <sz val="10"/>
            <color indexed="81"/>
            <rFont val="Tahoma"/>
            <family val="2"/>
          </rPr>
          <t>The "Achieved &lt; Min Req per line" comment only needs to be resolved once all the intended bracing lines to be used have at least one element in them.</t>
        </r>
      </text>
    </comment>
    <comment ref="E43" authorId="0" shapeId="0" xr:uid="{00000000-0006-0000-0B00-000032000000}">
      <text>
        <r>
          <rPr>
            <b/>
            <sz val="8"/>
            <color indexed="81"/>
            <rFont val="Tahoma"/>
            <family val="2"/>
          </rPr>
          <t>Comments can be entered in these field</t>
        </r>
      </text>
    </comment>
    <comment ref="L43" authorId="0" shapeId="0" xr:uid="{00000000-0006-0000-0B00-000033000000}">
      <text>
        <r>
          <rPr>
            <sz val="9"/>
            <color indexed="81"/>
            <rFont val="Tahoma"/>
            <family val="2"/>
          </rPr>
          <t>Minimum Bu's per line can be manually placed in these fields when required to over ride the software's calculated minimum line requirement detailed in cells L5 or N5</t>
        </r>
      </text>
    </comment>
    <comment ref="N43" authorId="0" shapeId="0" xr:uid="{00000000-0006-0000-0B00-000034000000}">
      <text>
        <r>
          <rPr>
            <sz val="9"/>
            <color indexed="81"/>
            <rFont val="Tahoma"/>
            <family val="2"/>
          </rPr>
          <t>Minimum Bu's per line can be manually placed in these fields when required to over ride the software's calculated minimum line requirement detailed in cells L5 or N5</t>
        </r>
      </text>
    </comment>
    <comment ref="Q43" authorId="0" shapeId="0" xr:uid="{00000000-0006-0000-0B00-000035000000}">
      <text>
        <r>
          <rPr>
            <sz val="10"/>
            <color indexed="81"/>
            <rFont val="Tahoma"/>
            <family val="2"/>
          </rPr>
          <t>The "Achieved &lt; Min Req per line" comment only needs to be resolved once all the intended bracing lines to be used have at least one element in them.</t>
        </r>
      </text>
    </comment>
    <comment ref="AK45" authorId="0" shapeId="0" xr:uid="{00000000-0006-0000-0B00-000036000000}">
      <text>
        <r>
          <rPr>
            <sz val="12"/>
            <color indexed="81"/>
            <rFont val="Tahoma"/>
            <family val="2"/>
          </rPr>
          <t xml:space="preserve">To enter "Custom Elements" go to the "Customs Elements tab below  </t>
        </r>
        <r>
          <rPr>
            <sz val="12"/>
            <color indexed="10"/>
            <rFont val="Tahoma"/>
            <family val="2"/>
          </rPr>
          <t>(to the right of the "Project Demand" tab)</t>
        </r>
        <r>
          <rPr>
            <sz val="12"/>
            <color indexed="81"/>
            <rFont val="Tahoma"/>
            <family val="2"/>
          </rPr>
          <t>.   
 Enter Custom Elements there and these will show up in ALL the solution sheets</t>
        </r>
      </text>
    </comment>
    <comment ref="E49" authorId="0" shapeId="0" xr:uid="{00000000-0006-0000-0B00-000037000000}">
      <text>
        <r>
          <rPr>
            <b/>
            <sz val="8"/>
            <color indexed="81"/>
            <rFont val="Tahoma"/>
            <family val="2"/>
          </rPr>
          <t>Comments can be entered in these field</t>
        </r>
      </text>
    </comment>
    <comment ref="L49" authorId="0" shapeId="0" xr:uid="{00000000-0006-0000-0B00-000038000000}">
      <text>
        <r>
          <rPr>
            <sz val="9"/>
            <color indexed="81"/>
            <rFont val="Tahoma"/>
            <family val="2"/>
          </rPr>
          <t>Minimum Bu's per line can be manually placed in these fields when required to over ride the software's calculated minimum line requirement detailed in cells L5 or N5</t>
        </r>
      </text>
    </comment>
    <comment ref="N49" authorId="0" shapeId="0" xr:uid="{00000000-0006-0000-0B00-000039000000}">
      <text>
        <r>
          <rPr>
            <sz val="9"/>
            <color indexed="81"/>
            <rFont val="Tahoma"/>
            <family val="2"/>
          </rPr>
          <t>Minimum Bu's per line can be manually placed in these fields when required to over ride the software's calculated minimum line requirement detailed in cells L5 or N5</t>
        </r>
      </text>
    </comment>
    <comment ref="Q49" authorId="0" shapeId="0" xr:uid="{00000000-0006-0000-0B00-00003A000000}">
      <text>
        <r>
          <rPr>
            <sz val="10"/>
            <color indexed="81"/>
            <rFont val="Tahoma"/>
            <family val="2"/>
          </rPr>
          <t>The "Achieved &lt; Min Req per line" comment only needs to be resolved once all the intended bracing lines to be used have at least one element in them.</t>
        </r>
      </text>
    </comment>
    <comment ref="E55" authorId="0" shapeId="0" xr:uid="{00000000-0006-0000-0B00-00003B000000}">
      <text>
        <r>
          <rPr>
            <b/>
            <sz val="8"/>
            <color indexed="81"/>
            <rFont val="Tahoma"/>
            <family val="2"/>
          </rPr>
          <t>Comments can be entered in these field</t>
        </r>
      </text>
    </comment>
    <comment ref="L55" authorId="0" shapeId="0" xr:uid="{00000000-0006-0000-0B00-00003C000000}">
      <text>
        <r>
          <rPr>
            <sz val="9"/>
            <color indexed="81"/>
            <rFont val="Tahoma"/>
            <family val="2"/>
          </rPr>
          <t>Minimum Bu's per line can be manually placed in these fields when required to over ride the software's calculated minimum line requirement detailed in cells L5 or N5</t>
        </r>
      </text>
    </comment>
    <comment ref="N55" authorId="0" shapeId="0" xr:uid="{00000000-0006-0000-0B00-00003D000000}">
      <text>
        <r>
          <rPr>
            <sz val="9"/>
            <color indexed="81"/>
            <rFont val="Tahoma"/>
            <family val="2"/>
          </rPr>
          <t>Minimum Bu's per line can be manually placed in these fields when required to over ride the software's calculated minimum line requirement detailed in cells L5 or N5</t>
        </r>
      </text>
    </comment>
    <comment ref="Q55" authorId="0" shapeId="0" xr:uid="{00000000-0006-0000-0B00-00003E000000}">
      <text>
        <r>
          <rPr>
            <sz val="10"/>
            <color indexed="81"/>
            <rFont val="Tahoma"/>
            <family val="2"/>
          </rPr>
          <t>The "Achieved &lt; Min Req per line" comment only needs to be resolved once all the intended bracing lines to be used have at least one element in them.</t>
        </r>
      </text>
    </comment>
    <comment ref="E61" authorId="0" shapeId="0" xr:uid="{00000000-0006-0000-0B00-00003F000000}">
      <text>
        <r>
          <rPr>
            <b/>
            <sz val="8"/>
            <color indexed="81"/>
            <rFont val="Tahoma"/>
            <family val="2"/>
          </rPr>
          <t>Comments can be entered in these field</t>
        </r>
      </text>
    </comment>
    <comment ref="L61" authorId="0" shapeId="0" xr:uid="{00000000-0006-0000-0B00-000040000000}">
      <text>
        <r>
          <rPr>
            <sz val="9"/>
            <color indexed="81"/>
            <rFont val="Tahoma"/>
            <family val="2"/>
          </rPr>
          <t>Minimum Bu's per line can be manually placed in these fields when required to over ride the software's calculated minimum line requirement detailed in cells L5 or N5</t>
        </r>
      </text>
    </comment>
    <comment ref="N61" authorId="0" shapeId="0" xr:uid="{00000000-0006-0000-0B00-000041000000}">
      <text>
        <r>
          <rPr>
            <sz val="9"/>
            <color indexed="81"/>
            <rFont val="Tahoma"/>
            <family val="2"/>
          </rPr>
          <t>Minimum Bu's per line can be manually placed in these fields when required to over ride the software's calculated minimum line requirement detailed in cells L5 or N5</t>
        </r>
      </text>
    </comment>
    <comment ref="Q61" authorId="0" shapeId="0" xr:uid="{00000000-0006-0000-0B00-000042000000}">
      <text>
        <r>
          <rPr>
            <sz val="10"/>
            <color indexed="81"/>
            <rFont val="Tahoma"/>
            <family val="2"/>
          </rPr>
          <t>The "Achieved &lt; Min Req per line" comment only needs to be resolved once all the intended bracing lines to be used have at least one element in them.</t>
        </r>
      </text>
    </comment>
    <comment ref="BV61" authorId="0" shapeId="0" xr:uid="{00000000-0006-0000-0B00-000043000000}">
      <text>
        <r>
          <rPr>
            <b/>
            <sz val="9"/>
            <color indexed="81"/>
            <rFont val="Tahoma"/>
            <family val="2"/>
          </rPr>
          <t>This is important</t>
        </r>
      </text>
    </comment>
    <comment ref="BW61" authorId="0" shapeId="0" xr:uid="{00000000-0006-0000-0B00-000044000000}">
      <text>
        <r>
          <rPr>
            <b/>
            <sz val="9"/>
            <color indexed="81"/>
            <rFont val="Tahoma"/>
            <family val="2"/>
          </rPr>
          <t>This is important</t>
        </r>
      </text>
    </comment>
    <comment ref="E67" authorId="0" shapeId="0" xr:uid="{00000000-0006-0000-0B00-000045000000}">
      <text>
        <r>
          <rPr>
            <b/>
            <sz val="8"/>
            <color indexed="81"/>
            <rFont val="Tahoma"/>
            <family val="2"/>
          </rPr>
          <t>Comments can be entered in these field</t>
        </r>
      </text>
    </comment>
    <comment ref="L67" authorId="0" shapeId="0" xr:uid="{00000000-0006-0000-0B00-000046000000}">
      <text>
        <r>
          <rPr>
            <sz val="9"/>
            <color indexed="81"/>
            <rFont val="Tahoma"/>
            <family val="2"/>
          </rPr>
          <t>Minimum Bu's per line can be manually placed in these fields when required to over ride the software's calculated minimum line requirement detailed in cells L5 or N5</t>
        </r>
      </text>
    </comment>
    <comment ref="N67" authorId="0" shapeId="0" xr:uid="{00000000-0006-0000-0B00-000047000000}">
      <text>
        <r>
          <rPr>
            <sz val="9"/>
            <color indexed="81"/>
            <rFont val="Tahoma"/>
            <family val="2"/>
          </rPr>
          <t>Minimum Bu's per line can be manually placed in these fields when required to over ride the software's calculated minimum line requirement detailed in cells L5 or N5</t>
        </r>
      </text>
    </comment>
    <comment ref="Q67" authorId="0" shapeId="0" xr:uid="{00000000-0006-0000-0B00-000048000000}">
      <text>
        <r>
          <rPr>
            <sz val="10"/>
            <color indexed="81"/>
            <rFont val="Tahoma"/>
            <family val="2"/>
          </rPr>
          <t>The "Achieved &lt; Min Req per line" comment only needs to be resolved once all the intended bracing lines to be used have at least one element in them.</t>
        </r>
      </text>
    </comment>
    <comment ref="E73" authorId="0" shapeId="0" xr:uid="{00000000-0006-0000-0B00-000049000000}">
      <text>
        <r>
          <rPr>
            <b/>
            <sz val="8"/>
            <color indexed="81"/>
            <rFont val="Tahoma"/>
            <family val="2"/>
          </rPr>
          <t>Comments can be entered in these field</t>
        </r>
      </text>
    </comment>
    <comment ref="L73" authorId="0" shapeId="0" xr:uid="{00000000-0006-0000-0B00-00004A000000}">
      <text>
        <r>
          <rPr>
            <sz val="9"/>
            <color indexed="81"/>
            <rFont val="Tahoma"/>
            <family val="2"/>
          </rPr>
          <t>Minimum Bu's per line can be manually placed in these fields when required to over ride the software's calculated minimum line requirement detailed in cells L5 or N5</t>
        </r>
      </text>
    </comment>
    <comment ref="N73" authorId="0" shapeId="0" xr:uid="{00000000-0006-0000-0B00-00004B000000}">
      <text>
        <r>
          <rPr>
            <sz val="9"/>
            <color indexed="81"/>
            <rFont val="Tahoma"/>
            <family val="2"/>
          </rPr>
          <t>Minimum Bu's per line can be manually placed in these fields when required to over ride the software's calculated minimum line requirement detailed in cells L5 or N5</t>
        </r>
      </text>
    </comment>
    <comment ref="Q73" authorId="0" shapeId="0" xr:uid="{00000000-0006-0000-0B00-00004C000000}">
      <text>
        <r>
          <rPr>
            <sz val="10"/>
            <color indexed="81"/>
            <rFont val="Tahoma"/>
            <family val="2"/>
          </rPr>
          <t>The "Achieved &lt; Min Req per line" comment only needs to be resolved once all the intended bracing lines to be used have at least one element in them.</t>
        </r>
      </text>
    </comment>
    <comment ref="E79" authorId="0" shapeId="0" xr:uid="{00000000-0006-0000-0B00-00004D000000}">
      <text>
        <r>
          <rPr>
            <b/>
            <sz val="8"/>
            <color indexed="81"/>
            <rFont val="Tahoma"/>
            <family val="2"/>
          </rPr>
          <t>Comments can be entered in these field</t>
        </r>
      </text>
    </comment>
    <comment ref="L79" authorId="0" shapeId="0" xr:uid="{00000000-0006-0000-0B00-00004E000000}">
      <text>
        <r>
          <rPr>
            <sz val="9"/>
            <color indexed="81"/>
            <rFont val="Tahoma"/>
            <family val="2"/>
          </rPr>
          <t>Minimum Bu's per line can be manually placed in these fields when required to over ride the software's calculated minimum line requirement detailed in cells L5 or N5</t>
        </r>
      </text>
    </comment>
    <comment ref="N79" authorId="0" shapeId="0" xr:uid="{00000000-0006-0000-0B00-00004F000000}">
      <text>
        <r>
          <rPr>
            <sz val="9"/>
            <color indexed="81"/>
            <rFont val="Tahoma"/>
            <family val="2"/>
          </rPr>
          <t>Minimum Bu's per line can be manually placed in these fields when required to over ride the software's calculated minimum line requirement detailed in cells L5 or N5</t>
        </r>
      </text>
    </comment>
    <comment ref="Q79" authorId="0" shapeId="0" xr:uid="{00000000-0006-0000-0B00-000050000000}">
      <text>
        <r>
          <rPr>
            <sz val="10"/>
            <color indexed="81"/>
            <rFont val="Tahoma"/>
            <family val="2"/>
          </rPr>
          <t>The "Achieved &lt; Min Req per line" comment only needs to be resolved once all the intended bracing lines to be used have at least one element in them.</t>
        </r>
      </text>
    </comment>
    <comment ref="M82" authorId="0" shapeId="0" xr:uid="{00000000-0006-0000-0B00-000051000000}">
      <text>
        <r>
          <rPr>
            <sz val="10"/>
            <color indexed="81"/>
            <rFont val="Tahoma"/>
            <family val="2"/>
          </rPr>
          <t xml:space="preserve">Alternatively Sourced Bracing Demands can be manually placed in the Project Demand sheet.
</t>
        </r>
      </text>
    </comment>
    <comment ref="O82" authorId="0" shapeId="0" xr:uid="{00000000-0006-0000-0B00-000052000000}">
      <text>
        <r>
          <rPr>
            <sz val="10"/>
            <color indexed="81"/>
            <rFont val="Tahoma"/>
            <family val="2"/>
          </rPr>
          <t xml:space="preserve">Alternatively Sourced Bracing Demands can be manually placed in the Project Demand sheet.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Ernst</author>
    <author>Kevin Van Hest</author>
    <author>manager</author>
  </authors>
  <commentList>
    <comment ref="Q2" authorId="0" shapeId="0" xr:uid="{00000000-0006-0000-0C00-000001000000}">
      <text>
        <r>
          <rPr>
            <sz val="10"/>
            <color indexed="81"/>
            <rFont val="Tahoma"/>
            <family val="2"/>
          </rPr>
          <t xml:space="preserve">Several types of suggestions and warnings appear in this column.
For Example:
If the system EMPH is chosen  (Multiboard on one side and Plywood on the either)  
    If the comment:  " ESPH provides same result in WIND " appears it means that the Wind performance of the ESPH bracing system is the same as EMPH  bracing system that was chosen.
    If the comment:   "ESPH provides the same results"" appears it means that BOTH the Wind AND the Earthquake performance of the ESPH bracing system is the same as EMPH bracing system that was chosen.
</t>
        </r>
      </text>
    </comment>
    <comment ref="AZ2" authorId="0" shapeId="0" xr:uid="{00000000-0006-0000-0C00-000002000000}">
      <text>
        <r>
          <rPr>
            <b/>
            <sz val="9"/>
            <color indexed="81"/>
            <rFont val="Tahoma"/>
            <family val="2"/>
          </rPr>
          <t xml:space="preserve"> :</t>
        </r>
        <r>
          <rPr>
            <sz val="9"/>
            <color indexed="81"/>
            <rFont val="Tahoma"/>
            <family val="2"/>
          </rPr>
          <t xml:space="preserve">
This is an old SwitchBrace switch</t>
        </r>
      </text>
    </comment>
    <comment ref="B3" authorId="0" shapeId="0" xr:uid="{00000000-0006-0000-0C00-000003000000}">
      <text>
        <r>
          <rPr>
            <sz val="10"/>
            <color indexed="81"/>
            <rFont val="Tahoma"/>
            <family val="2"/>
          </rPr>
          <t>These labels can be manually changed.  e.g. "North-South"</t>
        </r>
        <r>
          <rPr>
            <b/>
            <sz val="8"/>
            <color indexed="81"/>
            <rFont val="Tahoma"/>
            <family val="2"/>
          </rPr>
          <t xml:space="preserve">
</t>
        </r>
        <r>
          <rPr>
            <sz val="10"/>
            <color indexed="81"/>
            <rFont val="Tahoma"/>
            <family val="2"/>
          </rPr>
          <t>If changing these default names ..Remember to use a new Template for each new Project.</t>
        </r>
      </text>
    </comment>
    <comment ref="I3" authorId="0" shapeId="0" xr:uid="{00000000-0006-0000-0C00-000004000000}">
      <text>
        <r>
          <rPr>
            <sz val="10"/>
            <color indexed="81"/>
            <rFont val="Tahoma"/>
            <family val="2"/>
          </rPr>
          <t xml:space="preserve">If the Wind or EQ demand is alternatively sourced then return to the Project Demand tab and  select "Other" in the Demand Source drop down box near cell N43.
Place  the source name and alternative demand totals in the relevant cells
</t>
        </r>
      </text>
    </comment>
    <comment ref="M3" authorId="0" shapeId="0" xr:uid="{00000000-0006-0000-0C00-000005000000}">
      <text>
        <r>
          <rPr>
            <sz val="10"/>
            <color indexed="81"/>
            <rFont val="Tahoma"/>
            <family val="2"/>
          </rPr>
          <t xml:space="preserve">This is the Wind Demand for the Across direction at this floor level. 
 Alternatively Sourced Bracing Demands can be manually placed in the Project Demand sheet.
</t>
        </r>
      </text>
    </comment>
    <comment ref="O3" authorId="0" shapeId="0" xr:uid="{00000000-0006-0000-0C00-000006000000}">
      <text>
        <r>
          <rPr>
            <sz val="10"/>
            <color indexed="81"/>
            <rFont val="Tahoma"/>
            <family val="2"/>
          </rPr>
          <t xml:space="preserve">This is the EQ Demand for the Across direction at this floor level.     
Alternatively Sourced Bracing Demands can be manually placed in the Project Demand sheet.
</t>
        </r>
      </text>
    </comment>
    <comment ref="B4" authorId="0" shapeId="0" xr:uid="{00000000-0006-0000-0C00-000007000000}">
      <text>
        <r>
          <rPr>
            <sz val="10"/>
            <color indexed="81"/>
            <rFont val="Tahoma"/>
            <family val="2"/>
          </rPr>
          <t>The Storey Label can be manually changed.  E.g. "Ground Floor"
If changing these default names then...Remember to use a new Template for each new Project.</t>
        </r>
      </text>
    </comment>
    <comment ref="L4" authorId="1" shapeId="0" xr:uid="{00000000-0006-0000-0C00-000008000000}">
      <text>
        <r>
          <rPr>
            <sz val="10"/>
            <color indexed="81"/>
            <rFont val="Tahoma"/>
            <family val="2"/>
          </rPr>
          <t>This is the minimum Bu's required for the</t>
        </r>
        <r>
          <rPr>
            <u/>
            <sz val="10"/>
            <color indexed="81"/>
            <rFont val="Tahoma"/>
            <family val="2"/>
          </rPr>
          <t xml:space="preserve"> Wind</t>
        </r>
        <r>
          <rPr>
            <sz val="10"/>
            <color indexed="81"/>
            <rFont val="Tahoma"/>
            <family val="2"/>
          </rPr>
          <t xml:space="preserve"> Demand on the External Bracing lines on either side of the project.
The individual  External Bracing elements ON each line have been labelled (in column 'D')  either  "Left External" or "Right External" or "Internal"  to distinguish elements that are on either side of the project or are on internal walls.  (Blank indicates no particular designation) 
The term Left External  or Right External  </t>
        </r>
        <r>
          <rPr>
            <u/>
            <sz val="10"/>
            <color indexed="81"/>
            <rFont val="Tahoma"/>
            <family val="2"/>
          </rPr>
          <t xml:space="preserve"> doesn't necessarily</t>
        </r>
        <r>
          <rPr>
            <sz val="10"/>
            <color indexed="81"/>
            <rFont val="Tahoma"/>
            <family val="2"/>
          </rPr>
          <t xml:space="preserve"> literally mean the</t>
        </r>
        <r>
          <rPr>
            <u/>
            <sz val="10"/>
            <color indexed="81"/>
            <rFont val="Tahoma"/>
            <family val="2"/>
          </rPr>
          <t xml:space="preserve"> left</t>
        </r>
        <r>
          <rPr>
            <sz val="10"/>
            <color indexed="81"/>
            <rFont val="Tahoma"/>
            <family val="2"/>
          </rPr>
          <t xml:space="preserve"> side external line or</t>
        </r>
        <r>
          <rPr>
            <u/>
            <sz val="10"/>
            <color indexed="81"/>
            <rFont val="Tahoma"/>
            <family val="2"/>
          </rPr>
          <t xml:space="preserve"> right</t>
        </r>
        <r>
          <rPr>
            <sz val="10"/>
            <color indexed="81"/>
            <rFont val="Tahoma"/>
            <family val="2"/>
          </rPr>
          <t xml:space="preserve"> side external line of the floor plan .  It could mean the top external lines or the bottom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N4" authorId="1" shapeId="0" xr:uid="{00000000-0006-0000-0C00-000009000000}">
      <text>
        <r>
          <rPr>
            <sz val="10"/>
            <color indexed="81"/>
            <rFont val="Tahoma"/>
            <family val="2"/>
          </rPr>
          <t>This is the minimum Bu's required for the</t>
        </r>
        <r>
          <rPr>
            <u/>
            <sz val="10"/>
            <color indexed="81"/>
            <rFont val="Tahoma"/>
            <family val="2"/>
          </rPr>
          <t xml:space="preserve"> Earthquake</t>
        </r>
        <r>
          <rPr>
            <sz val="10"/>
            <color indexed="81"/>
            <rFont val="Tahoma"/>
            <family val="2"/>
          </rPr>
          <t xml:space="preserve"> Demand on the External Bracing lines on either side of the project.
The individual  External Bracing elements ON each line have been labelled (in column 'D')  either  "Left External" or "Right External" or "Internal"  to distinguish elements that are on either side of the project or are on internal walls.  (Blank indicates no particular designation) 
The term Left External  or Right External  </t>
        </r>
        <r>
          <rPr>
            <u/>
            <sz val="10"/>
            <color indexed="81"/>
            <rFont val="Tahoma"/>
            <family val="2"/>
          </rPr>
          <t xml:space="preserve"> doesn't necessarily</t>
        </r>
        <r>
          <rPr>
            <sz val="10"/>
            <color indexed="81"/>
            <rFont val="Tahoma"/>
            <family val="2"/>
          </rPr>
          <t xml:space="preserve"> literally mean the</t>
        </r>
        <r>
          <rPr>
            <u/>
            <sz val="10"/>
            <color indexed="81"/>
            <rFont val="Tahoma"/>
            <family val="2"/>
          </rPr>
          <t xml:space="preserve"> left</t>
        </r>
        <r>
          <rPr>
            <sz val="10"/>
            <color indexed="81"/>
            <rFont val="Tahoma"/>
            <family val="2"/>
          </rPr>
          <t xml:space="preserve"> side external line or</t>
        </r>
        <r>
          <rPr>
            <u/>
            <sz val="10"/>
            <color indexed="81"/>
            <rFont val="Tahoma"/>
            <family val="2"/>
          </rPr>
          <t xml:space="preserve"> right</t>
        </r>
        <r>
          <rPr>
            <sz val="10"/>
            <color indexed="81"/>
            <rFont val="Tahoma"/>
            <family val="2"/>
          </rPr>
          <t xml:space="preserve"> side external line of the floor plan .  It could mean the top external lines or the bottom external lines. (It depends on the plans orientation as you view it.)    
N.B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Bracing elements contributing to the External Line requirements can be on walls that lie near (2m or less) and usually parallel to the outside external line.</t>
        </r>
      </text>
    </comment>
    <comment ref="B5" authorId="2" shapeId="0" xr:uid="{00000000-0006-0000-0C00-00000A000000}">
      <text>
        <r>
          <rPr>
            <sz val="10"/>
            <color indexed="81"/>
            <rFont val="Arial"/>
            <family val="2"/>
          </rPr>
          <t xml:space="preserve">Optionally show distinct Element numbers for the ER1 and ER2 Regular plasterboard fixing codes.  
Not showing them would improve pre-line and post-line procedures.
Show them if it is felt that clarity is required in their position on the bracing plan. </t>
        </r>
        <r>
          <rPr>
            <sz val="9"/>
            <color indexed="81"/>
            <rFont val="Tahoma"/>
            <family val="2"/>
          </rPr>
          <t xml:space="preserve">
</t>
        </r>
      </text>
    </comment>
    <comment ref="L5" authorId="0" shapeId="0" xr:uid="{00000000-0006-0000-0C00-00000B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N5" authorId="0" shapeId="0" xr:uid="{00000000-0006-0000-0C00-00000C000000}">
      <text>
        <r>
          <rPr>
            <sz val="10"/>
            <color indexed="81"/>
            <rFont val="Tahoma"/>
            <family val="2"/>
          </rPr>
          <t xml:space="preserve">This is the minimum required on </t>
        </r>
        <r>
          <rPr>
            <u/>
            <sz val="10"/>
            <color indexed="81"/>
            <rFont val="Tahoma"/>
            <family val="2"/>
          </rPr>
          <t>any</t>
        </r>
        <r>
          <rPr>
            <sz val="10"/>
            <color indexed="81"/>
            <rFont val="Tahoma"/>
            <family val="2"/>
          </rPr>
          <t xml:space="preserve"> Bracing line. (Internal or External) 
Only after </t>
        </r>
        <r>
          <rPr>
            <u/>
            <sz val="10"/>
            <color indexed="81"/>
            <rFont val="Tahoma"/>
            <family val="2"/>
          </rPr>
          <t>all</t>
        </r>
        <r>
          <rPr>
            <sz val="10"/>
            <color indexed="81"/>
            <rFont val="Tahoma"/>
            <family val="2"/>
          </rPr>
          <t xml:space="preserve"> the </t>
        </r>
        <r>
          <rPr>
            <i/>
            <sz val="10"/>
            <color indexed="81"/>
            <rFont val="Tahoma"/>
            <family val="2"/>
          </rPr>
          <t>intended</t>
        </r>
        <r>
          <rPr>
            <sz val="10"/>
            <color indexed="81"/>
            <rFont val="Tahoma"/>
            <family val="2"/>
          </rPr>
          <t xml:space="preserve"> bracing lines have been selected does the User need to check if each Bracing line Achieves these minimums.</t>
        </r>
      </text>
    </comment>
    <comment ref="B6" authorId="0" shapeId="0" xr:uid="{00000000-0006-0000-0C00-00000D000000}">
      <text>
        <r>
          <rPr>
            <sz val="10"/>
            <color indexed="81"/>
            <rFont val="Tahoma"/>
            <family val="2"/>
          </rPr>
          <t>These line labels can be manually altered;
If a bracing line has more than 5 elements then repeat the Bracing line label into the next box down. For example , overwrite the "N" in cell B14 with an "M".  This will now allow line "M" to have 10 elements etc.
Remember to use a new Template for each new Project.</t>
        </r>
      </text>
    </comment>
    <comment ref="C6" authorId="0" shapeId="0" xr:uid="{00000000-0006-0000-0C00-00000E000000}">
      <text>
        <r>
          <rPr>
            <sz val="10"/>
            <color indexed="81"/>
            <rFont val="Tahoma"/>
            <family val="2"/>
          </rPr>
          <t>For Regular Plasterboard fixing systems, "ER1" and "ER2" , Element numbers can be optionally indicated.
The Element numbers can be manually altered
Including continuing the number over the next line label for Bracing lines with more than 5 Elements.
Remember to keep an original template</t>
        </r>
      </text>
    </comment>
    <comment ref="D6" authorId="0" shapeId="0" xr:uid="{00000000-0006-0000-0C00-00000F000000}">
      <text>
        <r>
          <rPr>
            <b/>
            <sz val="10"/>
            <color indexed="81"/>
            <rFont val="Tahoma"/>
            <family val="2"/>
          </rPr>
          <t>1.</t>
        </r>
        <r>
          <rPr>
            <sz val="10"/>
            <color indexed="81"/>
            <rFont val="Tahoma"/>
            <family val="2"/>
          </rPr>
          <t xml:space="preserve">   The Terms " Top External",   "Bottom External"  OR  "Left External, Right External"  (in the drop down  boxes  in column 'D')  refer to bracing elements on external walls that are either on one side of the project or on the other side of the project.  This</t>
        </r>
        <r>
          <rPr>
            <u/>
            <sz val="10"/>
            <color indexed="81"/>
            <rFont val="Tahoma"/>
            <family val="2"/>
          </rPr>
          <t xml:space="preserve"> doesn't necessarily</t>
        </r>
        <r>
          <rPr>
            <sz val="10"/>
            <color indexed="81"/>
            <rFont val="Tahoma"/>
            <family val="2"/>
          </rPr>
          <t xml:space="preserve"> literally mean the Top, Bottom , Left or Right  external lines  of the floor plan .  
 (It depends on the plans orientation as you view it.)   
</t>
        </r>
        <r>
          <rPr>
            <b/>
            <sz val="10"/>
            <color indexed="81"/>
            <rFont val="Tahoma"/>
            <family val="2"/>
          </rPr>
          <t xml:space="preserve">2.  </t>
        </r>
        <r>
          <rPr>
            <sz val="10"/>
            <color indexed="81"/>
            <rFont val="Tahoma"/>
            <family val="2"/>
          </rPr>
          <t xml:space="preserve"> Bracing elements needed to achieve the minimum required on an "External Line" do not necessarily have to  lie </t>
        </r>
        <r>
          <rPr>
            <u/>
            <sz val="10"/>
            <color indexed="81"/>
            <rFont val="Tahoma"/>
            <family val="2"/>
          </rPr>
          <t>exactly</t>
        </r>
        <r>
          <rPr>
            <sz val="10"/>
            <color indexed="81"/>
            <rFont val="Tahoma"/>
            <family val="2"/>
          </rPr>
          <t xml:space="preserve"> on an outside ("external" ) wall. They can be on walls that lie near </t>
        </r>
        <r>
          <rPr>
            <u/>
            <sz val="10"/>
            <color indexed="81"/>
            <rFont val="Tahoma"/>
            <family val="2"/>
          </rPr>
          <t>(2m or less</t>
        </r>
        <r>
          <rPr>
            <sz val="10"/>
            <color indexed="81"/>
            <rFont val="Tahoma"/>
            <family val="2"/>
          </rPr>
          <t xml:space="preserve">) and usually parallel to the outside external line.
</t>
        </r>
        <r>
          <rPr>
            <b/>
            <sz val="10"/>
            <color indexed="81"/>
            <rFont val="Tahoma"/>
            <family val="2"/>
          </rPr>
          <t xml:space="preserve">3.   </t>
        </r>
        <r>
          <rPr>
            <sz val="10"/>
            <color indexed="81"/>
            <rFont val="Tahoma"/>
            <family val="2"/>
          </rPr>
          <t>The Elements that are on External Bracing Lines  are summed and compared to the External Bracing Line Required as shown in cells K4 and M4.
A more detailed table below shows the Wind and Earthquake Achieved on external lines on either side of the project.
Note  :  "Internal" indicates an element is on an Internal wall/line of the project.   Blank cell indicates no particular designation.
Altering the drop down box will alter the defaults so...Remember to use a new Template for each new Project</t>
        </r>
      </text>
    </comment>
    <comment ref="E6" authorId="0" shapeId="0" xr:uid="{00000000-0006-0000-0C00-000010000000}">
      <text>
        <r>
          <rPr>
            <b/>
            <sz val="10"/>
            <color indexed="81"/>
            <rFont val="Tahoma"/>
            <family val="2"/>
          </rPr>
          <t>F</t>
        </r>
        <r>
          <rPr>
            <sz val="10"/>
            <color indexed="81"/>
            <rFont val="Tahoma"/>
            <family val="2"/>
          </rPr>
          <t xml:space="preserve">or Internal Walls,  select "Double Sided"  if both sides can be plasterboard and not be affected by "Wet Area" or other restrictions 
For External Walls select "Double Sided"  if the intention is to use Plywood on the exterior side
Otherwise select "Single Sided"
No selection assumes Single sided or Double sided systems can be used
</t>
        </r>
      </text>
    </comment>
    <comment ref="F6" authorId="0" shapeId="0" xr:uid="{00000000-0006-0000-0C00-000011000000}">
      <text>
        <r>
          <rPr>
            <sz val="10"/>
            <color indexed="81"/>
            <rFont val="Tahoma"/>
            <family val="2"/>
          </rPr>
          <t xml:space="preserve">It is recommended to use full wall length if available (excluding wall areas with large openings like windows or doors)    Use all available Internal and External walls segments in order to optimise the low cost ER1 and ER2 options.    </t>
        </r>
      </text>
    </comment>
    <comment ref="G6" authorId="3" shapeId="0" xr:uid="{00000000-0006-0000-0C00-000012000000}">
      <text>
        <r>
          <rPr>
            <sz val="10"/>
            <color indexed="81"/>
            <rFont val="Tahoma"/>
            <family val="2"/>
          </rPr>
          <t>For elements whose angles are  &gt;=45 degrees, consider placing same element on the perpendicular bracing lines at an angle (90 degrees - the angle entered)  below.</t>
        </r>
      </text>
    </comment>
    <comment ref="H6" authorId="0" shapeId="0" xr:uid="{00000000-0006-0000-0C00-000013000000}">
      <text>
        <r>
          <rPr>
            <sz val="10"/>
            <color indexed="81"/>
            <rFont val="Tahoma"/>
            <family val="2"/>
          </rPr>
          <t xml:space="preserve">The Element Height is taken from the Internal Stud Height that was entered in the Project Demand Sheet. (Usually the most common internal stud height or the average internal stud height)    This can be manually overwritten.  
If it has been overwritten, the original formula in the cell has been replaced by the number entered and the cell will no longer obtain its value from the internal stud height value that was entered in the Project Demand sheet.  The cell colour will change to orange as a reminder.
To restore the original cell formula either  Copy then Paste </t>
        </r>
        <r>
          <rPr>
            <u/>
            <sz val="10"/>
            <color indexed="81"/>
            <rFont val="Tahoma"/>
            <family val="2"/>
          </rPr>
          <t>(DO NOT</t>
        </r>
        <r>
          <rPr>
            <sz val="10"/>
            <color indexed="81"/>
            <rFont val="Tahoma"/>
            <family val="2"/>
          </rPr>
          <t xml:space="preserve"> Drag and Drop) the formula from an  unchanged cell in column "G" into the overwritten cell;
</t>
        </r>
        <r>
          <rPr>
            <b/>
            <sz val="10"/>
            <color indexed="81"/>
            <rFont val="Tahoma"/>
            <family val="2"/>
          </rPr>
          <t>OR</t>
        </r>
        <r>
          <rPr>
            <sz val="10"/>
            <color indexed="81"/>
            <rFont val="Tahoma"/>
            <family val="2"/>
          </rPr>
          <t xml:space="preserve">
Remember to use a new Template for each new Project.</t>
        </r>
      </text>
    </comment>
    <comment ref="I6" authorId="0" shapeId="0" xr:uid="{00000000-0006-0000-0C00-000014000000}">
      <text>
        <r>
          <rPr>
            <sz val="11"/>
            <color indexed="81"/>
            <rFont val="Tahoma"/>
            <family val="2"/>
          </rPr>
          <t xml:space="preserve">Allow software to suggest the ER1 and ER2 systems 
OR allow the user to select the initial systems.
If allowing the software to suggest, then in the "Available Wall Lengths", is recommended to identify  ALL the wall lengths available in the project. And indicate in column "E" which must be Single sided and which can be double sided .
</t>
        </r>
      </text>
    </comment>
    <comment ref="K6" authorId="3" shapeId="0" xr:uid="{00000000-0006-0000-0C00-000015000000}">
      <text>
        <r>
          <rPr>
            <sz val="10"/>
            <color indexed="81"/>
            <rFont val="Tahoma"/>
            <family val="2"/>
          </rPr>
          <t>The Element Resistance Limitation is set from the options selected in the Project Demand tab at Cell E49.
These defaults can be overridden below.
This is useful when the floor may have part timber or part slab sections.
If the bracing element is situated in a section that is timber floor then Limit the Element Resistance to 120 Bu's.
If the bracing element is situated in a section that is slab floor then Limit the Element Resistance to 150 Bu's.
For Elements that are NOT Foundation Dependent then select "SD".  However specific engineering must ensure that uplift forces generated by elements higher than the default settings can be resisted by the floor framing or slab.
Remember to use a new Template for each new project.</t>
        </r>
      </text>
    </comment>
    <comment ref="I7" authorId="0" shapeId="0" xr:uid="{00000000-0006-0000-0C00-000016000000}">
      <text>
        <r>
          <rPr>
            <sz val="11"/>
            <color indexed="81"/>
            <rFont val="Tahoma"/>
            <family val="2"/>
          </rPr>
          <t xml:space="preserve">Bring the curser to each required cell below, click to activate the drop down box.
Alternatively you can type the System Number directly in the cells below.
</t>
        </r>
      </text>
    </comment>
    <comment ref="BM8" authorId="0" shapeId="0" xr:uid="{00000000-0006-0000-0C00-000017000000}">
      <text>
        <r>
          <rPr>
            <b/>
            <sz val="8"/>
            <color indexed="81"/>
            <rFont val="Tahoma"/>
            <family val="2"/>
          </rPr>
          <t xml:space="preserve"> :</t>
        </r>
        <r>
          <rPr>
            <sz val="8"/>
            <color indexed="81"/>
            <rFont val="Tahoma"/>
            <family val="2"/>
          </rPr>
          <t xml:space="preserve">
This cant have a 0 in it or be cleared </t>
        </r>
      </text>
    </comment>
    <comment ref="BM9" authorId="0" shapeId="0" xr:uid="{00000000-0006-0000-0C00-000018000000}">
      <text>
        <r>
          <rPr>
            <b/>
            <sz val="8"/>
            <color indexed="81"/>
            <rFont val="Tahoma"/>
            <family val="2"/>
          </rPr>
          <t xml:space="preserve"> :</t>
        </r>
        <r>
          <rPr>
            <sz val="8"/>
            <color indexed="81"/>
            <rFont val="Tahoma"/>
            <family val="2"/>
          </rPr>
          <t xml:space="preserve">
An important Offset point</t>
        </r>
      </text>
    </comment>
    <comment ref="BN9" authorId="0" shapeId="0" xr:uid="{00000000-0006-0000-0C00-000019000000}">
      <text>
        <r>
          <rPr>
            <b/>
            <sz val="8"/>
            <color indexed="81"/>
            <rFont val="Tahoma"/>
            <family val="2"/>
          </rPr>
          <t xml:space="preserve"> :</t>
        </r>
        <r>
          <rPr>
            <sz val="8"/>
            <color indexed="81"/>
            <rFont val="Tahoma"/>
            <family val="2"/>
          </rPr>
          <t xml:space="preserve">
An important Offset point</t>
        </r>
      </text>
    </comment>
    <comment ref="BO9" authorId="0" shapeId="0" xr:uid="{00000000-0006-0000-0C00-00001A000000}">
      <text>
        <r>
          <rPr>
            <b/>
            <sz val="8"/>
            <color indexed="81"/>
            <rFont val="Tahoma"/>
            <family val="2"/>
          </rPr>
          <t xml:space="preserve"> :</t>
        </r>
        <r>
          <rPr>
            <sz val="8"/>
            <color indexed="81"/>
            <rFont val="Tahoma"/>
            <family val="2"/>
          </rPr>
          <t xml:space="preserve">
An important Offset point</t>
        </r>
      </text>
    </comment>
    <comment ref="BP9" authorId="0" shapeId="0" xr:uid="{00000000-0006-0000-0C00-00001B000000}">
      <text>
        <r>
          <rPr>
            <b/>
            <sz val="8"/>
            <color indexed="81"/>
            <rFont val="Tahoma"/>
            <family val="2"/>
          </rPr>
          <t xml:space="preserve"> :</t>
        </r>
        <r>
          <rPr>
            <sz val="8"/>
            <color indexed="81"/>
            <rFont val="Tahoma"/>
            <family val="2"/>
          </rPr>
          <t xml:space="preserve">
An important Offset point</t>
        </r>
      </text>
    </comment>
    <comment ref="CH9" authorId="0" shapeId="0" xr:uid="{00000000-0006-0000-0C00-00001C000000}">
      <text>
        <r>
          <rPr>
            <b/>
            <sz val="8"/>
            <color indexed="81"/>
            <rFont val="Tahoma"/>
            <family val="2"/>
          </rPr>
          <t xml:space="preserve"> :</t>
        </r>
        <r>
          <rPr>
            <sz val="8"/>
            <color indexed="81"/>
            <rFont val="Tahoma"/>
            <family val="2"/>
          </rPr>
          <t xml:space="preserve">
Wow this is VERY important</t>
        </r>
      </text>
    </comment>
    <comment ref="CI9" authorId="0" shapeId="0" xr:uid="{00000000-0006-0000-0C00-00001D000000}">
      <text>
        <r>
          <rPr>
            <b/>
            <sz val="8"/>
            <color indexed="81"/>
            <rFont val="Tahoma"/>
            <family val="2"/>
          </rPr>
          <t xml:space="preserve"> :</t>
        </r>
        <r>
          <rPr>
            <sz val="8"/>
            <color indexed="81"/>
            <rFont val="Tahoma"/>
            <family val="2"/>
          </rPr>
          <t xml:space="preserve">
Wow this is VERY important</t>
        </r>
      </text>
    </comment>
    <comment ref="BV11" authorId="0" shapeId="0" xr:uid="{00000000-0006-0000-0C00-00001E000000}">
      <text>
        <r>
          <rPr>
            <b/>
            <sz val="9"/>
            <color indexed="81"/>
            <rFont val="Tahoma"/>
            <family val="2"/>
          </rPr>
          <t xml:space="preserve"> :</t>
        </r>
        <r>
          <rPr>
            <sz val="9"/>
            <color indexed="81"/>
            <rFont val="Tahoma"/>
            <family val="2"/>
          </rPr>
          <t xml:space="preserve">
This can only be a space
</t>
        </r>
      </text>
    </comment>
    <comment ref="E13" authorId="0" shapeId="0" xr:uid="{00000000-0006-0000-0C00-00001F000000}">
      <text>
        <r>
          <rPr>
            <b/>
            <sz val="8"/>
            <color indexed="81"/>
            <rFont val="Tahoma"/>
            <family val="2"/>
          </rPr>
          <t>Comments can be entered in these field</t>
        </r>
      </text>
    </comment>
    <comment ref="L13" authorId="0" shapeId="0" xr:uid="{00000000-0006-0000-0C00-000020000000}">
      <text>
        <r>
          <rPr>
            <sz val="9"/>
            <color indexed="81"/>
            <rFont val="Tahoma"/>
            <family val="2"/>
          </rPr>
          <t>Minimum Bu's per line can be manually placed in these fields when required to over ride the software's calculated minimum line requirement detailed in cells L5 or N5</t>
        </r>
      </text>
    </comment>
    <comment ref="N13" authorId="0" shapeId="0" xr:uid="{00000000-0006-0000-0C00-000021000000}">
      <text>
        <r>
          <rPr>
            <sz val="9"/>
            <color indexed="81"/>
            <rFont val="Tahoma"/>
            <family val="2"/>
          </rPr>
          <t>Minimum Bu's per line can be manually placed in these fields when required to over ride the software's calculated minimum line requirement detailed in cells L5 or N5</t>
        </r>
      </text>
    </comment>
    <comment ref="Q13" authorId="0" shapeId="0" xr:uid="{00000000-0006-0000-0C00-000022000000}">
      <text>
        <r>
          <rPr>
            <sz val="10"/>
            <color indexed="81"/>
            <rFont val="Tahoma"/>
            <family val="2"/>
          </rPr>
          <t>The "Achieved &lt; Min Req per line" comment only needs to be resolved once all the intended bracing lines to be used have at least one element in them.</t>
        </r>
      </text>
    </comment>
    <comment ref="E19" authorId="0" shapeId="0" xr:uid="{00000000-0006-0000-0C00-000023000000}">
      <text>
        <r>
          <rPr>
            <b/>
            <sz val="8"/>
            <color indexed="81"/>
            <rFont val="Tahoma"/>
            <family val="2"/>
          </rPr>
          <t>Comments can be entered in these field</t>
        </r>
      </text>
    </comment>
    <comment ref="L19" authorId="0" shapeId="0" xr:uid="{00000000-0006-0000-0C00-000024000000}">
      <text>
        <r>
          <rPr>
            <sz val="9"/>
            <color indexed="81"/>
            <rFont val="Tahoma"/>
            <family val="2"/>
          </rPr>
          <t>Minimum Bu's per line can be manually placed in these fields when required to over ride the software's calculated minimum line requirement detailed in cells L5 or N5</t>
        </r>
      </text>
    </comment>
    <comment ref="N19" authorId="0" shapeId="0" xr:uid="{00000000-0006-0000-0C00-000025000000}">
      <text>
        <r>
          <rPr>
            <sz val="9"/>
            <color indexed="81"/>
            <rFont val="Tahoma"/>
            <family val="2"/>
          </rPr>
          <t>Minimum Bu's per line can be manually placed in these fields when required to over ride the software's calculated minimum line requirement detailed in cells L5 or N5</t>
        </r>
      </text>
    </comment>
    <comment ref="Q19" authorId="0" shapeId="0" xr:uid="{00000000-0006-0000-0C00-000026000000}">
      <text>
        <r>
          <rPr>
            <sz val="10"/>
            <color indexed="81"/>
            <rFont val="Tahoma"/>
            <family val="2"/>
          </rPr>
          <t>The "Achieved &lt; Min Req per line" comment only needs to be resolved once all the intended bracing lines to be used have at least one element in them.</t>
        </r>
      </text>
    </comment>
    <comment ref="E25" authorId="0" shapeId="0" xr:uid="{00000000-0006-0000-0C00-000027000000}">
      <text>
        <r>
          <rPr>
            <b/>
            <sz val="8"/>
            <color indexed="81"/>
            <rFont val="Tahoma"/>
            <family val="2"/>
          </rPr>
          <t>Comments can be entered in these field</t>
        </r>
      </text>
    </comment>
    <comment ref="L25" authorId="0" shapeId="0" xr:uid="{00000000-0006-0000-0C00-000028000000}">
      <text>
        <r>
          <rPr>
            <sz val="9"/>
            <color indexed="81"/>
            <rFont val="Tahoma"/>
            <family val="2"/>
          </rPr>
          <t>Minimum Bu's per line can be manually placed in these fields when required to over ride the software's calculated minimum line requirement detailed in cells L5 or N5</t>
        </r>
      </text>
    </comment>
    <comment ref="N25" authorId="0" shapeId="0" xr:uid="{00000000-0006-0000-0C00-000029000000}">
      <text>
        <r>
          <rPr>
            <sz val="9"/>
            <color indexed="81"/>
            <rFont val="Tahoma"/>
            <family val="2"/>
          </rPr>
          <t>Minimum Bu's per line can be manually placed in these fields when required to over ride the software's calculated minimum line requirement detailed in cells L5 or N5</t>
        </r>
      </text>
    </comment>
    <comment ref="Q25" authorId="0" shapeId="0" xr:uid="{00000000-0006-0000-0C00-00002A000000}">
      <text>
        <r>
          <rPr>
            <sz val="10"/>
            <color indexed="81"/>
            <rFont val="Tahoma"/>
            <family val="2"/>
          </rPr>
          <t>The "Achieved &lt; Min Req per line" comment only needs to be resolved once all the intended bracing lines to be used have at least one element in them.</t>
        </r>
      </text>
    </comment>
    <comment ref="E31" authorId="0" shapeId="0" xr:uid="{00000000-0006-0000-0C00-00002B000000}">
      <text>
        <r>
          <rPr>
            <b/>
            <sz val="8"/>
            <color indexed="81"/>
            <rFont val="Tahoma"/>
            <family val="2"/>
          </rPr>
          <t>Comments can be entered in these field</t>
        </r>
      </text>
    </comment>
    <comment ref="L31" authorId="0" shapeId="0" xr:uid="{00000000-0006-0000-0C00-00002C000000}">
      <text>
        <r>
          <rPr>
            <sz val="9"/>
            <color indexed="81"/>
            <rFont val="Tahoma"/>
            <family val="2"/>
          </rPr>
          <t>Minimum Bu's per line can be manually placed in these fields when required to over ride the software's calculated minimum line requirement detailed in cells L5 or N5</t>
        </r>
      </text>
    </comment>
    <comment ref="N31" authorId="0" shapeId="0" xr:uid="{00000000-0006-0000-0C00-00002D000000}">
      <text>
        <r>
          <rPr>
            <sz val="9"/>
            <color indexed="81"/>
            <rFont val="Tahoma"/>
            <family val="2"/>
          </rPr>
          <t>Minimum Bu's per line can be manually placed in these fields when required to over ride the software's calculated minimum line requirement detailed in cells L5 or N5</t>
        </r>
      </text>
    </comment>
    <comment ref="Q31" authorId="0" shapeId="0" xr:uid="{00000000-0006-0000-0C00-00002E000000}">
      <text>
        <r>
          <rPr>
            <sz val="10"/>
            <color indexed="81"/>
            <rFont val="Tahoma"/>
            <family val="2"/>
          </rPr>
          <t>The "Achieved &lt; Min Req per line" comment only needs to be resolved once all the intended bracing lines to be used have at least one element in them.</t>
        </r>
      </text>
    </comment>
    <comment ref="E37" authorId="0" shapeId="0" xr:uid="{00000000-0006-0000-0C00-00002F000000}">
      <text>
        <r>
          <rPr>
            <b/>
            <sz val="8"/>
            <color indexed="81"/>
            <rFont val="Tahoma"/>
            <family val="2"/>
          </rPr>
          <t>Comments can be entered in these field</t>
        </r>
      </text>
    </comment>
    <comment ref="L37" authorId="0" shapeId="0" xr:uid="{00000000-0006-0000-0C00-000030000000}">
      <text>
        <r>
          <rPr>
            <sz val="9"/>
            <color indexed="81"/>
            <rFont val="Tahoma"/>
            <family val="2"/>
          </rPr>
          <t>Minimum Bu's per line can be manually placed in these fields when required to over ride the software's calculated minimum line requirement detailed in cells L5 or N5</t>
        </r>
      </text>
    </comment>
    <comment ref="N37" authorId="0" shapeId="0" xr:uid="{00000000-0006-0000-0C00-000031000000}">
      <text>
        <r>
          <rPr>
            <sz val="9"/>
            <color indexed="81"/>
            <rFont val="Tahoma"/>
            <family val="2"/>
          </rPr>
          <t>Minimum Bu's per line can be manually placed in these fields when required to over ride the software's calculated minimum line requirement detailed in cells L5 or N5</t>
        </r>
      </text>
    </comment>
    <comment ref="Q37" authorId="0" shapeId="0" xr:uid="{00000000-0006-0000-0C00-000032000000}">
      <text>
        <r>
          <rPr>
            <sz val="10"/>
            <color indexed="81"/>
            <rFont val="Tahoma"/>
            <family val="2"/>
          </rPr>
          <t>The "Achieved &lt; Min Req per line" comment only needs to be resolved once all the intended bracing lines to be used have at least one element in them.</t>
        </r>
      </text>
    </comment>
    <comment ref="E43" authorId="0" shapeId="0" xr:uid="{00000000-0006-0000-0C00-000033000000}">
      <text>
        <r>
          <rPr>
            <b/>
            <sz val="8"/>
            <color indexed="81"/>
            <rFont val="Tahoma"/>
            <family val="2"/>
          </rPr>
          <t>Comments can be entered in these field</t>
        </r>
      </text>
    </comment>
    <comment ref="L43" authorId="0" shapeId="0" xr:uid="{00000000-0006-0000-0C00-000034000000}">
      <text>
        <r>
          <rPr>
            <sz val="9"/>
            <color indexed="81"/>
            <rFont val="Tahoma"/>
            <family val="2"/>
          </rPr>
          <t>Minimum Bu's per line can be manually placed in these fields when required to over ride the software's calculated minimum line requirement detailed in cells L5 or N5</t>
        </r>
      </text>
    </comment>
    <comment ref="N43" authorId="0" shapeId="0" xr:uid="{00000000-0006-0000-0C00-000035000000}">
      <text>
        <r>
          <rPr>
            <sz val="9"/>
            <color indexed="81"/>
            <rFont val="Tahoma"/>
            <family val="2"/>
          </rPr>
          <t>Minimum Bu's per line can be manually placed in these fields when required to over ride the software's calculated minimum line requirement detailed in cells L5 or N5</t>
        </r>
      </text>
    </comment>
    <comment ref="Q43" authorId="0" shapeId="0" xr:uid="{00000000-0006-0000-0C00-000036000000}">
      <text>
        <r>
          <rPr>
            <sz val="10"/>
            <color indexed="81"/>
            <rFont val="Tahoma"/>
            <family val="2"/>
          </rPr>
          <t>The "Achieved &lt; Min Req per line" comment only needs to be resolved once all the intended bracing lines to be used have at least one element in them.</t>
        </r>
      </text>
    </comment>
    <comment ref="AK45" authorId="0" shapeId="0" xr:uid="{00000000-0006-0000-0C00-000037000000}">
      <text>
        <r>
          <rPr>
            <sz val="12"/>
            <color indexed="81"/>
            <rFont val="Tahoma"/>
            <family val="2"/>
          </rPr>
          <t xml:space="preserve">To enter "Custom Elements" go to the "Customs Elements tab below  </t>
        </r>
        <r>
          <rPr>
            <sz val="12"/>
            <color indexed="10"/>
            <rFont val="Tahoma"/>
            <family val="2"/>
          </rPr>
          <t>(to the right of the "Project Demand" tab)</t>
        </r>
        <r>
          <rPr>
            <sz val="12"/>
            <color indexed="81"/>
            <rFont val="Tahoma"/>
            <family val="2"/>
          </rPr>
          <t>.   
 Enter Custom Elements there and these will show up in ALL the solution sheets</t>
        </r>
      </text>
    </comment>
    <comment ref="E49" authorId="0" shapeId="0" xr:uid="{00000000-0006-0000-0C00-000038000000}">
      <text>
        <r>
          <rPr>
            <b/>
            <sz val="8"/>
            <color indexed="81"/>
            <rFont val="Tahoma"/>
            <family val="2"/>
          </rPr>
          <t>Comments can be entered in these field</t>
        </r>
      </text>
    </comment>
    <comment ref="L49" authorId="0" shapeId="0" xr:uid="{00000000-0006-0000-0C00-000039000000}">
      <text>
        <r>
          <rPr>
            <sz val="9"/>
            <color indexed="81"/>
            <rFont val="Tahoma"/>
            <family val="2"/>
          </rPr>
          <t>Minimum Bu's per line can be manually placed in these fields when required to over ride the software's calculated minimum line requirement detailed in cells L5 or N5</t>
        </r>
      </text>
    </comment>
    <comment ref="N49" authorId="0" shapeId="0" xr:uid="{00000000-0006-0000-0C00-00003A000000}">
      <text>
        <r>
          <rPr>
            <sz val="9"/>
            <color indexed="81"/>
            <rFont val="Tahoma"/>
            <family val="2"/>
          </rPr>
          <t>Minimum Bu's per line can be manually placed in these fields when required to over ride the software's calculated minimum line requirement detailed in cells L5 or N5</t>
        </r>
      </text>
    </comment>
    <comment ref="Q49" authorId="0" shapeId="0" xr:uid="{00000000-0006-0000-0C00-00003B000000}">
      <text>
        <r>
          <rPr>
            <sz val="10"/>
            <color indexed="81"/>
            <rFont val="Tahoma"/>
            <family val="2"/>
          </rPr>
          <t>The "Achieved &lt; Min Req per line" comment only needs to be resolved once all the intended bracing lines to be used have at least one element in them.</t>
        </r>
      </text>
    </comment>
    <comment ref="E55" authorId="0" shapeId="0" xr:uid="{00000000-0006-0000-0C00-00003C000000}">
      <text>
        <r>
          <rPr>
            <b/>
            <sz val="8"/>
            <color indexed="81"/>
            <rFont val="Tahoma"/>
            <family val="2"/>
          </rPr>
          <t>Comments can be entered in these field</t>
        </r>
      </text>
    </comment>
    <comment ref="L55" authorId="0" shapeId="0" xr:uid="{00000000-0006-0000-0C00-00003D000000}">
      <text>
        <r>
          <rPr>
            <sz val="9"/>
            <color indexed="81"/>
            <rFont val="Tahoma"/>
            <family val="2"/>
          </rPr>
          <t>Minimum Bu's per line can be manually placed in these fields when required to over ride the software's calculated minimum line requirement detailed in cells L5 or N5</t>
        </r>
      </text>
    </comment>
    <comment ref="N55" authorId="0" shapeId="0" xr:uid="{00000000-0006-0000-0C00-00003E000000}">
      <text>
        <r>
          <rPr>
            <sz val="9"/>
            <color indexed="81"/>
            <rFont val="Tahoma"/>
            <family val="2"/>
          </rPr>
          <t>Minimum Bu's per line can be manually placed in these fields when required to over ride the software's calculated minimum line requirement detailed in cells L5 or N5</t>
        </r>
      </text>
    </comment>
    <comment ref="Q55" authorId="0" shapeId="0" xr:uid="{00000000-0006-0000-0C00-00003F000000}">
      <text>
        <r>
          <rPr>
            <sz val="10"/>
            <color indexed="81"/>
            <rFont val="Tahoma"/>
            <family val="2"/>
          </rPr>
          <t>The "Achieved &lt; Min Req per line" comment only needs to be resolved once all the intended bracing lines to be used have at least one element in them.</t>
        </r>
      </text>
    </comment>
    <comment ref="E61" authorId="0" shapeId="0" xr:uid="{00000000-0006-0000-0C00-000040000000}">
      <text>
        <r>
          <rPr>
            <b/>
            <sz val="8"/>
            <color indexed="81"/>
            <rFont val="Tahoma"/>
            <family val="2"/>
          </rPr>
          <t>Comments can be entered in these field</t>
        </r>
      </text>
    </comment>
    <comment ref="L61" authorId="0" shapeId="0" xr:uid="{00000000-0006-0000-0C00-000041000000}">
      <text>
        <r>
          <rPr>
            <sz val="9"/>
            <color indexed="81"/>
            <rFont val="Tahoma"/>
            <family val="2"/>
          </rPr>
          <t>Minimum Bu's per line can be manually placed in these fields when required to over ride the software's calculated minimum line requirement detailed in cells L5 or N5</t>
        </r>
      </text>
    </comment>
    <comment ref="N61" authorId="0" shapeId="0" xr:uid="{00000000-0006-0000-0C00-000042000000}">
      <text>
        <r>
          <rPr>
            <sz val="9"/>
            <color indexed="81"/>
            <rFont val="Tahoma"/>
            <family val="2"/>
          </rPr>
          <t>Minimum Bu's per line can be manually placed in these fields when required to over ride the software's calculated minimum line requirement detailed in cells L5 or N5</t>
        </r>
      </text>
    </comment>
    <comment ref="Q61" authorId="0" shapeId="0" xr:uid="{00000000-0006-0000-0C00-000043000000}">
      <text>
        <r>
          <rPr>
            <sz val="10"/>
            <color indexed="81"/>
            <rFont val="Tahoma"/>
            <family val="2"/>
          </rPr>
          <t>The "Achieved &lt; Min Req per line" comment only needs to be resolved once all the intended bracing lines to be used have at least one element in them.</t>
        </r>
      </text>
    </comment>
    <comment ref="BV61" authorId="0" shapeId="0" xr:uid="{00000000-0006-0000-0C00-000044000000}">
      <text>
        <r>
          <rPr>
            <b/>
            <sz val="9"/>
            <color indexed="81"/>
            <rFont val="Tahoma"/>
            <family val="2"/>
          </rPr>
          <t>This is important</t>
        </r>
      </text>
    </comment>
    <comment ref="BW61" authorId="0" shapeId="0" xr:uid="{00000000-0006-0000-0C00-000045000000}">
      <text>
        <r>
          <rPr>
            <b/>
            <sz val="9"/>
            <color indexed="81"/>
            <rFont val="Tahoma"/>
            <family val="2"/>
          </rPr>
          <t>This is important</t>
        </r>
      </text>
    </comment>
    <comment ref="E67" authorId="0" shapeId="0" xr:uid="{00000000-0006-0000-0C00-000046000000}">
      <text>
        <r>
          <rPr>
            <b/>
            <sz val="8"/>
            <color indexed="81"/>
            <rFont val="Tahoma"/>
            <family val="2"/>
          </rPr>
          <t>Comments can be entered in these field</t>
        </r>
      </text>
    </comment>
    <comment ref="L67" authorId="0" shapeId="0" xr:uid="{00000000-0006-0000-0C00-000047000000}">
      <text>
        <r>
          <rPr>
            <sz val="9"/>
            <color indexed="81"/>
            <rFont val="Tahoma"/>
            <family val="2"/>
          </rPr>
          <t>Minimum Bu's per line can be manually placed in these fields when required to over ride the software's calculated minimum line requirement detailed in cells L5 or N5</t>
        </r>
      </text>
    </comment>
    <comment ref="N67" authorId="0" shapeId="0" xr:uid="{00000000-0006-0000-0C00-000048000000}">
      <text>
        <r>
          <rPr>
            <sz val="9"/>
            <color indexed="81"/>
            <rFont val="Tahoma"/>
            <family val="2"/>
          </rPr>
          <t>Minimum Bu's per line can be manually placed in these fields when required to over ride the software's calculated minimum line requirement detailed in cells L5 or N5</t>
        </r>
      </text>
    </comment>
    <comment ref="Q67" authorId="0" shapeId="0" xr:uid="{00000000-0006-0000-0C00-000049000000}">
      <text>
        <r>
          <rPr>
            <sz val="10"/>
            <color indexed="81"/>
            <rFont val="Tahoma"/>
            <family val="2"/>
          </rPr>
          <t>The "Achieved &lt; Min Req per line" comment only needs to be resolved once all the intended bracing lines to be used have at least one element in them.</t>
        </r>
      </text>
    </comment>
    <comment ref="E73" authorId="0" shapeId="0" xr:uid="{00000000-0006-0000-0C00-00004A000000}">
      <text>
        <r>
          <rPr>
            <b/>
            <sz val="8"/>
            <color indexed="81"/>
            <rFont val="Tahoma"/>
            <family val="2"/>
          </rPr>
          <t>Comments can be entered in these field</t>
        </r>
      </text>
    </comment>
    <comment ref="L73" authorId="0" shapeId="0" xr:uid="{00000000-0006-0000-0C00-00004B000000}">
      <text>
        <r>
          <rPr>
            <sz val="9"/>
            <color indexed="81"/>
            <rFont val="Tahoma"/>
            <family val="2"/>
          </rPr>
          <t>Minimum Bu's per line can be manually placed in these fields when required to over ride the software's calculated minimum line requirement detailed in cells L5 or N5</t>
        </r>
      </text>
    </comment>
    <comment ref="N73" authorId="0" shapeId="0" xr:uid="{00000000-0006-0000-0C00-00004C000000}">
      <text>
        <r>
          <rPr>
            <sz val="9"/>
            <color indexed="81"/>
            <rFont val="Tahoma"/>
            <family val="2"/>
          </rPr>
          <t>Minimum Bu's per line can be manually placed in these fields when required to over ride the software's calculated minimum line requirement detailed in cells L5 or N5</t>
        </r>
      </text>
    </comment>
    <comment ref="Q73" authorId="0" shapeId="0" xr:uid="{00000000-0006-0000-0C00-00004D000000}">
      <text>
        <r>
          <rPr>
            <sz val="10"/>
            <color indexed="81"/>
            <rFont val="Tahoma"/>
            <family val="2"/>
          </rPr>
          <t>The "Achieved &lt; Min Req per line" comment only needs to be resolved once all the intended bracing lines to be used have at least one element in them.</t>
        </r>
      </text>
    </comment>
    <comment ref="E79" authorId="0" shapeId="0" xr:uid="{00000000-0006-0000-0C00-00004E000000}">
      <text>
        <r>
          <rPr>
            <b/>
            <sz val="8"/>
            <color indexed="81"/>
            <rFont val="Tahoma"/>
            <family val="2"/>
          </rPr>
          <t>Comments can be entered in these field</t>
        </r>
      </text>
    </comment>
    <comment ref="L79" authorId="0" shapeId="0" xr:uid="{00000000-0006-0000-0C00-00004F000000}">
      <text>
        <r>
          <rPr>
            <sz val="9"/>
            <color indexed="81"/>
            <rFont val="Tahoma"/>
            <family val="2"/>
          </rPr>
          <t>Minimum Bu's per line can be manually placed in these fields when required to over ride the software's calculated minimum line requirement detailed in cells L5 or N5</t>
        </r>
      </text>
    </comment>
    <comment ref="N79" authorId="0" shapeId="0" xr:uid="{00000000-0006-0000-0C00-000050000000}">
      <text>
        <r>
          <rPr>
            <sz val="9"/>
            <color indexed="81"/>
            <rFont val="Tahoma"/>
            <family val="2"/>
          </rPr>
          <t>Minimum Bu's per line can be manually placed in these fields when required to over ride the software's calculated minimum line requirement detailed in cells L5 or N5</t>
        </r>
      </text>
    </comment>
    <comment ref="Q79" authorId="0" shapeId="0" xr:uid="{00000000-0006-0000-0C00-000051000000}">
      <text>
        <r>
          <rPr>
            <sz val="10"/>
            <color indexed="81"/>
            <rFont val="Tahoma"/>
            <family val="2"/>
          </rPr>
          <t>The "Achieved &lt; Min Req per line" comment only needs to be resolved once all the intended bracing lines to be used have at least one element in them.</t>
        </r>
      </text>
    </comment>
    <comment ref="M82" authorId="0" shapeId="0" xr:uid="{00000000-0006-0000-0C00-000052000000}">
      <text>
        <r>
          <rPr>
            <sz val="10"/>
            <color indexed="81"/>
            <rFont val="Tahoma"/>
            <family val="2"/>
          </rPr>
          <t xml:space="preserve">Alternatively Sourced Bracing Demands can be manually placed in the Project Demand sheet.
</t>
        </r>
      </text>
    </comment>
    <comment ref="O82" authorId="0" shapeId="0" xr:uid="{00000000-0006-0000-0C00-000053000000}">
      <text>
        <r>
          <rPr>
            <sz val="10"/>
            <color indexed="81"/>
            <rFont val="Tahoma"/>
            <family val="2"/>
          </rPr>
          <t xml:space="preserve">Alternatively Sourced Bracing Demands can be manually placed in the Project Demand sheet.
</t>
        </r>
      </text>
    </comment>
  </commentList>
</comments>
</file>

<file path=xl/sharedStrings.xml><?xml version="1.0" encoding="utf-8"?>
<sst xmlns="http://schemas.openxmlformats.org/spreadsheetml/2006/main" count="5559" uniqueCount="1140">
  <si>
    <t xml:space="preserve">Instructions </t>
  </si>
  <si>
    <t>Wind</t>
  </si>
  <si>
    <t>A</t>
  </si>
  <si>
    <t>B</t>
  </si>
  <si>
    <t>C</t>
  </si>
  <si>
    <t>L</t>
  </si>
  <si>
    <t>H</t>
  </si>
  <si>
    <t>M</t>
  </si>
  <si>
    <t xml:space="preserve"> </t>
  </si>
  <si>
    <t>Foundation Type</t>
  </si>
  <si>
    <t>Wind Zone</t>
  </si>
  <si>
    <t>Region</t>
  </si>
  <si>
    <t>Exposure</t>
  </si>
  <si>
    <t>subfloor</t>
  </si>
  <si>
    <t>Lower</t>
  </si>
  <si>
    <t>Sheltered</t>
  </si>
  <si>
    <t>Exposed</t>
  </si>
  <si>
    <t>Earthquake</t>
  </si>
  <si>
    <t>Across</t>
  </si>
  <si>
    <t>Roughness</t>
  </si>
  <si>
    <t>Urban</t>
  </si>
  <si>
    <t>Open</t>
  </si>
  <si>
    <t>T1</t>
  </si>
  <si>
    <t>T2</t>
  </si>
  <si>
    <t>T3</t>
  </si>
  <si>
    <t>T4</t>
  </si>
  <si>
    <t>Low</t>
  </si>
  <si>
    <t>Medium</t>
  </si>
  <si>
    <t>High</t>
  </si>
  <si>
    <t>Very High</t>
  </si>
  <si>
    <t>Specific Design</t>
  </si>
  <si>
    <t>Length</t>
  </si>
  <si>
    <t>Line</t>
  </si>
  <si>
    <t>D</t>
  </si>
  <si>
    <t>E</t>
  </si>
  <si>
    <t>I</t>
  </si>
  <si>
    <t>Element Height</t>
  </si>
  <si>
    <t>System Number</t>
  </si>
  <si>
    <t>Number</t>
  </si>
  <si>
    <t>System</t>
  </si>
  <si>
    <t>MaxL</t>
  </si>
  <si>
    <t>MinL</t>
  </si>
  <si>
    <t>BUW</t>
  </si>
  <si>
    <t>BUE</t>
  </si>
  <si>
    <t>e</t>
  </si>
  <si>
    <t>m</t>
  </si>
  <si>
    <t>n</t>
  </si>
  <si>
    <t>Wall Along</t>
  </si>
  <si>
    <t>Wall Across</t>
  </si>
  <si>
    <t>Supplier</t>
  </si>
  <si>
    <t>Total</t>
  </si>
  <si>
    <t>Intellectual Property</t>
  </si>
  <si>
    <t>Disclaimer</t>
  </si>
  <si>
    <t>Limitation of Liability</t>
  </si>
  <si>
    <t>Jurisdiction</t>
  </si>
  <si>
    <t>Custom10</t>
  </si>
  <si>
    <t>Custom11</t>
  </si>
  <si>
    <t>Custom12</t>
  </si>
  <si>
    <t>Custom13</t>
  </si>
  <si>
    <t>Custom14</t>
  </si>
  <si>
    <t>1)</t>
  </si>
  <si>
    <t>2)</t>
  </si>
  <si>
    <t>3)</t>
  </si>
  <si>
    <t>4)</t>
  </si>
  <si>
    <t>Lower Storey Specifications</t>
  </si>
  <si>
    <t>Subfloor</t>
  </si>
  <si>
    <t>Along</t>
  </si>
  <si>
    <t>Upper</t>
  </si>
  <si>
    <t>a</t>
  </si>
  <si>
    <t>NZS 3604</t>
  </si>
  <si>
    <t>V</t>
  </si>
  <si>
    <t>Width</t>
  </si>
  <si>
    <t>Roof length</t>
  </si>
  <si>
    <t>VH</t>
  </si>
  <si>
    <t>Upper wall length</t>
  </si>
  <si>
    <t>q:</t>
  </si>
  <si>
    <t>Lower wall length</t>
  </si>
  <si>
    <t>Subfloor wall length</t>
  </si>
  <si>
    <t>Roof height =</t>
  </si>
  <si>
    <t>Roof wind coefficient</t>
  </si>
  <si>
    <t>Interp value</t>
  </si>
  <si>
    <t>cwall</t>
  </si>
  <si>
    <t>Floor loads</t>
  </si>
  <si>
    <t>Floor dead load</t>
  </si>
  <si>
    <t xml:space="preserve">Live load </t>
  </si>
  <si>
    <t xml:space="preserve">used with factor </t>
  </si>
  <si>
    <t>Total =</t>
  </si>
  <si>
    <t>A2 floor weight</t>
  </si>
  <si>
    <t>kN</t>
  </si>
  <si>
    <t>A3 floor weight</t>
  </si>
  <si>
    <t>Get weight of exterior walls</t>
  </si>
  <si>
    <t>Constants</t>
  </si>
  <si>
    <t>Percent of exterior walls which are openings</t>
  </si>
  <si>
    <t>Top Storey</t>
  </si>
  <si>
    <t>Bottom  Storey</t>
  </si>
  <si>
    <t>Percent of wall inertia load considered transmitted up or down</t>
  </si>
  <si>
    <t>% Up</t>
  </si>
  <si>
    <t>% Down</t>
  </si>
  <si>
    <t xml:space="preserve">Weight of </t>
  </si>
  <si>
    <t>Partitions</t>
  </si>
  <si>
    <t>Total length of exterior walls in upper floor</t>
  </si>
  <si>
    <t>Total length of exterior walls in lower floor</t>
  </si>
  <si>
    <t>Total length of exterior walls in subfloor</t>
  </si>
  <si>
    <t>Weight of walls top storey</t>
  </si>
  <si>
    <t>kg/m2</t>
  </si>
  <si>
    <t xml:space="preserve">or </t>
  </si>
  <si>
    <t>kN/m2</t>
  </si>
  <si>
    <t xml:space="preserve"> Note have added on 20 kg/m2 if they specify cladding weight</t>
  </si>
  <si>
    <t>Weight of walls lower storey</t>
  </si>
  <si>
    <t>Weight of walls subfloor</t>
  </si>
  <si>
    <t>Calculate wall weight effectively at roof level = one third weight of top storey walls</t>
  </si>
  <si>
    <t>Exterior walls</t>
  </si>
  <si>
    <t>Calculate wall weight effectively at first floor level in two storey building on concrete floor or subfloor</t>
  </si>
  <si>
    <t>= one third weight of G-1 + two thirds weight of 1-2</t>
  </si>
  <si>
    <t>Ext. walls 1-roof</t>
  </si>
  <si>
    <t>Exterior walls G-1</t>
  </si>
  <si>
    <t>Exterior walls LSF-1</t>
  </si>
  <si>
    <t>Partitions LSF-1</t>
  </si>
  <si>
    <t xml:space="preserve">Note - no partitions in basement </t>
  </si>
  <si>
    <t>Exterior walls G-LSF</t>
  </si>
  <si>
    <t>Exterior walls SF-Roof</t>
  </si>
  <si>
    <t>Exterior walls G-SF</t>
  </si>
  <si>
    <t>Get weight at roof level</t>
  </si>
  <si>
    <t>Floor area =</t>
  </si>
  <si>
    <t>Add on the extra area of roof outside the building area. This is Roof Length x(roof width - building width)+building width x(roof length - building length)</t>
  </si>
  <si>
    <t>Extra area</t>
  </si>
  <si>
    <t>Total roof area</t>
  </si>
  <si>
    <t>OK</t>
  </si>
  <si>
    <t>Roof cladding slope weight</t>
  </si>
  <si>
    <t>Roof slope</t>
  </si>
  <si>
    <t>degrees</t>
  </si>
  <si>
    <t>Roof cladding plan weight</t>
  </si>
  <si>
    <t>Ceiling + framing weight</t>
  </si>
  <si>
    <t>as assumed in spreadsheet tables to duplicate NZS 3604</t>
  </si>
  <si>
    <t>Roof cladding total weight</t>
  </si>
  <si>
    <t>Roof load</t>
  </si>
  <si>
    <t>Calculate weights effectively at first floor level in two storey building on concrete or subfloor</t>
  </si>
  <si>
    <t>Wall weight</t>
  </si>
  <si>
    <t>Floor weight</t>
  </si>
  <si>
    <t>Calculate weights effectively at lower suspended floor level in two storey building with subfloor</t>
  </si>
  <si>
    <t>Calculate weight effectively at suspended floor level in single storey building with subfloor</t>
  </si>
  <si>
    <t>Total mass =</t>
  </si>
  <si>
    <t xml:space="preserve">Distributed </t>
  </si>
  <si>
    <t>Shear</t>
  </si>
  <si>
    <t>wh</t>
  </si>
  <si>
    <t>force</t>
  </si>
  <si>
    <t>Force</t>
  </si>
  <si>
    <t>Mass at height</t>
  </si>
  <si>
    <t>=</t>
  </si>
  <si>
    <t>Total load</t>
  </si>
  <si>
    <t>(BU's)</t>
  </si>
  <si>
    <t>with sub</t>
  </si>
  <si>
    <t>Top storey</t>
  </si>
  <si>
    <t>Bottom storey</t>
  </si>
  <si>
    <t>N/A</t>
  </si>
  <si>
    <t>Wind switch</t>
  </si>
  <si>
    <t>Design wind speed</t>
  </si>
  <si>
    <t>Building height to apex (m)</t>
  </si>
  <si>
    <t>Roof pitch (degrees)</t>
  </si>
  <si>
    <t>Roof cladding weight</t>
  </si>
  <si>
    <t>Upper or single storey</t>
  </si>
  <si>
    <t>Average exterior wall cladding weight</t>
  </si>
  <si>
    <t>Lower storey</t>
  </si>
  <si>
    <t>Gross building plan area A3 (m2)</t>
  </si>
  <si>
    <t>1 is no and 2 is yes</t>
  </si>
  <si>
    <t>1,2 for two ranges, or else specify if value of 3</t>
  </si>
  <si>
    <t>1,2,3 for three ranges, or else specify if value of 4</t>
  </si>
  <si>
    <t>Upper wall(m)</t>
  </si>
  <si>
    <t>Lower wall(m)</t>
  </si>
  <si>
    <t>Subfloor wall (m)</t>
  </si>
  <si>
    <t>m2</t>
  </si>
  <si>
    <t>Specified in kg/m2</t>
  </si>
  <si>
    <t xml:space="preserve">Upper storey </t>
  </si>
  <si>
    <t>Demand</t>
  </si>
  <si>
    <t>Wall along direction</t>
  </si>
  <si>
    <t>Wall across direction</t>
  </si>
  <si>
    <t>How many storeys</t>
  </si>
  <si>
    <t>1 or 2</t>
  </si>
  <si>
    <t>Subfloor?</t>
  </si>
  <si>
    <t>Seismic coefficient</t>
  </si>
  <si>
    <r>
      <t>Gross building plan area A1 (m</t>
    </r>
    <r>
      <rPr>
        <vertAlign val="superscript"/>
        <sz val="10"/>
        <color indexed="8"/>
        <rFont val="Arial"/>
        <family val="2"/>
      </rPr>
      <t>2</t>
    </r>
    <r>
      <rPr>
        <sz val="10"/>
        <color indexed="8"/>
        <rFont val="Arial"/>
        <family val="2"/>
      </rPr>
      <t>)</t>
    </r>
  </si>
  <si>
    <r>
      <t>Gross building plan area A2 (m</t>
    </r>
    <r>
      <rPr>
        <vertAlign val="superscript"/>
        <sz val="10"/>
        <color indexed="8"/>
        <rFont val="Arial"/>
        <family val="2"/>
      </rPr>
      <t>2</t>
    </r>
    <r>
      <rPr>
        <sz val="10"/>
        <color indexed="8"/>
        <rFont val="Arial"/>
        <family val="2"/>
      </rPr>
      <t>)</t>
    </r>
  </si>
  <si>
    <r>
      <t xml:space="preserve">Calculate wall weight effectively at </t>
    </r>
    <r>
      <rPr>
        <b/>
        <u/>
        <sz val="10"/>
        <color indexed="8"/>
        <rFont val="Arial"/>
        <family val="2"/>
      </rPr>
      <t>L</t>
    </r>
    <r>
      <rPr>
        <b/>
        <sz val="10"/>
        <color indexed="8"/>
        <rFont val="Arial"/>
        <family val="2"/>
      </rPr>
      <t xml:space="preserve">ower </t>
    </r>
    <r>
      <rPr>
        <b/>
        <u/>
        <sz val="10"/>
        <color indexed="8"/>
        <rFont val="Arial"/>
        <family val="2"/>
      </rPr>
      <t>S</t>
    </r>
    <r>
      <rPr>
        <b/>
        <sz val="10"/>
        <color indexed="8"/>
        <rFont val="Arial"/>
        <family val="2"/>
      </rPr>
      <t xml:space="preserve">uspended </t>
    </r>
    <r>
      <rPr>
        <b/>
        <u/>
        <sz val="10"/>
        <color indexed="8"/>
        <rFont val="Arial"/>
        <family val="2"/>
      </rPr>
      <t>F</t>
    </r>
    <r>
      <rPr>
        <b/>
        <sz val="10"/>
        <color indexed="8"/>
        <rFont val="Arial"/>
        <family val="2"/>
      </rPr>
      <t>loor (LSF) level in two storey building with subfloor</t>
    </r>
  </si>
  <si>
    <r>
      <t xml:space="preserve">Calculate wall weight effectively at </t>
    </r>
    <r>
      <rPr>
        <b/>
        <u/>
        <sz val="10"/>
        <color indexed="8"/>
        <rFont val="Arial"/>
        <family val="2"/>
      </rPr>
      <t>S</t>
    </r>
    <r>
      <rPr>
        <b/>
        <sz val="10"/>
        <color indexed="8"/>
        <rFont val="Arial"/>
        <family val="2"/>
      </rPr>
      <t xml:space="preserve">uspended </t>
    </r>
    <r>
      <rPr>
        <b/>
        <u/>
        <sz val="10"/>
        <color indexed="8"/>
        <rFont val="Arial"/>
        <family val="2"/>
      </rPr>
      <t>F</t>
    </r>
    <r>
      <rPr>
        <b/>
        <sz val="10"/>
        <color indexed="8"/>
        <rFont val="Arial"/>
        <family val="2"/>
      </rPr>
      <t>loor (SF) level in single storey building with subfloor</t>
    </r>
  </si>
  <si>
    <t>Lee Zone</t>
  </si>
  <si>
    <t>Gentle</t>
  </si>
  <si>
    <t>Moderate</t>
  </si>
  <si>
    <t>Steep</t>
  </si>
  <si>
    <t>Outer/Outer</t>
  </si>
  <si>
    <t>SD</t>
  </si>
  <si>
    <t>Outer Zone</t>
  </si>
  <si>
    <t>Crest Zone</t>
  </si>
  <si>
    <t>Denotes a one wind zone drop from NZS 3604 table</t>
  </si>
  <si>
    <t>Points</t>
  </si>
  <si>
    <t>Zone</t>
  </si>
  <si>
    <t>&lt;=</t>
  </si>
  <si>
    <t>&gt;=</t>
  </si>
  <si>
    <t>Manual Wind Zone Calculation Sheet</t>
  </si>
  <si>
    <t xml:space="preserve">Region:  </t>
  </si>
  <si>
    <t>Refer to Fig 5.1 in NZS 3604</t>
  </si>
  <si>
    <t>Consider Ground Roughness</t>
  </si>
  <si>
    <t>Topographical Class</t>
  </si>
  <si>
    <t>Outer</t>
  </si>
  <si>
    <t>Crest</t>
  </si>
  <si>
    <t>Premilinary Total =</t>
  </si>
  <si>
    <t>Topographic CLASS =</t>
  </si>
  <si>
    <t>y</t>
  </si>
  <si>
    <t>Consider if Sheltered or Exposed.</t>
  </si>
  <si>
    <t>-----------&gt;</t>
  </si>
  <si>
    <t>Extreme</t>
  </si>
  <si>
    <t>ELSE</t>
  </si>
  <si>
    <t xml:space="preserve">If Final Result &lt;0 then 0         </t>
  </si>
  <si>
    <t>Roof Specifications</t>
  </si>
  <si>
    <t>Significant</t>
  </si>
  <si>
    <t>Masonry 0.75</t>
  </si>
  <si>
    <t>Masonry 1.5</t>
  </si>
  <si>
    <t>Masonry 3.0</t>
  </si>
  <si>
    <t>Masonry 4.5</t>
  </si>
  <si>
    <t>Specification Sheet</t>
  </si>
  <si>
    <t>Print Date:</t>
  </si>
  <si>
    <t>CONDITIONS OF SOFTWARE USE</t>
  </si>
  <si>
    <t>120 BU's</t>
  </si>
  <si>
    <t>150 BU's</t>
  </si>
  <si>
    <t>Wind  Along</t>
  </si>
  <si>
    <t>Wind  Across</t>
  </si>
  <si>
    <t xml:space="preserve">Earthquake </t>
  </si>
  <si>
    <t>MinBu</t>
  </si>
  <si>
    <t>@2.4</t>
  </si>
  <si>
    <t>Adj.</t>
  </si>
  <si>
    <t>EarthQ</t>
  </si>
  <si>
    <t>EQ</t>
  </si>
  <si>
    <t>T</t>
  </si>
  <si>
    <t>Cantilever pile</t>
  </si>
  <si>
    <t>Anchor pile</t>
  </si>
  <si>
    <t>A3 floor weight Single</t>
  </si>
  <si>
    <t>Scale</t>
  </si>
  <si>
    <t>Earth</t>
  </si>
  <si>
    <t>Manual</t>
  </si>
  <si>
    <t>Exterior wall height (m) (Not specified by user)</t>
  </si>
  <si>
    <t>Interior wall height</t>
  </si>
  <si>
    <t>Lower to upper floor level Exterior Height</t>
  </si>
  <si>
    <t>Braced pile</t>
  </si>
  <si>
    <t>t</t>
  </si>
  <si>
    <t>Min Length (m) or #</t>
  </si>
  <si>
    <t>WIND</t>
  </si>
  <si>
    <t>EQK</t>
  </si>
  <si>
    <t/>
  </si>
  <si>
    <t>Try/Use</t>
  </si>
  <si>
    <t>Try</t>
  </si>
  <si>
    <t>Try Use Alternate</t>
  </si>
  <si>
    <t>Final Result</t>
  </si>
  <si>
    <t>BU/M</t>
  </si>
  <si>
    <t>Achieved</t>
  </si>
  <si>
    <t>B/U Wind</t>
  </si>
  <si>
    <t>AchievWind</t>
  </si>
  <si>
    <t>B/U EQ</t>
  </si>
  <si>
    <t>AchieEQ</t>
  </si>
  <si>
    <t>Sub-floor</t>
  </si>
  <si>
    <t>Roof height above eaves (m)</t>
  </si>
  <si>
    <t>Calculate LE as = LU for single storey and = LL for two stories</t>
  </si>
  <si>
    <t>Calculate WE as = WU for single storey and = WL for two stories</t>
  </si>
  <si>
    <t>Alternative Calc1</t>
  </si>
  <si>
    <t>Alt2Board</t>
  </si>
  <si>
    <t>Use1</t>
  </si>
  <si>
    <t>Use2</t>
  </si>
  <si>
    <t>Lookup2</t>
  </si>
  <si>
    <t>Supplier or Type</t>
  </si>
  <si>
    <t>Tested</t>
  </si>
  <si>
    <t>Specific</t>
  </si>
  <si>
    <t>tech/eng</t>
  </si>
  <si>
    <t>BU's/m   Wind</t>
  </si>
  <si>
    <t>BU's/m   EQ</t>
  </si>
  <si>
    <t>System Type Flag</t>
  </si>
  <si>
    <t>EH</t>
  </si>
  <si>
    <t>Extra High</t>
  </si>
  <si>
    <t>W</t>
  </si>
  <si>
    <t>Soil Type</t>
  </si>
  <si>
    <t>=1,2 or 3 or 4 depending if Zone A, B or C, X</t>
  </si>
  <si>
    <t>Gradient &lt;1:20</t>
  </si>
  <si>
    <t>&gt;1:20 to 1:10</t>
  </si>
  <si>
    <t>&gt;1:10 to 1:6.7</t>
  </si>
  <si>
    <t>&gt;1:6.7 to 1:5</t>
  </si>
  <si>
    <t>&gt;1:5 to 1:4</t>
  </si>
  <si>
    <t>y/n</t>
  </si>
  <si>
    <t>NZS 3604 (2011) table 5.4</t>
  </si>
  <si>
    <t>NZS 3604 (2011)  table 5.3</t>
  </si>
  <si>
    <t>Topographic Zone</t>
  </si>
  <si>
    <t>Undulation under 10m</t>
  </si>
  <si>
    <t>Mild</t>
  </si>
  <si>
    <t>Outside the Zones</t>
  </si>
  <si>
    <t>Known High Wind</t>
  </si>
  <si>
    <t>Denotes a one Wind zone OR Topo Class grade lift from NZS3604 table</t>
  </si>
  <si>
    <t>EPB Topographic Class</t>
  </si>
  <si>
    <t>&lt;1:20</t>
  </si>
  <si>
    <t>Accelerate</t>
  </si>
  <si>
    <t>yes=-3</t>
  </si>
  <si>
    <t>No=0</t>
  </si>
  <si>
    <t>Underlation&lt;10m</t>
  </si>
  <si>
    <t>If &lt; 1:20 and &lt; 10m undulations</t>
  </si>
  <si>
    <t>&lt; 1:20</t>
  </si>
  <si>
    <t xml:space="preserve">If Topographical result less than 1, adopt 1               If Topo Result &gt; 3  adopt 3 points                                                                   </t>
  </si>
  <si>
    <t xml:space="preserve">Significant (T3)  </t>
  </si>
  <si>
    <t>Fix the T3, Region A, Urban, Sheltered Anomaly</t>
  </si>
  <si>
    <t>Accel</t>
  </si>
  <si>
    <t>Fix the Outer Zone AND (Moderate or Steep) Anomaly</t>
  </si>
  <si>
    <t>No</t>
  </si>
  <si>
    <t>If Lee Zone  Add 2 points</t>
  </si>
  <si>
    <t>Yes</t>
  </si>
  <si>
    <t>If yes then 1 points</t>
  </si>
  <si>
    <t>Fix the T4, Region W, Sheltered Anomaly</t>
  </si>
  <si>
    <t>Gentle (T1)</t>
  </si>
  <si>
    <t>Moderate (T2)</t>
  </si>
  <si>
    <t>Significant (T3)</t>
  </si>
  <si>
    <t>Extreme (T4)</t>
  </si>
  <si>
    <t>Roof Type</t>
  </si>
  <si>
    <t>1-Typical(Nochange),2-Hip(copyaccrossboth),3-Monopitched(usehigheroftwo)</t>
  </si>
  <si>
    <t>Roof Type =</t>
  </si>
  <si>
    <t>50% of lines</t>
  </si>
  <si>
    <t>Internal</t>
  </si>
  <si>
    <t>External</t>
  </si>
  <si>
    <t>No Lines</t>
  </si>
  <si>
    <t>Req.PerLine</t>
  </si>
  <si>
    <t>WallType</t>
  </si>
  <si>
    <t>Wall</t>
  </si>
  <si>
    <t>Type</t>
  </si>
  <si>
    <t>Options Low, Medium, High and Very High and Extra High</t>
  </si>
  <si>
    <t xml:space="preserve">&gt;1:5 </t>
  </si>
  <si>
    <r>
      <t>0.6V</t>
    </r>
    <r>
      <rPr>
        <vertAlign val="superscript"/>
        <sz val="10"/>
        <color indexed="8"/>
        <rFont val="Arial"/>
        <family val="2"/>
      </rPr>
      <t>2</t>
    </r>
  </si>
  <si>
    <t>Use QQQ=</t>
  </si>
  <si>
    <t>Soil</t>
  </si>
  <si>
    <t>Class</t>
  </si>
  <si>
    <t>Coefficient C =</t>
  </si>
  <si>
    <t>Roof</t>
  </si>
  <si>
    <t>angle deg</t>
  </si>
  <si>
    <t>roof slope:</t>
  </si>
  <si>
    <t>Roof coefficient across =</t>
  </si>
  <si>
    <t>Roof coefficient along =</t>
  </si>
  <si>
    <t>Area lost called Alost</t>
  </si>
  <si>
    <t>Calculated</t>
  </si>
  <si>
    <t>=1,2,3,4,5 depending on Soil Type A,B Rock ,C Shallow ,D Deep Soft,E Very Soft</t>
  </si>
  <si>
    <t>Overide</t>
  </si>
  <si>
    <t>Achieved =</t>
  </si>
  <si>
    <t>XX=floor height =</t>
  </si>
  <si>
    <t>LU</t>
  </si>
  <si>
    <t>HUE</t>
  </si>
  <si>
    <t>CPW</t>
  </si>
  <si>
    <t>LR</t>
  </si>
  <si>
    <t>RoofH</t>
  </si>
  <si>
    <t>WU</t>
  </si>
  <si>
    <t>WR</t>
  </si>
  <si>
    <t>Bottom storey which ALL the weight * the seismic factor</t>
  </si>
  <si>
    <t>Subfloor which is all the weight * the seismic factor</t>
  </si>
  <si>
    <t>Lower storey which is the upper Plus  lower storey weights * the seismic factor</t>
  </si>
  <si>
    <t>Top storey weight times the Seismic factor</t>
  </si>
  <si>
    <t>Single storey weight * the seismic factor</t>
  </si>
  <si>
    <t>This is just the weight of the roof</t>
  </si>
  <si>
    <t xml:space="preserve">kN </t>
  </si>
  <si>
    <t>This is the upper or single GPA * .2kPA * 1/3</t>
  </si>
  <si>
    <t>Demand Source:</t>
  </si>
  <si>
    <t>Earthquake Zone:</t>
  </si>
  <si>
    <t>Subsoil Classification:</t>
  </si>
  <si>
    <t>Project Name:</t>
  </si>
  <si>
    <t>Lot and DP Number:</t>
  </si>
  <si>
    <t>City/Town/District:</t>
  </si>
  <si>
    <t>Designer Name:</t>
  </si>
  <si>
    <t>Roof Type:</t>
  </si>
  <si>
    <t>Roof Pitch:</t>
  </si>
  <si>
    <t>single/Double</t>
  </si>
  <si>
    <t>Check</t>
  </si>
  <si>
    <t>BU Override</t>
  </si>
  <si>
    <t>Suggestions or Warnings</t>
  </si>
  <si>
    <t>Achieved BU's =</t>
  </si>
  <si>
    <t>These will be automatically transferred to each individual Solution sheet</t>
  </si>
  <si>
    <t>Enter all variables as required.</t>
  </si>
  <si>
    <t>Enter Wind Zone</t>
  </si>
  <si>
    <t>Enter Wind Speed</t>
  </si>
  <si>
    <t>B: Rock</t>
  </si>
  <si>
    <t>C: Shallow</t>
  </si>
  <si>
    <t>D: Deep or Soft</t>
  </si>
  <si>
    <t>Double</t>
  </si>
  <si>
    <t>Single</t>
  </si>
  <si>
    <t>Slab</t>
  </si>
  <si>
    <t>Light</t>
  </si>
  <si>
    <t>Heavy</t>
  </si>
  <si>
    <t>Hip Roof</t>
  </si>
  <si>
    <t>Mono Pitched</t>
  </si>
  <si>
    <t>Subfloor Specifications</t>
  </si>
  <si>
    <t>Lower Storey</t>
  </si>
  <si>
    <t>m/sec</t>
  </si>
  <si>
    <t>kPA</t>
  </si>
  <si>
    <t>Steep: &gt; 0.20</t>
  </si>
  <si>
    <t>Pre Selected</t>
  </si>
  <si>
    <t>Floor Load =</t>
  </si>
  <si>
    <t>Upper/Single Cladding</t>
  </si>
  <si>
    <t>Lower Cladding</t>
  </si>
  <si>
    <t>Sub Floor Cladding Weight</t>
  </si>
  <si>
    <t>Single Storey</t>
  </si>
  <si>
    <t>Upper Level Alternative Source</t>
  </si>
  <si>
    <t>Lower Level Alternative Source</t>
  </si>
  <si>
    <t>Sub Floor Alternative Source</t>
  </si>
  <si>
    <t>Earth Quake Zone</t>
  </si>
  <si>
    <t>Soil Classification</t>
  </si>
  <si>
    <t>Double on sub</t>
  </si>
  <si>
    <t>Double on slab</t>
  </si>
  <si>
    <t>Single on Sub floor</t>
  </si>
  <si>
    <t>Single on Sub</t>
  </si>
  <si>
    <t>Lower External Wall Height:</t>
  </si>
  <si>
    <t>Lower Gross Plan Area (GPA)</t>
  </si>
  <si>
    <t>Roof Weights</t>
  </si>
  <si>
    <t>Floor Load</t>
  </si>
  <si>
    <t>Alternative  Source =</t>
  </si>
  <si>
    <t>Min Length (m)</t>
  </si>
  <si>
    <t>E: Very Soft</t>
  </si>
  <si>
    <t>Zone:</t>
  </si>
  <si>
    <r>
      <t>k</t>
    </r>
    <r>
      <rPr>
        <vertAlign val="subscript"/>
        <sz val="11"/>
        <color indexed="8"/>
        <rFont val="Symbol"/>
        <family val="1"/>
        <charset val="2"/>
      </rPr>
      <t>m</t>
    </r>
  </si>
  <si>
    <t>Hazard Factor   Z</t>
  </si>
  <si>
    <r>
      <t>C</t>
    </r>
    <r>
      <rPr>
        <vertAlign val="subscript"/>
        <sz val="11"/>
        <color indexed="8"/>
        <rFont val="Arial"/>
        <family val="2"/>
      </rPr>
      <t>h</t>
    </r>
    <r>
      <rPr>
        <sz val="11"/>
        <color indexed="8"/>
        <rFont val="Arial"/>
        <family val="2"/>
      </rPr>
      <t>(T)</t>
    </r>
  </si>
  <si>
    <t>Speed</t>
  </si>
  <si>
    <r>
      <t>q=.6 * V</t>
    </r>
    <r>
      <rPr>
        <vertAlign val="superscript"/>
        <sz val="10"/>
        <rFont val="Arial"/>
        <family val="2"/>
      </rPr>
      <t>2</t>
    </r>
  </si>
  <si>
    <t>QQQ=q*.8</t>
  </si>
  <si>
    <t>Select the "Project  Demand"  Tab below</t>
  </si>
  <si>
    <t>Enter any Custom Brace Systems in the " Custom Elements" Tab below.</t>
  </si>
  <si>
    <t>Continue until Bracing Units achieved equal or exceed Bracing Demand.</t>
  </si>
  <si>
    <t>User Entered Value</t>
  </si>
  <si>
    <t>Calculated Value if the other 2 variables are correct</t>
  </si>
  <si>
    <t>Highest Value of Entered or Calculated</t>
  </si>
  <si>
    <t>What Dominated.  The Entered value or the Calculated value</t>
  </si>
  <si>
    <t>Roof Width  (metres)</t>
  </si>
  <si>
    <t>Height Above Eaves (m)</t>
  </si>
  <si>
    <t>Roof Pitch (Degrees)</t>
  </si>
  <si>
    <t>YY=</t>
  </si>
  <si>
    <t>ZZ=</t>
  </si>
  <si>
    <t>HEI</t>
  </si>
  <si>
    <t>LE</t>
  </si>
  <si>
    <t>WE</t>
  </si>
  <si>
    <t>Single Storey on Slab:  Typical or Hip Roof</t>
  </si>
  <si>
    <t>Single Storey on Sub Floor:  Typical or Hip Roof</t>
  </si>
  <si>
    <t>Double Storey on Slab:  Typical or Hip Roof</t>
  </si>
  <si>
    <t>Double Storey on Sub Floor:  Typical or Hip Roof</t>
  </si>
  <si>
    <t>Determining Topographic Zones on Hills</t>
  </si>
  <si>
    <t>Determining Topographic Zones on Escarpments</t>
  </si>
  <si>
    <t>Calculate HEI as = HUE for single storey and = HLE-XX for two stories</t>
  </si>
  <si>
    <t>Select the Individual Along and Across Solution Sheet Tabs below for each level as required.</t>
  </si>
  <si>
    <t xml:space="preserve">Lower Internal Stud Height &gt; 3.0m </t>
  </si>
  <si>
    <t xml:space="preserve">Lower Internal Stud Height &lt; 1.8m   Are you sure? </t>
  </si>
  <si>
    <t xml:space="preserve">Lower Internal Stud Height &gt; Lower External Wall Height </t>
  </si>
  <si>
    <t xml:space="preserve">Lower Level External Wall Height &lt; 2.0m </t>
  </si>
  <si>
    <t xml:space="preserve">Single Level GPA &gt; 300 sqm. All levels to be timber framed </t>
  </si>
  <si>
    <t xml:space="preserve">Upper Level GPA &gt; 300 sqm. All levels to be timber framed </t>
  </si>
  <si>
    <t xml:space="preserve">Single Level Cladding Weight (excl. frame) &gt; 200kg/m2 </t>
  </si>
  <si>
    <t xml:space="preserve">Wind Speed exceeds 100m/s,  Outside Scope </t>
  </si>
  <si>
    <t xml:space="preserve">Wind Speed &gt; 55m/s,  Consider Design of Structure </t>
  </si>
  <si>
    <t xml:space="preserve">Floor Loads &lt; 1.5kPA.  Are you sure? </t>
  </si>
  <si>
    <t xml:space="preserve">Floor Loads &gt; 3.0kPA,  Are you sure?  Outside Scope </t>
  </si>
  <si>
    <t xml:space="preserve">Height from top of Slab to Apex &gt;  10m </t>
  </si>
  <si>
    <t xml:space="preserve">Height from Average Ground level  to Apex &gt; 10m </t>
  </si>
  <si>
    <t xml:space="preserve">Height to Apex &lt; 2.5m  Are you sure? </t>
  </si>
  <si>
    <t xml:space="preserve">Roof Height above eaves shouldn’t be more than 8m </t>
  </si>
  <si>
    <t xml:space="preserve">Roof Length  &lt; Upper Level Building Length </t>
  </si>
  <si>
    <t xml:space="preserve">Roof Length  &lt; Building Length </t>
  </si>
  <si>
    <t xml:space="preserve">Roof Length  &gt; Upper Level Building Length +3m </t>
  </si>
  <si>
    <t xml:space="preserve">Roof Length  &gt; Building Length +3m </t>
  </si>
  <si>
    <t xml:space="preserve">Roof Width  &lt; Upper Level Building Width </t>
  </si>
  <si>
    <t xml:space="preserve">Roof Width  &lt; Building Width </t>
  </si>
  <si>
    <t xml:space="preserve">Roof Width  &gt;  Building Width +3m </t>
  </si>
  <si>
    <t xml:space="preserve">Roof Pitch Exceeds 60 degrees, Outside Scope </t>
  </si>
  <si>
    <t xml:space="preserve">Part Storey in Upper Roof &gt; 50% of Upper GPA available </t>
  </si>
  <si>
    <t xml:space="preserve">Part Storey in Roof &gt; 50% of Single level GPA available </t>
  </si>
  <si>
    <t xml:space="preserve">Part Storey in Lower Roof &gt; 50% of Lower GPA available </t>
  </si>
  <si>
    <t xml:space="preserve">Upper Internal Stud Height &lt; Upper External Wall Height </t>
  </si>
  <si>
    <t xml:space="preserve">Internal Stud Height &lt; External Wall Height </t>
  </si>
  <si>
    <t xml:space="preserve">Upper Internal Stud Height &gt; 4.8m </t>
  </si>
  <si>
    <t xml:space="preserve">Internal Stud Height &gt; 4.8m </t>
  </si>
  <si>
    <t xml:space="preserve">Upper Internal Stud Height &lt; 1.8m.  Are you sure? </t>
  </si>
  <si>
    <t xml:space="preserve">Internal Stud Height &lt; 1.8m.  Are you sure? </t>
  </si>
  <si>
    <t xml:space="preserve">Lower Level GPA &gt; 300 sqm. All levels to be timber framed </t>
  </si>
  <si>
    <t xml:space="preserve">Lower Floor Cladding Weight &lt; Upper Floor Weight </t>
  </si>
  <si>
    <t>Determine Earthquake Zone and Subsoil Class.</t>
  </si>
  <si>
    <t>ENS</t>
  </si>
  <si>
    <t>ENSS</t>
  </si>
  <si>
    <t>EHS</t>
  </si>
  <si>
    <t>EHSP</t>
  </si>
  <si>
    <t xml:space="preserve"> Engineered (E)  NZS3604:2011</t>
  </si>
  <si>
    <r>
      <t xml:space="preserve">Wall Angle </t>
    </r>
    <r>
      <rPr>
        <sz val="11"/>
        <rFont val="Arial"/>
        <family val="2"/>
      </rPr>
      <t>°</t>
    </r>
  </si>
  <si>
    <t>NZS3604:2011 Compliant</t>
  </si>
  <si>
    <t>Timber: 120 Bu's/m</t>
  </si>
  <si>
    <t>Slab: 150 Bu's/m</t>
  </si>
  <si>
    <t>NZS3604:2011  Systems</t>
  </si>
  <si>
    <t>User Comments:</t>
  </si>
  <si>
    <t>Annual Exceedance Probability:</t>
  </si>
  <si>
    <t>Annual Exceedance Probability</t>
  </si>
  <si>
    <t>Single Storey on Slab:  Mono Pitched Roof</t>
  </si>
  <si>
    <t>Single Storey on Sub Floor:  Mono Pitched Roof</t>
  </si>
  <si>
    <t>Double Storey on Slab:  Mono Pitched Roof</t>
  </si>
  <si>
    <t>Double Storey on Sub Floor:  Mono Pitched Roof</t>
  </si>
  <si>
    <t xml:space="preserve">Roof Width  &gt; Upper Level Building Width +3m </t>
  </si>
  <si>
    <t xml:space="preserve">Roof (Incl. sarking) &gt; 60kg/m2 , Consider frame design </t>
  </si>
  <si>
    <t>Typical (Gabled End)</t>
  </si>
  <si>
    <t>Subfloor Height</t>
  </si>
  <si>
    <t>Internal Subfloor Stud Height</t>
  </si>
  <si>
    <t>Subfloor Building Length</t>
  </si>
  <si>
    <t>Subfloor Building Width</t>
  </si>
  <si>
    <t xml:space="preserve">Subfloor Gross Plan Area </t>
  </si>
  <si>
    <t xml:space="preserve">Subfloor Internal Stud Height &gt; Sub Floor External Height </t>
  </si>
  <si>
    <t xml:space="preserve">Subfloor Internal Stud Height &gt; 3.0m </t>
  </si>
  <si>
    <t xml:space="preserve">Subfloor Height &gt; 2.0m </t>
  </si>
  <si>
    <t xml:space="preserve">Subfloor GPA &gt; 300 sqm. All levels to be timber framed </t>
  </si>
  <si>
    <t xml:space="preserve">Cladding Weight &gt; Subfloor Cladding Weight </t>
  </si>
  <si>
    <t xml:space="preserve">Lower Floor Cladding Weight &gt; Subfloor Weight </t>
  </si>
  <si>
    <t xml:space="preserve">Subfloor Cladding Weight &gt; Storey Above </t>
  </si>
  <si>
    <t xml:space="preserve">Subfloor Cladding Weight &lt; Upper Storey Weight </t>
  </si>
  <si>
    <t xml:space="preserve">Subfloor Cladding Weight &lt; Lower Storey Weight </t>
  </si>
  <si>
    <t>This Table is only a summary of demand per Lm or Sqm</t>
  </si>
  <si>
    <t>Room IN Roof Space Effect</t>
  </si>
  <si>
    <t>Effect</t>
  </si>
  <si>
    <t>Single Storey Blg</t>
  </si>
  <si>
    <t>Two Storey Blg</t>
  </si>
  <si>
    <t>On Slab</t>
  </si>
  <si>
    <t>Storey</t>
  </si>
  <si>
    <t>Totals inc Room in room space</t>
  </si>
  <si>
    <t>Consider a Two storey building on concrete Slab</t>
  </si>
  <si>
    <t>Consider a Two storey building on a Subfloor</t>
  </si>
  <si>
    <t>Consider a Single storey building on a Subfloor</t>
  </si>
  <si>
    <t>Consider a Single storey building on Concrete Slab</t>
  </si>
  <si>
    <t>CPR Along</t>
  </si>
  <si>
    <t>Summary of key components</t>
  </si>
  <si>
    <t>Total Wind Demand for building</t>
  </si>
  <si>
    <t>Get Tan of this angle =</t>
  </si>
  <si>
    <t>Note: C43 is soil class = 1,2,3,4,5</t>
  </si>
  <si>
    <t>Note: C42 is seismic zone = 1,2,3,4</t>
  </si>
  <si>
    <t>Wind zone selected by user:</t>
  </si>
  <si>
    <t>Floor loading (kPA)</t>
  </si>
  <si>
    <t>NO</t>
  </si>
  <si>
    <t>m/sec. Specified wind speed if switch is set to 4</t>
  </si>
  <si>
    <t>ENS=GNS</t>
  </si>
  <si>
    <t>ENSS=GNSS</t>
  </si>
  <si>
    <t>EHSS=GHBS</t>
  </si>
  <si>
    <t>EHSP=GHSP</t>
  </si>
  <si>
    <t>EHS=GHS</t>
  </si>
  <si>
    <t>EHSS=GHSS</t>
  </si>
  <si>
    <t>Elephant Multiboard one side</t>
  </si>
  <si>
    <t>Panel Hold Downs (Yes or No)</t>
  </si>
  <si>
    <t>The FINAL SET</t>
  </si>
  <si>
    <t>Use Option</t>
  </si>
  <si>
    <t>Option</t>
  </si>
  <si>
    <t>Custom19</t>
  </si>
  <si>
    <t>Custom20</t>
  </si>
  <si>
    <t>The Drop Down List</t>
  </si>
  <si>
    <t>GS2-N</t>
  </si>
  <si>
    <t>GS1-N</t>
  </si>
  <si>
    <t>BL1-H</t>
  </si>
  <si>
    <t>BLG-H</t>
  </si>
  <si>
    <t>GSP-H</t>
  </si>
  <si>
    <t>GNSS=ENSS</t>
  </si>
  <si>
    <t>GHSS=EHSS</t>
  </si>
  <si>
    <t>GHSP=EHSP</t>
  </si>
  <si>
    <t>GHBS=EHSS</t>
  </si>
  <si>
    <t>GHBP=EHSP</t>
  </si>
  <si>
    <t>GHBS=EHMS</t>
  </si>
  <si>
    <t>GHBP=EHMP</t>
  </si>
  <si>
    <t>GNSS:ENSS</t>
  </si>
  <si>
    <t>GHS :EHS</t>
  </si>
  <si>
    <t>GHSS:EHSS</t>
  </si>
  <si>
    <t>GHSP:EHSP</t>
  </si>
  <si>
    <t>GHBS:EHSS</t>
  </si>
  <si>
    <t>GHBP:EHSP</t>
  </si>
  <si>
    <t>GHBS:EHMS</t>
  </si>
  <si>
    <t>GHBP:EHMP</t>
  </si>
  <si>
    <t>GNS=ENS</t>
  </si>
  <si>
    <t>GHS=EHS</t>
  </si>
  <si>
    <t>GHB=EHS</t>
  </si>
  <si>
    <t>GHB=EHM</t>
  </si>
  <si>
    <t>What is first</t>
  </si>
  <si>
    <t>BLH</t>
  </si>
  <si>
    <t>H-BL1</t>
  </si>
  <si>
    <t>GHB</t>
  </si>
  <si>
    <t>GBH</t>
  </si>
  <si>
    <t>GB-H</t>
  </si>
  <si>
    <t>H=GB</t>
  </si>
  <si>
    <t>H:BL</t>
  </si>
  <si>
    <t>H:GB</t>
  </si>
  <si>
    <t>GNS :ENS</t>
  </si>
  <si>
    <t>GHB :EHS</t>
  </si>
  <si>
    <t>GHB :EHM</t>
  </si>
  <si>
    <t>EHSP=GHBP</t>
  </si>
  <si>
    <t>EHS=GHB</t>
  </si>
  <si>
    <t>The SUB FLOOR  Drop Down List</t>
  </si>
  <si>
    <t>This is different for Lower floors</t>
  </si>
  <si>
    <t>This is Different for Sub Floors</t>
  </si>
  <si>
    <t>This is different for Upper floors</t>
  </si>
  <si>
    <t xml:space="preserve">Very Low Wind Speed entered, Are you Sure? </t>
  </si>
  <si>
    <t xml:space="preserve">Roof Height above less than 0.5m.  Are you sure? </t>
  </si>
  <si>
    <t>Options, 1, 2 or 3 means use wind zone above, 4 means use design wind speed in D4</t>
  </si>
  <si>
    <t>EHB=GHB</t>
  </si>
  <si>
    <t>EHBS=GHBS</t>
  </si>
  <si>
    <t>EHBP=GHBP</t>
  </si>
  <si>
    <t>GHB=EHB</t>
  </si>
  <si>
    <t>GHBS=EHBS</t>
  </si>
  <si>
    <t>GHBP=EHBP</t>
  </si>
  <si>
    <t>Timber Floor: 120 Bu's/m</t>
  </si>
  <si>
    <t>Did the Stud Height Change.   (Specific to the Lower Floor)</t>
  </si>
  <si>
    <t>Did the Stud Height Change.   (Specific to the SubFloor)</t>
  </si>
  <si>
    <t>Did the Stud Height Change.   (Specific to the Upper/Single)</t>
  </si>
  <si>
    <t>NB: The Elephant QuickBrace© Numbering System (and the sub-components thereof), are protected by copyright.</t>
  </si>
  <si>
    <t>The following terms and conditions apply to your use of this software..  By using this software you acknowledge and agree that you have read and understood these terms and conditions of use, and agree that these terms and conditions will apply of to your use of this software.</t>
  </si>
  <si>
    <t>Design Company Name:</t>
  </si>
  <si>
    <t>SwitchBrace Point System</t>
  </si>
  <si>
    <t>Custom Elements Table</t>
  </si>
  <si>
    <t xml:space="preserve"> Custom System Number</t>
  </si>
  <si>
    <t>Elephant QuickBrace Systems Manual  Dated October 2012</t>
  </si>
  <si>
    <t xml:space="preserve">Which Code First = </t>
  </si>
  <si>
    <t>Plasterboard on One Side</t>
  </si>
  <si>
    <t>Plasterboard on Both Sides</t>
  </si>
  <si>
    <t>Plasterboard One Side, Plywood the Other</t>
  </si>
  <si>
    <t xml:space="preserve"> Internal or External</t>
  </si>
  <si>
    <t>Elephant Multiboard one side,               Plywood the other</t>
  </si>
  <si>
    <t>General Specifications</t>
  </si>
  <si>
    <t>External Bracing Lines Only</t>
  </si>
  <si>
    <t>UNS</t>
  </si>
  <si>
    <t>UNSS</t>
  </si>
  <si>
    <t>UHS</t>
  </si>
  <si>
    <t>UHSS</t>
  </si>
  <si>
    <t>UHSP</t>
  </si>
  <si>
    <t>UHZ</t>
  </si>
  <si>
    <t>UHZS</t>
  </si>
  <si>
    <t>UHZP</t>
  </si>
  <si>
    <t>UHD</t>
  </si>
  <si>
    <t>UHDS</t>
  </si>
  <si>
    <t>UHDP</t>
  </si>
  <si>
    <t>DNS</t>
  </si>
  <si>
    <t>DNSS</t>
  </si>
  <si>
    <t>DHS</t>
  </si>
  <si>
    <t>DHSS</t>
  </si>
  <si>
    <t>DHSP</t>
  </si>
  <si>
    <t>DHZ</t>
  </si>
  <si>
    <t>DHZS</t>
  </si>
  <si>
    <t>DHZP</t>
  </si>
  <si>
    <t>DHB</t>
  </si>
  <si>
    <t>DHBS</t>
  </si>
  <si>
    <t>DHBP</t>
  </si>
  <si>
    <t>Left External</t>
  </si>
  <si>
    <t>Right External</t>
  </si>
  <si>
    <t>Let Externals</t>
  </si>
  <si>
    <t>Eq</t>
  </si>
  <si>
    <t>Right Externals</t>
  </si>
  <si>
    <t>Bracing Corner Pattern</t>
  </si>
  <si>
    <t>EHSc</t>
  </si>
  <si>
    <t>EHMc</t>
  </si>
  <si>
    <t>EHSSc</t>
  </si>
  <si>
    <t>EHMSc</t>
  </si>
  <si>
    <t>EHSPc</t>
  </si>
  <si>
    <t>EHMPc</t>
  </si>
  <si>
    <t>as per</t>
  </si>
  <si>
    <t>Elephant Systems</t>
  </si>
  <si>
    <t>Specified in kPA</t>
  </si>
  <si>
    <t>1 or 2, 1 NOW means  slab, 2 means no its on a subfloor</t>
  </si>
  <si>
    <t>Wind Speed</t>
  </si>
  <si>
    <t>Is the total weight near  the roof level</t>
  </si>
  <si>
    <t xml:space="preserve">Note for a rectangular building roof width x roof length gives </t>
  </si>
  <si>
    <t>ZNS</t>
  </si>
  <si>
    <t>ZHF</t>
  </si>
  <si>
    <t>ZHB</t>
  </si>
  <si>
    <t>ZNSS</t>
  </si>
  <si>
    <t>ZHFS</t>
  </si>
  <si>
    <t>ZHBS</t>
  </si>
  <si>
    <t>ZHSP</t>
  </si>
  <si>
    <t>ZHFP</t>
  </si>
  <si>
    <t>ZHBP</t>
  </si>
  <si>
    <t>ZHS</t>
  </si>
  <si>
    <t>ZHSS</t>
  </si>
  <si>
    <t>These are the results of a Prodlink Lookup</t>
  </si>
  <si>
    <t>Room in roof space (Upper of Single?</t>
  </si>
  <si>
    <t>Room in roof space (Lower)?</t>
  </si>
  <si>
    <t>Engineering Company Name:</t>
  </si>
  <si>
    <t>Project Demands Floor Limit</t>
  </si>
  <si>
    <t>Are all getting their values from the Project Demand Tab</t>
  </si>
  <si>
    <t>This is Prodlink  BC11:BD84</t>
  </si>
  <si>
    <t>Left Externals</t>
  </si>
  <si>
    <t>DN-S</t>
  </si>
  <si>
    <t>DH-Z</t>
  </si>
  <si>
    <t>DH-B</t>
  </si>
  <si>
    <t>DN-SS</t>
  </si>
  <si>
    <t>DH-ZS</t>
  </si>
  <si>
    <t>DH-BS</t>
  </si>
  <si>
    <t>DH-SP</t>
  </si>
  <si>
    <t>DH-ZP</t>
  </si>
  <si>
    <t>DH-BP</t>
  </si>
  <si>
    <t>DH-S</t>
  </si>
  <si>
    <t>DH-SS</t>
  </si>
  <si>
    <t>DS-N</t>
  </si>
  <si>
    <t>DZ-H</t>
  </si>
  <si>
    <t>DB-H</t>
  </si>
  <si>
    <t>DSS-N</t>
  </si>
  <si>
    <t>DZS-H</t>
  </si>
  <si>
    <t>DBS-H</t>
  </si>
  <si>
    <t>DSP-H</t>
  </si>
  <si>
    <t>DZP-H</t>
  </si>
  <si>
    <t>DBP-H</t>
  </si>
  <si>
    <t>DS-H</t>
  </si>
  <si>
    <t>DSS-H</t>
  </si>
  <si>
    <t>GENS</t>
  </si>
  <si>
    <t>GEHZ</t>
  </si>
  <si>
    <t>GEHB</t>
  </si>
  <si>
    <t>GENSS</t>
  </si>
  <si>
    <t>GEHZS</t>
  </si>
  <si>
    <t>GEHBS</t>
  </si>
  <si>
    <t>GEHSP</t>
  </si>
  <si>
    <t>GEHZP</t>
  </si>
  <si>
    <t>GEHBP</t>
  </si>
  <si>
    <t>GEHS</t>
  </si>
  <si>
    <t>GEHSS</t>
  </si>
  <si>
    <t>N-DS</t>
  </si>
  <si>
    <t>H-DZ</t>
  </si>
  <si>
    <t>H-DB</t>
  </si>
  <si>
    <t>N-DSS</t>
  </si>
  <si>
    <t>H-DZS</t>
  </si>
  <si>
    <t>H-DBS</t>
  </si>
  <si>
    <t>H-DSP</t>
  </si>
  <si>
    <t>H-DZP</t>
  </si>
  <si>
    <t>H-DBP</t>
  </si>
  <si>
    <t>H-DS</t>
  </si>
  <si>
    <t>H-DSS</t>
  </si>
  <si>
    <t>Wind Speed=</t>
  </si>
  <si>
    <t>Wind Zone calculator resulted in "Specific Design". Consider entering known maximum Wind Speeds</t>
  </si>
  <si>
    <t xml:space="preserve">  </t>
  </si>
  <si>
    <r>
      <t xml:space="preserve">Elephant Plasterboard </t>
    </r>
    <r>
      <rPr>
        <sz val="12"/>
        <rFont val="Arial"/>
        <family val="2"/>
      </rPr>
      <t>®</t>
    </r>
    <r>
      <rPr>
        <sz val="10"/>
        <rFont val="Arial"/>
        <family val="2"/>
      </rPr>
      <t xml:space="preserve">  (EPB)  </t>
    </r>
  </si>
  <si>
    <r>
      <t>QuickBrace</t>
    </r>
    <r>
      <rPr>
        <sz val="10"/>
        <rFont val="Calibri"/>
        <family val="2"/>
      </rPr>
      <t>©</t>
    </r>
    <r>
      <rPr>
        <sz val="10"/>
        <rFont val="Arial"/>
        <family val="2"/>
      </rPr>
      <t xml:space="preserve">  System Number</t>
    </r>
  </si>
  <si>
    <t>EHSS</t>
  </si>
  <si>
    <t>EPB</t>
  </si>
  <si>
    <r>
      <t>QuickBrace</t>
    </r>
    <r>
      <rPr>
        <sz val="10"/>
        <color indexed="9"/>
        <rFont val="Calibri"/>
        <family val="2"/>
      </rPr>
      <t>©</t>
    </r>
    <r>
      <rPr>
        <sz val="10"/>
        <color indexed="9"/>
        <rFont val="Arial"/>
        <family val="2"/>
      </rPr>
      <t xml:space="preserve">                       First Principles</t>
    </r>
  </si>
  <si>
    <t xml:space="preserve">EPB </t>
  </si>
  <si>
    <t xml:space="preserve"> EPB</t>
  </si>
  <si>
    <t xml:space="preserve"> Performance</t>
  </si>
  <si>
    <r>
      <t>Elephant QuickBrace</t>
    </r>
    <r>
      <rPr>
        <b/>
        <sz val="11"/>
        <rFont val="Calibri"/>
        <family val="2"/>
      </rPr>
      <t>©</t>
    </r>
    <r>
      <rPr>
        <b/>
        <sz val="11"/>
        <rFont val="Arial"/>
        <family val="2"/>
      </rPr>
      <t xml:space="preserve">      Bracing Systems</t>
    </r>
  </si>
  <si>
    <t>EHMS</t>
  </si>
  <si>
    <t>EHMP</t>
  </si>
  <si>
    <t>abz</t>
  </si>
  <si>
    <t>Steel Stud System</t>
  </si>
  <si>
    <r>
      <t xml:space="preserve">ECHS  </t>
    </r>
    <r>
      <rPr>
        <sz val="10"/>
        <rFont val="Calibri"/>
        <family val="2"/>
      </rPr>
      <t>≥</t>
    </r>
    <r>
      <rPr>
        <sz val="10"/>
        <rFont val="Arial"/>
        <family val="2"/>
      </rPr>
      <t>0.4</t>
    </r>
  </si>
  <si>
    <r>
      <t xml:space="preserve">ECHS  </t>
    </r>
    <r>
      <rPr>
        <sz val="10"/>
        <rFont val="Calibri"/>
        <family val="2"/>
      </rPr>
      <t>≥</t>
    </r>
    <r>
      <rPr>
        <sz val="10"/>
        <rFont val="Arial"/>
        <family val="2"/>
      </rPr>
      <t>1.2</t>
    </r>
  </si>
  <si>
    <r>
      <t xml:space="preserve">ECHSS </t>
    </r>
    <r>
      <rPr>
        <sz val="10"/>
        <rFont val="Calibri"/>
        <family val="2"/>
      </rPr>
      <t>≥</t>
    </r>
    <r>
      <rPr>
        <sz val="10"/>
        <rFont val="Arial"/>
        <family val="2"/>
      </rPr>
      <t>0.4</t>
    </r>
  </si>
  <si>
    <r>
      <t xml:space="preserve">ECHSS </t>
    </r>
    <r>
      <rPr>
        <sz val="10"/>
        <rFont val="Calibri"/>
        <family val="2"/>
      </rPr>
      <t>≥</t>
    </r>
    <r>
      <rPr>
        <sz val="10"/>
        <rFont val="Arial"/>
        <family val="2"/>
      </rPr>
      <t>0.6</t>
    </r>
  </si>
  <si>
    <r>
      <t xml:space="preserve">ECHM   </t>
    </r>
    <r>
      <rPr>
        <sz val="10"/>
        <rFont val="Calibri"/>
        <family val="2"/>
      </rPr>
      <t>≥</t>
    </r>
    <r>
      <rPr>
        <sz val="10"/>
        <rFont val="Arial"/>
        <family val="2"/>
      </rPr>
      <t>0.4</t>
    </r>
  </si>
  <si>
    <r>
      <t xml:space="preserve">ECHM   </t>
    </r>
    <r>
      <rPr>
        <sz val="10"/>
        <rFont val="Calibri"/>
        <family val="2"/>
      </rPr>
      <t>≥</t>
    </r>
    <r>
      <rPr>
        <sz val="10"/>
        <rFont val="Arial"/>
        <family val="2"/>
      </rPr>
      <t>0.6</t>
    </r>
  </si>
  <si>
    <r>
      <t xml:space="preserve">ECHMP </t>
    </r>
    <r>
      <rPr>
        <sz val="10"/>
        <rFont val="Calibri"/>
        <family val="2"/>
      </rPr>
      <t>≥</t>
    </r>
    <r>
      <rPr>
        <sz val="10"/>
        <rFont val="Arial"/>
        <family val="2"/>
      </rPr>
      <t>0.4</t>
    </r>
  </si>
  <si>
    <r>
      <t xml:space="preserve">ECHMP </t>
    </r>
    <r>
      <rPr>
        <sz val="10"/>
        <rFont val="Calibri"/>
        <family val="2"/>
      </rPr>
      <t>≥</t>
    </r>
    <r>
      <rPr>
        <sz val="10"/>
        <rFont val="Arial"/>
        <family val="2"/>
      </rPr>
      <t>0.6</t>
    </r>
  </si>
  <si>
    <t>Performance based on 2.4m Stud Height</t>
  </si>
  <si>
    <t>Internal or External Wall?</t>
  </si>
  <si>
    <t xml:space="preserve">Lining Requirements </t>
  </si>
  <si>
    <t>Roof Pitch entered is more than 15 deg. different from the Trig. Calculated Pitch based on the Roof Width  &amp; Roof Height entered.  Recheck</t>
  </si>
  <si>
    <t xml:space="preserve">EPB on Steel </t>
  </si>
  <si>
    <t>PH  0800 ELEPHANT  (353-742) for Assistance</t>
  </si>
  <si>
    <t xml:space="preserve">Elephant Plasterboard       </t>
  </si>
  <si>
    <t>Masonry or Piles</t>
  </si>
  <si>
    <t xml:space="preserve"> Steel Stud Systems</t>
  </si>
  <si>
    <t>ESN</t>
  </si>
  <si>
    <t>ESH</t>
  </si>
  <si>
    <t>EMH</t>
  </si>
  <si>
    <t>ESSN</t>
  </si>
  <si>
    <t>EMSH</t>
  </si>
  <si>
    <t>ESPH</t>
  </si>
  <si>
    <t>EMPH</t>
  </si>
  <si>
    <t>ESSH</t>
  </si>
  <si>
    <t>ES-N</t>
  </si>
  <si>
    <t>ES-H</t>
  </si>
  <si>
    <t>EM-H</t>
  </si>
  <si>
    <t>ES:N</t>
  </si>
  <si>
    <t>ES:H</t>
  </si>
  <si>
    <t>EM:H</t>
  </si>
  <si>
    <t>ESS:N</t>
  </si>
  <si>
    <t>ESS:H</t>
  </si>
  <si>
    <t>EMS:H</t>
  </si>
  <si>
    <t>ESP:H</t>
  </si>
  <si>
    <t>EMP:H</t>
  </si>
  <si>
    <t>Bot. External</t>
  </si>
  <si>
    <t>Top External</t>
  </si>
  <si>
    <t>Top, Bottom OR Internal</t>
  </si>
  <si>
    <t>Min. Bu's per either External side of Project=</t>
  </si>
  <si>
    <t>These are the results of a Prod link Lookup</t>
  </si>
  <si>
    <t>This is Prod link  BC11:BD73</t>
  </si>
  <si>
    <t xml:space="preserve">  Warnings and Suggestions</t>
  </si>
  <si>
    <t>ESHc</t>
  </si>
  <si>
    <t>EMHc</t>
  </si>
  <si>
    <t>Calc Done in Bu's or kN</t>
  </si>
  <si>
    <t>Bu's</t>
  </si>
  <si>
    <t>Bu's or Kilo Newtons</t>
  </si>
  <si>
    <t>kN's</t>
  </si>
  <si>
    <t>Bu's Msg</t>
  </si>
  <si>
    <t>kN Msg</t>
  </si>
  <si>
    <t>MSG Used</t>
  </si>
  <si>
    <t>Alt Demand (Bu's)</t>
  </si>
  <si>
    <t>Alt Demand (kN's)</t>
  </si>
  <si>
    <t>Demands (Bu's)</t>
  </si>
  <si>
    <t>Demands (kN's)</t>
  </si>
  <si>
    <t>Timber Floor Limit: 6.0 kN/m</t>
  </si>
  <si>
    <t>Slab Floor Limit: 7.5 kN/m</t>
  </si>
  <si>
    <t>Used</t>
  </si>
  <si>
    <t>Upper Along</t>
  </si>
  <si>
    <t>Upper Across</t>
  </si>
  <si>
    <t>Upper EQ</t>
  </si>
  <si>
    <t>Lower Along</t>
  </si>
  <si>
    <t>Lower Across</t>
  </si>
  <si>
    <t>Lower EQ</t>
  </si>
  <si>
    <t>Sub Floor Along</t>
  </si>
  <si>
    <t>Sub Floor Across</t>
  </si>
  <si>
    <t>Sub Floor EQ</t>
  </si>
  <si>
    <t>Timber: 6.0 kN/m</t>
  </si>
  <si>
    <t>Slab: 7.5 kN/m</t>
  </si>
  <si>
    <t>This form filled out by:</t>
  </si>
  <si>
    <t xml:space="preserve">Lower Storey Building Length </t>
  </si>
  <si>
    <t xml:space="preserve">Lower Storey Building Width </t>
  </si>
  <si>
    <r>
      <t>Per M/M</t>
    </r>
    <r>
      <rPr>
        <b/>
        <sz val="10"/>
        <color indexed="8"/>
        <rFont val="Calibri"/>
        <family val="2"/>
      </rPr>
      <t>²</t>
    </r>
  </si>
  <si>
    <t>Bu's or Newtons</t>
  </si>
  <si>
    <t>If Newtons then</t>
  </si>
  <si>
    <t>Factor</t>
  </si>
  <si>
    <t xml:space="preserve">Alt.  Demand?  (not used) </t>
  </si>
  <si>
    <t>Newtons</t>
  </si>
  <si>
    <t>Min/Line</t>
  </si>
  <si>
    <t>Min/metre</t>
  </si>
  <si>
    <t>6.0kN</t>
  </si>
  <si>
    <t>7.5kN</t>
  </si>
  <si>
    <t>BU Messages</t>
  </si>
  <si>
    <t>"Min Bu's entered &lt; 100"</t>
  </si>
  <si>
    <t>Bu/m</t>
  </si>
  <si>
    <t>Achieved Bu's</t>
  </si>
  <si>
    <t>Minimum Bu's Req. on each Bracing Line =</t>
  </si>
  <si>
    <t>kN Messages</t>
  </si>
  <si>
    <t>"Min kN's entered &lt; 5kN "</t>
  </si>
  <si>
    <t>kN/m</t>
  </si>
  <si>
    <t>Achieved kN's</t>
  </si>
  <si>
    <t>Floor Type Max kN's/m or SED</t>
  </si>
  <si>
    <t>Min. kN's per either External side of Project=</t>
  </si>
  <si>
    <t>Minimum kN's Req. on each Bracing Line =</t>
  </si>
  <si>
    <t>Achieved kN's =</t>
  </si>
  <si>
    <t>MSG USED</t>
  </si>
  <si>
    <t>Check Length?</t>
  </si>
  <si>
    <t>Minimum Required on External Lines=</t>
  </si>
  <si>
    <t>kN's/m   Wind</t>
  </si>
  <si>
    <t>kN's/m   EQ</t>
  </si>
  <si>
    <t>Original in Bu's   for ENTRY</t>
  </si>
  <si>
    <t>ESSN≥0.4</t>
  </si>
  <si>
    <t>ESSN≥1.2</t>
  </si>
  <si>
    <t>ESSH≥0.4</t>
  </si>
  <si>
    <t>ESSH≥1.2</t>
  </si>
  <si>
    <t>EMSH≥0.4</t>
  </si>
  <si>
    <t>EMSH≥1.2</t>
  </si>
  <si>
    <t>ESPH≥0.4</t>
  </si>
  <si>
    <t>ESPH≥1.2</t>
  </si>
  <si>
    <t>EMPH≥0.4</t>
  </si>
  <si>
    <t>EMPH≥1.2</t>
  </si>
  <si>
    <r>
      <t>COPY/PASTE the table below                                         (bordered by the thick</t>
    </r>
    <r>
      <rPr>
        <sz val="10"/>
        <color indexed="17"/>
        <rFont val="Arial"/>
        <family val="2"/>
      </rPr>
      <t xml:space="preserve"> </t>
    </r>
    <r>
      <rPr>
        <b/>
        <sz val="10"/>
        <color indexed="17"/>
        <rFont val="Arial"/>
        <family val="2"/>
      </rPr>
      <t>Green</t>
    </r>
    <r>
      <rPr>
        <sz val="10"/>
        <rFont val="Arial"/>
        <family val="2"/>
      </rPr>
      <t xml:space="preserve"> line)</t>
    </r>
  </si>
  <si>
    <t>Sub is Diff</t>
  </si>
  <si>
    <t>ESH (not used)</t>
  </si>
  <si>
    <t>ESSH (not used)</t>
  </si>
  <si>
    <t>ESPH (not used)</t>
  </si>
  <si>
    <t>EHM (not used)</t>
  </si>
  <si>
    <t>EHMS (not used)</t>
  </si>
  <si>
    <t>EHMP (not used )</t>
  </si>
  <si>
    <t>EHSP (not used)</t>
  </si>
  <si>
    <t>EHS (not used)</t>
  </si>
  <si>
    <t>EHSS (not used)</t>
  </si>
  <si>
    <t xml:space="preserve">Ply System. Is it an External Wall?   </t>
  </si>
  <si>
    <t xml:space="preserve">Is the Plasterboard on the exterior?     </t>
  </si>
  <si>
    <t>Offset</t>
  </si>
  <si>
    <t xml:space="preserve">Upper Level Cladding Weight (excl. frame) &gt; 200kg/m2 </t>
  </si>
  <si>
    <t xml:space="preserve">Lower Level Cladding Weight (excl. frame) &gt; 200kg/m2 </t>
  </si>
  <si>
    <t xml:space="preserve">Subfloor Cladding Weight (excl. frame weight) &gt; 200kg/m2 </t>
  </si>
  <si>
    <t>EQ Demand Increased to Resist an Annual EQ Exceedance Probability of 1 per 1000 yrs.</t>
  </si>
  <si>
    <t>EQ Demand Increased to Resist an Annual EQ Exceedance Probability of 1 per 2500 yrs.</t>
  </si>
  <si>
    <t>Lower Level Demand</t>
  </si>
  <si>
    <t xml:space="preserve">If Bu's then </t>
  </si>
  <si>
    <t>Date Input from Project Demand Page</t>
  </si>
  <si>
    <t>SUMMARY OF RESULTS</t>
  </si>
  <si>
    <t>Reverse Factor</t>
  </si>
  <si>
    <t xml:space="preserve">Room in roof space?/Area Upper/ </t>
  </si>
  <si>
    <t>Room in roof space?/Area Lower</t>
  </si>
  <si>
    <t xml:space="preserve">The Wind and Earthquake FP Demand Methodology detailed below has been kindly provided by Senior Structural Engineers at BRANZ.  </t>
  </si>
  <si>
    <t>Wind Loads Calculations</t>
  </si>
  <si>
    <t>Total Wind Demand in BU's or kN</t>
  </si>
  <si>
    <t>Total EQ Demand in BU's or kN</t>
  </si>
  <si>
    <t>Earthquake loads Calculations</t>
  </si>
  <si>
    <t>Converted Back to kN's if applicable</t>
  </si>
  <si>
    <t>1.</t>
  </si>
  <si>
    <t>2.</t>
  </si>
  <si>
    <t>3.</t>
  </si>
  <si>
    <t>Convert to Bracing Units</t>
  </si>
  <si>
    <t>FOR ENTRY</t>
  </si>
  <si>
    <t>Note, cells coloured  yellow</t>
  </si>
  <si>
    <t>This calculates which Roof Pitch to use</t>
  </si>
  <si>
    <t>Enter Topographic Class and Calculate Wind Zone</t>
  </si>
  <si>
    <t>Calc Topographic Class and Calculate Wind Zone</t>
  </si>
  <si>
    <t>Subfloor Demand</t>
  </si>
  <si>
    <t>5)</t>
  </si>
  <si>
    <t>6)</t>
  </si>
  <si>
    <t>Therefore Keep an original copy or template. And start each new project from the original software file</t>
  </si>
  <si>
    <t>They can be copy/pasted into alternative bracing software.</t>
  </si>
  <si>
    <t>The Tables below are useful for dropping the system numbers and performances into alternative software</t>
  </si>
  <si>
    <t>Comments or Suggestions (Not Printed)</t>
  </si>
  <si>
    <t>Warnings &amp; Comments: (Printed)</t>
  </si>
  <si>
    <t>Warnings &amp; Comments: (Not Printed)</t>
  </si>
  <si>
    <t>Warnings  (Printed)</t>
  </si>
  <si>
    <t>Top    Line</t>
  </si>
  <si>
    <t>Bottom Line</t>
  </si>
  <si>
    <t>* Calculated Minimum Req./Line Overridden</t>
  </si>
  <si>
    <t>Masonry: on an internal wall?</t>
  </si>
  <si>
    <t xml:space="preserve">Ply System on Internal  Wall?    </t>
  </si>
  <si>
    <t>Masonry: Is it an External Wall?</t>
  </si>
  <si>
    <t>The systems below can be Copy Pasted into the Custom Element table on the left if required</t>
  </si>
  <si>
    <t>Masonry or Pile SUB FLOOR SYSTEMS from Section 5  NZS3604:2011</t>
  </si>
  <si>
    <t>Internal or External</t>
  </si>
  <si>
    <t>Length:Height ratio of &gt;=0.75 BUT &lt; 1.5</t>
  </si>
  <si>
    <t>Length:Height ratio of &gt;=4.5</t>
  </si>
  <si>
    <t>Length:Height ratio of &gt;=3.0 BUT &lt; 4.5</t>
  </si>
  <si>
    <t>Length:Height ratio of &gt;=1.5 BUT &lt; 3.0</t>
  </si>
  <si>
    <t>Pile Systems whose performance is provided by the unit</t>
  </si>
  <si>
    <t>Provides Bracing only in one direction.</t>
  </si>
  <si>
    <r>
      <t>Enter Element Length and a QuickBrace</t>
    </r>
    <r>
      <rPr>
        <b/>
        <sz val="10"/>
        <rFont val="Calibri"/>
        <family val="2"/>
      </rPr>
      <t>©</t>
    </r>
    <r>
      <rPr>
        <b/>
        <sz val="10"/>
        <rFont val="Arial"/>
        <family val="2"/>
      </rPr>
      <t xml:space="preserve"> System Number as required in each Line Label</t>
    </r>
  </si>
  <si>
    <t xml:space="preserve">alt </t>
  </si>
  <si>
    <t>These are the ALT  results of a Prodlink Lookup</t>
  </si>
  <si>
    <t>This is Prodlink  BC11:BD78</t>
  </si>
  <si>
    <t>Drop Down Boxes</t>
  </si>
  <si>
    <t>Wasted</t>
  </si>
  <si>
    <t>Vertical</t>
  </si>
  <si>
    <t>Horizontal</t>
  </si>
  <si>
    <t>Line Position Switch</t>
  </si>
  <si>
    <t>Is Along Lines Horizontal (1) or Vertical (2) Switch?</t>
  </si>
  <si>
    <t>Outside the Zone</t>
  </si>
  <si>
    <t>A: Hard Rock</t>
  </si>
  <si>
    <t>Other</t>
  </si>
  <si>
    <t>More Bracing Lines available between rows 68 to 79. Unhide if required</t>
  </si>
  <si>
    <t>This is Prodlink  BC11:BD87</t>
  </si>
  <si>
    <t>Masonry Walls: Performance is influenced by the wall height to wall length ratios</t>
  </si>
  <si>
    <t>Did the Stud Height Change.   (Specific to the Subfloor)</t>
  </si>
  <si>
    <t>Left ,Right OR Internal</t>
  </si>
  <si>
    <t>Left    Line</t>
  </si>
  <si>
    <t>Right  Line</t>
  </si>
  <si>
    <t>ES-N≥0.4</t>
  </si>
  <si>
    <t>ES-N≥1.8</t>
  </si>
  <si>
    <t>ES-H≥0.4</t>
  </si>
  <si>
    <t>ES-H≥1.8</t>
  </si>
  <si>
    <t>EM-H≥0.4</t>
  </si>
  <si>
    <t>EM-H≥1.2</t>
  </si>
  <si>
    <t>* Floor type design limit declined</t>
  </si>
  <si>
    <t>* Floor type design limit Not Optimised</t>
  </si>
  <si>
    <t>Chosen?</t>
  </si>
  <si>
    <t>Project Demand choice</t>
  </si>
  <si>
    <t>Along Choice</t>
  </si>
  <si>
    <t>3 Levels</t>
  </si>
  <si>
    <t>Declined</t>
  </si>
  <si>
    <t>Check for not opt</t>
  </si>
  <si>
    <t>Not Opt</t>
  </si>
  <si>
    <t>Custom15</t>
  </si>
  <si>
    <t>Custom16</t>
  </si>
  <si>
    <t>Custom17</t>
  </si>
  <si>
    <t>Custom18</t>
  </si>
  <si>
    <t>* Double on Subfloor with Timber or Concrete Base,         3 levels: Should the Demands be Specific Design?</t>
  </si>
  <si>
    <t xml:space="preserve">  Line:  Min. Requirement</t>
  </si>
  <si>
    <t xml:space="preserve">Remember to select the External Line bracing elements correctly in column "D", in order to allow the software to check if the minimum bracing required on these external lines equal or exceed the requirements under the rules of NZS3604:2011 </t>
  </si>
  <si>
    <r>
      <rPr>
        <b/>
        <u/>
        <sz val="10"/>
        <color indexed="10"/>
        <rFont val="Arial"/>
        <family val="2"/>
      </rPr>
      <t>Resetting</t>
    </r>
    <r>
      <rPr>
        <b/>
        <sz val="10"/>
        <color indexed="10"/>
        <rFont val="Arial"/>
        <family val="2"/>
      </rPr>
      <t xml:space="preserve"> the Sheets to their original Settings</t>
    </r>
  </si>
  <si>
    <t>When changing certain fields such as Wall Type (Internal or External) , Element Height, Line Labels etc. then the formulas embedded in those cells won't be Reset back to their original formula settings the next time the spreadsheet is used.</t>
  </si>
  <si>
    <t>These are converted back to kN if applicable</t>
  </si>
  <si>
    <t>Determined Wind Zone =</t>
  </si>
  <si>
    <t>Not Available</t>
  </si>
  <si>
    <t>Calculate</t>
  </si>
  <si>
    <t>Calculated  Topographic  Class =</t>
  </si>
  <si>
    <t>Demand Source=</t>
  </si>
  <si>
    <t>Subject to the applicable laws, under no circumstances, including, but not limited to negligence, shall  Elephant Plasterboard (NZ) Limited be liable for any special or consequential losses or damages that may result from the use of, or the inability to use, the materials in this software, even if any authorised representative or agent of Elephant Plasterboard (NZ) Limited has been advised of the possibility of such damages.  In all such cases, the total liability of Elephant Plasterboard (NZ) Limited to you for any and all damages, expenses, costs and losses whatsoever and however so incurred under any courses of action whatsoever, whether in contract, tort or otherwise shall not exceed any amount paid by you for access to this software.</t>
  </si>
  <si>
    <t>This software is owned and operated by Elephant Plasterboard (NZ) Limited.  No material from this software may be reproduced, republished, uploaded, posted, transmitted or distributed in any way without the prior written permission of Elephant Plasterboard (NZ) Limited, except that you may download one copy of the material on a single computer for your own personal, domestic use only, provided that you keep intact all accompanying copyright and any proprietary notices.  Modification of any of the materials or use of any of the materials for any other purpose will be a violation of Elephant Plasterboard (NZ) Limited’s copyright and other intellectual property rights.  If you download the software, title remains with Elephant Plasterboard (NZ) Limited, and you may not redistribute, sell or otherwise deal with the software without the express prior written permission of  Elephant Plasterboard (NZ) Limited.</t>
  </si>
  <si>
    <r>
      <t xml:space="preserve">ECSSH </t>
    </r>
    <r>
      <rPr>
        <sz val="10"/>
        <rFont val="Calibri"/>
        <family val="2"/>
      </rPr>
      <t>≥</t>
    </r>
    <r>
      <rPr>
        <sz val="10"/>
        <rFont val="Arial"/>
        <family val="2"/>
      </rPr>
      <t>0.4</t>
    </r>
  </si>
  <si>
    <r>
      <t xml:space="preserve">ECSSH </t>
    </r>
    <r>
      <rPr>
        <sz val="10"/>
        <rFont val="Calibri"/>
        <family val="2"/>
      </rPr>
      <t>≥1.2</t>
    </r>
  </si>
  <si>
    <r>
      <t xml:space="preserve">ECMPH </t>
    </r>
    <r>
      <rPr>
        <sz val="10"/>
        <rFont val="Calibri"/>
        <family val="2"/>
      </rPr>
      <t>≥</t>
    </r>
    <r>
      <rPr>
        <sz val="10"/>
        <rFont val="Arial"/>
        <family val="2"/>
      </rPr>
      <t>0.4</t>
    </r>
  </si>
  <si>
    <r>
      <t xml:space="preserve">ECMPH </t>
    </r>
    <r>
      <rPr>
        <sz val="10"/>
        <rFont val="Calibri"/>
        <family val="2"/>
      </rPr>
      <t>≥1.2</t>
    </r>
  </si>
  <si>
    <t>Regular</t>
  </si>
  <si>
    <t>Condensed</t>
  </si>
  <si>
    <t>Fixing   Pattern</t>
  </si>
  <si>
    <r>
      <t xml:space="preserve">ECS-H  </t>
    </r>
    <r>
      <rPr>
        <sz val="10"/>
        <rFont val="Calibri"/>
        <family val="2"/>
      </rPr>
      <t>≥</t>
    </r>
    <r>
      <rPr>
        <sz val="10"/>
        <rFont val="Arial"/>
        <family val="2"/>
      </rPr>
      <t>0.4</t>
    </r>
  </si>
  <si>
    <r>
      <t xml:space="preserve">ECS-H  </t>
    </r>
    <r>
      <rPr>
        <sz val="10"/>
        <rFont val="Calibri"/>
        <family val="2"/>
      </rPr>
      <t>≥</t>
    </r>
    <r>
      <rPr>
        <sz val="10"/>
        <rFont val="Arial"/>
        <family val="2"/>
      </rPr>
      <t>1.2</t>
    </r>
  </si>
  <si>
    <r>
      <t xml:space="preserve">ECM-H  </t>
    </r>
    <r>
      <rPr>
        <sz val="10"/>
        <rFont val="Calibri"/>
        <family val="2"/>
      </rPr>
      <t>≥1.2</t>
    </r>
  </si>
  <si>
    <r>
      <t xml:space="preserve">ECM-H  </t>
    </r>
    <r>
      <rPr>
        <sz val="10"/>
        <rFont val="Calibri"/>
        <family val="2"/>
      </rPr>
      <t>≥</t>
    </r>
    <r>
      <rPr>
        <sz val="10"/>
        <rFont val="Arial"/>
        <family val="2"/>
      </rPr>
      <t>0.4</t>
    </r>
  </si>
  <si>
    <t>Masonry  &amp; Piles</t>
  </si>
  <si>
    <r>
      <t xml:space="preserve">For Steel Stud Walls …Copy/Paste these systems (bordered by the </t>
    </r>
    <r>
      <rPr>
        <b/>
        <sz val="10"/>
        <color rgb="FF00B050"/>
        <rFont val="Arial"/>
        <family val="2"/>
      </rPr>
      <t>Green Line)</t>
    </r>
    <r>
      <rPr>
        <b/>
        <sz val="10"/>
        <color indexed="10"/>
        <rFont val="Arial"/>
        <family val="2"/>
      </rPr>
      <t xml:space="preserve"> into the Table on the left</t>
    </r>
  </si>
  <si>
    <t>Elephant Standard one side,          Plywood the other</t>
  </si>
  <si>
    <t>Elephant Standard  one side</t>
  </si>
  <si>
    <t xml:space="preserve">Elephant Standard  both sides </t>
  </si>
  <si>
    <t>Elephant Standard  both sides</t>
  </si>
  <si>
    <t>Elephant Multiboard one side,           Elephant Standard  the other</t>
  </si>
  <si>
    <t>Elephant Standard one side,         Plywood the other</t>
  </si>
  <si>
    <t xml:space="preserve">Elephant Standard  one side </t>
  </si>
  <si>
    <t xml:space="preserve">Elephant Standard  sides </t>
  </si>
  <si>
    <t>This agreement shall be governed and construed in accordance with the laws of New Zealand.  If any provision of these terms and conditions or this agreement shall be found to be unlawful, void or for any reason unenforceable then that provision shall be deemed to be severed from these terms and conditions of this agreement and shall not affect the validity or enforceability of the remaining provisions.  You agree that these terms and conditions represent the entire agreement between the parties relating to the subject matter therein, and may not be modified except by agreement in writing signed by  Elephant Plasterboard (NZ) Limited.</t>
  </si>
  <si>
    <r>
      <t>QuickBrace</t>
    </r>
    <r>
      <rPr>
        <sz val="10"/>
        <color indexed="9"/>
        <rFont val="Calibri"/>
        <family val="2"/>
      </rPr>
      <t>©</t>
    </r>
    <r>
      <rPr>
        <sz val="10"/>
        <color indexed="9"/>
        <rFont val="Arial"/>
        <family val="2"/>
      </rPr>
      <t xml:space="preserve">                        First Principles</t>
    </r>
  </si>
  <si>
    <t>As you  view the Plan,  are the Along Lines Horizontal or Vertical?   ------&gt;</t>
  </si>
  <si>
    <t>For each new project, we recommend that you save the file as a unique file name.  E.g.  Using the Street address of the project as the unique file name.</t>
  </si>
  <si>
    <r>
      <t xml:space="preserve">If the EXTERNAL </t>
    </r>
    <r>
      <rPr>
        <b/>
        <u/>
        <sz val="10"/>
        <rFont val="Arial"/>
        <family val="2"/>
      </rPr>
      <t xml:space="preserve">Along </t>
    </r>
    <r>
      <rPr>
        <b/>
        <sz val="10"/>
        <rFont val="Arial"/>
        <family val="2"/>
      </rPr>
      <t>lines are at the Top and Bottom of the plan then select 'Horizontal'</t>
    </r>
  </si>
  <si>
    <r>
      <t xml:space="preserve">If the EXTERNAL </t>
    </r>
    <r>
      <rPr>
        <b/>
        <u/>
        <sz val="10"/>
        <rFont val="Arial"/>
        <family val="2"/>
      </rPr>
      <t>Along</t>
    </r>
    <r>
      <rPr>
        <b/>
        <sz val="10"/>
        <rFont val="Arial"/>
        <family val="2"/>
      </rPr>
      <t xml:space="preserve"> Lines are at the Left and Right hand side of the plan then select 'Vertical'</t>
    </r>
  </si>
  <si>
    <t>This will assist in determining in the Along and Across solutions sheets what the direction and the position of the External lines are. Ultimately to ensure compliance with NZS 3604:2011  rules regarding minimum BU requirements on External lines.</t>
  </si>
  <si>
    <t>&lt;=====</t>
  </si>
  <si>
    <t>Mod: &gt;0.15 to 0.20</t>
  </si>
  <si>
    <t>Mild: &gt;0.10 to 0.15</t>
  </si>
  <si>
    <t>Low: &gt;0.05 to 0.10</t>
  </si>
  <si>
    <t>≤</t>
  </si>
  <si>
    <t>Gentle: ≤0.05</t>
  </si>
  <si>
    <t xml:space="preserve">Claddings &gt;60kg/m2 (Excl. frame) on walls 7m above ground </t>
  </si>
  <si>
    <t>QuickBrace (FP)</t>
  </si>
  <si>
    <t>Internal or External Usage</t>
  </si>
  <si>
    <t xml:space="preserve">The calculations are viewable in order to allow engineers and designers to feel confident that the bracing demand calculations are done correctly.         </t>
  </si>
  <si>
    <r>
      <t>Please email</t>
    </r>
    <r>
      <rPr>
        <b/>
        <sz val="15"/>
        <rFont val="Arial"/>
        <family val="2"/>
      </rPr>
      <t xml:space="preserve"> kevinv@elephantpb.co.nz</t>
    </r>
    <r>
      <rPr>
        <b/>
        <sz val="15"/>
        <color rgb="FF0070C0"/>
        <rFont val="Arial"/>
        <family val="2"/>
      </rPr>
      <t xml:space="preserve"> if you wish to provide any comment or suggestions for improvement to the accuracy of the final demands that are calculated.</t>
    </r>
  </si>
  <si>
    <t>ES-NR</t>
  </si>
  <si>
    <t>ESSNR</t>
  </si>
  <si>
    <t xml:space="preserve">Highlight the area bordered by the thick green line and copy /paste </t>
  </si>
  <si>
    <t xml:space="preserve">Elephant Standard One side </t>
  </si>
  <si>
    <t>Elephant Multiboard One side</t>
  </si>
  <si>
    <t xml:space="preserve">Elephant Standard  Both sides </t>
  </si>
  <si>
    <t>Elephant Standard  Both sides</t>
  </si>
  <si>
    <t>Elephant Multiboard One side,           Elephant Standard  the Other</t>
  </si>
  <si>
    <t>Elephant Standard One side,          Plywood the Other</t>
  </si>
  <si>
    <t>Elephant Standard One side,         Plywood the Other</t>
  </si>
  <si>
    <t>Elephant Multiboard One side,               Plywood the Other</t>
  </si>
  <si>
    <r>
      <t>In the "Project Demand" Tab  select at cell "</t>
    </r>
    <r>
      <rPr>
        <b/>
        <sz val="10"/>
        <color rgb="FFFF0000"/>
        <rFont val="Arial"/>
        <family val="2"/>
      </rPr>
      <t>K</t>
    </r>
    <r>
      <rPr>
        <b/>
        <sz val="10"/>
        <color indexed="10"/>
        <rFont val="Arial"/>
        <family val="2"/>
      </rPr>
      <t>2</t>
    </r>
    <r>
      <rPr>
        <b/>
        <sz val="10"/>
        <rFont val="Arial"/>
        <family val="2"/>
      </rPr>
      <t xml:space="preserve">" either 'Horizontal' or ' Vertical'  </t>
    </r>
  </si>
  <si>
    <t>Provides Bracing in Both Direction</t>
  </si>
  <si>
    <t>Regular Fixing</t>
  </si>
  <si>
    <t>Interior wall height  (HLI)</t>
  </si>
  <si>
    <t>LL</t>
  </si>
  <si>
    <t>WL</t>
  </si>
  <si>
    <t>These point the sub-floor to the lengths and width directly above it</t>
  </si>
  <si>
    <t>Subfloor height  (HS)</t>
  </si>
  <si>
    <t>HS</t>
  </si>
  <si>
    <t>LS</t>
  </si>
  <si>
    <t>WS</t>
  </si>
  <si>
    <t>HLE</t>
  </si>
  <si>
    <t>CPs</t>
  </si>
  <si>
    <t>XX=</t>
  </si>
  <si>
    <t>CPR (across)</t>
  </si>
  <si>
    <t>The materials in this software is provided “as is” and without any warranties of any kind either express or implied.  To the fullest extent permitted by law, Elephant Plasterboard (NZ) Ltd disclaims all warranties, express or implied, including, but not limited to, any implied warranties of merchantability and fitness for a particular purpose.  Elephant Plasterboard (NZ) Limited does not warrant that the functions contained in the materials will be uninterrupted or error-free or that defects will be corrected, or that this site or the server that makes it available is free from any virus or other harmful elements.  Elephant Plasterboard (NZ) Limited  does not warrant or make representations regarding the accuracy, reliability, correctness, or otherwise of the materials of this software or the results of their use.</t>
  </si>
  <si>
    <r>
      <t>If these systems are required in Single or Lower Storeys then Copy/Paste selected systems (bordered by the</t>
    </r>
    <r>
      <rPr>
        <b/>
        <sz val="10"/>
        <color rgb="FF00B050"/>
        <rFont val="Arial"/>
        <family val="2"/>
      </rPr>
      <t xml:space="preserve"> Green Line)</t>
    </r>
    <r>
      <rPr>
        <b/>
        <sz val="10"/>
        <color indexed="10"/>
        <rFont val="Arial"/>
        <family val="2"/>
      </rPr>
      <t xml:space="preserve"> into the Table on the left</t>
    </r>
  </si>
  <si>
    <t>Lower Floor GPA considerably less than floor above.                     Consider Splitting into two bracing designs.</t>
  </si>
  <si>
    <t>Sub Floor GPA considerably less than floor above.                               Consider Splitting into two bracing designs.</t>
  </si>
  <si>
    <t>Specialised QuickBrace Pattern</t>
  </si>
  <si>
    <t xml:space="preserve">Elephant Standard-Plus board One side </t>
  </si>
  <si>
    <t>Elephant Standard-Plus board One side</t>
  </si>
  <si>
    <t xml:space="preserve">Elephant Standard-Plus board Both sides </t>
  </si>
  <si>
    <t>Elephant Standard-Plus board Both sides</t>
  </si>
  <si>
    <t>Elephant Multiboard One side,           Elephant Standard-Plus board the Other</t>
  </si>
  <si>
    <t>Elephant Standard-Plus board One side,       Plywood the Other</t>
  </si>
  <si>
    <t>Single Sided</t>
  </si>
  <si>
    <t>Double Sided</t>
  </si>
  <si>
    <t>Available Wall Lengths</t>
  </si>
  <si>
    <t>Single or Double Sided</t>
  </si>
  <si>
    <t>Determine if System is double sided or single sided</t>
  </si>
  <si>
    <t>Message</t>
  </si>
  <si>
    <t xml:space="preserve">Initial Suggested System </t>
  </si>
  <si>
    <t xml:space="preserve">Element # </t>
  </si>
  <si>
    <t xml:space="preserve">  Line:  Min. Requirement=</t>
  </si>
  <si>
    <t>Double Side System on Single Side Wall?</t>
  </si>
  <si>
    <t>Weight =</t>
  </si>
  <si>
    <t>Slab Floor: 150 Bu's/m</t>
  </si>
  <si>
    <t>Max Area Allowed in  Room in Roon Space</t>
  </si>
  <si>
    <t>Lower Level Room in Roof Space?</t>
  </si>
  <si>
    <t xml:space="preserve">Subfloor Stud height </t>
  </si>
  <si>
    <t>No Floor</t>
  </si>
  <si>
    <t>1.5 kPa</t>
  </si>
  <si>
    <t>2 kPa</t>
  </si>
  <si>
    <t>3 kPa</t>
  </si>
  <si>
    <t xml:space="preserve">Upper Level External Wall Height &lt; 1.8m </t>
  </si>
  <si>
    <t xml:space="preserve">External Wall Height &lt; 1.8m </t>
  </si>
  <si>
    <t>Number of Storeys</t>
  </si>
  <si>
    <t>Floor Loading</t>
  </si>
  <si>
    <t>Street and Number</t>
  </si>
  <si>
    <t>Level, Wing or Block (If applicable)</t>
  </si>
  <si>
    <t>List for Regular Fixing</t>
  </si>
  <si>
    <t>Alpha Switch</t>
  </si>
  <si>
    <t>Default Line No.</t>
  </si>
  <si>
    <t xml:space="preserve">Optimum System </t>
  </si>
  <si>
    <t>Show "Regular Plasterboard Fixing" as bracing elements</t>
  </si>
  <si>
    <t>Don’t show "Regular Plasterboard Fixing" as bracing elements</t>
  </si>
  <si>
    <t>ER1</t>
  </si>
  <si>
    <t>ER2</t>
  </si>
  <si>
    <t>Fixing Method</t>
  </si>
  <si>
    <t xml:space="preserve">Elephant Plasterboard ®  (EPB)  </t>
  </si>
  <si>
    <t>Elephant Regular Fixing                  Bracing Systems</t>
  </si>
  <si>
    <t>Any Elephant Plasterboard on Both sides</t>
  </si>
  <si>
    <t xml:space="preserve">Some of the performances detailed above that are used in this software are different to what is in the  current Printed publication.  However, the higher of either the software performances or the printed publications performances are valid and have been independently verified and Appraised. </t>
  </si>
  <si>
    <t>Panel Hold Downs?</t>
  </si>
  <si>
    <t>Any Elephant Plasterboard on One side</t>
  </si>
  <si>
    <t xml:space="preserve">Don’t Show Element Numbers for Regular Plasterboard Fixing </t>
  </si>
  <si>
    <t>Show Element Numbers for Regular Plasterboard Fixing</t>
  </si>
  <si>
    <r>
      <t>Elephant QuickBrace</t>
    </r>
    <r>
      <rPr>
        <b/>
        <sz val="15"/>
        <rFont val="Calibri"/>
        <family val="2"/>
      </rPr>
      <t>©</t>
    </r>
    <r>
      <rPr>
        <b/>
        <sz val="15"/>
        <rFont val="Arial"/>
        <family val="2"/>
      </rPr>
      <t xml:space="preserve">      Bracing Systems  Performance</t>
    </r>
  </si>
  <si>
    <r>
      <t>Elephant QuickBrace</t>
    </r>
    <r>
      <rPr>
        <b/>
        <sz val="15"/>
        <rFont val="Calibri"/>
        <family val="2"/>
      </rPr>
      <t>©</t>
    </r>
    <r>
      <rPr>
        <b/>
        <sz val="15"/>
        <rFont val="Arial"/>
        <family val="2"/>
      </rPr>
      <t xml:space="preserve">      Bracing Systems</t>
    </r>
  </si>
  <si>
    <t>Specialised QuickBrace Corner &amp; Perimeter Pattern</t>
  </si>
  <si>
    <t>Determine External Line Compliance</t>
  </si>
  <si>
    <t>Earthquake Required</t>
  </si>
  <si>
    <t>Wind           Required</t>
  </si>
  <si>
    <t>Wind          Required</t>
  </si>
  <si>
    <t>Max sqm in Upper</t>
  </si>
  <si>
    <t>Max swm in lower</t>
  </si>
  <si>
    <t>Ground Roughness (Terrain)</t>
  </si>
  <si>
    <t>Key Heights</t>
  </si>
  <si>
    <t>1 in 1000 yrs:  ( x 1.3)</t>
  </si>
  <si>
    <t>1 in 2500 yrs:  ( x 1.8)</t>
  </si>
  <si>
    <t>1 in   500 yrs:  (Default)</t>
  </si>
  <si>
    <t>Height Dependant</t>
  </si>
  <si>
    <t>Foundation Dependant</t>
  </si>
  <si>
    <t>Flag Result</t>
  </si>
  <si>
    <t>Panel Hold Downs    (Yes or No)</t>
  </si>
  <si>
    <t>XYZ Engineers</t>
  </si>
  <si>
    <t>Bracing Design Date:(dd/mm/yy)</t>
  </si>
  <si>
    <t>NB: The Elephant Regular Fixing Code &amp; the Elephant QuickBrace© Numbering System (and the sub-components thereof), are protected by copyright.</t>
  </si>
  <si>
    <t>Suggest Systems</t>
  </si>
  <si>
    <t>Don’t Suggest</t>
  </si>
  <si>
    <t>Don’t Suggest Systems</t>
  </si>
  <si>
    <t>This needs a proper offset check</t>
  </si>
  <si>
    <t>Enter Custom Systems in the "Custom Elements" tab.  These are summerised in the table below</t>
  </si>
  <si>
    <t>Custom9</t>
  </si>
  <si>
    <t>Code Indicating Regular Fixing</t>
  </si>
  <si>
    <t>Elephant Plasterboard  - Regular (Nominal) Fixing Method:  Bracing Performance</t>
  </si>
  <si>
    <t>Enter Custom Systems in the "Custom Elements" tab.  These are summarised in the table below</t>
  </si>
  <si>
    <t>Single or Double Sided System</t>
  </si>
  <si>
    <r>
      <t>X</t>
    </r>
    <r>
      <rPr>
        <vertAlign val="subscript"/>
        <sz val="12"/>
        <color theme="0"/>
        <rFont val="Arial"/>
        <family val="2"/>
      </rPr>
      <t>1</t>
    </r>
  </si>
  <si>
    <r>
      <t>X</t>
    </r>
    <r>
      <rPr>
        <vertAlign val="subscript"/>
        <sz val="12"/>
        <color theme="0"/>
        <rFont val="Arial"/>
        <family val="2"/>
      </rPr>
      <t>n</t>
    </r>
  </si>
  <si>
    <r>
      <t>X</t>
    </r>
    <r>
      <rPr>
        <vertAlign val="subscript"/>
        <sz val="12"/>
        <color theme="0"/>
        <rFont val="Arial"/>
        <family val="2"/>
      </rPr>
      <t>2</t>
    </r>
  </si>
  <si>
    <t>Regular Code</t>
  </si>
  <si>
    <t>Double Storey on a Sub Floor that has a Concrete or Timber Floor:                                                                                                    Is it 3 Full Levels and so possibly outside of NZS3604 Scope?</t>
  </si>
  <si>
    <t>Lower: Room in Roof Space Area:</t>
  </si>
  <si>
    <t>Element Resistance Limitations</t>
  </si>
  <si>
    <t xml:space="preserve">Lower Level's 'Element Resistance Limit' not Optimised </t>
  </si>
  <si>
    <t xml:space="preserve">Lower Level's 'Element Resistance Limit' Declined </t>
  </si>
  <si>
    <t xml:space="preserve">Upper or Single Level's 'Element Resistance Limit' Declined </t>
  </si>
  <si>
    <t xml:space="preserve">Upper or Single Level's 'Element Resistance Limit' not Optimised </t>
  </si>
  <si>
    <t>Limit Element Resistance to 120 bu's/m</t>
  </si>
  <si>
    <t>Limit Element Resistance to 150 bu's/m</t>
  </si>
  <si>
    <t>Floor Type &amp; Element Resistance Level</t>
  </si>
  <si>
    <t>Elephant QuickBrace™ September 2018  V.1.0</t>
  </si>
  <si>
    <t>Custom1</t>
  </si>
  <si>
    <t>Custom2</t>
  </si>
  <si>
    <t>Custom3</t>
  </si>
  <si>
    <t>Custom4</t>
  </si>
  <si>
    <t>Custom5</t>
  </si>
  <si>
    <t>Custom6</t>
  </si>
  <si>
    <t>Custom7</t>
  </si>
  <si>
    <t>Custom8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</si>
</sst>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0000"/>
    <numFmt numFmtId="166" formatCode="0.0000"/>
    <numFmt numFmtId="167" formatCode="\ 0;\-0;;@\ "/>
    <numFmt numFmtId="168" formatCode="0.00000000"/>
    <numFmt numFmtId="169" formatCode="0.000"/>
    <numFmt numFmtId="170" formatCode="0.0#"/>
    <numFmt numFmtId="171" formatCode="0.0%"/>
    <numFmt numFmtId="172" formatCode="#.0\ &quot; kN&quot;"/>
    <numFmt numFmtId="173" formatCode="#\ &quot; Bu's&quot;"/>
  </numFmts>
  <fonts count="181">
    <font>
      <sz val="10"/>
      <name val="Arial"/>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sz val="12"/>
      <color indexed="8"/>
      <name val="Arial"/>
      <family val="2"/>
    </font>
    <font>
      <sz val="10"/>
      <color indexed="8"/>
      <name val="Arial"/>
      <family val="2"/>
    </font>
    <font>
      <sz val="8"/>
      <color indexed="8"/>
      <name val="Arial"/>
      <family val="2"/>
    </font>
    <font>
      <sz val="8"/>
      <color indexed="9"/>
      <name val="Arial"/>
      <family val="2"/>
    </font>
    <font>
      <b/>
      <sz val="10"/>
      <color indexed="8"/>
      <name val="Arial"/>
      <family val="2"/>
    </font>
    <font>
      <sz val="10"/>
      <color indexed="9"/>
      <name val="Arial"/>
      <family val="2"/>
    </font>
    <font>
      <i/>
      <sz val="10"/>
      <color indexed="8"/>
      <name val="Arial"/>
      <family val="2"/>
    </font>
    <font>
      <b/>
      <sz val="12"/>
      <name val="Arial"/>
      <family val="2"/>
    </font>
    <font>
      <sz val="10"/>
      <color indexed="9"/>
      <name val="Arial"/>
      <family val="2"/>
    </font>
    <font>
      <sz val="8"/>
      <name val="Arial"/>
      <family val="2"/>
    </font>
    <font>
      <b/>
      <sz val="10"/>
      <color indexed="10"/>
      <name val="Arial"/>
      <family val="2"/>
    </font>
    <font>
      <b/>
      <sz val="14"/>
      <name val="Arial"/>
      <family val="2"/>
    </font>
    <font>
      <b/>
      <sz val="16"/>
      <name val="Arial"/>
      <family val="2"/>
    </font>
    <font>
      <sz val="14"/>
      <name val="Arial"/>
      <family val="2"/>
    </font>
    <font>
      <b/>
      <i/>
      <sz val="10"/>
      <name val="Arial"/>
      <family val="2"/>
    </font>
    <font>
      <i/>
      <sz val="10"/>
      <name val="Arial"/>
      <family val="2"/>
    </font>
    <font>
      <sz val="10"/>
      <name val="Arial"/>
      <family val="2"/>
    </font>
    <font>
      <sz val="12"/>
      <name val="Arial"/>
      <family val="2"/>
    </font>
    <font>
      <b/>
      <sz val="12"/>
      <color indexed="10"/>
      <name val="Arial"/>
      <family val="2"/>
    </font>
    <font>
      <sz val="10"/>
      <color indexed="10"/>
      <name val="Arial"/>
      <family val="2"/>
    </font>
    <font>
      <b/>
      <sz val="8"/>
      <color indexed="8"/>
      <name val="Arial"/>
      <family val="2"/>
    </font>
    <font>
      <sz val="14"/>
      <color indexed="9"/>
      <name val="Arial"/>
      <family val="2"/>
    </font>
    <font>
      <sz val="9.5"/>
      <name val="Arial"/>
      <family val="2"/>
    </font>
    <font>
      <sz val="9"/>
      <color indexed="8"/>
      <name val="Arial"/>
      <family val="2"/>
    </font>
    <font>
      <vertAlign val="superscript"/>
      <sz val="10"/>
      <color indexed="8"/>
      <name val="Arial"/>
      <family val="2"/>
    </font>
    <font>
      <b/>
      <u/>
      <sz val="10"/>
      <color indexed="8"/>
      <name val="Arial"/>
      <family val="2"/>
    </font>
    <font>
      <b/>
      <sz val="11"/>
      <name val="Arial"/>
      <family val="2"/>
    </font>
    <font>
      <sz val="9"/>
      <name val="Arial"/>
      <family val="2"/>
    </font>
    <font>
      <sz val="8"/>
      <color indexed="81"/>
      <name val="Tahoma"/>
      <family val="2"/>
    </font>
    <font>
      <b/>
      <sz val="8"/>
      <color indexed="81"/>
      <name val="Tahoma"/>
      <family val="2"/>
    </font>
    <font>
      <sz val="10"/>
      <color indexed="63"/>
      <name val="Arial"/>
      <family val="2"/>
    </font>
    <font>
      <sz val="8"/>
      <name val="Arial"/>
      <family val="2"/>
    </font>
    <font>
      <sz val="12"/>
      <color indexed="8"/>
      <name val="Arial"/>
      <family val="2"/>
    </font>
    <font>
      <i/>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8"/>
      <name val="Arial"/>
      <family val="2"/>
    </font>
    <font>
      <b/>
      <sz val="18"/>
      <name val="Arial"/>
      <family val="2"/>
    </font>
    <font>
      <b/>
      <sz val="9"/>
      <name val="Arial"/>
      <family val="2"/>
    </font>
    <font>
      <b/>
      <sz val="13"/>
      <name val="Arial"/>
      <family val="2"/>
    </font>
    <font>
      <b/>
      <sz val="9"/>
      <color indexed="8"/>
      <name val="Arial"/>
      <family val="2"/>
    </font>
    <font>
      <sz val="10"/>
      <color indexed="81"/>
      <name val="Tahoma"/>
      <family val="2"/>
    </font>
    <font>
      <sz val="11"/>
      <color indexed="81"/>
      <name val="Tahoma"/>
      <family val="2"/>
    </font>
    <font>
      <b/>
      <sz val="11"/>
      <color indexed="81"/>
      <name val="Tahoma"/>
      <family val="2"/>
    </font>
    <font>
      <b/>
      <sz val="10"/>
      <color indexed="81"/>
      <name val="Tahoma"/>
      <family val="2"/>
    </font>
    <font>
      <sz val="10"/>
      <color indexed="10"/>
      <name val="Arial"/>
      <family val="2"/>
    </font>
    <font>
      <i/>
      <sz val="12"/>
      <color indexed="9"/>
      <name val="Arial"/>
      <family val="2"/>
    </font>
    <font>
      <b/>
      <i/>
      <sz val="11"/>
      <color indexed="10"/>
      <name val="Arial"/>
      <family val="2"/>
    </font>
    <font>
      <sz val="10"/>
      <name val="Calibri"/>
      <family val="2"/>
    </font>
    <font>
      <u/>
      <sz val="10"/>
      <color indexed="81"/>
      <name val="Tahoma"/>
      <family val="2"/>
    </font>
    <font>
      <sz val="11"/>
      <name val="Arial"/>
      <family val="2"/>
    </font>
    <font>
      <sz val="10"/>
      <color indexed="9"/>
      <name val="Arial"/>
      <family val="2"/>
    </font>
    <font>
      <b/>
      <sz val="13"/>
      <color indexed="56"/>
      <name val="Arial"/>
      <family val="2"/>
    </font>
    <font>
      <sz val="13"/>
      <color indexed="56"/>
      <name val="Arial"/>
      <family val="2"/>
    </font>
    <font>
      <b/>
      <sz val="14"/>
      <color indexed="10"/>
      <name val="Arial"/>
      <family val="2"/>
    </font>
    <font>
      <b/>
      <sz val="10"/>
      <color indexed="10"/>
      <name val="Arial"/>
      <family val="2"/>
    </font>
    <font>
      <b/>
      <sz val="10"/>
      <color indexed="9"/>
      <name val="Arial"/>
      <family val="2"/>
    </font>
    <font>
      <sz val="10"/>
      <color indexed="9"/>
      <name val="Arial"/>
      <family val="2"/>
    </font>
    <font>
      <sz val="8"/>
      <name val="Arial"/>
      <family val="2"/>
    </font>
    <font>
      <b/>
      <sz val="7"/>
      <name val="Arial"/>
      <family val="2"/>
    </font>
    <font>
      <sz val="8"/>
      <name val="Arial"/>
      <family val="2"/>
    </font>
    <font>
      <sz val="12"/>
      <color indexed="10"/>
      <name val="Arial"/>
      <family val="2"/>
    </font>
    <font>
      <b/>
      <sz val="10"/>
      <color indexed="9"/>
      <name val="Arial"/>
      <family val="2"/>
    </font>
    <font>
      <b/>
      <sz val="8"/>
      <color indexed="9"/>
      <name val="Arial"/>
      <family val="2"/>
    </font>
    <font>
      <sz val="11"/>
      <color indexed="10"/>
      <name val="Arial"/>
      <family val="2"/>
    </font>
    <font>
      <sz val="14"/>
      <color indexed="10"/>
      <name val="Arial"/>
      <family val="2"/>
    </font>
    <font>
      <i/>
      <sz val="10"/>
      <color indexed="81"/>
      <name val="Tahoma"/>
      <family val="2"/>
    </font>
    <font>
      <sz val="10"/>
      <color indexed="9"/>
      <name val="Arial"/>
      <family val="2"/>
    </font>
    <font>
      <b/>
      <sz val="11"/>
      <color indexed="10"/>
      <name val="Arial"/>
      <family val="2"/>
    </font>
    <font>
      <sz val="10"/>
      <color indexed="9"/>
      <name val="Arial"/>
      <family val="2"/>
    </font>
    <font>
      <sz val="12"/>
      <color indexed="81"/>
      <name val="Tahoma"/>
      <family val="2"/>
    </font>
    <font>
      <b/>
      <sz val="12"/>
      <color indexed="81"/>
      <name val="Tahoma"/>
      <family val="2"/>
    </font>
    <font>
      <sz val="11"/>
      <color indexed="8"/>
      <name val="Arial"/>
      <family val="2"/>
    </font>
    <font>
      <vertAlign val="subscript"/>
      <sz val="11"/>
      <color indexed="8"/>
      <name val="Symbol"/>
      <family val="1"/>
      <charset val="2"/>
    </font>
    <font>
      <vertAlign val="subscript"/>
      <sz val="11"/>
      <color indexed="8"/>
      <name val="Arial"/>
      <family val="2"/>
    </font>
    <font>
      <b/>
      <sz val="10"/>
      <color indexed="10"/>
      <name val="Arial"/>
      <family val="2"/>
    </font>
    <font>
      <b/>
      <sz val="9"/>
      <color indexed="8"/>
      <name val="Arial"/>
      <family val="2"/>
    </font>
    <font>
      <b/>
      <sz val="10"/>
      <color indexed="30"/>
      <name val="Arial"/>
      <family val="2"/>
    </font>
    <font>
      <u/>
      <sz val="12"/>
      <color indexed="81"/>
      <name val="Tahoma"/>
      <family val="2"/>
    </font>
    <font>
      <vertAlign val="superscript"/>
      <sz val="10"/>
      <name val="Arial"/>
      <family val="2"/>
    </font>
    <font>
      <sz val="9"/>
      <color indexed="81"/>
      <name val="Tahoma"/>
      <family val="2"/>
    </font>
    <font>
      <u/>
      <sz val="9"/>
      <color indexed="81"/>
      <name val="Tahoma"/>
      <family val="2"/>
    </font>
    <font>
      <sz val="12"/>
      <color indexed="10"/>
      <name val="Tahoma"/>
      <family val="2"/>
    </font>
    <font>
      <b/>
      <sz val="9"/>
      <color indexed="81"/>
      <name val="Tahoma"/>
      <family val="2"/>
    </font>
    <font>
      <sz val="9"/>
      <color indexed="10"/>
      <name val="Tahoma"/>
      <family val="2"/>
    </font>
    <font>
      <b/>
      <sz val="9"/>
      <color indexed="10"/>
      <name val="Tahoma"/>
      <family val="2"/>
    </font>
    <font>
      <u/>
      <sz val="10"/>
      <color indexed="8"/>
      <name val="Arial"/>
      <family val="2"/>
    </font>
    <font>
      <b/>
      <sz val="9"/>
      <name val="Courier"/>
      <family val="3"/>
    </font>
    <font>
      <b/>
      <sz val="9"/>
      <name val="Courier New"/>
      <family val="3"/>
    </font>
    <font>
      <b/>
      <sz val="11"/>
      <name val="Calibri"/>
      <family val="2"/>
    </font>
    <font>
      <sz val="9"/>
      <color indexed="10"/>
      <name val="Arial"/>
      <family val="2"/>
    </font>
    <font>
      <sz val="10"/>
      <color indexed="9"/>
      <name val="Calibri"/>
      <family val="2"/>
    </font>
    <font>
      <b/>
      <sz val="10"/>
      <color indexed="17"/>
      <name val="Arial"/>
      <family val="2"/>
    </font>
    <font>
      <i/>
      <sz val="9"/>
      <name val="Arial"/>
      <family val="2"/>
    </font>
    <font>
      <u/>
      <sz val="11"/>
      <color indexed="81"/>
      <name val="Tahoma"/>
      <family val="2"/>
    </font>
    <font>
      <b/>
      <sz val="10"/>
      <color indexed="8"/>
      <name val="Calibri"/>
      <family val="2"/>
    </font>
    <font>
      <sz val="10"/>
      <color indexed="17"/>
      <name val="Arial"/>
      <family val="2"/>
    </font>
    <font>
      <b/>
      <sz val="16"/>
      <color indexed="8"/>
      <name val="Arial"/>
      <family val="2"/>
    </font>
    <font>
      <sz val="16"/>
      <name val="Arial"/>
      <family val="2"/>
    </font>
    <font>
      <b/>
      <u/>
      <sz val="10"/>
      <color indexed="10"/>
      <name val="Arial"/>
      <family val="2"/>
    </font>
    <font>
      <b/>
      <sz val="10"/>
      <name val="Calibri"/>
      <family val="2"/>
    </font>
    <font>
      <b/>
      <u/>
      <sz val="10"/>
      <name val="Arial"/>
      <family val="2"/>
    </font>
    <font>
      <b/>
      <sz val="11"/>
      <color indexed="10"/>
      <name val="Arial"/>
      <family val="2"/>
    </font>
    <font>
      <sz val="10"/>
      <color indexed="9"/>
      <name val="Arial"/>
      <family val="2"/>
    </font>
    <font>
      <sz val="14"/>
      <color indexed="9"/>
      <name val="Arial"/>
      <family val="2"/>
    </font>
    <font>
      <sz val="12"/>
      <color indexed="9"/>
      <name val="Arial"/>
      <family val="2"/>
    </font>
    <font>
      <b/>
      <sz val="10"/>
      <color indexed="10"/>
      <name val="Arial"/>
      <family val="2"/>
    </font>
    <font>
      <b/>
      <sz val="10"/>
      <color indexed="9"/>
      <name val="Arial"/>
      <family val="2"/>
    </font>
    <font>
      <sz val="9"/>
      <color indexed="9"/>
      <name val="Arial"/>
      <family val="2"/>
    </font>
    <font>
      <sz val="11"/>
      <color indexed="10"/>
      <name val="Arial"/>
      <family val="2"/>
    </font>
    <font>
      <sz val="10"/>
      <color indexed="8"/>
      <name val="Arial"/>
      <family val="2"/>
    </font>
    <font>
      <b/>
      <sz val="10"/>
      <color indexed="8"/>
      <name val="Arial"/>
      <family val="2"/>
    </font>
    <font>
      <sz val="10"/>
      <color indexed="10"/>
      <name val="Arial"/>
      <family val="2"/>
    </font>
    <font>
      <b/>
      <sz val="12"/>
      <color indexed="8"/>
      <name val="Arial"/>
      <family val="2"/>
    </font>
    <font>
      <i/>
      <sz val="10"/>
      <color indexed="9"/>
      <name val="Arial"/>
      <family val="2"/>
    </font>
    <font>
      <b/>
      <sz val="12"/>
      <color indexed="9"/>
      <name val="Arial"/>
      <family val="2"/>
    </font>
    <font>
      <b/>
      <sz val="8"/>
      <color indexed="10"/>
      <name val="Arial"/>
      <family val="2"/>
    </font>
    <font>
      <b/>
      <sz val="12"/>
      <color indexed="30"/>
      <name val="Arial"/>
      <family val="2"/>
    </font>
    <font>
      <b/>
      <sz val="10"/>
      <color indexed="30"/>
      <name val="Arial"/>
      <family val="2"/>
    </font>
    <font>
      <b/>
      <i/>
      <sz val="10"/>
      <color indexed="17"/>
      <name val="Arial"/>
      <family val="2"/>
    </font>
    <font>
      <b/>
      <u/>
      <sz val="10"/>
      <color indexed="10"/>
      <name val="Arial"/>
      <family val="2"/>
    </font>
    <font>
      <b/>
      <sz val="12"/>
      <color indexed="10"/>
      <name val="Arial"/>
      <family val="2"/>
    </font>
    <font>
      <b/>
      <sz val="13"/>
      <color indexed="10"/>
      <name val="Arial"/>
      <family val="2"/>
    </font>
    <font>
      <b/>
      <sz val="9"/>
      <color indexed="10"/>
      <name val="Arial"/>
      <family val="2"/>
    </font>
    <font>
      <b/>
      <sz val="10"/>
      <color indexed="30"/>
      <name val="Arial"/>
      <family val="2"/>
    </font>
    <font>
      <b/>
      <sz val="12"/>
      <color indexed="10"/>
      <name val="Arial"/>
      <family val="2"/>
    </font>
    <font>
      <sz val="10"/>
      <color theme="0"/>
      <name val="Arial"/>
      <family val="2"/>
    </font>
    <font>
      <b/>
      <i/>
      <sz val="11"/>
      <color indexed="8"/>
      <name val="Arial"/>
      <family val="2"/>
    </font>
    <font>
      <b/>
      <sz val="10"/>
      <color rgb="FF00B050"/>
      <name val="Arial"/>
      <family val="2"/>
    </font>
    <font>
      <b/>
      <sz val="10"/>
      <color theme="0"/>
      <name val="Arial"/>
      <family val="2"/>
    </font>
    <font>
      <b/>
      <sz val="10"/>
      <color rgb="FFFF0000"/>
      <name val="Arial"/>
      <family val="2"/>
    </font>
    <font>
      <b/>
      <u/>
      <sz val="9"/>
      <color indexed="81"/>
      <name val="Tahoma"/>
      <family val="2"/>
    </font>
    <font>
      <b/>
      <sz val="12"/>
      <color rgb="FF0070C0"/>
      <name val="Arial"/>
      <family val="2"/>
    </font>
    <font>
      <b/>
      <sz val="15"/>
      <color rgb="FF0070C0"/>
      <name val="Arial"/>
      <family val="2"/>
    </font>
    <font>
      <b/>
      <sz val="15"/>
      <name val="Arial"/>
      <family val="2"/>
    </font>
    <font>
      <sz val="10"/>
      <color rgb="FFFF0000"/>
      <name val="Arial"/>
      <family val="2"/>
    </font>
    <font>
      <b/>
      <sz val="8"/>
      <color rgb="FFFF0000"/>
      <name val="Arial"/>
      <family val="2"/>
    </font>
    <font>
      <b/>
      <sz val="11"/>
      <color indexed="30"/>
      <name val="Arial"/>
      <family val="2"/>
    </font>
    <font>
      <b/>
      <sz val="10"/>
      <color rgb="FF0070C0"/>
      <name val="Arial"/>
      <family val="2"/>
    </font>
    <font>
      <b/>
      <i/>
      <sz val="10"/>
      <color rgb="FF008000"/>
      <name val="Arial"/>
      <family val="2"/>
    </font>
    <font>
      <b/>
      <i/>
      <sz val="12"/>
      <color indexed="17"/>
      <name val="Arial"/>
      <family val="2"/>
    </font>
    <font>
      <b/>
      <sz val="10"/>
      <name val="Arial"/>
      <family val="2"/>
    </font>
    <font>
      <sz val="10"/>
      <name val="Arial Unicode MS"/>
      <family val="2"/>
    </font>
    <font>
      <b/>
      <sz val="10"/>
      <color theme="1"/>
      <name val="Arial"/>
      <family val="2"/>
    </font>
    <font>
      <sz val="15"/>
      <name val="Arial"/>
      <family val="2"/>
    </font>
    <font>
      <b/>
      <sz val="15"/>
      <name val="Calibri"/>
      <family val="2"/>
    </font>
    <font>
      <b/>
      <sz val="15"/>
      <color indexed="8"/>
      <name val="Arial"/>
      <family val="2"/>
    </font>
    <font>
      <sz val="15"/>
      <color indexed="8"/>
      <name val="Arial"/>
      <family val="2"/>
    </font>
    <font>
      <sz val="9"/>
      <color theme="0"/>
      <name val="Arial"/>
      <family val="2"/>
    </font>
    <font>
      <i/>
      <sz val="10"/>
      <color theme="0"/>
      <name val="Arial"/>
      <family val="2"/>
    </font>
    <font>
      <b/>
      <sz val="14"/>
      <color rgb="FF008000"/>
      <name val="Arial"/>
      <family val="2"/>
    </font>
    <font>
      <sz val="10"/>
      <color indexed="81"/>
      <name val="Arial"/>
      <family val="2"/>
    </font>
    <font>
      <b/>
      <sz val="12"/>
      <color theme="0"/>
      <name val="Arial"/>
      <family val="2"/>
    </font>
    <font>
      <sz val="12"/>
      <color theme="0"/>
      <name val="Arial"/>
      <family val="2"/>
    </font>
    <font>
      <vertAlign val="subscript"/>
      <sz val="12"/>
      <color theme="0"/>
      <name val="Arial"/>
      <family val="2"/>
    </font>
    <font>
      <sz val="11"/>
      <color theme="0"/>
      <name val="Calibri"/>
      <family val="2"/>
    </font>
    <font>
      <sz val="15"/>
      <color theme="0"/>
      <name val="Arial"/>
      <family val="2"/>
    </font>
    <font>
      <sz val="10"/>
      <color theme="0"/>
      <name val="Clarendon Extended"/>
      <family val="1"/>
    </font>
    <font>
      <sz val="12"/>
      <color theme="0"/>
      <name val="Courier New"/>
      <family val="3"/>
    </font>
    <font>
      <sz val="10"/>
      <color theme="0"/>
      <name val="Broadway"/>
      <family val="5"/>
    </font>
  </fonts>
  <fills count="55">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3"/>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31"/>
        <bgColor indexed="64"/>
      </patternFill>
    </fill>
    <fill>
      <patternFill patternType="solid">
        <fgColor indexed="13"/>
        <bgColor indexed="64"/>
      </patternFill>
    </fill>
    <fill>
      <patternFill patternType="solid">
        <fgColor indexed="53"/>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3"/>
        <bgColor indexed="64"/>
      </patternFill>
    </fill>
    <fill>
      <patternFill patternType="solid">
        <fgColor indexed="11"/>
        <bgColor indexed="64"/>
      </patternFill>
    </fill>
    <fill>
      <patternFill patternType="solid">
        <fgColor indexed="29"/>
        <bgColor indexed="64"/>
      </patternFill>
    </fill>
    <fill>
      <patternFill patternType="solid">
        <fgColor indexed="40"/>
        <bgColor indexed="64"/>
      </patternFill>
    </fill>
    <fill>
      <patternFill patternType="solid">
        <fgColor indexed="22"/>
        <bgColor indexed="64"/>
      </patternFill>
    </fill>
    <fill>
      <patternFill patternType="solid">
        <fgColor indexed="8"/>
        <bgColor indexed="64"/>
      </patternFill>
    </fill>
    <fill>
      <patternFill patternType="solid">
        <fgColor indexed="9"/>
        <bgColor indexed="22"/>
      </patternFill>
    </fill>
    <fill>
      <patternFill patternType="solid">
        <fgColor indexed="9"/>
        <bgColor indexed="9"/>
      </patternFill>
    </fill>
    <fill>
      <patternFill patternType="solid">
        <fgColor indexed="57"/>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CCFFFF"/>
        <bgColor indexed="64"/>
      </patternFill>
    </fill>
    <fill>
      <patternFill patternType="solid">
        <fgColor theme="9" tint="0.3999450666829432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8080"/>
        <bgColor indexed="64"/>
      </patternFill>
    </fill>
    <fill>
      <patternFill patternType="solid">
        <fgColor theme="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CCCC"/>
        <bgColor indexed="64"/>
      </patternFill>
    </fill>
    <fill>
      <patternFill patternType="solid">
        <fgColor theme="9" tint="0.79998168889431442"/>
        <bgColor indexed="64"/>
      </patternFill>
    </fill>
    <fill>
      <patternFill patternType="solid">
        <fgColor theme="2"/>
        <bgColor indexed="64"/>
      </patternFill>
    </fill>
  </fills>
  <borders count="3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8"/>
      </left>
      <right/>
      <top style="medium">
        <color indexed="8"/>
      </top>
      <bottom/>
      <diagonal/>
    </border>
    <border>
      <left/>
      <right style="medium">
        <color indexed="8"/>
      </right>
      <top style="medium">
        <color indexed="8"/>
      </top>
      <bottom/>
      <diagonal/>
    </border>
    <border>
      <left style="thin">
        <color indexed="8"/>
      </left>
      <right/>
      <top/>
      <bottom/>
      <diagonal/>
    </border>
    <border>
      <left/>
      <right style="medium">
        <color indexed="8"/>
      </right>
      <top/>
      <bottom/>
      <diagonal/>
    </border>
    <border>
      <left/>
      <right style="medium">
        <color indexed="8"/>
      </right>
      <top/>
      <bottom style="medium">
        <color indexed="8"/>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diagonal/>
    </border>
    <border>
      <left style="thin">
        <color indexed="8"/>
      </left>
      <right/>
      <top/>
      <bottom style="medium">
        <color indexed="64"/>
      </bottom>
      <diagonal/>
    </border>
    <border>
      <left/>
      <right style="medium">
        <color indexed="8"/>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thin">
        <color indexed="64"/>
      </left>
      <right style="thin">
        <color indexed="64"/>
      </right>
      <top style="medium">
        <color indexed="64"/>
      </top>
      <bottom/>
      <diagonal/>
    </border>
    <border>
      <left style="double">
        <color indexed="64"/>
      </left>
      <right/>
      <top/>
      <bottom/>
      <diagonal/>
    </border>
    <border>
      <left/>
      <right style="double">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ck">
        <color indexed="17"/>
      </left>
      <right style="thin">
        <color indexed="64"/>
      </right>
      <top style="thin">
        <color indexed="64"/>
      </top>
      <bottom style="thin">
        <color indexed="64"/>
      </bottom>
      <diagonal/>
    </border>
    <border>
      <left style="thin">
        <color indexed="64"/>
      </left>
      <right style="thin">
        <color indexed="64"/>
      </right>
      <top style="thick">
        <color indexed="17"/>
      </top>
      <bottom style="thin">
        <color indexed="64"/>
      </bottom>
      <diagonal/>
    </border>
    <border>
      <left style="thin">
        <color indexed="64"/>
      </left>
      <right style="thick">
        <color indexed="17"/>
      </right>
      <top style="thick">
        <color indexed="17"/>
      </top>
      <bottom style="thin">
        <color indexed="64"/>
      </bottom>
      <diagonal/>
    </border>
    <border>
      <left style="thin">
        <color indexed="64"/>
      </left>
      <right style="thick">
        <color indexed="17"/>
      </right>
      <top style="thin">
        <color indexed="64"/>
      </top>
      <bottom style="thin">
        <color indexed="64"/>
      </bottom>
      <diagonal/>
    </border>
    <border>
      <left style="thin">
        <color indexed="64"/>
      </left>
      <right style="thin">
        <color indexed="64"/>
      </right>
      <top style="thin">
        <color indexed="64"/>
      </top>
      <bottom style="thick">
        <color indexed="17"/>
      </bottom>
      <diagonal/>
    </border>
    <border>
      <left style="thin">
        <color indexed="64"/>
      </left>
      <right style="thick">
        <color indexed="17"/>
      </right>
      <top style="thin">
        <color indexed="64"/>
      </top>
      <bottom style="thick">
        <color indexed="17"/>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8"/>
      </left>
      <right/>
      <top/>
      <bottom/>
      <diagonal/>
    </border>
    <border>
      <left style="medium">
        <color indexed="8"/>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ck">
        <color indexed="17"/>
      </left>
      <right style="thin">
        <color indexed="64"/>
      </right>
      <top style="thick">
        <color indexed="17"/>
      </top>
      <bottom style="thin">
        <color indexed="64"/>
      </bottom>
      <diagonal/>
    </border>
    <border>
      <left style="thick">
        <color indexed="17"/>
      </left>
      <right style="thin">
        <color indexed="64"/>
      </right>
      <top style="thin">
        <color indexed="64"/>
      </top>
      <bottom style="thick">
        <color indexed="17"/>
      </bottom>
      <diagonal/>
    </border>
    <border>
      <left style="thick">
        <color indexed="17"/>
      </left>
      <right style="thin">
        <color indexed="64"/>
      </right>
      <top style="thick">
        <color indexed="17"/>
      </top>
      <bottom/>
      <diagonal/>
    </border>
    <border>
      <left style="thick">
        <color indexed="17"/>
      </left>
      <right style="thin">
        <color indexed="64"/>
      </right>
      <top/>
      <bottom/>
      <diagonal/>
    </border>
    <border>
      <left style="thick">
        <color indexed="17"/>
      </left>
      <right style="thin">
        <color indexed="64"/>
      </right>
      <top/>
      <bottom style="thick">
        <color indexed="17"/>
      </bottom>
      <diagonal/>
    </border>
    <border>
      <left style="medium">
        <color indexed="64"/>
      </left>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medium">
        <color indexed="64"/>
      </right>
      <top/>
      <bottom style="medium">
        <color indexed="10"/>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8"/>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top style="medium">
        <color indexed="8"/>
      </top>
      <bottom style="thin">
        <color indexed="64"/>
      </bottom>
      <diagonal/>
    </border>
    <border>
      <left style="medium">
        <color indexed="8"/>
      </left>
      <right/>
      <top style="thin">
        <color indexed="64"/>
      </top>
      <bottom style="thin">
        <color indexed="64"/>
      </bottom>
      <diagonal/>
    </border>
    <border>
      <left style="medium">
        <color indexed="8"/>
      </left>
      <right/>
      <top/>
      <bottom style="medium">
        <color indexed="8"/>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diagonal/>
    </border>
    <border>
      <left style="thin">
        <color indexed="64"/>
      </left>
      <right/>
      <top style="thick">
        <color indexed="17"/>
      </top>
      <bottom style="thin">
        <color indexed="64"/>
      </bottom>
      <diagonal/>
    </border>
    <border>
      <left style="thin">
        <color indexed="64"/>
      </left>
      <right/>
      <top style="thin">
        <color indexed="64"/>
      </top>
      <bottom style="thick">
        <color indexed="17"/>
      </bottom>
      <diagonal/>
    </border>
    <border>
      <left style="thick">
        <color indexed="17"/>
      </left>
      <right/>
      <top style="thick">
        <color indexed="17"/>
      </top>
      <bottom/>
      <diagonal/>
    </border>
    <border>
      <left style="medium">
        <color indexed="64"/>
      </left>
      <right style="thin">
        <color indexed="64"/>
      </right>
      <top style="thick">
        <color indexed="17"/>
      </top>
      <bottom/>
      <diagonal/>
    </border>
    <border>
      <left style="thick">
        <color indexed="17"/>
      </left>
      <right/>
      <top/>
      <bottom style="thin">
        <color indexed="64"/>
      </bottom>
      <diagonal/>
    </border>
    <border>
      <left style="thick">
        <color indexed="17"/>
      </left>
      <right/>
      <top style="thin">
        <color indexed="64"/>
      </top>
      <bottom/>
      <diagonal/>
    </border>
    <border>
      <left style="thick">
        <color indexed="17"/>
      </left>
      <right/>
      <top/>
      <bottom style="medium">
        <color indexed="64"/>
      </bottom>
      <diagonal/>
    </border>
    <border>
      <left style="thick">
        <color indexed="17"/>
      </left>
      <right/>
      <top/>
      <bottom/>
      <diagonal/>
    </border>
    <border>
      <left style="thick">
        <color indexed="17"/>
      </left>
      <right/>
      <top/>
      <bottom style="thick">
        <color indexed="17"/>
      </bottom>
      <diagonal/>
    </border>
    <border>
      <left style="medium">
        <color indexed="64"/>
      </left>
      <right style="thin">
        <color indexed="64"/>
      </right>
      <top/>
      <bottom style="thick">
        <color indexed="17"/>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8"/>
      </top>
      <bottom style="medium">
        <color indexed="8"/>
      </bottom>
      <diagonal/>
    </border>
    <border>
      <left/>
      <right/>
      <top style="thick">
        <color indexed="17"/>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ck">
        <color indexed="17"/>
      </right>
      <top/>
      <bottom style="thin">
        <color indexed="64"/>
      </bottom>
      <diagonal/>
    </border>
    <border>
      <left style="thin">
        <color indexed="64"/>
      </left>
      <right style="thick">
        <color indexed="17"/>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ck">
        <color indexed="17"/>
      </top>
      <bottom/>
      <diagonal/>
    </border>
    <border>
      <left/>
      <right style="thin">
        <color indexed="64"/>
      </right>
      <top style="thin">
        <color indexed="64"/>
      </top>
      <bottom style="thick">
        <color indexed="17"/>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8"/>
      </left>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8"/>
      </right>
      <top/>
      <bottom/>
      <diagonal/>
    </border>
    <border>
      <left style="thin">
        <color indexed="64"/>
      </left>
      <right style="medium">
        <color indexed="8"/>
      </right>
      <top/>
      <bottom style="thin">
        <color indexed="64"/>
      </bottom>
      <diagonal/>
    </border>
    <border>
      <left style="thin">
        <color indexed="64"/>
      </left>
      <right style="medium">
        <color indexed="8"/>
      </right>
      <top style="medium">
        <color indexed="64"/>
      </top>
      <bottom/>
      <diagonal/>
    </border>
    <border>
      <left style="thin">
        <color indexed="64"/>
      </left>
      <right style="medium">
        <color indexed="8"/>
      </right>
      <top style="thin">
        <color indexed="64"/>
      </top>
      <bottom/>
      <diagonal/>
    </border>
    <border>
      <left style="medium">
        <color indexed="8"/>
      </left>
      <right/>
      <top style="medium">
        <color indexed="8"/>
      </top>
      <bottom/>
      <diagonal/>
    </border>
    <border>
      <left style="medium">
        <color indexed="64"/>
      </left>
      <right/>
      <top style="medium">
        <color indexed="8"/>
      </top>
      <bottom/>
      <diagonal/>
    </border>
    <border>
      <left/>
      <right style="medium">
        <color indexed="8"/>
      </right>
      <top style="medium">
        <color indexed="64"/>
      </top>
      <bottom style="thin">
        <color indexed="64"/>
      </bottom>
      <diagonal/>
    </border>
    <border>
      <left style="medium">
        <color indexed="10"/>
      </left>
      <right style="medium">
        <color indexed="64"/>
      </right>
      <top/>
      <bottom/>
      <diagonal/>
    </border>
    <border>
      <left/>
      <right style="thin">
        <color indexed="8"/>
      </right>
      <top/>
      <bottom/>
      <diagonal/>
    </border>
    <border>
      <left/>
      <right style="thin">
        <color indexed="64"/>
      </right>
      <top/>
      <bottom style="medium">
        <color indexed="8"/>
      </bottom>
      <diagonal/>
    </border>
    <border>
      <left style="thin">
        <color indexed="64"/>
      </left>
      <right/>
      <top style="medium">
        <color indexed="64"/>
      </top>
      <bottom style="medium">
        <color indexed="64"/>
      </bottom>
      <diagonal/>
    </border>
    <border>
      <left style="thin">
        <color indexed="64"/>
      </left>
      <right style="thin">
        <color indexed="64"/>
      </right>
      <top/>
      <bottom style="thick">
        <color indexed="17"/>
      </bottom>
      <diagonal/>
    </border>
    <border>
      <left/>
      <right style="medium">
        <color indexed="10"/>
      </right>
      <top style="medium">
        <color indexed="64"/>
      </top>
      <bottom style="thin">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64"/>
      </left>
      <right/>
      <top/>
      <bottom style="thick">
        <color indexed="17"/>
      </bottom>
      <diagonal/>
    </border>
    <border>
      <left style="thin">
        <color indexed="64"/>
      </left>
      <right style="medium">
        <color indexed="64"/>
      </right>
      <top/>
      <bottom style="thick">
        <color indexed="17"/>
      </bottom>
      <diagonal/>
    </border>
    <border>
      <left/>
      <right/>
      <top style="medium">
        <color indexed="64"/>
      </top>
      <bottom style="double">
        <color indexed="64"/>
      </bottom>
      <diagonal/>
    </border>
    <border>
      <left/>
      <right style="thin">
        <color indexed="64"/>
      </right>
      <top style="medium">
        <color indexed="64"/>
      </top>
      <bottom style="medium">
        <color indexed="64"/>
      </bottom>
      <diagonal/>
    </border>
    <border>
      <left style="hair">
        <color indexed="64"/>
      </left>
      <right style="thin">
        <color indexed="64"/>
      </right>
      <top style="medium">
        <color indexed="64"/>
      </top>
      <bottom style="hair">
        <color indexed="64"/>
      </bottom>
      <diagonal/>
    </border>
    <border>
      <left style="medium">
        <color rgb="FF0070C0"/>
      </left>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top style="medium">
        <color rgb="FF0070C0"/>
      </top>
      <bottom style="medium">
        <color rgb="FF0070C0"/>
      </bottom>
      <diagonal/>
    </border>
    <border>
      <left style="thin">
        <color indexed="64"/>
      </left>
      <right style="medium">
        <color indexed="64"/>
      </right>
      <top style="medium">
        <color rgb="FF0070C0"/>
      </top>
      <bottom style="medium">
        <color rgb="FF0070C0"/>
      </bottom>
      <diagonal/>
    </border>
    <border>
      <left style="medium">
        <color rgb="FF0070C0"/>
      </left>
      <right/>
      <top style="medium">
        <color rgb="FF0070C0"/>
      </top>
      <bottom/>
      <diagonal/>
    </border>
    <border>
      <left style="thin">
        <color indexed="64"/>
      </left>
      <right style="thin">
        <color indexed="64"/>
      </right>
      <top style="medium">
        <color rgb="FF0070C0"/>
      </top>
      <bottom style="thin">
        <color indexed="64"/>
      </bottom>
      <diagonal/>
    </border>
    <border>
      <left style="thin">
        <color indexed="64"/>
      </left>
      <right/>
      <top style="medium">
        <color rgb="FF0070C0"/>
      </top>
      <bottom style="thin">
        <color indexed="64"/>
      </bottom>
      <diagonal/>
    </border>
    <border>
      <left style="thin">
        <color indexed="64"/>
      </left>
      <right style="thin">
        <color indexed="64"/>
      </right>
      <top style="medium">
        <color rgb="FF0070C0"/>
      </top>
      <bottom/>
      <diagonal/>
    </border>
    <border>
      <left style="thin">
        <color indexed="64"/>
      </left>
      <right style="medium">
        <color indexed="64"/>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top style="thin">
        <color indexed="64"/>
      </top>
      <bottom style="medium">
        <color rgb="FF0070C0"/>
      </bottom>
      <diagonal/>
    </border>
    <border>
      <left style="thin">
        <color indexed="64"/>
      </left>
      <right style="thin">
        <color indexed="64"/>
      </right>
      <top/>
      <bottom style="medium">
        <color rgb="FF0070C0"/>
      </bottom>
      <diagonal/>
    </border>
    <border>
      <left style="thin">
        <color indexed="64"/>
      </left>
      <right style="medium">
        <color indexed="64"/>
      </right>
      <top/>
      <bottom style="medium">
        <color rgb="FF0070C0"/>
      </bottom>
      <diagonal/>
    </border>
    <border>
      <left/>
      <right/>
      <top style="medium">
        <color rgb="FF0070C0"/>
      </top>
      <bottom style="thin">
        <color indexed="64"/>
      </bottom>
      <diagonal/>
    </border>
    <border>
      <left/>
      <right/>
      <top style="medium">
        <color rgb="FF0070C0"/>
      </top>
      <bottom style="medium">
        <color rgb="FF0070C0"/>
      </bottom>
      <diagonal/>
    </border>
    <border>
      <left style="medium">
        <color indexed="64"/>
      </left>
      <right style="medium">
        <color rgb="FF0070C0"/>
      </right>
      <top/>
      <bottom/>
      <diagonal/>
    </border>
    <border>
      <left style="medium">
        <color indexed="64"/>
      </left>
      <right style="medium">
        <color rgb="FF0070C0"/>
      </right>
      <top/>
      <bottom style="medium">
        <color indexed="64"/>
      </bottom>
      <diagonal/>
    </border>
    <border>
      <left/>
      <right/>
      <top/>
      <bottom style="thin">
        <color auto="1"/>
      </bottom>
      <diagonal/>
    </border>
    <border>
      <left style="thin">
        <color indexed="64"/>
      </left>
      <right/>
      <top/>
      <bottom style="thin">
        <color auto="1"/>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n">
        <color indexed="64"/>
      </left>
      <right/>
      <top/>
      <bottom style="medium">
        <color rgb="FF0070C0"/>
      </bottom>
      <diagonal/>
    </border>
    <border>
      <left style="medium">
        <color rgb="FF0070C0"/>
      </left>
      <right/>
      <top/>
      <bottom style="medium">
        <color indexed="64"/>
      </bottom>
      <diagonal/>
    </border>
    <border>
      <left/>
      <right style="thin">
        <color indexed="64"/>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style="medium">
        <color rgb="FF0070C0"/>
      </left>
      <right style="thin">
        <color indexed="64"/>
      </right>
      <top/>
      <bottom/>
      <diagonal/>
    </border>
    <border>
      <left style="medium">
        <color rgb="FF0070C0"/>
      </left>
      <right style="thin">
        <color indexed="64"/>
      </right>
      <top/>
      <bottom style="medium">
        <color rgb="FF0070C0"/>
      </bottom>
      <diagonal/>
    </border>
    <border>
      <left style="thin">
        <color indexed="64"/>
      </left>
      <right style="hair">
        <color indexed="64"/>
      </right>
      <top style="hair">
        <color indexed="64"/>
      </top>
      <bottom style="medium">
        <color rgb="FF0070C0"/>
      </bottom>
      <diagonal/>
    </border>
    <border>
      <left style="hair">
        <color indexed="64"/>
      </left>
      <right style="hair">
        <color indexed="64"/>
      </right>
      <top style="hair">
        <color indexed="64"/>
      </top>
      <bottom style="medium">
        <color rgb="FF0070C0"/>
      </bottom>
      <diagonal/>
    </border>
    <border>
      <left style="medium">
        <color rgb="FF0070C0"/>
      </left>
      <right style="thin">
        <color indexed="64"/>
      </right>
      <top style="medium">
        <color rgb="FF0070C0"/>
      </top>
      <bottom/>
      <diagonal/>
    </border>
    <border>
      <left style="thin">
        <color indexed="64"/>
      </left>
      <right style="hair">
        <color indexed="64"/>
      </right>
      <top style="medium">
        <color rgb="FF0070C0"/>
      </top>
      <bottom style="hair">
        <color indexed="64"/>
      </bottom>
      <diagonal/>
    </border>
    <border>
      <left style="hair">
        <color indexed="64"/>
      </left>
      <right style="hair">
        <color indexed="64"/>
      </right>
      <top style="medium">
        <color rgb="FF0070C0"/>
      </top>
      <bottom style="hair">
        <color indexed="64"/>
      </bottom>
      <diagonal/>
    </border>
    <border>
      <left style="hair">
        <color indexed="64"/>
      </left>
      <right style="thin">
        <color indexed="64"/>
      </right>
      <top style="medium">
        <color rgb="FF0070C0"/>
      </top>
      <bottom style="hair">
        <color indexed="64"/>
      </bottom>
      <diagonal/>
    </border>
    <border>
      <left style="hair">
        <color indexed="64"/>
      </left>
      <right style="thin">
        <color indexed="64"/>
      </right>
      <top style="hair">
        <color indexed="64"/>
      </top>
      <bottom style="medium">
        <color rgb="FF0070C0"/>
      </bottom>
      <diagonal/>
    </border>
    <border>
      <left style="medium">
        <color rgb="FF0070C0"/>
      </left>
      <right style="thin">
        <color indexed="64"/>
      </right>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medium">
        <color indexed="64"/>
      </right>
      <top style="thin">
        <color indexed="64"/>
      </top>
      <bottom/>
      <diagonal/>
    </border>
    <border>
      <left/>
      <right/>
      <top style="medium">
        <color indexed="64"/>
      </top>
      <bottom style="medium">
        <color rgb="FF0070C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rgb="FF0070C0"/>
      </top>
      <bottom style="medium">
        <color rgb="FF0070C0"/>
      </bottom>
      <diagonal/>
    </border>
    <border>
      <left style="medium">
        <color indexed="64"/>
      </left>
      <right style="medium">
        <color indexed="64"/>
      </right>
      <top style="medium">
        <color rgb="FF0070C0"/>
      </top>
      <bottom/>
      <diagonal/>
    </border>
    <border>
      <left style="medium">
        <color indexed="64"/>
      </left>
      <right style="medium">
        <color indexed="64"/>
      </right>
      <top/>
      <bottom style="medium">
        <color rgb="FF0070C0"/>
      </bottom>
      <diagonal/>
    </border>
    <border>
      <left/>
      <right style="medium">
        <color indexed="64"/>
      </right>
      <top style="medium">
        <color indexed="64"/>
      </top>
      <bottom style="medium">
        <color rgb="FF0070C0"/>
      </bottom>
      <diagonal/>
    </border>
    <border>
      <left/>
      <right style="medium">
        <color indexed="64"/>
      </right>
      <top style="medium">
        <color rgb="FF0070C0"/>
      </top>
      <bottom style="medium">
        <color rgb="FF0070C0"/>
      </bottom>
      <diagonal/>
    </border>
    <border>
      <left/>
      <right/>
      <top style="thin">
        <color auto="1"/>
      </top>
      <bottom/>
      <diagonal/>
    </border>
    <border>
      <left style="thin">
        <color indexed="64"/>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medium">
        <color rgb="FF0070C0"/>
      </right>
      <top style="medium">
        <color rgb="FF0070C0"/>
      </top>
      <bottom style="thin">
        <color rgb="FF0070C0"/>
      </bottom>
      <diagonal/>
    </border>
    <border>
      <left/>
      <right style="medium">
        <color rgb="FF0070C0"/>
      </right>
      <top/>
      <bottom style="medium">
        <color rgb="FF0070C0"/>
      </bottom>
      <diagonal/>
    </border>
    <border>
      <left style="medium">
        <color rgb="FF0070C0"/>
      </left>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top/>
      <bottom style="thin">
        <color indexed="64"/>
      </bottom>
      <diagonal/>
    </border>
    <border>
      <left style="medium">
        <color rgb="FF0070C0"/>
      </left>
      <right/>
      <top style="medium">
        <color rgb="FF0070C0"/>
      </top>
      <bottom style="thin">
        <color auto="1"/>
      </bottom>
      <diagonal/>
    </border>
    <border>
      <left/>
      <right style="medium">
        <color rgb="FF0070C0"/>
      </right>
      <top style="thin">
        <color rgb="FF0070C0"/>
      </top>
      <bottom style="medium">
        <color rgb="FF0070C0"/>
      </bottom>
      <diagonal/>
    </border>
    <border>
      <left/>
      <right style="medium">
        <color rgb="FF0070C0"/>
      </right>
      <top style="medium">
        <color rgb="FF0070C0"/>
      </top>
      <bottom style="thin">
        <color indexed="64"/>
      </bottom>
      <diagonal/>
    </border>
    <border>
      <left style="medium">
        <color indexed="8"/>
      </left>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right style="medium">
        <color indexed="8"/>
      </right>
      <top/>
      <bottom style="thin">
        <color indexed="64"/>
      </bottom>
      <diagonal/>
    </border>
    <border>
      <left style="thin">
        <color auto="1"/>
      </left>
      <right/>
      <top/>
      <bottom style="thin">
        <color indexed="64"/>
      </bottom>
      <diagonal/>
    </border>
    <border>
      <left/>
      <right style="medium">
        <color indexed="10"/>
      </right>
      <top style="thin">
        <color indexed="64"/>
      </top>
      <bottom style="thin">
        <color indexed="64"/>
      </bottom>
      <diagonal/>
    </border>
    <border>
      <left/>
      <right/>
      <top style="medium">
        <color rgb="FF0070C0"/>
      </top>
      <bottom style="thin">
        <color rgb="FF0070C0"/>
      </bottom>
      <diagonal/>
    </border>
    <border>
      <left/>
      <right/>
      <top/>
      <bottom style="medium">
        <color rgb="FF0070C0"/>
      </bottom>
      <diagonal/>
    </border>
    <border>
      <left/>
      <right/>
      <top style="medium">
        <color rgb="FF0070C0"/>
      </top>
      <bottom/>
      <diagonal/>
    </border>
    <border>
      <left/>
      <right style="medium">
        <color rgb="FF0070C0"/>
      </right>
      <top/>
      <bottom/>
      <diagonal/>
    </border>
    <border>
      <left/>
      <right style="medium">
        <color rgb="FF0070C0"/>
      </right>
      <top style="medium">
        <color rgb="FF0070C0"/>
      </top>
      <bottom style="medium">
        <color rgb="FF0070C0"/>
      </bottom>
      <diagonal/>
    </border>
    <border>
      <left style="medium">
        <color rgb="FF0070C0"/>
      </left>
      <right/>
      <top style="thin">
        <color indexed="64"/>
      </top>
      <bottom/>
      <diagonal/>
    </border>
    <border>
      <left/>
      <right style="medium">
        <color rgb="FF0070C0"/>
      </right>
      <top style="thin">
        <color indexed="64"/>
      </top>
      <bottom/>
      <diagonal/>
    </border>
    <border>
      <left style="thin">
        <color rgb="FF0070C0"/>
      </left>
      <right/>
      <top style="medium">
        <color rgb="FF0070C0"/>
      </top>
      <bottom style="thin">
        <color auto="1"/>
      </bottom>
      <diagonal/>
    </border>
    <border>
      <left style="thin">
        <color rgb="FF0070C0"/>
      </left>
      <right style="thin">
        <color indexed="64"/>
      </right>
      <top style="thin">
        <color indexed="64"/>
      </top>
      <bottom style="thin">
        <color indexed="64"/>
      </bottom>
      <diagonal/>
    </border>
    <border>
      <left style="thin">
        <color rgb="FF0070C0"/>
      </left>
      <right/>
      <top style="thin">
        <color indexed="64"/>
      </top>
      <bottom/>
      <diagonal/>
    </border>
    <border>
      <left style="thin">
        <color rgb="FF0070C0"/>
      </left>
      <right/>
      <top/>
      <bottom style="medium">
        <color rgb="FF0070C0"/>
      </bottom>
      <diagonal/>
    </border>
    <border>
      <left style="thin">
        <color rgb="FF0070C0"/>
      </left>
      <right/>
      <top style="thin">
        <color indexed="64"/>
      </top>
      <bottom style="thin">
        <color indexed="64"/>
      </bottom>
      <diagonal/>
    </border>
    <border>
      <left style="thin">
        <color rgb="FF0070C0"/>
      </left>
      <right/>
      <top style="medium">
        <color rgb="FF0070C0"/>
      </top>
      <bottom style="thin">
        <color rgb="FF0070C0"/>
      </bottom>
      <diagonal/>
    </border>
    <border>
      <left/>
      <right/>
      <top style="thin">
        <color rgb="FF0070C0"/>
      </top>
      <bottom style="medium">
        <color rgb="FF0070C0"/>
      </bottom>
      <diagonal/>
    </border>
    <border>
      <left/>
      <right style="thin">
        <color rgb="FF0070C0"/>
      </right>
      <top style="thin">
        <color indexed="64"/>
      </top>
      <bottom/>
      <diagonal/>
    </border>
    <border>
      <left/>
      <right style="thin">
        <color rgb="FF0070C0"/>
      </right>
      <top style="medium">
        <color rgb="FF0070C0"/>
      </top>
      <bottom style="thin">
        <color rgb="FF0070C0"/>
      </bottom>
      <diagonal/>
    </border>
    <border>
      <left/>
      <right style="thin">
        <color rgb="FF0070C0"/>
      </right>
      <top/>
      <bottom style="medium">
        <color rgb="FF0070C0"/>
      </bottom>
      <diagonal/>
    </border>
    <border>
      <left style="thin">
        <color rgb="FF0070C0"/>
      </left>
      <right/>
      <top style="thin">
        <color rgb="FF0070C0"/>
      </top>
      <bottom style="medium">
        <color rgb="FF0070C0"/>
      </bottom>
      <diagonal/>
    </border>
    <border>
      <left/>
      <right style="medium">
        <color indexed="64"/>
      </right>
      <top/>
      <bottom style="medium">
        <color rgb="FF0070C0"/>
      </bottom>
      <diagonal/>
    </border>
    <border>
      <left/>
      <right style="medium">
        <color indexed="64"/>
      </right>
      <top style="thin">
        <color indexed="64"/>
      </top>
      <bottom/>
      <diagonal/>
    </border>
    <border>
      <left style="thin">
        <color indexed="8"/>
      </left>
      <right/>
      <top style="thin">
        <color indexed="64"/>
      </top>
      <bottom style="thin">
        <color auto="1"/>
      </bottom>
      <diagonal/>
    </border>
    <border>
      <left style="medium">
        <color indexed="8"/>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diagonal/>
    </border>
    <border>
      <left style="thin">
        <color indexed="8"/>
      </left>
      <right style="thin">
        <color indexed="8"/>
      </right>
      <top style="thin">
        <color indexed="8"/>
      </top>
      <bottom style="thin">
        <color indexed="64"/>
      </bottom>
      <diagonal/>
    </border>
    <border>
      <left style="medium">
        <color indexed="64"/>
      </left>
      <right/>
      <top style="thin">
        <color auto="1"/>
      </top>
      <bottom/>
      <diagonal/>
    </border>
    <border>
      <left/>
      <right style="medium">
        <color indexed="64"/>
      </right>
      <top style="thin">
        <color auto="1"/>
      </top>
      <bottom style="thin">
        <color indexed="64"/>
      </bottom>
      <diagonal/>
    </border>
    <border>
      <left/>
      <right style="medium">
        <color indexed="64"/>
      </right>
      <top style="thin">
        <color auto="1"/>
      </top>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rgb="FFFF0000"/>
      </bottom>
      <diagonal/>
    </border>
    <border>
      <left/>
      <right style="medium">
        <color indexed="64"/>
      </right>
      <top style="medium">
        <color rgb="FFFF0000"/>
      </top>
      <bottom/>
      <diagonal/>
    </border>
    <border>
      <left style="medium">
        <color indexed="10"/>
      </left>
      <right style="medium">
        <color indexed="64"/>
      </right>
      <top style="medium">
        <color indexed="10"/>
      </top>
      <bottom style="medium">
        <color indexed="10"/>
      </bottom>
      <diagonal/>
    </border>
    <border>
      <left/>
      <right style="medium">
        <color indexed="64"/>
      </right>
      <top style="medium">
        <color indexed="10"/>
      </top>
      <bottom/>
      <diagonal/>
    </border>
    <border>
      <left/>
      <right/>
      <top style="thin">
        <color indexed="64"/>
      </top>
      <bottom style="thin">
        <color indexed="64"/>
      </bottom>
      <diagonal/>
    </border>
    <border>
      <left style="medium">
        <color indexed="64"/>
      </left>
      <right style="thin">
        <color indexed="64"/>
      </right>
      <top style="medium">
        <color rgb="FF0070C0"/>
      </top>
      <bottom style="thin">
        <color indexed="64"/>
      </bottom>
      <diagonal/>
    </border>
    <border>
      <left style="medium">
        <color indexed="64"/>
      </left>
      <right style="thin">
        <color indexed="64"/>
      </right>
      <top/>
      <bottom style="medium">
        <color rgb="FF0070C0"/>
      </bottom>
      <diagonal/>
    </border>
    <border>
      <left style="medium">
        <color indexed="64"/>
      </left>
      <right style="thin">
        <color indexed="64"/>
      </right>
      <top style="thin">
        <color indexed="64"/>
      </top>
      <bottom style="medium">
        <color rgb="FF0070C0"/>
      </bottom>
      <diagonal/>
    </border>
    <border>
      <left style="thin">
        <color indexed="64"/>
      </left>
      <right style="medium">
        <color indexed="64"/>
      </right>
      <top style="medium">
        <color rgb="FF0070C0"/>
      </top>
      <bottom style="thin">
        <color indexed="64"/>
      </bottom>
      <diagonal/>
    </border>
    <border>
      <left style="thin">
        <color indexed="64"/>
      </left>
      <right style="medium">
        <color indexed="64"/>
      </right>
      <top style="thin">
        <color indexed="64"/>
      </top>
      <bottom style="medium">
        <color rgb="FF0070C0"/>
      </bottom>
      <diagonal/>
    </border>
    <border>
      <left style="medium">
        <color indexed="64"/>
      </left>
      <right style="thin">
        <color indexed="64"/>
      </right>
      <top style="medium">
        <color indexed="64"/>
      </top>
      <bottom style="medium">
        <color rgb="FF0070C0"/>
      </bottom>
      <diagonal/>
    </border>
    <border>
      <left style="medium">
        <color indexed="64"/>
      </left>
      <right style="thin">
        <color indexed="64"/>
      </right>
      <top style="medium">
        <color rgb="FF0070C0"/>
      </top>
      <bottom style="medium">
        <color rgb="FF0070C0"/>
      </bottom>
      <diagonal/>
    </border>
    <border>
      <left style="thin">
        <color indexed="64"/>
      </left>
      <right style="thin">
        <color indexed="64"/>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rgb="FF0070C0"/>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rgb="FF0070C0"/>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medium">
        <color indexed="64"/>
      </left>
      <right/>
      <top/>
      <bottom style="medium">
        <color rgb="FF0070C0"/>
      </bottom>
      <diagonal/>
    </border>
    <border>
      <left/>
      <right/>
      <top style="medium">
        <color rgb="FF0070C0"/>
      </top>
      <bottom style="medium">
        <color indexed="64"/>
      </bottom>
      <diagonal/>
    </border>
    <border>
      <left style="medium">
        <color indexed="64"/>
      </left>
      <right/>
      <top style="medium">
        <color rgb="FF0070C0"/>
      </top>
      <bottom/>
      <diagonal/>
    </border>
    <border>
      <left style="medium">
        <color indexed="64"/>
      </left>
      <right style="medium">
        <color rgb="FF0070C0"/>
      </right>
      <top/>
      <bottom style="medium">
        <color rgb="FF0070C0"/>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bottom style="thick">
        <color indexed="17"/>
      </bottom>
      <diagonal/>
    </border>
    <border>
      <left style="thin">
        <color indexed="64"/>
      </left>
      <right style="thick">
        <color indexed="17"/>
      </right>
      <top/>
      <bottom style="thick">
        <color indexed="17"/>
      </bottom>
      <diagonal/>
    </border>
    <border>
      <left style="thin">
        <color indexed="64"/>
      </left>
      <right style="thin">
        <color indexed="64"/>
      </right>
      <top/>
      <bottom style="thick">
        <color rgb="FF008000"/>
      </bottom>
      <diagonal/>
    </border>
    <border>
      <left style="thick">
        <color rgb="FF008000"/>
      </left>
      <right style="thin">
        <color indexed="64"/>
      </right>
      <top style="thick">
        <color rgb="FF008000"/>
      </top>
      <bottom/>
      <diagonal/>
    </border>
    <border>
      <left style="thin">
        <color indexed="64"/>
      </left>
      <right style="thin">
        <color indexed="64"/>
      </right>
      <top style="thick">
        <color rgb="FF008000"/>
      </top>
      <bottom/>
      <diagonal/>
    </border>
    <border>
      <left style="thin">
        <color indexed="64"/>
      </left>
      <right/>
      <top style="thick">
        <color rgb="FF008000"/>
      </top>
      <bottom/>
      <diagonal/>
    </border>
    <border>
      <left style="thin">
        <color indexed="64"/>
      </left>
      <right/>
      <top style="thick">
        <color rgb="FF008000"/>
      </top>
      <bottom style="thin">
        <color indexed="64"/>
      </bottom>
      <diagonal/>
    </border>
    <border>
      <left style="thin">
        <color indexed="64"/>
      </left>
      <right style="thick">
        <color rgb="FF008000"/>
      </right>
      <top style="thick">
        <color rgb="FF008000"/>
      </top>
      <bottom style="thin">
        <color indexed="64"/>
      </bottom>
      <diagonal/>
    </border>
    <border>
      <left style="thick">
        <color rgb="FF008000"/>
      </left>
      <right style="thin">
        <color indexed="64"/>
      </right>
      <top/>
      <bottom style="thin">
        <color indexed="64"/>
      </bottom>
      <diagonal/>
    </border>
    <border>
      <left style="thin">
        <color indexed="64"/>
      </left>
      <right style="thick">
        <color rgb="FF008000"/>
      </right>
      <top/>
      <bottom style="thin">
        <color indexed="64"/>
      </bottom>
      <diagonal/>
    </border>
    <border>
      <left style="thick">
        <color rgb="FF008000"/>
      </left>
      <right style="thin">
        <color indexed="64"/>
      </right>
      <top style="thin">
        <color indexed="64"/>
      </top>
      <bottom/>
      <diagonal/>
    </border>
    <border>
      <left style="thick">
        <color rgb="FF008000"/>
      </left>
      <right style="thin">
        <color indexed="64"/>
      </right>
      <top/>
      <bottom style="thick">
        <color rgb="FF008000"/>
      </bottom>
      <diagonal/>
    </border>
    <border>
      <left style="thin">
        <color auto="1"/>
      </left>
      <right/>
      <top/>
      <bottom style="thick">
        <color rgb="FF008000"/>
      </bottom>
      <diagonal/>
    </border>
    <border>
      <left style="thin">
        <color indexed="64"/>
      </left>
      <right style="thick">
        <color rgb="FF008000"/>
      </right>
      <top/>
      <bottom style="thick">
        <color rgb="FF008000"/>
      </bottom>
      <diagonal/>
    </border>
    <border>
      <left style="thin">
        <color indexed="64"/>
      </left>
      <right/>
      <top style="medium">
        <color rgb="FF0070C0"/>
      </top>
      <bottom/>
      <diagonal/>
    </border>
    <border>
      <left/>
      <right style="thin">
        <color indexed="64"/>
      </right>
      <top style="medium">
        <color rgb="FF0070C0"/>
      </top>
      <bottom/>
      <diagonal/>
    </border>
    <border>
      <left/>
      <right style="thin">
        <color indexed="64"/>
      </right>
      <top/>
      <bottom style="medium">
        <color rgb="FF0070C0"/>
      </bottom>
      <diagonal/>
    </border>
    <border>
      <left/>
      <right style="thin">
        <color indexed="64"/>
      </right>
      <top style="medium">
        <color rgb="FF0070C0"/>
      </top>
      <bottom style="medium">
        <color rgb="FF0070C0"/>
      </bottom>
      <diagonal/>
    </border>
    <border>
      <left style="medium">
        <color indexed="64"/>
      </left>
      <right style="thin">
        <color indexed="64"/>
      </right>
      <top/>
      <bottom style="thick">
        <color rgb="FF008000"/>
      </bottom>
      <diagonal/>
    </border>
    <border>
      <left/>
      <right style="thin">
        <color indexed="64"/>
      </right>
      <top/>
      <bottom style="thick">
        <color rgb="FF008000"/>
      </bottom>
      <diagonal/>
    </border>
    <border>
      <left/>
      <right style="thin">
        <color indexed="64"/>
      </right>
      <top/>
      <bottom style="thin">
        <color indexed="64"/>
      </bottom>
      <diagonal/>
    </border>
    <border>
      <left style="medium">
        <color rgb="FF0070C0"/>
      </left>
      <right/>
      <top style="medium">
        <color rgb="FF0070C0"/>
      </top>
      <bottom style="thin">
        <color rgb="FF0070C0"/>
      </bottom>
      <diagonal/>
    </border>
    <border>
      <left style="thin">
        <color auto="1"/>
      </left>
      <right/>
      <top/>
      <bottom/>
      <diagonal/>
    </border>
  </borders>
  <cellStyleXfs count="130">
    <xf numFmtId="164" fontId="0" fillId="0" borderId="0"/>
    <xf numFmtId="0" fontId="40"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0"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0"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0"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0"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40"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0"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0" fillId="7" borderId="0" applyNumberFormat="0" applyBorder="0" applyAlignment="0" applyProtection="0"/>
    <xf numFmtId="0" fontId="3"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0"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0"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0"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0"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1" fillId="9" borderId="0" applyNumberFormat="0" applyBorder="0" applyAlignment="0" applyProtection="0"/>
    <xf numFmtId="0" fontId="41" fillId="7" borderId="0" applyNumberFormat="0" applyBorder="0" applyAlignment="0" applyProtection="0"/>
    <xf numFmtId="0" fontId="41"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3" borderId="0" applyNumberFormat="0" applyBorder="0" applyAlignment="0" applyProtection="0"/>
    <xf numFmtId="0" fontId="42" fillId="14" borderId="0" applyNumberFormat="0" applyBorder="0" applyAlignment="0" applyProtection="0"/>
    <xf numFmtId="0" fontId="43" fillId="2" borderId="1" applyNumberFormat="0" applyAlignment="0" applyProtection="0"/>
    <xf numFmtId="0" fontId="44" fillId="15" borderId="2" applyNumberFormat="0" applyAlignment="0" applyProtection="0"/>
    <xf numFmtId="0" fontId="45" fillId="0" borderId="0" applyNumberFormat="0" applyFill="0" applyBorder="0" applyAlignment="0" applyProtection="0"/>
    <xf numFmtId="0" fontId="46" fillId="16"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50" fillId="3" borderId="1" applyNumberFormat="0" applyAlignment="0" applyProtection="0"/>
    <xf numFmtId="0" fontId="51" fillId="0" borderId="6" applyNumberFormat="0" applyFill="0" applyAlignment="0" applyProtection="0"/>
    <xf numFmtId="0" fontId="52" fillId="3" borderId="0" applyNumberFormat="0" applyBorder="0" applyAlignment="0" applyProtection="0"/>
    <xf numFmtId="164" fontId="4" fillId="0" borderId="0"/>
    <xf numFmtId="0" fontId="4" fillId="0" borderId="0"/>
    <xf numFmtId="0" fontId="4" fillId="0" borderId="0"/>
    <xf numFmtId="0" fontId="22" fillId="4" borderId="7" applyNumberFormat="0" applyFont="0" applyAlignment="0" applyProtection="0"/>
    <xf numFmtId="0" fontId="4" fillId="4" borderId="7" applyNumberFormat="0" applyFont="0" applyAlignment="0" applyProtection="0"/>
    <xf numFmtId="0" fontId="53" fillId="2" borderId="8" applyNumberFormat="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0" borderId="0" applyNumberFormat="0" applyFill="0" applyBorder="0" applyAlignment="0" applyProtection="0"/>
  </cellStyleXfs>
  <cellXfs count="2908">
    <xf numFmtId="164" fontId="0" fillId="0" borderId="0" xfId="0"/>
    <xf numFmtId="164" fontId="0" fillId="0" borderId="0" xfId="0" applyProtection="1">
      <protection hidden="1"/>
    </xf>
    <xf numFmtId="164" fontId="14" fillId="0" borderId="0" xfId="0" applyFont="1"/>
    <xf numFmtId="164" fontId="0" fillId="0" borderId="0" xfId="0" applyAlignment="1">
      <alignment horizontal="center"/>
    </xf>
    <xf numFmtId="164" fontId="0" fillId="0" borderId="0" xfId="0" applyProtection="1">
      <protection locked="0"/>
    </xf>
    <xf numFmtId="164" fontId="0" fillId="0" borderId="0" xfId="0" applyAlignment="1" applyProtection="1">
      <alignment horizontal="center"/>
      <protection locked="0"/>
    </xf>
    <xf numFmtId="1" fontId="0" fillId="0" borderId="0" xfId="0" applyNumberFormat="1" applyProtection="1">
      <protection hidden="1"/>
    </xf>
    <xf numFmtId="1" fontId="5" fillId="0" borderId="10" xfId="0" applyNumberFormat="1" applyFont="1" applyBorder="1" applyAlignment="1" applyProtection="1">
      <alignment horizontal="center" vertical="center"/>
      <protection hidden="1"/>
    </xf>
    <xf numFmtId="164" fontId="0" fillId="0" borderId="0" xfId="0" applyAlignment="1" applyProtection="1">
      <alignment horizontal="center" vertical="center"/>
      <protection hidden="1"/>
    </xf>
    <xf numFmtId="164" fontId="0" fillId="0" borderId="0" xfId="0" applyAlignment="1" applyProtection="1">
      <alignment horizontal="center"/>
      <protection hidden="1"/>
    </xf>
    <xf numFmtId="1" fontId="0" fillId="0" borderId="0" xfId="0" applyNumberFormat="1" applyProtection="1">
      <protection locked="0"/>
    </xf>
    <xf numFmtId="2" fontId="0" fillId="0" borderId="10" xfId="0" applyNumberFormat="1" applyBorder="1" applyAlignment="1" applyProtection="1">
      <alignment horizontal="center" vertical="center"/>
      <protection hidden="1"/>
    </xf>
    <xf numFmtId="164" fontId="17" fillId="0" borderId="0" xfId="0" applyFont="1" applyAlignment="1" applyProtection="1">
      <alignment horizontal="left" vertical="center"/>
      <protection hidden="1"/>
    </xf>
    <xf numFmtId="164" fontId="14" fillId="0" borderId="0" xfId="0" applyFont="1" applyProtection="1">
      <protection hidden="1"/>
    </xf>
    <xf numFmtId="168" fontId="0" fillId="0" borderId="0" xfId="0" applyNumberFormat="1" applyProtection="1">
      <protection hidden="1"/>
    </xf>
    <xf numFmtId="0" fontId="0" fillId="0" borderId="0" xfId="0" applyNumberFormat="1" applyAlignment="1" applyProtection="1">
      <alignment wrapText="1"/>
      <protection hidden="1"/>
    </xf>
    <xf numFmtId="164" fontId="24" fillId="0" borderId="11" xfId="0" applyFont="1" applyBorder="1" applyProtection="1">
      <protection hidden="1"/>
    </xf>
    <xf numFmtId="164" fontId="16" fillId="0" borderId="11" xfId="0" applyFont="1" applyBorder="1" applyProtection="1">
      <protection hidden="1"/>
    </xf>
    <xf numFmtId="164" fontId="19" fillId="0" borderId="0" xfId="0" applyFont="1" applyProtection="1">
      <protection hidden="1"/>
    </xf>
    <xf numFmtId="164" fontId="27" fillId="0" borderId="0" xfId="0" applyFont="1" applyProtection="1">
      <protection hidden="1"/>
    </xf>
    <xf numFmtId="1" fontId="19" fillId="0" borderId="0" xfId="0" applyNumberFormat="1" applyFont="1" applyProtection="1">
      <protection hidden="1"/>
    </xf>
    <xf numFmtId="164" fontId="19" fillId="0" borderId="0" xfId="0" applyFont="1"/>
    <xf numFmtId="164" fontId="27" fillId="0" borderId="0" xfId="0" applyFont="1"/>
    <xf numFmtId="164" fontId="20" fillId="0" borderId="13" xfId="0" applyFont="1" applyBorder="1" applyProtection="1">
      <protection hidden="1"/>
    </xf>
    <xf numFmtId="164" fontId="6" fillId="0" borderId="14" xfId="0" applyFont="1" applyBorder="1" applyAlignment="1" applyProtection="1">
      <alignment horizontal="center"/>
      <protection hidden="1"/>
    </xf>
    <xf numFmtId="164" fontId="5" fillId="0" borderId="0" xfId="0" applyFont="1"/>
    <xf numFmtId="1" fontId="0" fillId="0" borderId="10" xfId="0" applyNumberFormat="1" applyBorder="1" applyAlignment="1" applyProtection="1">
      <alignment horizontal="center" vertical="center"/>
      <protection hidden="1"/>
    </xf>
    <xf numFmtId="164" fontId="0" fillId="18" borderId="0" xfId="0" applyFill="1" applyProtection="1">
      <protection hidden="1"/>
    </xf>
    <xf numFmtId="164" fontId="58" fillId="0" borderId="0" xfId="0" applyFont="1" applyAlignment="1">
      <alignment horizontal="center" vertical="center" textRotation="90"/>
    </xf>
    <xf numFmtId="164" fontId="0" fillId="0" borderId="0" xfId="0" applyAlignment="1">
      <alignment horizontal="center" vertical="center" textRotation="90"/>
    </xf>
    <xf numFmtId="164" fontId="13" fillId="0" borderId="0" xfId="0" applyFont="1" applyAlignment="1" applyProtection="1">
      <alignment horizontal="left" vertical="center"/>
      <protection hidden="1"/>
    </xf>
    <xf numFmtId="164" fontId="22" fillId="0" borderId="0" xfId="0" applyFont="1" applyProtection="1">
      <protection hidden="1"/>
    </xf>
    <xf numFmtId="164" fontId="0" fillId="0" borderId="0" xfId="0" applyAlignment="1">
      <alignment vertical="center"/>
    </xf>
    <xf numFmtId="164" fontId="15" fillId="0" borderId="0" xfId="0" applyFont="1" applyAlignment="1" applyProtection="1">
      <alignment vertical="center" wrapText="1"/>
      <protection hidden="1"/>
    </xf>
    <xf numFmtId="164" fontId="11" fillId="18" borderId="0" xfId="0" applyFont="1" applyFill="1" applyProtection="1">
      <protection hidden="1"/>
    </xf>
    <xf numFmtId="164" fontId="22" fillId="0" borderId="0" xfId="0" applyFont="1" applyAlignment="1">
      <alignment horizontal="center"/>
    </xf>
    <xf numFmtId="164" fontId="25" fillId="0" borderId="0" xfId="0" applyFont="1" applyProtection="1">
      <protection hidden="1"/>
    </xf>
    <xf numFmtId="164" fontId="66" fillId="0" borderId="0" xfId="0" applyFont="1" applyProtection="1">
      <protection hidden="1"/>
    </xf>
    <xf numFmtId="0" fontId="22" fillId="0" borderId="0" xfId="123" applyFont="1"/>
    <xf numFmtId="0" fontId="59" fillId="18" borderId="0" xfId="0" applyNumberFormat="1" applyFont="1" applyFill="1" applyAlignment="1" applyProtection="1">
      <alignment vertical="center" wrapText="1"/>
      <protection hidden="1"/>
    </xf>
    <xf numFmtId="164" fontId="22" fillId="18" borderId="0" xfId="0" applyFont="1" applyFill="1" applyAlignment="1" applyProtection="1">
      <alignment vertical="center"/>
      <protection hidden="1"/>
    </xf>
    <xf numFmtId="164" fontId="0" fillId="18" borderId="0" xfId="0" applyFill="1" applyAlignment="1" applyProtection="1">
      <alignment vertical="center"/>
      <protection hidden="1"/>
    </xf>
    <xf numFmtId="164" fontId="16" fillId="0" borderId="10" xfId="0" applyFont="1" applyBorder="1" applyAlignment="1" applyProtection="1">
      <alignment horizontal="center"/>
      <protection hidden="1"/>
    </xf>
    <xf numFmtId="0" fontId="0" fillId="19" borderId="15" xfId="0" applyNumberFormat="1" applyFill="1" applyBorder="1" applyAlignment="1" applyProtection="1">
      <alignment horizontal="center"/>
      <protection hidden="1"/>
    </xf>
    <xf numFmtId="0" fontId="0" fillId="19" borderId="10" xfId="0" applyNumberFormat="1" applyFill="1" applyBorder="1" applyAlignment="1" applyProtection="1">
      <alignment horizontal="center"/>
      <protection hidden="1"/>
    </xf>
    <xf numFmtId="9" fontId="0" fillId="19" borderId="10" xfId="0" applyNumberFormat="1" applyFill="1" applyBorder="1" applyAlignment="1">
      <alignment horizontal="center" vertical="center"/>
    </xf>
    <xf numFmtId="1" fontId="13" fillId="19" borderId="12" xfId="0" applyNumberFormat="1" applyFont="1" applyFill="1" applyBorder="1" applyAlignment="1" applyProtection="1">
      <alignment horizontal="center" vertical="center"/>
      <protection hidden="1"/>
    </xf>
    <xf numFmtId="164" fontId="5" fillId="0" borderId="0" xfId="0" applyFont="1" applyAlignment="1" applyProtection="1">
      <alignment vertical="center" wrapText="1"/>
      <protection hidden="1"/>
    </xf>
    <xf numFmtId="167" fontId="21" fillId="0" borderId="13" xfId="0" applyNumberFormat="1" applyFont="1" applyBorder="1" applyAlignment="1" applyProtection="1">
      <alignment horizontal="right"/>
      <protection hidden="1"/>
    </xf>
    <xf numFmtId="167" fontId="0" fillId="0" borderId="0" xfId="0" applyNumberFormat="1" applyAlignment="1" applyProtection="1">
      <alignment horizontal="center"/>
      <protection hidden="1"/>
    </xf>
    <xf numFmtId="167" fontId="0" fillId="0" borderId="17" xfId="0" applyNumberFormat="1" applyBorder="1" applyAlignment="1" applyProtection="1">
      <alignment horizontal="center"/>
      <protection hidden="1"/>
    </xf>
    <xf numFmtId="164" fontId="4" fillId="0" borderId="0" xfId="0" applyFont="1" applyProtection="1">
      <protection hidden="1"/>
    </xf>
    <xf numFmtId="164" fontId="4" fillId="0" borderId="0" xfId="0" applyFont="1" applyAlignment="1" applyProtection="1">
      <alignment horizontal="center"/>
      <protection hidden="1"/>
    </xf>
    <xf numFmtId="164" fontId="72" fillId="18" borderId="0" xfId="0" applyFont="1" applyFill="1" applyProtection="1">
      <protection hidden="1"/>
    </xf>
    <xf numFmtId="164" fontId="72" fillId="18" borderId="0" xfId="0" applyFont="1" applyFill="1" applyAlignment="1" applyProtection="1">
      <alignment horizontal="center"/>
      <protection hidden="1"/>
    </xf>
    <xf numFmtId="1" fontId="0" fillId="20" borderId="10" xfId="0" applyNumberFormat="1" applyFill="1" applyBorder="1" applyAlignment="1" applyProtection="1">
      <alignment horizontal="center"/>
      <protection locked="0" hidden="1"/>
    </xf>
    <xf numFmtId="164" fontId="16" fillId="0" borderId="0" xfId="0" applyFont="1"/>
    <xf numFmtId="164" fontId="16" fillId="18" borderId="0" xfId="0" applyFont="1" applyFill="1" applyProtection="1">
      <protection hidden="1"/>
    </xf>
    <xf numFmtId="164" fontId="16" fillId="0" borderId="0" xfId="0" applyFont="1" applyProtection="1">
      <protection hidden="1"/>
    </xf>
    <xf numFmtId="164" fontId="78" fillId="0" borderId="0" xfId="0" applyFont="1" applyProtection="1">
      <protection hidden="1"/>
    </xf>
    <xf numFmtId="164" fontId="78" fillId="0" borderId="0" xfId="0" applyFont="1" applyAlignment="1" applyProtection="1">
      <alignment horizontal="center"/>
      <protection hidden="1"/>
    </xf>
    <xf numFmtId="1" fontId="0" fillId="0" borderId="19" xfId="0" applyNumberFormat="1" applyBorder="1" applyAlignment="1" applyProtection="1">
      <alignment horizontal="center" vertical="center"/>
      <protection hidden="1"/>
    </xf>
    <xf numFmtId="1" fontId="5" fillId="0" borderId="19" xfId="0" applyNumberFormat="1" applyFont="1" applyBorder="1" applyAlignment="1" applyProtection="1">
      <alignment horizontal="center" vertical="center"/>
      <protection hidden="1"/>
    </xf>
    <xf numFmtId="49" fontId="4" fillId="0" borderId="20" xfId="0" applyNumberFormat="1" applyFont="1" applyBorder="1" applyProtection="1">
      <protection hidden="1"/>
    </xf>
    <xf numFmtId="164" fontId="0" fillId="18" borderId="0" xfId="0" applyFill="1"/>
    <xf numFmtId="164" fontId="7" fillId="18" borderId="21" xfId="0" applyFont="1" applyFill="1" applyBorder="1" applyProtection="1">
      <protection hidden="1"/>
    </xf>
    <xf numFmtId="164" fontId="7" fillId="18" borderId="0" xfId="0" applyFont="1" applyFill="1" applyProtection="1">
      <protection hidden="1"/>
    </xf>
    <xf numFmtId="164" fontId="77" fillId="18" borderId="0" xfId="0" applyFont="1" applyFill="1" applyProtection="1">
      <protection hidden="1"/>
    </xf>
    <xf numFmtId="164" fontId="66" fillId="18" borderId="0" xfId="0" applyFont="1" applyFill="1" applyProtection="1">
      <protection hidden="1"/>
    </xf>
    <xf numFmtId="164" fontId="9" fillId="18" borderId="0" xfId="0" applyFont="1" applyFill="1" applyProtection="1">
      <protection hidden="1"/>
    </xf>
    <xf numFmtId="164" fontId="10" fillId="18" borderId="0" xfId="0" applyFont="1" applyFill="1" applyProtection="1">
      <protection hidden="1"/>
    </xf>
    <xf numFmtId="164" fontId="9" fillId="18" borderId="21" xfId="0" applyFont="1" applyFill="1" applyBorder="1" applyProtection="1">
      <protection hidden="1"/>
    </xf>
    <xf numFmtId="164" fontId="38" fillId="18" borderId="0" xfId="0" applyFont="1" applyFill="1" applyAlignment="1" applyProtection="1">
      <alignment horizontal="right"/>
      <protection hidden="1"/>
    </xf>
    <xf numFmtId="164" fontId="5" fillId="18" borderId="0" xfId="0" applyFont="1" applyFill="1" applyProtection="1">
      <protection hidden="1"/>
    </xf>
    <xf numFmtId="164" fontId="5" fillId="18" borderId="24" xfId="0" applyFont="1" applyFill="1" applyBorder="1" applyProtection="1">
      <protection hidden="1"/>
    </xf>
    <xf numFmtId="164" fontId="0" fillId="18" borderId="24" xfId="0" applyFill="1" applyBorder="1"/>
    <xf numFmtId="164" fontId="16" fillId="18" borderId="10" xfId="0" applyFont="1" applyFill="1" applyBorder="1" applyAlignment="1" applyProtection="1">
      <alignment vertical="center" wrapText="1"/>
      <protection hidden="1"/>
    </xf>
    <xf numFmtId="164" fontId="5" fillId="22" borderId="10" xfId="0" applyFont="1" applyFill="1" applyBorder="1" applyAlignment="1" applyProtection="1">
      <alignment horizontal="center" vertical="center" wrapText="1"/>
      <protection hidden="1"/>
    </xf>
    <xf numFmtId="164" fontId="0" fillId="18" borderId="25" xfId="0" applyFill="1" applyBorder="1"/>
    <xf numFmtId="164" fontId="8" fillId="18" borderId="26" xfId="0" applyFont="1" applyFill="1" applyBorder="1" applyProtection="1">
      <protection hidden="1"/>
    </xf>
    <xf numFmtId="164" fontId="6" fillId="18" borderId="0" xfId="0" applyFont="1" applyFill="1" applyProtection="1">
      <protection hidden="1"/>
    </xf>
    <xf numFmtId="164" fontId="5" fillId="18" borderId="0" xfId="0" applyFont="1" applyFill="1" applyAlignment="1" applyProtection="1">
      <alignment wrapText="1"/>
      <protection hidden="1"/>
    </xf>
    <xf numFmtId="164" fontId="7" fillId="19" borderId="25" xfId="0" applyFont="1" applyFill="1" applyBorder="1" applyProtection="1">
      <protection hidden="1"/>
    </xf>
    <xf numFmtId="164" fontId="7" fillId="19" borderId="26" xfId="0" applyFont="1" applyFill="1" applyBorder="1" applyProtection="1">
      <protection hidden="1"/>
    </xf>
    <xf numFmtId="164" fontId="36" fillId="19" borderId="31" xfId="0" applyFont="1" applyFill="1" applyBorder="1" applyProtection="1">
      <protection hidden="1"/>
    </xf>
    <xf numFmtId="164" fontId="7" fillId="19" borderId="30" xfId="0" applyFont="1" applyFill="1" applyBorder="1" applyAlignment="1" applyProtection="1">
      <alignment horizontal="left" indent="1"/>
      <protection hidden="1"/>
    </xf>
    <xf numFmtId="164" fontId="11" fillId="19" borderId="25" xfId="0" applyFont="1" applyFill="1" applyBorder="1" applyProtection="1">
      <protection hidden="1"/>
    </xf>
    <xf numFmtId="164" fontId="11" fillId="19" borderId="26" xfId="0" applyFont="1" applyFill="1" applyBorder="1" applyProtection="1">
      <protection hidden="1"/>
    </xf>
    <xf numFmtId="164" fontId="5" fillId="19" borderId="33" xfId="0" applyFont="1" applyFill="1" applyBorder="1" applyProtection="1">
      <protection hidden="1"/>
    </xf>
    <xf numFmtId="164" fontId="7" fillId="18" borderId="0" xfId="0" applyFont="1" applyFill="1" applyAlignment="1" applyProtection="1">
      <alignment horizontal="left"/>
      <protection hidden="1"/>
    </xf>
    <xf numFmtId="164" fontId="0" fillId="20" borderId="0" xfId="0" applyFill="1"/>
    <xf numFmtId="2" fontId="22" fillId="18" borderId="10" xfId="0" applyNumberFormat="1" applyFont="1" applyFill="1" applyBorder="1" applyAlignment="1" applyProtection="1">
      <alignment horizontal="right"/>
      <protection locked="0"/>
    </xf>
    <xf numFmtId="164" fontId="0" fillId="18" borderId="34" xfId="0" applyFill="1" applyBorder="1" applyProtection="1">
      <protection hidden="1"/>
    </xf>
    <xf numFmtId="164" fontId="0" fillId="18" borderId="35" xfId="0" applyFill="1" applyBorder="1" applyProtection="1">
      <protection hidden="1"/>
    </xf>
    <xf numFmtId="164" fontId="0" fillId="18" borderId="24" xfId="0" applyFill="1" applyBorder="1" applyProtection="1">
      <protection hidden="1"/>
    </xf>
    <xf numFmtId="164" fontId="0" fillId="19" borderId="22" xfId="0" applyFill="1" applyBorder="1" applyProtection="1">
      <protection hidden="1"/>
    </xf>
    <xf numFmtId="2" fontId="7" fillId="18" borderId="10" xfId="0" applyNumberFormat="1" applyFont="1" applyFill="1" applyBorder="1" applyAlignment="1" applyProtection="1">
      <alignment horizontal="right"/>
      <protection locked="0"/>
    </xf>
    <xf numFmtId="164" fontId="0" fillId="19" borderId="29" xfId="0" applyFill="1" applyBorder="1" applyProtection="1">
      <protection hidden="1"/>
    </xf>
    <xf numFmtId="2" fontId="7" fillId="18" borderId="16" xfId="0" applyNumberFormat="1" applyFont="1" applyFill="1" applyBorder="1" applyAlignment="1" applyProtection="1">
      <alignment horizontal="right"/>
      <protection locked="0"/>
    </xf>
    <xf numFmtId="164" fontId="7" fillId="18" borderId="10" xfId="0" applyFont="1" applyFill="1" applyBorder="1" applyProtection="1">
      <protection locked="0"/>
    </xf>
    <xf numFmtId="164" fontId="0" fillId="18" borderId="21" xfId="0" applyFill="1" applyBorder="1" applyProtection="1">
      <protection hidden="1"/>
    </xf>
    <xf numFmtId="164" fontId="0" fillId="18" borderId="36" xfId="0" applyFill="1" applyBorder="1" applyProtection="1">
      <protection hidden="1"/>
    </xf>
    <xf numFmtId="164" fontId="7" fillId="18" borderId="37" xfId="0" applyFont="1" applyFill="1" applyBorder="1" applyAlignment="1" applyProtection="1">
      <alignment horizontal="right"/>
      <protection locked="0"/>
    </xf>
    <xf numFmtId="164" fontId="0" fillId="19" borderId="27" xfId="0" applyFill="1" applyBorder="1" applyProtection="1">
      <protection hidden="1"/>
    </xf>
    <xf numFmtId="164" fontId="0" fillId="19" borderId="30" xfId="0" applyFill="1" applyBorder="1"/>
    <xf numFmtId="164" fontId="86" fillId="18" borderId="0" xfId="0" applyFont="1" applyFill="1" applyAlignment="1">
      <alignment horizontal="center" vertical="center"/>
    </xf>
    <xf numFmtId="164" fontId="22" fillId="18" borderId="0" xfId="0" applyFont="1" applyFill="1"/>
    <xf numFmtId="164" fontId="82" fillId="18" borderId="0" xfId="0" applyFont="1" applyFill="1" applyAlignment="1">
      <alignment horizontal="left" vertical="center" indent="1"/>
    </xf>
    <xf numFmtId="164" fontId="82" fillId="18" borderId="0" xfId="0" applyFont="1" applyFill="1" applyAlignment="1" applyProtection="1">
      <alignment horizontal="left" indent="1"/>
      <protection hidden="1"/>
    </xf>
    <xf numFmtId="164" fontId="82" fillId="18" borderId="0" xfId="0" applyFont="1" applyFill="1" applyAlignment="1">
      <alignment horizontal="left" indent="1"/>
    </xf>
    <xf numFmtId="164" fontId="84" fillId="18" borderId="0" xfId="0" applyFont="1" applyFill="1" applyProtection="1">
      <protection hidden="1"/>
    </xf>
    <xf numFmtId="164" fontId="10" fillId="19" borderId="33" xfId="0" applyFont="1" applyFill="1" applyBorder="1" applyProtection="1">
      <protection hidden="1"/>
    </xf>
    <xf numFmtId="164" fontId="8" fillId="18" borderId="38" xfId="0" applyFont="1" applyFill="1" applyBorder="1" applyProtection="1">
      <protection hidden="1"/>
    </xf>
    <xf numFmtId="164" fontId="7" fillId="19" borderId="40" xfId="0" applyFont="1" applyFill="1" applyBorder="1" applyProtection="1">
      <protection hidden="1"/>
    </xf>
    <xf numFmtId="164" fontId="15" fillId="18" borderId="0" xfId="0" applyFont="1" applyFill="1" applyAlignment="1" applyProtection="1">
      <alignment vertical="center" wrapText="1"/>
      <protection hidden="1"/>
    </xf>
    <xf numFmtId="164" fontId="33" fillId="0" borderId="0" xfId="0" applyFont="1" applyAlignment="1" applyProtection="1">
      <alignment vertical="center" wrapText="1"/>
      <protection hidden="1"/>
    </xf>
    <xf numFmtId="2" fontId="0" fillId="0" borderId="15" xfId="0" applyNumberFormat="1" applyBorder="1" applyAlignment="1" applyProtection="1">
      <alignment horizontal="center" vertical="center"/>
      <protection hidden="1"/>
    </xf>
    <xf numFmtId="2" fontId="0" fillId="0" borderId="19" xfId="0" applyNumberFormat="1" applyBorder="1" applyAlignment="1" applyProtection="1">
      <alignment horizontal="center" vertical="center"/>
      <protection hidden="1"/>
    </xf>
    <xf numFmtId="164" fontId="0" fillId="0" borderId="26" xfId="0" applyBorder="1"/>
    <xf numFmtId="164" fontId="5" fillId="0" borderId="0" xfId="0" applyFont="1" applyAlignment="1" applyProtection="1">
      <alignment horizontal="center" vertical="center" wrapText="1"/>
      <protection hidden="1"/>
    </xf>
    <xf numFmtId="164" fontId="59" fillId="0" borderId="0" xfId="0" applyFont="1" applyAlignment="1" applyProtection="1">
      <alignment horizontal="center" vertical="center" wrapText="1"/>
      <protection hidden="1"/>
    </xf>
    <xf numFmtId="164" fontId="33" fillId="0" borderId="0" xfId="0" applyFont="1" applyAlignment="1" applyProtection="1">
      <alignment horizontal="center" vertical="center" wrapText="1"/>
      <protection hidden="1"/>
    </xf>
    <xf numFmtId="164" fontId="68" fillId="0" borderId="0" xfId="0" applyFont="1" applyAlignment="1" applyProtection="1">
      <alignment horizontal="right"/>
      <protection hidden="1"/>
    </xf>
    <xf numFmtId="164" fontId="5" fillId="19" borderId="14" xfId="0" applyFont="1" applyFill="1" applyBorder="1" applyAlignment="1" applyProtection="1">
      <alignment horizontal="right" vertical="center"/>
      <protection hidden="1"/>
    </xf>
    <xf numFmtId="9" fontId="71" fillId="19" borderId="16" xfId="0" applyNumberFormat="1" applyFont="1" applyFill="1" applyBorder="1" applyAlignment="1" applyProtection="1">
      <alignment horizontal="center" vertical="center"/>
      <protection hidden="1"/>
    </xf>
    <xf numFmtId="167" fontId="21" fillId="0" borderId="44" xfId="0" applyNumberFormat="1" applyFont="1" applyBorder="1" applyAlignment="1" applyProtection="1">
      <alignment horizontal="right"/>
      <protection hidden="1"/>
    </xf>
    <xf numFmtId="167" fontId="0" fillId="0" borderId="26" xfId="0" applyNumberFormat="1" applyBorder="1" applyAlignment="1" applyProtection="1">
      <alignment horizontal="center"/>
      <protection hidden="1"/>
    </xf>
    <xf numFmtId="164" fontId="6" fillId="0" borderId="45" xfId="0" applyFont="1" applyBorder="1" applyAlignment="1" applyProtection="1">
      <alignment horizontal="right"/>
      <protection hidden="1"/>
    </xf>
    <xf numFmtId="1" fontId="13" fillId="19" borderId="46" xfId="0" applyNumberFormat="1" applyFont="1" applyFill="1" applyBorder="1" applyAlignment="1" applyProtection="1">
      <alignment horizontal="center" vertical="center"/>
      <protection hidden="1"/>
    </xf>
    <xf numFmtId="164" fontId="0" fillId="0" borderId="35" xfId="0" applyBorder="1" applyAlignment="1" applyProtection="1">
      <alignment horizontal="center"/>
      <protection hidden="1"/>
    </xf>
    <xf numFmtId="164" fontId="0" fillId="0" borderId="35" xfId="0" applyBorder="1" applyProtection="1">
      <protection hidden="1"/>
    </xf>
    <xf numFmtId="164" fontId="16" fillId="0" borderId="24" xfId="0" applyFont="1" applyBorder="1" applyProtection="1">
      <protection hidden="1"/>
    </xf>
    <xf numFmtId="1" fontId="13" fillId="0" borderId="0" xfId="0" applyNumberFormat="1" applyFont="1" applyAlignment="1" applyProtection="1">
      <alignment horizontal="center" vertical="center"/>
      <protection hidden="1"/>
    </xf>
    <xf numFmtId="1" fontId="13" fillId="0" borderId="24" xfId="0" applyNumberFormat="1" applyFont="1" applyBorder="1" applyAlignment="1" applyProtection="1">
      <alignment horizontal="center" vertical="center"/>
      <protection hidden="1"/>
    </xf>
    <xf numFmtId="1" fontId="13" fillId="0" borderId="24" xfId="0" applyNumberFormat="1" applyFont="1" applyBorder="1" applyAlignment="1" applyProtection="1">
      <alignment horizontal="center" vertical="center" wrapText="1"/>
      <protection hidden="1"/>
    </xf>
    <xf numFmtId="164" fontId="5" fillId="0" borderId="24" xfId="0" applyFont="1" applyBorder="1" applyAlignment="1" applyProtection="1">
      <alignment horizontal="right" vertical="center" wrapText="1"/>
      <protection hidden="1"/>
    </xf>
    <xf numFmtId="164" fontId="74" fillId="0" borderId="24" xfId="0" applyFont="1" applyBorder="1" applyAlignment="1">
      <alignment horizontal="center"/>
    </xf>
    <xf numFmtId="164" fontId="22" fillId="0" borderId="24" xfId="0" applyFont="1" applyBorder="1" applyAlignment="1" applyProtection="1">
      <alignment horizontal="center" wrapText="1"/>
      <protection hidden="1"/>
    </xf>
    <xf numFmtId="167" fontId="22" fillId="0" borderId="24" xfId="0" applyNumberFormat="1" applyFont="1" applyBorder="1" applyAlignment="1" applyProtection="1">
      <alignment horizontal="center"/>
      <protection hidden="1"/>
    </xf>
    <xf numFmtId="167" fontId="21" fillId="0" borderId="24" xfId="0" applyNumberFormat="1" applyFont="1" applyBorder="1" applyAlignment="1" applyProtection="1">
      <alignment horizontal="right"/>
      <protection hidden="1"/>
    </xf>
    <xf numFmtId="167" fontId="0" fillId="0" borderId="24" xfId="0" applyNumberFormat="1" applyBorder="1" applyAlignment="1" applyProtection="1">
      <alignment horizontal="center"/>
      <protection hidden="1"/>
    </xf>
    <xf numFmtId="164" fontId="22" fillId="0" borderId="0" xfId="0" applyFont="1" applyAlignment="1" applyProtection="1">
      <alignment horizontal="center"/>
      <protection hidden="1"/>
    </xf>
    <xf numFmtId="164" fontId="6" fillId="0" borderId="24" xfId="0" applyFont="1" applyBorder="1" applyAlignment="1" applyProtection="1">
      <alignment horizontal="right"/>
      <protection hidden="1"/>
    </xf>
    <xf numFmtId="164" fontId="22" fillId="0" borderId="0" xfId="0" applyFont="1" applyAlignment="1" applyProtection="1">
      <alignment horizontal="center"/>
      <protection locked="0"/>
    </xf>
    <xf numFmtId="164" fontId="22" fillId="0" borderId="0" xfId="0" applyFont="1"/>
    <xf numFmtId="164" fontId="22" fillId="0" borderId="21" xfId="0" applyFont="1" applyBorder="1" applyAlignment="1" applyProtection="1">
      <alignment horizontal="center"/>
      <protection hidden="1"/>
    </xf>
    <xf numFmtId="164" fontId="22" fillId="0" borderId="21" xfId="0" applyFont="1" applyBorder="1" applyProtection="1">
      <protection hidden="1"/>
    </xf>
    <xf numFmtId="164" fontId="88" fillId="0" borderId="0" xfId="0" applyFont="1" applyProtection="1">
      <protection hidden="1"/>
    </xf>
    <xf numFmtId="164" fontId="88" fillId="0" borderId="0" xfId="0" applyFont="1" applyAlignment="1" applyProtection="1">
      <alignment horizontal="center"/>
      <protection hidden="1"/>
    </xf>
    <xf numFmtId="164" fontId="88" fillId="18" borderId="0" xfId="0" applyFont="1" applyFill="1" applyProtection="1">
      <protection hidden="1"/>
    </xf>
    <xf numFmtId="164" fontId="88" fillId="18" borderId="0" xfId="0" applyFont="1" applyFill="1" applyAlignment="1" applyProtection="1">
      <alignment horizontal="center"/>
      <protection hidden="1"/>
    </xf>
    <xf numFmtId="164" fontId="90" fillId="0" borderId="0" xfId="0" applyFont="1" applyAlignment="1" applyProtection="1">
      <alignment horizontal="center"/>
      <protection hidden="1"/>
    </xf>
    <xf numFmtId="164" fontId="0" fillId="19" borderId="35" xfId="0" applyFill="1" applyBorder="1" applyProtection="1">
      <protection hidden="1"/>
    </xf>
    <xf numFmtId="164" fontId="0" fillId="19" borderId="0" xfId="0" applyFill="1" applyProtection="1">
      <protection hidden="1"/>
    </xf>
    <xf numFmtId="164" fontId="89" fillId="0" borderId="35" xfId="0" applyFont="1" applyBorder="1" applyProtection="1">
      <protection hidden="1"/>
    </xf>
    <xf numFmtId="164" fontId="7" fillId="19" borderId="17" xfId="0" applyFont="1" applyFill="1" applyBorder="1" applyProtection="1">
      <protection hidden="1"/>
    </xf>
    <xf numFmtId="164" fontId="11" fillId="19" borderId="17" xfId="0" applyFont="1" applyFill="1" applyBorder="1" applyProtection="1">
      <protection hidden="1"/>
    </xf>
    <xf numFmtId="164" fontId="11" fillId="19" borderId="22" xfId="0" applyFont="1" applyFill="1" applyBorder="1" applyProtection="1">
      <protection hidden="1"/>
    </xf>
    <xf numFmtId="164" fontId="0" fillId="18" borderId="26" xfId="0" applyFill="1" applyBorder="1" applyProtection="1">
      <protection hidden="1"/>
    </xf>
    <xf numFmtId="164" fontId="0" fillId="18" borderId="32" xfId="0" applyFill="1" applyBorder="1" applyProtection="1">
      <protection hidden="1"/>
    </xf>
    <xf numFmtId="164" fontId="60" fillId="18" borderId="0" xfId="0" applyFont="1" applyFill="1" applyAlignment="1" applyProtection="1">
      <alignment horizontal="left" vertical="center"/>
      <protection hidden="1"/>
    </xf>
    <xf numFmtId="164" fontId="0" fillId="18" borderId="0" xfId="0" applyFill="1" applyAlignment="1" applyProtection="1">
      <alignment horizontal="center" vertical="center"/>
      <protection hidden="1"/>
    </xf>
    <xf numFmtId="164" fontId="96" fillId="0" borderId="36" xfId="0" applyFont="1" applyBorder="1" applyProtection="1">
      <protection hidden="1"/>
    </xf>
    <xf numFmtId="164" fontId="16" fillId="0" borderId="0" xfId="0" applyFont="1" applyAlignment="1" applyProtection="1">
      <alignment horizontal="center"/>
      <protection hidden="1"/>
    </xf>
    <xf numFmtId="15" fontId="29" fillId="19" borderId="48" xfId="0" applyNumberFormat="1" applyFont="1" applyFill="1" applyBorder="1" applyAlignment="1" applyProtection="1">
      <alignment horizontal="left" vertical="center"/>
      <protection hidden="1"/>
    </xf>
    <xf numFmtId="2" fontId="4" fillId="18" borderId="19" xfId="0" applyNumberFormat="1" applyFont="1" applyFill="1" applyBorder="1" applyAlignment="1" applyProtection="1">
      <alignment horizontal="right"/>
      <protection locked="0"/>
    </xf>
    <xf numFmtId="164" fontId="0" fillId="18" borderId="52" xfId="0" applyFill="1" applyBorder="1"/>
    <xf numFmtId="164" fontId="0" fillId="18" borderId="17" xfId="0" applyFill="1" applyBorder="1"/>
    <xf numFmtId="164" fontId="0" fillId="18" borderId="18" xfId="0" applyFill="1" applyBorder="1"/>
    <xf numFmtId="164" fontId="0" fillId="18" borderId="51" xfId="0" applyFill="1" applyBorder="1"/>
    <xf numFmtId="164" fontId="0" fillId="18" borderId="53" xfId="0" applyFill="1" applyBorder="1"/>
    <xf numFmtId="164" fontId="0" fillId="18" borderId="23" xfId="0" applyFill="1" applyBorder="1"/>
    <xf numFmtId="164" fontId="0" fillId="18" borderId="54" xfId="0" applyFill="1" applyBorder="1"/>
    <xf numFmtId="164" fontId="0" fillId="18" borderId="55" xfId="0" applyFill="1" applyBorder="1"/>
    <xf numFmtId="0" fontId="0" fillId="18" borderId="24" xfId="0" applyNumberFormat="1" applyFill="1" applyBorder="1" applyAlignment="1" applyProtection="1">
      <alignment wrapText="1"/>
      <protection hidden="1"/>
    </xf>
    <xf numFmtId="0" fontId="18" fillId="18" borderId="0" xfId="0" applyNumberFormat="1" applyFont="1" applyFill="1" applyAlignment="1" applyProtection="1">
      <alignment horizontal="center" wrapText="1"/>
      <protection hidden="1"/>
    </xf>
    <xf numFmtId="0" fontId="5" fillId="18" borderId="0" xfId="0" applyNumberFormat="1" applyFont="1" applyFill="1" applyAlignment="1" applyProtection="1">
      <alignment wrapText="1"/>
      <protection hidden="1"/>
    </xf>
    <xf numFmtId="0" fontId="0" fillId="18" borderId="36" xfId="0" applyNumberFormat="1" applyFill="1" applyBorder="1" applyAlignment="1" applyProtection="1">
      <alignment wrapText="1"/>
      <protection hidden="1"/>
    </xf>
    <xf numFmtId="164" fontId="10" fillId="18" borderId="0" xfId="0" applyFont="1" applyFill="1" applyAlignment="1" applyProtection="1">
      <alignment horizontal="right"/>
      <protection hidden="1"/>
    </xf>
    <xf numFmtId="164" fontId="10" fillId="18" borderId="0" xfId="0" applyFont="1" applyFill="1" applyAlignment="1" applyProtection="1">
      <alignment horizontal="center"/>
      <protection hidden="1"/>
    </xf>
    <xf numFmtId="164" fontId="71" fillId="18" borderId="56" xfId="0" applyFont="1" applyFill="1" applyBorder="1" applyProtection="1">
      <protection hidden="1"/>
    </xf>
    <xf numFmtId="164" fontId="71" fillId="18" borderId="38" xfId="0" applyFont="1" applyFill="1" applyBorder="1" applyProtection="1">
      <protection hidden="1"/>
    </xf>
    <xf numFmtId="164" fontId="85" fillId="18" borderId="38" xfId="0" applyFont="1" applyFill="1" applyBorder="1" applyAlignment="1" applyProtection="1">
      <alignment horizontal="left" vertical="center"/>
      <protection hidden="1"/>
    </xf>
    <xf numFmtId="164" fontId="0" fillId="18" borderId="38" xfId="0" applyFill="1" applyBorder="1" applyProtection="1">
      <protection hidden="1"/>
    </xf>
    <xf numFmtId="164" fontId="0" fillId="18" borderId="57" xfId="0" applyFill="1" applyBorder="1" applyProtection="1">
      <protection hidden="1"/>
    </xf>
    <xf numFmtId="164" fontId="5" fillId="23" borderId="42" xfId="0" applyFont="1" applyFill="1" applyBorder="1" applyAlignment="1" applyProtection="1">
      <alignment horizontal="center" vertical="center" wrapText="1"/>
      <protection hidden="1"/>
    </xf>
    <xf numFmtId="164" fontId="0" fillId="19" borderId="58" xfId="0" applyFill="1" applyBorder="1" applyProtection="1">
      <protection hidden="1"/>
    </xf>
    <xf numFmtId="164" fontId="0" fillId="19" borderId="17" xfId="0" applyFill="1" applyBorder="1" applyProtection="1">
      <protection hidden="1"/>
    </xf>
    <xf numFmtId="164" fontId="4" fillId="18" borderId="0" xfId="0" applyFont="1" applyFill="1" applyProtection="1">
      <protection hidden="1"/>
    </xf>
    <xf numFmtId="2" fontId="0" fillId="18" borderId="0" xfId="0" applyNumberFormat="1" applyFill="1" applyAlignment="1" applyProtection="1">
      <alignment horizontal="center" vertical="center"/>
      <protection hidden="1"/>
    </xf>
    <xf numFmtId="1" fontId="0" fillId="18" borderId="0" xfId="0" applyNumberFormat="1" applyFill="1" applyAlignment="1" applyProtection="1">
      <alignment horizontal="center"/>
      <protection hidden="1"/>
    </xf>
    <xf numFmtId="2" fontId="0" fillId="18" borderId="15" xfId="0" applyNumberFormat="1" applyFill="1" applyBorder="1" applyAlignment="1" applyProtection="1">
      <alignment horizontal="center" vertical="center"/>
      <protection hidden="1"/>
    </xf>
    <xf numFmtId="164" fontId="6" fillId="18" borderId="59" xfId="0" applyFont="1" applyFill="1" applyBorder="1" applyProtection="1">
      <protection hidden="1"/>
    </xf>
    <xf numFmtId="164" fontId="5" fillId="18" borderId="0" xfId="0" applyFont="1" applyFill="1" applyAlignment="1" applyProtection="1">
      <alignment horizontal="left"/>
      <protection hidden="1"/>
    </xf>
    <xf numFmtId="164" fontId="13" fillId="18" borderId="24" xfId="0" applyFont="1" applyFill="1" applyBorder="1" applyAlignment="1" applyProtection="1">
      <alignment vertical="center" wrapText="1"/>
      <protection hidden="1"/>
    </xf>
    <xf numFmtId="164" fontId="13" fillId="18" borderId="0" xfId="0" applyFont="1" applyFill="1" applyAlignment="1" applyProtection="1">
      <alignment vertical="center" wrapText="1"/>
      <protection hidden="1"/>
    </xf>
    <xf numFmtId="164" fontId="5" fillId="18" borderId="0" xfId="0" applyFont="1" applyFill="1" applyAlignment="1" applyProtection="1">
      <alignment vertical="center" wrapText="1"/>
      <protection hidden="1"/>
    </xf>
    <xf numFmtId="164" fontId="5" fillId="18" borderId="26" xfId="0" applyFont="1" applyFill="1" applyBorder="1" applyAlignment="1" applyProtection="1">
      <alignment vertical="center" wrapText="1"/>
      <protection hidden="1"/>
    </xf>
    <xf numFmtId="164" fontId="5" fillId="18" borderId="0" xfId="0" applyFont="1" applyFill="1" applyAlignment="1" applyProtection="1">
      <alignment horizontal="center"/>
      <protection hidden="1"/>
    </xf>
    <xf numFmtId="170" fontId="0" fillId="0" borderId="10" xfId="0" applyNumberFormat="1" applyBorder="1" applyAlignment="1" applyProtection="1">
      <alignment horizontal="center"/>
      <protection locked="0"/>
    </xf>
    <xf numFmtId="49" fontId="4" fillId="0" borderId="60" xfId="0" applyNumberFormat="1" applyFont="1" applyBorder="1" applyProtection="1">
      <protection hidden="1"/>
    </xf>
    <xf numFmtId="2" fontId="0" fillId="18" borderId="10" xfId="0" applyNumberFormat="1" applyFill="1" applyBorder="1" applyAlignment="1" applyProtection="1">
      <alignment horizontal="center"/>
      <protection locked="0"/>
    </xf>
    <xf numFmtId="2" fontId="0" fillId="0" borderId="10" xfId="0" applyNumberFormat="1" applyBorder="1" applyAlignment="1" applyProtection="1">
      <alignment horizontal="center"/>
      <protection locked="0"/>
    </xf>
    <xf numFmtId="0" fontId="4" fillId="0" borderId="0" xfId="123" applyAlignment="1">
      <alignment horizontal="center"/>
    </xf>
    <xf numFmtId="0" fontId="4" fillId="0" borderId="0" xfId="123"/>
    <xf numFmtId="2" fontId="4" fillId="0" borderId="0" xfId="123" applyNumberFormat="1" applyAlignment="1">
      <alignment horizontal="center"/>
    </xf>
    <xf numFmtId="171" fontId="4" fillId="0" borderId="0" xfId="123" applyNumberFormat="1" applyAlignment="1">
      <alignment horizontal="center"/>
    </xf>
    <xf numFmtId="164" fontId="21" fillId="18" borderId="0" xfId="0" applyFont="1" applyFill="1" applyProtection="1">
      <protection hidden="1"/>
    </xf>
    <xf numFmtId="0" fontId="4" fillId="0" borderId="18" xfId="123" applyBorder="1"/>
    <xf numFmtId="0" fontId="22" fillId="0" borderId="51" xfId="123" applyFont="1" applyBorder="1"/>
    <xf numFmtId="0" fontId="22" fillId="24" borderId="10" xfId="123" applyFont="1" applyFill="1" applyBorder="1" applyAlignment="1">
      <alignment horizontal="center"/>
    </xf>
    <xf numFmtId="0" fontId="22" fillId="24" borderId="10" xfId="123" applyFont="1" applyFill="1" applyBorder="1"/>
    <xf numFmtId="0" fontId="22" fillId="0" borderId="17" xfId="123" applyFont="1" applyBorder="1"/>
    <xf numFmtId="0" fontId="22" fillId="0" borderId="23" xfId="123" applyFont="1" applyBorder="1"/>
    <xf numFmtId="0" fontId="22" fillId="0" borderId="54" xfId="123" applyFont="1" applyBorder="1"/>
    <xf numFmtId="164" fontId="7" fillId="24" borderId="10" xfId="123" applyNumberFormat="1" applyFont="1" applyFill="1" applyBorder="1"/>
    <xf numFmtId="0" fontId="7" fillId="0" borderId="0" xfId="123" applyFont="1" applyAlignment="1">
      <alignment horizontal="right"/>
    </xf>
    <xf numFmtId="169" fontId="7" fillId="0" borderId="0" xfId="123" applyNumberFormat="1" applyFont="1"/>
    <xf numFmtId="169" fontId="22" fillId="0" borderId="0" xfId="123" applyNumberFormat="1" applyFont="1"/>
    <xf numFmtId="164" fontId="0" fillId="0" borderId="17" xfId="0" applyBorder="1" applyAlignment="1">
      <alignment horizontal="center"/>
    </xf>
    <xf numFmtId="0" fontId="25" fillId="0" borderId="0" xfId="123" applyFont="1"/>
    <xf numFmtId="169" fontId="5" fillId="0" borderId="0" xfId="123" applyNumberFormat="1" applyFont="1"/>
    <xf numFmtId="0" fontId="4" fillId="0" borderId="24" xfId="123" applyBorder="1"/>
    <xf numFmtId="0" fontId="0" fillId="18" borderId="0" xfId="0" applyNumberFormat="1" applyFill="1"/>
    <xf numFmtId="0" fontId="0" fillId="0" borderId="17" xfId="0" applyNumberFormat="1" applyBorder="1" applyAlignment="1">
      <alignment horizontal="center"/>
    </xf>
    <xf numFmtId="0" fontId="0" fillId="18" borderId="17" xfId="0" applyNumberFormat="1" applyFill="1" applyBorder="1"/>
    <xf numFmtId="0" fontId="0" fillId="18" borderId="52" xfId="0" applyNumberFormat="1" applyFill="1" applyBorder="1" applyAlignment="1">
      <alignment horizontal="center"/>
    </xf>
    <xf numFmtId="0" fontId="22" fillId="0" borderId="26" xfId="123" applyFont="1" applyBorder="1"/>
    <xf numFmtId="169" fontId="4" fillId="0" borderId="0" xfId="123" applyNumberFormat="1"/>
    <xf numFmtId="0" fontId="22" fillId="25" borderId="0" xfId="123" applyFont="1" applyFill="1"/>
    <xf numFmtId="2" fontId="22" fillId="24" borderId="10" xfId="123" applyNumberFormat="1" applyFont="1" applyFill="1" applyBorder="1"/>
    <xf numFmtId="2" fontId="22" fillId="0" borderId="0" xfId="123" applyNumberFormat="1" applyFont="1" applyAlignment="1">
      <alignment horizontal="center"/>
    </xf>
    <xf numFmtId="0" fontId="0" fillId="0" borderId="49" xfId="0" applyNumberFormat="1" applyBorder="1" applyAlignment="1">
      <alignment horizontal="center"/>
    </xf>
    <xf numFmtId="2" fontId="4" fillId="24" borderId="10" xfId="123" applyNumberFormat="1" applyFill="1" applyBorder="1"/>
    <xf numFmtId="2" fontId="22" fillId="0" borderId="0" xfId="123" applyNumberFormat="1" applyFont="1"/>
    <xf numFmtId="2" fontId="22" fillId="24" borderId="12" xfId="123" applyNumberFormat="1" applyFont="1" applyFill="1" applyBorder="1"/>
    <xf numFmtId="0" fontId="22" fillId="25" borderId="10" xfId="123" applyFont="1" applyFill="1" applyBorder="1" applyAlignment="1">
      <alignment horizontal="center"/>
    </xf>
    <xf numFmtId="0" fontId="22" fillId="0" borderId="0" xfId="123" quotePrefix="1" applyFont="1"/>
    <xf numFmtId="0" fontId="10" fillId="0" borderId="0" xfId="123" applyFont="1"/>
    <xf numFmtId="0" fontId="7" fillId="0" borderId="0" xfId="123" applyFont="1"/>
    <xf numFmtId="0" fontId="22" fillId="26" borderId="0" xfId="123" applyFont="1" applyFill="1" applyAlignment="1">
      <alignment horizontal="center"/>
    </xf>
    <xf numFmtId="0" fontId="22" fillId="0" borderId="0" xfId="123" applyFont="1" applyAlignment="1">
      <alignment horizontal="center"/>
    </xf>
    <xf numFmtId="0" fontId="5" fillId="0" borderId="0" xfId="123" applyFont="1"/>
    <xf numFmtId="0" fontId="7" fillId="24" borderId="10" xfId="123" applyFont="1" applyFill="1" applyBorder="1"/>
    <xf numFmtId="0" fontId="25" fillId="0" borderId="0" xfId="123" quotePrefix="1" applyFont="1"/>
    <xf numFmtId="0" fontId="22" fillId="0" borderId="26" xfId="123" applyFont="1" applyBorder="1" applyAlignment="1">
      <alignment horizontal="center"/>
    </xf>
    <xf numFmtId="0" fontId="7" fillId="0" borderId="0" xfId="123" applyFont="1" applyAlignment="1">
      <alignment horizontal="center"/>
    </xf>
    <xf numFmtId="0" fontId="8" fillId="0" borderId="0" xfId="123" applyFont="1"/>
    <xf numFmtId="0" fontId="7" fillId="0" borderId="63" xfId="123" applyFont="1" applyBorder="1" applyAlignment="1">
      <alignment horizontal="right"/>
    </xf>
    <xf numFmtId="0" fontId="7" fillId="0" borderId="64" xfId="123" applyFont="1" applyBorder="1" applyAlignment="1">
      <alignment horizontal="center"/>
    </xf>
    <xf numFmtId="0" fontId="7" fillId="0" borderId="64" xfId="123" applyFont="1" applyBorder="1"/>
    <xf numFmtId="0" fontId="7" fillId="0" borderId="65" xfId="123" applyFont="1" applyBorder="1"/>
    <xf numFmtId="0" fontId="7" fillId="0" borderId="66" xfId="123" applyFont="1" applyBorder="1" applyAlignment="1">
      <alignment horizontal="center"/>
    </xf>
    <xf numFmtId="0" fontId="7" fillId="0" borderId="67" xfId="123" applyFont="1" applyBorder="1"/>
    <xf numFmtId="0" fontId="4" fillId="0" borderId="34" xfId="123" applyBorder="1"/>
    <xf numFmtId="0" fontId="4" fillId="0" borderId="68" xfId="123" applyBorder="1" applyAlignment="1">
      <alignment horizontal="center"/>
    </xf>
    <xf numFmtId="0" fontId="4" fillId="27" borderId="25" xfId="123" applyFill="1" applyBorder="1" applyAlignment="1">
      <alignment horizontal="center"/>
    </xf>
    <xf numFmtId="0" fontId="7" fillId="0" borderId="69" xfId="123" applyFont="1" applyBorder="1" applyAlignment="1">
      <alignment horizontal="right"/>
    </xf>
    <xf numFmtId="166" fontId="7" fillId="0" borderId="0" xfId="123" applyNumberFormat="1" applyFont="1" applyAlignment="1">
      <alignment horizontal="center"/>
    </xf>
    <xf numFmtId="164" fontId="7" fillId="0" borderId="0" xfId="123" applyNumberFormat="1" applyFont="1" applyAlignment="1">
      <alignment horizontal="center"/>
    </xf>
    <xf numFmtId="164" fontId="7" fillId="0" borderId="52" xfId="123" applyNumberFormat="1" applyFont="1" applyBorder="1" applyAlignment="1">
      <alignment horizontal="center"/>
    </xf>
    <xf numFmtId="0" fontId="7" fillId="0" borderId="70" xfId="123" applyFont="1" applyBorder="1"/>
    <xf numFmtId="0" fontId="4" fillId="0" borderId="71" xfId="123" applyBorder="1"/>
    <xf numFmtId="0" fontId="4" fillId="0" borderId="15" xfId="123" applyBorder="1" applyAlignment="1">
      <alignment horizontal="center"/>
    </xf>
    <xf numFmtId="0" fontId="4" fillId="0" borderId="15" xfId="123" quotePrefix="1" applyBorder="1" applyAlignment="1">
      <alignment horizontal="center"/>
    </xf>
    <xf numFmtId="0" fontId="4" fillId="0" borderId="72" xfId="123" applyBorder="1" applyAlignment="1">
      <alignment horizontal="center"/>
    </xf>
    <xf numFmtId="0" fontId="8" fillId="22" borderId="69" xfId="123" applyFont="1" applyFill="1" applyBorder="1"/>
    <xf numFmtId="0" fontId="26" fillId="22" borderId="0" xfId="123" applyFont="1" applyFill="1" applyAlignment="1">
      <alignment horizontal="center"/>
    </xf>
    <xf numFmtId="0" fontId="10" fillId="0" borderId="34" xfId="123" applyFont="1" applyBorder="1"/>
    <xf numFmtId="0" fontId="26" fillId="0" borderId="25" xfId="123" applyFont="1" applyBorder="1" applyAlignment="1">
      <alignment horizontal="center"/>
    </xf>
    <xf numFmtId="0" fontId="4" fillId="28" borderId="73" xfId="123" applyFill="1" applyBorder="1" applyAlignment="1">
      <alignment horizontal="center"/>
    </xf>
    <xf numFmtId="169" fontId="4" fillId="0" borderId="73" xfId="123" applyNumberFormat="1" applyBorder="1" applyAlignment="1">
      <alignment horizontal="center"/>
    </xf>
    <xf numFmtId="169" fontId="4" fillId="0" borderId="26" xfId="123" applyNumberFormat="1" applyBorder="1" applyAlignment="1">
      <alignment horizontal="center"/>
    </xf>
    <xf numFmtId="0" fontId="7" fillId="22" borderId="69" xfId="123" applyFont="1" applyFill="1" applyBorder="1" applyAlignment="1">
      <alignment horizontal="right"/>
    </xf>
    <xf numFmtId="165" fontId="7" fillId="0" borderId="0" xfId="123" applyNumberFormat="1" applyFont="1" applyAlignment="1">
      <alignment horizontal="center"/>
    </xf>
    <xf numFmtId="0" fontId="26" fillId="0" borderId="0" xfId="123" applyFont="1" applyAlignment="1">
      <alignment horizontal="left"/>
    </xf>
    <xf numFmtId="0" fontId="7" fillId="0" borderId="69" xfId="123" applyFont="1" applyBorder="1"/>
    <xf numFmtId="0" fontId="7" fillId="28" borderId="0" xfId="123" applyFont="1" applyFill="1" applyAlignment="1">
      <alignment horizontal="center"/>
    </xf>
    <xf numFmtId="0" fontId="7" fillId="0" borderId="23" xfId="123" applyFont="1" applyBorder="1" applyAlignment="1">
      <alignment horizontal="right"/>
    </xf>
    <xf numFmtId="164" fontId="7" fillId="0" borderId="54" xfId="123" applyNumberFormat="1" applyFont="1" applyBorder="1" applyAlignment="1">
      <alignment horizontal="center"/>
    </xf>
    <xf numFmtId="164" fontId="7" fillId="0" borderId="55" xfId="123" applyNumberFormat="1" applyFont="1" applyBorder="1" applyAlignment="1">
      <alignment horizontal="center"/>
    </xf>
    <xf numFmtId="0" fontId="10" fillId="0" borderId="24" xfId="123" applyFont="1" applyBorder="1" applyAlignment="1">
      <alignment horizontal="center"/>
    </xf>
    <xf numFmtId="0" fontId="26" fillId="0" borderId="26" xfId="123" applyFont="1" applyBorder="1" applyAlignment="1">
      <alignment horizontal="center"/>
    </xf>
    <xf numFmtId="0" fontId="10" fillId="0" borderId="69" xfId="123" applyFont="1" applyBorder="1"/>
    <xf numFmtId="2" fontId="8" fillId="0" borderId="0" xfId="123" applyNumberFormat="1" applyFont="1"/>
    <xf numFmtId="2" fontId="8" fillId="0" borderId="0" xfId="123" applyNumberFormat="1" applyFont="1" applyAlignment="1">
      <alignment horizontal="center"/>
    </xf>
    <xf numFmtId="0" fontId="4" fillId="0" borderId="36" xfId="123" applyBorder="1"/>
    <xf numFmtId="0" fontId="4" fillId="28" borderId="74" xfId="123" applyFill="1" applyBorder="1" applyAlignment="1">
      <alignment horizontal="center"/>
    </xf>
    <xf numFmtId="169" fontId="4" fillId="0" borderId="74" xfId="123" applyNumberFormat="1" applyBorder="1" applyAlignment="1">
      <alignment horizontal="center"/>
    </xf>
    <xf numFmtId="169" fontId="4" fillId="0" borderId="32" xfId="123" applyNumberFormat="1" applyBorder="1" applyAlignment="1">
      <alignment horizontal="center"/>
    </xf>
    <xf numFmtId="0" fontId="10" fillId="0" borderId="36" xfId="123" applyFont="1" applyBorder="1" applyAlignment="1">
      <alignment horizontal="center"/>
    </xf>
    <xf numFmtId="0" fontId="22" fillId="0" borderId="69" xfId="123" applyFont="1" applyBorder="1"/>
    <xf numFmtId="0" fontId="7" fillId="25" borderId="0" xfId="123" applyFont="1" applyFill="1"/>
    <xf numFmtId="0" fontId="5" fillId="0" borderId="34" xfId="123" applyFont="1" applyBorder="1" applyAlignment="1">
      <alignment horizontal="center"/>
    </xf>
    <xf numFmtId="0" fontId="5" fillId="0" borderId="24" xfId="123" applyFont="1" applyBorder="1" applyAlignment="1">
      <alignment horizontal="center"/>
    </xf>
    <xf numFmtId="0" fontId="7" fillId="23" borderId="69" xfId="123" applyFont="1" applyFill="1" applyBorder="1"/>
    <xf numFmtId="0" fontId="7" fillId="23" borderId="0" xfId="123" applyFont="1" applyFill="1"/>
    <xf numFmtId="0" fontId="8" fillId="29" borderId="0" xfId="123" applyFont="1" applyFill="1" applyAlignment="1">
      <alignment horizontal="left"/>
    </xf>
    <xf numFmtId="0" fontId="8" fillId="29" borderId="0" xfId="123" applyFont="1" applyFill="1"/>
    <xf numFmtId="169" fontId="8" fillId="25" borderId="10" xfId="123" applyNumberFormat="1" applyFont="1" applyFill="1" applyBorder="1" applyAlignment="1">
      <alignment horizontal="center"/>
    </xf>
    <xf numFmtId="2" fontId="7" fillId="0" borderId="0" xfId="123" applyNumberFormat="1" applyFont="1" applyAlignment="1">
      <alignment horizontal="right"/>
    </xf>
    <xf numFmtId="0" fontId="5" fillId="0" borderId="36" xfId="123" applyFont="1" applyBorder="1" applyAlignment="1">
      <alignment horizontal="center"/>
    </xf>
    <xf numFmtId="0" fontId="7" fillId="0" borderId="32" xfId="123" applyFont="1" applyBorder="1" applyAlignment="1">
      <alignment horizontal="center"/>
    </xf>
    <xf numFmtId="0" fontId="7" fillId="23" borderId="69" xfId="123" applyFont="1" applyFill="1" applyBorder="1" applyAlignment="1">
      <alignment horizontal="center"/>
    </xf>
    <xf numFmtId="0" fontId="7" fillId="23" borderId="0" xfId="123" applyFont="1" applyFill="1" applyAlignment="1">
      <alignment horizontal="center"/>
    </xf>
    <xf numFmtId="2" fontId="22" fillId="25" borderId="0" xfId="123" applyNumberFormat="1" applyFont="1" applyFill="1"/>
    <xf numFmtId="164" fontId="8" fillId="25" borderId="0" xfId="123" applyNumberFormat="1" applyFont="1" applyFill="1" applyAlignment="1">
      <alignment horizontal="center"/>
    </xf>
    <xf numFmtId="0" fontId="8" fillId="0" borderId="70" xfId="123" applyFont="1" applyBorder="1"/>
    <xf numFmtId="164" fontId="8" fillId="29" borderId="0" xfId="123" applyNumberFormat="1" applyFont="1" applyFill="1" applyAlignment="1">
      <alignment horizontal="center"/>
    </xf>
    <xf numFmtId="0" fontId="7" fillId="0" borderId="0" xfId="123" quotePrefix="1" applyFont="1"/>
    <xf numFmtId="0" fontId="8" fillId="25" borderId="0" xfId="123" applyFont="1" applyFill="1"/>
    <xf numFmtId="2" fontId="7" fillId="25" borderId="0" xfId="123" applyNumberFormat="1" applyFont="1" applyFill="1" applyAlignment="1">
      <alignment horizontal="left"/>
    </xf>
    <xf numFmtId="0" fontId="8" fillId="30" borderId="0" xfId="123" applyFont="1" applyFill="1"/>
    <xf numFmtId="0" fontId="26" fillId="0" borderId="70" xfId="123" applyFont="1" applyBorder="1" applyAlignment="1">
      <alignment horizontal="center"/>
    </xf>
    <xf numFmtId="0" fontId="7" fillId="25" borderId="24" xfId="123" applyFont="1" applyFill="1" applyBorder="1"/>
    <xf numFmtId="0" fontId="10" fillId="25" borderId="10" xfId="123" applyFont="1" applyFill="1" applyBorder="1" applyAlignment="1">
      <alignment horizontal="center"/>
    </xf>
    <xf numFmtId="0" fontId="10" fillId="25" borderId="46" xfId="123" applyFont="1" applyFill="1" applyBorder="1" applyAlignment="1">
      <alignment horizontal="center"/>
    </xf>
    <xf numFmtId="0" fontId="8" fillId="25" borderId="70" xfId="123" applyFont="1" applyFill="1" applyBorder="1"/>
    <xf numFmtId="0" fontId="10" fillId="0" borderId="20" xfId="123" applyFont="1" applyBorder="1" applyAlignment="1">
      <alignment horizontal="center"/>
    </xf>
    <xf numFmtId="0" fontId="7" fillId="0" borderId="10" xfId="123" applyFont="1" applyBorder="1" applyAlignment="1">
      <alignment horizontal="center" vertical="center"/>
    </xf>
    <xf numFmtId="0" fontId="7" fillId="0" borderId="46" xfId="123" applyFont="1" applyBorder="1" applyAlignment="1">
      <alignment horizontal="center" vertical="center"/>
    </xf>
    <xf numFmtId="0" fontId="22" fillId="0" borderId="20" xfId="123" applyFont="1" applyBorder="1"/>
    <xf numFmtId="164" fontId="8" fillId="0" borderId="10" xfId="123" applyNumberFormat="1" applyFont="1" applyBorder="1"/>
    <xf numFmtId="164" fontId="8" fillId="0" borderId="46" xfId="123" applyNumberFormat="1" applyFont="1" applyBorder="1"/>
    <xf numFmtId="169" fontId="8" fillId="25" borderId="70" xfId="123" applyNumberFormat="1" applyFont="1" applyFill="1" applyBorder="1"/>
    <xf numFmtId="0" fontId="22" fillId="0" borderId="60" xfId="123" applyFont="1" applyBorder="1"/>
    <xf numFmtId="164" fontId="8" fillId="0" borderId="19" xfId="123" applyNumberFormat="1" applyFont="1" applyBorder="1"/>
    <xf numFmtId="164" fontId="8" fillId="0" borderId="44" xfId="123" applyNumberFormat="1" applyFont="1" applyBorder="1"/>
    <xf numFmtId="0" fontId="7" fillId="23" borderId="75" xfId="123" applyFont="1" applyFill="1" applyBorder="1" applyAlignment="1">
      <alignment horizontal="right"/>
    </xf>
    <xf numFmtId="0" fontId="7" fillId="23" borderId="76" xfId="123" applyFont="1" applyFill="1" applyBorder="1" applyAlignment="1">
      <alignment horizontal="center"/>
    </xf>
    <xf numFmtId="0" fontId="7" fillId="0" borderId="76" xfId="123" applyFont="1" applyBorder="1"/>
    <xf numFmtId="0" fontId="7" fillId="0" borderId="77" xfId="123" applyFont="1" applyBorder="1"/>
    <xf numFmtId="0" fontId="10" fillId="0" borderId="0" xfId="123" applyFont="1" applyAlignment="1">
      <alignment horizontal="center"/>
    </xf>
    <xf numFmtId="2" fontId="7" fillId="0" borderId="0" xfId="123" applyNumberFormat="1" applyFont="1"/>
    <xf numFmtId="1" fontId="7" fillId="0" borderId="0" xfId="123" applyNumberFormat="1" applyFont="1"/>
    <xf numFmtId="0" fontId="10" fillId="19" borderId="0" xfId="123" applyFont="1" applyFill="1"/>
    <xf numFmtId="0" fontId="7" fillId="19" borderId="0" xfId="123" applyFont="1" applyFill="1"/>
    <xf numFmtId="169" fontId="7" fillId="28" borderId="0" xfId="123" applyNumberFormat="1" applyFont="1" applyFill="1"/>
    <xf numFmtId="169" fontId="7" fillId="19" borderId="0" xfId="123" applyNumberFormat="1" applyFont="1" applyFill="1"/>
    <xf numFmtId="0" fontId="7" fillId="28" borderId="0" xfId="123" applyFont="1" applyFill="1"/>
    <xf numFmtId="0" fontId="31" fillId="19" borderId="0" xfId="123" applyFont="1" applyFill="1"/>
    <xf numFmtId="0" fontId="10" fillId="20" borderId="0" xfId="123" applyFont="1" applyFill="1"/>
    <xf numFmtId="0" fontId="7" fillId="20" borderId="0" xfId="123" applyFont="1" applyFill="1"/>
    <xf numFmtId="0" fontId="7" fillId="20" borderId="0" xfId="123" applyFont="1" applyFill="1" applyAlignment="1">
      <alignment horizontal="left"/>
    </xf>
    <xf numFmtId="0" fontId="7" fillId="28" borderId="10" xfId="123" applyFont="1" applyFill="1" applyBorder="1" applyAlignment="1">
      <alignment horizontal="center"/>
    </xf>
    <xf numFmtId="0" fontId="7" fillId="20" borderId="0" xfId="123" applyFont="1" applyFill="1" applyAlignment="1">
      <alignment horizontal="center"/>
    </xf>
    <xf numFmtId="165" fontId="7" fillId="20" borderId="0" xfId="123" applyNumberFormat="1" applyFont="1" applyFill="1"/>
    <xf numFmtId="0" fontId="7" fillId="20" borderId="0" xfId="123" quotePrefix="1" applyFont="1" applyFill="1"/>
    <xf numFmtId="169" fontId="7" fillId="20" borderId="0" xfId="123" applyNumberFormat="1" applyFont="1" applyFill="1"/>
    <xf numFmtId="169" fontId="7" fillId="20" borderId="78" xfId="123" applyNumberFormat="1" applyFont="1" applyFill="1" applyBorder="1"/>
    <xf numFmtId="0" fontId="10" fillId="20" borderId="0" xfId="123" quotePrefix="1" applyFont="1" applyFill="1"/>
    <xf numFmtId="2" fontId="7" fillId="19" borderId="0" xfId="123" applyNumberFormat="1" applyFont="1" applyFill="1"/>
    <xf numFmtId="166" fontId="7" fillId="19" borderId="0" xfId="123" applyNumberFormat="1" applyFont="1" applyFill="1"/>
    <xf numFmtId="2" fontId="107" fillId="19" borderId="0" xfId="123" applyNumberFormat="1" applyFont="1" applyFill="1"/>
    <xf numFmtId="169" fontId="31" fillId="19" borderId="0" xfId="123" applyNumberFormat="1" applyFont="1" applyFill="1"/>
    <xf numFmtId="0" fontId="10" fillId="21" borderId="0" xfId="123" applyFont="1" applyFill="1"/>
    <xf numFmtId="0" fontId="7" fillId="21" borderId="0" xfId="123" applyFont="1" applyFill="1"/>
    <xf numFmtId="169" fontId="7" fillId="21" borderId="0" xfId="123" applyNumberFormat="1" applyFont="1" applyFill="1"/>
    <xf numFmtId="171" fontId="7" fillId="0" borderId="0" xfId="123" applyNumberFormat="1" applyFont="1"/>
    <xf numFmtId="169" fontId="31" fillId="21" borderId="0" xfId="123" applyNumberFormat="1" applyFont="1" applyFill="1"/>
    <xf numFmtId="0" fontId="7" fillId="0" borderId="34" xfId="123" applyFont="1" applyBorder="1"/>
    <xf numFmtId="0" fontId="7" fillId="0" borderId="25" xfId="123" applyFont="1" applyBorder="1"/>
    <xf numFmtId="0" fontId="0" fillId="0" borderId="24" xfId="0" applyNumberFormat="1" applyBorder="1"/>
    <xf numFmtId="0" fontId="0" fillId="0" borderId="0" xfId="0" applyNumberFormat="1"/>
    <xf numFmtId="0" fontId="31" fillId="21" borderId="0" xfId="123" applyFont="1" applyFill="1"/>
    <xf numFmtId="0" fontId="10" fillId="25" borderId="59" xfId="123" applyFont="1" applyFill="1" applyBorder="1" applyAlignment="1">
      <alignment horizontal="center"/>
    </xf>
    <xf numFmtId="0" fontId="7" fillId="25" borderId="0" xfId="123" applyFont="1" applyFill="1" applyAlignment="1">
      <alignment horizontal="left"/>
    </xf>
    <xf numFmtId="0" fontId="7" fillId="25" borderId="0" xfId="123" applyFont="1" applyFill="1" applyAlignment="1">
      <alignment horizontal="right"/>
    </xf>
    <xf numFmtId="0" fontId="7" fillId="0" borderId="53" xfId="123" applyFont="1" applyBorder="1" applyAlignment="1">
      <alignment horizontal="center"/>
    </xf>
    <xf numFmtId="0" fontId="10" fillId="25" borderId="15" xfId="123" applyFont="1" applyFill="1" applyBorder="1" applyAlignment="1">
      <alignment horizontal="center"/>
    </xf>
    <xf numFmtId="0" fontId="7" fillId="0" borderId="55" xfId="123" applyFont="1" applyBorder="1" applyAlignment="1">
      <alignment horizontal="center"/>
    </xf>
    <xf numFmtId="169" fontId="7" fillId="25" borderId="10" xfId="123" applyNumberFormat="1" applyFont="1" applyFill="1" applyBorder="1" applyAlignment="1">
      <alignment horizontal="center"/>
    </xf>
    <xf numFmtId="2" fontId="0" fillId="28" borderId="24" xfId="0" applyNumberFormat="1" applyFill="1" applyBorder="1" applyAlignment="1">
      <alignment horizontal="center"/>
    </xf>
    <xf numFmtId="0" fontId="55" fillId="0" borderId="79" xfId="0" applyNumberFormat="1" applyFont="1" applyBorder="1" applyAlignment="1">
      <alignment horizontal="center"/>
    </xf>
    <xf numFmtId="0" fontId="7" fillId="25" borderId="18" xfId="123" applyFont="1" applyFill="1" applyBorder="1"/>
    <xf numFmtId="2" fontId="0" fillId="28" borderId="36" xfId="0" applyNumberFormat="1" applyFill="1" applyBorder="1" applyAlignment="1">
      <alignment horizontal="center"/>
    </xf>
    <xf numFmtId="169" fontId="7" fillId="0" borderId="0" xfId="123" applyNumberFormat="1" applyFont="1" applyAlignment="1">
      <alignment horizontal="center"/>
    </xf>
    <xf numFmtId="2" fontId="0" fillId="0" borderId="0" xfId="0" applyNumberFormat="1" applyAlignment="1">
      <alignment horizontal="center"/>
    </xf>
    <xf numFmtId="0" fontId="55" fillId="0" borderId="0" xfId="0" applyNumberFormat="1" applyFont="1" applyAlignment="1">
      <alignment horizontal="center"/>
    </xf>
    <xf numFmtId="169" fontId="0" fillId="0" borderId="0" xfId="0" applyNumberFormat="1" applyAlignment="1">
      <alignment horizontal="center"/>
    </xf>
    <xf numFmtId="0" fontId="97" fillId="0" borderId="0" xfId="0" applyNumberFormat="1" applyFont="1" applyAlignment="1">
      <alignment horizontal="center"/>
    </xf>
    <xf numFmtId="0" fontId="10" fillId="32" borderId="0" xfId="123" applyFont="1" applyFill="1"/>
    <xf numFmtId="0" fontId="7" fillId="32" borderId="0" xfId="123" applyFont="1" applyFill="1"/>
    <xf numFmtId="169" fontId="7" fillId="30" borderId="81" xfId="123" applyNumberFormat="1" applyFont="1" applyFill="1" applyBorder="1"/>
    <xf numFmtId="169" fontId="22" fillId="0" borderId="0" xfId="123" applyNumberFormat="1" applyFont="1" applyAlignment="1">
      <alignment horizontal="center"/>
    </xf>
    <xf numFmtId="0" fontId="7" fillId="0" borderId="12" xfId="123" applyFont="1" applyBorder="1"/>
    <xf numFmtId="0" fontId="7" fillId="0" borderId="33" xfId="123" applyFont="1" applyBorder="1"/>
    <xf numFmtId="0" fontId="22" fillId="0" borderId="33" xfId="123" applyFont="1" applyBorder="1"/>
    <xf numFmtId="169" fontId="7" fillId="0" borderId="10" xfId="123" applyNumberFormat="1" applyFont="1" applyBorder="1"/>
    <xf numFmtId="0" fontId="7" fillId="0" borderId="10" xfId="123" applyFont="1" applyBorder="1" applyAlignment="1">
      <alignment horizontal="center"/>
    </xf>
    <xf numFmtId="0" fontId="22" fillId="0" borderId="48" xfId="123" applyFont="1" applyBorder="1"/>
    <xf numFmtId="164" fontId="7" fillId="0" borderId="10" xfId="123" applyNumberFormat="1" applyFont="1" applyBorder="1" applyAlignment="1">
      <alignment horizontal="center"/>
    </xf>
    <xf numFmtId="0" fontId="7" fillId="0" borderId="10" xfId="123" quotePrefix="1" applyFont="1" applyBorder="1" applyAlignment="1">
      <alignment horizontal="center"/>
    </xf>
    <xf numFmtId="169" fontId="7" fillId="0" borderId="10" xfId="123" applyNumberFormat="1" applyFont="1" applyBorder="1" applyAlignment="1">
      <alignment horizontal="right"/>
    </xf>
    <xf numFmtId="169" fontId="10" fillId="0" borderId="10" xfId="123" applyNumberFormat="1" applyFont="1" applyBorder="1" applyAlignment="1">
      <alignment horizontal="right"/>
    </xf>
    <xf numFmtId="169" fontId="7" fillId="0" borderId="0" xfId="123" applyNumberFormat="1" applyFont="1" applyAlignment="1">
      <alignment horizontal="right"/>
    </xf>
    <xf numFmtId="166" fontId="7" fillId="0" borderId="0" xfId="123" applyNumberFormat="1" applyFont="1" applyAlignment="1">
      <alignment horizontal="right"/>
    </xf>
    <xf numFmtId="166" fontId="10" fillId="0" borderId="0" xfId="123" applyNumberFormat="1" applyFont="1" applyAlignment="1">
      <alignment horizontal="right"/>
    </xf>
    <xf numFmtId="169" fontId="7" fillId="32" borderId="0" xfId="123" applyNumberFormat="1" applyFont="1" applyFill="1" applyAlignment="1">
      <alignment horizontal="right"/>
    </xf>
    <xf numFmtId="166" fontId="10" fillId="0" borderId="0" xfId="123" applyNumberFormat="1" applyFont="1" applyAlignment="1">
      <alignment horizontal="center"/>
    </xf>
    <xf numFmtId="169" fontId="7" fillId="32" borderId="0" xfId="123" applyNumberFormat="1" applyFont="1" applyFill="1"/>
    <xf numFmtId="166" fontId="7" fillId="0" borderId="10" xfId="123" applyNumberFormat="1" applyFont="1" applyBorder="1" applyAlignment="1">
      <alignment horizontal="center"/>
    </xf>
    <xf numFmtId="0" fontId="31" fillId="0" borderId="0" xfId="123" applyFont="1"/>
    <xf numFmtId="0" fontId="10" fillId="32" borderId="12" xfId="123" applyFont="1" applyFill="1" applyBorder="1" applyAlignment="1">
      <alignment horizontal="center"/>
    </xf>
    <xf numFmtId="0" fontId="10" fillId="32" borderId="48" xfId="123" applyFont="1" applyFill="1" applyBorder="1" applyAlignment="1">
      <alignment horizontal="center"/>
    </xf>
    <xf numFmtId="0" fontId="10" fillId="0" borderId="18" xfId="123" applyFont="1" applyBorder="1" applyAlignment="1">
      <alignment horizontal="left"/>
    </xf>
    <xf numFmtId="0" fontId="4" fillId="0" borderId="18" xfId="123" applyBorder="1" applyAlignment="1">
      <alignment horizontal="center"/>
    </xf>
    <xf numFmtId="0" fontId="7" fillId="0" borderId="59" xfId="123" applyFont="1" applyBorder="1" applyAlignment="1">
      <alignment horizontal="center"/>
    </xf>
    <xf numFmtId="0" fontId="7" fillId="0" borderId="10" xfId="123" applyFont="1" applyBorder="1"/>
    <xf numFmtId="0" fontId="10" fillId="19" borderId="10" xfId="123" applyFont="1" applyFill="1" applyBorder="1" applyAlignment="1">
      <alignment horizontal="center"/>
    </xf>
    <xf numFmtId="0" fontId="10" fillId="0" borderId="23" xfId="123" applyFont="1" applyBorder="1" applyAlignment="1">
      <alignment horizontal="center"/>
    </xf>
    <xf numFmtId="0" fontId="4" fillId="0" borderId="23" xfId="123" applyBorder="1" applyAlignment="1">
      <alignment horizontal="center"/>
    </xf>
    <xf numFmtId="0" fontId="7" fillId="0" borderId="15" xfId="123" applyFont="1" applyBorder="1" applyAlignment="1">
      <alignment horizontal="center"/>
    </xf>
    <xf numFmtId="1" fontId="7" fillId="0" borderId="10" xfId="123" applyNumberFormat="1" applyFont="1" applyBorder="1" applyAlignment="1">
      <alignment horizontal="center"/>
    </xf>
    <xf numFmtId="0" fontId="7" fillId="24" borderId="17" xfId="123" applyFont="1" applyFill="1" applyBorder="1" applyAlignment="1">
      <alignment horizontal="center"/>
    </xf>
    <xf numFmtId="0" fontId="7" fillId="24" borderId="73" xfId="123" applyFont="1" applyFill="1" applyBorder="1" applyAlignment="1">
      <alignment horizontal="center"/>
    </xf>
    <xf numFmtId="0" fontId="7" fillId="26" borderId="10" xfId="123" applyFont="1" applyFill="1" applyBorder="1" applyAlignment="1">
      <alignment horizontal="center"/>
    </xf>
    <xf numFmtId="0" fontId="7" fillId="24" borderId="23" xfId="123" applyFont="1" applyFill="1" applyBorder="1" applyAlignment="1">
      <alignment horizontal="center"/>
    </xf>
    <xf numFmtId="0" fontId="7" fillId="24" borderId="15" xfId="123" applyFont="1" applyFill="1" applyBorder="1" applyAlignment="1">
      <alignment horizontal="center"/>
    </xf>
    <xf numFmtId="164" fontId="124" fillId="18" borderId="0" xfId="0" applyFont="1" applyFill="1"/>
    <xf numFmtId="164" fontId="125" fillId="18" borderId="0" xfId="0" applyFont="1" applyFill="1" applyAlignment="1">
      <alignment horizontal="center" vertical="center"/>
    </xf>
    <xf numFmtId="164" fontId="124" fillId="0" borderId="0" xfId="0" applyFont="1"/>
    <xf numFmtId="164" fontId="126" fillId="18" borderId="0" xfId="0" applyFont="1" applyFill="1" applyAlignment="1">
      <alignment horizontal="left" vertical="center" indent="1"/>
    </xf>
    <xf numFmtId="164" fontId="126" fillId="18" borderId="0" xfId="0" applyFont="1" applyFill="1" applyAlignment="1" applyProtection="1">
      <alignment horizontal="left" indent="1"/>
      <protection hidden="1"/>
    </xf>
    <xf numFmtId="164" fontId="126" fillId="18" borderId="0" xfId="0" applyFont="1" applyFill="1" applyAlignment="1">
      <alignment horizontal="left" indent="1"/>
    </xf>
    <xf numFmtId="164" fontId="125" fillId="0" borderId="0" xfId="0" applyFont="1"/>
    <xf numFmtId="164" fontId="4" fillId="0" borderId="0" xfId="0" applyFont="1"/>
    <xf numFmtId="164" fontId="4" fillId="24" borderId="0" xfId="0" applyFont="1" applyFill="1"/>
    <xf numFmtId="164" fontId="4" fillId="24" borderId="0" xfId="0" applyFont="1" applyFill="1" applyAlignment="1" applyProtection="1">
      <alignment horizontal="center"/>
      <protection locked="0"/>
    </xf>
    <xf numFmtId="164" fontId="4" fillId="0" borderId="17" xfId="0" applyFont="1" applyBorder="1" applyAlignment="1" applyProtection="1">
      <alignment horizontal="center" vertical="center" wrapText="1"/>
      <protection hidden="1"/>
    </xf>
    <xf numFmtId="164" fontId="4" fillId="0" borderId="0" xfId="0" applyFont="1" applyProtection="1">
      <protection locked="0"/>
    </xf>
    <xf numFmtId="164" fontId="4" fillId="24" borderId="0" xfId="0" applyFont="1" applyFill="1" applyProtection="1">
      <protection locked="0"/>
    </xf>
    <xf numFmtId="164" fontId="19" fillId="0" borderId="0" xfId="0" applyFont="1" applyProtection="1">
      <protection locked="0"/>
    </xf>
    <xf numFmtId="164" fontId="4" fillId="0" borderId="36" xfId="0" applyFont="1" applyBorder="1" applyProtection="1">
      <protection hidden="1"/>
    </xf>
    <xf numFmtId="164" fontId="4" fillId="0" borderId="53" xfId="0" applyFont="1" applyBorder="1"/>
    <xf numFmtId="167" fontId="4" fillId="18" borderId="0" xfId="0" applyNumberFormat="1" applyFont="1" applyFill="1" applyAlignment="1" applyProtection="1">
      <alignment horizontal="center"/>
      <protection hidden="1"/>
    </xf>
    <xf numFmtId="167" fontId="4" fillId="18" borderId="18" xfId="0" applyNumberFormat="1" applyFont="1" applyFill="1" applyBorder="1" applyAlignment="1" applyProtection="1">
      <alignment horizontal="center"/>
      <protection hidden="1"/>
    </xf>
    <xf numFmtId="167" fontId="4" fillId="18" borderId="53" xfId="0" applyNumberFormat="1" applyFont="1" applyFill="1" applyBorder="1" applyAlignment="1" applyProtection="1">
      <alignment horizontal="center"/>
      <protection hidden="1"/>
    </xf>
    <xf numFmtId="1" fontId="4" fillId="0" borderId="0" xfId="0" applyNumberFormat="1" applyFont="1"/>
    <xf numFmtId="164" fontId="4" fillId="0" borderId="17" xfId="0" applyFont="1" applyBorder="1"/>
    <xf numFmtId="164" fontId="4" fillId="0" borderId="52" xfId="0" applyFont="1" applyBorder="1"/>
    <xf numFmtId="2" fontId="4" fillId="0" borderId="17" xfId="0" applyNumberFormat="1" applyFont="1" applyBorder="1"/>
    <xf numFmtId="164" fontId="4" fillId="0" borderId="46" xfId="0" applyFont="1" applyBorder="1" applyAlignment="1" applyProtection="1">
      <alignment horizontal="center" vertical="center" wrapText="1"/>
      <protection hidden="1"/>
    </xf>
    <xf numFmtId="164" fontId="4" fillId="0" borderId="44" xfId="0" applyFont="1" applyBorder="1" applyAlignment="1" applyProtection="1">
      <alignment horizontal="center" vertical="center" wrapText="1"/>
      <protection hidden="1"/>
    </xf>
    <xf numFmtId="164" fontId="5" fillId="24" borderId="56" xfId="0" applyFont="1" applyFill="1" applyBorder="1" applyProtection="1">
      <protection hidden="1"/>
    </xf>
    <xf numFmtId="167" fontId="4" fillId="0" borderId="0" xfId="0" applyNumberFormat="1" applyFont="1" applyAlignment="1" applyProtection="1">
      <alignment horizontal="center"/>
      <protection hidden="1"/>
    </xf>
    <xf numFmtId="167" fontId="4" fillId="0" borderId="53" xfId="0" applyNumberFormat="1" applyFont="1" applyBorder="1" applyAlignment="1" applyProtection="1">
      <alignment horizontal="center"/>
      <protection hidden="1"/>
    </xf>
    <xf numFmtId="164" fontId="4" fillId="0" borderId="55" xfId="0" applyFont="1" applyBorder="1"/>
    <xf numFmtId="2" fontId="4" fillId="0" borderId="0" xfId="0" applyNumberFormat="1" applyFont="1"/>
    <xf numFmtId="164" fontId="19" fillId="0" borderId="0" xfId="0" applyFont="1" applyAlignment="1" applyProtection="1">
      <alignment horizontal="center"/>
      <protection hidden="1"/>
    </xf>
    <xf numFmtId="164" fontId="5" fillId="0" borderId="0" xfId="0" applyFont="1" applyAlignment="1" applyProtection="1">
      <alignment horizontal="center"/>
      <protection hidden="1"/>
    </xf>
    <xf numFmtId="164" fontId="4" fillId="0" borderId="0" xfId="0" applyFont="1" applyAlignment="1">
      <alignment horizontal="center"/>
    </xf>
    <xf numFmtId="164" fontId="13" fillId="0" borderId="0" xfId="0" applyFont="1" applyAlignment="1">
      <alignment horizontal="center"/>
    </xf>
    <xf numFmtId="164" fontId="61" fillId="18" borderId="0" xfId="0" applyFont="1" applyFill="1" applyAlignment="1" applyProtection="1">
      <alignment vertical="center" wrapText="1"/>
      <protection hidden="1"/>
    </xf>
    <xf numFmtId="164" fontId="4" fillId="31" borderId="35" xfId="0" applyFont="1" applyFill="1" applyBorder="1" applyAlignment="1" applyProtection="1">
      <alignment horizontal="center"/>
      <protection hidden="1"/>
    </xf>
    <xf numFmtId="164" fontId="4" fillId="31" borderId="0" xfId="0" applyFont="1" applyFill="1" applyAlignment="1" applyProtection="1">
      <alignment horizontal="center"/>
      <protection hidden="1"/>
    </xf>
    <xf numFmtId="0" fontId="4" fillId="18" borderId="0" xfId="0" applyNumberFormat="1" applyFont="1" applyFill="1" applyAlignment="1" applyProtection="1">
      <alignment horizontal="center" vertical="center"/>
      <protection hidden="1"/>
    </xf>
    <xf numFmtId="164" fontId="4" fillId="0" borderId="34" xfId="0" applyFont="1" applyBorder="1" applyProtection="1">
      <protection locked="0"/>
    </xf>
    <xf numFmtId="164" fontId="4" fillId="0" borderId="35" xfId="0" applyFont="1" applyBorder="1" applyProtection="1">
      <protection locked="0"/>
    </xf>
    <xf numFmtId="164" fontId="4" fillId="0" borderId="25" xfId="0" applyFont="1" applyBorder="1" applyProtection="1">
      <protection locked="0"/>
    </xf>
    <xf numFmtId="164" fontId="4" fillId="0" borderId="24" xfId="0" applyFont="1" applyBorder="1" applyProtection="1">
      <protection locked="0"/>
    </xf>
    <xf numFmtId="164" fontId="4" fillId="0" borderId="26" xfId="0" applyFont="1" applyBorder="1" applyProtection="1">
      <protection locked="0"/>
    </xf>
    <xf numFmtId="164" fontId="4" fillId="0" borderId="36" xfId="0" applyFont="1" applyBorder="1" applyProtection="1">
      <protection locked="0"/>
    </xf>
    <xf numFmtId="164" fontId="4" fillId="0" borderId="21" xfId="0" applyFont="1" applyBorder="1" applyProtection="1">
      <protection locked="0"/>
    </xf>
    <xf numFmtId="164" fontId="4" fillId="0" borderId="32" xfId="0" applyFont="1" applyBorder="1" applyProtection="1">
      <protection locked="0"/>
    </xf>
    <xf numFmtId="164" fontId="4" fillId="0" borderId="25" xfId="0" applyFont="1" applyBorder="1"/>
    <xf numFmtId="164" fontId="4" fillId="0" borderId="21" xfId="0" applyFont="1" applyBorder="1"/>
    <xf numFmtId="164" fontId="4" fillId="0" borderId="24" xfId="0" applyFont="1" applyBorder="1" applyAlignment="1" applyProtection="1">
      <alignment horizontal="left"/>
      <protection locked="0"/>
    </xf>
    <xf numFmtId="164" fontId="4" fillId="0" borderId="0" xfId="0" applyFont="1" applyAlignment="1" applyProtection="1">
      <alignment horizontal="left"/>
      <protection locked="0"/>
    </xf>
    <xf numFmtId="164" fontId="4" fillId="0" borderId="21" xfId="0" applyFont="1" applyBorder="1" applyAlignment="1" applyProtection="1">
      <alignment horizontal="left"/>
      <protection locked="0"/>
    </xf>
    <xf numFmtId="164" fontId="4" fillId="0" borderId="34" xfId="0" applyFont="1" applyBorder="1" applyAlignment="1" applyProtection="1">
      <alignment horizontal="left"/>
      <protection locked="0"/>
    </xf>
    <xf numFmtId="164" fontId="4" fillId="0" borderId="35" xfId="0" applyFont="1" applyBorder="1" applyAlignment="1" applyProtection="1">
      <alignment horizontal="left"/>
      <protection locked="0"/>
    </xf>
    <xf numFmtId="1" fontId="4" fillId="0" borderId="0" xfId="0" applyNumberFormat="1" applyFont="1" applyAlignment="1" applyProtection="1">
      <alignment horizontal="center"/>
      <protection locked="0"/>
    </xf>
    <xf numFmtId="0" fontId="4" fillId="0" borderId="24" xfId="0" applyNumberFormat="1" applyFont="1" applyBorder="1" applyProtection="1">
      <protection locked="0"/>
    </xf>
    <xf numFmtId="0" fontId="4" fillId="0" borderId="36" xfId="0" applyNumberFormat="1" applyFont="1" applyBorder="1" applyProtection="1">
      <protection locked="0"/>
    </xf>
    <xf numFmtId="164" fontId="4" fillId="0" borderId="0" xfId="0" applyFont="1" applyAlignment="1" applyProtection="1">
      <alignment horizontal="center" vertical="center"/>
      <protection hidden="1"/>
    </xf>
    <xf numFmtId="168" fontId="4" fillId="0" borderId="0" xfId="0" applyNumberFormat="1" applyFont="1" applyProtection="1">
      <protection hidden="1"/>
    </xf>
    <xf numFmtId="164" fontId="4" fillId="18" borderId="0" xfId="0" applyFont="1" applyFill="1" applyAlignment="1" applyProtection="1">
      <alignment vertical="center"/>
      <protection hidden="1"/>
    </xf>
    <xf numFmtId="164" fontId="4" fillId="0" borderId="0" xfId="0" applyFont="1" applyAlignment="1">
      <alignment vertical="center"/>
    </xf>
    <xf numFmtId="164" fontId="5" fillId="0" borderId="0" xfId="0" applyFont="1" applyProtection="1">
      <protection hidden="1"/>
    </xf>
    <xf numFmtId="164" fontId="59" fillId="0" borderId="0" xfId="0" applyFont="1" applyAlignment="1" applyProtection="1">
      <alignment vertical="center" wrapText="1"/>
      <protection hidden="1"/>
    </xf>
    <xf numFmtId="164" fontId="4" fillId="24" borderId="56" xfId="0" applyFont="1" applyFill="1" applyBorder="1" applyProtection="1">
      <protection hidden="1"/>
    </xf>
    <xf numFmtId="164" fontId="4" fillId="24" borderId="38" xfId="0" applyFont="1" applyFill="1" applyBorder="1" applyProtection="1">
      <protection hidden="1"/>
    </xf>
    <xf numFmtId="164" fontId="4" fillId="32" borderId="24" xfId="0" applyFont="1" applyFill="1" applyBorder="1" applyProtection="1">
      <protection hidden="1"/>
    </xf>
    <xf numFmtId="164" fontId="4" fillId="32" borderId="36" xfId="0" applyFont="1" applyFill="1" applyBorder="1" applyProtection="1">
      <protection hidden="1"/>
    </xf>
    <xf numFmtId="164" fontId="4" fillId="32" borderId="32" xfId="0" applyFont="1" applyFill="1" applyBorder="1" applyProtection="1">
      <protection hidden="1"/>
    </xf>
    <xf numFmtId="164" fontId="8" fillId="18" borderId="21" xfId="0" applyFont="1" applyFill="1" applyBorder="1" applyProtection="1">
      <protection hidden="1"/>
    </xf>
    <xf numFmtId="164" fontId="8" fillId="18" borderId="32" xfId="0" applyFont="1" applyFill="1" applyBorder="1" applyProtection="1">
      <protection hidden="1"/>
    </xf>
    <xf numFmtId="164" fontId="59" fillId="18" borderId="0" xfId="0" applyFont="1" applyFill="1" applyAlignment="1" applyProtection="1">
      <alignment vertical="center" wrapText="1"/>
      <protection hidden="1"/>
    </xf>
    <xf numFmtId="1" fontId="4" fillId="27" borderId="0" xfId="0" applyNumberFormat="1" applyFont="1" applyFill="1"/>
    <xf numFmtId="1" fontId="4" fillId="24" borderId="0" xfId="0" applyNumberFormat="1" applyFont="1" applyFill="1"/>
    <xf numFmtId="1" fontId="4" fillId="32" borderId="0" xfId="0" applyNumberFormat="1" applyFont="1" applyFill="1"/>
    <xf numFmtId="164" fontId="0" fillId="0" borderId="21" xfId="0" applyBorder="1"/>
    <xf numFmtId="164" fontId="0" fillId="0" borderId="21" xfId="0" applyBorder="1" applyProtection="1">
      <protection hidden="1"/>
    </xf>
    <xf numFmtId="164" fontId="127" fillId="0" borderId="0" xfId="0" applyFont="1" applyAlignment="1">
      <alignment horizontal="center"/>
    </xf>
    <xf numFmtId="164" fontId="16" fillId="0" borderId="21" xfId="0" applyFont="1" applyBorder="1" applyProtection="1">
      <protection hidden="1"/>
    </xf>
    <xf numFmtId="164" fontId="16" fillId="0" borderId="0" xfId="0" applyFont="1" applyAlignment="1">
      <alignment horizontal="center"/>
    </xf>
    <xf numFmtId="164" fontId="4" fillId="0" borderId="0" xfId="0" applyFont="1" applyAlignment="1" applyProtection="1">
      <alignment horizontal="center"/>
      <protection locked="0"/>
    </xf>
    <xf numFmtId="164" fontId="124" fillId="0" borderId="0" xfId="0" applyFont="1" applyProtection="1">
      <protection hidden="1"/>
    </xf>
    <xf numFmtId="164" fontId="128" fillId="0" borderId="0" xfId="0" applyFont="1" applyAlignment="1" applyProtection="1">
      <alignment horizontal="left"/>
      <protection hidden="1"/>
    </xf>
    <xf numFmtId="164" fontId="128" fillId="0" borderId="0" xfId="0" applyFont="1" applyAlignment="1" applyProtection="1">
      <alignment horizontal="right"/>
      <protection hidden="1"/>
    </xf>
    <xf numFmtId="15" fontId="129" fillId="0" borderId="0" xfId="0" applyNumberFormat="1" applyFont="1" applyAlignment="1" applyProtection="1">
      <alignment horizontal="left"/>
      <protection hidden="1"/>
    </xf>
    <xf numFmtId="164" fontId="124" fillId="0" borderId="0" xfId="0" applyFont="1" applyAlignment="1" applyProtection="1">
      <alignment horizontal="center"/>
      <protection hidden="1"/>
    </xf>
    <xf numFmtId="164" fontId="124" fillId="18" borderId="0" xfId="0" applyFont="1" applyFill="1" applyProtection="1">
      <protection hidden="1"/>
    </xf>
    <xf numFmtId="164" fontId="71" fillId="24" borderId="0" xfId="0" applyFont="1" applyFill="1"/>
    <xf numFmtId="164" fontId="71" fillId="0" borderId="0" xfId="0" applyFont="1"/>
    <xf numFmtId="164" fontId="4" fillId="18" borderId="0" xfId="0" applyFont="1" applyFill="1"/>
    <xf numFmtId="2" fontId="4" fillId="0" borderId="0" xfId="0" applyNumberFormat="1" applyFont="1" applyProtection="1">
      <protection locked="0"/>
    </xf>
    <xf numFmtId="1" fontId="4" fillId="24" borderId="0" xfId="0" applyNumberFormat="1" applyFont="1" applyFill="1" applyAlignment="1" applyProtection="1">
      <alignment horizontal="center"/>
      <protection locked="0"/>
    </xf>
    <xf numFmtId="1" fontId="4" fillId="0" borderId="0" xfId="0" applyNumberFormat="1" applyFont="1" applyAlignment="1">
      <alignment horizontal="center"/>
    </xf>
    <xf numFmtId="164" fontId="16" fillId="18" borderId="34" xfId="0" applyFont="1" applyFill="1" applyBorder="1" applyProtection="1">
      <protection hidden="1"/>
    </xf>
    <xf numFmtId="164" fontId="16" fillId="18" borderId="0" xfId="0" applyFont="1" applyFill="1" applyAlignment="1" applyProtection="1">
      <alignment horizontal="left"/>
      <protection hidden="1"/>
    </xf>
    <xf numFmtId="164" fontId="57" fillId="18" borderId="0" xfId="0" applyFont="1" applyFill="1" applyProtection="1">
      <protection hidden="1"/>
    </xf>
    <xf numFmtId="164" fontId="83" fillId="18" borderId="21" xfId="0" applyFont="1" applyFill="1" applyBorder="1" applyProtection="1">
      <protection hidden="1"/>
    </xf>
    <xf numFmtId="164" fontId="16" fillId="18" borderId="21" xfId="0" applyFont="1" applyFill="1" applyBorder="1" applyProtection="1">
      <protection hidden="1"/>
    </xf>
    <xf numFmtId="164" fontId="16" fillId="18" borderId="35" xfId="0" applyFont="1" applyFill="1" applyBorder="1" applyProtection="1">
      <protection hidden="1"/>
    </xf>
    <xf numFmtId="164" fontId="128" fillId="18" borderId="0" xfId="0" applyFont="1" applyFill="1" applyProtection="1">
      <protection hidden="1"/>
    </xf>
    <xf numFmtId="164" fontId="128" fillId="18" borderId="21" xfId="0" applyFont="1" applyFill="1" applyBorder="1" applyProtection="1">
      <protection hidden="1"/>
    </xf>
    <xf numFmtId="164" fontId="16" fillId="18" borderId="24" xfId="0" applyFont="1" applyFill="1" applyBorder="1" applyProtection="1">
      <protection hidden="1"/>
    </xf>
    <xf numFmtId="164" fontId="5" fillId="18" borderId="0" xfId="0" applyFont="1" applyFill="1"/>
    <xf numFmtId="164" fontId="127" fillId="18" borderId="0" xfId="0" applyFont="1" applyFill="1" applyProtection="1">
      <protection hidden="1"/>
    </xf>
    <xf numFmtId="164" fontId="127" fillId="18" borderId="0" xfId="0" quotePrefix="1" applyFont="1" applyFill="1" applyAlignment="1" applyProtection="1">
      <alignment horizontal="left"/>
      <protection hidden="1"/>
    </xf>
    <xf numFmtId="164" fontId="127" fillId="18" borderId="0" xfId="0" applyFont="1" applyFill="1"/>
    <xf numFmtId="164" fontId="127" fillId="18" borderId="0" xfId="0" applyFont="1" applyFill="1" applyAlignment="1" applyProtection="1">
      <alignment horizontal="left"/>
      <protection hidden="1"/>
    </xf>
    <xf numFmtId="164" fontId="127" fillId="18" borderId="0" xfId="0" quotePrefix="1" applyFont="1" applyFill="1" applyProtection="1">
      <protection hidden="1"/>
    </xf>
    <xf numFmtId="164" fontId="127" fillId="18" borderId="21" xfId="0" quotePrefix="1" applyFont="1" applyFill="1" applyBorder="1" applyAlignment="1" applyProtection="1">
      <alignment horizontal="left"/>
      <protection hidden="1"/>
    </xf>
    <xf numFmtId="164" fontId="127" fillId="18" borderId="21" xfId="0" applyFont="1" applyFill="1" applyBorder="1" applyProtection="1">
      <protection hidden="1"/>
    </xf>
    <xf numFmtId="164" fontId="127" fillId="18" borderId="21" xfId="0" applyFont="1" applyFill="1" applyBorder="1" applyAlignment="1" applyProtection="1">
      <alignment horizontal="left"/>
      <protection hidden="1"/>
    </xf>
    <xf numFmtId="164" fontId="24" fillId="18" borderId="35" xfId="0" applyFont="1" applyFill="1" applyBorder="1" applyAlignment="1" applyProtection="1">
      <alignment horizontal="left"/>
      <protection hidden="1"/>
    </xf>
    <xf numFmtId="164" fontId="7" fillId="18" borderId="35" xfId="0" applyFont="1" applyFill="1" applyBorder="1" applyProtection="1">
      <protection hidden="1"/>
    </xf>
    <xf numFmtId="164" fontId="8" fillId="18" borderId="35" xfId="0" applyFont="1" applyFill="1" applyBorder="1" applyProtection="1">
      <protection hidden="1"/>
    </xf>
    <xf numFmtId="164" fontId="128" fillId="18" borderId="25" xfId="0" applyFont="1" applyFill="1" applyBorder="1" applyProtection="1">
      <protection hidden="1"/>
    </xf>
    <xf numFmtId="164" fontId="128" fillId="18" borderId="26" xfId="0" applyFont="1" applyFill="1" applyBorder="1" applyProtection="1">
      <protection hidden="1"/>
    </xf>
    <xf numFmtId="164" fontId="16" fillId="18" borderId="36" xfId="0" applyFont="1" applyFill="1" applyBorder="1" applyProtection="1">
      <protection hidden="1"/>
    </xf>
    <xf numFmtId="164" fontId="128" fillId="18" borderId="32" xfId="0" applyFont="1" applyFill="1" applyBorder="1" applyProtection="1">
      <protection hidden="1"/>
    </xf>
    <xf numFmtId="164" fontId="0" fillId="18" borderId="34" xfId="0" applyFill="1" applyBorder="1"/>
    <xf numFmtId="164" fontId="4" fillId="18" borderId="35" xfId="0" applyFont="1" applyFill="1" applyBorder="1"/>
    <xf numFmtId="164" fontId="4" fillId="18" borderId="25" xfId="0" applyFont="1" applyFill="1" applyBorder="1"/>
    <xf numFmtId="164" fontId="128" fillId="18" borderId="26" xfId="0" quotePrefix="1" applyFont="1" applyFill="1" applyBorder="1" applyAlignment="1" applyProtection="1">
      <alignment horizontal="left"/>
      <protection hidden="1"/>
    </xf>
    <xf numFmtId="164" fontId="85" fillId="18" borderId="38" xfId="0" applyFont="1" applyFill="1" applyBorder="1" applyAlignment="1" applyProtection="1">
      <alignment horizontal="left"/>
      <protection hidden="1"/>
    </xf>
    <xf numFmtId="164" fontId="130" fillId="18" borderId="38" xfId="0" applyFont="1" applyFill="1" applyBorder="1" applyProtection="1">
      <protection hidden="1"/>
    </xf>
    <xf numFmtId="164" fontId="130" fillId="18" borderId="38" xfId="0" applyFont="1" applyFill="1" applyBorder="1" applyAlignment="1" applyProtection="1">
      <alignment horizontal="left"/>
      <protection hidden="1"/>
    </xf>
    <xf numFmtId="164" fontId="0" fillId="18" borderId="0" xfId="0" applyFill="1" applyAlignment="1" applyProtection="1">
      <alignment horizontal="left" wrapText="1"/>
      <protection hidden="1"/>
    </xf>
    <xf numFmtId="164" fontId="24" fillId="0" borderId="34" xfId="0" applyFont="1" applyBorder="1" applyProtection="1">
      <protection hidden="1"/>
    </xf>
    <xf numFmtId="0" fontId="4" fillId="0" borderId="10" xfId="0" applyNumberFormat="1" applyFont="1" applyBorder="1"/>
    <xf numFmtId="164" fontId="5" fillId="23" borderId="72" xfId="0" applyFont="1" applyFill="1" applyBorder="1" applyAlignment="1" applyProtection="1">
      <alignment horizontal="center" vertical="center" wrapText="1"/>
      <protection hidden="1"/>
    </xf>
    <xf numFmtId="164" fontId="33" fillId="18" borderId="0" xfId="0" applyFont="1" applyFill="1" applyAlignment="1" applyProtection="1">
      <alignment vertical="center" wrapText="1"/>
      <protection hidden="1"/>
    </xf>
    <xf numFmtId="164" fontId="4" fillId="24" borderId="10" xfId="0" applyFont="1" applyFill="1" applyBorder="1"/>
    <xf numFmtId="164" fontId="4" fillId="27" borderId="0" xfId="0" applyFont="1" applyFill="1"/>
    <xf numFmtId="164" fontId="7" fillId="19" borderId="24" xfId="0" applyFont="1" applyFill="1" applyBorder="1" applyAlignment="1" applyProtection="1">
      <alignment horizontal="left"/>
      <protection hidden="1"/>
    </xf>
    <xf numFmtId="164" fontId="7" fillId="19" borderId="0" xfId="0" applyFont="1" applyFill="1" applyAlignment="1" applyProtection="1">
      <alignment horizontal="left"/>
      <protection hidden="1"/>
    </xf>
    <xf numFmtId="0" fontId="4" fillId="18" borderId="0" xfId="0" applyNumberFormat="1" applyFont="1" applyFill="1" applyAlignment="1" applyProtection="1">
      <alignment horizontal="justify" wrapText="1"/>
      <protection hidden="1"/>
    </xf>
    <xf numFmtId="164" fontId="71" fillId="18" borderId="0" xfId="0" applyFont="1" applyFill="1"/>
    <xf numFmtId="164" fontId="128" fillId="18" borderId="35" xfId="0" applyFont="1" applyFill="1" applyBorder="1" applyProtection="1">
      <protection hidden="1"/>
    </xf>
    <xf numFmtId="164" fontId="77" fillId="18" borderId="35" xfId="0" applyFont="1" applyFill="1" applyBorder="1" applyProtection="1">
      <protection hidden="1"/>
    </xf>
    <xf numFmtId="164" fontId="16" fillId="18" borderId="35" xfId="0" applyFont="1" applyFill="1" applyBorder="1" applyAlignment="1" applyProtection="1">
      <alignment horizontal="left"/>
      <protection hidden="1"/>
    </xf>
    <xf numFmtId="164" fontId="16" fillId="18" borderId="25" xfId="0" applyFont="1" applyFill="1" applyBorder="1" applyAlignment="1" applyProtection="1">
      <alignment horizontal="left"/>
      <protection hidden="1"/>
    </xf>
    <xf numFmtId="164" fontId="16" fillId="18" borderId="26" xfId="0" applyFont="1" applyFill="1" applyBorder="1" applyAlignment="1" applyProtection="1">
      <alignment horizontal="left"/>
      <protection hidden="1"/>
    </xf>
    <xf numFmtId="164" fontId="16" fillId="18" borderId="24" xfId="0" applyFont="1" applyFill="1" applyBorder="1" applyAlignment="1" applyProtection="1">
      <alignment horizontal="left"/>
      <protection hidden="1"/>
    </xf>
    <xf numFmtId="164" fontId="16" fillId="18" borderId="26" xfId="0" applyFont="1" applyFill="1" applyBorder="1" applyProtection="1">
      <protection hidden="1"/>
    </xf>
    <xf numFmtId="164" fontId="77" fillId="18" borderId="21" xfId="0" applyFont="1" applyFill="1" applyBorder="1" applyProtection="1">
      <protection hidden="1"/>
    </xf>
    <xf numFmtId="164" fontId="4" fillId="18" borderId="21" xfId="0" applyFont="1" applyFill="1" applyBorder="1" applyProtection="1">
      <protection hidden="1"/>
    </xf>
    <xf numFmtId="164" fontId="124" fillId="18" borderId="21" xfId="0" applyFont="1" applyFill="1" applyBorder="1"/>
    <xf numFmtId="1" fontId="5" fillId="18" borderId="21" xfId="0" applyNumberFormat="1" applyFont="1" applyFill="1" applyBorder="1" applyProtection="1">
      <protection hidden="1"/>
    </xf>
    <xf numFmtId="164" fontId="124" fillId="18" borderId="32" xfId="0" applyFont="1" applyFill="1" applyBorder="1"/>
    <xf numFmtId="164" fontId="127" fillId="18" borderId="34" xfId="0" applyFont="1" applyFill="1" applyBorder="1" applyProtection="1">
      <protection hidden="1"/>
    </xf>
    <xf numFmtId="164" fontId="127" fillId="18" borderId="35" xfId="0" applyFont="1" applyFill="1" applyBorder="1" applyProtection="1">
      <protection hidden="1"/>
    </xf>
    <xf numFmtId="164" fontId="127" fillId="18" borderId="25" xfId="0" applyFont="1" applyFill="1" applyBorder="1" applyProtection="1">
      <protection hidden="1"/>
    </xf>
    <xf numFmtId="164" fontId="127" fillId="18" borderId="24" xfId="0" applyFont="1" applyFill="1" applyBorder="1" applyProtection="1">
      <protection hidden="1"/>
    </xf>
    <xf numFmtId="164" fontId="127" fillId="18" borderId="26" xfId="0" applyFont="1" applyFill="1" applyBorder="1" applyProtection="1">
      <protection hidden="1"/>
    </xf>
    <xf numFmtId="164" fontId="127" fillId="18" borderId="24" xfId="0" quotePrefix="1" applyFont="1" applyFill="1" applyBorder="1" applyAlignment="1" applyProtection="1">
      <alignment horizontal="left"/>
      <protection hidden="1"/>
    </xf>
    <xf numFmtId="164" fontId="127" fillId="18" borderId="26" xfId="0" quotePrefix="1" applyFont="1" applyFill="1" applyBorder="1" applyAlignment="1" applyProtection="1">
      <alignment horizontal="left"/>
      <protection hidden="1"/>
    </xf>
    <xf numFmtId="164" fontId="127" fillId="18" borderId="24" xfId="0" applyFont="1" applyFill="1" applyBorder="1" applyAlignment="1" applyProtection="1">
      <alignment horizontal="left"/>
      <protection hidden="1"/>
    </xf>
    <xf numFmtId="164" fontId="127" fillId="18" borderId="26" xfId="0" applyFont="1" applyFill="1" applyBorder="1" applyAlignment="1" applyProtection="1">
      <alignment horizontal="left"/>
      <protection hidden="1"/>
    </xf>
    <xf numFmtId="164" fontId="127" fillId="18" borderId="36" xfId="0" quotePrefix="1" applyFont="1" applyFill="1" applyBorder="1" applyAlignment="1" applyProtection="1">
      <alignment horizontal="left"/>
      <protection hidden="1"/>
    </xf>
    <xf numFmtId="164" fontId="127" fillId="18" borderId="32" xfId="0" applyFont="1" applyFill="1" applyBorder="1" applyAlignment="1" applyProtection="1">
      <alignment horizontal="left"/>
      <protection hidden="1"/>
    </xf>
    <xf numFmtId="164" fontId="131" fillId="18" borderId="0" xfId="0" applyFont="1" applyFill="1" applyProtection="1">
      <protection hidden="1"/>
    </xf>
    <xf numFmtId="164" fontId="131" fillId="18" borderId="0" xfId="0" applyFont="1" applyFill="1" applyAlignment="1" applyProtection="1">
      <alignment horizontal="left" wrapText="1"/>
      <protection hidden="1"/>
    </xf>
    <xf numFmtId="164" fontId="131" fillId="0" borderId="0" xfId="0" applyFont="1" applyProtection="1">
      <protection hidden="1"/>
    </xf>
    <xf numFmtId="164" fontId="5" fillId="22" borderId="42" xfId="0" applyFont="1" applyFill="1" applyBorder="1" applyAlignment="1" applyProtection="1">
      <alignment horizontal="center" vertical="center" wrapText="1"/>
      <protection hidden="1"/>
    </xf>
    <xf numFmtId="164" fontId="5" fillId="22" borderId="83" xfId="0" applyFont="1" applyFill="1" applyBorder="1" applyAlignment="1" applyProtection="1">
      <alignment horizontal="center" vertical="center" wrapText="1"/>
      <protection hidden="1"/>
    </xf>
    <xf numFmtId="164" fontId="5" fillId="23" borderId="83" xfId="0" applyFont="1" applyFill="1" applyBorder="1" applyAlignment="1" applyProtection="1">
      <alignment horizontal="center" vertical="center" wrapText="1"/>
      <protection hidden="1"/>
    </xf>
    <xf numFmtId="164" fontId="4" fillId="0" borderId="84" xfId="0" applyFont="1" applyBorder="1" applyProtection="1">
      <protection locked="0"/>
    </xf>
    <xf numFmtId="2" fontId="0" fillId="0" borderId="85" xfId="0" applyNumberFormat="1" applyBorder="1" applyAlignment="1" applyProtection="1">
      <alignment horizontal="center" vertical="center"/>
      <protection hidden="1"/>
    </xf>
    <xf numFmtId="164" fontId="4" fillId="0" borderId="86" xfId="0" applyFont="1" applyBorder="1" applyAlignment="1" applyProtection="1">
      <alignment horizontal="center" vertical="center" wrapText="1"/>
      <protection hidden="1"/>
    </xf>
    <xf numFmtId="164" fontId="4" fillId="0" borderId="87" xfId="0" applyFont="1" applyBorder="1" applyAlignment="1" applyProtection="1">
      <alignment horizontal="center" vertical="center" wrapText="1"/>
      <protection hidden="1"/>
    </xf>
    <xf numFmtId="1" fontId="0" fillId="0" borderId="88" xfId="0" applyNumberFormat="1" applyBorder="1" applyAlignment="1" applyProtection="1">
      <alignment horizontal="center" vertical="center"/>
      <protection hidden="1"/>
    </xf>
    <xf numFmtId="164" fontId="4" fillId="0" borderId="89" xfId="0" applyFont="1" applyBorder="1" applyAlignment="1" applyProtection="1">
      <alignment horizontal="center" vertical="center" wrapText="1"/>
      <protection hidden="1"/>
    </xf>
    <xf numFmtId="0" fontId="4" fillId="0" borderId="85" xfId="0" applyNumberFormat="1" applyFont="1" applyBorder="1"/>
    <xf numFmtId="0" fontId="4" fillId="0" borderId="86" xfId="0" applyNumberFormat="1" applyFont="1" applyBorder="1" applyAlignment="1">
      <alignment horizontal="center"/>
    </xf>
    <xf numFmtId="0" fontId="4" fillId="0" borderId="87" xfId="0" applyNumberFormat="1" applyFont="1" applyBorder="1" applyAlignment="1">
      <alignment horizontal="center"/>
    </xf>
    <xf numFmtId="0" fontId="4" fillId="0" borderId="88" xfId="0" applyNumberFormat="1" applyFont="1" applyBorder="1"/>
    <xf numFmtId="0" fontId="4" fillId="0" borderId="89" xfId="0" applyNumberFormat="1" applyFont="1" applyBorder="1" applyAlignment="1">
      <alignment horizontal="center"/>
    </xf>
    <xf numFmtId="164" fontId="131" fillId="18" borderId="0" xfId="0" applyFont="1" applyFill="1" applyAlignment="1" applyProtection="1">
      <alignment horizontal="left" vertical="center" wrapText="1" indent="1"/>
      <protection hidden="1"/>
    </xf>
    <xf numFmtId="0" fontId="132" fillId="18" borderId="0" xfId="0" applyNumberFormat="1" applyFont="1" applyFill="1" applyAlignment="1" applyProtection="1">
      <alignment horizontal="center" vertical="center" wrapText="1"/>
      <protection hidden="1"/>
    </xf>
    <xf numFmtId="1" fontId="132" fillId="18" borderId="0" xfId="0" applyNumberFormat="1" applyFont="1" applyFill="1" applyAlignment="1" applyProtection="1">
      <alignment horizontal="center" vertical="center" wrapText="1"/>
      <protection hidden="1"/>
    </xf>
    <xf numFmtId="164" fontId="4" fillId="18" borderId="0" xfId="0" applyFont="1" applyFill="1" applyAlignment="1" applyProtection="1">
      <alignment horizontal="center" vertical="center" textRotation="90" wrapText="1"/>
      <protection hidden="1"/>
    </xf>
    <xf numFmtId="164" fontId="131" fillId="18" borderId="0" xfId="0" applyFont="1" applyFill="1" applyAlignment="1" applyProtection="1">
      <alignment horizontal="right" vertical="center" wrapText="1"/>
      <protection hidden="1"/>
    </xf>
    <xf numFmtId="164" fontId="109" fillId="24" borderId="38" xfId="0" applyFont="1" applyFill="1" applyBorder="1" applyProtection="1">
      <protection hidden="1"/>
    </xf>
    <xf numFmtId="164" fontId="108" fillId="24" borderId="38" xfId="0" applyFont="1" applyFill="1" applyBorder="1" applyProtection="1">
      <protection hidden="1"/>
    </xf>
    <xf numFmtId="164" fontId="4" fillId="24" borderId="57" xfId="0" applyFont="1" applyFill="1" applyBorder="1" applyProtection="1">
      <protection hidden="1"/>
    </xf>
    <xf numFmtId="164" fontId="4" fillId="0" borderId="34" xfId="0" applyFont="1" applyBorder="1"/>
    <xf numFmtId="164" fontId="4" fillId="0" borderId="32" xfId="0" applyFont="1" applyBorder="1" applyProtection="1">
      <protection hidden="1"/>
    </xf>
    <xf numFmtId="164" fontId="4" fillId="0" borderId="26" xfId="0" applyFont="1" applyBorder="1" applyProtection="1">
      <protection hidden="1"/>
    </xf>
    <xf numFmtId="164" fontId="4" fillId="0" borderId="80" xfId="0" applyFont="1" applyBorder="1" applyAlignment="1">
      <alignment horizontal="center"/>
    </xf>
    <xf numFmtId="164" fontId="4" fillId="0" borderId="90" xfId="0" applyFont="1" applyBorder="1" applyAlignment="1">
      <alignment horizontal="center"/>
    </xf>
    <xf numFmtId="164" fontId="4" fillId="0" borderId="35" xfId="0" applyFont="1" applyBorder="1" applyAlignment="1">
      <alignment horizontal="center"/>
    </xf>
    <xf numFmtId="164" fontId="4" fillId="0" borderId="25" xfId="0" applyFont="1" applyBorder="1" applyAlignment="1">
      <alignment horizontal="center"/>
    </xf>
    <xf numFmtId="164" fontId="4" fillId="0" borderId="36" xfId="0" applyFont="1" applyBorder="1" applyAlignment="1" applyProtection="1">
      <alignment horizontal="center"/>
      <protection hidden="1"/>
    </xf>
    <xf numFmtId="164" fontId="4" fillId="0" borderId="32" xfId="0" applyFont="1" applyBorder="1" applyAlignment="1" applyProtection="1">
      <alignment horizontal="center"/>
      <protection hidden="1"/>
    </xf>
    <xf numFmtId="164" fontId="4" fillId="0" borderId="21" xfId="0" applyFont="1" applyBorder="1" applyAlignment="1" applyProtection="1">
      <alignment horizontal="center"/>
      <protection hidden="1"/>
    </xf>
    <xf numFmtId="164" fontId="4" fillId="0" borderId="24" xfId="0" applyFont="1" applyBorder="1" applyAlignment="1">
      <alignment horizontal="center"/>
    </xf>
    <xf numFmtId="164" fontId="4" fillId="0" borderId="26" xfId="0" applyFont="1" applyBorder="1" applyAlignment="1">
      <alignment horizontal="center"/>
    </xf>
    <xf numFmtId="167" fontId="4" fillId="18" borderId="24" xfId="0" applyNumberFormat="1" applyFont="1" applyFill="1" applyBorder="1" applyAlignment="1" applyProtection="1">
      <alignment horizontal="center"/>
      <protection hidden="1"/>
    </xf>
    <xf numFmtId="167" fontId="4" fillId="18" borderId="26" xfId="0" applyNumberFormat="1" applyFont="1" applyFill="1" applyBorder="1" applyAlignment="1" applyProtection="1">
      <alignment horizontal="center"/>
      <protection hidden="1"/>
    </xf>
    <xf numFmtId="167" fontId="4" fillId="18" borderId="36" xfId="0" applyNumberFormat="1" applyFont="1" applyFill="1" applyBorder="1" applyAlignment="1" applyProtection="1">
      <alignment horizontal="center"/>
      <protection hidden="1"/>
    </xf>
    <xf numFmtId="167" fontId="4" fillId="18" borderId="32" xfId="0" applyNumberFormat="1" applyFont="1" applyFill="1" applyBorder="1" applyAlignment="1" applyProtection="1">
      <alignment horizontal="center"/>
      <protection hidden="1"/>
    </xf>
    <xf numFmtId="164" fontId="32" fillId="26" borderId="91" xfId="0" applyFont="1" applyFill="1" applyBorder="1" applyAlignment="1" applyProtection="1">
      <alignment vertical="center"/>
      <protection hidden="1"/>
    </xf>
    <xf numFmtId="164" fontId="32" fillId="27" borderId="91" xfId="0" applyFont="1" applyFill="1" applyBorder="1" applyAlignment="1" applyProtection="1">
      <alignment vertical="center" wrapText="1"/>
      <protection hidden="1"/>
    </xf>
    <xf numFmtId="164" fontId="32" fillId="24" borderId="91" xfId="0" applyFont="1" applyFill="1" applyBorder="1" applyAlignment="1" applyProtection="1">
      <alignment vertical="center" wrapText="1"/>
      <protection hidden="1"/>
    </xf>
    <xf numFmtId="2" fontId="0" fillId="0" borderId="74" xfId="0" applyNumberFormat="1" applyBorder="1" applyAlignment="1" applyProtection="1">
      <alignment horizontal="center" vertical="center"/>
      <protection hidden="1"/>
    </xf>
    <xf numFmtId="2" fontId="0" fillId="0" borderId="16" xfId="0" applyNumberFormat="1" applyBorder="1" applyAlignment="1" applyProtection="1">
      <alignment horizontal="center" vertical="center"/>
      <protection hidden="1"/>
    </xf>
    <xf numFmtId="164" fontId="33" fillId="20" borderId="93" xfId="0" applyFont="1" applyFill="1" applyBorder="1" applyAlignment="1" applyProtection="1">
      <alignment vertical="center"/>
      <protection hidden="1"/>
    </xf>
    <xf numFmtId="164" fontId="33" fillId="20" borderId="94" xfId="0" applyFont="1" applyFill="1" applyBorder="1" applyAlignment="1" applyProtection="1">
      <alignment vertical="center"/>
      <protection hidden="1"/>
    </xf>
    <xf numFmtId="164" fontId="33" fillId="20" borderId="95" xfId="0" applyFont="1" applyFill="1" applyBorder="1" applyAlignment="1" applyProtection="1">
      <alignment vertical="center"/>
      <protection hidden="1"/>
    </xf>
    <xf numFmtId="164" fontId="33" fillId="20" borderId="82" xfId="0" applyFont="1" applyFill="1" applyBorder="1" applyAlignment="1" applyProtection="1">
      <alignment vertical="center"/>
      <protection hidden="1"/>
    </xf>
    <xf numFmtId="164" fontId="32" fillId="26" borderId="91" xfId="0" applyFont="1" applyFill="1" applyBorder="1" applyAlignment="1" applyProtection="1">
      <alignment horizontal="left" vertical="center"/>
      <protection hidden="1"/>
    </xf>
    <xf numFmtId="164" fontId="9" fillId="18" borderId="21" xfId="0" applyFont="1" applyFill="1" applyBorder="1" applyAlignment="1" applyProtection="1">
      <alignment horizontal="center"/>
      <protection hidden="1"/>
    </xf>
    <xf numFmtId="164" fontId="7" fillId="18" borderId="99" xfId="0" applyFont="1" applyFill="1" applyBorder="1" applyAlignment="1" applyProtection="1">
      <alignment horizontal="right"/>
      <protection locked="0"/>
    </xf>
    <xf numFmtId="164" fontId="0" fillId="19" borderId="39" xfId="0" applyFill="1" applyBorder="1" applyProtection="1">
      <protection hidden="1"/>
    </xf>
    <xf numFmtId="164" fontId="7" fillId="18" borderId="59" xfId="0" applyFont="1" applyFill="1" applyBorder="1" applyProtection="1">
      <protection locked="0"/>
    </xf>
    <xf numFmtId="164" fontId="4" fillId="20" borderId="10" xfId="0" applyFont="1" applyFill="1" applyBorder="1" applyAlignment="1" applyProtection="1">
      <alignment horizontal="left" indent="1"/>
      <protection locked="0"/>
    </xf>
    <xf numFmtId="2" fontId="8" fillId="25" borderId="0" xfId="123" applyNumberFormat="1" applyFont="1" applyFill="1"/>
    <xf numFmtId="164" fontId="0" fillId="0" borderId="38" xfId="0" applyBorder="1"/>
    <xf numFmtId="164" fontId="5" fillId="18" borderId="0" xfId="0" applyFont="1" applyFill="1" applyAlignment="1" applyProtection="1">
      <alignment horizontal="center" vertical="center"/>
      <protection hidden="1"/>
    </xf>
    <xf numFmtId="1" fontId="59" fillId="24" borderId="0" xfId="0" applyNumberFormat="1" applyFont="1" applyFill="1" applyAlignment="1" applyProtection="1">
      <alignment vertical="center" wrapText="1"/>
      <protection hidden="1"/>
    </xf>
    <xf numFmtId="164" fontId="0" fillId="24" borderId="0" xfId="0" applyFill="1" applyAlignment="1" applyProtection="1">
      <alignment horizontal="center" vertical="center"/>
      <protection hidden="1"/>
    </xf>
    <xf numFmtId="164" fontId="33" fillId="24" borderId="0" xfId="0" applyFont="1" applyFill="1" applyAlignment="1" applyProtection="1">
      <alignment vertical="center" wrapText="1"/>
      <protection hidden="1"/>
    </xf>
    <xf numFmtId="164" fontId="5" fillId="24" borderId="0" xfId="0" applyFont="1" applyFill="1" applyAlignment="1" applyProtection="1">
      <alignment vertical="center" wrapText="1"/>
      <protection hidden="1"/>
    </xf>
    <xf numFmtId="164" fontId="27" fillId="24" borderId="0" xfId="0" applyFont="1" applyFill="1" applyProtection="1">
      <protection hidden="1"/>
    </xf>
    <xf numFmtId="164" fontId="5" fillId="24" borderId="0" xfId="0" applyFont="1" applyFill="1" applyProtection="1">
      <protection hidden="1"/>
    </xf>
    <xf numFmtId="164" fontId="0" fillId="24" borderId="0" xfId="0" applyFill="1" applyProtection="1">
      <protection hidden="1"/>
    </xf>
    <xf numFmtId="164" fontId="5" fillId="24" borderId="0" xfId="0" applyFont="1" applyFill="1"/>
    <xf numFmtId="164" fontId="0" fillId="24" borderId="0" xfId="0" applyFill="1"/>
    <xf numFmtId="0" fontId="4" fillId="0" borderId="101" xfId="0" applyNumberFormat="1" applyFont="1" applyBorder="1"/>
    <xf numFmtId="0" fontId="4" fillId="0" borderId="84" xfId="0" applyNumberFormat="1" applyFont="1" applyBorder="1"/>
    <xf numFmtId="0" fontId="4" fillId="0" borderId="102" xfId="0" applyNumberFormat="1" applyFont="1" applyBorder="1"/>
    <xf numFmtId="164" fontId="33" fillId="18" borderId="103" xfId="0" applyFont="1" applyFill="1" applyBorder="1" applyAlignment="1" applyProtection="1">
      <alignment horizontal="center"/>
      <protection hidden="1"/>
    </xf>
    <xf numFmtId="164" fontId="33" fillId="18" borderId="104" xfId="0" applyFont="1" applyFill="1" applyBorder="1" applyAlignment="1" applyProtection="1">
      <alignment horizontal="center"/>
      <protection hidden="1"/>
    </xf>
    <xf numFmtId="164" fontId="33" fillId="18" borderId="105" xfId="0" applyFont="1" applyFill="1" applyBorder="1" applyAlignment="1" applyProtection="1">
      <alignment horizontal="center"/>
      <protection hidden="1"/>
    </xf>
    <xf numFmtId="168" fontId="0" fillId="24" borderId="0" xfId="0" applyNumberFormat="1" applyFill="1" applyProtection="1">
      <protection hidden="1"/>
    </xf>
    <xf numFmtId="164" fontId="19" fillId="24" borderId="0" xfId="0" applyFont="1" applyFill="1"/>
    <xf numFmtId="164" fontId="4" fillId="24" borderId="0" xfId="0" applyFont="1" applyFill="1" applyProtection="1">
      <protection hidden="1"/>
    </xf>
    <xf numFmtId="164" fontId="4" fillId="18" borderId="0" xfId="0" applyFont="1" applyFill="1" applyAlignment="1" applyProtection="1">
      <alignment horizontal="left" vertical="center" indent="1"/>
      <protection hidden="1"/>
    </xf>
    <xf numFmtId="0" fontId="22" fillId="33" borderId="10" xfId="123" applyFont="1" applyFill="1" applyBorder="1" applyAlignment="1">
      <alignment horizontal="center"/>
    </xf>
    <xf numFmtId="164" fontId="4" fillId="0" borderId="10" xfId="0" applyFont="1" applyBorder="1" applyAlignment="1" applyProtection="1">
      <alignment horizontal="center" vertical="center"/>
      <protection hidden="1"/>
    </xf>
    <xf numFmtId="164" fontId="131" fillId="24" borderId="0" xfId="0" applyFont="1" applyFill="1" applyProtection="1">
      <protection hidden="1"/>
    </xf>
    <xf numFmtId="164" fontId="4" fillId="24" borderId="0" xfId="0" applyFont="1" applyFill="1" applyAlignment="1" applyProtection="1">
      <alignment horizontal="center"/>
      <protection hidden="1"/>
    </xf>
    <xf numFmtId="164" fontId="11" fillId="18" borderId="24" xfId="0" applyFont="1" applyFill="1" applyBorder="1" applyProtection="1">
      <protection hidden="1"/>
    </xf>
    <xf numFmtId="0" fontId="123" fillId="0" borderId="13" xfId="0" applyNumberFormat="1" applyFont="1" applyBorder="1" applyProtection="1">
      <protection locked="0"/>
    </xf>
    <xf numFmtId="2" fontId="0" fillId="0" borderId="110" xfId="0" applyNumberFormat="1" applyBorder="1" applyAlignment="1" applyProtection="1">
      <alignment horizontal="center" vertical="center"/>
      <protection hidden="1"/>
    </xf>
    <xf numFmtId="164" fontId="4" fillId="0" borderId="112" xfId="0" applyFont="1" applyBorder="1" applyAlignment="1" applyProtection="1">
      <alignment horizontal="center" vertical="center" wrapText="1"/>
      <protection hidden="1"/>
    </xf>
    <xf numFmtId="2" fontId="0" fillId="18" borderId="110" xfId="0" applyNumberFormat="1" applyFill="1" applyBorder="1" applyAlignment="1" applyProtection="1">
      <alignment horizontal="center" vertical="center"/>
      <protection hidden="1"/>
    </xf>
    <xf numFmtId="1" fontId="0" fillId="0" borderId="111" xfId="0" applyNumberFormat="1" applyBorder="1" applyAlignment="1" applyProtection="1">
      <alignment horizontal="center"/>
      <protection hidden="1"/>
    </xf>
    <xf numFmtId="164" fontId="4" fillId="18" borderId="112" xfId="0" applyFont="1" applyFill="1" applyBorder="1" applyAlignment="1" applyProtection="1">
      <alignment horizontal="center" vertical="center" wrapText="1"/>
      <protection hidden="1"/>
    </xf>
    <xf numFmtId="2" fontId="0" fillId="0" borderId="113" xfId="0" applyNumberFormat="1" applyBorder="1" applyAlignment="1" applyProtection="1">
      <alignment horizontal="center" vertical="center"/>
      <protection hidden="1"/>
    </xf>
    <xf numFmtId="1" fontId="4" fillId="18" borderId="24" xfId="0" applyNumberFormat="1" applyFont="1" applyFill="1" applyBorder="1" applyAlignment="1" applyProtection="1">
      <alignment horizontal="center" vertical="center" wrapText="1"/>
      <protection hidden="1"/>
    </xf>
    <xf numFmtId="164" fontId="32" fillId="18" borderId="24" xfId="0" applyFont="1" applyFill="1" applyBorder="1" applyAlignment="1" applyProtection="1">
      <alignment horizontal="left" vertical="center" wrapText="1"/>
      <protection hidden="1"/>
    </xf>
    <xf numFmtId="1" fontId="5" fillId="18" borderId="24" xfId="0" applyNumberFormat="1" applyFont="1" applyFill="1" applyBorder="1" applyAlignment="1" applyProtection="1">
      <alignment horizontal="center" vertical="center"/>
      <protection hidden="1"/>
    </xf>
    <xf numFmtId="164" fontId="32" fillId="18" borderId="24" xfId="0" applyFont="1" applyFill="1" applyBorder="1" applyAlignment="1" applyProtection="1">
      <alignment horizontal="left" vertical="center"/>
      <protection hidden="1"/>
    </xf>
    <xf numFmtId="164" fontId="127" fillId="20" borderId="26" xfId="0" applyFont="1" applyFill="1" applyBorder="1" applyAlignment="1">
      <alignment textRotation="90" wrapText="1"/>
    </xf>
    <xf numFmtId="164" fontId="4" fillId="24" borderId="24" xfId="0" applyFont="1" applyFill="1" applyBorder="1" applyProtection="1">
      <protection locked="0"/>
    </xf>
    <xf numFmtId="164" fontId="4" fillId="24" borderId="26" xfId="0" applyFont="1" applyFill="1" applyBorder="1" applyProtection="1">
      <protection locked="0"/>
    </xf>
    <xf numFmtId="164" fontId="5" fillId="18" borderId="123" xfId="0" applyFont="1" applyFill="1" applyBorder="1" applyAlignment="1" applyProtection="1">
      <alignment horizontal="center" vertical="center" wrapText="1"/>
      <protection hidden="1"/>
    </xf>
    <xf numFmtId="1" fontId="5" fillId="18" borderId="47" xfId="0" applyNumberFormat="1" applyFont="1" applyFill="1" applyBorder="1" applyAlignment="1" applyProtection="1">
      <alignment vertical="center"/>
      <protection hidden="1"/>
    </xf>
    <xf numFmtId="1" fontId="5" fillId="18" borderId="121" xfId="0" applyNumberFormat="1" applyFont="1" applyFill="1" applyBorder="1" applyAlignment="1" applyProtection="1">
      <alignment vertical="center"/>
      <protection hidden="1"/>
    </xf>
    <xf numFmtId="164" fontId="16" fillId="0" borderId="10" xfId="0" applyFont="1" applyBorder="1" applyAlignment="1" applyProtection="1">
      <alignment horizontal="left" vertical="center" wrapText="1"/>
      <protection hidden="1"/>
    </xf>
    <xf numFmtId="2" fontId="0" fillId="0" borderId="10" xfId="0" applyNumberFormat="1" applyBorder="1" applyAlignment="1">
      <alignment horizontal="center"/>
    </xf>
    <xf numFmtId="0" fontId="5" fillId="0" borderId="10" xfId="0" applyNumberFormat="1" applyFont="1" applyBorder="1" applyAlignment="1">
      <alignment horizontal="center"/>
    </xf>
    <xf numFmtId="2" fontId="0" fillId="0" borderId="85" xfId="0" applyNumberFormat="1" applyBorder="1" applyAlignment="1">
      <alignment horizontal="center"/>
    </xf>
    <xf numFmtId="0" fontId="5" fillId="0" borderId="85" xfId="0" applyNumberFormat="1" applyFont="1" applyBorder="1" applyAlignment="1">
      <alignment horizontal="center"/>
    </xf>
    <xf numFmtId="2" fontId="0" fillId="0" borderId="88" xfId="0" applyNumberFormat="1" applyBorder="1" applyAlignment="1">
      <alignment horizontal="center"/>
    </xf>
    <xf numFmtId="0" fontId="5" fillId="0" borderId="88" xfId="0" applyNumberFormat="1" applyFont="1" applyBorder="1" applyAlignment="1">
      <alignment horizontal="center"/>
    </xf>
    <xf numFmtId="164" fontId="0" fillId="18" borderId="14" xfId="0" applyFill="1" applyBorder="1"/>
    <xf numFmtId="0" fontId="4" fillId="18" borderId="0" xfId="0" applyNumberFormat="1" applyFont="1" applyFill="1" applyAlignment="1" applyProtection="1">
      <alignment horizontal="left" indent="1"/>
      <protection locked="0"/>
    </xf>
    <xf numFmtId="164" fontId="0" fillId="18" borderId="0" xfId="0" applyFill="1" applyAlignment="1" applyProtection="1">
      <alignment horizontal="center"/>
      <protection hidden="1"/>
    </xf>
    <xf numFmtId="164" fontId="32" fillId="18" borderId="0" xfId="0" applyFont="1" applyFill="1" applyAlignment="1" applyProtection="1">
      <alignment horizontal="left"/>
      <protection hidden="1"/>
    </xf>
    <xf numFmtId="164" fontId="84" fillId="18" borderId="38" xfId="0" applyFont="1" applyFill="1" applyBorder="1" applyProtection="1">
      <protection hidden="1"/>
    </xf>
    <xf numFmtId="164" fontId="84" fillId="18" borderId="24" xfId="0" applyFont="1" applyFill="1" applyBorder="1" applyProtection="1">
      <protection hidden="1"/>
    </xf>
    <xf numFmtId="0" fontId="5" fillId="18" borderId="24" xfId="0" applyNumberFormat="1" applyFont="1" applyFill="1" applyBorder="1" applyAlignment="1" applyProtection="1">
      <alignment horizontal="center"/>
      <protection locked="0"/>
    </xf>
    <xf numFmtId="164" fontId="4" fillId="17" borderId="10" xfId="0" applyFont="1" applyFill="1" applyBorder="1" applyAlignment="1" applyProtection="1">
      <alignment horizontal="center" vertical="center" wrapText="1"/>
      <protection hidden="1"/>
    </xf>
    <xf numFmtId="164" fontId="4" fillId="24" borderId="56" xfId="0" applyFont="1" applyFill="1" applyBorder="1" applyProtection="1">
      <protection locked="0"/>
    </xf>
    <xf numFmtId="164" fontId="4" fillId="27" borderId="0" xfId="0" applyFont="1" applyFill="1" applyProtection="1">
      <protection locked="0"/>
    </xf>
    <xf numFmtId="164" fontId="4" fillId="24" borderId="57" xfId="0" applyFont="1" applyFill="1" applyBorder="1" applyProtection="1">
      <protection locked="0"/>
    </xf>
    <xf numFmtId="0" fontId="4" fillId="24" borderId="10" xfId="123" applyFill="1" applyBorder="1" applyAlignment="1">
      <alignment horizontal="center"/>
    </xf>
    <xf numFmtId="0" fontId="4" fillId="0" borderId="59" xfId="123" applyBorder="1" applyAlignment="1">
      <alignment horizontal="center"/>
    </xf>
    <xf numFmtId="0" fontId="4" fillId="0" borderId="26" xfId="123" applyBorder="1"/>
    <xf numFmtId="168" fontId="4" fillId="27" borderId="34" xfId="0" applyNumberFormat="1" applyFont="1" applyFill="1" applyBorder="1" applyAlignment="1" applyProtection="1">
      <alignment horizontal="center"/>
      <protection hidden="1"/>
    </xf>
    <xf numFmtId="168" fontId="4" fillId="27" borderId="35" xfId="0" applyNumberFormat="1" applyFont="1" applyFill="1" applyBorder="1" applyAlignment="1" applyProtection="1">
      <alignment horizontal="center"/>
      <protection hidden="1"/>
    </xf>
    <xf numFmtId="164" fontId="4" fillId="27" borderId="25" xfId="0" applyFont="1" applyFill="1" applyBorder="1" applyProtection="1">
      <protection hidden="1"/>
    </xf>
    <xf numFmtId="1" fontId="13" fillId="18" borderId="79" xfId="0" applyNumberFormat="1" applyFont="1" applyFill="1" applyBorder="1" applyAlignment="1" applyProtection="1">
      <alignment horizontal="center"/>
      <protection hidden="1"/>
    </xf>
    <xf numFmtId="164" fontId="4" fillId="27" borderId="0" xfId="0" applyFont="1" applyFill="1" applyAlignment="1" applyProtection="1">
      <alignment horizontal="center"/>
      <protection hidden="1"/>
    </xf>
    <xf numFmtId="2" fontId="4" fillId="27" borderId="0" xfId="0" applyNumberFormat="1" applyFont="1" applyFill="1" applyAlignment="1" applyProtection="1">
      <alignment horizontal="center"/>
      <protection hidden="1"/>
    </xf>
    <xf numFmtId="164" fontId="5" fillId="27" borderId="32" xfId="0" applyFont="1" applyFill="1" applyBorder="1" applyProtection="1">
      <protection hidden="1"/>
    </xf>
    <xf numFmtId="164" fontId="4" fillId="24" borderId="35" xfId="0" applyFont="1" applyFill="1" applyBorder="1" applyProtection="1">
      <protection hidden="1"/>
    </xf>
    <xf numFmtId="164" fontId="4" fillId="24" borderId="24" xfId="0" applyFont="1" applyFill="1" applyBorder="1" applyProtection="1">
      <protection hidden="1"/>
    </xf>
    <xf numFmtId="164" fontId="4" fillId="0" borderId="10" xfId="0" applyFont="1" applyBorder="1" applyAlignment="1">
      <alignment horizontal="center"/>
    </xf>
    <xf numFmtId="164" fontId="59" fillId="24" borderId="56" xfId="0" applyFont="1" applyFill="1" applyBorder="1" applyProtection="1">
      <protection locked="0" hidden="1"/>
    </xf>
    <xf numFmtId="164" fontId="4" fillId="0" borderId="10" xfId="0" applyFont="1" applyBorder="1" applyAlignment="1" applyProtection="1">
      <alignment horizontal="center"/>
      <protection locked="0"/>
    </xf>
    <xf numFmtId="164" fontId="59" fillId="24" borderId="38" xfId="0" applyFont="1" applyFill="1" applyBorder="1" applyProtection="1">
      <protection locked="0" hidden="1"/>
    </xf>
    <xf numFmtId="164" fontId="4" fillId="0" borderId="48" xfId="0" applyFont="1" applyBorder="1" applyAlignment="1" applyProtection="1">
      <alignment horizontal="center" vertical="center"/>
      <protection hidden="1"/>
    </xf>
    <xf numFmtId="164" fontId="4" fillId="24" borderId="34" xfId="0" applyFont="1" applyFill="1" applyBorder="1" applyAlignment="1" applyProtection="1">
      <alignment horizontal="left"/>
      <protection hidden="1"/>
    </xf>
    <xf numFmtId="164" fontId="4" fillId="24" borderId="25" xfId="0" applyFont="1" applyFill="1" applyBorder="1" applyProtection="1">
      <protection hidden="1"/>
    </xf>
    <xf numFmtId="164" fontId="4" fillId="24" borderId="56" xfId="0" applyFont="1" applyFill="1" applyBorder="1" applyAlignment="1" applyProtection="1">
      <alignment horizontal="left"/>
      <protection hidden="1"/>
    </xf>
    <xf numFmtId="164" fontId="4" fillId="24" borderId="34" xfId="0" applyFont="1" applyFill="1" applyBorder="1" applyProtection="1">
      <protection hidden="1"/>
    </xf>
    <xf numFmtId="164" fontId="4" fillId="24" borderId="131" xfId="0" applyFont="1" applyFill="1" applyBorder="1" applyProtection="1">
      <protection hidden="1"/>
    </xf>
    <xf numFmtId="164" fontId="4" fillId="24" borderId="24" xfId="0" applyFont="1" applyFill="1" applyBorder="1" applyAlignment="1" applyProtection="1">
      <alignment horizontal="left"/>
      <protection hidden="1"/>
    </xf>
    <xf numFmtId="164" fontId="4" fillId="24" borderId="38" xfId="0" applyFont="1" applyFill="1" applyBorder="1" applyAlignment="1" applyProtection="1">
      <alignment horizontal="left"/>
      <protection hidden="1"/>
    </xf>
    <xf numFmtId="164" fontId="19" fillId="24" borderId="26" xfId="0" applyFont="1" applyFill="1" applyBorder="1" applyProtection="1">
      <protection hidden="1"/>
    </xf>
    <xf numFmtId="164" fontId="19" fillId="24" borderId="0" xfId="0" applyFont="1" applyFill="1" applyProtection="1">
      <protection hidden="1"/>
    </xf>
    <xf numFmtId="164" fontId="19" fillId="24" borderId="52" xfId="0" applyFont="1" applyFill="1" applyBorder="1" applyProtection="1">
      <protection hidden="1"/>
    </xf>
    <xf numFmtId="164" fontId="19" fillId="24" borderId="26" xfId="0" applyFont="1" applyFill="1" applyBorder="1"/>
    <xf numFmtId="164" fontId="4" fillId="17" borderId="12" xfId="0" applyFont="1" applyFill="1" applyBorder="1" applyAlignment="1" applyProtection="1">
      <alignment horizontal="center" vertical="center" wrapText="1"/>
      <protection hidden="1"/>
    </xf>
    <xf numFmtId="164" fontId="4" fillId="17" borderId="46" xfId="0" applyFont="1" applyFill="1" applyBorder="1" applyAlignment="1" applyProtection="1">
      <alignment horizontal="center" vertical="center" wrapText="1"/>
      <protection hidden="1"/>
    </xf>
    <xf numFmtId="164" fontId="32" fillId="27" borderId="91" xfId="0" applyFont="1" applyFill="1" applyBorder="1" applyAlignment="1" applyProtection="1">
      <alignment horizontal="left" vertical="center" wrapText="1"/>
      <protection hidden="1"/>
    </xf>
    <xf numFmtId="167" fontId="4" fillId="0" borderId="17" xfId="0" applyNumberFormat="1" applyFont="1" applyBorder="1" applyAlignment="1" applyProtection="1">
      <alignment horizontal="center"/>
      <protection hidden="1"/>
    </xf>
    <xf numFmtId="167" fontId="4" fillId="0" borderId="52" xfId="0" applyNumberFormat="1" applyFont="1" applyBorder="1" applyAlignment="1" applyProtection="1">
      <alignment horizontal="center"/>
      <protection hidden="1"/>
    </xf>
    <xf numFmtId="167" fontId="4" fillId="0" borderId="55" xfId="0" applyNumberFormat="1" applyFont="1" applyBorder="1" applyAlignment="1" applyProtection="1">
      <alignment horizontal="center"/>
      <protection hidden="1"/>
    </xf>
    <xf numFmtId="167" fontId="4" fillId="0" borderId="26" xfId="0" applyNumberFormat="1" applyFont="1" applyBorder="1" applyAlignment="1" applyProtection="1">
      <alignment horizontal="center"/>
      <protection hidden="1"/>
    </xf>
    <xf numFmtId="2" fontId="5" fillId="0" borderId="85" xfId="0" applyNumberFormat="1" applyFont="1" applyBorder="1" applyAlignment="1">
      <alignment horizontal="center"/>
    </xf>
    <xf numFmtId="2" fontId="5" fillId="0" borderId="10" xfId="0" applyNumberFormat="1" applyFont="1" applyBorder="1" applyAlignment="1">
      <alignment horizontal="center"/>
    </xf>
    <xf numFmtId="2" fontId="5" fillId="0" borderId="88" xfId="0" applyNumberFormat="1" applyFont="1" applyBorder="1" applyAlignment="1">
      <alignment horizontal="center"/>
    </xf>
    <xf numFmtId="164" fontId="0" fillId="27" borderId="79" xfId="0" applyFill="1" applyBorder="1" applyAlignment="1" applyProtection="1">
      <alignment horizontal="center"/>
      <protection hidden="1"/>
    </xf>
    <xf numFmtId="164" fontId="33" fillId="20" borderId="134" xfId="0" applyFont="1" applyFill="1" applyBorder="1" applyAlignment="1" applyProtection="1">
      <alignment vertical="center"/>
      <protection hidden="1"/>
    </xf>
    <xf numFmtId="164" fontId="33" fillId="20" borderId="135" xfId="0" applyFont="1" applyFill="1" applyBorder="1" applyAlignment="1" applyProtection="1">
      <alignment vertical="center"/>
      <protection hidden="1"/>
    </xf>
    <xf numFmtId="164" fontId="33" fillId="20" borderId="136" xfId="0" applyFont="1" applyFill="1" applyBorder="1" applyAlignment="1" applyProtection="1">
      <alignment vertical="center"/>
      <protection hidden="1"/>
    </xf>
    <xf numFmtId="164" fontId="33" fillId="20" borderId="137" xfId="0" applyFont="1" applyFill="1" applyBorder="1" applyAlignment="1" applyProtection="1">
      <alignment vertical="center"/>
      <protection hidden="1"/>
    </xf>
    <xf numFmtId="164" fontId="33" fillId="20" borderId="138" xfId="0" applyFont="1" applyFill="1" applyBorder="1" applyAlignment="1" applyProtection="1">
      <alignment vertical="center"/>
      <protection hidden="1"/>
    </xf>
    <xf numFmtId="164" fontId="33" fillId="20" borderId="139" xfId="0" applyFont="1" applyFill="1" applyBorder="1" applyAlignment="1" applyProtection="1">
      <alignment vertical="center"/>
      <protection hidden="1"/>
    </xf>
    <xf numFmtId="164" fontId="33" fillId="20" borderId="140" xfId="0" applyFont="1" applyFill="1" applyBorder="1" applyAlignment="1" applyProtection="1">
      <alignment vertical="center"/>
      <protection hidden="1"/>
    </xf>
    <xf numFmtId="164" fontId="33" fillId="20" borderId="141" xfId="0" applyFont="1" applyFill="1" applyBorder="1" applyAlignment="1" applyProtection="1">
      <alignment vertical="center"/>
      <protection hidden="1"/>
    </xf>
    <xf numFmtId="2" fontId="0" fillId="0" borderId="88" xfId="0" applyNumberFormat="1" applyBorder="1" applyAlignment="1" applyProtection="1">
      <alignment horizontal="center" vertical="center"/>
      <protection hidden="1"/>
    </xf>
    <xf numFmtId="164" fontId="5" fillId="27" borderId="79" xfId="0" applyFont="1" applyFill="1" applyBorder="1" applyProtection="1">
      <protection hidden="1"/>
    </xf>
    <xf numFmtId="164" fontId="32" fillId="24" borderId="90" xfId="0" applyFont="1" applyFill="1" applyBorder="1" applyAlignment="1" applyProtection="1">
      <alignment vertical="center" wrapText="1"/>
      <protection hidden="1"/>
    </xf>
    <xf numFmtId="1" fontId="32" fillId="27" borderId="90" xfId="0" applyNumberFormat="1" applyFont="1" applyFill="1" applyBorder="1" applyAlignment="1" applyProtection="1">
      <alignment vertical="center" wrapText="1"/>
      <protection hidden="1"/>
    </xf>
    <xf numFmtId="164" fontId="32" fillId="26" borderId="90" xfId="0" applyFont="1" applyFill="1" applyBorder="1" applyAlignment="1" applyProtection="1">
      <alignment vertical="center"/>
      <protection hidden="1"/>
    </xf>
    <xf numFmtId="164" fontId="4" fillId="27" borderId="34" xfId="0" applyFont="1" applyFill="1" applyBorder="1" applyAlignment="1">
      <alignment horizontal="center"/>
    </xf>
    <xf numFmtId="164" fontId="4" fillId="27" borderId="22" xfId="0" applyFont="1" applyFill="1" applyBorder="1" applyAlignment="1">
      <alignment horizontal="center"/>
    </xf>
    <xf numFmtId="164" fontId="4" fillId="27" borderId="25" xfId="0" applyFont="1" applyFill="1" applyBorder="1" applyAlignment="1">
      <alignment horizontal="center"/>
    </xf>
    <xf numFmtId="164" fontId="4" fillId="27" borderId="36" xfId="0" applyFont="1" applyFill="1" applyBorder="1" applyAlignment="1">
      <alignment horizontal="center"/>
    </xf>
    <xf numFmtId="164" fontId="4" fillId="27" borderId="32" xfId="0" applyFont="1" applyFill="1" applyBorder="1" applyAlignment="1">
      <alignment horizontal="center"/>
    </xf>
    <xf numFmtId="164" fontId="4" fillId="27" borderId="21" xfId="0" applyFont="1" applyFill="1" applyBorder="1" applyAlignment="1">
      <alignment horizontal="center"/>
    </xf>
    <xf numFmtId="164" fontId="5" fillId="0" borderId="73" xfId="0" applyFont="1" applyBorder="1" applyAlignment="1" applyProtection="1">
      <alignment horizontal="left"/>
      <protection hidden="1"/>
    </xf>
    <xf numFmtId="172" fontId="13" fillId="18" borderId="126" xfId="0" applyNumberFormat="1" applyFont="1" applyFill="1" applyBorder="1" applyAlignment="1" applyProtection="1">
      <alignment horizontal="right" indent="1"/>
      <protection locked="0" hidden="1"/>
    </xf>
    <xf numFmtId="172" fontId="6" fillId="18" borderId="143" xfId="0" applyNumberFormat="1" applyFont="1" applyFill="1" applyBorder="1" applyAlignment="1" applyProtection="1">
      <alignment horizontal="right" indent="1"/>
      <protection locked="0" hidden="1"/>
    </xf>
    <xf numFmtId="164" fontId="10" fillId="18" borderId="144" xfId="0" applyFont="1" applyFill="1" applyBorder="1" applyAlignment="1" applyProtection="1">
      <alignment horizontal="right"/>
      <protection hidden="1"/>
    </xf>
    <xf numFmtId="1" fontId="4" fillId="0" borderId="131" xfId="0" applyNumberFormat="1" applyFont="1" applyBorder="1" applyAlignment="1" applyProtection="1">
      <alignment horizontal="center" vertical="center" wrapText="1"/>
      <protection hidden="1"/>
    </xf>
    <xf numFmtId="1" fontId="4" fillId="0" borderId="52" xfId="0" applyNumberFormat="1" applyFont="1" applyBorder="1" applyAlignment="1" applyProtection="1">
      <alignment horizontal="center" vertical="center" wrapText="1"/>
      <protection hidden="1"/>
    </xf>
    <xf numFmtId="164" fontId="4" fillId="0" borderId="73" xfId="0" applyFont="1" applyBorder="1" applyProtection="1">
      <protection hidden="1"/>
    </xf>
    <xf numFmtId="164" fontId="4" fillId="34" borderId="0" xfId="0" applyFont="1" applyFill="1" applyProtection="1">
      <protection hidden="1"/>
    </xf>
    <xf numFmtId="164" fontId="4" fillId="34" borderId="0" xfId="0" applyFont="1" applyFill="1" applyAlignment="1" applyProtection="1">
      <alignment horizontal="center"/>
      <protection hidden="1"/>
    </xf>
    <xf numFmtId="164" fontId="0" fillId="18" borderId="145" xfId="0" applyFill="1" applyBorder="1" applyProtection="1">
      <protection hidden="1"/>
    </xf>
    <xf numFmtId="164" fontId="128" fillId="0" borderId="0" xfId="0" applyFont="1" applyAlignment="1" applyProtection="1">
      <alignment horizontal="center" vertical="center" wrapText="1"/>
      <protection hidden="1"/>
    </xf>
    <xf numFmtId="164" fontId="4" fillId="24" borderId="79" xfId="0" applyFont="1" applyFill="1" applyBorder="1" applyProtection="1">
      <protection hidden="1"/>
    </xf>
    <xf numFmtId="164" fontId="4" fillId="31" borderId="24" xfId="0" applyFont="1" applyFill="1" applyBorder="1" applyAlignment="1" applyProtection="1">
      <alignment horizontal="center"/>
      <protection hidden="1"/>
    </xf>
    <xf numFmtId="164" fontId="13" fillId="31" borderId="146" xfId="0" applyFont="1" applyFill="1" applyBorder="1" applyAlignment="1" applyProtection="1">
      <alignment horizontal="left" vertical="center"/>
      <protection hidden="1"/>
    </xf>
    <xf numFmtId="164" fontId="13" fillId="31" borderId="82" xfId="0" applyFont="1" applyFill="1" applyBorder="1" applyAlignment="1" applyProtection="1">
      <alignment horizontal="left" vertical="center"/>
      <protection hidden="1"/>
    </xf>
    <xf numFmtId="164" fontId="13" fillId="31" borderId="95" xfId="0" applyFont="1" applyFill="1" applyBorder="1" applyAlignment="1" applyProtection="1">
      <alignment horizontal="left" vertical="center"/>
      <protection hidden="1"/>
    </xf>
    <xf numFmtId="164" fontId="4" fillId="31" borderId="34" xfId="0" applyFont="1" applyFill="1" applyBorder="1" applyAlignment="1" applyProtection="1">
      <alignment horizontal="center"/>
      <protection hidden="1"/>
    </xf>
    <xf numFmtId="164" fontId="4" fillId="31" borderId="43" xfId="0" applyFont="1" applyFill="1" applyBorder="1" applyProtection="1">
      <protection locked="0" hidden="1"/>
    </xf>
    <xf numFmtId="164" fontId="4" fillId="31" borderId="147" xfId="0" applyFont="1" applyFill="1" applyBorder="1" applyAlignment="1" applyProtection="1">
      <alignment horizontal="left" vertical="center"/>
      <protection locked="0"/>
    </xf>
    <xf numFmtId="164" fontId="4" fillId="31" borderId="20" xfId="0" applyFont="1" applyFill="1" applyBorder="1" applyAlignment="1" applyProtection="1">
      <alignment horizontal="left" vertical="center"/>
      <protection locked="0"/>
    </xf>
    <xf numFmtId="164" fontId="4" fillId="31" borderId="60" xfId="0" applyFont="1" applyFill="1" applyBorder="1" applyAlignment="1" applyProtection="1">
      <alignment horizontal="left" vertical="center"/>
      <protection locked="0"/>
    </xf>
    <xf numFmtId="164" fontId="4" fillId="31" borderId="24" xfId="0" applyFont="1" applyFill="1" applyBorder="1" applyProtection="1">
      <protection locked="0"/>
    </xf>
    <xf numFmtId="164" fontId="4" fillId="31" borderId="36" xfId="0" applyFont="1" applyFill="1" applyBorder="1" applyProtection="1">
      <protection locked="0"/>
    </xf>
    <xf numFmtId="164" fontId="4" fillId="31" borderId="106" xfId="0" applyFont="1" applyFill="1" applyBorder="1" applyProtection="1">
      <protection locked="0" hidden="1"/>
    </xf>
    <xf numFmtId="164" fontId="4" fillId="31" borderId="21" xfId="0" applyFont="1" applyFill="1" applyBorder="1" applyAlignment="1" applyProtection="1">
      <alignment horizontal="center"/>
      <protection hidden="1"/>
    </xf>
    <xf numFmtId="164" fontId="4" fillId="18" borderId="35" xfId="0" applyFont="1" applyFill="1" applyBorder="1" applyProtection="1">
      <protection hidden="1"/>
    </xf>
    <xf numFmtId="164" fontId="4" fillId="18" borderId="35" xfId="0" applyFont="1" applyFill="1" applyBorder="1" applyAlignment="1" applyProtection="1">
      <alignment horizontal="center"/>
      <protection hidden="1"/>
    </xf>
    <xf numFmtId="164" fontId="4" fillId="18" borderId="0" xfId="0" applyFont="1" applyFill="1" applyAlignment="1" applyProtection="1">
      <alignment horizontal="center"/>
      <protection hidden="1"/>
    </xf>
    <xf numFmtId="0" fontId="127" fillId="0" borderId="24" xfId="123" applyFont="1" applyBorder="1" applyAlignment="1">
      <alignment vertical="center" wrapText="1"/>
    </xf>
    <xf numFmtId="0" fontId="7" fillId="0" borderId="18" xfId="123" applyFont="1" applyBorder="1"/>
    <xf numFmtId="0" fontId="7" fillId="0" borderId="51" xfId="123" applyFont="1" applyBorder="1"/>
    <xf numFmtId="0" fontId="7" fillId="0" borderId="51" xfId="123" applyFont="1" applyBorder="1" applyAlignment="1">
      <alignment horizontal="center"/>
    </xf>
    <xf numFmtId="49" fontId="127" fillId="0" borderId="0" xfId="123" applyNumberFormat="1" applyFont="1" applyAlignment="1">
      <alignment horizontal="right"/>
    </xf>
    <xf numFmtId="164" fontId="7" fillId="32" borderId="10" xfId="123" applyNumberFormat="1" applyFont="1" applyFill="1" applyBorder="1"/>
    <xf numFmtId="164" fontId="7" fillId="32" borderId="46" xfId="123" applyNumberFormat="1" applyFont="1" applyFill="1" applyBorder="1"/>
    <xf numFmtId="164" fontId="7" fillId="32" borderId="19" xfId="123" applyNumberFormat="1" applyFont="1" applyFill="1" applyBorder="1"/>
    <xf numFmtId="164" fontId="7" fillId="32" borderId="44" xfId="123" applyNumberFormat="1" applyFont="1" applyFill="1" applyBorder="1"/>
    <xf numFmtId="169" fontId="0" fillId="27" borderId="55" xfId="0" applyNumberFormat="1" applyFill="1" applyBorder="1" applyAlignment="1">
      <alignment horizontal="center"/>
    </xf>
    <xf numFmtId="169" fontId="0" fillId="27" borderId="15" xfId="0" applyNumberFormat="1" applyFill="1" applyBorder="1" applyAlignment="1">
      <alignment horizontal="center"/>
    </xf>
    <xf numFmtId="169" fontId="0" fillId="27" borderId="10" xfId="0" applyNumberFormat="1" applyFill="1" applyBorder="1" applyAlignment="1">
      <alignment horizontal="center"/>
    </xf>
    <xf numFmtId="169" fontId="0" fillId="27" borderId="62" xfId="0" applyNumberFormat="1" applyFill="1" applyBorder="1" applyAlignment="1">
      <alignment horizontal="center"/>
    </xf>
    <xf numFmtId="169" fontId="0" fillId="27" borderId="19" xfId="0" applyNumberFormat="1" applyFill="1" applyBorder="1" applyAlignment="1">
      <alignment horizontal="center"/>
    </xf>
    <xf numFmtId="164" fontId="7" fillId="27" borderId="10" xfId="123" applyNumberFormat="1" applyFont="1" applyFill="1" applyBorder="1" applyAlignment="1">
      <alignment horizontal="center"/>
    </xf>
    <xf numFmtId="0" fontId="10" fillId="25" borderId="24" xfId="123" applyFont="1" applyFill="1" applyBorder="1" applyAlignment="1">
      <alignment horizontal="left"/>
    </xf>
    <xf numFmtId="0" fontId="8" fillId="25" borderId="26" xfId="123" applyFont="1" applyFill="1" applyBorder="1"/>
    <xf numFmtId="0" fontId="4" fillId="0" borderId="17" xfId="123" applyBorder="1" applyAlignment="1">
      <alignment horizontal="center" wrapText="1"/>
    </xf>
    <xf numFmtId="0" fontId="4" fillId="0" borderId="52" xfId="123" applyBorder="1" applyAlignment="1">
      <alignment horizontal="center" wrapText="1"/>
    </xf>
    <xf numFmtId="0" fontId="7" fillId="27" borderId="0" xfId="123" applyFont="1" applyFill="1"/>
    <xf numFmtId="166" fontId="7" fillId="27" borderId="79" xfId="123" applyNumberFormat="1" applyFont="1" applyFill="1" applyBorder="1" applyAlignment="1">
      <alignment horizontal="center"/>
    </xf>
    <xf numFmtId="1" fontId="0" fillId="0" borderId="132" xfId="0" applyNumberFormat="1" applyBorder="1" applyAlignment="1">
      <alignment horizontal="center"/>
    </xf>
    <xf numFmtId="1" fontId="0" fillId="0" borderId="86" xfId="0" applyNumberFormat="1" applyBorder="1" applyAlignment="1">
      <alignment horizontal="center"/>
    </xf>
    <xf numFmtId="1" fontId="0" fillId="0" borderId="12" xfId="0" applyNumberFormat="1" applyBorder="1" applyAlignment="1">
      <alignment horizontal="center"/>
    </xf>
    <xf numFmtId="1" fontId="0" fillId="0" borderId="87" xfId="0" applyNumberFormat="1" applyBorder="1" applyAlignment="1">
      <alignment horizontal="center"/>
    </xf>
    <xf numFmtId="1" fontId="0" fillId="0" borderId="23" xfId="0" applyNumberFormat="1" applyBorder="1" applyAlignment="1">
      <alignment horizontal="center"/>
    </xf>
    <xf numFmtId="1" fontId="0" fillId="0" borderId="148" xfId="0" applyNumberFormat="1" applyBorder="1" applyAlignment="1">
      <alignment horizontal="center"/>
    </xf>
    <xf numFmtId="1" fontId="0" fillId="0" borderId="50" xfId="0" applyNumberFormat="1" applyBorder="1" applyAlignment="1">
      <alignment horizontal="center"/>
    </xf>
    <xf numFmtId="1" fontId="0" fillId="0" borderId="149" xfId="0" applyNumberFormat="1" applyBorder="1" applyAlignment="1">
      <alignment horizontal="center"/>
    </xf>
    <xf numFmtId="1" fontId="0" fillId="0" borderId="48" xfId="0" applyNumberFormat="1" applyBorder="1" applyAlignment="1">
      <alignment horizontal="center"/>
    </xf>
    <xf numFmtId="1" fontId="0" fillId="0" borderId="92" xfId="0" applyNumberFormat="1" applyBorder="1" applyAlignment="1">
      <alignment horizontal="center"/>
    </xf>
    <xf numFmtId="1" fontId="0" fillId="0" borderId="54" xfId="0" applyNumberFormat="1" applyBorder="1" applyAlignment="1">
      <alignment horizontal="center"/>
    </xf>
    <xf numFmtId="1" fontId="0" fillId="0" borderId="133" xfId="0" applyNumberFormat="1" applyBorder="1" applyAlignment="1">
      <alignment horizontal="center"/>
    </xf>
    <xf numFmtId="1" fontId="0" fillId="0" borderId="89" xfId="0" applyNumberFormat="1" applyBorder="1" applyAlignment="1">
      <alignment horizontal="center"/>
    </xf>
    <xf numFmtId="0" fontId="4" fillId="24" borderId="16" xfId="123" applyFill="1" applyBorder="1"/>
    <xf numFmtId="0" fontId="4" fillId="0" borderId="35" xfId="123" applyBorder="1"/>
    <xf numFmtId="0" fontId="4" fillId="0" borderId="25" xfId="123" applyBorder="1"/>
    <xf numFmtId="0" fontId="4" fillId="0" borderId="21" xfId="123" applyBorder="1"/>
    <xf numFmtId="0" fontId="4" fillId="0" borderId="32" xfId="123" applyBorder="1"/>
    <xf numFmtId="0" fontId="133" fillId="0" borderId="0" xfId="123" applyFont="1"/>
    <xf numFmtId="164" fontId="5" fillId="18" borderId="34" xfId="0" applyFont="1" applyFill="1" applyBorder="1" applyAlignment="1" applyProtection="1">
      <alignment horizontal="center"/>
      <protection hidden="1"/>
    </xf>
    <xf numFmtId="164" fontId="5" fillId="18" borderId="35" xfId="0" applyFont="1" applyFill="1" applyBorder="1" applyAlignment="1" applyProtection="1">
      <alignment horizontal="center"/>
      <protection hidden="1"/>
    </xf>
    <xf numFmtId="164" fontId="5" fillId="18" borderId="35" xfId="0" applyFont="1" applyFill="1" applyBorder="1" applyProtection="1">
      <protection hidden="1"/>
    </xf>
    <xf numFmtId="164" fontId="5" fillId="18" borderId="36" xfId="0" applyFont="1" applyFill="1" applyBorder="1" applyProtection="1">
      <protection hidden="1"/>
    </xf>
    <xf numFmtId="164" fontId="5" fillId="18" borderId="21" xfId="0" applyFont="1" applyFill="1" applyBorder="1" applyProtection="1">
      <protection hidden="1"/>
    </xf>
    <xf numFmtId="164" fontId="127" fillId="18" borderId="0" xfId="0" applyFont="1" applyFill="1" applyAlignment="1" applyProtection="1">
      <alignment horizontal="left" wrapText="1"/>
      <protection hidden="1"/>
    </xf>
    <xf numFmtId="49" fontId="4" fillId="18" borderId="0" xfId="0" applyNumberFormat="1" applyFont="1" applyFill="1" applyAlignment="1">
      <alignment horizontal="right"/>
    </xf>
    <xf numFmtId="0" fontId="5" fillId="27" borderId="34" xfId="123" applyFont="1" applyFill="1" applyBorder="1"/>
    <xf numFmtId="0" fontId="22" fillId="27" borderId="35" xfId="123" applyFont="1" applyFill="1" applyBorder="1"/>
    <xf numFmtId="0" fontId="22" fillId="27" borderId="25" xfId="123" applyFont="1" applyFill="1" applyBorder="1"/>
    <xf numFmtId="0" fontId="22" fillId="27" borderId="36" xfId="123" applyFont="1" applyFill="1" applyBorder="1"/>
    <xf numFmtId="0" fontId="22" fillId="27" borderId="21" xfId="123" applyFont="1" applyFill="1" applyBorder="1"/>
    <xf numFmtId="0" fontId="22" fillId="27" borderId="32" xfId="123" applyFont="1" applyFill="1" applyBorder="1"/>
    <xf numFmtId="0" fontId="22" fillId="32" borderId="0" xfId="123" applyFont="1" applyFill="1"/>
    <xf numFmtId="0" fontId="22" fillId="32" borderId="26" xfId="123" applyFont="1" applyFill="1" applyBorder="1"/>
    <xf numFmtId="0" fontId="22" fillId="32" borderId="24" xfId="123" applyFont="1" applyFill="1" applyBorder="1"/>
    <xf numFmtId="0" fontId="22" fillId="18" borderId="24" xfId="123" applyFont="1" applyFill="1" applyBorder="1"/>
    <xf numFmtId="0" fontId="22" fillId="18" borderId="0" xfId="123" applyFont="1" applyFill="1"/>
    <xf numFmtId="0" fontId="22" fillId="18" borderId="26" xfId="123" applyFont="1" applyFill="1" applyBorder="1"/>
    <xf numFmtId="0" fontId="22" fillId="18" borderId="34" xfId="123" applyFont="1" applyFill="1" applyBorder="1"/>
    <xf numFmtId="0" fontId="22" fillId="18" borderId="35" xfId="123" applyFont="1" applyFill="1" applyBorder="1"/>
    <xf numFmtId="0" fontId="22" fillId="18" borderId="25" xfId="123" applyFont="1" applyFill="1" applyBorder="1"/>
    <xf numFmtId="0" fontId="5" fillId="32" borderId="34" xfId="123" applyFont="1" applyFill="1" applyBorder="1"/>
    <xf numFmtId="0" fontId="22" fillId="32" borderId="35" xfId="123" applyFont="1" applyFill="1" applyBorder="1"/>
    <xf numFmtId="0" fontId="22" fillId="32" borderId="25" xfId="123" applyFont="1" applyFill="1" applyBorder="1"/>
    <xf numFmtId="0" fontId="22" fillId="32" borderId="36" xfId="123" applyFont="1" applyFill="1" applyBorder="1"/>
    <xf numFmtId="0" fontId="22" fillId="32" borderId="21" xfId="123" applyFont="1" applyFill="1" applyBorder="1"/>
    <xf numFmtId="0" fontId="22" fillId="32" borderId="32" xfId="123" applyFont="1" applyFill="1" applyBorder="1"/>
    <xf numFmtId="1" fontId="5" fillId="0" borderId="132" xfId="0" applyNumberFormat="1" applyFont="1" applyBorder="1" applyAlignment="1" applyProtection="1">
      <alignment horizontal="center" vertical="center"/>
      <protection hidden="1"/>
    </xf>
    <xf numFmtId="1" fontId="5" fillId="0" borderId="12" xfId="0" applyNumberFormat="1" applyFont="1" applyBorder="1" applyAlignment="1" applyProtection="1">
      <alignment horizontal="center" vertical="center"/>
      <protection hidden="1"/>
    </xf>
    <xf numFmtId="1" fontId="5" fillId="0" borderId="133" xfId="0" applyNumberFormat="1" applyFont="1" applyBorder="1" applyAlignment="1" applyProtection="1">
      <alignment horizontal="center" vertical="center"/>
      <protection hidden="1"/>
    </xf>
    <xf numFmtId="0" fontId="5" fillId="0" borderId="132" xfId="0" applyNumberFormat="1" applyFont="1" applyBorder="1" applyAlignment="1">
      <alignment horizontal="center"/>
    </xf>
    <xf numFmtId="0" fontId="5" fillId="0" borderId="12" xfId="0" applyNumberFormat="1" applyFont="1" applyBorder="1" applyAlignment="1">
      <alignment horizontal="center"/>
    </xf>
    <xf numFmtId="0" fontId="5" fillId="0" borderId="133" xfId="0" applyNumberFormat="1" applyFont="1" applyBorder="1" applyAlignment="1">
      <alignment horizontal="center"/>
    </xf>
    <xf numFmtId="2" fontId="5" fillId="0" borderId="132" xfId="0" applyNumberFormat="1" applyFont="1" applyBorder="1" applyAlignment="1" applyProtection="1">
      <alignment horizontal="center" vertical="center"/>
      <protection hidden="1"/>
    </xf>
    <xf numFmtId="2" fontId="5" fillId="0" borderId="12" xfId="0" applyNumberFormat="1" applyFont="1" applyBorder="1" applyAlignment="1" applyProtection="1">
      <alignment horizontal="center" vertical="center"/>
      <protection hidden="1"/>
    </xf>
    <xf numFmtId="2" fontId="5" fillId="0" borderId="133" xfId="0" applyNumberFormat="1" applyFont="1" applyBorder="1" applyAlignment="1" applyProtection="1">
      <alignment horizontal="center" vertical="center"/>
      <protection hidden="1"/>
    </xf>
    <xf numFmtId="2" fontId="5" fillId="0" borderId="132" xfId="0" applyNumberFormat="1" applyFont="1" applyBorder="1" applyAlignment="1">
      <alignment horizontal="center"/>
    </xf>
    <xf numFmtId="2" fontId="5" fillId="0" borderId="12" xfId="0" applyNumberFormat="1" applyFont="1" applyBorder="1" applyAlignment="1">
      <alignment horizontal="center"/>
    </xf>
    <xf numFmtId="2" fontId="5" fillId="0" borderId="133" xfId="0" applyNumberFormat="1" applyFont="1" applyBorder="1" applyAlignment="1">
      <alignment horizontal="center"/>
    </xf>
    <xf numFmtId="0" fontId="4" fillId="0" borderId="12" xfId="0" applyNumberFormat="1" applyFont="1" applyBorder="1" applyAlignment="1" applyProtection="1">
      <alignment horizontal="left" vertical="center"/>
      <protection hidden="1"/>
    </xf>
    <xf numFmtId="0" fontId="4" fillId="0" borderId="50" xfId="0" applyNumberFormat="1" applyFont="1" applyBorder="1" applyAlignment="1" applyProtection="1">
      <alignment horizontal="left" vertical="center"/>
      <protection hidden="1"/>
    </xf>
    <xf numFmtId="164" fontId="5" fillId="0" borderId="10" xfId="0" applyFont="1" applyBorder="1" applyAlignment="1" applyProtection="1">
      <alignment horizontal="center" vertical="center" wrapText="1"/>
      <protection hidden="1"/>
    </xf>
    <xf numFmtId="164" fontId="124" fillId="0" borderId="0" xfId="0" applyFont="1" applyAlignment="1">
      <alignment horizontal="center"/>
    </xf>
    <xf numFmtId="164" fontId="124" fillId="0" borderId="0" xfId="0" applyFont="1" applyAlignment="1" applyProtection="1">
      <alignment horizontal="center"/>
      <protection locked="0"/>
    </xf>
    <xf numFmtId="164" fontId="5" fillId="0" borderId="13" xfId="0" applyFont="1" applyBorder="1" applyProtection="1">
      <protection hidden="1"/>
    </xf>
    <xf numFmtId="167" fontId="21" fillId="0" borderId="83" xfId="0" applyNumberFormat="1" applyFont="1" applyBorder="1" applyAlignment="1" applyProtection="1">
      <alignment horizontal="right"/>
      <protection hidden="1"/>
    </xf>
    <xf numFmtId="167" fontId="4" fillId="18" borderId="42" xfId="0" applyNumberFormat="1" applyFont="1" applyFill="1" applyBorder="1" applyAlignment="1" applyProtection="1">
      <alignment horizontal="center"/>
      <protection hidden="1"/>
    </xf>
    <xf numFmtId="167" fontId="4" fillId="18" borderId="33" xfId="0" applyNumberFormat="1" applyFont="1" applyFill="1" applyBorder="1" applyAlignment="1" applyProtection="1">
      <alignment horizontal="center"/>
      <protection hidden="1"/>
    </xf>
    <xf numFmtId="164" fontId="24" fillId="18" borderId="24" xfId="0" applyFont="1" applyFill="1" applyBorder="1" applyAlignment="1" applyProtection="1">
      <alignment vertical="top"/>
      <protection hidden="1"/>
    </xf>
    <xf numFmtId="164" fontId="4" fillId="0" borderId="146" xfId="0" applyFont="1" applyBorder="1" applyAlignment="1">
      <alignment horizontal="center"/>
    </xf>
    <xf numFmtId="164" fontId="4" fillId="0" borderId="95" xfId="0" applyFont="1" applyBorder="1" applyAlignment="1">
      <alignment horizontal="center"/>
    </xf>
    <xf numFmtId="164" fontId="4" fillId="0" borderId="74" xfId="0" applyFont="1" applyBorder="1" applyAlignment="1">
      <alignment horizontal="center"/>
    </xf>
    <xf numFmtId="164" fontId="4" fillId="0" borderId="61" xfId="0" applyFont="1" applyBorder="1" applyAlignment="1">
      <alignment horizontal="center"/>
    </xf>
    <xf numFmtId="164" fontId="4" fillId="0" borderId="0" xfId="0" applyFont="1" applyAlignment="1" applyProtection="1">
      <alignment horizontal="center" vertical="center" wrapText="1"/>
      <protection hidden="1"/>
    </xf>
    <xf numFmtId="164" fontId="22" fillId="0" borderId="46" xfId="0" applyFont="1" applyBorder="1" applyAlignment="1" applyProtection="1">
      <alignment horizontal="center" vertical="center" wrapText="1"/>
      <protection hidden="1"/>
    </xf>
    <xf numFmtId="164" fontId="22" fillId="0" borderId="44" xfId="0" applyFont="1" applyBorder="1" applyAlignment="1" applyProtection="1">
      <alignment horizontal="center" vertical="center" wrapText="1"/>
      <protection hidden="1"/>
    </xf>
    <xf numFmtId="1" fontId="4" fillId="0" borderId="10" xfId="0" applyNumberFormat="1" applyFont="1" applyBorder="1" applyAlignment="1" applyProtection="1">
      <alignment horizontal="center" vertical="center"/>
      <protection hidden="1"/>
    </xf>
    <xf numFmtId="1" fontId="4" fillId="0" borderId="19" xfId="0" applyNumberFormat="1" applyFont="1" applyBorder="1" applyAlignment="1" applyProtection="1">
      <alignment horizontal="center" vertical="center"/>
      <protection hidden="1"/>
    </xf>
    <xf numFmtId="164" fontId="4" fillId="0" borderId="126" xfId="0" applyFont="1" applyBorder="1" applyAlignment="1" applyProtection="1">
      <alignment horizontal="left" vertical="center" wrapText="1" indent="1"/>
      <protection hidden="1"/>
    </xf>
    <xf numFmtId="164" fontId="4" fillId="0" borderId="143" xfId="0" applyFont="1" applyBorder="1" applyAlignment="1" applyProtection="1">
      <alignment horizontal="left" vertical="center" wrapText="1" indent="1"/>
      <protection hidden="1"/>
    </xf>
    <xf numFmtId="164" fontId="4" fillId="0" borderId="153" xfId="0" applyFont="1" applyBorder="1" applyAlignment="1" applyProtection="1">
      <alignment horizontal="left" vertical="center"/>
      <protection hidden="1"/>
    </xf>
    <xf numFmtId="164" fontId="4" fillId="0" borderId="53" xfId="0" applyFont="1" applyBorder="1" applyAlignment="1" applyProtection="1">
      <alignment horizontal="left" vertical="center"/>
      <protection hidden="1"/>
    </xf>
    <xf numFmtId="164" fontId="4" fillId="0" borderId="154" xfId="0" applyFont="1" applyBorder="1" applyAlignment="1" applyProtection="1">
      <alignment horizontal="left" vertical="center"/>
      <protection hidden="1"/>
    </xf>
    <xf numFmtId="1" fontId="4" fillId="0" borderId="85" xfId="0" applyNumberFormat="1" applyFont="1" applyBorder="1" applyAlignment="1" applyProtection="1">
      <alignment horizontal="center" vertical="center"/>
      <protection hidden="1"/>
    </xf>
    <xf numFmtId="1" fontId="4" fillId="0" borderId="88" xfId="0" applyNumberFormat="1" applyFont="1" applyBorder="1" applyAlignment="1" applyProtection="1">
      <alignment horizontal="center" vertical="center"/>
      <protection hidden="1"/>
    </xf>
    <xf numFmtId="2" fontId="4" fillId="0" borderId="85" xfId="0" applyNumberFormat="1" applyFont="1" applyBorder="1" applyAlignment="1" applyProtection="1">
      <alignment horizontal="center" vertical="center"/>
      <protection hidden="1"/>
    </xf>
    <xf numFmtId="2" fontId="4" fillId="0" borderId="10" xfId="0" applyNumberFormat="1" applyFont="1" applyBorder="1" applyAlignment="1" applyProtection="1">
      <alignment horizontal="center" vertical="center"/>
      <protection hidden="1"/>
    </xf>
    <xf numFmtId="2" fontId="4" fillId="0" borderId="88" xfId="0" applyNumberFormat="1" applyFont="1" applyBorder="1" applyAlignment="1" applyProtection="1">
      <alignment horizontal="center" vertical="center"/>
      <protection hidden="1"/>
    </xf>
    <xf numFmtId="164" fontId="124" fillId="18" borderId="0" xfId="0" applyFont="1" applyFill="1" applyAlignment="1" applyProtection="1">
      <alignment horizontal="center"/>
      <protection hidden="1"/>
    </xf>
    <xf numFmtId="0" fontId="124" fillId="18" borderId="0" xfId="0" applyNumberFormat="1" applyFont="1" applyFill="1" applyProtection="1">
      <protection hidden="1"/>
    </xf>
    <xf numFmtId="164" fontId="124" fillId="18" borderId="0" xfId="0" quotePrefix="1" applyFont="1" applyFill="1" applyAlignment="1" applyProtection="1">
      <alignment horizontal="center"/>
      <protection hidden="1"/>
    </xf>
    <xf numFmtId="0" fontId="135" fillId="0" borderId="0" xfId="0" applyNumberFormat="1" applyFont="1" applyProtection="1">
      <protection hidden="1"/>
    </xf>
    <xf numFmtId="1" fontId="124" fillId="0" borderId="0" xfId="0" applyNumberFormat="1" applyFont="1" applyAlignment="1" applyProtection="1">
      <alignment horizontal="center"/>
      <protection hidden="1"/>
    </xf>
    <xf numFmtId="164" fontId="4" fillId="18" borderId="0" xfId="0" applyFont="1" applyFill="1" applyAlignment="1" applyProtection="1">
      <alignment horizontal="left" wrapText="1"/>
      <protection hidden="1"/>
    </xf>
    <xf numFmtId="164" fontId="4" fillId="0" borderId="24" xfId="0" applyFont="1" applyBorder="1" applyProtection="1">
      <protection hidden="1"/>
    </xf>
    <xf numFmtId="1" fontId="4" fillId="0" borderId="0" xfId="0" applyNumberFormat="1" applyFont="1" applyAlignment="1" applyProtection="1">
      <alignment horizontal="center"/>
      <protection hidden="1"/>
    </xf>
    <xf numFmtId="1" fontId="4" fillId="31" borderId="38" xfId="0" applyNumberFormat="1" applyFont="1" applyFill="1" applyBorder="1" applyAlignment="1" applyProtection="1">
      <alignment horizontal="center"/>
      <protection hidden="1"/>
    </xf>
    <xf numFmtId="164" fontId="5" fillId="0" borderId="0" xfId="0" applyFont="1" applyAlignment="1" applyProtection="1">
      <alignment horizontal="center" wrapText="1"/>
      <protection hidden="1"/>
    </xf>
    <xf numFmtId="164" fontId="124" fillId="0" borderId="0" xfId="0" applyFont="1" applyProtection="1">
      <protection locked="0"/>
    </xf>
    <xf numFmtId="164" fontId="136" fillId="0" borderId="0" xfId="0" applyFont="1" applyAlignment="1" applyProtection="1">
      <alignment horizontal="left" vertical="center"/>
      <protection hidden="1"/>
    </xf>
    <xf numFmtId="1" fontId="124" fillId="24" borderId="0" xfId="0" applyNumberFormat="1" applyFont="1" applyFill="1" applyAlignment="1" applyProtection="1">
      <alignment horizontal="center"/>
      <protection hidden="1"/>
    </xf>
    <xf numFmtId="164" fontId="124" fillId="24" borderId="0" xfId="0" applyFont="1" applyFill="1"/>
    <xf numFmtId="164" fontId="124" fillId="24" borderId="0" xfId="0" applyFont="1" applyFill="1" applyProtection="1">
      <protection locked="0"/>
    </xf>
    <xf numFmtId="164" fontId="124" fillId="24" borderId="0" xfId="0" applyFont="1" applyFill="1" applyProtection="1">
      <protection hidden="1"/>
    </xf>
    <xf numFmtId="164" fontId="124" fillId="24" borderId="0" xfId="0" applyFont="1" applyFill="1" applyAlignment="1" applyProtection="1">
      <alignment horizontal="center"/>
      <protection hidden="1"/>
    </xf>
    <xf numFmtId="164" fontId="4" fillId="24" borderId="56" xfId="0" applyFont="1" applyFill="1" applyBorder="1" applyAlignment="1" applyProtection="1">
      <alignment horizontal="center"/>
      <protection hidden="1"/>
    </xf>
    <xf numFmtId="164" fontId="4" fillId="24" borderId="38" xfId="0" applyFont="1" applyFill="1" applyBorder="1" applyAlignment="1" applyProtection="1">
      <alignment horizontal="center"/>
      <protection hidden="1"/>
    </xf>
    <xf numFmtId="164" fontId="4" fillId="31" borderId="36" xfId="0" applyFont="1" applyFill="1" applyBorder="1" applyAlignment="1" applyProtection="1">
      <alignment horizontal="center"/>
      <protection hidden="1"/>
    </xf>
    <xf numFmtId="164" fontId="4" fillId="26" borderId="80" xfId="0" applyFont="1" applyFill="1" applyBorder="1" applyProtection="1">
      <protection hidden="1"/>
    </xf>
    <xf numFmtId="1" fontId="4" fillId="32" borderId="121" xfId="0" applyNumberFormat="1" applyFont="1" applyFill="1" applyBorder="1" applyAlignment="1" applyProtection="1">
      <alignment horizontal="center"/>
      <protection hidden="1"/>
    </xf>
    <xf numFmtId="1" fontId="4" fillId="32" borderId="61" xfId="0" applyNumberFormat="1" applyFont="1" applyFill="1" applyBorder="1" applyAlignment="1" applyProtection="1">
      <alignment horizontal="center"/>
      <protection hidden="1"/>
    </xf>
    <xf numFmtId="1" fontId="4" fillId="0" borderId="121" xfId="0" applyNumberFormat="1" applyFont="1" applyBorder="1" applyAlignment="1" applyProtection="1">
      <alignment horizontal="center"/>
      <protection hidden="1"/>
    </xf>
    <xf numFmtId="164" fontId="4" fillId="0" borderId="24" xfId="0" quotePrefix="1" applyFont="1" applyBorder="1" applyProtection="1">
      <protection hidden="1"/>
    </xf>
    <xf numFmtId="1" fontId="4" fillId="0" borderId="61" xfId="0" applyNumberFormat="1" applyFont="1" applyBorder="1" applyAlignment="1" applyProtection="1">
      <alignment horizontal="center"/>
      <protection hidden="1"/>
    </xf>
    <xf numFmtId="1" fontId="5" fillId="31" borderId="80" xfId="0" applyNumberFormat="1" applyFont="1" applyFill="1" applyBorder="1" applyAlignment="1" applyProtection="1">
      <alignment horizontal="center"/>
      <protection hidden="1"/>
    </xf>
    <xf numFmtId="164" fontId="5" fillId="0" borderId="52" xfId="0" applyFont="1" applyBorder="1" applyAlignment="1" applyProtection="1">
      <alignment horizontal="center" vertical="center" wrapText="1"/>
      <protection hidden="1"/>
    </xf>
    <xf numFmtId="164" fontId="5" fillId="0" borderId="0" xfId="0" applyFont="1" applyAlignment="1">
      <alignment horizontal="center" vertical="center" wrapText="1"/>
    </xf>
    <xf numFmtId="164" fontId="4" fillId="27" borderId="80" xfId="0" applyFont="1" applyFill="1" applyBorder="1"/>
    <xf numFmtId="1" fontId="5" fillId="27" borderId="90" xfId="0" applyNumberFormat="1" applyFont="1" applyFill="1" applyBorder="1" applyAlignment="1" applyProtection="1">
      <alignment horizontal="center"/>
      <protection hidden="1"/>
    </xf>
    <xf numFmtId="164" fontId="4" fillId="0" borderId="35" xfId="0" applyFont="1" applyBorder="1" applyProtection="1">
      <protection hidden="1"/>
    </xf>
    <xf numFmtId="1" fontId="4" fillId="18" borderId="120" xfId="0" applyNumberFormat="1" applyFont="1" applyFill="1" applyBorder="1" applyAlignment="1" applyProtection="1">
      <alignment horizontal="center"/>
      <protection hidden="1"/>
    </xf>
    <xf numFmtId="1" fontId="4" fillId="18" borderId="56" xfId="0" applyNumberFormat="1" applyFont="1" applyFill="1" applyBorder="1" applyAlignment="1" applyProtection="1">
      <alignment horizontal="center"/>
      <protection hidden="1"/>
    </xf>
    <xf numFmtId="164" fontId="19" fillId="0" borderId="0" xfId="0" applyFont="1" applyAlignment="1">
      <alignment horizontal="center"/>
    </xf>
    <xf numFmtId="164" fontId="4" fillId="31" borderId="25" xfId="0" applyFont="1" applyFill="1" applyBorder="1" applyAlignment="1" applyProtection="1">
      <alignment horizontal="center"/>
      <protection hidden="1"/>
    </xf>
    <xf numFmtId="164" fontId="4" fillId="31" borderId="26" xfId="0" applyFont="1" applyFill="1" applyBorder="1" applyAlignment="1" applyProtection="1">
      <alignment horizontal="center"/>
      <protection hidden="1"/>
    </xf>
    <xf numFmtId="164" fontId="4" fillId="31" borderId="32" xfId="0" applyFont="1" applyFill="1" applyBorder="1" applyAlignment="1" applyProtection="1">
      <alignment horizontal="center"/>
      <protection hidden="1"/>
    </xf>
    <xf numFmtId="164" fontId="19" fillId="34" borderId="0" xfId="0" applyFont="1" applyFill="1"/>
    <xf numFmtId="164" fontId="4" fillId="34" borderId="38" xfId="0" applyFont="1" applyFill="1" applyBorder="1" applyProtection="1">
      <protection hidden="1"/>
    </xf>
    <xf numFmtId="164" fontId="124" fillId="34" borderId="0" xfId="0" applyFont="1" applyFill="1" applyProtection="1">
      <protection hidden="1"/>
    </xf>
    <xf numFmtId="164" fontId="4" fillId="27" borderId="0" xfId="0" applyFont="1" applyFill="1" applyProtection="1">
      <protection hidden="1"/>
    </xf>
    <xf numFmtId="164" fontId="4" fillId="34" borderId="0" xfId="0" applyFont="1" applyFill="1"/>
    <xf numFmtId="164" fontId="5" fillId="34" borderId="0" xfId="0" applyFont="1" applyFill="1" applyProtection="1">
      <protection hidden="1"/>
    </xf>
    <xf numFmtId="1" fontId="5" fillId="34" borderId="0" xfId="0" applyNumberFormat="1" applyFont="1" applyFill="1" applyAlignment="1" applyProtection="1">
      <alignment horizontal="center"/>
      <protection hidden="1"/>
    </xf>
    <xf numFmtId="164" fontId="124" fillId="34" borderId="0" xfId="0" applyFont="1" applyFill="1"/>
    <xf numFmtId="164" fontId="124" fillId="34" borderId="0" xfId="0" applyFont="1" applyFill="1" applyProtection="1">
      <protection locked="0"/>
    </xf>
    <xf numFmtId="164" fontId="124" fillId="34" borderId="0" xfId="0" applyFont="1" applyFill="1" applyAlignment="1" applyProtection="1">
      <alignment horizontal="center"/>
      <protection hidden="1"/>
    </xf>
    <xf numFmtId="164" fontId="4" fillId="18" borderId="24" xfId="0" applyFont="1" applyFill="1" applyBorder="1" applyProtection="1">
      <protection hidden="1"/>
    </xf>
    <xf numFmtId="164" fontId="4" fillId="0" borderId="78" xfId="0" applyFont="1" applyBorder="1" applyProtection="1">
      <protection hidden="1"/>
    </xf>
    <xf numFmtId="164" fontId="4" fillId="18" borderId="78" xfId="0" applyFont="1" applyFill="1" applyBorder="1" applyProtection="1">
      <protection hidden="1"/>
    </xf>
    <xf numFmtId="164" fontId="4" fillId="18" borderId="78" xfId="0" applyFont="1" applyFill="1" applyBorder="1" applyAlignment="1" applyProtection="1">
      <alignment horizontal="center"/>
      <protection hidden="1"/>
    </xf>
    <xf numFmtId="167" fontId="4" fillId="18" borderId="78" xfId="0" applyNumberFormat="1" applyFont="1" applyFill="1" applyBorder="1" applyAlignment="1" applyProtection="1">
      <alignment horizontal="center"/>
      <protection hidden="1"/>
    </xf>
    <xf numFmtId="164" fontId="4" fillId="0" borderId="78" xfId="0" applyFont="1" applyBorder="1"/>
    <xf numFmtId="164" fontId="4" fillId="0" borderId="78" xfId="0" applyFont="1" applyBorder="1" applyAlignment="1">
      <alignment horizontal="center"/>
    </xf>
    <xf numFmtId="1" fontId="4" fillId="0" borderId="78" xfId="0" applyNumberFormat="1" applyFont="1" applyBorder="1"/>
    <xf numFmtId="164" fontId="4" fillId="0" borderId="78" xfId="0" applyFont="1" applyBorder="1" applyProtection="1">
      <protection locked="0"/>
    </xf>
    <xf numFmtId="2" fontId="4" fillId="0" borderId="78" xfId="0" applyNumberFormat="1" applyFont="1" applyBorder="1"/>
    <xf numFmtId="1" fontId="4" fillId="18" borderId="0" xfId="0" applyNumberFormat="1" applyFont="1" applyFill="1"/>
    <xf numFmtId="164" fontId="5" fillId="24" borderId="38" xfId="0" applyFont="1" applyFill="1" applyBorder="1" applyProtection="1">
      <protection hidden="1"/>
    </xf>
    <xf numFmtId="164" fontId="5" fillId="24" borderId="57" xfId="0" applyFont="1" applyFill="1" applyBorder="1" applyProtection="1">
      <protection locked="0"/>
    </xf>
    <xf numFmtId="164" fontId="4" fillId="27" borderId="38" xfId="0" applyFont="1" applyFill="1" applyBorder="1" applyAlignment="1" applyProtection="1">
      <alignment horizontal="center"/>
      <protection hidden="1"/>
    </xf>
    <xf numFmtId="164" fontId="4" fillId="27" borderId="24" xfId="0" applyFont="1" applyFill="1" applyBorder="1" applyProtection="1">
      <protection hidden="1"/>
    </xf>
    <xf numFmtId="164" fontId="4" fillId="27" borderId="26" xfId="0" applyFont="1" applyFill="1" applyBorder="1" applyProtection="1">
      <protection hidden="1"/>
    </xf>
    <xf numFmtId="164" fontId="4" fillId="27" borderId="38" xfId="0" applyFont="1" applyFill="1" applyBorder="1" applyProtection="1">
      <protection hidden="1"/>
    </xf>
    <xf numFmtId="164" fontId="4" fillId="27" borderId="52" xfId="0" applyFont="1" applyFill="1" applyBorder="1" applyProtection="1">
      <protection hidden="1"/>
    </xf>
    <xf numFmtId="164" fontId="4" fillId="0" borderId="35" xfId="0" applyFont="1" applyBorder="1"/>
    <xf numFmtId="164" fontId="4" fillId="0" borderId="0" xfId="0" quotePrefix="1" applyFont="1" applyAlignment="1" applyProtection="1">
      <alignment horizontal="center"/>
      <protection hidden="1"/>
    </xf>
    <xf numFmtId="164" fontId="4" fillId="0" borderId="26" xfId="0" applyFont="1" applyBorder="1"/>
    <xf numFmtId="164" fontId="4" fillId="0" borderId="156" xfId="0" applyFont="1" applyBorder="1"/>
    <xf numFmtId="164" fontId="13" fillId="0" borderId="155" xfId="0" applyFont="1" applyBorder="1" applyAlignment="1">
      <alignment horizontal="left" vertical="center"/>
    </xf>
    <xf numFmtId="164" fontId="4" fillId="31" borderId="93" xfId="0" applyFont="1" applyFill="1" applyBorder="1" applyAlignment="1" applyProtection="1">
      <alignment horizontal="left" vertical="center"/>
      <protection locked="0"/>
    </xf>
    <xf numFmtId="164" fontId="4" fillId="0" borderId="10" xfId="0" applyFont="1" applyBorder="1" applyProtection="1">
      <protection hidden="1"/>
    </xf>
    <xf numFmtId="164" fontId="19" fillId="0" borderId="23" xfId="0" applyFont="1" applyBorder="1" applyAlignment="1" applyProtection="1">
      <alignment horizontal="center"/>
      <protection hidden="1"/>
    </xf>
    <xf numFmtId="164" fontId="19" fillId="0" borderId="15" xfId="0" applyFont="1" applyBorder="1" applyAlignment="1" applyProtection="1">
      <alignment horizontal="center"/>
      <protection hidden="1"/>
    </xf>
    <xf numFmtId="164" fontId="4" fillId="18" borderId="10" xfId="0" applyFont="1" applyFill="1" applyBorder="1" applyAlignment="1" applyProtection="1">
      <alignment horizontal="center" vertical="center" wrapText="1"/>
      <protection hidden="1"/>
    </xf>
    <xf numFmtId="164" fontId="4" fillId="18" borderId="12" xfId="0" applyFont="1" applyFill="1" applyBorder="1" applyAlignment="1" applyProtection="1">
      <alignment horizontal="center" vertical="center" wrapText="1"/>
      <protection hidden="1"/>
    </xf>
    <xf numFmtId="164" fontId="4" fillId="26" borderId="79" xfId="0" applyFont="1" applyFill="1" applyBorder="1" applyAlignment="1" applyProtection="1">
      <alignment horizontal="center"/>
      <protection hidden="1"/>
    </xf>
    <xf numFmtId="164" fontId="4" fillId="26" borderId="57" xfId="0" applyFont="1" applyFill="1" applyBorder="1" applyAlignment="1" applyProtection="1">
      <alignment horizontal="center"/>
      <protection hidden="1"/>
    </xf>
    <xf numFmtId="164" fontId="4" fillId="0" borderId="35" xfId="0" applyFont="1" applyBorder="1" applyAlignment="1" applyProtection="1">
      <alignment horizontal="center"/>
      <protection hidden="1"/>
    </xf>
    <xf numFmtId="164" fontId="4" fillId="31" borderId="17" xfId="0" applyFont="1" applyFill="1" applyBorder="1" applyAlignment="1" applyProtection="1">
      <alignment horizontal="center"/>
      <protection hidden="1"/>
    </xf>
    <xf numFmtId="164" fontId="4" fillId="18" borderId="24" xfId="0" applyFont="1" applyFill="1" applyBorder="1" applyAlignment="1" applyProtection="1">
      <alignment horizontal="center"/>
      <protection hidden="1"/>
    </xf>
    <xf numFmtId="164" fontId="4" fillId="18" borderId="26" xfId="0" applyFont="1" applyFill="1" applyBorder="1" applyAlignment="1" applyProtection="1">
      <alignment horizontal="center"/>
      <protection hidden="1"/>
    </xf>
    <xf numFmtId="164" fontId="4" fillId="18" borderId="0" xfId="0" applyFont="1" applyFill="1" applyAlignment="1" applyProtection="1">
      <alignment horizontal="center"/>
      <protection locked="0"/>
    </xf>
    <xf numFmtId="164" fontId="5" fillId="0" borderId="10" xfId="0" applyFont="1" applyBorder="1" applyAlignment="1" applyProtection="1">
      <alignment horizontal="center" wrapText="1"/>
      <protection hidden="1"/>
    </xf>
    <xf numFmtId="164" fontId="4" fillId="24" borderId="25" xfId="0" applyFont="1" applyFill="1" applyBorder="1" applyAlignment="1" applyProtection="1">
      <alignment horizontal="center"/>
      <protection hidden="1"/>
    </xf>
    <xf numFmtId="164" fontId="4" fillId="24" borderId="26" xfId="0" applyFont="1" applyFill="1" applyBorder="1" applyAlignment="1" applyProtection="1">
      <alignment horizontal="center"/>
      <protection hidden="1"/>
    </xf>
    <xf numFmtId="164" fontId="4" fillId="27" borderId="26" xfId="0" applyFont="1" applyFill="1" applyBorder="1" applyAlignment="1" applyProtection="1">
      <alignment horizontal="center"/>
      <protection hidden="1"/>
    </xf>
    <xf numFmtId="164" fontId="4" fillId="18" borderId="34" xfId="0" applyFont="1" applyFill="1" applyBorder="1" applyAlignment="1" applyProtection="1">
      <alignment horizontal="center"/>
      <protection hidden="1"/>
    </xf>
    <xf numFmtId="164" fontId="4" fillId="0" borderId="34" xfId="0" applyFont="1" applyBorder="1" applyAlignment="1" applyProtection="1">
      <alignment horizontal="center"/>
      <protection hidden="1"/>
    </xf>
    <xf numFmtId="164" fontId="4" fillId="0" borderId="24" xfId="0" applyFont="1" applyBorder="1" applyAlignment="1" applyProtection="1">
      <alignment horizontal="center"/>
      <protection hidden="1"/>
    </xf>
    <xf numFmtId="164" fontId="4" fillId="0" borderId="157" xfId="0" applyFont="1" applyBorder="1" applyAlignment="1" applyProtection="1">
      <alignment horizontal="center"/>
      <protection hidden="1"/>
    </xf>
    <xf numFmtId="164" fontId="4" fillId="32" borderId="10" xfId="0" applyFont="1" applyFill="1" applyBorder="1"/>
    <xf numFmtId="164" fontId="4" fillId="24" borderId="0" xfId="0" applyFont="1" applyFill="1" applyAlignment="1">
      <alignment horizontal="center"/>
    </xf>
    <xf numFmtId="164" fontId="137" fillId="18" borderId="51" xfId="0" applyFont="1" applyFill="1" applyBorder="1" applyProtection="1">
      <protection hidden="1"/>
    </xf>
    <xf numFmtId="164" fontId="4" fillId="0" borderId="52" xfId="0" applyFont="1" applyBorder="1" applyProtection="1">
      <protection hidden="1"/>
    </xf>
    <xf numFmtId="164" fontId="4" fillId="0" borderId="55" xfId="0" applyFont="1" applyBorder="1" applyProtection="1">
      <protection hidden="1"/>
    </xf>
    <xf numFmtId="164" fontId="4" fillId="24" borderId="26" xfId="0" applyFont="1" applyFill="1" applyBorder="1" applyProtection="1">
      <protection hidden="1"/>
    </xf>
    <xf numFmtId="164" fontId="4" fillId="24" borderId="21" xfId="0" applyFont="1" applyFill="1" applyBorder="1" applyProtection="1">
      <protection hidden="1"/>
    </xf>
    <xf numFmtId="164" fontId="4" fillId="24" borderId="32" xfId="0" applyFont="1" applyFill="1" applyBorder="1" applyProtection="1">
      <protection hidden="1"/>
    </xf>
    <xf numFmtId="164" fontId="4" fillId="32" borderId="25" xfId="0" applyFont="1" applyFill="1" applyBorder="1"/>
    <xf numFmtId="164" fontId="59" fillId="18" borderId="14" xfId="0" applyFont="1" applyFill="1" applyBorder="1" applyProtection="1">
      <protection hidden="1"/>
    </xf>
    <xf numFmtId="164" fontId="137" fillId="18" borderId="51" xfId="0" applyFont="1" applyFill="1" applyBorder="1" applyAlignment="1" applyProtection="1">
      <alignment vertical="center" wrapText="1"/>
      <protection hidden="1"/>
    </xf>
    <xf numFmtId="164" fontId="137" fillId="18" borderId="21" xfId="0" applyFont="1" applyFill="1" applyBorder="1" applyAlignment="1" applyProtection="1">
      <alignment vertical="center" wrapText="1"/>
      <protection hidden="1"/>
    </xf>
    <xf numFmtId="164" fontId="133" fillId="0" borderId="0" xfId="0" applyFont="1" applyAlignment="1" applyProtection="1">
      <alignment horizontal="center"/>
      <protection locked="0" hidden="1"/>
    </xf>
    <xf numFmtId="164" fontId="133" fillId="24" borderId="0" xfId="0" applyFont="1" applyFill="1" applyAlignment="1" applyProtection="1">
      <alignment horizontal="center"/>
      <protection locked="0" hidden="1"/>
    </xf>
    <xf numFmtId="164" fontId="4" fillId="32" borderId="56" xfId="0" applyFont="1" applyFill="1" applyBorder="1" applyAlignment="1" applyProtection="1">
      <alignment horizontal="left"/>
      <protection locked="0"/>
    </xf>
    <xf numFmtId="164" fontId="4" fillId="32" borderId="57" xfId="0" applyFont="1" applyFill="1" applyBorder="1" applyAlignment="1" applyProtection="1">
      <alignment horizontal="left"/>
      <protection locked="0" hidden="1"/>
    </xf>
    <xf numFmtId="164" fontId="133" fillId="0" borderId="35" xfId="0" applyFont="1" applyBorder="1" applyAlignment="1" applyProtection="1">
      <alignment horizontal="center"/>
      <protection locked="0" hidden="1"/>
    </xf>
    <xf numFmtId="164" fontId="133" fillId="0" borderId="78" xfId="0" applyFont="1" applyBorder="1" applyAlignment="1" applyProtection="1">
      <alignment horizontal="center"/>
      <protection locked="0" hidden="1"/>
    </xf>
    <xf numFmtId="1" fontId="80" fillId="0" borderId="0" xfId="0" applyNumberFormat="1" applyFont="1" applyAlignment="1" applyProtection="1">
      <alignment horizontal="center"/>
      <protection hidden="1"/>
    </xf>
    <xf numFmtId="164" fontId="0" fillId="0" borderId="78" xfId="0" applyBorder="1" applyAlignment="1" applyProtection="1">
      <alignment horizontal="center"/>
      <protection hidden="1"/>
    </xf>
    <xf numFmtId="1" fontId="4" fillId="24" borderId="0" xfId="0" applyNumberFormat="1" applyFont="1" applyFill="1" applyAlignment="1">
      <alignment horizontal="center"/>
    </xf>
    <xf numFmtId="1" fontId="19" fillId="0" borderId="0" xfId="0" applyNumberFormat="1" applyFont="1" applyAlignment="1">
      <alignment horizontal="center"/>
    </xf>
    <xf numFmtId="164" fontId="4" fillId="0" borderId="43" xfId="0" applyFont="1" applyBorder="1" applyProtection="1">
      <protection hidden="1"/>
    </xf>
    <xf numFmtId="164" fontId="4" fillId="0" borderId="48" xfId="0" applyFont="1" applyBorder="1" applyProtection="1">
      <protection hidden="1"/>
    </xf>
    <xf numFmtId="164" fontId="4" fillId="32" borderId="0" xfId="0" applyFont="1" applyFill="1" applyProtection="1">
      <protection locked="0"/>
    </xf>
    <xf numFmtId="164" fontId="4" fillId="32" borderId="0" xfId="0" applyFont="1" applyFill="1" applyProtection="1">
      <protection hidden="1"/>
    </xf>
    <xf numFmtId="164" fontId="4" fillId="24" borderId="21" xfId="0" applyFont="1" applyFill="1" applyBorder="1"/>
    <xf numFmtId="164" fontId="4" fillId="0" borderId="56" xfId="0" applyFont="1" applyBorder="1" applyAlignment="1" applyProtection="1">
      <alignment horizontal="left"/>
      <protection locked="0"/>
    </xf>
    <xf numFmtId="164" fontId="4" fillId="0" borderId="57" xfId="0" applyFont="1" applyBorder="1" applyAlignment="1" applyProtection="1">
      <alignment horizontal="left"/>
      <protection locked="0" hidden="1"/>
    </xf>
    <xf numFmtId="164" fontId="4" fillId="27" borderId="10" xfId="0" applyFont="1" applyFill="1" applyBorder="1" applyAlignment="1" applyProtection="1">
      <alignment horizontal="center" vertical="center"/>
      <protection hidden="1"/>
    </xf>
    <xf numFmtId="164" fontId="4" fillId="32" borderId="10" xfId="0" applyFont="1" applyFill="1" applyBorder="1" applyAlignment="1" applyProtection="1">
      <alignment horizontal="center" vertical="center"/>
      <protection hidden="1"/>
    </xf>
    <xf numFmtId="164" fontId="4" fillId="24" borderId="10" xfId="0" applyFont="1" applyFill="1" applyBorder="1" applyAlignment="1" applyProtection="1">
      <alignment horizontal="center" vertical="center"/>
      <protection hidden="1"/>
    </xf>
    <xf numFmtId="164" fontId="19" fillId="0" borderId="0" xfId="0" applyFont="1" applyAlignment="1" applyProtection="1">
      <alignment horizontal="center"/>
      <protection locked="0"/>
    </xf>
    <xf numFmtId="164" fontId="4" fillId="0" borderId="35" xfId="0" applyFont="1" applyBorder="1" applyAlignment="1" applyProtection="1">
      <alignment horizontal="center"/>
      <protection locked="0"/>
    </xf>
    <xf numFmtId="164" fontId="4" fillId="0" borderId="78" xfId="0" applyFont="1" applyBorder="1" applyAlignment="1" applyProtection="1">
      <alignment horizontal="center"/>
      <protection locked="0"/>
    </xf>
    <xf numFmtId="164" fontId="4" fillId="24" borderId="35" xfId="0" applyFont="1" applyFill="1" applyBorder="1" applyAlignment="1">
      <alignment horizontal="center" wrapText="1"/>
    </xf>
    <xf numFmtId="164" fontId="4" fillId="24" borderId="0" xfId="0" quotePrefix="1" applyFont="1" applyFill="1" applyProtection="1">
      <protection locked="0"/>
    </xf>
    <xf numFmtId="164" fontId="139" fillId="18" borderId="10" xfId="0" applyFont="1" applyFill="1" applyBorder="1" applyAlignment="1" applyProtection="1">
      <alignment vertical="center" wrapText="1"/>
      <protection hidden="1"/>
    </xf>
    <xf numFmtId="164" fontId="140" fillId="18" borderId="79" xfId="0" applyFont="1" applyFill="1" applyBorder="1" applyAlignment="1" applyProtection="1">
      <alignment horizontal="right" vertical="center"/>
      <protection locked="0"/>
    </xf>
    <xf numFmtId="164" fontId="5" fillId="0" borderId="0" xfId="0" applyFont="1" applyProtection="1">
      <protection locked="0"/>
    </xf>
    <xf numFmtId="164" fontId="4" fillId="18" borderId="0" xfId="0" applyFont="1" applyFill="1" applyProtection="1">
      <protection locked="0"/>
    </xf>
    <xf numFmtId="164" fontId="19" fillId="18" borderId="0" xfId="0" applyFont="1" applyFill="1"/>
    <xf numFmtId="164" fontId="5" fillId="24" borderId="34" xfId="0" applyFont="1" applyFill="1" applyBorder="1" applyProtection="1">
      <protection hidden="1"/>
    </xf>
    <xf numFmtId="164" fontId="5" fillId="24" borderId="35" xfId="0" applyFont="1" applyFill="1" applyBorder="1" applyProtection="1">
      <protection hidden="1"/>
    </xf>
    <xf numFmtId="164" fontId="5" fillId="24" borderId="25" xfId="0" applyFont="1" applyFill="1" applyBorder="1"/>
    <xf numFmtId="164" fontId="5" fillId="24" borderId="24" xfId="0" applyFont="1" applyFill="1" applyBorder="1" applyProtection="1">
      <protection hidden="1"/>
    </xf>
    <xf numFmtId="164" fontId="5" fillId="24" borderId="26" xfId="0" applyFont="1" applyFill="1" applyBorder="1"/>
    <xf numFmtId="164" fontId="59" fillId="18" borderId="0" xfId="0" applyFont="1" applyFill="1" applyAlignment="1" applyProtection="1">
      <alignment vertical="center"/>
      <protection hidden="1"/>
    </xf>
    <xf numFmtId="164" fontId="19" fillId="24" borderId="34" xfId="0" applyFont="1" applyFill="1" applyBorder="1" applyProtection="1">
      <protection hidden="1"/>
    </xf>
    <xf numFmtId="164" fontId="4" fillId="32" borderId="57" xfId="0" applyFont="1" applyFill="1" applyBorder="1" applyProtection="1">
      <protection hidden="1"/>
    </xf>
    <xf numFmtId="0" fontId="4" fillId="18" borderId="0" xfId="0" applyNumberFormat="1" applyFont="1" applyFill="1" applyAlignment="1" applyProtection="1">
      <alignment horizontal="justify" vertical="center" wrapText="1"/>
      <protection hidden="1"/>
    </xf>
    <xf numFmtId="164" fontId="4" fillId="18" borderId="0" xfId="0" applyFont="1" applyFill="1" applyAlignment="1" applyProtection="1">
      <alignment vertical="center" wrapText="1"/>
      <protection hidden="1"/>
    </xf>
    <xf numFmtId="0" fontId="0" fillId="20" borderId="15" xfId="0" applyNumberFormat="1" applyFill="1" applyBorder="1" applyAlignment="1" applyProtection="1">
      <alignment horizontal="center"/>
      <protection locked="0"/>
    </xf>
    <xf numFmtId="164" fontId="0" fillId="20" borderId="15" xfId="0" applyFill="1" applyBorder="1" applyAlignment="1" applyProtection="1">
      <alignment horizontal="center"/>
      <protection locked="0"/>
    </xf>
    <xf numFmtId="164" fontId="147" fillId="39" borderId="0" xfId="0" applyFont="1" applyFill="1"/>
    <xf numFmtId="164" fontId="19" fillId="18" borderId="53" xfId="0" applyFont="1" applyFill="1" applyBorder="1" applyAlignment="1">
      <alignment horizontal="center" vertical="center" wrapText="1"/>
    </xf>
    <xf numFmtId="164" fontId="19" fillId="18" borderId="0" xfId="0" applyFont="1" applyFill="1" applyAlignment="1">
      <alignment horizontal="center" vertical="center" wrapText="1"/>
    </xf>
    <xf numFmtId="164" fontId="19" fillId="18" borderId="55" xfId="0" applyFont="1" applyFill="1" applyBorder="1" applyAlignment="1">
      <alignment horizontal="center" vertical="center" wrapText="1"/>
    </xf>
    <xf numFmtId="164" fontId="4" fillId="18" borderId="17" xfId="0" applyFont="1" applyFill="1" applyBorder="1"/>
    <xf numFmtId="164" fontId="4" fillId="18" borderId="34" xfId="0" applyFont="1" applyFill="1" applyBorder="1"/>
    <xf numFmtId="164" fontId="4" fillId="18" borderId="35" xfId="0" applyFont="1" applyFill="1" applyBorder="1" applyAlignment="1">
      <alignment horizontal="center"/>
    </xf>
    <xf numFmtId="164" fontId="4" fillId="18" borderId="24" xfId="0" applyFont="1" applyFill="1" applyBorder="1" applyAlignment="1">
      <alignment horizontal="center"/>
    </xf>
    <xf numFmtId="164" fontId="4" fillId="18" borderId="24" xfId="0" applyFont="1" applyFill="1" applyBorder="1"/>
    <xf numFmtId="164" fontId="4" fillId="18" borderId="120" xfId="0" applyFont="1" applyFill="1" applyBorder="1"/>
    <xf numFmtId="164" fontId="4" fillId="18" borderId="22" xfId="0" applyFont="1" applyFill="1" applyBorder="1"/>
    <xf numFmtId="164" fontId="4" fillId="18" borderId="17" xfId="0" applyFont="1" applyFill="1" applyBorder="1" applyAlignment="1">
      <alignment horizontal="center"/>
    </xf>
    <xf numFmtId="164" fontId="4" fillId="18" borderId="121" xfId="0" applyFont="1" applyFill="1" applyBorder="1" applyAlignment="1">
      <alignment horizontal="center"/>
    </xf>
    <xf numFmtId="164" fontId="4" fillId="18" borderId="0" xfId="0" applyFont="1" applyFill="1" applyAlignment="1">
      <alignment horizontal="center"/>
    </xf>
    <xf numFmtId="164" fontId="4" fillId="18" borderId="82" xfId="0" applyFont="1" applyFill="1" applyBorder="1" applyAlignment="1">
      <alignment horizontal="center" wrapText="1"/>
    </xf>
    <xf numFmtId="164" fontId="4" fillId="18" borderId="73" xfId="0" applyFont="1" applyFill="1" applyBorder="1" applyAlignment="1">
      <alignment horizontal="center"/>
    </xf>
    <xf numFmtId="164" fontId="4" fillId="18" borderId="36" xfId="0" applyFont="1" applyFill="1" applyBorder="1" applyAlignment="1">
      <alignment horizontal="center"/>
    </xf>
    <xf numFmtId="164" fontId="4" fillId="18" borderId="61" xfId="0" applyFont="1" applyFill="1" applyBorder="1" applyAlignment="1">
      <alignment horizontal="center"/>
    </xf>
    <xf numFmtId="164" fontId="4" fillId="18" borderId="49" xfId="0" applyFont="1" applyFill="1" applyBorder="1" applyAlignment="1">
      <alignment horizontal="center"/>
    </xf>
    <xf numFmtId="164" fontId="4" fillId="18" borderId="38" xfId="0" applyFont="1" applyFill="1" applyBorder="1" applyAlignment="1">
      <alignment horizontal="center"/>
    </xf>
    <xf numFmtId="164" fontId="4" fillId="18" borderId="25" xfId="0" applyFont="1" applyFill="1" applyBorder="1" applyAlignment="1">
      <alignment horizontal="center"/>
    </xf>
    <xf numFmtId="164" fontId="4" fillId="18" borderId="34" xfId="0" applyFont="1" applyFill="1" applyBorder="1" applyAlignment="1">
      <alignment horizontal="center"/>
    </xf>
    <xf numFmtId="164" fontId="4" fillId="18" borderId="120" xfId="0" applyFont="1" applyFill="1" applyBorder="1" applyAlignment="1">
      <alignment horizontal="center"/>
    </xf>
    <xf numFmtId="164" fontId="4" fillId="18" borderId="22" xfId="0" applyFont="1" applyFill="1" applyBorder="1" applyAlignment="1">
      <alignment horizontal="center"/>
    </xf>
    <xf numFmtId="164" fontId="4" fillId="18" borderId="56" xfId="0" applyFont="1" applyFill="1" applyBorder="1" applyAlignment="1">
      <alignment horizontal="center"/>
    </xf>
    <xf numFmtId="164" fontId="4" fillId="18" borderId="26" xfId="0" applyFont="1" applyFill="1" applyBorder="1" applyAlignment="1">
      <alignment horizontal="center"/>
    </xf>
    <xf numFmtId="164" fontId="4" fillId="18" borderId="21" xfId="0" applyFont="1" applyFill="1" applyBorder="1" applyAlignment="1">
      <alignment horizontal="center"/>
    </xf>
    <xf numFmtId="164" fontId="4" fillId="18" borderId="36" xfId="0" applyFont="1" applyFill="1" applyBorder="1"/>
    <xf numFmtId="164" fontId="4" fillId="18" borderId="57" xfId="0" applyFont="1" applyFill="1" applyBorder="1" applyAlignment="1">
      <alignment horizontal="center"/>
    </xf>
    <xf numFmtId="164" fontId="4" fillId="18" borderId="32" xfId="0" applyFont="1" applyFill="1" applyBorder="1" applyAlignment="1">
      <alignment horizontal="center"/>
    </xf>
    <xf numFmtId="164" fontId="4" fillId="18" borderId="0" xfId="0" applyFont="1" applyFill="1" applyAlignment="1">
      <alignment horizontal="left"/>
    </xf>
    <xf numFmtId="164" fontId="5" fillId="18" borderId="80" xfId="0" applyFont="1" applyFill="1" applyBorder="1" applyAlignment="1">
      <alignment horizontal="center"/>
    </xf>
    <xf numFmtId="164" fontId="5" fillId="18" borderId="79" xfId="0" applyFont="1" applyFill="1" applyBorder="1" applyAlignment="1">
      <alignment horizontal="center"/>
    </xf>
    <xf numFmtId="164" fontId="4" fillId="18" borderId="68" xfId="0" applyFont="1" applyFill="1" applyBorder="1"/>
    <xf numFmtId="164" fontId="4" fillId="18" borderId="73" xfId="0" applyFont="1" applyFill="1" applyBorder="1" applyAlignment="1">
      <alignment horizontal="center" wrapText="1"/>
    </xf>
    <xf numFmtId="164" fontId="4" fillId="18" borderId="82" xfId="0" applyFont="1" applyFill="1" applyBorder="1" applyAlignment="1">
      <alignment wrapText="1"/>
    </xf>
    <xf numFmtId="164" fontId="4" fillId="18" borderId="73" xfId="0" applyFont="1" applyFill="1" applyBorder="1" applyAlignment="1">
      <alignment wrapText="1"/>
    </xf>
    <xf numFmtId="164" fontId="4" fillId="18" borderId="74" xfId="0" applyFont="1" applyFill="1" applyBorder="1" applyAlignment="1">
      <alignment horizontal="center"/>
    </xf>
    <xf numFmtId="164" fontId="4" fillId="18" borderId="92" xfId="0" applyFont="1" applyFill="1" applyBorder="1" applyAlignment="1">
      <alignment horizontal="center"/>
    </xf>
    <xf numFmtId="164" fontId="4" fillId="18" borderId="122" xfId="0" applyFont="1" applyFill="1" applyBorder="1" applyAlignment="1">
      <alignment horizontal="center"/>
    </xf>
    <xf numFmtId="164" fontId="4" fillId="18" borderId="47" xfId="0" applyFont="1" applyFill="1" applyBorder="1" applyAlignment="1">
      <alignment horizontal="center"/>
    </xf>
    <xf numFmtId="164" fontId="4" fillId="18" borderId="48" xfId="0" applyFont="1" applyFill="1" applyBorder="1" applyAlignment="1">
      <alignment horizontal="center"/>
    </xf>
    <xf numFmtId="164" fontId="4" fillId="18" borderId="106" xfId="0" applyFont="1" applyFill="1" applyBorder="1" applyAlignment="1">
      <alignment horizontal="center"/>
    </xf>
    <xf numFmtId="164" fontId="4" fillId="18" borderId="44" xfId="0" applyFont="1" applyFill="1" applyBorder="1" applyAlignment="1">
      <alignment horizontal="center"/>
    </xf>
    <xf numFmtId="164" fontId="4" fillId="18" borderId="26" xfId="0" applyFont="1" applyFill="1" applyBorder="1"/>
    <xf numFmtId="164" fontId="4" fillId="18" borderId="32" xfId="0" applyFont="1" applyFill="1" applyBorder="1"/>
    <xf numFmtId="164" fontId="4" fillId="18" borderId="21" xfId="0" applyFont="1" applyFill="1" applyBorder="1"/>
    <xf numFmtId="164" fontId="4" fillId="18" borderId="18" xfId="0" applyFont="1" applyFill="1" applyBorder="1" applyAlignment="1">
      <alignment horizontal="center"/>
    </xf>
    <xf numFmtId="164" fontId="4" fillId="18" borderId="51" xfId="0" applyFont="1" applyFill="1" applyBorder="1" applyAlignment="1">
      <alignment horizontal="center"/>
    </xf>
    <xf numFmtId="164" fontId="4" fillId="18" borderId="53" xfId="0" applyFont="1" applyFill="1" applyBorder="1" applyAlignment="1">
      <alignment horizontal="center"/>
    </xf>
    <xf numFmtId="164" fontId="4" fillId="18" borderId="23" xfId="0" applyFont="1" applyFill="1" applyBorder="1" applyAlignment="1">
      <alignment horizontal="center"/>
    </xf>
    <xf numFmtId="164" fontId="4" fillId="18" borderId="54" xfId="0" applyFont="1" applyFill="1" applyBorder="1" applyAlignment="1">
      <alignment horizontal="center"/>
    </xf>
    <xf numFmtId="164" fontId="4" fillId="18" borderId="55" xfId="0" applyFont="1" applyFill="1" applyBorder="1" applyAlignment="1">
      <alignment horizontal="center"/>
    </xf>
    <xf numFmtId="164" fontId="4" fillId="18" borderId="52" xfId="0" applyFont="1" applyFill="1" applyBorder="1" applyAlignment="1">
      <alignment horizontal="center"/>
    </xf>
    <xf numFmtId="164" fontId="5" fillId="18" borderId="0" xfId="0" applyFont="1" applyFill="1" applyAlignment="1">
      <alignment horizontal="center"/>
    </xf>
    <xf numFmtId="164" fontId="4" fillId="18" borderId="51" xfId="0" applyFont="1" applyFill="1" applyBorder="1"/>
    <xf numFmtId="164" fontId="4" fillId="18" borderId="59" xfId="0" applyFont="1" applyFill="1" applyBorder="1" applyAlignment="1">
      <alignment horizontal="center"/>
    </xf>
    <xf numFmtId="164" fontId="4" fillId="18" borderId="68" xfId="0" applyFont="1" applyFill="1" applyBorder="1" applyAlignment="1">
      <alignment horizontal="center"/>
    </xf>
    <xf numFmtId="164" fontId="4" fillId="18" borderId="80" xfId="0" applyFont="1" applyFill="1" applyBorder="1" applyAlignment="1">
      <alignment horizontal="left" vertical="center"/>
    </xf>
    <xf numFmtId="164" fontId="4" fillId="18" borderId="91" xfId="0" applyFont="1" applyFill="1" applyBorder="1" applyAlignment="1">
      <alignment horizontal="center" vertical="center"/>
    </xf>
    <xf numFmtId="164" fontId="4" fillId="18" borderId="90" xfId="0" applyFont="1" applyFill="1" applyBorder="1" applyAlignment="1">
      <alignment horizontal="center" vertical="center"/>
    </xf>
    <xf numFmtId="164" fontId="4" fillId="18" borderId="54" xfId="0" applyFont="1" applyFill="1" applyBorder="1"/>
    <xf numFmtId="164" fontId="4" fillId="18" borderId="15" xfId="0" applyFont="1" applyFill="1" applyBorder="1" applyAlignment="1">
      <alignment horizontal="center"/>
    </xf>
    <xf numFmtId="164" fontId="4" fillId="18" borderId="0" xfId="0" applyFont="1" applyFill="1" applyAlignment="1">
      <alignment horizontal="left" vertical="center"/>
    </xf>
    <xf numFmtId="164" fontId="4" fillId="18" borderId="0" xfId="0" applyFont="1" applyFill="1" applyAlignment="1">
      <alignment horizontal="center" vertical="center"/>
    </xf>
    <xf numFmtId="164" fontId="4" fillId="18" borderId="71" xfId="0" applyFont="1" applyFill="1" applyBorder="1" applyAlignment="1">
      <alignment horizontal="center"/>
    </xf>
    <xf numFmtId="164" fontId="4" fillId="18" borderId="0" xfId="0" applyFont="1" applyFill="1" applyAlignment="1">
      <alignment horizontal="right"/>
    </xf>
    <xf numFmtId="164" fontId="4" fillId="18" borderId="10" xfId="0" applyFont="1" applyFill="1" applyBorder="1" applyAlignment="1">
      <alignment horizontal="center"/>
    </xf>
    <xf numFmtId="164" fontId="5" fillId="18" borderId="10" xfId="0" applyFont="1" applyFill="1" applyBorder="1" applyAlignment="1">
      <alignment horizontal="center" vertical="center"/>
    </xf>
    <xf numFmtId="164" fontId="4" fillId="18" borderId="0" xfId="0" quotePrefix="1" applyFont="1" applyFill="1" applyAlignment="1">
      <alignment horizontal="center"/>
    </xf>
    <xf numFmtId="164" fontId="4" fillId="18" borderId="15" xfId="0" applyFont="1" applyFill="1" applyBorder="1" applyAlignment="1">
      <alignment horizontal="center" vertical="center"/>
    </xf>
    <xf numFmtId="164" fontId="4" fillId="18" borderId="43" xfId="0" applyFont="1" applyFill="1" applyBorder="1" applyAlignment="1">
      <alignment horizontal="center"/>
    </xf>
    <xf numFmtId="164" fontId="4" fillId="18" borderId="71" xfId="0" applyFont="1" applyFill="1" applyBorder="1" applyAlignment="1">
      <alignment vertical="center" wrapText="1"/>
    </xf>
    <xf numFmtId="164" fontId="5" fillId="18" borderId="10" xfId="0" applyFont="1" applyFill="1" applyBorder="1" applyAlignment="1">
      <alignment horizontal="center"/>
    </xf>
    <xf numFmtId="164" fontId="5" fillId="0" borderId="79" xfId="0" applyFont="1" applyBorder="1" applyAlignment="1">
      <alignment horizontal="center"/>
    </xf>
    <xf numFmtId="164" fontId="4" fillId="18" borderId="71" xfId="0" applyFont="1" applyFill="1" applyBorder="1" applyAlignment="1">
      <alignment horizontal="center" wrapText="1"/>
    </xf>
    <xf numFmtId="164" fontId="4" fillId="18" borderId="55" xfId="0" applyFont="1" applyFill="1" applyBorder="1" applyAlignment="1">
      <alignment horizontal="center" wrapText="1"/>
    </xf>
    <xf numFmtId="164" fontId="4" fillId="18" borderId="80" xfId="0" applyFont="1" applyFill="1" applyBorder="1" applyAlignment="1">
      <alignment horizontal="center"/>
    </xf>
    <xf numFmtId="164" fontId="4" fillId="18" borderId="79" xfId="0" applyFont="1" applyFill="1" applyBorder="1" applyAlignment="1">
      <alignment horizontal="center"/>
    </xf>
    <xf numFmtId="164" fontId="4" fillId="0" borderId="41" xfId="0" applyFont="1" applyBorder="1"/>
    <xf numFmtId="164" fontId="4" fillId="18" borderId="19" xfId="0" applyFont="1" applyFill="1" applyBorder="1" applyAlignment="1">
      <alignment horizontal="center"/>
    </xf>
    <xf numFmtId="164" fontId="4" fillId="0" borderId="32" xfId="0" applyFont="1" applyBorder="1"/>
    <xf numFmtId="164" fontId="0" fillId="19" borderId="52" xfId="0" applyFill="1" applyBorder="1" applyAlignment="1" applyProtection="1">
      <alignment horizontal="left"/>
      <protection hidden="1"/>
    </xf>
    <xf numFmtId="164" fontId="7" fillId="19" borderId="71" xfId="0" applyFont="1" applyFill="1" applyBorder="1" applyAlignment="1" applyProtection="1">
      <alignment horizontal="left" vertical="center"/>
      <protection hidden="1"/>
    </xf>
    <xf numFmtId="164" fontId="0" fillId="19" borderId="55" xfId="0" applyFill="1" applyBorder="1" applyAlignment="1" applyProtection="1">
      <alignment horizontal="left" vertical="center"/>
      <protection hidden="1"/>
    </xf>
    <xf numFmtId="164" fontId="11" fillId="19" borderId="23" xfId="0" applyFont="1" applyFill="1" applyBorder="1" applyProtection="1">
      <protection hidden="1"/>
    </xf>
    <xf numFmtId="164" fontId="11" fillId="19" borderId="72" xfId="0" applyFont="1" applyFill="1" applyBorder="1" applyProtection="1">
      <protection hidden="1"/>
    </xf>
    <xf numFmtId="164" fontId="7" fillId="19" borderId="122" xfId="0" applyFont="1" applyFill="1" applyBorder="1" applyAlignment="1" applyProtection="1">
      <alignment horizontal="left"/>
      <protection hidden="1"/>
    </xf>
    <xf numFmtId="164" fontId="7" fillId="19" borderId="18" xfId="0" applyFont="1" applyFill="1" applyBorder="1" applyProtection="1">
      <protection hidden="1"/>
    </xf>
    <xf numFmtId="164" fontId="7" fillId="19" borderId="41" xfId="0" applyFont="1" applyFill="1" applyBorder="1" applyProtection="1">
      <protection hidden="1"/>
    </xf>
    <xf numFmtId="164" fontId="13" fillId="18" borderId="24" xfId="0" applyFont="1" applyFill="1" applyBorder="1" applyAlignment="1" applyProtection="1">
      <alignment horizontal="center" vertical="center"/>
      <protection hidden="1"/>
    </xf>
    <xf numFmtId="164" fontId="32" fillId="18" borderId="91" xfId="0" applyFont="1" applyFill="1" applyBorder="1" applyAlignment="1" applyProtection="1">
      <alignment vertical="center" wrapText="1"/>
      <protection hidden="1"/>
    </xf>
    <xf numFmtId="2" fontId="4" fillId="18" borderId="107" xfId="0" applyNumberFormat="1" applyFont="1" applyFill="1" applyBorder="1" applyAlignment="1" applyProtection="1">
      <alignment horizontal="center" vertical="center"/>
      <protection hidden="1"/>
    </xf>
    <xf numFmtId="1" fontId="4" fillId="18" borderId="108" xfId="0" applyNumberFormat="1" applyFont="1" applyFill="1" applyBorder="1" applyAlignment="1" applyProtection="1">
      <alignment horizontal="center"/>
      <protection hidden="1"/>
    </xf>
    <xf numFmtId="164" fontId="4" fillId="18" borderId="109" xfId="0" applyFont="1" applyFill="1" applyBorder="1" applyAlignment="1" applyProtection="1">
      <alignment horizontal="center" vertical="center" wrapText="1"/>
      <protection hidden="1"/>
    </xf>
    <xf numFmtId="2" fontId="4" fillId="18" borderId="110" xfId="0" applyNumberFormat="1" applyFont="1" applyFill="1" applyBorder="1" applyAlignment="1" applyProtection="1">
      <alignment horizontal="center" vertical="center"/>
      <protection hidden="1"/>
    </xf>
    <xf numFmtId="1" fontId="4" fillId="18" borderId="111" xfId="0" applyNumberFormat="1" applyFont="1" applyFill="1" applyBorder="1" applyAlignment="1" applyProtection="1">
      <alignment horizontal="center"/>
      <protection hidden="1"/>
    </xf>
    <xf numFmtId="2" fontId="4" fillId="18" borderId="118" xfId="0" applyNumberFormat="1" applyFont="1" applyFill="1" applyBorder="1" applyAlignment="1" applyProtection="1">
      <alignment horizontal="center" vertical="center"/>
      <protection hidden="1"/>
    </xf>
    <xf numFmtId="1" fontId="4" fillId="18" borderId="119" xfId="0" applyNumberFormat="1" applyFont="1" applyFill="1" applyBorder="1" applyAlignment="1" applyProtection="1">
      <alignment horizontal="center"/>
      <protection hidden="1"/>
    </xf>
    <xf numFmtId="2" fontId="4" fillId="18" borderId="116" xfId="0" applyNumberFormat="1" applyFont="1" applyFill="1" applyBorder="1" applyAlignment="1" applyProtection="1">
      <alignment horizontal="center" vertical="center"/>
      <protection hidden="1"/>
    </xf>
    <xf numFmtId="1" fontId="4" fillId="18" borderId="117" xfId="0" applyNumberFormat="1" applyFont="1" applyFill="1" applyBorder="1" applyAlignment="1" applyProtection="1">
      <alignment horizontal="center"/>
      <protection hidden="1"/>
    </xf>
    <xf numFmtId="164" fontId="4" fillId="18" borderId="130" xfId="0" applyFont="1" applyFill="1" applyBorder="1" applyAlignment="1" applyProtection="1">
      <alignment horizontal="center" vertical="center" wrapText="1"/>
      <protection hidden="1"/>
    </xf>
    <xf numFmtId="164" fontId="4" fillId="18" borderId="123" xfId="0" applyFont="1" applyFill="1" applyBorder="1" applyProtection="1">
      <protection hidden="1"/>
    </xf>
    <xf numFmtId="164" fontId="32" fillId="18" borderId="91" xfId="0" applyFont="1" applyFill="1" applyBorder="1" applyAlignment="1" applyProtection="1">
      <alignment horizontal="left" vertical="center" wrapText="1"/>
      <protection hidden="1"/>
    </xf>
    <xf numFmtId="1" fontId="32" fillId="18" borderId="91" xfId="0" applyNumberFormat="1" applyFont="1" applyFill="1" applyBorder="1" applyAlignment="1" applyProtection="1">
      <alignment vertical="center" wrapText="1"/>
      <protection hidden="1"/>
    </xf>
    <xf numFmtId="164" fontId="32" fillId="18" borderId="91" xfId="0" applyFont="1" applyFill="1" applyBorder="1" applyAlignment="1" applyProtection="1">
      <alignment vertical="center"/>
      <protection hidden="1"/>
    </xf>
    <xf numFmtId="164" fontId="32" fillId="18" borderId="91" xfId="0" applyFont="1" applyFill="1" applyBorder="1" applyAlignment="1" applyProtection="1">
      <alignment horizontal="left" vertical="center"/>
      <protection hidden="1"/>
    </xf>
    <xf numFmtId="2" fontId="4" fillId="18" borderId="113" xfId="0" applyNumberFormat="1" applyFont="1" applyFill="1" applyBorder="1" applyAlignment="1" applyProtection="1">
      <alignment horizontal="center" vertical="center"/>
      <protection hidden="1"/>
    </xf>
    <xf numFmtId="1" fontId="4" fillId="18" borderId="142" xfId="0" applyNumberFormat="1" applyFont="1" applyFill="1" applyBorder="1" applyAlignment="1" applyProtection="1">
      <alignment horizontal="center"/>
      <protection hidden="1"/>
    </xf>
    <xf numFmtId="164" fontId="4" fillId="18" borderId="114" xfId="0" applyFont="1" applyFill="1" applyBorder="1" applyAlignment="1" applyProtection="1">
      <alignment horizontal="center" vertical="center" wrapText="1"/>
      <protection hidden="1"/>
    </xf>
    <xf numFmtId="2" fontId="4" fillId="18" borderId="108" xfId="0" applyNumberFormat="1" applyFont="1" applyFill="1" applyBorder="1" applyAlignment="1" applyProtection="1">
      <alignment horizontal="center"/>
      <protection hidden="1"/>
    </xf>
    <xf numFmtId="2" fontId="4" fillId="18" borderId="111" xfId="0" applyNumberFormat="1" applyFont="1" applyFill="1" applyBorder="1" applyAlignment="1" applyProtection="1">
      <alignment horizontal="center"/>
      <protection hidden="1"/>
    </xf>
    <xf numFmtId="2" fontId="4" fillId="18" borderId="119" xfId="0" applyNumberFormat="1" applyFont="1" applyFill="1" applyBorder="1" applyAlignment="1" applyProtection="1">
      <alignment horizontal="center"/>
      <protection hidden="1"/>
    </xf>
    <xf numFmtId="2" fontId="4" fillId="18" borderId="117" xfId="0" applyNumberFormat="1" applyFont="1" applyFill="1" applyBorder="1" applyAlignment="1" applyProtection="1">
      <alignment horizontal="center"/>
      <protection hidden="1"/>
    </xf>
    <xf numFmtId="2" fontId="4" fillId="18" borderId="142" xfId="0" applyNumberFormat="1" applyFont="1" applyFill="1" applyBorder="1" applyAlignment="1" applyProtection="1">
      <alignment horizontal="center"/>
      <protection hidden="1"/>
    </xf>
    <xf numFmtId="164" fontId="5" fillId="39" borderId="0" xfId="0" applyFont="1" applyFill="1" applyAlignment="1" applyProtection="1">
      <alignment vertical="center" wrapText="1"/>
      <protection hidden="1"/>
    </xf>
    <xf numFmtId="164" fontId="0" fillId="39" borderId="0" xfId="0" applyFill="1" applyProtection="1">
      <protection hidden="1"/>
    </xf>
    <xf numFmtId="1" fontId="4" fillId="39" borderId="0" xfId="0" applyNumberFormat="1" applyFont="1" applyFill="1" applyAlignment="1" applyProtection="1">
      <alignment horizontal="center" vertical="center" wrapText="1"/>
      <protection hidden="1"/>
    </xf>
    <xf numFmtId="0" fontId="4" fillId="39" borderId="0" xfId="0" applyNumberFormat="1" applyFont="1" applyFill="1"/>
    <xf numFmtId="0" fontId="4" fillId="39" borderId="0" xfId="0" applyNumberFormat="1" applyFont="1" applyFill="1" applyAlignment="1">
      <alignment horizontal="center"/>
    </xf>
    <xf numFmtId="164" fontId="5" fillId="39" borderId="0" xfId="0" applyFont="1" applyFill="1" applyAlignment="1" applyProtection="1">
      <alignment horizontal="center" vertical="center" wrapText="1"/>
      <protection hidden="1"/>
    </xf>
    <xf numFmtId="2" fontId="0" fillId="39" borderId="0" xfId="0" applyNumberFormat="1" applyFill="1" applyAlignment="1">
      <alignment horizontal="center"/>
    </xf>
    <xf numFmtId="164" fontId="123" fillId="39" borderId="0" xfId="0" quotePrefix="1" applyFont="1" applyFill="1" applyAlignment="1" applyProtection="1">
      <alignment wrapText="1"/>
      <protection hidden="1"/>
    </xf>
    <xf numFmtId="164" fontId="59" fillId="39" borderId="0" xfId="0" applyFont="1" applyFill="1" applyAlignment="1" applyProtection="1">
      <alignment vertical="center" wrapText="1"/>
      <protection hidden="1"/>
    </xf>
    <xf numFmtId="164" fontId="11" fillId="39" borderId="0" xfId="0" applyFont="1" applyFill="1" applyProtection="1">
      <protection hidden="1"/>
    </xf>
    <xf numFmtId="164" fontId="61" fillId="39" borderId="0" xfId="0" applyFont="1" applyFill="1" applyAlignment="1" applyProtection="1">
      <alignment vertical="center" wrapText="1"/>
      <protection hidden="1"/>
    </xf>
    <xf numFmtId="164" fontId="60" fillId="39" borderId="0" xfId="0" applyFont="1" applyFill="1" applyAlignment="1" applyProtection="1">
      <alignment vertical="center"/>
      <protection hidden="1"/>
    </xf>
    <xf numFmtId="164" fontId="13" fillId="39" borderId="0" xfId="0" applyFont="1" applyFill="1" applyAlignment="1" applyProtection="1">
      <alignment vertical="center"/>
      <protection hidden="1"/>
    </xf>
    <xf numFmtId="164" fontId="7" fillId="39" borderId="0" xfId="0" applyFont="1" applyFill="1" applyAlignment="1" applyProtection="1">
      <alignment vertical="center" wrapText="1"/>
      <protection hidden="1"/>
    </xf>
    <xf numFmtId="164" fontId="4" fillId="39" borderId="0" xfId="0" applyFont="1" applyFill="1" applyAlignment="1" applyProtection="1">
      <alignment vertical="center" wrapText="1"/>
      <protection hidden="1"/>
    </xf>
    <xf numFmtId="1" fontId="4" fillId="39" borderId="0" xfId="0" applyNumberFormat="1" applyFont="1" applyFill="1" applyAlignment="1" applyProtection="1">
      <alignment vertical="center" wrapText="1"/>
      <protection hidden="1"/>
    </xf>
    <xf numFmtId="164" fontId="5" fillId="39" borderId="0" xfId="0" applyFont="1" applyFill="1" applyAlignment="1">
      <alignment horizontal="center"/>
    </xf>
    <xf numFmtId="0" fontId="5" fillId="39" borderId="0" xfId="0" applyNumberFormat="1" applyFont="1" applyFill="1" applyAlignment="1">
      <alignment horizontal="center"/>
    </xf>
    <xf numFmtId="2" fontId="5" fillId="39" borderId="0" xfId="0" applyNumberFormat="1" applyFont="1" applyFill="1" applyAlignment="1">
      <alignment horizontal="center"/>
    </xf>
    <xf numFmtId="164" fontId="4" fillId="18" borderId="22" xfId="0" applyFont="1" applyFill="1" applyBorder="1" applyAlignment="1" applyProtection="1">
      <alignment horizontal="center" vertical="center" wrapText="1"/>
      <protection hidden="1"/>
    </xf>
    <xf numFmtId="164" fontId="4" fillId="18" borderId="17" xfId="0" applyFont="1" applyFill="1" applyBorder="1" applyAlignment="1" applyProtection="1">
      <alignment horizontal="center" vertical="center" wrapText="1"/>
      <protection hidden="1"/>
    </xf>
    <xf numFmtId="164" fontId="32" fillId="18" borderId="0" xfId="0" applyFont="1" applyFill="1" applyAlignment="1" applyProtection="1">
      <alignment horizontal="left" vertical="center" wrapText="1"/>
      <protection hidden="1"/>
    </xf>
    <xf numFmtId="164" fontId="4" fillId="0" borderId="181" xfId="0" applyFont="1" applyBorder="1" applyAlignment="1" applyProtection="1">
      <alignment horizontal="center" vertical="center" wrapText="1"/>
      <protection hidden="1"/>
    </xf>
    <xf numFmtId="1" fontId="0" fillId="0" borderId="111" xfId="0" applyNumberFormat="1" applyBorder="1" applyAlignment="1" applyProtection="1">
      <alignment horizontal="center" vertical="center"/>
      <protection hidden="1"/>
    </xf>
    <xf numFmtId="1" fontId="0" fillId="0" borderId="142" xfId="0" applyNumberFormat="1" applyBorder="1" applyAlignment="1" applyProtection="1">
      <alignment horizontal="center" vertical="center"/>
      <protection hidden="1"/>
    </xf>
    <xf numFmtId="2" fontId="0" fillId="0" borderId="183" xfId="0" applyNumberFormat="1" applyBorder="1" applyAlignment="1" applyProtection="1">
      <alignment horizontal="center" vertical="center"/>
      <protection hidden="1"/>
    </xf>
    <xf numFmtId="2" fontId="0" fillId="0" borderId="187" xfId="0" applyNumberFormat="1" applyBorder="1" applyAlignment="1" applyProtection="1">
      <alignment horizontal="center" vertical="center"/>
      <protection hidden="1"/>
    </xf>
    <xf numFmtId="2" fontId="0" fillId="0" borderId="193" xfId="0" applyNumberFormat="1" applyBorder="1" applyAlignment="1" applyProtection="1">
      <alignment horizontal="center" vertical="center"/>
      <protection hidden="1"/>
    </xf>
    <xf numFmtId="2" fontId="0" fillId="18" borderId="187" xfId="0" applyNumberFormat="1" applyFill="1" applyBorder="1" applyAlignment="1" applyProtection="1">
      <alignment horizontal="center" vertical="center"/>
      <protection hidden="1"/>
    </xf>
    <xf numFmtId="2" fontId="0" fillId="18" borderId="193" xfId="0" applyNumberFormat="1" applyFill="1" applyBorder="1" applyAlignment="1" applyProtection="1">
      <alignment horizontal="center" vertical="center"/>
      <protection hidden="1"/>
    </xf>
    <xf numFmtId="164" fontId="4" fillId="31" borderId="94" xfId="0" applyFont="1" applyFill="1" applyBorder="1" applyAlignment="1" applyProtection="1">
      <alignment horizontal="left" vertical="center"/>
      <protection locked="0"/>
    </xf>
    <xf numFmtId="164" fontId="13" fillId="31" borderId="34" xfId="0" applyFont="1" applyFill="1" applyBorder="1" applyAlignment="1" applyProtection="1">
      <alignment horizontal="left" vertical="center"/>
      <protection hidden="1"/>
    </xf>
    <xf numFmtId="1" fontId="4" fillId="32" borderId="120" xfId="0" applyNumberFormat="1" applyFont="1" applyFill="1" applyBorder="1" applyAlignment="1" applyProtection="1">
      <alignment horizontal="center"/>
      <protection hidden="1"/>
    </xf>
    <xf numFmtId="164" fontId="4" fillId="0" borderId="21" xfId="0" applyFont="1" applyBorder="1" applyProtection="1">
      <protection hidden="1"/>
    </xf>
    <xf numFmtId="1" fontId="4" fillId="0" borderId="32" xfId="0" applyNumberFormat="1" applyFont="1" applyBorder="1" applyAlignment="1" applyProtection="1">
      <alignment horizontal="center"/>
      <protection hidden="1"/>
    </xf>
    <xf numFmtId="164" fontId="7" fillId="41" borderId="59" xfId="0" applyFont="1" applyFill="1" applyBorder="1" applyAlignment="1" applyProtection="1">
      <alignment horizontal="left"/>
      <protection locked="0"/>
    </xf>
    <xf numFmtId="164" fontId="7" fillId="41" borderId="17" xfId="0" applyFont="1" applyFill="1" applyBorder="1" applyAlignment="1" applyProtection="1">
      <alignment horizontal="left"/>
      <protection locked="0"/>
    </xf>
    <xf numFmtId="164" fontId="4" fillId="41" borderId="90" xfId="0" applyFont="1" applyFill="1" applyBorder="1" applyAlignment="1" applyProtection="1">
      <alignment horizontal="center" vertical="center"/>
      <protection locked="0"/>
    </xf>
    <xf numFmtId="164" fontId="0" fillId="39" borderId="0" xfId="0" applyFill="1"/>
    <xf numFmtId="0" fontId="4" fillId="18" borderId="26" xfId="0" applyNumberFormat="1" applyFont="1" applyFill="1" applyBorder="1" applyAlignment="1" applyProtection="1">
      <alignment wrapText="1"/>
      <protection hidden="1"/>
    </xf>
    <xf numFmtId="0" fontId="4" fillId="18" borderId="0" xfId="0" applyNumberFormat="1" applyFont="1" applyFill="1" applyAlignment="1" applyProtection="1">
      <alignment wrapText="1"/>
      <protection hidden="1"/>
    </xf>
    <xf numFmtId="0" fontId="4" fillId="18" borderId="21" xfId="0" applyNumberFormat="1" applyFont="1" applyFill="1" applyBorder="1" applyAlignment="1" applyProtection="1">
      <alignment wrapText="1"/>
      <protection hidden="1"/>
    </xf>
    <xf numFmtId="0" fontId="4" fillId="18" borderId="32" xfId="0" applyNumberFormat="1" applyFont="1" applyFill="1" applyBorder="1" applyAlignment="1" applyProtection="1">
      <alignment wrapText="1"/>
      <protection hidden="1"/>
    </xf>
    <xf numFmtId="164" fontId="39" fillId="18" borderId="24" xfId="0" applyFont="1" applyFill="1" applyBorder="1" applyAlignment="1" applyProtection="1">
      <alignment vertical="center"/>
      <protection hidden="1"/>
    </xf>
    <xf numFmtId="164" fontId="39" fillId="18" borderId="0" xfId="0" applyFont="1" applyFill="1" applyAlignment="1" applyProtection="1">
      <alignment vertical="center"/>
      <protection hidden="1"/>
    </xf>
    <xf numFmtId="0" fontId="0" fillId="39" borderId="0" xfId="0" applyNumberFormat="1" applyFill="1" applyAlignment="1" applyProtection="1">
      <alignment wrapText="1"/>
      <protection hidden="1"/>
    </xf>
    <xf numFmtId="164" fontId="67" fillId="39" borderId="0" xfId="0" applyFont="1" applyFill="1" applyAlignment="1" applyProtection="1">
      <alignment horizontal="left" vertical="center"/>
      <protection hidden="1"/>
    </xf>
    <xf numFmtId="164" fontId="0" fillId="39" borderId="0" xfId="0" applyFill="1" applyProtection="1">
      <protection locked="0"/>
    </xf>
    <xf numFmtId="164" fontId="59" fillId="39" borderId="0" xfId="0" applyFont="1" applyFill="1" applyAlignment="1" applyProtection="1">
      <alignment vertical="center"/>
      <protection hidden="1"/>
    </xf>
    <xf numFmtId="164" fontId="143" fillId="18" borderId="12" xfId="0" quotePrefix="1" applyFont="1" applyFill="1" applyBorder="1" applyAlignment="1" applyProtection="1">
      <alignment wrapText="1"/>
      <protection hidden="1"/>
    </xf>
    <xf numFmtId="164" fontId="69" fillId="0" borderId="0" xfId="0" applyFont="1" applyProtection="1">
      <protection locked="0"/>
    </xf>
    <xf numFmtId="164" fontId="4" fillId="0" borderId="0" xfId="0" applyFont="1" applyAlignment="1" applyProtection="1">
      <alignment horizontal="left" indent="1"/>
      <protection locked="0"/>
    </xf>
    <xf numFmtId="0" fontId="154" fillId="18" borderId="80" xfId="123" applyFont="1" applyFill="1" applyBorder="1" applyAlignment="1">
      <alignment horizontal="center" vertical="center" wrapText="1"/>
    </xf>
    <xf numFmtId="0" fontId="154" fillId="18" borderId="91" xfId="123" applyFont="1" applyFill="1" applyBorder="1" applyAlignment="1">
      <alignment horizontal="center" vertical="center" wrapText="1"/>
    </xf>
    <xf numFmtId="0" fontId="154" fillId="18" borderId="90" xfId="123" applyFont="1" applyFill="1" applyBorder="1" applyAlignment="1">
      <alignment horizontal="center" vertical="center" wrapText="1"/>
    </xf>
    <xf numFmtId="164" fontId="4" fillId="0" borderId="91" xfId="0" applyFont="1" applyBorder="1" applyAlignment="1" applyProtection="1">
      <alignment horizontal="center"/>
      <protection hidden="1"/>
    </xf>
    <xf numFmtId="164" fontId="4" fillId="0" borderId="90" xfId="0" applyFont="1" applyBorder="1" applyAlignment="1" applyProtection="1">
      <alignment horizontal="center"/>
      <protection hidden="1"/>
    </xf>
    <xf numFmtId="2" fontId="0" fillId="0" borderId="195" xfId="0" applyNumberFormat="1" applyBorder="1" applyAlignment="1" applyProtection="1">
      <alignment horizontal="center" vertical="center"/>
      <protection hidden="1"/>
    </xf>
    <xf numFmtId="164" fontId="13" fillId="31" borderId="36" xfId="0" applyFont="1" applyFill="1" applyBorder="1" applyAlignment="1" applyProtection="1">
      <alignment horizontal="left" vertical="center"/>
      <protection hidden="1"/>
    </xf>
    <xf numFmtId="164" fontId="4" fillId="46" borderId="24" xfId="0" applyFont="1" applyFill="1" applyBorder="1" applyProtection="1">
      <protection locked="0"/>
    </xf>
    <xf numFmtId="164" fontId="4" fillId="31" borderId="22" xfId="0" applyFont="1" applyFill="1" applyBorder="1" applyAlignment="1" applyProtection="1">
      <alignment horizontal="center"/>
      <protection hidden="1"/>
    </xf>
    <xf numFmtId="164" fontId="4" fillId="31" borderId="49" xfId="0" applyFont="1" applyFill="1" applyBorder="1" applyAlignment="1" applyProtection="1">
      <alignment horizontal="center"/>
      <protection hidden="1"/>
    </xf>
    <xf numFmtId="164" fontId="4" fillId="46" borderId="0" xfId="0" applyFont="1" applyFill="1" applyAlignment="1" applyProtection="1">
      <alignment horizontal="center"/>
      <protection hidden="1"/>
    </xf>
    <xf numFmtId="164" fontId="4" fillId="39" borderId="24" xfId="0" applyFont="1" applyFill="1" applyBorder="1" applyAlignment="1" applyProtection="1">
      <alignment horizontal="center"/>
      <protection hidden="1"/>
    </xf>
    <xf numFmtId="164" fontId="13" fillId="39" borderId="0" xfId="0" applyFont="1" applyFill="1" applyAlignment="1" applyProtection="1">
      <alignment horizontal="left" vertical="center"/>
      <protection hidden="1"/>
    </xf>
    <xf numFmtId="164" fontId="4" fillId="39" borderId="0" xfId="0" applyFont="1" applyFill="1" applyAlignment="1" applyProtection="1">
      <alignment horizontal="center"/>
      <protection hidden="1"/>
    </xf>
    <xf numFmtId="164" fontId="4" fillId="39" borderId="0" xfId="0" applyFont="1" applyFill="1" applyProtection="1">
      <protection hidden="1"/>
    </xf>
    <xf numFmtId="1" fontId="4" fillId="39" borderId="0" xfId="0" applyNumberFormat="1" applyFont="1" applyFill="1" applyAlignment="1" applyProtection="1">
      <alignment horizontal="center"/>
      <protection hidden="1"/>
    </xf>
    <xf numFmtId="164" fontId="4" fillId="39" borderId="26" xfId="0" applyFont="1" applyFill="1" applyBorder="1" applyAlignment="1" applyProtection="1">
      <alignment horizontal="center"/>
      <protection hidden="1"/>
    </xf>
    <xf numFmtId="164" fontId="4" fillId="31" borderId="56" xfId="0" applyFont="1" applyFill="1" applyBorder="1" applyAlignment="1" applyProtection="1">
      <alignment horizontal="center"/>
      <protection hidden="1"/>
    </xf>
    <xf numFmtId="164" fontId="4" fillId="31" borderId="38" xfId="0" applyFont="1" applyFill="1" applyBorder="1" applyAlignment="1" applyProtection="1">
      <alignment horizontal="center"/>
      <protection hidden="1"/>
    </xf>
    <xf numFmtId="164" fontId="4" fillId="31" borderId="57" xfId="0" applyFont="1" applyFill="1" applyBorder="1" applyAlignment="1" applyProtection="1">
      <alignment horizontal="center"/>
      <protection hidden="1"/>
    </xf>
    <xf numFmtId="164" fontId="4" fillId="31" borderId="56" xfId="0" applyFont="1" applyFill="1" applyBorder="1" applyAlignment="1" applyProtection="1">
      <alignment horizontal="center"/>
      <protection locked="0" hidden="1"/>
    </xf>
    <xf numFmtId="164" fontId="13" fillId="31" borderId="57" xfId="0" applyFont="1" applyFill="1" applyBorder="1" applyAlignment="1" applyProtection="1">
      <alignment horizontal="left" vertical="center"/>
      <protection hidden="1"/>
    </xf>
    <xf numFmtId="164" fontId="4" fillId="46" borderId="38" xfId="0" applyFont="1" applyFill="1" applyBorder="1"/>
    <xf numFmtId="164" fontId="4" fillId="46" borderId="24" xfId="0" applyFont="1" applyFill="1" applyBorder="1" applyAlignment="1" applyProtection="1">
      <alignment horizontal="center"/>
      <protection hidden="1"/>
    </xf>
    <xf numFmtId="164" fontId="4" fillId="46" borderId="26" xfId="0" applyFont="1" applyFill="1" applyBorder="1" applyAlignment="1" applyProtection="1">
      <alignment horizontal="center"/>
      <protection hidden="1"/>
    </xf>
    <xf numFmtId="164" fontId="4" fillId="26" borderId="24" xfId="0" applyFont="1" applyFill="1" applyBorder="1" applyProtection="1">
      <protection hidden="1"/>
    </xf>
    <xf numFmtId="1" fontId="4" fillId="26" borderId="121" xfId="0" applyNumberFormat="1" applyFont="1" applyFill="1" applyBorder="1" applyAlignment="1" applyProtection="1">
      <alignment horizontal="center"/>
      <protection hidden="1"/>
    </xf>
    <xf numFmtId="1" fontId="4" fillId="32" borderId="25" xfId="0" applyNumberFormat="1" applyFont="1" applyFill="1" applyBorder="1" applyAlignment="1" applyProtection="1">
      <alignment horizontal="center"/>
      <protection hidden="1"/>
    </xf>
    <xf numFmtId="164" fontId="4" fillId="32" borderId="79" xfId="0" applyFont="1" applyFill="1" applyBorder="1" applyProtection="1">
      <protection hidden="1"/>
    </xf>
    <xf numFmtId="164" fontId="4" fillId="39" borderId="80" xfId="0" applyFont="1" applyFill="1" applyBorder="1" applyAlignment="1" applyProtection="1">
      <alignment horizontal="center"/>
      <protection hidden="1"/>
    </xf>
    <xf numFmtId="164" fontId="4" fillId="0" borderId="91" xfId="0" applyFont="1" applyBorder="1" applyProtection="1">
      <protection locked="0"/>
    </xf>
    <xf numFmtId="164" fontId="4" fillId="0" borderId="91" xfId="0" applyFont="1" applyBorder="1" applyProtection="1">
      <protection hidden="1"/>
    </xf>
    <xf numFmtId="164" fontId="13" fillId="0" borderId="91" xfId="0" applyFont="1" applyBorder="1" applyAlignment="1" applyProtection="1">
      <alignment horizontal="left" vertical="center"/>
      <protection hidden="1"/>
    </xf>
    <xf numFmtId="1" fontId="4" fillId="0" borderId="90" xfId="0" applyNumberFormat="1" applyFont="1" applyBorder="1" applyAlignment="1" applyProtection="1">
      <alignment horizontal="center"/>
      <protection hidden="1"/>
    </xf>
    <xf numFmtId="1" fontId="4" fillId="32" borderId="26" xfId="0" applyNumberFormat="1" applyFont="1" applyFill="1" applyBorder="1" applyAlignment="1" applyProtection="1">
      <alignment horizontal="center"/>
      <protection hidden="1"/>
    </xf>
    <xf numFmtId="1" fontId="4" fillId="32" borderId="32" xfId="0" applyNumberFormat="1" applyFont="1" applyFill="1" applyBorder="1" applyAlignment="1" applyProtection="1">
      <alignment horizontal="center"/>
      <protection hidden="1"/>
    </xf>
    <xf numFmtId="164" fontId="4" fillId="32" borderId="56" xfId="0" applyFont="1" applyFill="1" applyBorder="1" applyProtection="1">
      <protection hidden="1"/>
    </xf>
    <xf numFmtId="164" fontId="4" fillId="32" borderId="38" xfId="0" applyFont="1" applyFill="1" applyBorder="1" applyProtection="1">
      <protection hidden="1"/>
    </xf>
    <xf numFmtId="164" fontId="4" fillId="47" borderId="26" xfId="0" applyFont="1" applyFill="1" applyBorder="1"/>
    <xf numFmtId="164" fontId="4" fillId="47" borderId="0" xfId="0" applyFont="1" applyFill="1" applyProtection="1">
      <protection hidden="1"/>
    </xf>
    <xf numFmtId="1" fontId="124" fillId="47" borderId="0" xfId="0" applyNumberFormat="1" applyFont="1" applyFill="1" applyAlignment="1" applyProtection="1">
      <alignment horizontal="center"/>
      <protection hidden="1"/>
    </xf>
    <xf numFmtId="164" fontId="124" fillId="47" borderId="0" xfId="0" applyFont="1" applyFill="1" applyProtection="1">
      <protection hidden="1"/>
    </xf>
    <xf numFmtId="1" fontId="4" fillId="0" borderId="0" xfId="0" applyNumberFormat="1" applyFont="1" applyAlignment="1" applyProtection="1">
      <alignment horizontal="center" vertical="center" wrapText="1"/>
      <protection hidden="1"/>
    </xf>
    <xf numFmtId="1" fontId="4" fillId="0" borderId="12" xfId="0" applyNumberFormat="1" applyFont="1" applyBorder="1" applyAlignment="1" applyProtection="1">
      <alignment horizontal="center" vertical="center"/>
      <protection hidden="1"/>
    </xf>
    <xf numFmtId="1" fontId="4" fillId="0" borderId="50" xfId="0" applyNumberFormat="1" applyFont="1" applyBorder="1" applyAlignment="1" applyProtection="1">
      <alignment horizontal="center" vertical="center"/>
      <protection hidden="1"/>
    </xf>
    <xf numFmtId="164" fontId="4" fillId="31" borderId="124" xfId="0" applyFont="1" applyFill="1" applyBorder="1" applyProtection="1">
      <protection locked="0" hidden="1"/>
    </xf>
    <xf numFmtId="164" fontId="4" fillId="32" borderId="34" xfId="0" applyFont="1" applyFill="1" applyBorder="1" applyProtection="1">
      <protection hidden="1"/>
    </xf>
    <xf numFmtId="1" fontId="4" fillId="18" borderId="79" xfId="0" applyNumberFormat="1" applyFont="1" applyFill="1" applyBorder="1" applyAlignment="1" applyProtection="1">
      <alignment horizontal="center"/>
      <protection hidden="1"/>
    </xf>
    <xf numFmtId="164" fontId="4" fillId="31" borderId="71" xfId="0" applyFont="1" applyFill="1" applyBorder="1" applyProtection="1">
      <protection locked="0" hidden="1"/>
    </xf>
    <xf numFmtId="164" fontId="4" fillId="0" borderId="36" xfId="0" applyFont="1" applyBorder="1"/>
    <xf numFmtId="164" fontId="4" fillId="40" borderId="56" xfId="0" applyFont="1" applyFill="1" applyBorder="1" applyAlignment="1" applyProtection="1">
      <alignment horizontal="center"/>
      <protection hidden="1"/>
    </xf>
    <xf numFmtId="164" fontId="33" fillId="39" borderId="0" xfId="0" applyFont="1" applyFill="1" applyAlignment="1" applyProtection="1">
      <alignment vertical="center"/>
      <protection hidden="1"/>
    </xf>
    <xf numFmtId="2" fontId="0" fillId="39" borderId="0" xfId="0" applyNumberFormat="1" applyFill="1" applyAlignment="1" applyProtection="1">
      <alignment horizontal="center" vertical="center"/>
      <protection hidden="1"/>
    </xf>
    <xf numFmtId="164" fontId="0" fillId="39" borderId="0" xfId="0" applyFill="1" applyAlignment="1">
      <alignment horizontal="center"/>
    </xf>
    <xf numFmtId="0" fontId="147" fillId="39" borderId="0" xfId="122" applyFont="1" applyFill="1"/>
    <xf numFmtId="164" fontId="147" fillId="39" borderId="0" xfId="0" applyFont="1" applyFill="1" applyProtection="1">
      <protection hidden="1"/>
    </xf>
    <xf numFmtId="164" fontId="0" fillId="40" borderId="0" xfId="0" applyFill="1" applyProtection="1">
      <protection hidden="1"/>
    </xf>
    <xf numFmtId="164" fontId="124" fillId="40" borderId="0" xfId="0" applyFont="1" applyFill="1" applyProtection="1">
      <protection hidden="1"/>
    </xf>
    <xf numFmtId="164" fontId="4" fillId="18" borderId="49" xfId="0" applyFont="1" applyFill="1" applyBorder="1" applyProtection="1">
      <protection locked="0" hidden="1"/>
    </xf>
    <xf numFmtId="164" fontId="7" fillId="41" borderId="158" xfId="0" applyFont="1" applyFill="1" applyBorder="1" applyAlignment="1" applyProtection="1">
      <alignment horizontal="left" indent="1"/>
      <protection locked="0"/>
    </xf>
    <xf numFmtId="164" fontId="0" fillId="41" borderId="0" xfId="0" applyFill="1" applyAlignment="1" applyProtection="1">
      <alignment horizontal="left" indent="1"/>
      <protection locked="0"/>
    </xf>
    <xf numFmtId="164" fontId="7" fillId="41" borderId="52" xfId="0" applyFont="1" applyFill="1" applyBorder="1" applyAlignment="1" applyProtection="1">
      <alignment horizontal="left" indent="1"/>
      <protection locked="0"/>
    </xf>
    <xf numFmtId="164" fontId="7" fillId="41" borderId="17" xfId="0" applyFont="1" applyFill="1" applyBorder="1" applyAlignment="1" applyProtection="1">
      <alignment horizontal="left" indent="1" shrinkToFit="1"/>
      <protection locked="0"/>
    </xf>
    <xf numFmtId="164" fontId="7" fillId="41" borderId="17" xfId="0" applyFont="1" applyFill="1" applyBorder="1" applyAlignment="1" applyProtection="1">
      <alignment horizontal="left" vertical="center" indent="1"/>
      <protection locked="0"/>
    </xf>
    <xf numFmtId="164" fontId="7" fillId="41" borderId="17" xfId="0" applyFont="1" applyFill="1" applyBorder="1" applyAlignment="1" applyProtection="1">
      <alignment horizontal="left" indent="1"/>
      <protection locked="0"/>
    </xf>
    <xf numFmtId="164" fontId="7" fillId="41" borderId="73" xfId="0" applyFont="1" applyFill="1" applyBorder="1" applyAlignment="1" applyProtection="1">
      <alignment horizontal="left" vertical="center" indent="1"/>
      <protection locked="0"/>
    </xf>
    <xf numFmtId="164" fontId="7" fillId="41" borderId="15" xfId="0" applyFont="1" applyFill="1" applyBorder="1" applyAlignment="1" applyProtection="1">
      <alignment horizontal="left" vertical="center" indent="1"/>
      <protection locked="0"/>
    </xf>
    <xf numFmtId="1" fontId="7" fillId="41" borderId="16" xfId="0" applyNumberFormat="1" applyFont="1" applyFill="1" applyBorder="1" applyAlignment="1" applyProtection="1">
      <alignment horizontal="left" indent="1"/>
      <protection locked="0"/>
    </xf>
    <xf numFmtId="1" fontId="0" fillId="0" borderId="184" xfId="0" applyNumberFormat="1" applyBorder="1" applyAlignment="1" applyProtection="1">
      <alignment horizontal="center" vertical="center"/>
      <protection hidden="1"/>
    </xf>
    <xf numFmtId="1" fontId="0" fillId="0" borderId="183" xfId="0" applyNumberFormat="1" applyBorder="1" applyAlignment="1" applyProtection="1">
      <alignment horizontal="center" vertical="center"/>
      <protection hidden="1"/>
    </xf>
    <xf numFmtId="1" fontId="0" fillId="0" borderId="188" xfId="0" applyNumberFormat="1" applyBorder="1" applyAlignment="1" applyProtection="1">
      <alignment horizontal="center" vertical="center"/>
      <protection hidden="1"/>
    </xf>
    <xf numFmtId="1" fontId="0" fillId="0" borderId="187" xfId="0" applyNumberFormat="1" applyBorder="1" applyAlignment="1" applyProtection="1">
      <alignment horizontal="center" vertical="center"/>
      <protection hidden="1"/>
    </xf>
    <xf numFmtId="1" fontId="0" fillId="0" borderId="194" xfId="0" applyNumberFormat="1" applyBorder="1" applyAlignment="1" applyProtection="1">
      <alignment horizontal="center" vertical="center"/>
      <protection hidden="1"/>
    </xf>
    <xf numFmtId="1" fontId="0" fillId="0" borderId="193" xfId="0" applyNumberFormat="1" applyBorder="1" applyAlignment="1" applyProtection="1">
      <alignment horizontal="center" vertical="center"/>
      <protection hidden="1"/>
    </xf>
    <xf numFmtId="1" fontId="0" fillId="0" borderId="211" xfId="0" applyNumberFormat="1" applyBorder="1" applyAlignment="1" applyProtection="1">
      <alignment horizontal="center" vertical="center"/>
      <protection hidden="1"/>
    </xf>
    <xf numFmtId="1" fontId="0" fillId="0" borderId="195" xfId="0" applyNumberFormat="1" applyBorder="1" applyAlignment="1" applyProtection="1">
      <alignment horizontal="center" vertical="center"/>
      <protection hidden="1"/>
    </xf>
    <xf numFmtId="1" fontId="0" fillId="0" borderId="23" xfId="0" applyNumberFormat="1" applyBorder="1" applyAlignment="1" applyProtection="1">
      <alignment horizontal="center" vertical="center"/>
      <protection hidden="1"/>
    </xf>
    <xf numFmtId="1" fontId="0" fillId="0" borderId="15" xfId="0" applyNumberFormat="1" applyBorder="1" applyAlignment="1" applyProtection="1">
      <alignment horizontal="center" vertical="center"/>
      <protection hidden="1"/>
    </xf>
    <xf numFmtId="1" fontId="0" fillId="0" borderId="50" xfId="0" applyNumberFormat="1" applyBorder="1" applyAlignment="1" applyProtection="1">
      <alignment horizontal="center" vertical="center"/>
      <protection hidden="1"/>
    </xf>
    <xf numFmtId="2" fontId="0" fillId="0" borderId="116" xfId="0" applyNumberFormat="1" applyBorder="1" applyAlignment="1" applyProtection="1">
      <alignment horizontal="center" vertical="center"/>
      <protection hidden="1"/>
    </xf>
    <xf numFmtId="2" fontId="0" fillId="0" borderId="219" xfId="0" applyNumberFormat="1" applyBorder="1" applyAlignment="1" applyProtection="1">
      <alignment horizontal="center" vertical="center"/>
      <protection hidden="1"/>
    </xf>
    <xf numFmtId="1" fontId="0" fillId="0" borderId="220" xfId="0" applyNumberFormat="1" applyBorder="1" applyAlignment="1" applyProtection="1">
      <alignment horizontal="center" vertical="center"/>
      <protection hidden="1"/>
    </xf>
    <xf numFmtId="2" fontId="0" fillId="0" borderId="222" xfId="0" applyNumberFormat="1" applyBorder="1" applyAlignment="1" applyProtection="1">
      <alignment horizontal="center" vertical="center"/>
      <protection hidden="1"/>
    </xf>
    <xf numFmtId="1" fontId="0" fillId="0" borderId="223" xfId="0" applyNumberFormat="1" applyBorder="1" applyAlignment="1" applyProtection="1">
      <alignment horizontal="center" vertical="center"/>
      <protection hidden="1"/>
    </xf>
    <xf numFmtId="164" fontId="4" fillId="0" borderId="224" xfId="0" applyFont="1" applyBorder="1" applyAlignment="1" applyProtection="1">
      <alignment horizontal="center" vertical="center" wrapText="1"/>
      <protection hidden="1"/>
    </xf>
    <xf numFmtId="164" fontId="4" fillId="0" borderId="225" xfId="0" applyFont="1" applyBorder="1" applyAlignment="1" applyProtection="1">
      <alignment horizontal="center" vertical="center" wrapText="1"/>
      <protection hidden="1"/>
    </xf>
    <xf numFmtId="2" fontId="0" fillId="18" borderId="116" xfId="0" applyNumberFormat="1" applyFill="1" applyBorder="1" applyAlignment="1" applyProtection="1">
      <alignment horizontal="center" vertical="center"/>
      <protection hidden="1"/>
    </xf>
    <xf numFmtId="1" fontId="0" fillId="0" borderId="117" xfId="0" applyNumberFormat="1" applyBorder="1" applyAlignment="1" applyProtection="1">
      <alignment horizontal="center" vertical="center"/>
      <protection hidden="1"/>
    </xf>
    <xf numFmtId="164" fontId="32" fillId="38" borderId="0" xfId="0" applyFont="1" applyFill="1" applyAlignment="1" applyProtection="1">
      <alignment vertical="center" wrapText="1"/>
      <protection hidden="1"/>
    </xf>
    <xf numFmtId="164" fontId="32" fillId="48" borderId="21" xfId="0" applyFont="1" applyFill="1" applyBorder="1" applyAlignment="1" applyProtection="1">
      <alignment vertical="center"/>
      <protection hidden="1"/>
    </xf>
    <xf numFmtId="2" fontId="0" fillId="18" borderId="227" xfId="0" applyNumberFormat="1" applyFill="1" applyBorder="1" applyAlignment="1" applyProtection="1">
      <alignment horizontal="center" vertical="center"/>
      <protection hidden="1"/>
    </xf>
    <xf numFmtId="1" fontId="0" fillId="0" borderId="228" xfId="0" applyNumberFormat="1" applyBorder="1" applyAlignment="1" applyProtection="1">
      <alignment horizontal="center"/>
      <protection hidden="1"/>
    </xf>
    <xf numFmtId="164" fontId="4" fillId="0" borderId="229" xfId="0" applyFont="1" applyBorder="1" applyAlignment="1" applyProtection="1">
      <alignment horizontal="center" vertical="center" wrapText="1"/>
      <protection hidden="1"/>
    </xf>
    <xf numFmtId="2" fontId="0" fillId="18" borderId="219" xfId="0" applyNumberFormat="1" applyFill="1" applyBorder="1" applyAlignment="1" applyProtection="1">
      <alignment horizontal="center" vertical="center"/>
      <protection hidden="1"/>
    </xf>
    <xf numFmtId="1" fontId="0" fillId="0" borderId="117" xfId="0" applyNumberFormat="1" applyBorder="1" applyAlignment="1" applyProtection="1">
      <alignment horizontal="center"/>
      <protection hidden="1"/>
    </xf>
    <xf numFmtId="164" fontId="5" fillId="49" borderId="24" xfId="0" applyFont="1" applyFill="1" applyBorder="1" applyAlignment="1" applyProtection="1">
      <alignment vertical="center" wrapText="1"/>
      <protection hidden="1"/>
    </xf>
    <xf numFmtId="164" fontId="32" fillId="48" borderId="198" xfId="0" applyFont="1" applyFill="1" applyBorder="1" applyAlignment="1" applyProtection="1">
      <alignment vertical="center"/>
      <protection hidden="1"/>
    </xf>
    <xf numFmtId="164" fontId="5" fillId="49" borderId="230" xfId="0" applyFont="1" applyFill="1" applyBorder="1" applyAlignment="1" applyProtection="1">
      <alignment vertical="center" wrapText="1"/>
      <protection hidden="1"/>
    </xf>
    <xf numFmtId="164" fontId="32" fillId="18" borderId="231" xfId="0" applyFont="1" applyFill="1" applyBorder="1" applyAlignment="1" applyProtection="1">
      <alignment vertical="center" wrapText="1"/>
      <protection hidden="1"/>
    </xf>
    <xf numFmtId="1" fontId="5" fillId="18" borderId="0" xfId="0" applyNumberFormat="1" applyFont="1" applyFill="1" applyAlignment="1" applyProtection="1">
      <alignment horizontal="center" vertical="center"/>
      <protection hidden="1"/>
    </xf>
    <xf numFmtId="164" fontId="32" fillId="0" borderId="231" xfId="0" applyFont="1" applyBorder="1" applyAlignment="1" applyProtection="1">
      <alignment vertical="center"/>
      <protection hidden="1"/>
    </xf>
    <xf numFmtId="164" fontId="32" fillId="0" borderId="231" xfId="0" applyFont="1" applyBorder="1" applyAlignment="1" applyProtection="1">
      <alignment horizontal="left" vertical="center" indent="2"/>
      <protection hidden="1"/>
    </xf>
    <xf numFmtId="164" fontId="32" fillId="38" borderId="198" xfId="0" applyFont="1" applyFill="1" applyBorder="1" applyAlignment="1" applyProtection="1">
      <alignment vertical="center"/>
      <protection hidden="1"/>
    </xf>
    <xf numFmtId="164" fontId="32" fillId="38" borderId="198" xfId="0" applyFont="1" applyFill="1" applyBorder="1" applyAlignment="1" applyProtection="1">
      <alignment horizontal="left" vertical="center" indent="2"/>
      <protection hidden="1"/>
    </xf>
    <xf numFmtId="164" fontId="32" fillId="49" borderId="198" xfId="0" applyFont="1" applyFill="1" applyBorder="1" applyAlignment="1" applyProtection="1">
      <alignment horizontal="left" vertical="center" indent="2"/>
      <protection hidden="1"/>
    </xf>
    <xf numFmtId="2" fontId="0" fillId="22" borderId="23" xfId="0" applyNumberFormat="1" applyFill="1" applyBorder="1" applyAlignment="1">
      <alignment horizontal="center"/>
    </xf>
    <xf numFmtId="2" fontId="0" fillId="22" borderId="54" xfId="0" applyNumberFormat="1" applyFill="1" applyBorder="1" applyAlignment="1">
      <alignment horizontal="center"/>
    </xf>
    <xf numFmtId="2" fontId="4" fillId="22" borderId="54" xfId="0" applyNumberFormat="1" applyFont="1" applyFill="1" applyBorder="1" applyAlignment="1">
      <alignment horizontal="center"/>
    </xf>
    <xf numFmtId="2" fontId="0" fillId="22" borderId="55" xfId="0" applyNumberFormat="1" applyFill="1" applyBorder="1" applyAlignment="1">
      <alignment horizontal="center"/>
    </xf>
    <xf numFmtId="0" fontId="93" fillId="0" borderId="26" xfId="0" applyNumberFormat="1" applyFont="1" applyBorder="1" applyAlignment="1">
      <alignment horizontal="justify" vertical="top" wrapText="1"/>
    </xf>
    <xf numFmtId="0" fontId="10" fillId="25" borderId="215" xfId="123" applyFont="1" applyFill="1" applyBorder="1" applyAlignment="1">
      <alignment horizontal="center"/>
    </xf>
    <xf numFmtId="0" fontId="55" fillId="0" borderId="80" xfId="0" applyNumberFormat="1" applyFont="1" applyBorder="1" applyAlignment="1">
      <alignment horizontal="center"/>
    </xf>
    <xf numFmtId="0" fontId="61" fillId="31" borderId="26" xfId="0" applyNumberFormat="1" applyFont="1" applyFill="1" applyBorder="1" applyAlignment="1">
      <alignment horizontal="center" vertical="top" wrapText="1"/>
    </xf>
    <xf numFmtId="169" fontId="0" fillId="27" borderId="214" xfId="0" applyNumberFormat="1" applyFill="1" applyBorder="1" applyAlignment="1">
      <alignment horizontal="center"/>
    </xf>
    <xf numFmtId="0" fontId="61" fillId="31" borderId="26" xfId="0" applyNumberFormat="1" applyFont="1" applyFill="1" applyBorder="1" applyAlignment="1">
      <alignment horizontal="center"/>
    </xf>
    <xf numFmtId="0" fontId="61" fillId="31" borderId="32" xfId="0" applyNumberFormat="1" applyFont="1" applyFill="1" applyBorder="1" applyAlignment="1">
      <alignment horizontal="center"/>
    </xf>
    <xf numFmtId="169" fontId="0" fillId="50" borderId="10" xfId="0" applyNumberFormat="1" applyFill="1" applyBorder="1" applyAlignment="1">
      <alignment horizontal="center"/>
    </xf>
    <xf numFmtId="164" fontId="26" fillId="0" borderId="32" xfId="123" applyNumberFormat="1" applyFont="1" applyBorder="1" applyAlignment="1">
      <alignment horizontal="center"/>
    </xf>
    <xf numFmtId="164" fontId="26" fillId="0" borderId="26" xfId="123" applyNumberFormat="1" applyFont="1" applyBorder="1" applyAlignment="1">
      <alignment horizontal="center"/>
    </xf>
    <xf numFmtId="0" fontId="10" fillId="0" borderId="34" xfId="123" applyFont="1" applyBorder="1" applyAlignment="1">
      <alignment horizontal="center"/>
    </xf>
    <xf numFmtId="0" fontId="26" fillId="0" borderId="32" xfId="123" applyFont="1" applyBorder="1" applyAlignment="1">
      <alignment horizontal="center"/>
    </xf>
    <xf numFmtId="164" fontId="26" fillId="0" borderId="25" xfId="123" applyNumberFormat="1" applyFont="1" applyBorder="1" applyAlignment="1">
      <alignment horizontal="center"/>
    </xf>
    <xf numFmtId="0" fontId="157" fillId="0" borderId="32" xfId="123" applyFont="1" applyBorder="1" applyAlignment="1">
      <alignment horizontal="center"/>
    </xf>
    <xf numFmtId="0" fontId="156" fillId="0" borderId="25" xfId="123" applyFont="1" applyBorder="1" applyAlignment="1">
      <alignment horizontal="center" vertical="center"/>
    </xf>
    <xf numFmtId="0" fontId="156" fillId="0" borderId="26" xfId="123" applyFont="1" applyBorder="1" applyAlignment="1">
      <alignment horizontal="center"/>
    </xf>
    <xf numFmtId="0" fontId="7" fillId="51" borderId="0" xfId="123" applyFont="1" applyFill="1" applyAlignment="1">
      <alignment horizontal="center"/>
    </xf>
    <xf numFmtId="169" fontId="8" fillId="25" borderId="0" xfId="123" applyNumberFormat="1" applyFont="1" applyFill="1" applyAlignment="1">
      <alignment horizontal="center"/>
    </xf>
    <xf numFmtId="164" fontId="22" fillId="0" borderId="0" xfId="123" applyNumberFormat="1" applyFont="1"/>
    <xf numFmtId="2" fontId="4" fillId="0" borderId="0" xfId="123" applyNumberFormat="1"/>
    <xf numFmtId="164" fontId="4" fillId="18" borderId="234" xfId="0" applyFont="1" applyFill="1" applyBorder="1" applyAlignment="1" applyProtection="1">
      <alignment horizontal="left" vertical="center" wrapText="1" indent="1"/>
      <protection hidden="1"/>
    </xf>
    <xf numFmtId="164" fontId="0" fillId="38" borderId="38" xfId="0" applyFill="1" applyBorder="1" applyProtection="1">
      <protection hidden="1"/>
    </xf>
    <xf numFmtId="164" fontId="0" fillId="49" borderId="38" xfId="0" applyFill="1" applyBorder="1" applyProtection="1">
      <protection hidden="1"/>
    </xf>
    <xf numFmtId="164" fontId="0" fillId="18" borderId="237" xfId="0" applyFill="1" applyBorder="1"/>
    <xf numFmtId="1" fontId="5" fillId="0" borderId="185" xfId="0" applyNumberFormat="1" applyFont="1" applyBorder="1" applyAlignment="1" applyProtection="1">
      <alignment horizontal="center" vertical="center"/>
      <protection hidden="1"/>
    </xf>
    <xf numFmtId="1" fontId="0" fillId="0" borderId="233" xfId="0" applyNumberFormat="1" applyBorder="1" applyAlignment="1" applyProtection="1">
      <alignment horizontal="center" vertical="center"/>
      <protection hidden="1"/>
    </xf>
    <xf numFmtId="164" fontId="0" fillId="38" borderId="238" xfId="0" applyFill="1" applyBorder="1"/>
    <xf numFmtId="164" fontId="0" fillId="49" borderId="26" xfId="0" applyFill="1" applyBorder="1"/>
    <xf numFmtId="1" fontId="5" fillId="39" borderId="0" xfId="0" applyNumberFormat="1" applyFont="1" applyFill="1" applyAlignment="1" applyProtection="1">
      <alignment horizontal="center" vertical="center"/>
      <protection hidden="1"/>
    </xf>
    <xf numFmtId="164" fontId="5" fillId="39" borderId="0" xfId="0" applyFont="1" applyFill="1" applyAlignment="1">
      <alignment horizontal="center" vertical="center"/>
    </xf>
    <xf numFmtId="164" fontId="5" fillId="39" borderId="38" xfId="0" applyFont="1" applyFill="1" applyBorder="1" applyAlignment="1">
      <alignment horizontal="center" vertical="center"/>
    </xf>
    <xf numFmtId="164" fontId="16" fillId="18" borderId="0" xfId="0" applyFont="1" applyFill="1" applyAlignment="1" applyProtection="1">
      <alignment wrapText="1"/>
      <protection hidden="1"/>
    </xf>
    <xf numFmtId="164" fontId="16" fillId="18" borderId="26" xfId="0" applyFont="1" applyFill="1" applyBorder="1" applyAlignment="1" applyProtection="1">
      <alignment wrapText="1"/>
      <protection hidden="1"/>
    </xf>
    <xf numFmtId="164" fontId="16" fillId="18" borderId="21" xfId="0" applyFont="1" applyFill="1" applyBorder="1" applyAlignment="1" applyProtection="1">
      <alignment wrapText="1"/>
      <protection hidden="1"/>
    </xf>
    <xf numFmtId="164" fontId="16" fillId="18" borderId="32" xfId="0" applyFont="1" applyFill="1" applyBorder="1" applyAlignment="1" applyProtection="1">
      <alignment wrapText="1"/>
      <protection hidden="1"/>
    </xf>
    <xf numFmtId="164" fontId="0" fillId="39" borderId="38" xfId="0" applyFill="1" applyBorder="1"/>
    <xf numFmtId="164" fontId="0" fillId="18" borderId="240" xfId="0" applyFill="1" applyBorder="1"/>
    <xf numFmtId="164" fontId="0" fillId="18" borderId="239" xfId="0" applyFill="1" applyBorder="1"/>
    <xf numFmtId="164" fontId="0" fillId="18" borderId="244" xfId="0" applyFill="1" applyBorder="1"/>
    <xf numFmtId="164" fontId="0" fillId="18" borderId="202" xfId="0" applyFill="1" applyBorder="1"/>
    <xf numFmtId="164" fontId="0" fillId="18" borderId="201" xfId="0" applyFill="1" applyBorder="1"/>
    <xf numFmtId="164" fontId="0" fillId="18" borderId="213" xfId="0" applyFill="1" applyBorder="1"/>
    <xf numFmtId="164" fontId="5" fillId="18" borderId="35" xfId="0" applyFont="1" applyFill="1" applyBorder="1" applyAlignment="1" applyProtection="1">
      <alignment horizontal="center" vertical="center" wrapText="1"/>
      <protection hidden="1"/>
    </xf>
    <xf numFmtId="164" fontId="5" fillId="18" borderId="56" xfId="0" applyFont="1" applyFill="1" applyBorder="1" applyAlignment="1" applyProtection="1">
      <alignment horizontal="center" vertical="center" wrapText="1"/>
      <protection hidden="1"/>
    </xf>
    <xf numFmtId="164" fontId="145" fillId="0" borderId="0" xfId="0" applyFont="1" applyAlignment="1" applyProtection="1">
      <alignment horizontal="center"/>
      <protection hidden="1"/>
    </xf>
    <xf numFmtId="164" fontId="150" fillId="0" borderId="0" xfId="0" applyFont="1" applyAlignment="1" applyProtection="1">
      <alignment horizontal="center"/>
      <protection hidden="1"/>
    </xf>
    <xf numFmtId="164" fontId="5" fillId="0" borderId="251" xfId="0" applyFont="1" applyBorder="1" applyAlignment="1" applyProtection="1">
      <alignment horizontal="center" vertical="center" wrapText="1"/>
      <protection hidden="1"/>
    </xf>
    <xf numFmtId="164" fontId="5" fillId="0" borderId="253" xfId="0" applyFont="1" applyBorder="1" applyAlignment="1" applyProtection="1">
      <alignment horizontal="center" vertical="center" wrapText="1"/>
      <protection hidden="1"/>
    </xf>
    <xf numFmtId="15" fontId="29" fillId="19" borderId="243" xfId="0" applyNumberFormat="1" applyFont="1" applyFill="1" applyBorder="1" applyAlignment="1" applyProtection="1">
      <alignment horizontal="left" vertical="center"/>
      <protection hidden="1"/>
    </xf>
    <xf numFmtId="164" fontId="4" fillId="20" borderId="15" xfId="0" applyFont="1" applyFill="1" applyBorder="1" applyAlignment="1" applyProtection="1">
      <alignment horizontal="center"/>
      <protection locked="0"/>
    </xf>
    <xf numFmtId="0" fontId="4" fillId="20" borderId="15" xfId="0" applyNumberFormat="1" applyFont="1" applyFill="1" applyBorder="1" applyAlignment="1" applyProtection="1">
      <alignment horizontal="center"/>
      <protection locked="0"/>
    </xf>
    <xf numFmtId="164" fontId="5" fillId="40" borderId="0" xfId="0" applyFont="1" applyFill="1" applyProtection="1">
      <protection locked="0"/>
    </xf>
    <xf numFmtId="164" fontId="4" fillId="40" borderId="0" xfId="0" applyFont="1" applyFill="1" applyProtection="1">
      <protection locked="0"/>
    </xf>
    <xf numFmtId="164" fontId="4" fillId="0" borderId="0" xfId="0" applyFont="1" applyAlignment="1" applyProtection="1">
      <alignment horizontal="left" indent="1"/>
      <protection hidden="1"/>
    </xf>
    <xf numFmtId="0" fontId="160" fillId="0" borderId="13" xfId="0" applyNumberFormat="1" applyFont="1" applyBorder="1" applyAlignment="1" applyProtection="1">
      <alignment horizontal="left"/>
      <protection hidden="1"/>
    </xf>
    <xf numFmtId="164" fontId="7" fillId="41" borderId="260" xfId="0" applyFont="1" applyFill="1" applyBorder="1" applyAlignment="1" applyProtection="1">
      <alignment horizontal="left" indent="1"/>
      <protection locked="0" hidden="1"/>
    </xf>
    <xf numFmtId="164" fontId="7" fillId="19" borderId="158" xfId="0" applyFont="1" applyFill="1" applyBorder="1" applyAlignment="1" applyProtection="1">
      <alignment horizontal="center"/>
      <protection hidden="1"/>
    </xf>
    <xf numFmtId="164" fontId="7" fillId="19" borderId="261" xfId="0" applyFont="1" applyFill="1" applyBorder="1" applyProtection="1">
      <protection hidden="1"/>
    </xf>
    <xf numFmtId="164" fontId="5" fillId="18" borderId="24" xfId="0" applyFont="1" applyFill="1" applyBorder="1" applyAlignment="1" applyProtection="1">
      <alignment horizontal="center"/>
      <protection locked="0"/>
    </xf>
    <xf numFmtId="164" fontId="5" fillId="18" borderId="38" xfId="0" applyFont="1" applyFill="1" applyBorder="1" applyAlignment="1" applyProtection="1">
      <alignment horizontal="center" vertical="center" wrapText="1"/>
      <protection hidden="1"/>
    </xf>
    <xf numFmtId="164" fontId="131" fillId="18" borderId="32" xfId="0" applyFont="1" applyFill="1" applyBorder="1" applyAlignment="1" applyProtection="1">
      <alignment horizontal="center" vertical="center" wrapText="1"/>
      <protection hidden="1"/>
    </xf>
    <xf numFmtId="164" fontId="162" fillId="0" borderId="0" xfId="0" applyFont="1" applyAlignment="1">
      <alignment horizontal="center"/>
    </xf>
    <xf numFmtId="164" fontId="163" fillId="0" borderId="0" xfId="0" applyFont="1" applyAlignment="1">
      <alignment horizontal="center"/>
    </xf>
    <xf numFmtId="164" fontId="5" fillId="40" borderId="0" xfId="0" applyFont="1" applyFill="1"/>
    <xf numFmtId="0" fontId="4" fillId="18" borderId="0" xfId="0" applyNumberFormat="1" applyFont="1" applyFill="1" applyAlignment="1" applyProtection="1">
      <alignment horizontal="left" indent="1"/>
      <protection locked="0" hidden="1"/>
    </xf>
    <xf numFmtId="164" fontId="151" fillId="0" borderId="0" xfId="0" applyFont="1" applyAlignment="1">
      <alignment horizontal="left" vertical="center"/>
    </xf>
    <xf numFmtId="1" fontId="5" fillId="0" borderId="0" xfId="0" applyNumberFormat="1" applyFont="1" applyAlignment="1">
      <alignment horizontal="center"/>
    </xf>
    <xf numFmtId="1" fontId="5" fillId="0" borderId="0" xfId="0" applyNumberFormat="1" applyFont="1" applyAlignment="1" applyProtection="1">
      <alignment horizontal="center"/>
      <protection hidden="1"/>
    </xf>
    <xf numFmtId="164" fontId="4" fillId="18" borderId="25" xfId="0" applyFont="1" applyFill="1" applyBorder="1" applyProtection="1">
      <protection locked="0"/>
    </xf>
    <xf numFmtId="164" fontId="0" fillId="0" borderId="24" xfId="0" applyBorder="1" applyProtection="1">
      <protection locked="0"/>
    </xf>
    <xf numFmtId="164" fontId="0" fillId="0" borderId="36" xfId="0" applyBorder="1" applyProtection="1">
      <protection locked="0"/>
    </xf>
    <xf numFmtId="164" fontId="139" fillId="0" borderId="0" xfId="0" applyFont="1" applyAlignment="1">
      <alignment horizontal="center" vertical="center" wrapText="1"/>
    </xf>
    <xf numFmtId="164" fontId="139" fillId="0" borderId="0" xfId="0" applyFont="1" applyAlignment="1" applyProtection="1">
      <alignment horizontal="center"/>
      <protection hidden="1"/>
    </xf>
    <xf numFmtId="164" fontId="4" fillId="0" borderId="12" xfId="0" applyFont="1" applyBorder="1" applyAlignment="1" applyProtection="1">
      <alignment horizontal="left" vertical="center"/>
      <protection hidden="1"/>
    </xf>
    <xf numFmtId="164" fontId="4" fillId="0" borderId="50" xfId="0" applyFont="1" applyBorder="1" applyAlignment="1" applyProtection="1">
      <alignment horizontal="left" vertical="center"/>
      <protection hidden="1"/>
    </xf>
    <xf numFmtId="164" fontId="5" fillId="40" borderId="0" xfId="0" applyFont="1" applyFill="1" applyProtection="1">
      <protection hidden="1"/>
    </xf>
    <xf numFmtId="164" fontId="151" fillId="0" borderId="0" xfId="0" applyFont="1" applyProtection="1">
      <protection locked="0"/>
    </xf>
    <xf numFmtId="164" fontId="13" fillId="40" borderId="0" xfId="0" applyFont="1" applyFill="1" applyProtection="1">
      <protection locked="0"/>
    </xf>
    <xf numFmtId="164" fontId="159" fillId="39" borderId="0" xfId="0" applyFont="1" applyFill="1" applyAlignment="1" applyProtection="1">
      <alignment horizontal="center" vertical="center" wrapText="1"/>
      <protection hidden="1"/>
    </xf>
    <xf numFmtId="1" fontId="4" fillId="18" borderId="0" xfId="0" applyNumberFormat="1" applyFont="1" applyFill="1" applyAlignment="1" applyProtection="1">
      <alignment horizontal="center" vertical="center" wrapText="1"/>
      <protection hidden="1"/>
    </xf>
    <xf numFmtId="164" fontId="131" fillId="18" borderId="21" xfId="0" applyFont="1" applyFill="1" applyBorder="1" applyAlignment="1" applyProtection="1">
      <alignment horizontal="center" vertical="center" wrapText="1"/>
      <protection hidden="1"/>
    </xf>
    <xf numFmtId="164" fontId="4" fillId="18" borderId="0" xfId="0" applyFont="1" applyFill="1" applyAlignment="1" applyProtection="1">
      <alignment horizontal="center" vertical="center" wrapText="1"/>
      <protection hidden="1"/>
    </xf>
    <xf numFmtId="164" fontId="4" fillId="18" borderId="21" xfId="0" applyFont="1" applyFill="1" applyBorder="1" applyAlignment="1" applyProtection="1">
      <alignment horizontal="center" vertical="center" wrapText="1"/>
      <protection hidden="1"/>
    </xf>
    <xf numFmtId="164" fontId="5" fillId="40" borderId="0" xfId="0" applyFont="1" applyFill="1" applyAlignment="1" applyProtection="1">
      <alignment horizontal="center"/>
      <protection hidden="1"/>
    </xf>
    <xf numFmtId="164" fontId="5" fillId="24" borderId="57" xfId="0" applyFont="1" applyFill="1" applyBorder="1" applyProtection="1">
      <protection hidden="1"/>
    </xf>
    <xf numFmtId="164" fontId="59" fillId="0" borderId="38" xfId="0" applyFont="1" applyBorder="1" applyProtection="1">
      <protection locked="0" hidden="1"/>
    </xf>
    <xf numFmtId="164" fontId="131" fillId="18" borderId="0" xfId="0" applyFont="1" applyFill="1" applyAlignment="1" applyProtection="1">
      <alignment horizontal="center" vertical="center" wrapText="1"/>
      <protection hidden="1"/>
    </xf>
    <xf numFmtId="1" fontId="5" fillId="0" borderId="26" xfId="0" applyNumberFormat="1" applyFont="1" applyBorder="1" applyAlignment="1" applyProtection="1">
      <alignment horizontal="center" vertical="center" wrapText="1"/>
      <protection hidden="1"/>
    </xf>
    <xf numFmtId="164" fontId="0" fillId="48" borderId="234" xfId="0" applyFill="1" applyBorder="1" applyProtection="1">
      <protection hidden="1"/>
    </xf>
    <xf numFmtId="164" fontId="32" fillId="18" borderId="237" xfId="0" applyFont="1" applyFill="1" applyBorder="1" applyAlignment="1" applyProtection="1">
      <alignment vertical="center" wrapText="1"/>
      <protection hidden="1"/>
    </xf>
    <xf numFmtId="164" fontId="32" fillId="38" borderId="26" xfId="0" applyFont="1" applyFill="1" applyBorder="1" applyAlignment="1" applyProtection="1">
      <alignment vertical="center" wrapText="1"/>
      <protection hidden="1"/>
    </xf>
    <xf numFmtId="164" fontId="32" fillId="48" borderId="238" xfId="0" applyFont="1" applyFill="1" applyBorder="1" applyAlignment="1" applyProtection="1">
      <alignment vertical="center"/>
      <protection hidden="1"/>
    </xf>
    <xf numFmtId="164" fontId="5" fillId="18" borderId="234" xfId="0" applyFont="1" applyFill="1" applyBorder="1" applyAlignment="1" applyProtection="1">
      <alignment horizontal="center" vertical="center" wrapText="1"/>
      <protection hidden="1"/>
    </xf>
    <xf numFmtId="164" fontId="159" fillId="39" borderId="198" xfId="0" applyFont="1" applyFill="1" applyBorder="1" applyAlignment="1" applyProtection="1">
      <alignment horizontal="center" vertical="center" wrapText="1"/>
      <protection hidden="1"/>
    </xf>
    <xf numFmtId="1" fontId="5" fillId="39" borderId="238" xfId="0" applyNumberFormat="1" applyFont="1" applyFill="1" applyBorder="1" applyAlignment="1" applyProtection="1">
      <alignment horizontal="center" vertical="center" wrapText="1"/>
      <protection hidden="1"/>
    </xf>
    <xf numFmtId="164" fontId="7" fillId="18" borderId="146" xfId="0" applyFont="1" applyFill="1" applyBorder="1" applyAlignment="1" applyProtection="1">
      <alignment vertical="center" wrapText="1"/>
      <protection hidden="1"/>
    </xf>
    <xf numFmtId="164" fontId="13" fillId="18" borderId="247" xfId="0" applyFont="1" applyFill="1" applyBorder="1" applyProtection="1">
      <protection hidden="1"/>
    </xf>
    <xf numFmtId="164" fontId="5" fillId="39" borderId="0" xfId="0" applyFont="1" applyFill="1" applyAlignment="1" applyProtection="1">
      <alignment vertical="center"/>
      <protection hidden="1"/>
    </xf>
    <xf numFmtId="164" fontId="147" fillId="0" borderId="0" xfId="0" applyFont="1" applyProtection="1">
      <protection hidden="1"/>
    </xf>
    <xf numFmtId="164" fontId="32" fillId="18" borderId="73" xfId="0" applyFont="1" applyFill="1" applyBorder="1" applyProtection="1">
      <protection hidden="1"/>
    </xf>
    <xf numFmtId="164" fontId="32" fillId="18" borderId="123" xfId="0" applyFont="1" applyFill="1" applyBorder="1" applyAlignment="1" applyProtection="1">
      <alignment horizontal="center" vertical="center" wrapText="1"/>
      <protection hidden="1"/>
    </xf>
    <xf numFmtId="164" fontId="4" fillId="39" borderId="0" xfId="0" applyFont="1" applyFill="1" applyProtection="1">
      <protection locked="0"/>
    </xf>
    <xf numFmtId="164" fontId="0" fillId="20" borderId="247" xfId="0" applyFill="1" applyBorder="1" applyAlignment="1" applyProtection="1">
      <alignment horizontal="center"/>
      <protection locked="0"/>
    </xf>
    <xf numFmtId="164" fontId="0" fillId="41" borderId="247" xfId="0" applyFill="1" applyBorder="1" applyAlignment="1" applyProtection="1">
      <alignment horizontal="center"/>
      <protection locked="0"/>
    </xf>
    <xf numFmtId="2" fontId="0" fillId="18" borderId="247" xfId="0" applyNumberFormat="1" applyFill="1" applyBorder="1" applyAlignment="1" applyProtection="1">
      <alignment horizontal="center"/>
      <protection locked="0"/>
    </xf>
    <xf numFmtId="164" fontId="0" fillId="18" borderId="247" xfId="0" applyFill="1" applyBorder="1" applyAlignment="1" applyProtection="1">
      <alignment horizontal="center"/>
      <protection locked="0"/>
    </xf>
    <xf numFmtId="170" fontId="0" fillId="0" borderId="247" xfId="0" applyNumberFormat="1" applyBorder="1" applyAlignment="1" applyProtection="1">
      <alignment horizontal="center"/>
      <protection locked="0"/>
    </xf>
    <xf numFmtId="0" fontId="4" fillId="20" borderId="247" xfId="0" applyNumberFormat="1" applyFont="1" applyFill="1" applyBorder="1" applyAlignment="1" applyProtection="1">
      <alignment horizontal="center"/>
      <protection locked="0"/>
    </xf>
    <xf numFmtId="0" fontId="0" fillId="20" borderId="247" xfId="0" applyNumberFormat="1" applyFill="1" applyBorder="1" applyAlignment="1" applyProtection="1">
      <alignment horizontal="center"/>
      <protection locked="0"/>
    </xf>
    <xf numFmtId="164" fontId="165" fillId="18" borderId="0" xfId="0" applyFont="1" applyFill="1" applyProtection="1">
      <protection hidden="1"/>
    </xf>
    <xf numFmtId="164" fontId="165" fillId="18" borderId="0" xfId="0" applyFont="1" applyFill="1"/>
    <xf numFmtId="164" fontId="155" fillId="18" borderId="34" xfId="0" applyFont="1" applyFill="1" applyBorder="1" applyAlignment="1" applyProtection="1">
      <alignment vertical="center" wrapText="1" shrinkToFit="1"/>
      <protection hidden="1"/>
    </xf>
    <xf numFmtId="164" fontId="155" fillId="18" borderId="35" xfId="0" applyFont="1" applyFill="1" applyBorder="1" applyAlignment="1" applyProtection="1">
      <alignment vertical="center" wrapText="1" shrinkToFit="1"/>
      <protection hidden="1"/>
    </xf>
    <xf numFmtId="164" fontId="155" fillId="18" borderId="131" xfId="0" applyFont="1" applyFill="1" applyBorder="1" applyAlignment="1" applyProtection="1">
      <alignment vertical="center" wrapText="1" shrinkToFit="1"/>
      <protection hidden="1"/>
    </xf>
    <xf numFmtId="164" fontId="167" fillId="24" borderId="22" xfId="0" applyFont="1" applyFill="1" applyBorder="1" applyAlignment="1" applyProtection="1">
      <alignment vertical="center"/>
      <protection hidden="1"/>
    </xf>
    <xf numFmtId="164" fontId="167" fillId="24" borderId="35" xfId="0" applyFont="1" applyFill="1" applyBorder="1" applyAlignment="1" applyProtection="1">
      <alignment vertical="center"/>
      <protection hidden="1"/>
    </xf>
    <xf numFmtId="164" fontId="167" fillId="24" borderId="25" xfId="0" applyFont="1" applyFill="1" applyBorder="1" applyAlignment="1" applyProtection="1">
      <alignment vertical="center"/>
      <protection hidden="1"/>
    </xf>
    <xf numFmtId="164" fontId="167" fillId="18" borderId="24" xfId="0" applyFont="1" applyFill="1" applyBorder="1" applyAlignment="1" applyProtection="1">
      <alignment horizontal="center" vertical="center"/>
      <protection hidden="1"/>
    </xf>
    <xf numFmtId="164" fontId="155" fillId="18" borderId="120" xfId="0" applyFont="1" applyFill="1" applyBorder="1" applyAlignment="1" applyProtection="1">
      <alignment horizontal="center" vertical="center" wrapText="1"/>
      <protection hidden="1"/>
    </xf>
    <xf numFmtId="164" fontId="168" fillId="18" borderId="0" xfId="0" applyFont="1" applyFill="1" applyProtection="1">
      <protection hidden="1"/>
    </xf>
    <xf numFmtId="164" fontId="165" fillId="0" borderId="0" xfId="0" applyFont="1" applyProtection="1">
      <protection hidden="1"/>
    </xf>
    <xf numFmtId="164" fontId="147" fillId="0" borderId="0" xfId="0" applyFont="1"/>
    <xf numFmtId="164" fontId="4" fillId="0" borderId="191" xfId="0" applyFont="1" applyBorder="1"/>
    <xf numFmtId="164" fontId="5" fillId="0" borderId="233" xfId="0" applyFont="1" applyBorder="1" applyAlignment="1" applyProtection="1">
      <alignment horizontal="center" vertical="center" wrapText="1"/>
      <protection hidden="1"/>
    </xf>
    <xf numFmtId="164" fontId="147" fillId="0" borderId="0" xfId="0" applyFont="1" applyAlignment="1" applyProtection="1">
      <alignment horizontal="center"/>
      <protection hidden="1"/>
    </xf>
    <xf numFmtId="164" fontId="147" fillId="18" borderId="0" xfId="0" applyFont="1" applyFill="1" applyProtection="1">
      <protection hidden="1"/>
    </xf>
    <xf numFmtId="164" fontId="147" fillId="18" borderId="0" xfId="0" applyFont="1" applyFill="1" applyAlignment="1" applyProtection="1">
      <alignment horizontal="center"/>
      <protection hidden="1"/>
    </xf>
    <xf numFmtId="1" fontId="147" fillId="0" borderId="0" xfId="0" applyNumberFormat="1" applyFont="1" applyAlignment="1" applyProtection="1">
      <alignment horizontal="center"/>
      <protection hidden="1"/>
    </xf>
    <xf numFmtId="1" fontId="147" fillId="0" borderId="0" xfId="0" applyNumberFormat="1" applyFont="1" applyProtection="1">
      <protection hidden="1"/>
    </xf>
    <xf numFmtId="1" fontId="147" fillId="18" borderId="0" xfId="0" applyNumberFormat="1" applyFont="1" applyFill="1" applyProtection="1">
      <protection hidden="1"/>
    </xf>
    <xf numFmtId="0" fontId="147" fillId="18" borderId="0" xfId="0" applyNumberFormat="1" applyFont="1" applyFill="1" applyProtection="1">
      <protection hidden="1"/>
    </xf>
    <xf numFmtId="164" fontId="147" fillId="0" borderId="0" xfId="0" applyFont="1" applyAlignment="1">
      <alignment horizontal="center"/>
    </xf>
    <xf numFmtId="164" fontId="147" fillId="0" borderId="0" xfId="0" applyFont="1" applyAlignment="1" applyProtection="1">
      <alignment horizontal="center"/>
      <protection locked="0"/>
    </xf>
    <xf numFmtId="164" fontId="150" fillId="0" borderId="0" xfId="0" applyFont="1" applyAlignment="1" applyProtection="1">
      <alignment horizontal="left"/>
      <protection hidden="1"/>
    </xf>
    <xf numFmtId="164" fontId="150" fillId="0" borderId="0" xfId="0" applyFont="1" applyAlignment="1" applyProtection="1">
      <alignment horizontal="right"/>
      <protection hidden="1"/>
    </xf>
    <xf numFmtId="15" fontId="169" fillId="0" borderId="0" xfId="0" applyNumberFormat="1" applyFont="1" applyAlignment="1" applyProtection="1">
      <alignment horizontal="left"/>
      <protection hidden="1"/>
    </xf>
    <xf numFmtId="0" fontId="170" fillId="0" borderId="0" xfId="0" applyNumberFormat="1" applyFont="1" applyProtection="1">
      <protection hidden="1"/>
    </xf>
    <xf numFmtId="164" fontId="147" fillId="18" borderId="0" xfId="0" quotePrefix="1" applyFont="1" applyFill="1" applyAlignment="1" applyProtection="1">
      <alignment horizontal="center"/>
      <protection hidden="1"/>
    </xf>
    <xf numFmtId="164" fontId="5" fillId="0" borderId="272" xfId="0" applyFont="1" applyBorder="1" applyAlignment="1" applyProtection="1">
      <alignment horizontal="center" vertical="center" wrapText="1"/>
      <protection hidden="1"/>
    </xf>
    <xf numFmtId="164" fontId="20" fillId="45" borderId="213" xfId="0" applyFont="1" applyFill="1" applyBorder="1" applyAlignment="1" applyProtection="1">
      <alignment horizontal="center"/>
      <protection hidden="1"/>
    </xf>
    <xf numFmtId="164" fontId="6" fillId="18" borderId="0" xfId="0" applyFont="1" applyFill="1" applyAlignment="1" applyProtection="1">
      <alignment horizontal="left"/>
      <protection hidden="1"/>
    </xf>
    <xf numFmtId="164" fontId="7" fillId="19" borderId="52" xfId="0" applyFont="1" applyFill="1" applyBorder="1" applyAlignment="1" applyProtection="1">
      <alignment horizontal="left"/>
      <protection hidden="1"/>
    </xf>
    <xf numFmtId="164" fontId="7" fillId="19" borderId="96" xfId="0" applyFont="1" applyFill="1" applyBorder="1" applyAlignment="1" applyProtection="1">
      <alignment horizontal="left"/>
      <protection hidden="1"/>
    </xf>
    <xf numFmtId="164" fontId="0" fillId="0" borderId="265" xfId="0" applyBorder="1"/>
    <xf numFmtId="164" fontId="0" fillId="0" borderId="282" xfId="0" applyBorder="1"/>
    <xf numFmtId="164" fontId="5" fillId="18" borderId="152" xfId="0" applyFont="1" applyFill="1" applyBorder="1" applyAlignment="1" applyProtection="1">
      <alignment horizontal="center" vertical="center" wrapText="1"/>
      <protection hidden="1"/>
    </xf>
    <xf numFmtId="164" fontId="0" fillId="0" borderId="35" xfId="0" applyBorder="1" applyProtection="1">
      <protection locked="0"/>
    </xf>
    <xf numFmtId="164" fontId="14" fillId="0" borderId="14" xfId="0" applyFont="1" applyBorder="1"/>
    <xf numFmtId="164" fontId="0" fillId="0" borderId="14" xfId="0" applyBorder="1" applyProtection="1">
      <protection locked="0"/>
    </xf>
    <xf numFmtId="1" fontId="0" fillId="0" borderId="14" xfId="0" applyNumberFormat="1" applyBorder="1" applyProtection="1">
      <protection locked="0"/>
    </xf>
    <xf numFmtId="0" fontId="89" fillId="18" borderId="21" xfId="0" applyNumberFormat="1" applyFont="1" applyFill="1" applyBorder="1" applyAlignment="1" applyProtection="1">
      <alignment horizontal="left"/>
      <protection locked="0"/>
    </xf>
    <xf numFmtId="0" fontId="123" fillId="0" borderId="62" xfId="0" applyNumberFormat="1" applyFont="1" applyBorder="1" applyProtection="1">
      <protection locked="0"/>
    </xf>
    <xf numFmtId="0" fontId="89" fillId="18" borderId="13" xfId="0" applyNumberFormat="1" applyFont="1" applyFill="1" applyBorder="1" applyAlignment="1" applyProtection="1">
      <alignment horizontal="left"/>
      <protection locked="0"/>
    </xf>
    <xf numFmtId="164" fontId="7" fillId="19" borderId="244" xfId="0" applyFont="1" applyFill="1" applyBorder="1" applyAlignment="1" applyProtection="1">
      <alignment horizontal="left"/>
      <protection hidden="1"/>
    </xf>
    <xf numFmtId="164" fontId="20" fillId="45" borderId="262" xfId="0" applyFont="1" applyFill="1" applyBorder="1" applyAlignment="1" applyProtection="1">
      <alignment horizontal="center"/>
      <protection hidden="1"/>
    </xf>
    <xf numFmtId="164" fontId="7" fillId="19" borderId="52" xfId="0" applyFont="1" applyFill="1" applyBorder="1" applyProtection="1">
      <protection hidden="1"/>
    </xf>
    <xf numFmtId="164" fontId="7" fillId="19" borderId="96" xfId="0" applyFont="1" applyFill="1" applyBorder="1" applyProtection="1">
      <protection hidden="1"/>
    </xf>
    <xf numFmtId="164" fontId="7" fillId="19" borderId="168" xfId="0" applyFont="1" applyFill="1" applyBorder="1" applyProtection="1">
      <protection hidden="1"/>
    </xf>
    <xf numFmtId="164" fontId="7" fillId="19" borderId="258" xfId="0" applyFont="1" applyFill="1" applyBorder="1" applyProtection="1">
      <protection hidden="1"/>
    </xf>
    <xf numFmtId="164" fontId="7" fillId="19" borderId="259" xfId="0" applyFont="1" applyFill="1" applyBorder="1" applyProtection="1">
      <protection hidden="1"/>
    </xf>
    <xf numFmtId="164" fontId="71" fillId="18" borderId="215" xfId="0" applyFont="1" applyFill="1" applyBorder="1" applyAlignment="1">
      <alignment wrapText="1"/>
    </xf>
    <xf numFmtId="164" fontId="71" fillId="18" borderId="15" xfId="0" applyFont="1" applyFill="1" applyBorder="1" applyAlignment="1">
      <alignment wrapText="1"/>
    </xf>
    <xf numFmtId="2" fontId="7" fillId="42" borderId="29" xfId="0" applyNumberFormat="1" applyFont="1" applyFill="1" applyBorder="1" applyProtection="1">
      <protection hidden="1"/>
    </xf>
    <xf numFmtId="164" fontId="7" fillId="42" borderId="26" xfId="0" applyFont="1" applyFill="1" applyBorder="1" applyProtection="1">
      <protection hidden="1"/>
    </xf>
    <xf numFmtId="1" fontId="7" fillId="39" borderId="15" xfId="0" applyNumberFormat="1" applyFont="1" applyFill="1" applyBorder="1" applyAlignment="1" applyProtection="1">
      <alignment horizontal="right"/>
      <protection locked="0"/>
    </xf>
    <xf numFmtId="164" fontId="7" fillId="39" borderId="215" xfId="0" applyFont="1" applyFill="1" applyBorder="1" applyAlignment="1" applyProtection="1">
      <alignment horizontal="right"/>
      <protection locked="0"/>
    </xf>
    <xf numFmtId="164" fontId="7" fillId="39" borderId="19" xfId="0" applyFont="1" applyFill="1" applyBorder="1" applyAlignment="1" applyProtection="1">
      <alignment horizontal="right"/>
      <protection locked="0"/>
    </xf>
    <xf numFmtId="164" fontId="7" fillId="42" borderId="32" xfId="0" applyFont="1" applyFill="1" applyBorder="1" applyProtection="1">
      <protection hidden="1"/>
    </xf>
    <xf numFmtId="164" fontId="7" fillId="18" borderId="288" xfId="0" applyFont="1" applyFill="1" applyBorder="1" applyProtection="1">
      <protection locked="0"/>
    </xf>
    <xf numFmtId="164" fontId="114" fillId="19" borderId="30" xfId="0" applyFont="1" applyFill="1" applyBorder="1" applyAlignment="1" applyProtection="1">
      <alignment horizontal="center"/>
      <protection hidden="1"/>
    </xf>
    <xf numFmtId="164" fontId="7" fillId="19" borderId="162" xfId="0" applyFont="1" applyFill="1" applyBorder="1" applyProtection="1">
      <protection hidden="1"/>
    </xf>
    <xf numFmtId="2" fontId="4" fillId="18" borderId="289" xfId="0" applyNumberFormat="1" applyFont="1" applyFill="1" applyBorder="1" applyAlignment="1" applyProtection="1">
      <alignment horizontal="right"/>
      <protection locked="0"/>
    </xf>
    <xf numFmtId="164" fontId="0" fillId="19" borderId="28" xfId="0" applyFill="1" applyBorder="1"/>
    <xf numFmtId="164" fontId="6" fillId="39" borderId="0" xfId="0" applyFont="1" applyFill="1" applyProtection="1">
      <protection hidden="1"/>
    </xf>
    <xf numFmtId="164" fontId="9" fillId="39" borderId="0" xfId="0" applyFont="1" applyFill="1" applyProtection="1">
      <protection hidden="1"/>
    </xf>
    <xf numFmtId="164" fontId="7" fillId="41" borderId="287" xfId="0" applyFont="1" applyFill="1" applyBorder="1" applyAlignment="1" applyProtection="1">
      <alignment horizontal="center"/>
      <protection locked="0"/>
    </xf>
    <xf numFmtId="164" fontId="10" fillId="39" borderId="0" xfId="0" applyFont="1" applyFill="1" applyProtection="1">
      <protection hidden="1"/>
    </xf>
    <xf numFmtId="164" fontId="38" fillId="39" borderId="0" xfId="0" applyFont="1" applyFill="1" applyAlignment="1" applyProtection="1">
      <alignment horizontal="right"/>
      <protection hidden="1"/>
    </xf>
    <xf numFmtId="164" fontId="4" fillId="39" borderId="100" xfId="0" applyFont="1" applyFill="1" applyBorder="1" applyProtection="1">
      <protection locked="0" hidden="1"/>
    </xf>
    <xf numFmtId="164" fontId="0" fillId="39" borderId="24" xfId="0" applyFill="1" applyBorder="1" applyProtection="1">
      <protection hidden="1"/>
    </xf>
    <xf numFmtId="164" fontId="0" fillId="39" borderId="24" xfId="0" applyFill="1" applyBorder="1"/>
    <xf numFmtId="164" fontId="6" fillId="39" borderId="21" xfId="0" applyFont="1" applyFill="1" applyBorder="1" applyProtection="1">
      <protection hidden="1"/>
    </xf>
    <xf numFmtId="2" fontId="7" fillId="39" borderId="16" xfId="0" applyNumberFormat="1" applyFont="1" applyFill="1" applyBorder="1" applyAlignment="1" applyProtection="1">
      <alignment horizontal="right"/>
      <protection locked="0"/>
    </xf>
    <xf numFmtId="2" fontId="7" fillId="39" borderId="15" xfId="0" applyNumberFormat="1" applyFont="1" applyFill="1" applyBorder="1" applyAlignment="1" applyProtection="1">
      <alignment horizontal="right"/>
      <protection locked="0"/>
    </xf>
    <xf numFmtId="164" fontId="7" fillId="39" borderId="10" xfId="0" applyFont="1" applyFill="1" applyBorder="1" applyProtection="1">
      <protection locked="0"/>
    </xf>
    <xf numFmtId="164" fontId="10" fillId="39" borderId="0" xfId="0" applyFont="1" applyFill="1" applyAlignment="1" applyProtection="1">
      <alignment horizontal="center"/>
      <protection hidden="1"/>
    </xf>
    <xf numFmtId="172" fontId="13" fillId="39" borderId="126" xfId="0" applyNumberFormat="1" applyFont="1" applyFill="1" applyBorder="1" applyAlignment="1" applyProtection="1">
      <alignment horizontal="right" indent="1"/>
      <protection locked="0" hidden="1"/>
    </xf>
    <xf numFmtId="164" fontId="7" fillId="39" borderId="0" xfId="0" applyFont="1" applyFill="1" applyProtection="1">
      <protection hidden="1"/>
    </xf>
    <xf numFmtId="172" fontId="13" fillId="39" borderId="143" xfId="0" applyNumberFormat="1" applyFont="1" applyFill="1" applyBorder="1" applyAlignment="1" applyProtection="1">
      <alignment horizontal="right" indent="1"/>
      <protection locked="0" hidden="1"/>
    </xf>
    <xf numFmtId="164" fontId="38" fillId="39" borderId="0" xfId="0" applyFont="1" applyFill="1" applyAlignment="1" applyProtection="1">
      <alignment horizontal="left"/>
      <protection hidden="1"/>
    </xf>
    <xf numFmtId="1" fontId="6" fillId="39" borderId="0" xfId="0" applyNumberFormat="1" applyFont="1" applyFill="1" applyAlignment="1" applyProtection="1">
      <alignment horizontal="right"/>
      <protection hidden="1"/>
    </xf>
    <xf numFmtId="164" fontId="7" fillId="39" borderId="0" xfId="0" applyFont="1" applyFill="1" applyAlignment="1" applyProtection="1">
      <alignment horizontal="left"/>
      <protection hidden="1"/>
    </xf>
    <xf numFmtId="164" fontId="7" fillId="41" borderId="290" xfId="0" applyFont="1" applyFill="1" applyBorder="1" applyAlignment="1" applyProtection="1">
      <alignment horizontal="left" vertical="center" indent="1"/>
      <protection locked="0"/>
    </xf>
    <xf numFmtId="2" fontId="7" fillId="42" borderId="291" xfId="0" applyNumberFormat="1" applyFont="1" applyFill="1" applyBorder="1" applyProtection="1">
      <protection hidden="1"/>
    </xf>
    <xf numFmtId="164" fontId="7" fillId="42" borderId="25" xfId="0" applyFont="1" applyFill="1" applyBorder="1" applyProtection="1">
      <protection hidden="1"/>
    </xf>
    <xf numFmtId="164" fontId="7" fillId="41" borderId="292" xfId="0" applyFont="1" applyFill="1" applyBorder="1" applyAlignment="1" applyProtection="1">
      <alignment horizontal="left" indent="1"/>
      <protection locked="0"/>
    </xf>
    <xf numFmtId="164" fontId="7" fillId="41" borderId="19" xfId="0" applyFont="1" applyFill="1" applyBorder="1" applyAlignment="1" applyProtection="1">
      <alignment horizontal="left" indent="1"/>
      <protection locked="0"/>
    </xf>
    <xf numFmtId="164" fontId="0" fillId="42" borderId="35" xfId="0" applyFill="1" applyBorder="1" applyProtection="1">
      <protection hidden="1"/>
    </xf>
    <xf numFmtId="164" fontId="0" fillId="42" borderId="0" xfId="0" applyFill="1" applyProtection="1">
      <protection hidden="1"/>
    </xf>
    <xf numFmtId="164" fontId="0" fillId="42" borderId="23" xfId="0" applyFill="1" applyBorder="1" applyProtection="1">
      <protection hidden="1"/>
    </xf>
    <xf numFmtId="0" fontId="147" fillId="39" borderId="0" xfId="122" applyFont="1" applyFill="1" applyAlignment="1">
      <alignment horizontal="left"/>
    </xf>
    <xf numFmtId="0" fontId="147" fillId="39" borderId="0" xfId="122" applyFont="1" applyFill="1" applyAlignment="1">
      <alignment wrapText="1"/>
    </xf>
    <xf numFmtId="2" fontId="147" fillId="39" borderId="0" xfId="122" applyNumberFormat="1" applyFont="1" applyFill="1"/>
    <xf numFmtId="0" fontId="147" fillId="39" borderId="0" xfId="122" applyFont="1" applyFill="1" applyAlignment="1">
      <alignment horizontal="center" wrapText="1"/>
    </xf>
    <xf numFmtId="164" fontId="10" fillId="39" borderId="90" xfId="0" applyFont="1" applyFill="1" applyBorder="1" applyAlignment="1" applyProtection="1">
      <alignment horizontal="right"/>
      <protection hidden="1"/>
    </xf>
    <xf numFmtId="164" fontId="7" fillId="0" borderId="24" xfId="0" applyFont="1" applyBorder="1" applyAlignment="1" applyProtection="1">
      <alignment horizontal="center" vertical="center" wrapText="1"/>
      <protection hidden="1"/>
    </xf>
    <xf numFmtId="1" fontId="5" fillId="39" borderId="0" xfId="0" applyNumberFormat="1" applyFont="1" applyFill="1" applyAlignment="1" applyProtection="1">
      <alignment horizontal="center" vertical="center" wrapText="1"/>
      <protection hidden="1"/>
    </xf>
    <xf numFmtId="164" fontId="7" fillId="39" borderId="0" xfId="0" applyFont="1" applyFill="1" applyAlignment="1" applyProtection="1">
      <alignment horizontal="center" vertical="center" wrapText="1"/>
      <protection hidden="1"/>
    </xf>
    <xf numFmtId="164" fontId="4" fillId="39" borderId="0" xfId="0" applyFont="1" applyFill="1" applyAlignment="1" applyProtection="1">
      <alignment horizontal="center" vertical="center" wrapText="1"/>
      <protection hidden="1"/>
    </xf>
    <xf numFmtId="164" fontId="7" fillId="0" borderId="0" xfId="0" applyFont="1" applyAlignment="1" applyProtection="1">
      <alignment horizontal="center" vertical="center" wrapText="1"/>
      <protection hidden="1"/>
    </xf>
    <xf numFmtId="172" fontId="6" fillId="18" borderId="294" xfId="0" applyNumberFormat="1" applyFont="1" applyFill="1" applyBorder="1" applyAlignment="1" applyProtection="1">
      <alignment horizontal="right" indent="1"/>
      <protection locked="0" hidden="1"/>
    </xf>
    <xf numFmtId="164" fontId="7" fillId="39" borderId="299" xfId="0" applyFont="1" applyFill="1" applyBorder="1" applyAlignment="1" applyProtection="1">
      <alignment horizontal="right"/>
      <protection locked="0"/>
    </xf>
    <xf numFmtId="164" fontId="7" fillId="41" borderId="299" xfId="0" applyFont="1" applyFill="1" applyBorder="1" applyAlignment="1" applyProtection="1">
      <alignment horizontal="left" indent="1"/>
      <protection locked="0"/>
    </xf>
    <xf numFmtId="164" fontId="7" fillId="42" borderId="72" xfId="0" applyFont="1" applyFill="1" applyBorder="1" applyProtection="1">
      <protection hidden="1"/>
    </xf>
    <xf numFmtId="164" fontId="7" fillId="39" borderId="73" xfId="0" applyFont="1" applyFill="1" applyBorder="1" applyAlignment="1" applyProtection="1">
      <alignment horizontal="right"/>
      <protection locked="0"/>
    </xf>
    <xf numFmtId="164" fontId="7" fillId="42" borderId="44" xfId="0" applyFont="1" applyFill="1" applyBorder="1" applyProtection="1">
      <protection hidden="1"/>
    </xf>
    <xf numFmtId="164" fontId="7" fillId="39" borderId="21" xfId="0" applyFont="1" applyFill="1" applyBorder="1" applyAlignment="1" applyProtection="1">
      <alignment horizontal="center" vertical="center" wrapText="1"/>
      <protection hidden="1"/>
    </xf>
    <xf numFmtId="164" fontId="4" fillId="39" borderId="21" xfId="0" applyFont="1" applyFill="1" applyBorder="1" applyAlignment="1" applyProtection="1">
      <alignment horizontal="center" vertical="center" wrapText="1"/>
      <protection hidden="1"/>
    </xf>
    <xf numFmtId="1" fontId="4" fillId="39" borderId="21" xfId="0" applyNumberFormat="1" applyFont="1" applyFill="1" applyBorder="1" applyAlignment="1" applyProtection="1">
      <alignment horizontal="center" vertical="center" wrapText="1"/>
      <protection hidden="1"/>
    </xf>
    <xf numFmtId="164" fontId="159" fillId="39" borderId="21" xfId="0" applyFont="1" applyFill="1" applyBorder="1" applyAlignment="1" applyProtection="1">
      <alignment horizontal="center" vertical="center" wrapText="1"/>
      <protection hidden="1"/>
    </xf>
    <xf numFmtId="1" fontId="5" fillId="39" borderId="21" xfId="0" applyNumberFormat="1" applyFont="1" applyFill="1" applyBorder="1" applyAlignment="1" applyProtection="1">
      <alignment horizontal="center" vertical="center" wrapText="1"/>
      <protection hidden="1"/>
    </xf>
    <xf numFmtId="164" fontId="5" fillId="39" borderId="21" xfId="0" applyFont="1" applyFill="1" applyBorder="1" applyAlignment="1" applyProtection="1">
      <alignment horizontal="center" vertical="center" wrapText="1"/>
      <protection hidden="1"/>
    </xf>
    <xf numFmtId="164" fontId="0" fillId="18" borderId="21" xfId="0" applyFill="1" applyBorder="1"/>
    <xf numFmtId="164" fontId="7" fillId="0" borderId="36" xfId="0" applyFont="1" applyBorder="1" applyAlignment="1" applyProtection="1">
      <alignment horizontal="center" vertical="center" wrapText="1"/>
      <protection hidden="1"/>
    </xf>
    <xf numFmtId="164" fontId="7" fillId="0" borderId="21" xfId="0" applyFont="1" applyBorder="1" applyAlignment="1" applyProtection="1">
      <alignment horizontal="center" vertical="center" wrapText="1"/>
      <protection hidden="1"/>
    </xf>
    <xf numFmtId="164" fontId="4" fillId="0" borderId="21" xfId="0" applyFont="1" applyBorder="1" applyAlignment="1" applyProtection="1">
      <alignment horizontal="center" vertical="center" wrapText="1"/>
      <protection hidden="1"/>
    </xf>
    <xf numFmtId="164" fontId="131" fillId="18" borderId="21" xfId="0" applyFont="1" applyFill="1" applyBorder="1" applyProtection="1">
      <protection hidden="1"/>
    </xf>
    <xf numFmtId="164" fontId="4" fillId="42" borderId="285" xfId="0" applyFont="1" applyFill="1" applyBorder="1" applyProtection="1">
      <protection hidden="1"/>
    </xf>
    <xf numFmtId="164" fontId="4" fillId="42" borderId="286" xfId="0" applyFont="1" applyFill="1" applyBorder="1" applyProtection="1">
      <protection hidden="1"/>
    </xf>
    <xf numFmtId="164" fontId="0" fillId="42" borderId="39" xfId="0" applyFill="1" applyBorder="1" applyProtection="1">
      <protection hidden="1"/>
    </xf>
    <xf numFmtId="164" fontId="7" fillId="42" borderId="40" xfId="0" applyFont="1" applyFill="1" applyBorder="1" applyProtection="1">
      <protection hidden="1"/>
    </xf>
    <xf numFmtId="164" fontId="0" fillId="42" borderId="285" xfId="0" applyFill="1" applyBorder="1" applyProtection="1">
      <protection hidden="1"/>
    </xf>
    <xf numFmtId="164" fontId="0" fillId="42" borderId="286" xfId="0" applyFill="1" applyBorder="1" applyProtection="1">
      <protection hidden="1"/>
    </xf>
    <xf numFmtId="164" fontId="13" fillId="39" borderId="92" xfId="0" applyFont="1" applyFill="1" applyBorder="1" applyAlignment="1" applyProtection="1">
      <alignment horizontal="center" vertical="center"/>
      <protection hidden="1"/>
    </xf>
    <xf numFmtId="164" fontId="13" fillId="39" borderId="45" xfId="0" applyFont="1" applyFill="1" applyBorder="1" applyAlignment="1" applyProtection="1">
      <alignment horizontal="center" vertical="center"/>
      <protection hidden="1"/>
    </xf>
    <xf numFmtId="1" fontId="13" fillId="39" borderId="12" xfId="0" applyNumberFormat="1" applyFont="1" applyFill="1" applyBorder="1" applyAlignment="1" applyProtection="1">
      <alignment horizontal="center" vertical="center"/>
      <protection hidden="1"/>
    </xf>
    <xf numFmtId="1" fontId="13" fillId="39" borderId="46" xfId="0" applyNumberFormat="1" applyFont="1" applyFill="1" applyBorder="1" applyAlignment="1" applyProtection="1">
      <alignment horizontal="center" vertical="center"/>
      <protection hidden="1"/>
    </xf>
    <xf numFmtId="164" fontId="127" fillId="20" borderId="301" xfId="0" applyFont="1" applyFill="1" applyBorder="1" applyAlignment="1">
      <alignment textRotation="90" wrapText="1"/>
    </xf>
    <xf numFmtId="164" fontId="144" fillId="20" borderId="167" xfId="0" applyFont="1" applyFill="1" applyBorder="1" applyAlignment="1">
      <alignment textRotation="90" wrapText="1"/>
    </xf>
    <xf numFmtId="164" fontId="144" fillId="20" borderId="303" xfId="0" applyFont="1" applyFill="1" applyBorder="1" applyAlignment="1">
      <alignment textRotation="90" wrapText="1"/>
    </xf>
    <xf numFmtId="164" fontId="32" fillId="49" borderId="0" xfId="0" applyFont="1" applyFill="1" applyAlignment="1" applyProtection="1">
      <alignment horizontal="left" vertical="center" indent="2"/>
      <protection hidden="1"/>
    </xf>
    <xf numFmtId="164" fontId="4" fillId="40" borderId="0" xfId="0" applyFont="1" applyFill="1" applyProtection="1">
      <protection hidden="1"/>
    </xf>
    <xf numFmtId="164" fontId="13" fillId="18" borderId="22" xfId="0" applyFont="1" applyFill="1" applyBorder="1" applyAlignment="1" applyProtection="1">
      <alignment vertical="center"/>
      <protection hidden="1"/>
    </xf>
    <xf numFmtId="164" fontId="13" fillId="18" borderId="35" xfId="0" applyFont="1" applyFill="1" applyBorder="1" applyAlignment="1" applyProtection="1">
      <alignment vertical="center"/>
      <protection hidden="1"/>
    </xf>
    <xf numFmtId="164" fontId="13" fillId="18" borderId="49" xfId="0" applyFont="1" applyFill="1" applyBorder="1" applyAlignment="1" applyProtection="1">
      <alignment vertical="center"/>
      <protection hidden="1"/>
    </xf>
    <xf numFmtId="164" fontId="13" fillId="18" borderId="21" xfId="0" applyFont="1" applyFill="1" applyBorder="1" applyAlignment="1" applyProtection="1">
      <alignment vertical="center"/>
      <protection hidden="1"/>
    </xf>
    <xf numFmtId="164" fontId="32" fillId="18" borderId="14" xfId="0" applyFont="1" applyFill="1" applyBorder="1" applyAlignment="1" applyProtection="1">
      <alignment vertical="center" wrapText="1"/>
      <protection hidden="1"/>
    </xf>
    <xf numFmtId="164" fontId="32" fillId="18" borderId="45" xfId="0" applyFont="1" applyFill="1" applyBorder="1" applyAlignment="1" applyProtection="1">
      <alignment vertical="center" wrapText="1"/>
      <protection hidden="1"/>
    </xf>
    <xf numFmtId="164" fontId="32" fillId="18" borderId="33" xfId="0" applyFont="1" applyFill="1" applyBorder="1" applyAlignment="1" applyProtection="1">
      <alignment vertical="center" wrapText="1"/>
      <protection hidden="1"/>
    </xf>
    <xf numFmtId="164" fontId="32" fillId="18" borderId="42" xfId="0" applyFont="1" applyFill="1" applyBorder="1" applyAlignment="1" applyProtection="1">
      <alignment vertical="center" wrapText="1"/>
      <protection hidden="1"/>
    </xf>
    <xf numFmtId="164" fontId="32" fillId="18" borderId="54" xfId="0" applyFont="1" applyFill="1" applyBorder="1" applyAlignment="1" applyProtection="1">
      <alignment vertical="center"/>
      <protection hidden="1"/>
    </xf>
    <xf numFmtId="164" fontId="32" fillId="18" borderId="246" xfId="0" applyFont="1" applyFill="1" applyBorder="1" applyProtection="1">
      <protection hidden="1"/>
    </xf>
    <xf numFmtId="164" fontId="32" fillId="18" borderId="243" xfId="0" applyFont="1" applyFill="1" applyBorder="1" applyProtection="1">
      <protection hidden="1"/>
    </xf>
    <xf numFmtId="164" fontId="32" fillId="18" borderId="245" xfId="0" applyFont="1" applyFill="1" applyBorder="1" applyProtection="1">
      <protection hidden="1"/>
    </xf>
    <xf numFmtId="164" fontId="4" fillId="0" borderId="0" xfId="0" applyFont="1" applyAlignment="1" applyProtection="1">
      <alignment vertical="center" wrapText="1"/>
      <protection hidden="1"/>
    </xf>
    <xf numFmtId="164" fontId="153" fillId="39" borderId="0" xfId="0" applyFont="1" applyFill="1" applyAlignment="1" applyProtection="1">
      <alignment vertical="center" wrapText="1"/>
      <protection hidden="1"/>
    </xf>
    <xf numFmtId="164" fontId="4" fillId="0" borderId="306" xfId="0" applyFont="1" applyBorder="1" applyAlignment="1" applyProtection="1">
      <alignment horizontal="center" vertical="center" wrapText="1"/>
      <protection hidden="1"/>
    </xf>
    <xf numFmtId="164" fontId="4" fillId="0" borderId="307" xfId="0" applyFont="1" applyBorder="1" applyAlignment="1" applyProtection="1">
      <alignment horizontal="center" vertical="center" wrapText="1"/>
      <protection hidden="1"/>
    </xf>
    <xf numFmtId="164" fontId="4" fillId="0" borderId="20" xfId="0" applyFont="1" applyBorder="1" applyAlignment="1" applyProtection="1">
      <alignment horizontal="center" vertical="center" wrapText="1"/>
      <protection hidden="1"/>
    </xf>
    <xf numFmtId="164" fontId="4" fillId="0" borderId="308" xfId="0" applyFont="1" applyBorder="1" applyAlignment="1" applyProtection="1">
      <alignment horizontal="center" vertical="center" wrapText="1"/>
      <protection hidden="1"/>
    </xf>
    <xf numFmtId="164" fontId="0" fillId="0" borderId="120" xfId="0" applyBorder="1"/>
    <xf numFmtId="164" fontId="4" fillId="0" borderId="185" xfId="0" applyFont="1" applyBorder="1" applyAlignment="1" applyProtection="1">
      <alignment horizontal="center" vertical="center" wrapText="1"/>
      <protection hidden="1"/>
    </xf>
    <xf numFmtId="164" fontId="4" fillId="0" borderId="309" xfId="0" applyFont="1" applyBorder="1" applyAlignment="1" applyProtection="1">
      <alignment horizontal="center" vertical="center" wrapText="1"/>
      <protection hidden="1"/>
    </xf>
    <xf numFmtId="164" fontId="4" fillId="0" borderId="310" xfId="0" applyFont="1" applyBorder="1" applyAlignment="1" applyProtection="1">
      <alignment horizontal="center" vertical="center" wrapText="1"/>
      <protection hidden="1"/>
    </xf>
    <xf numFmtId="164" fontId="4" fillId="18" borderId="309" xfId="0" applyFont="1" applyFill="1" applyBorder="1" applyAlignment="1" applyProtection="1">
      <alignment horizontal="center" vertical="center" wrapText="1"/>
      <protection hidden="1"/>
    </xf>
    <xf numFmtId="164" fontId="32" fillId="38" borderId="185" xfId="0" applyFont="1" applyFill="1" applyBorder="1" applyAlignment="1" applyProtection="1">
      <alignment vertical="center"/>
      <protection hidden="1"/>
    </xf>
    <xf numFmtId="164" fontId="4" fillId="0" borderId="196" xfId="0" applyFont="1" applyBorder="1" applyAlignment="1" applyProtection="1">
      <alignment horizontal="center" vertical="center" wrapText="1"/>
      <protection hidden="1"/>
    </xf>
    <xf numFmtId="164" fontId="4" fillId="0" borderId="151" xfId="0" applyFont="1" applyBorder="1" applyAlignment="1" applyProtection="1">
      <alignment horizontal="center" vertical="center" wrapText="1"/>
      <protection hidden="1"/>
    </xf>
    <xf numFmtId="164" fontId="32" fillId="49" borderId="121" xfId="0" applyFont="1" applyFill="1" applyBorder="1" applyAlignment="1" applyProtection="1">
      <alignment vertical="center"/>
      <protection hidden="1"/>
    </xf>
    <xf numFmtId="164" fontId="4" fillId="18" borderId="151" xfId="0" applyFont="1" applyFill="1" applyBorder="1" applyAlignment="1" applyProtection="1">
      <alignment horizontal="center" vertical="center" wrapText="1"/>
      <protection hidden="1"/>
    </xf>
    <xf numFmtId="164" fontId="4" fillId="18" borderId="310" xfId="0" applyFont="1" applyFill="1" applyBorder="1" applyAlignment="1" applyProtection="1">
      <alignment horizontal="center" vertical="center" wrapText="1"/>
      <protection hidden="1"/>
    </xf>
    <xf numFmtId="164" fontId="32" fillId="0" borderId="311" xfId="0" applyFont="1" applyBorder="1" applyAlignment="1" applyProtection="1">
      <alignment vertical="center"/>
      <protection hidden="1"/>
    </xf>
    <xf numFmtId="164" fontId="4" fillId="0" borderId="312" xfId="0" applyFont="1" applyBorder="1" applyAlignment="1" applyProtection="1">
      <alignment horizontal="center" vertical="center" wrapText="1"/>
      <protection hidden="1"/>
    </xf>
    <xf numFmtId="164" fontId="4" fillId="18" borderId="306" xfId="0" applyFont="1" applyFill="1" applyBorder="1" applyAlignment="1" applyProtection="1">
      <alignment horizontal="center" vertical="center" wrapText="1"/>
      <protection hidden="1"/>
    </xf>
    <xf numFmtId="164" fontId="32" fillId="38" borderId="312" xfId="0" applyFont="1" applyFill="1" applyBorder="1" applyAlignment="1" applyProtection="1">
      <alignment vertical="center"/>
      <protection hidden="1"/>
    </xf>
    <xf numFmtId="164" fontId="4" fillId="0" borderId="93" xfId="0" applyFont="1" applyBorder="1" applyAlignment="1" applyProtection="1">
      <alignment horizontal="center" vertical="center" wrapText="1"/>
      <protection hidden="1"/>
    </xf>
    <xf numFmtId="164" fontId="32" fillId="49" borderId="82" xfId="0" applyFont="1" applyFill="1" applyBorder="1" applyAlignment="1" applyProtection="1">
      <alignment vertical="center"/>
      <protection hidden="1"/>
    </xf>
    <xf numFmtId="164" fontId="4" fillId="18" borderId="93" xfId="0" applyFont="1" applyFill="1" applyBorder="1" applyAlignment="1" applyProtection="1">
      <alignment horizontal="center" vertical="center" wrapText="1"/>
      <protection hidden="1"/>
    </xf>
    <xf numFmtId="164" fontId="4" fillId="18" borderId="308" xfId="0" applyFont="1" applyFill="1" applyBorder="1" applyAlignment="1" applyProtection="1">
      <alignment horizontal="center" vertical="center" wrapText="1"/>
      <protection hidden="1"/>
    </xf>
    <xf numFmtId="164" fontId="4" fillId="0" borderId="60" xfId="0" applyFont="1" applyBorder="1" applyAlignment="1" applyProtection="1">
      <alignment horizontal="center" vertical="center" wrapText="1"/>
      <protection hidden="1"/>
    </xf>
    <xf numFmtId="164" fontId="13" fillId="0" borderId="0" xfId="0" applyFont="1" applyAlignment="1" applyProtection="1">
      <alignment vertical="center" wrapText="1" shrinkToFit="1"/>
      <protection hidden="1"/>
    </xf>
    <xf numFmtId="164" fontId="5" fillId="18" borderId="0" xfId="0" applyFont="1" applyFill="1" applyAlignment="1" applyProtection="1">
      <alignment horizontal="center" vertical="center" wrapText="1"/>
      <protection hidden="1"/>
    </xf>
    <xf numFmtId="1" fontId="4" fillId="0" borderId="21" xfId="0" applyNumberFormat="1" applyFont="1" applyBorder="1" applyAlignment="1" applyProtection="1">
      <alignment horizontal="center" vertical="center" wrapText="1"/>
      <protection hidden="1"/>
    </xf>
    <xf numFmtId="1" fontId="0" fillId="0" borderId="189" xfId="0" applyNumberFormat="1" applyBorder="1" applyAlignment="1" applyProtection="1">
      <alignment horizontal="center" vertical="center"/>
      <protection hidden="1"/>
    </xf>
    <xf numFmtId="1" fontId="0" fillId="0" borderId="73" xfId="0" applyNumberFormat="1" applyBorder="1" applyAlignment="1" applyProtection="1">
      <alignment horizontal="center" vertical="center"/>
      <protection hidden="1"/>
    </xf>
    <xf numFmtId="1" fontId="0" fillId="0" borderId="74" xfId="0" applyNumberFormat="1" applyBorder="1" applyAlignment="1" applyProtection="1">
      <alignment horizontal="center" vertical="center"/>
      <protection hidden="1"/>
    </xf>
    <xf numFmtId="1" fontId="4" fillId="0" borderId="296" xfId="0" applyNumberFormat="1" applyFont="1" applyBorder="1" applyAlignment="1" applyProtection="1">
      <alignment vertical="center" wrapText="1"/>
      <protection hidden="1"/>
    </xf>
    <xf numFmtId="164" fontId="128" fillId="39" borderId="0" xfId="0" applyFont="1" applyFill="1" applyAlignment="1" applyProtection="1">
      <alignment horizontal="center" vertical="center" wrapText="1"/>
      <protection hidden="1"/>
    </xf>
    <xf numFmtId="164" fontId="32" fillId="18" borderId="0" xfId="0" applyFont="1" applyFill="1" applyProtection="1">
      <protection hidden="1"/>
    </xf>
    <xf numFmtId="164" fontId="17" fillId="39" borderId="0" xfId="0" applyFont="1" applyFill="1" applyAlignment="1" applyProtection="1">
      <alignment vertical="center" wrapText="1" shrinkToFit="1"/>
      <protection hidden="1"/>
    </xf>
    <xf numFmtId="164" fontId="155" fillId="39" borderId="0" xfId="0" applyFont="1" applyFill="1" applyAlignment="1" applyProtection="1">
      <alignment vertical="center" wrapText="1" shrinkToFit="1"/>
      <protection hidden="1"/>
    </xf>
    <xf numFmtId="164" fontId="165" fillId="39" borderId="0" xfId="0" applyFont="1" applyFill="1"/>
    <xf numFmtId="164" fontId="4" fillId="39" borderId="198" xfId="0" applyFont="1" applyFill="1" applyBorder="1" applyAlignment="1" applyProtection="1">
      <alignment horizontal="center" vertical="center" wrapText="1"/>
      <protection hidden="1"/>
    </xf>
    <xf numFmtId="164" fontId="4" fillId="0" borderId="316" xfId="0" applyFont="1" applyBorder="1" applyAlignment="1" applyProtection="1">
      <alignment horizontal="center" vertical="center" wrapText="1"/>
      <protection hidden="1"/>
    </xf>
    <xf numFmtId="164" fontId="4" fillId="0" borderId="317" xfId="0" applyFont="1" applyBorder="1" applyAlignment="1" applyProtection="1">
      <alignment horizontal="center" vertical="center" wrapText="1"/>
      <protection hidden="1"/>
    </xf>
    <xf numFmtId="164" fontId="4" fillId="0" borderId="318" xfId="0" applyFont="1" applyBorder="1" applyAlignment="1" applyProtection="1">
      <alignment horizontal="center" vertical="center" wrapText="1"/>
      <protection hidden="1"/>
    </xf>
    <xf numFmtId="164" fontId="4" fillId="0" borderId="319" xfId="0" applyFont="1" applyBorder="1" applyAlignment="1" applyProtection="1">
      <alignment horizontal="center" vertical="center" wrapText="1"/>
      <protection hidden="1"/>
    </xf>
    <xf numFmtId="164" fontId="4" fillId="0" borderId="320" xfId="0" applyFont="1" applyBorder="1" applyAlignment="1" applyProtection="1">
      <alignment horizontal="center" vertical="center" wrapText="1"/>
      <protection hidden="1"/>
    </xf>
    <xf numFmtId="164" fontId="4" fillId="18" borderId="320" xfId="0" applyFont="1" applyFill="1" applyBorder="1" applyAlignment="1" applyProtection="1">
      <alignment horizontal="center" vertical="center" wrapText="1"/>
      <protection hidden="1"/>
    </xf>
    <xf numFmtId="164" fontId="7" fillId="39" borderId="322" xfId="0" applyFont="1" applyFill="1" applyBorder="1" applyAlignment="1" applyProtection="1">
      <alignment horizontal="center" vertical="center" wrapText="1"/>
      <protection hidden="1"/>
    </xf>
    <xf numFmtId="164" fontId="32" fillId="39" borderId="0" xfId="0" applyFont="1" applyFill="1" applyAlignment="1" applyProtection="1">
      <alignment horizontal="left" vertical="center"/>
      <protection hidden="1"/>
    </xf>
    <xf numFmtId="164" fontId="5" fillId="41" borderId="326" xfId="0" applyFont="1" applyFill="1" applyBorder="1" applyAlignment="1" applyProtection="1">
      <alignment horizontal="center" vertical="center"/>
      <protection locked="0"/>
    </xf>
    <xf numFmtId="164" fontId="4" fillId="0" borderId="49" xfId="0" applyFont="1" applyBorder="1" applyAlignment="1" applyProtection="1">
      <alignment horizontal="center" vertical="center" wrapText="1"/>
      <protection hidden="1"/>
    </xf>
    <xf numFmtId="164" fontId="32" fillId="18" borderId="305" xfId="0" applyFont="1" applyFill="1" applyBorder="1" applyProtection="1">
      <protection hidden="1"/>
    </xf>
    <xf numFmtId="164" fontId="5" fillId="41" borderId="148" xfId="0" applyFont="1" applyFill="1" applyBorder="1" applyAlignment="1" applyProtection="1">
      <alignment horizontal="center" vertical="center"/>
      <protection locked="0"/>
    </xf>
    <xf numFmtId="0" fontId="4" fillId="0" borderId="325" xfId="0" applyNumberFormat="1" applyFont="1" applyBorder="1" applyAlignment="1" applyProtection="1">
      <alignment horizontal="left" vertical="center"/>
      <protection locked="0"/>
    </xf>
    <xf numFmtId="2" fontId="4" fillId="0" borderId="299" xfId="0" applyNumberFormat="1" applyFont="1" applyBorder="1" applyAlignment="1" applyProtection="1">
      <alignment horizontal="center" vertical="center"/>
      <protection locked="0"/>
    </xf>
    <xf numFmtId="164" fontId="5" fillId="0" borderId="313" xfId="0" applyFont="1" applyBorder="1" applyAlignment="1" applyProtection="1">
      <alignment horizontal="center" vertical="center"/>
      <protection locked="0"/>
    </xf>
    <xf numFmtId="164" fontId="5" fillId="0" borderId="326" xfId="0" applyFont="1" applyBorder="1" applyAlignment="1" applyProtection="1">
      <alignment horizontal="center" vertical="center"/>
      <protection locked="0"/>
    </xf>
    <xf numFmtId="164" fontId="4" fillId="0" borderId="102" xfId="0" applyFont="1" applyBorder="1" applyProtection="1">
      <protection locked="0"/>
    </xf>
    <xf numFmtId="0" fontId="4" fillId="0" borderId="133" xfId="0" applyNumberFormat="1" applyFont="1" applyBorder="1" applyAlignment="1" applyProtection="1">
      <alignment horizontal="left" vertical="center"/>
      <protection locked="0"/>
    </xf>
    <xf numFmtId="2" fontId="4" fillId="0" borderId="88" xfId="0" applyNumberFormat="1" applyFont="1" applyBorder="1" applyAlignment="1" applyProtection="1">
      <alignment horizontal="center" vertical="center"/>
      <protection locked="0"/>
    </xf>
    <xf numFmtId="164" fontId="5" fillId="0" borderId="171" xfId="0" applyFont="1" applyBorder="1" applyAlignment="1" applyProtection="1">
      <alignment horizontal="center" vertical="center"/>
      <protection locked="0"/>
    </xf>
    <xf numFmtId="164" fontId="5" fillId="0" borderId="327" xfId="0" applyFont="1" applyBorder="1" applyAlignment="1" applyProtection="1">
      <alignment horizontal="center" vertical="center"/>
      <protection locked="0"/>
    </xf>
    <xf numFmtId="164" fontId="5" fillId="0" borderId="34" xfId="0" applyFont="1" applyBorder="1" applyAlignment="1" applyProtection="1">
      <alignment vertical="center"/>
      <protection locked="0"/>
    </xf>
    <xf numFmtId="164" fontId="5" fillId="0" borderId="35" xfId="0" applyFont="1" applyBorder="1" applyAlignment="1" applyProtection="1">
      <alignment vertical="center"/>
      <protection locked="0"/>
    </xf>
    <xf numFmtId="164" fontId="5" fillId="0" borderId="25" xfId="0" applyFont="1" applyBorder="1" applyAlignment="1" applyProtection="1">
      <alignment vertical="center"/>
      <protection locked="0"/>
    </xf>
    <xf numFmtId="164" fontId="151" fillId="39" borderId="0" xfId="0" applyFont="1" applyFill="1" applyAlignment="1" applyProtection="1">
      <alignment horizontal="center" vertical="center" wrapText="1"/>
      <protection hidden="1"/>
    </xf>
    <xf numFmtId="164" fontId="5" fillId="44" borderId="341" xfId="0" applyFont="1" applyFill="1" applyBorder="1" applyAlignment="1" applyProtection="1">
      <alignment horizontal="center" vertical="center" wrapText="1"/>
      <protection hidden="1"/>
    </xf>
    <xf numFmtId="164" fontId="5" fillId="44" borderId="17" xfId="0" applyFont="1" applyFill="1" applyBorder="1" applyAlignment="1" applyProtection="1">
      <alignment horizontal="center" vertical="center" wrapText="1"/>
      <protection hidden="1"/>
    </xf>
    <xf numFmtId="164" fontId="5" fillId="44" borderId="211" xfId="0" applyFont="1" applyFill="1" applyBorder="1" applyAlignment="1" applyProtection="1">
      <alignment horizontal="center" vertical="center" wrapText="1"/>
      <protection hidden="1"/>
    </xf>
    <xf numFmtId="164" fontId="4" fillId="0" borderId="22" xfId="0" applyFont="1" applyBorder="1" applyAlignment="1" applyProtection="1">
      <alignment horizontal="center" vertical="center" wrapText="1"/>
      <protection hidden="1"/>
    </xf>
    <xf numFmtId="164" fontId="4" fillId="0" borderId="240" xfId="0" applyFont="1" applyBorder="1" applyAlignment="1" applyProtection="1">
      <alignment horizontal="center" vertical="center" wrapText="1"/>
      <protection hidden="1"/>
    </xf>
    <xf numFmtId="164" fontId="4" fillId="0" borderId="326" xfId="0" applyFont="1" applyBorder="1" applyAlignment="1" applyProtection="1">
      <alignment horizontal="center" vertical="center" wrapText="1"/>
      <protection hidden="1"/>
    </xf>
    <xf numFmtId="164" fontId="32" fillId="18" borderId="305" xfId="0" applyFont="1" applyFill="1" applyBorder="1" applyAlignment="1" applyProtection="1">
      <alignment vertical="center" wrapText="1"/>
      <protection hidden="1"/>
    </xf>
    <xf numFmtId="164" fontId="32" fillId="18" borderId="201" xfId="0" applyFont="1" applyFill="1" applyBorder="1" applyAlignment="1" applyProtection="1">
      <alignment vertical="center"/>
      <protection hidden="1"/>
    </xf>
    <xf numFmtId="164" fontId="4" fillId="0" borderId="43" xfId="0" applyFont="1" applyBorder="1" applyAlignment="1" applyProtection="1">
      <alignment horizontal="center" vertical="center" wrapText="1"/>
      <protection hidden="1"/>
    </xf>
    <xf numFmtId="164" fontId="4" fillId="0" borderId="106" xfId="0" applyFont="1" applyBorder="1" applyAlignment="1" applyProtection="1">
      <alignment horizontal="center" vertical="center" wrapText="1"/>
      <protection hidden="1"/>
    </xf>
    <xf numFmtId="164" fontId="4" fillId="0" borderId="26" xfId="0" applyFont="1" applyBorder="1" applyAlignment="1" applyProtection="1">
      <alignment horizontal="center" vertical="center" wrapText="1"/>
      <protection hidden="1"/>
    </xf>
    <xf numFmtId="164" fontId="22" fillId="0" borderId="26" xfId="0" applyFont="1" applyBorder="1" applyAlignment="1" applyProtection="1">
      <alignment horizontal="center" vertical="center" wrapText="1"/>
      <protection hidden="1"/>
    </xf>
    <xf numFmtId="164" fontId="5" fillId="0" borderId="0" xfId="0" applyFont="1" applyAlignment="1" applyProtection="1">
      <alignment vertical="center"/>
      <protection locked="0"/>
    </xf>
    <xf numFmtId="164" fontId="134" fillId="39" borderId="24" xfId="0" applyFont="1" applyFill="1" applyBorder="1" applyAlignment="1" applyProtection="1">
      <alignment vertical="center"/>
      <protection hidden="1"/>
    </xf>
    <xf numFmtId="164" fontId="22" fillId="0" borderId="325" xfId="0" applyFont="1" applyBorder="1" applyAlignment="1" applyProtection="1">
      <alignment horizontal="center" vertical="center" wrapText="1"/>
      <protection hidden="1"/>
    </xf>
    <xf numFmtId="164" fontId="22" fillId="0" borderId="50" xfId="0" applyFont="1" applyBorder="1" applyAlignment="1" applyProtection="1">
      <alignment horizontal="center" vertical="center" wrapText="1"/>
      <protection hidden="1"/>
    </xf>
    <xf numFmtId="164" fontId="4" fillId="0" borderId="85" xfId="0" applyFont="1" applyBorder="1" applyAlignment="1" applyProtection="1">
      <alignment horizontal="right" vertical="center" indent="1"/>
      <protection hidden="1"/>
    </xf>
    <xf numFmtId="164" fontId="4" fillId="0" borderId="132" xfId="0" applyFont="1" applyBorder="1" applyAlignment="1" applyProtection="1">
      <alignment horizontal="center" vertical="center"/>
      <protection hidden="1"/>
    </xf>
    <xf numFmtId="164" fontId="5" fillId="41" borderId="132" xfId="0" applyFont="1" applyFill="1" applyBorder="1" applyAlignment="1" applyProtection="1">
      <alignment horizontal="center" vertical="center"/>
      <protection hidden="1"/>
    </xf>
    <xf numFmtId="164" fontId="5" fillId="41" borderId="86" xfId="0" applyFont="1" applyFill="1" applyBorder="1" applyAlignment="1" applyProtection="1">
      <alignment horizontal="center" vertical="center"/>
      <protection hidden="1"/>
    </xf>
    <xf numFmtId="164" fontId="4" fillId="0" borderId="244" xfId="0" applyFont="1" applyBorder="1" applyAlignment="1" applyProtection="1">
      <alignment horizontal="left" vertical="center"/>
      <protection hidden="1"/>
    </xf>
    <xf numFmtId="2" fontId="0" fillId="0" borderId="299" xfId="0" applyNumberFormat="1" applyBorder="1" applyAlignment="1" applyProtection="1">
      <alignment horizontal="center" vertical="center"/>
      <protection hidden="1"/>
    </xf>
    <xf numFmtId="164" fontId="4" fillId="0" borderId="299" xfId="0" applyFont="1" applyBorder="1" applyAlignment="1" applyProtection="1">
      <alignment horizontal="right" vertical="center" indent="1"/>
      <protection hidden="1"/>
    </xf>
    <xf numFmtId="164" fontId="4" fillId="0" borderId="325" xfId="0" applyFont="1" applyBorder="1" applyAlignment="1" applyProtection="1">
      <alignment horizontal="center" vertical="center"/>
      <protection hidden="1"/>
    </xf>
    <xf numFmtId="164" fontId="5" fillId="41" borderId="326" xfId="0" applyFont="1" applyFill="1" applyBorder="1" applyAlignment="1" applyProtection="1">
      <alignment horizontal="center" vertical="center"/>
      <protection hidden="1"/>
    </xf>
    <xf numFmtId="164" fontId="5" fillId="41" borderId="148" xfId="0" applyFont="1" applyFill="1" applyBorder="1" applyAlignment="1" applyProtection="1">
      <alignment horizontal="center" vertical="center"/>
      <protection hidden="1"/>
    </xf>
    <xf numFmtId="1" fontId="0" fillId="0" borderId="299" xfId="0" applyNumberFormat="1" applyBorder="1" applyAlignment="1" applyProtection="1">
      <alignment horizontal="center" vertical="center"/>
      <protection hidden="1"/>
    </xf>
    <xf numFmtId="164" fontId="4" fillId="0" borderId="88" xfId="0" applyFont="1" applyBorder="1" applyAlignment="1" applyProtection="1">
      <alignment horizontal="right" vertical="center" indent="1"/>
      <protection hidden="1"/>
    </xf>
    <xf numFmtId="164" fontId="4" fillId="0" borderId="133" xfId="0" applyFont="1" applyBorder="1" applyAlignment="1" applyProtection="1">
      <alignment horizontal="center" vertical="center"/>
      <protection hidden="1"/>
    </xf>
    <xf numFmtId="164" fontId="5" fillId="41" borderId="327" xfId="0" applyFont="1" applyFill="1" applyBorder="1" applyAlignment="1" applyProtection="1">
      <alignment horizontal="center" vertical="center"/>
      <protection hidden="1"/>
    </xf>
    <xf numFmtId="164" fontId="5" fillId="41" borderId="328" xfId="0" applyFont="1" applyFill="1" applyBorder="1" applyAlignment="1" applyProtection="1">
      <alignment horizontal="center" vertical="center"/>
      <protection hidden="1"/>
    </xf>
    <xf numFmtId="0" fontId="4" fillId="0" borderId="330" xfId="0" applyNumberFormat="1" applyFont="1" applyBorder="1" applyProtection="1">
      <protection hidden="1"/>
    </xf>
    <xf numFmtId="0" fontId="4" fillId="0" borderId="331" xfId="0" applyNumberFormat="1" applyFont="1" applyBorder="1" applyProtection="1">
      <protection hidden="1"/>
    </xf>
    <xf numFmtId="2" fontId="0" fillId="0" borderId="331" xfId="0" applyNumberFormat="1" applyBorder="1" applyAlignment="1" applyProtection="1">
      <alignment horizontal="center"/>
      <protection hidden="1"/>
    </xf>
    <xf numFmtId="164" fontId="4" fillId="0" borderId="331" xfId="0" applyFont="1" applyBorder="1" applyAlignment="1" applyProtection="1">
      <alignment horizontal="center"/>
      <protection hidden="1"/>
    </xf>
    <xf numFmtId="164" fontId="5" fillId="0" borderId="332" xfId="0" applyFont="1" applyBorder="1" applyAlignment="1" applyProtection="1">
      <alignment horizontal="center"/>
      <protection hidden="1"/>
    </xf>
    <xf numFmtId="164" fontId="5" fillId="41" borderId="333" xfId="0" applyFont="1" applyFill="1" applyBorder="1" applyAlignment="1" applyProtection="1">
      <alignment horizontal="center" vertical="center"/>
      <protection hidden="1"/>
    </xf>
    <xf numFmtId="164" fontId="5" fillId="41" borderId="334" xfId="0" applyFont="1" applyFill="1" applyBorder="1" applyAlignment="1" applyProtection="1">
      <alignment horizontal="center" vertical="center"/>
      <protection hidden="1"/>
    </xf>
    <xf numFmtId="0" fontId="4" fillId="0" borderId="335" xfId="0" applyNumberFormat="1" applyFont="1" applyBorder="1" applyProtection="1">
      <protection hidden="1"/>
    </xf>
    <xf numFmtId="0" fontId="4" fillId="0" borderId="313" xfId="0" applyNumberFormat="1" applyFont="1" applyBorder="1" applyProtection="1">
      <protection hidden="1"/>
    </xf>
    <xf numFmtId="2" fontId="0" fillId="0" borderId="313" xfId="0" applyNumberFormat="1" applyBorder="1" applyAlignment="1" applyProtection="1">
      <alignment horizontal="center"/>
      <protection hidden="1"/>
    </xf>
    <xf numFmtId="164" fontId="4" fillId="0" borderId="313" xfId="0" applyFont="1" applyBorder="1" applyAlignment="1" applyProtection="1">
      <alignment horizontal="center"/>
      <protection hidden="1"/>
    </xf>
    <xf numFmtId="164" fontId="5" fillId="0" borderId="326" xfId="0" applyFont="1" applyBorder="1" applyAlignment="1" applyProtection="1">
      <alignment horizontal="center"/>
      <protection hidden="1"/>
    </xf>
    <xf numFmtId="164" fontId="5" fillId="41" borderId="336" xfId="0" applyFont="1" applyFill="1" applyBorder="1" applyAlignment="1" applyProtection="1">
      <alignment horizontal="center" vertical="center"/>
      <protection hidden="1"/>
    </xf>
    <xf numFmtId="0" fontId="4" fillId="0" borderId="337" xfId="0" applyNumberFormat="1" applyFont="1" applyBorder="1" applyProtection="1">
      <protection hidden="1"/>
    </xf>
    <xf numFmtId="0" fontId="4" fillId="0" borderId="314" xfId="0" applyNumberFormat="1" applyFont="1" applyBorder="1" applyProtection="1">
      <protection hidden="1"/>
    </xf>
    <xf numFmtId="2" fontId="0" fillId="0" borderId="314" xfId="0" applyNumberFormat="1" applyBorder="1" applyAlignment="1" applyProtection="1">
      <alignment horizontal="center"/>
      <protection hidden="1"/>
    </xf>
    <xf numFmtId="164" fontId="4" fillId="0" borderId="314" xfId="0" applyFont="1" applyBorder="1" applyAlignment="1" applyProtection="1">
      <alignment horizontal="center"/>
      <protection hidden="1"/>
    </xf>
    <xf numFmtId="164" fontId="5" fillId="0" borderId="240" xfId="0" applyFont="1" applyBorder="1" applyAlignment="1" applyProtection="1">
      <alignment horizontal="center"/>
      <protection hidden="1"/>
    </xf>
    <xf numFmtId="0" fontId="4" fillId="0" borderId="338" xfId="0" applyNumberFormat="1" applyFont="1" applyBorder="1" applyProtection="1">
      <protection hidden="1"/>
    </xf>
    <xf numFmtId="0" fontId="4" fillId="0" borderId="329" xfId="0" applyNumberFormat="1" applyFont="1" applyBorder="1" applyProtection="1">
      <protection hidden="1"/>
    </xf>
    <xf numFmtId="2" fontId="0" fillId="0" borderId="329" xfId="0" applyNumberFormat="1" applyBorder="1" applyAlignment="1" applyProtection="1">
      <alignment horizontal="center"/>
      <protection hidden="1"/>
    </xf>
    <xf numFmtId="164" fontId="4" fillId="0" borderId="329" xfId="0" applyFont="1" applyBorder="1" applyAlignment="1" applyProtection="1">
      <alignment horizontal="center"/>
      <protection hidden="1"/>
    </xf>
    <xf numFmtId="164" fontId="5" fillId="0" borderId="339" xfId="0" applyFont="1" applyBorder="1" applyAlignment="1" applyProtection="1">
      <alignment horizontal="center"/>
      <protection hidden="1"/>
    </xf>
    <xf numFmtId="164" fontId="5" fillId="41" borderId="339" xfId="0" applyFont="1" applyFill="1" applyBorder="1" applyAlignment="1" applyProtection="1">
      <alignment horizontal="center" vertical="center"/>
      <protection hidden="1"/>
    </xf>
    <xf numFmtId="164" fontId="5" fillId="41" borderId="340" xfId="0" applyFont="1" applyFill="1" applyBorder="1" applyAlignment="1" applyProtection="1">
      <alignment horizontal="center" vertical="center"/>
      <protection hidden="1"/>
    </xf>
    <xf numFmtId="1" fontId="4" fillId="19" borderId="15" xfId="0" applyNumberFormat="1" applyFont="1" applyFill="1" applyBorder="1" applyAlignment="1" applyProtection="1">
      <alignment horizontal="center" vertical="center" wrapText="1"/>
      <protection hidden="1"/>
    </xf>
    <xf numFmtId="1" fontId="4" fillId="0" borderId="346" xfId="0" applyNumberFormat="1" applyFont="1" applyBorder="1" applyAlignment="1" applyProtection="1">
      <alignment horizontal="center" vertical="center" wrapText="1"/>
      <protection hidden="1"/>
    </xf>
    <xf numFmtId="164" fontId="144" fillId="20" borderId="26" xfId="0" applyFont="1" applyFill="1" applyBorder="1" applyAlignment="1">
      <alignment textRotation="90" wrapText="1"/>
    </xf>
    <xf numFmtId="164" fontId="8" fillId="18" borderId="0" xfId="0" applyFont="1" applyFill="1" applyProtection="1">
      <protection hidden="1"/>
    </xf>
    <xf numFmtId="164" fontId="8" fillId="18" borderId="24" xfId="0" applyFont="1" applyFill="1" applyBorder="1" applyProtection="1">
      <protection hidden="1"/>
    </xf>
    <xf numFmtId="164" fontId="171" fillId="0" borderId="0" xfId="0" applyFont="1" applyAlignment="1" applyProtection="1">
      <alignment horizontal="left" vertical="center"/>
      <protection hidden="1"/>
    </xf>
    <xf numFmtId="2" fontId="0" fillId="0" borderId="299" xfId="0" applyNumberFormat="1" applyBorder="1" applyAlignment="1" applyProtection="1">
      <alignment horizontal="center"/>
      <protection locked="0"/>
    </xf>
    <xf numFmtId="1" fontId="151" fillId="41" borderId="299" xfId="0" applyNumberFormat="1" applyFont="1" applyFill="1" applyBorder="1" applyAlignment="1" applyProtection="1">
      <alignment horizontal="center" vertical="center" wrapText="1"/>
      <protection locked="0" hidden="1"/>
    </xf>
    <xf numFmtId="164" fontId="150" fillId="39" borderId="0" xfId="0" applyFont="1" applyFill="1" applyAlignment="1" applyProtection="1">
      <alignment horizontal="center" vertical="center" wrapText="1"/>
      <protection hidden="1"/>
    </xf>
    <xf numFmtId="0" fontId="174" fillId="39" borderId="0" xfId="122" applyFont="1" applyFill="1"/>
    <xf numFmtId="0" fontId="174" fillId="39" borderId="0" xfId="122" quotePrefix="1" applyFont="1" applyFill="1"/>
    <xf numFmtId="0" fontId="174" fillId="39" borderId="0" xfId="122" applyFont="1" applyFill="1" applyAlignment="1">
      <alignment wrapText="1"/>
    </xf>
    <xf numFmtId="0" fontId="173" fillId="39" borderId="0" xfId="122" applyFont="1" applyFill="1" applyAlignment="1">
      <alignment horizontal="center"/>
    </xf>
    <xf numFmtId="2" fontId="174" fillId="39" borderId="0" xfId="122" applyNumberFormat="1" applyFont="1" applyFill="1"/>
    <xf numFmtId="0" fontId="174" fillId="39" borderId="0" xfId="122" applyFont="1" applyFill="1" applyAlignment="1">
      <alignment horizontal="left"/>
    </xf>
    <xf numFmtId="0" fontId="174" fillId="39" borderId="0" xfId="122" applyFont="1" applyFill="1" applyAlignment="1">
      <alignment horizontal="center" wrapText="1"/>
    </xf>
    <xf numFmtId="0" fontId="174" fillId="39" borderId="0" xfId="122" applyFont="1" applyFill="1" applyAlignment="1">
      <alignment horizontal="center"/>
    </xf>
    <xf numFmtId="0" fontId="147" fillId="39" borderId="0" xfId="122" applyFont="1" applyFill="1" applyAlignment="1">
      <alignment horizontal="center" vertical="center" wrapText="1"/>
    </xf>
    <xf numFmtId="0" fontId="147" fillId="39" borderId="35" xfId="122" applyFont="1" applyFill="1" applyBorder="1" applyAlignment="1">
      <alignment horizontal="center" vertical="center"/>
    </xf>
    <xf numFmtId="2" fontId="150" fillId="39" borderId="35" xfId="0" applyNumberFormat="1" applyFont="1" applyFill="1" applyBorder="1" applyAlignment="1">
      <alignment horizontal="center" vertical="center"/>
    </xf>
    <xf numFmtId="2" fontId="150" fillId="39" borderId="25" xfId="0" applyNumberFormat="1" applyFont="1" applyFill="1" applyBorder="1" applyAlignment="1">
      <alignment horizontal="center" vertical="center"/>
    </xf>
    <xf numFmtId="0" fontId="147" fillId="39" borderId="0" xfId="122" applyFont="1" applyFill="1" applyAlignment="1">
      <alignment horizontal="left" vertical="center" wrapText="1"/>
    </xf>
    <xf numFmtId="0" fontId="147" fillId="39" borderId="0" xfId="122" applyFont="1" applyFill="1" applyAlignment="1">
      <alignment horizontal="left" vertical="center"/>
    </xf>
    <xf numFmtId="164" fontId="147" fillId="39" borderId="0" xfId="122" applyNumberFormat="1" applyFont="1" applyFill="1" applyAlignment="1">
      <alignment horizontal="left" vertical="center" wrapText="1"/>
    </xf>
    <xf numFmtId="0" fontId="147" fillId="39" borderId="0" xfId="122" applyFont="1" applyFill="1" applyAlignment="1">
      <alignment horizontal="center" vertical="center"/>
    </xf>
    <xf numFmtId="2" fontId="150" fillId="39" borderId="0" xfId="122" applyNumberFormat="1" applyFont="1" applyFill="1" applyAlignment="1">
      <alignment horizontal="center" vertical="center"/>
    </xf>
    <xf numFmtId="2" fontId="150" fillId="39" borderId="26" xfId="122" applyNumberFormat="1" applyFont="1" applyFill="1" applyBorder="1" applyAlignment="1">
      <alignment horizontal="center" vertical="center"/>
    </xf>
    <xf numFmtId="164" fontId="147" fillId="39" borderId="0" xfId="122" applyNumberFormat="1" applyFont="1" applyFill="1" applyAlignment="1">
      <alignment horizontal="center" vertical="center"/>
    </xf>
    <xf numFmtId="0" fontId="147" fillId="39" borderId="21" xfId="122" applyFont="1" applyFill="1" applyBorder="1" applyAlignment="1">
      <alignment horizontal="center" vertical="center"/>
    </xf>
    <xf numFmtId="2" fontId="150" fillId="39" borderId="21" xfId="122" applyNumberFormat="1" applyFont="1" applyFill="1" applyBorder="1" applyAlignment="1">
      <alignment horizontal="center" vertical="center"/>
    </xf>
    <xf numFmtId="2" fontId="150" fillId="39" borderId="32" xfId="122" applyNumberFormat="1" applyFont="1" applyFill="1" applyBorder="1" applyAlignment="1">
      <alignment horizontal="center" vertical="center"/>
    </xf>
    <xf numFmtId="164" fontId="147" fillId="39" borderId="0" xfId="0" applyFont="1" applyFill="1" applyAlignment="1">
      <alignment horizontal="center" vertical="center"/>
    </xf>
    <xf numFmtId="0" fontId="174" fillId="39" borderId="10" xfId="122" applyFont="1" applyFill="1" applyBorder="1"/>
    <xf numFmtId="0" fontId="147" fillId="39" borderId="10" xfId="122" applyFont="1" applyFill="1" applyBorder="1"/>
    <xf numFmtId="2" fontId="174" fillId="39" borderId="10" xfId="122" applyNumberFormat="1" applyFont="1" applyFill="1" applyBorder="1" applyAlignment="1">
      <alignment horizontal="center"/>
    </xf>
    <xf numFmtId="0" fontId="174" fillId="39" borderId="10" xfId="122" applyFont="1" applyFill="1" applyBorder="1" applyAlignment="1">
      <alignment horizontal="center" wrapText="1"/>
    </xf>
    <xf numFmtId="2" fontId="174" fillId="39" borderId="10" xfId="122" applyNumberFormat="1" applyFont="1" applyFill="1" applyBorder="1" applyAlignment="1">
      <alignment horizontal="right"/>
    </xf>
    <xf numFmtId="2" fontId="174" fillId="39" borderId="10" xfId="122" applyNumberFormat="1" applyFont="1" applyFill="1" applyBorder="1"/>
    <xf numFmtId="2" fontId="174" fillId="39" borderId="10" xfId="122" applyNumberFormat="1" applyFont="1" applyFill="1" applyBorder="1" applyAlignment="1">
      <alignment wrapText="1"/>
    </xf>
    <xf numFmtId="2" fontId="147" fillId="39" borderId="10" xfId="122" applyNumberFormat="1" applyFont="1" applyFill="1" applyBorder="1"/>
    <xf numFmtId="2" fontId="176" fillId="39" borderId="10" xfId="122" applyNumberFormat="1" applyFont="1" applyFill="1" applyBorder="1"/>
    <xf numFmtId="2" fontId="147" fillId="39" borderId="10" xfId="122" applyNumberFormat="1" applyFont="1" applyFill="1" applyBorder="1" applyAlignment="1">
      <alignment wrapText="1"/>
    </xf>
    <xf numFmtId="0" fontId="147" fillId="39" borderId="0" xfId="122" applyFont="1" applyFill="1" applyAlignment="1">
      <alignment horizontal="left" wrapText="1"/>
    </xf>
    <xf numFmtId="1" fontId="147" fillId="39" borderId="0" xfId="122" applyNumberFormat="1" applyFont="1" applyFill="1"/>
    <xf numFmtId="0" fontId="177" fillId="39" borderId="0" xfId="122" applyFont="1" applyFill="1"/>
    <xf numFmtId="164" fontId="147" fillId="39" borderId="35" xfId="0" applyFont="1" applyFill="1" applyBorder="1" applyAlignment="1">
      <alignment horizontal="center" vertical="center"/>
    </xf>
    <xf numFmtId="164" fontId="147" fillId="39" borderId="25" xfId="0" applyFont="1" applyFill="1" applyBorder="1" applyAlignment="1">
      <alignment horizontal="center" vertical="center"/>
    </xf>
    <xf numFmtId="164" fontId="147" fillId="39" borderId="35" xfId="122" applyNumberFormat="1" applyFont="1" applyFill="1" applyBorder="1" applyAlignment="1">
      <alignment horizontal="center" vertical="center"/>
    </xf>
    <xf numFmtId="164" fontId="147" fillId="39" borderId="25" xfId="122" applyNumberFormat="1" applyFont="1" applyFill="1" applyBorder="1" applyAlignment="1">
      <alignment horizontal="center" vertical="center"/>
    </xf>
    <xf numFmtId="164" fontId="147" fillId="39" borderId="26" xfId="122" applyNumberFormat="1" applyFont="1" applyFill="1" applyBorder="1" applyAlignment="1">
      <alignment horizontal="center" vertical="center"/>
    </xf>
    <xf numFmtId="164" fontId="147" fillId="39" borderId="21" xfId="122" applyNumberFormat="1" applyFont="1" applyFill="1" applyBorder="1" applyAlignment="1">
      <alignment horizontal="center" vertical="center"/>
    </xf>
    <xf numFmtId="164" fontId="147" fillId="39" borderId="32" xfId="122" applyNumberFormat="1" applyFont="1" applyFill="1" applyBorder="1" applyAlignment="1">
      <alignment horizontal="center" vertical="center"/>
    </xf>
    <xf numFmtId="164" fontId="147" fillId="39" borderId="26" xfId="0" applyFont="1" applyFill="1" applyBorder="1" applyAlignment="1">
      <alignment horizontal="center" vertical="center"/>
    </xf>
    <xf numFmtId="2" fontId="147" fillId="39" borderId="0" xfId="122" applyNumberFormat="1" applyFont="1" applyFill="1" applyAlignment="1">
      <alignment horizontal="center" vertical="center"/>
    </xf>
    <xf numFmtId="2" fontId="147" fillId="39" borderId="26" xfId="122" applyNumberFormat="1" applyFont="1" applyFill="1" applyBorder="1" applyAlignment="1">
      <alignment horizontal="center" vertical="center"/>
    </xf>
    <xf numFmtId="2" fontId="147" fillId="39" borderId="35" xfId="0" applyNumberFormat="1" applyFont="1" applyFill="1" applyBorder="1" applyAlignment="1">
      <alignment horizontal="center" vertical="center"/>
    </xf>
    <xf numFmtId="0" fontId="147" fillId="39" borderId="0" xfId="122" applyFont="1" applyFill="1" applyAlignment="1">
      <alignment horizontal="center"/>
    </xf>
    <xf numFmtId="164" fontId="147" fillId="39" borderId="56" xfId="0" applyFont="1" applyFill="1" applyBorder="1" applyAlignment="1">
      <alignment vertical="center" wrapText="1"/>
    </xf>
    <xf numFmtId="164" fontId="147" fillId="39" borderId="0" xfId="0" applyFont="1" applyFill="1" applyAlignment="1">
      <alignment horizontal="center" vertical="center" wrapText="1"/>
    </xf>
    <xf numFmtId="164" fontId="147" fillId="39" borderId="38" xfId="0" applyFont="1" applyFill="1" applyBorder="1" applyAlignment="1">
      <alignment vertical="center" wrapText="1"/>
    </xf>
    <xf numFmtId="0" fontId="174" fillId="39" borderId="79" xfId="122" applyFont="1" applyFill="1" applyBorder="1"/>
    <xf numFmtId="164" fontId="147" fillId="39" borderId="57" xfId="0" applyFont="1" applyFill="1" applyBorder="1" applyAlignment="1">
      <alignment vertical="center" wrapText="1"/>
    </xf>
    <xf numFmtId="164" fontId="147" fillId="39" borderId="123" xfId="0" applyFont="1" applyFill="1" applyBorder="1" applyAlignment="1">
      <alignment horizontal="center"/>
    </xf>
    <xf numFmtId="164" fontId="147" fillId="39" borderId="34" xfId="0" applyFont="1" applyFill="1" applyBorder="1" applyAlignment="1">
      <alignment horizontal="center"/>
    </xf>
    <xf numFmtId="1" fontId="147" fillId="39" borderId="57" xfId="0" applyNumberFormat="1" applyFont="1" applyFill="1" applyBorder="1" applyAlignment="1">
      <alignment horizontal="center"/>
    </xf>
    <xf numFmtId="1" fontId="147" fillId="39" borderId="79" xfId="0" applyNumberFormat="1" applyFont="1" applyFill="1" applyBorder="1" applyAlignment="1" applyProtection="1">
      <alignment horizontal="center"/>
      <protection hidden="1"/>
    </xf>
    <xf numFmtId="1" fontId="147" fillId="39" borderId="91" xfId="0" applyNumberFormat="1" applyFont="1" applyFill="1" applyBorder="1" applyAlignment="1" applyProtection="1">
      <alignment horizontal="center"/>
      <protection hidden="1"/>
    </xf>
    <xf numFmtId="1" fontId="147" fillId="39" borderId="0" xfId="0" applyNumberFormat="1" applyFont="1" applyFill="1" applyAlignment="1" applyProtection="1">
      <alignment horizontal="center"/>
      <protection hidden="1"/>
    </xf>
    <xf numFmtId="164" fontId="178" fillId="39" borderId="123" xfId="0" applyFont="1" applyFill="1" applyBorder="1" applyAlignment="1">
      <alignment horizontal="left" wrapText="1"/>
    </xf>
    <xf numFmtId="1" fontId="147" fillId="39" borderId="56" xfId="0" applyNumberFormat="1" applyFont="1" applyFill="1" applyBorder="1" applyAlignment="1" applyProtection="1">
      <alignment horizontal="center"/>
      <protection hidden="1"/>
    </xf>
    <xf numFmtId="1" fontId="147" fillId="39" borderId="35" xfId="0" applyNumberFormat="1" applyFont="1" applyFill="1" applyBorder="1" applyAlignment="1" applyProtection="1">
      <alignment horizontal="center"/>
      <protection hidden="1"/>
    </xf>
    <xf numFmtId="164" fontId="179" fillId="39" borderId="123" xfId="0" applyFont="1" applyFill="1" applyBorder="1" applyAlignment="1">
      <alignment horizontal="left"/>
    </xf>
    <xf numFmtId="164" fontId="179" fillId="39" borderId="152" xfId="0" applyFont="1" applyFill="1" applyBorder="1" applyAlignment="1">
      <alignment horizontal="left"/>
    </xf>
    <xf numFmtId="164" fontId="179" fillId="39" borderId="123" xfId="0" applyFont="1" applyFill="1" applyBorder="1" applyAlignment="1" applyProtection="1">
      <alignment horizontal="left"/>
      <protection hidden="1"/>
    </xf>
    <xf numFmtId="164" fontId="179" fillId="39" borderId="0" xfId="0" applyFont="1" applyFill="1" applyAlignment="1">
      <alignment horizontal="left"/>
    </xf>
    <xf numFmtId="164" fontId="179" fillId="39" borderId="59" xfId="0" applyFont="1" applyFill="1" applyBorder="1" applyAlignment="1">
      <alignment horizontal="left"/>
    </xf>
    <xf numFmtId="164" fontId="179" fillId="39" borderId="59" xfId="0" applyFont="1" applyFill="1" applyBorder="1" applyAlignment="1" applyProtection="1">
      <alignment horizontal="left"/>
      <protection hidden="1"/>
    </xf>
    <xf numFmtId="164" fontId="179" fillId="39" borderId="126" xfId="0" applyFont="1" applyFill="1" applyBorder="1" applyAlignment="1">
      <alignment horizontal="left"/>
    </xf>
    <xf numFmtId="164" fontId="179" fillId="39" borderId="126" xfId="0" applyFont="1" applyFill="1" applyBorder="1" applyAlignment="1" applyProtection="1">
      <alignment horizontal="left"/>
      <protection hidden="1"/>
    </xf>
    <xf numFmtId="164" fontId="179" fillId="39" borderId="73" xfId="0" applyFont="1" applyFill="1" applyBorder="1" applyAlignment="1" applyProtection="1">
      <alignment horizontal="left"/>
      <protection hidden="1"/>
    </xf>
    <xf numFmtId="164" fontId="179" fillId="39" borderId="152" xfId="0" applyFont="1" applyFill="1" applyBorder="1" applyAlignment="1" applyProtection="1">
      <alignment horizontal="left"/>
      <protection hidden="1"/>
    </xf>
    <xf numFmtId="0" fontId="180" fillId="39" borderId="0" xfId="122" applyFont="1" applyFill="1"/>
    <xf numFmtId="1" fontId="147" fillId="39" borderId="38" xfId="0" applyNumberFormat="1" applyFont="1" applyFill="1" applyBorder="1" applyAlignment="1">
      <alignment horizontal="center"/>
    </xf>
    <xf numFmtId="164" fontId="178" fillId="39" borderId="56" xfId="0" applyFont="1" applyFill="1" applyBorder="1" applyAlignment="1">
      <alignment wrapText="1"/>
    </xf>
    <xf numFmtId="164" fontId="179" fillId="39" borderId="56" xfId="0" applyFont="1" applyFill="1" applyBorder="1" applyAlignment="1" applyProtection="1">
      <alignment horizontal="left"/>
      <protection hidden="1"/>
    </xf>
    <xf numFmtId="164" fontId="178" fillId="39" borderId="38" xfId="0" applyFont="1" applyFill="1" applyBorder="1" applyAlignment="1">
      <alignment wrapText="1"/>
    </xf>
    <xf numFmtId="164" fontId="179" fillId="39" borderId="38" xfId="0" applyFont="1" applyFill="1" applyBorder="1" applyAlignment="1" applyProtection="1">
      <alignment horizontal="left"/>
      <protection hidden="1"/>
    </xf>
    <xf numFmtId="164" fontId="178" fillId="39" borderId="152" xfId="0" applyFont="1" applyFill="1" applyBorder="1" applyAlignment="1">
      <alignment wrapText="1"/>
    </xf>
    <xf numFmtId="164" fontId="178" fillId="39" borderId="152" xfId="0" applyFont="1" applyFill="1" applyBorder="1" applyAlignment="1">
      <alignment horizontal="left" wrapText="1"/>
    </xf>
    <xf numFmtId="164" fontId="179" fillId="39" borderId="73" xfId="0" applyFont="1" applyFill="1" applyBorder="1" applyAlignment="1">
      <alignment horizontal="left"/>
    </xf>
    <xf numFmtId="164" fontId="4" fillId="0" borderId="305" xfId="0" applyFont="1" applyBorder="1" applyAlignment="1" applyProtection="1">
      <alignment horizontal="center" vertical="center" wrapText="1"/>
      <protection hidden="1"/>
    </xf>
    <xf numFmtId="164" fontId="4" fillId="0" borderId="13" xfId="0" applyFont="1" applyBorder="1" applyAlignment="1" applyProtection="1">
      <alignment horizontal="center" vertical="center" wrapText="1"/>
      <protection hidden="1"/>
    </xf>
    <xf numFmtId="164" fontId="4" fillId="0" borderId="299" xfId="0" applyFont="1" applyBorder="1" applyAlignment="1" applyProtection="1">
      <alignment horizontal="center" vertical="center" wrapText="1"/>
      <protection hidden="1"/>
    </xf>
    <xf numFmtId="164" fontId="4" fillId="0" borderId="19" xfId="0" applyFont="1" applyBorder="1" applyAlignment="1" applyProtection="1">
      <alignment horizontal="center" vertical="center" wrapText="1"/>
      <protection hidden="1"/>
    </xf>
    <xf numFmtId="164" fontId="4" fillId="40" borderId="0" xfId="0" applyFont="1" applyFill="1"/>
    <xf numFmtId="164" fontId="145" fillId="42" borderId="191" xfId="0" applyFont="1" applyFill="1" applyBorder="1" applyAlignment="1" applyProtection="1">
      <alignment horizontal="center" vertical="center"/>
      <protection hidden="1"/>
    </xf>
    <xf numFmtId="164" fontId="145" fillId="42" borderId="0" xfId="0" applyFont="1" applyFill="1" applyAlignment="1" applyProtection="1">
      <alignment horizontal="center" vertical="center"/>
      <protection hidden="1"/>
    </xf>
    <xf numFmtId="164" fontId="145" fillId="42" borderId="274" xfId="0" applyFont="1" applyFill="1" applyBorder="1" applyAlignment="1" applyProtection="1">
      <alignment horizontal="center" vertical="center"/>
      <protection hidden="1"/>
    </xf>
    <xf numFmtId="164" fontId="145" fillId="42" borderId="249" xfId="0" applyFont="1" applyFill="1" applyBorder="1" applyAlignment="1" applyProtection="1">
      <alignment horizontal="center" vertical="center"/>
      <protection hidden="1"/>
    </xf>
    <xf numFmtId="2" fontId="10" fillId="52" borderId="16" xfId="0" applyNumberFormat="1" applyFont="1" applyFill="1" applyBorder="1" applyAlignment="1" applyProtection="1">
      <alignment horizontal="right"/>
      <protection hidden="1"/>
    </xf>
    <xf numFmtId="164" fontId="138" fillId="53" borderId="18" xfId="0" applyFont="1" applyFill="1" applyBorder="1" applyAlignment="1" applyProtection="1">
      <alignment horizontal="center" vertical="center"/>
      <protection hidden="1"/>
    </xf>
    <xf numFmtId="164" fontId="5" fillId="53" borderId="51" xfId="0" applyFont="1" applyFill="1" applyBorder="1" applyAlignment="1" applyProtection="1">
      <alignment horizontal="center" vertical="center" wrapText="1"/>
      <protection hidden="1"/>
    </xf>
    <xf numFmtId="164" fontId="5" fillId="53" borderId="41" xfId="0" applyFont="1" applyFill="1" applyBorder="1" applyAlignment="1" applyProtection="1">
      <alignment horizontal="center" vertical="center" wrapText="1"/>
      <protection hidden="1"/>
    </xf>
    <xf numFmtId="164" fontId="161" fillId="53" borderId="12" xfId="0" applyFont="1" applyFill="1" applyBorder="1" applyAlignment="1" applyProtection="1">
      <alignment horizontal="center" vertical="center"/>
      <protection hidden="1"/>
    </xf>
    <xf numFmtId="164" fontId="5" fillId="53" borderId="33" xfId="0" applyFont="1" applyFill="1" applyBorder="1" applyAlignment="1" applyProtection="1">
      <alignment horizontal="center" vertical="center" wrapText="1"/>
      <protection hidden="1"/>
    </xf>
    <xf numFmtId="164" fontId="5" fillId="53" borderId="42" xfId="0" applyFont="1" applyFill="1" applyBorder="1" applyAlignment="1" applyProtection="1">
      <alignment horizontal="center" vertical="center" wrapText="1"/>
      <protection hidden="1"/>
    </xf>
    <xf numFmtId="164" fontId="5" fillId="53" borderId="244" xfId="0" applyFont="1" applyFill="1" applyBorder="1" applyAlignment="1" applyProtection="1">
      <alignment horizontal="center" vertical="center" wrapText="1"/>
      <protection hidden="1"/>
    </xf>
    <xf numFmtId="164" fontId="5" fillId="53" borderId="52" xfId="0" applyFont="1" applyFill="1" applyBorder="1" applyAlignment="1" applyProtection="1">
      <alignment horizontal="center" vertical="center" wrapText="1"/>
      <protection hidden="1"/>
    </xf>
    <xf numFmtId="164" fontId="13" fillId="53" borderId="52" xfId="0" applyFont="1" applyFill="1" applyBorder="1" applyAlignment="1" applyProtection="1">
      <alignment horizontal="center" vertical="center" wrapText="1"/>
      <protection hidden="1"/>
    </xf>
    <xf numFmtId="164" fontId="13" fillId="53" borderId="26" xfId="0" applyFont="1" applyFill="1" applyBorder="1" applyAlignment="1" applyProtection="1">
      <alignment horizontal="center" vertical="center" wrapText="1"/>
      <protection hidden="1"/>
    </xf>
    <xf numFmtId="164" fontId="5" fillId="53" borderId="18" xfId="0" applyFont="1" applyFill="1" applyBorder="1" applyAlignment="1" applyProtection="1">
      <alignment horizontal="center" vertical="center"/>
      <protection hidden="1"/>
    </xf>
    <xf numFmtId="1" fontId="13" fillId="53" borderId="18" xfId="0" applyNumberFormat="1" applyFont="1" applyFill="1" applyBorder="1" applyAlignment="1" applyProtection="1">
      <alignment horizontal="center" vertical="center"/>
      <protection hidden="1"/>
    </xf>
    <xf numFmtId="1" fontId="13" fillId="53" borderId="47" xfId="0" applyNumberFormat="1" applyFont="1" applyFill="1" applyBorder="1" applyAlignment="1" applyProtection="1">
      <alignment horizontal="center" vertical="center"/>
      <protection hidden="1"/>
    </xf>
    <xf numFmtId="164" fontId="38" fillId="53" borderId="124" xfId="0" applyFont="1" applyFill="1" applyBorder="1" applyProtection="1">
      <protection hidden="1"/>
    </xf>
    <xf numFmtId="164" fontId="23" fillId="53" borderId="125" xfId="0" applyFont="1" applyFill="1" applyBorder="1" applyAlignment="1" applyProtection="1">
      <alignment horizontal="right" indent="1"/>
      <protection hidden="1"/>
    </xf>
    <xf numFmtId="164" fontId="38" fillId="53" borderId="43" xfId="0" applyFont="1" applyFill="1" applyBorder="1" applyProtection="1">
      <protection hidden="1"/>
    </xf>
    <xf numFmtId="164" fontId="23" fillId="53" borderId="294" xfId="0" applyFont="1" applyFill="1" applyBorder="1" applyAlignment="1" applyProtection="1">
      <alignment horizontal="right" indent="1"/>
      <protection hidden="1"/>
    </xf>
    <xf numFmtId="164" fontId="38" fillId="53" borderId="36" xfId="0" applyFont="1" applyFill="1" applyBorder="1" applyProtection="1">
      <protection hidden="1"/>
    </xf>
    <xf numFmtId="164" fontId="23" fillId="53" borderId="32" xfId="0" applyFont="1" applyFill="1" applyBorder="1" applyAlignment="1" applyProtection="1">
      <alignment horizontal="right" indent="1"/>
      <protection hidden="1"/>
    </xf>
    <xf numFmtId="164" fontId="23" fillId="53" borderId="127" xfId="0" applyFont="1" applyFill="1" applyBorder="1" applyProtection="1">
      <protection hidden="1"/>
    </xf>
    <xf numFmtId="164" fontId="38" fillId="53" borderId="128" xfId="0" applyFont="1" applyFill="1" applyBorder="1" applyProtection="1">
      <protection hidden="1"/>
    </xf>
    <xf numFmtId="164" fontId="23" fillId="53" borderId="42" xfId="0" applyFont="1" applyFill="1" applyBorder="1" applyAlignment="1" applyProtection="1">
      <alignment horizontal="right" indent="1"/>
      <protection hidden="1"/>
    </xf>
    <xf numFmtId="164" fontId="38" fillId="53" borderId="129" xfId="0" applyFont="1" applyFill="1" applyBorder="1" applyProtection="1">
      <protection hidden="1"/>
    </xf>
    <xf numFmtId="164" fontId="23" fillId="53" borderId="45" xfId="0" applyFont="1" applyFill="1" applyBorder="1" applyAlignment="1" applyProtection="1">
      <alignment horizontal="right" indent="1"/>
      <protection hidden="1"/>
    </xf>
    <xf numFmtId="164" fontId="38" fillId="53" borderId="106" xfId="0" applyFont="1" applyFill="1" applyBorder="1" applyProtection="1">
      <protection hidden="1"/>
    </xf>
    <xf numFmtId="164" fontId="145" fillId="42" borderId="273" xfId="0" applyFont="1" applyFill="1" applyBorder="1" applyAlignment="1" applyProtection="1">
      <alignment horizontal="center" vertical="center"/>
      <protection hidden="1"/>
    </xf>
    <xf numFmtId="164" fontId="145" fillId="42" borderId="278" xfId="0" applyFont="1" applyFill="1" applyBorder="1" applyAlignment="1" applyProtection="1">
      <alignment horizontal="center" vertical="center"/>
      <protection hidden="1"/>
    </xf>
    <xf numFmtId="164" fontId="145" fillId="42" borderId="239" xfId="0" applyFont="1" applyFill="1" applyBorder="1" applyAlignment="1" applyProtection="1">
      <alignment horizontal="center" vertical="center"/>
      <protection hidden="1"/>
    </xf>
    <xf numFmtId="164" fontId="5" fillId="42" borderId="21" xfId="0" applyFont="1" applyFill="1" applyBorder="1" applyAlignment="1" applyProtection="1">
      <alignment horizontal="center" vertical="center"/>
      <protection hidden="1"/>
    </xf>
    <xf numFmtId="164" fontId="5" fillId="42" borderId="32" xfId="0" applyFont="1" applyFill="1" applyBorder="1" applyAlignment="1" applyProtection="1">
      <alignment horizontal="center" vertical="center"/>
      <protection hidden="1"/>
    </xf>
    <xf numFmtId="164" fontId="5" fillId="42" borderId="0" xfId="0" applyFont="1" applyFill="1" applyAlignment="1" applyProtection="1">
      <alignment horizontal="center" vertical="center"/>
      <protection hidden="1"/>
    </xf>
    <xf numFmtId="164" fontId="59" fillId="54" borderId="79" xfId="0" applyFont="1" applyFill="1" applyBorder="1" applyAlignment="1" applyProtection="1">
      <alignment horizontal="center" vertical="center" wrapText="1"/>
      <protection hidden="1"/>
    </xf>
    <xf numFmtId="164" fontId="5" fillId="54" borderId="182" xfId="0" applyFont="1" applyFill="1" applyBorder="1" applyAlignment="1" applyProtection="1">
      <alignment horizontal="left" vertical="center" wrapText="1" indent="1"/>
      <protection hidden="1"/>
    </xf>
    <xf numFmtId="164" fontId="4" fillId="40" borderId="0" xfId="0" applyFont="1" applyFill="1" applyAlignment="1">
      <alignment horizontal="center"/>
    </xf>
    <xf numFmtId="164" fontId="0" fillId="18" borderId="349" xfId="0" applyFill="1" applyBorder="1"/>
    <xf numFmtId="164" fontId="0" fillId="18" borderId="326" xfId="0" applyFill="1" applyBorder="1"/>
    <xf numFmtId="164" fontId="0" fillId="18" borderId="347" xfId="0" applyFill="1" applyBorder="1"/>
    <xf numFmtId="164" fontId="29" fillId="42" borderId="296" xfId="0" applyFont="1" applyFill="1" applyBorder="1" applyAlignment="1" applyProtection="1">
      <alignment horizontal="center"/>
      <protection hidden="1"/>
    </xf>
    <xf numFmtId="164" fontId="29" fillId="42" borderId="126" xfId="0" applyFont="1" applyFill="1" applyBorder="1" applyAlignment="1" applyProtection="1">
      <alignment horizontal="center"/>
      <protection hidden="1"/>
    </xf>
    <xf numFmtId="164" fontId="4" fillId="54" borderId="79" xfId="0" applyFont="1" applyFill="1" applyBorder="1" applyAlignment="1" applyProtection="1">
      <alignment horizontal="center" vertical="center" wrapText="1"/>
      <protection hidden="1"/>
    </xf>
    <xf numFmtId="164" fontId="17" fillId="29" borderId="34" xfId="0" applyFont="1" applyFill="1" applyBorder="1" applyAlignment="1" applyProtection="1">
      <alignment horizontal="center" vertical="center" wrapText="1"/>
      <protection hidden="1"/>
    </xf>
    <xf numFmtId="164" fontId="17" fillId="29" borderId="36" xfId="0" applyFont="1" applyFill="1" applyBorder="1" applyAlignment="1" applyProtection="1">
      <alignment horizontal="center" vertical="center" wrapText="1"/>
      <protection hidden="1"/>
    </xf>
    <xf numFmtId="164" fontId="17" fillId="29" borderId="35" xfId="0" applyFont="1" applyFill="1" applyBorder="1" applyAlignment="1" applyProtection="1">
      <alignment horizontal="center" vertical="center" wrapText="1"/>
      <protection hidden="1"/>
    </xf>
    <xf numFmtId="164" fontId="17" fillId="29" borderId="21" xfId="0" applyFont="1" applyFill="1" applyBorder="1" applyAlignment="1" applyProtection="1">
      <alignment horizontal="center" vertical="center" wrapText="1"/>
      <protection hidden="1"/>
    </xf>
    <xf numFmtId="164" fontId="17" fillId="29" borderId="25" xfId="0" applyFont="1" applyFill="1" applyBorder="1" applyAlignment="1" applyProtection="1">
      <alignment horizontal="center" vertical="center" wrapText="1"/>
      <protection hidden="1"/>
    </xf>
    <xf numFmtId="164" fontId="17" fillId="29" borderId="32" xfId="0" applyFont="1" applyFill="1" applyBorder="1" applyAlignment="1" applyProtection="1">
      <alignment horizontal="center" vertical="center" wrapText="1"/>
      <protection hidden="1"/>
    </xf>
    <xf numFmtId="164" fontId="39" fillId="18" borderId="24" xfId="0" applyFont="1" applyFill="1" applyBorder="1" applyAlignment="1" applyProtection="1">
      <alignment horizontal="left" vertical="center"/>
      <protection hidden="1"/>
    </xf>
    <xf numFmtId="164" fontId="39" fillId="18" borderId="0" xfId="0" applyFont="1" applyFill="1" applyAlignment="1" applyProtection="1">
      <alignment horizontal="left" vertical="center"/>
      <protection hidden="1"/>
    </xf>
    <xf numFmtId="164" fontId="141" fillId="18" borderId="24" xfId="0" applyFont="1" applyFill="1" applyBorder="1" applyAlignment="1" applyProtection="1">
      <alignment horizontal="center" vertical="center" wrapText="1"/>
      <protection hidden="1"/>
    </xf>
    <xf numFmtId="164" fontId="141" fillId="18" borderId="0" xfId="0" applyFont="1" applyFill="1" applyAlignment="1" applyProtection="1">
      <alignment horizontal="center" vertical="center" wrapText="1"/>
      <protection hidden="1"/>
    </xf>
    <xf numFmtId="164" fontId="141" fillId="18" borderId="26" xfId="0" applyFont="1" applyFill="1" applyBorder="1" applyAlignment="1" applyProtection="1">
      <alignment horizontal="center" vertical="center" wrapText="1"/>
      <protection hidden="1"/>
    </xf>
    <xf numFmtId="164" fontId="5" fillId="18" borderId="34" xfId="0" applyFont="1" applyFill="1" applyBorder="1" applyAlignment="1" applyProtection="1">
      <alignment horizontal="left" vertical="center" wrapText="1"/>
      <protection hidden="1"/>
    </xf>
    <xf numFmtId="164" fontId="5" fillId="18" borderId="35" xfId="0" applyFont="1" applyFill="1" applyBorder="1" applyAlignment="1" applyProtection="1">
      <alignment horizontal="left" vertical="center" wrapText="1"/>
      <protection hidden="1"/>
    </xf>
    <xf numFmtId="164" fontId="5" fillId="18" borderId="25" xfId="0" applyFont="1" applyFill="1" applyBorder="1" applyAlignment="1" applyProtection="1">
      <alignment horizontal="left" vertical="center" wrapText="1"/>
      <protection hidden="1"/>
    </xf>
    <xf numFmtId="164" fontId="5" fillId="18" borderId="24" xfId="0" applyFont="1" applyFill="1" applyBorder="1" applyAlignment="1" applyProtection="1">
      <alignment horizontal="left" vertical="center" wrapText="1"/>
      <protection hidden="1"/>
    </xf>
    <xf numFmtId="164" fontId="5" fillId="18" borderId="0" xfId="0" applyFont="1" applyFill="1" applyAlignment="1" applyProtection="1">
      <alignment horizontal="left" vertical="center" wrapText="1"/>
      <protection hidden="1"/>
    </xf>
    <xf numFmtId="164" fontId="5" fillId="18" borderId="26" xfId="0" applyFont="1" applyFill="1" applyBorder="1" applyAlignment="1" applyProtection="1">
      <alignment horizontal="left" vertical="center" wrapText="1"/>
      <protection hidden="1"/>
    </xf>
    <xf numFmtId="164" fontId="5" fillId="18" borderId="36" xfId="0" applyFont="1" applyFill="1" applyBorder="1" applyAlignment="1" applyProtection="1">
      <alignment horizontal="left" vertical="center" wrapText="1"/>
      <protection hidden="1"/>
    </xf>
    <xf numFmtId="164" fontId="5" fillId="18" borderId="21" xfId="0" applyFont="1" applyFill="1" applyBorder="1" applyAlignment="1" applyProtection="1">
      <alignment horizontal="left" vertical="center" wrapText="1"/>
      <protection hidden="1"/>
    </xf>
    <xf numFmtId="164" fontId="5" fillId="18" borderId="32" xfId="0" applyFont="1" applyFill="1" applyBorder="1" applyAlignment="1" applyProtection="1">
      <alignment horizontal="left" vertical="center" wrapText="1"/>
      <protection hidden="1"/>
    </xf>
    <xf numFmtId="164" fontId="13" fillId="22" borderId="12" xfId="0" applyFont="1" applyFill="1" applyBorder="1" applyAlignment="1" applyProtection="1">
      <alignment horizontal="center" vertical="center" wrapText="1"/>
      <protection hidden="1"/>
    </xf>
    <xf numFmtId="164" fontId="13" fillId="22" borderId="33" xfId="0" applyFont="1" applyFill="1" applyBorder="1" applyAlignment="1" applyProtection="1">
      <alignment horizontal="center" vertical="center" wrapText="1"/>
      <protection hidden="1"/>
    </xf>
    <xf numFmtId="164" fontId="13" fillId="22" borderId="48" xfId="0" applyFont="1" applyFill="1" applyBorder="1" applyAlignment="1" applyProtection="1">
      <alignment horizontal="center" vertical="center" wrapText="1"/>
      <protection hidden="1"/>
    </xf>
    <xf numFmtId="164" fontId="143" fillId="18" borderId="0" xfId="0" applyFont="1" applyFill="1" applyAlignment="1" applyProtection="1">
      <alignment horizontal="center" vertical="center" wrapText="1"/>
      <protection hidden="1"/>
    </xf>
    <xf numFmtId="164" fontId="5" fillId="18" borderId="0" xfId="0" applyFont="1" applyFill="1" applyAlignment="1" applyProtection="1">
      <alignment horizontal="left" wrapText="1"/>
      <protection hidden="1"/>
    </xf>
    <xf numFmtId="164" fontId="5" fillId="18" borderId="0" xfId="0" applyFont="1" applyFill="1" applyAlignment="1" applyProtection="1">
      <alignment horizontal="left"/>
      <protection hidden="1"/>
    </xf>
    <xf numFmtId="164" fontId="142" fillId="18" borderId="80" xfId="0" applyFont="1" applyFill="1" applyBorder="1" applyAlignment="1" applyProtection="1">
      <alignment horizontal="center" vertical="center" wrapText="1"/>
      <protection hidden="1"/>
    </xf>
    <xf numFmtId="164" fontId="142" fillId="18" borderId="91" xfId="0" applyFont="1" applyFill="1" applyBorder="1" applyAlignment="1" applyProtection="1">
      <alignment horizontal="center" vertical="center" wrapText="1"/>
      <protection hidden="1"/>
    </xf>
    <xf numFmtId="164" fontId="142" fillId="18" borderId="90" xfId="0" applyFont="1" applyFill="1" applyBorder="1" applyAlignment="1" applyProtection="1">
      <alignment horizontal="center" vertical="center" wrapText="1"/>
      <protection hidden="1"/>
    </xf>
    <xf numFmtId="164" fontId="5" fillId="18" borderId="0" xfId="0" applyFont="1" applyFill="1" applyAlignment="1" applyProtection="1">
      <alignment horizontal="left" vertical="center"/>
      <protection hidden="1"/>
    </xf>
    <xf numFmtId="164" fontId="16" fillId="18" borderId="21" xfId="0" applyFont="1" applyFill="1" applyBorder="1" applyAlignment="1" applyProtection="1">
      <alignment horizontal="left"/>
      <protection hidden="1"/>
    </xf>
    <xf numFmtId="164" fontId="7" fillId="39" borderId="0" xfId="0" applyFont="1" applyFill="1" applyAlignment="1" applyProtection="1">
      <alignment horizontal="center" vertical="center" wrapText="1"/>
      <protection hidden="1"/>
    </xf>
    <xf numFmtId="164" fontId="4" fillId="39" borderId="0" xfId="0" applyFont="1" applyFill="1" applyAlignment="1" applyProtection="1">
      <alignment horizontal="center" vertical="center" wrapText="1"/>
      <protection hidden="1"/>
    </xf>
    <xf numFmtId="164" fontId="23" fillId="18" borderId="21" xfId="0" applyFont="1" applyFill="1" applyBorder="1" applyAlignment="1">
      <alignment horizontal="center" vertical="center" wrapText="1"/>
    </xf>
    <xf numFmtId="164" fontId="4" fillId="0" borderId="11" xfId="0" applyFont="1" applyBorder="1" applyAlignment="1" applyProtection="1">
      <alignment horizontal="center" vertical="center" wrapText="1"/>
      <protection hidden="1"/>
    </xf>
    <xf numFmtId="164" fontId="4" fillId="0" borderId="14" xfId="0" applyFont="1" applyBorder="1" applyAlignment="1" applyProtection="1">
      <alignment horizontal="center" vertical="center" wrapText="1"/>
      <protection hidden="1"/>
    </xf>
    <xf numFmtId="164" fontId="4" fillId="0" borderId="45" xfId="0" applyFont="1" applyBorder="1" applyAlignment="1" applyProtection="1">
      <alignment horizontal="center" vertical="center" wrapText="1"/>
      <protection hidden="1"/>
    </xf>
    <xf numFmtId="164" fontId="4" fillId="0" borderId="68" xfId="0" applyFont="1" applyBorder="1" applyAlignment="1" applyProtection="1">
      <alignment horizontal="center" vertical="center" wrapText="1"/>
      <protection hidden="1"/>
    </xf>
    <xf numFmtId="164" fontId="4" fillId="0" borderId="73" xfId="0" applyFont="1" applyBorder="1" applyAlignment="1" applyProtection="1">
      <alignment horizontal="center" vertical="center" wrapText="1"/>
      <protection hidden="1"/>
    </xf>
    <xf numFmtId="164" fontId="4" fillId="0" borderId="171" xfId="0" applyFont="1" applyBorder="1" applyAlignment="1" applyProtection="1">
      <alignment horizontal="center" vertical="center" wrapText="1"/>
      <protection hidden="1"/>
    </xf>
    <xf numFmtId="164" fontId="4" fillId="0" borderId="34" xfId="0" applyFont="1" applyBorder="1" applyAlignment="1" applyProtection="1">
      <alignment horizontal="center" vertical="center" wrapText="1"/>
      <protection hidden="1"/>
    </xf>
    <xf numFmtId="164" fontId="4" fillId="0" borderId="35" xfId="0" applyFont="1" applyBorder="1" applyAlignment="1" applyProtection="1">
      <alignment horizontal="center" vertical="center" wrapText="1"/>
      <protection hidden="1"/>
    </xf>
    <xf numFmtId="164" fontId="4" fillId="0" borderId="25" xfId="0" applyFont="1" applyBorder="1" applyAlignment="1" applyProtection="1">
      <alignment horizontal="center" vertical="center" wrapText="1"/>
      <protection hidden="1"/>
    </xf>
    <xf numFmtId="164" fontId="4" fillId="0" borderId="36" xfId="0" applyFont="1" applyBorder="1" applyAlignment="1" applyProtection="1">
      <alignment horizontal="center" vertical="center" wrapText="1"/>
      <protection hidden="1"/>
    </xf>
    <xf numFmtId="164" fontId="4" fillId="0" borderId="21" xfId="0" applyFont="1" applyBorder="1" applyAlignment="1" applyProtection="1">
      <alignment horizontal="center" vertical="center" wrapText="1"/>
      <protection hidden="1"/>
    </xf>
    <xf numFmtId="164" fontId="4" fillId="0" borderId="32" xfId="0" applyFont="1" applyBorder="1" applyAlignment="1" applyProtection="1">
      <alignment horizontal="center" vertical="center" wrapText="1"/>
      <protection hidden="1"/>
    </xf>
    <xf numFmtId="164" fontId="127" fillId="18" borderId="36" xfId="0" applyFont="1" applyFill="1" applyBorder="1" applyAlignment="1" applyProtection="1">
      <alignment horizontal="left" wrapText="1"/>
      <protection hidden="1"/>
    </xf>
    <xf numFmtId="164" fontId="127" fillId="18" borderId="21" xfId="0" applyFont="1" applyFill="1" applyBorder="1" applyAlignment="1" applyProtection="1">
      <alignment horizontal="left" wrapText="1"/>
      <protection hidden="1"/>
    </xf>
    <xf numFmtId="164" fontId="127" fillId="18" borderId="32" xfId="0" applyFont="1" applyFill="1" applyBorder="1" applyAlignment="1" applyProtection="1">
      <alignment horizontal="left" wrapText="1"/>
      <protection hidden="1"/>
    </xf>
    <xf numFmtId="164" fontId="16" fillId="18" borderId="34" xfId="0" applyFont="1" applyFill="1" applyBorder="1" applyAlignment="1" applyProtection="1">
      <alignment horizontal="left" wrapText="1"/>
      <protection hidden="1"/>
    </xf>
    <xf numFmtId="164" fontId="127" fillId="18" borderId="35" xfId="0" applyFont="1" applyFill="1" applyBorder="1" applyAlignment="1" applyProtection="1">
      <alignment horizontal="left" wrapText="1"/>
      <protection hidden="1"/>
    </xf>
    <xf numFmtId="164" fontId="127" fillId="18" borderId="25" xfId="0" applyFont="1" applyFill="1" applyBorder="1" applyAlignment="1" applyProtection="1">
      <alignment horizontal="left" wrapText="1"/>
      <protection hidden="1"/>
    </xf>
    <xf numFmtId="1" fontId="5" fillId="32" borderId="73" xfId="0" applyNumberFormat="1" applyFont="1" applyFill="1" applyBorder="1" applyAlignment="1" applyProtection="1">
      <alignment horizontal="center" vertical="center" wrapText="1"/>
      <protection hidden="1"/>
    </xf>
    <xf numFmtId="1" fontId="5" fillId="32" borderId="171" xfId="0" applyNumberFormat="1" applyFont="1" applyFill="1" applyBorder="1" applyAlignment="1" applyProtection="1">
      <alignment horizontal="center" vertical="center" wrapText="1"/>
      <protection hidden="1"/>
    </xf>
    <xf numFmtId="1" fontId="5" fillId="32" borderId="121" xfId="0" applyNumberFormat="1" applyFont="1" applyFill="1" applyBorder="1" applyAlignment="1" applyProtection="1">
      <alignment horizontal="center" vertical="center" wrapText="1"/>
      <protection hidden="1"/>
    </xf>
    <xf numFmtId="1" fontId="5" fillId="32" borderId="178" xfId="0" applyNumberFormat="1" applyFont="1" applyFill="1" applyBorder="1" applyAlignment="1" applyProtection="1">
      <alignment horizontal="center" vertical="center" wrapText="1"/>
      <protection hidden="1"/>
    </xf>
    <xf numFmtId="164" fontId="7" fillId="0" borderId="34" xfId="0" applyFont="1" applyBorder="1" applyAlignment="1" applyProtection="1">
      <alignment horizontal="center" vertical="center" wrapText="1"/>
      <protection hidden="1"/>
    </xf>
    <xf numFmtId="164" fontId="7" fillId="0" borderId="24" xfId="0" applyFont="1" applyBorder="1" applyAlignment="1" applyProtection="1">
      <alignment horizontal="center" vertical="center" wrapText="1"/>
      <protection hidden="1"/>
    </xf>
    <xf numFmtId="164" fontId="7" fillId="0" borderId="177" xfId="0" applyFont="1" applyBorder="1" applyAlignment="1" applyProtection="1">
      <alignment horizontal="center" vertical="center" wrapText="1"/>
      <protection hidden="1"/>
    </xf>
    <xf numFmtId="1" fontId="5" fillId="39" borderId="0" xfId="0" applyNumberFormat="1" applyFont="1" applyFill="1" applyAlignment="1" applyProtection="1">
      <alignment horizontal="center" vertical="center" wrapText="1"/>
      <protection hidden="1"/>
    </xf>
    <xf numFmtId="164" fontId="5" fillId="32" borderId="33" xfId="123" applyNumberFormat="1" applyFont="1" applyFill="1" applyBorder="1" applyAlignment="1">
      <alignment horizontal="center"/>
    </xf>
    <xf numFmtId="164" fontId="5" fillId="32" borderId="48" xfId="123" applyNumberFormat="1" applyFont="1" applyFill="1" applyBorder="1" applyAlignment="1">
      <alignment horizontal="center"/>
    </xf>
    <xf numFmtId="0" fontId="22" fillId="21" borderId="11" xfId="123" applyFont="1" applyFill="1" applyBorder="1" applyAlignment="1">
      <alignment horizontal="center"/>
    </xf>
    <xf numFmtId="0" fontId="22" fillId="21" borderId="45" xfId="123" applyFont="1" applyFill="1" applyBorder="1" applyAlignment="1">
      <alignment horizontal="center"/>
    </xf>
    <xf numFmtId="0" fontId="4" fillId="0" borderId="34" xfId="123" applyBorder="1" applyAlignment="1">
      <alignment horizontal="center"/>
    </xf>
    <xf numFmtId="0" fontId="4" fillId="0" borderId="35" xfId="123" applyBorder="1" applyAlignment="1">
      <alignment horizontal="center"/>
    </xf>
    <xf numFmtId="0" fontId="4" fillId="0" borderId="131" xfId="123" applyBorder="1" applyAlignment="1">
      <alignment horizontal="center"/>
    </xf>
    <xf numFmtId="0" fontId="119" fillId="22" borderId="34" xfId="123" applyFont="1" applyFill="1" applyBorder="1" applyAlignment="1">
      <alignment horizontal="center" vertical="center"/>
    </xf>
    <xf numFmtId="0" fontId="119" fillId="22" borderId="35" xfId="123" applyFont="1" applyFill="1" applyBorder="1" applyAlignment="1">
      <alignment horizontal="center" vertical="center"/>
    </xf>
    <xf numFmtId="0" fontId="119" fillId="22" borderId="25" xfId="123" applyFont="1" applyFill="1" applyBorder="1" applyAlignment="1">
      <alignment horizontal="center" vertical="center"/>
    </xf>
    <xf numFmtId="0" fontId="119" fillId="22" borderId="24" xfId="123" applyFont="1" applyFill="1" applyBorder="1" applyAlignment="1">
      <alignment horizontal="center" vertical="center"/>
    </xf>
    <xf numFmtId="0" fontId="119" fillId="22" borderId="0" xfId="123" applyFont="1" applyFill="1" applyAlignment="1">
      <alignment horizontal="center" vertical="center"/>
    </xf>
    <xf numFmtId="0" fontId="119" fillId="22" borderId="26" xfId="123" applyFont="1" applyFill="1" applyBorder="1" applyAlignment="1">
      <alignment horizontal="center" vertical="center"/>
    </xf>
    <xf numFmtId="0" fontId="119" fillId="22" borderId="36" xfId="123" applyFont="1" applyFill="1" applyBorder="1" applyAlignment="1">
      <alignment horizontal="center" vertical="center"/>
    </xf>
    <xf numFmtId="0" fontId="119" fillId="22" borderId="21" xfId="123" applyFont="1" applyFill="1" applyBorder="1" applyAlignment="1">
      <alignment horizontal="center" vertical="center"/>
    </xf>
    <xf numFmtId="0" fontId="119" fillId="22" borderId="32" xfId="123" applyFont="1" applyFill="1" applyBorder="1" applyAlignment="1">
      <alignment horizontal="center" vertical="center"/>
    </xf>
    <xf numFmtId="0" fontId="7" fillId="0" borderId="17" xfId="123" applyFont="1" applyBorder="1" applyAlignment="1">
      <alignment horizontal="right"/>
    </xf>
    <xf numFmtId="0" fontId="7" fillId="0" borderId="52" xfId="123" applyFont="1" applyBorder="1" applyAlignment="1">
      <alignment horizontal="right"/>
    </xf>
    <xf numFmtId="0" fontId="7" fillId="0" borderId="23" xfId="123" applyFont="1" applyBorder="1" applyAlignment="1">
      <alignment horizontal="right"/>
    </xf>
    <xf numFmtId="0" fontId="7" fillId="0" borderId="55" xfId="123" applyFont="1" applyBorder="1" applyAlignment="1">
      <alignment horizontal="right"/>
    </xf>
    <xf numFmtId="0" fontId="7" fillId="0" borderId="0" xfId="123" applyFont="1" applyAlignment="1">
      <alignment horizontal="right"/>
    </xf>
    <xf numFmtId="164" fontId="5" fillId="27" borderId="50" xfId="123" applyNumberFormat="1" applyFont="1" applyFill="1" applyBorder="1" applyAlignment="1">
      <alignment horizontal="center"/>
    </xf>
    <xf numFmtId="164" fontId="5" fillId="27" borderId="83" xfId="123" applyNumberFormat="1" applyFont="1" applyFill="1" applyBorder="1" applyAlignment="1">
      <alignment horizontal="center"/>
    </xf>
    <xf numFmtId="0" fontId="26" fillId="0" borderId="17" xfId="123" applyFont="1" applyBorder="1" applyAlignment="1">
      <alignment horizontal="right"/>
    </xf>
    <xf numFmtId="0" fontId="26" fillId="0" borderId="0" xfId="123" applyFont="1" applyAlignment="1">
      <alignment horizontal="right"/>
    </xf>
    <xf numFmtId="0" fontId="154" fillId="18" borderId="80" xfId="123" applyFont="1" applyFill="1" applyBorder="1" applyAlignment="1">
      <alignment horizontal="center" vertical="center" wrapText="1"/>
    </xf>
    <xf numFmtId="0" fontId="154" fillId="18" borderId="91" xfId="123" applyFont="1" applyFill="1" applyBorder="1" applyAlignment="1">
      <alignment horizontal="center" vertical="center" wrapText="1"/>
    </xf>
    <xf numFmtId="0" fontId="154" fillId="18" borderId="90" xfId="123" applyFont="1" applyFill="1" applyBorder="1" applyAlignment="1">
      <alignment horizontal="center" vertical="center" wrapText="1"/>
    </xf>
    <xf numFmtId="0" fontId="4" fillId="21" borderId="14" xfId="123" applyFill="1" applyBorder="1" applyAlignment="1">
      <alignment horizontal="center"/>
    </xf>
    <xf numFmtId="0" fontId="4" fillId="21" borderId="92" xfId="123" applyFill="1" applyBorder="1" applyAlignment="1">
      <alignment horizontal="center"/>
    </xf>
    <xf numFmtId="0" fontId="5" fillId="29" borderId="11" xfId="123" applyFont="1" applyFill="1" applyBorder="1" applyAlignment="1">
      <alignment horizontal="center"/>
    </xf>
    <xf numFmtId="0" fontId="5" fillId="29" borderId="45" xfId="123" applyFont="1" applyFill="1" applyBorder="1" applyAlignment="1">
      <alignment horizontal="center"/>
    </xf>
    <xf numFmtId="0" fontId="22" fillId="21" borderId="14" xfId="123" applyFont="1" applyFill="1" applyBorder="1" applyAlignment="1">
      <alignment horizontal="center"/>
    </xf>
    <xf numFmtId="0" fontId="22" fillId="21" borderId="92" xfId="123" applyFont="1" applyFill="1" applyBorder="1" applyAlignment="1">
      <alignment horizontal="center"/>
    </xf>
    <xf numFmtId="0" fontId="4" fillId="21" borderId="11" xfId="123" applyFill="1" applyBorder="1" applyAlignment="1">
      <alignment horizontal="center"/>
    </xf>
    <xf numFmtId="164" fontId="5" fillId="32" borderId="50" xfId="123" applyNumberFormat="1" applyFont="1" applyFill="1" applyBorder="1" applyAlignment="1">
      <alignment horizontal="center"/>
    </xf>
    <xf numFmtId="164" fontId="5" fillId="32" borderId="62" xfId="123" applyNumberFormat="1" applyFont="1" applyFill="1" applyBorder="1" applyAlignment="1">
      <alignment horizontal="center"/>
    </xf>
    <xf numFmtId="164" fontId="5" fillId="32" borderId="83" xfId="123" applyNumberFormat="1" applyFont="1" applyFill="1" applyBorder="1" applyAlignment="1">
      <alignment horizontal="center"/>
    </xf>
    <xf numFmtId="164" fontId="5" fillId="32" borderId="13" xfId="123" applyNumberFormat="1" applyFont="1" applyFill="1" applyBorder="1" applyAlignment="1">
      <alignment horizontal="center"/>
    </xf>
    <xf numFmtId="0" fontId="7" fillId="0" borderId="0" xfId="123" applyFont="1" applyAlignment="1">
      <alignment horizontal="center"/>
    </xf>
    <xf numFmtId="0" fontId="8" fillId="0" borderId="0" xfId="123" applyFont="1" applyAlignment="1">
      <alignment horizontal="center"/>
    </xf>
    <xf numFmtId="0" fontId="5" fillId="32" borderId="34" xfId="123" applyFont="1" applyFill="1" applyBorder="1" applyAlignment="1">
      <alignment horizontal="center" vertical="center" wrapText="1"/>
    </xf>
    <xf numFmtId="0" fontId="5" fillId="32" borderId="131" xfId="123" applyFont="1" applyFill="1" applyBorder="1" applyAlignment="1">
      <alignment horizontal="center" vertical="center" wrapText="1"/>
    </xf>
    <xf numFmtId="0" fontId="5" fillId="32" borderId="24" xfId="123" applyFont="1" applyFill="1" applyBorder="1" applyAlignment="1">
      <alignment horizontal="center" vertical="center" wrapText="1"/>
    </xf>
    <xf numFmtId="0" fontId="5" fillId="32" borderId="52" xfId="123" applyFont="1" applyFill="1" applyBorder="1" applyAlignment="1">
      <alignment horizontal="center" vertical="center" wrapText="1"/>
    </xf>
    <xf numFmtId="0" fontId="5" fillId="32" borderId="71" xfId="123" applyFont="1" applyFill="1" applyBorder="1" applyAlignment="1">
      <alignment horizontal="center" vertical="center" wrapText="1"/>
    </xf>
    <xf numFmtId="0" fontId="5" fillId="32" borderId="55" xfId="123" applyFont="1" applyFill="1" applyBorder="1" applyAlignment="1">
      <alignment horizontal="center" vertical="center" wrapText="1"/>
    </xf>
    <xf numFmtId="0" fontId="0" fillId="18" borderId="35" xfId="0" applyNumberFormat="1" applyFill="1" applyBorder="1" applyAlignment="1">
      <alignment horizontal="center" wrapText="1"/>
    </xf>
    <xf numFmtId="0" fontId="0" fillId="18" borderId="25" xfId="0" applyNumberFormat="1" applyFill="1" applyBorder="1" applyAlignment="1">
      <alignment horizontal="center" wrapText="1"/>
    </xf>
    <xf numFmtId="0" fontId="0" fillId="18" borderId="0" xfId="0" applyNumberFormat="1" applyFill="1" applyAlignment="1">
      <alignment horizontal="center" wrapText="1"/>
    </xf>
    <xf numFmtId="0" fontId="0" fillId="18" borderId="26" xfId="0" applyNumberFormat="1" applyFill="1" applyBorder="1" applyAlignment="1">
      <alignment horizontal="center" wrapText="1"/>
    </xf>
    <xf numFmtId="0" fontId="0" fillId="18" borderId="54" xfId="0" applyNumberFormat="1" applyFill="1" applyBorder="1" applyAlignment="1">
      <alignment horizontal="center" wrapText="1"/>
    </xf>
    <xf numFmtId="0" fontId="0" fillId="18" borderId="72" xfId="0" applyNumberFormat="1" applyFill="1" applyBorder="1" applyAlignment="1">
      <alignment horizontal="center" wrapText="1"/>
    </xf>
    <xf numFmtId="0" fontId="0" fillId="18" borderId="22" xfId="0" applyNumberFormat="1" applyFill="1" applyBorder="1" applyAlignment="1">
      <alignment horizontal="center" wrapText="1"/>
    </xf>
    <xf numFmtId="0" fontId="0" fillId="18" borderId="131" xfId="0" applyNumberFormat="1" applyFill="1" applyBorder="1" applyAlignment="1">
      <alignment horizontal="center" wrapText="1"/>
    </xf>
    <xf numFmtId="0" fontId="0" fillId="18" borderId="17" xfId="0" applyNumberFormat="1" applyFill="1" applyBorder="1" applyAlignment="1">
      <alignment horizontal="center" wrapText="1"/>
    </xf>
    <xf numFmtId="0" fontId="0" fillId="18" borderId="52" xfId="0" applyNumberFormat="1" applyFill="1" applyBorder="1" applyAlignment="1">
      <alignment horizontal="center" wrapText="1"/>
    </xf>
    <xf numFmtId="0" fontId="0" fillId="18" borderId="23" xfId="0" applyNumberFormat="1" applyFill="1" applyBorder="1" applyAlignment="1">
      <alignment horizontal="center" wrapText="1"/>
    </xf>
    <xf numFmtId="0" fontId="0" fillId="18" borderId="55" xfId="0" applyNumberFormat="1" applyFill="1" applyBorder="1" applyAlignment="1">
      <alignment horizontal="center" wrapText="1"/>
    </xf>
    <xf numFmtId="2" fontId="5" fillId="18" borderId="21" xfId="123" applyNumberFormat="1" applyFont="1" applyFill="1" applyBorder="1" applyAlignment="1">
      <alignment horizontal="center"/>
    </xf>
    <xf numFmtId="2" fontId="5" fillId="18" borderId="32" xfId="123" applyNumberFormat="1" applyFont="1" applyFill="1" applyBorder="1" applyAlignment="1">
      <alignment horizontal="center"/>
    </xf>
    <xf numFmtId="2" fontId="5" fillId="18" borderId="49" xfId="123" applyNumberFormat="1" applyFont="1" applyFill="1" applyBorder="1" applyAlignment="1">
      <alignment horizontal="center"/>
    </xf>
    <xf numFmtId="2" fontId="5" fillId="18" borderId="150" xfId="123" applyNumberFormat="1" applyFont="1" applyFill="1" applyBorder="1" applyAlignment="1">
      <alignment horizontal="center"/>
    </xf>
    <xf numFmtId="2" fontId="4" fillId="18" borderId="17" xfId="123" applyNumberFormat="1" applyFill="1" applyBorder="1" applyAlignment="1">
      <alignment horizontal="center"/>
    </xf>
    <xf numFmtId="2" fontId="4" fillId="18" borderId="52" xfId="123" applyNumberFormat="1" applyFill="1" applyBorder="1" applyAlignment="1">
      <alignment horizontal="center"/>
    </xf>
    <xf numFmtId="2" fontId="5" fillId="18" borderId="17" xfId="123" applyNumberFormat="1" applyFont="1" applyFill="1" applyBorder="1" applyAlignment="1">
      <alignment horizontal="center"/>
    </xf>
    <xf numFmtId="2" fontId="5" fillId="18" borderId="52" xfId="123" applyNumberFormat="1" applyFont="1" applyFill="1" applyBorder="1" applyAlignment="1">
      <alignment horizontal="center"/>
    </xf>
    <xf numFmtId="2" fontId="5" fillId="18" borderId="0" xfId="123" applyNumberFormat="1" applyFont="1" applyFill="1" applyAlignment="1">
      <alignment horizontal="center"/>
    </xf>
    <xf numFmtId="2" fontId="5" fillId="18" borderId="26" xfId="123" applyNumberFormat="1" applyFont="1" applyFill="1" applyBorder="1" applyAlignment="1">
      <alignment horizontal="center"/>
    </xf>
    <xf numFmtId="0" fontId="7" fillId="0" borderId="34" xfId="123" applyFont="1" applyBorder="1" applyAlignment="1">
      <alignment horizontal="center" vertical="center" wrapText="1"/>
    </xf>
    <xf numFmtId="0" fontId="7" fillId="0" borderId="25" xfId="123" applyFont="1" applyBorder="1" applyAlignment="1">
      <alignment horizontal="center" vertical="center" wrapText="1"/>
    </xf>
    <xf numFmtId="0" fontId="7" fillId="0" borderId="36" xfId="123" applyFont="1" applyBorder="1" applyAlignment="1">
      <alignment horizontal="center" vertical="center" wrapText="1"/>
    </xf>
    <xf numFmtId="0" fontId="7" fillId="0" borderId="32" xfId="123" applyFont="1" applyBorder="1" applyAlignment="1">
      <alignment horizontal="center" vertical="center" wrapText="1"/>
    </xf>
    <xf numFmtId="164" fontId="5" fillId="27" borderId="13" xfId="123" applyNumberFormat="1" applyFont="1" applyFill="1" applyBorder="1" applyAlignment="1">
      <alignment horizontal="center"/>
    </xf>
    <xf numFmtId="164" fontId="5" fillId="27" borderId="62" xfId="123" applyNumberFormat="1" applyFont="1" applyFill="1" applyBorder="1" applyAlignment="1">
      <alignment horizontal="center"/>
    </xf>
    <xf numFmtId="0" fontId="26" fillId="0" borderId="52" xfId="123" applyFont="1" applyBorder="1" applyAlignment="1">
      <alignment horizontal="right"/>
    </xf>
    <xf numFmtId="164" fontId="5" fillId="32" borderId="12" xfId="123" applyNumberFormat="1" applyFont="1" applyFill="1" applyBorder="1" applyAlignment="1">
      <alignment horizontal="center"/>
    </xf>
    <xf numFmtId="164" fontId="5" fillId="32" borderId="42" xfId="123" applyNumberFormat="1" applyFont="1" applyFill="1" applyBorder="1" applyAlignment="1">
      <alignment horizontal="center"/>
    </xf>
    <xf numFmtId="0" fontId="4" fillId="21" borderId="45" xfId="123" applyFill="1" applyBorder="1" applyAlignment="1">
      <alignment horizontal="center"/>
    </xf>
    <xf numFmtId="0" fontId="5" fillId="29" borderId="14" xfId="123" applyFont="1" applyFill="1" applyBorder="1" applyAlignment="1">
      <alignment horizontal="center"/>
    </xf>
    <xf numFmtId="0" fontId="5" fillId="29" borderId="92" xfId="123" applyFont="1" applyFill="1" applyBorder="1" applyAlignment="1">
      <alignment horizontal="center"/>
    </xf>
    <xf numFmtId="0" fontId="0" fillId="18" borderId="24" xfId="0" applyNumberFormat="1" applyFill="1" applyBorder="1" applyAlignment="1">
      <alignment horizontal="center"/>
    </xf>
    <xf numFmtId="0" fontId="0" fillId="18" borderId="0" xfId="0" applyNumberFormat="1" applyFill="1" applyAlignment="1">
      <alignment horizontal="center"/>
    </xf>
    <xf numFmtId="0" fontId="18" fillId="22" borderId="34" xfId="123" applyFont="1" applyFill="1" applyBorder="1" applyAlignment="1">
      <alignment horizontal="center" vertical="center" wrapText="1"/>
    </xf>
    <xf numFmtId="0" fontId="18" fillId="22" borderId="35" xfId="123" applyFont="1" applyFill="1" applyBorder="1" applyAlignment="1">
      <alignment horizontal="center" vertical="center" wrapText="1"/>
    </xf>
    <xf numFmtId="0" fontId="18" fillId="22" borderId="25" xfId="123" applyFont="1" applyFill="1" applyBorder="1" applyAlignment="1">
      <alignment horizontal="center" vertical="center" wrapText="1"/>
    </xf>
    <xf numFmtId="0" fontId="18" fillId="22" borderId="24" xfId="123" applyFont="1" applyFill="1" applyBorder="1" applyAlignment="1">
      <alignment horizontal="center" vertical="center" wrapText="1"/>
    </xf>
    <xf numFmtId="0" fontId="18" fillId="22" borderId="0" xfId="123" applyFont="1" applyFill="1" applyAlignment="1">
      <alignment horizontal="center" vertical="center" wrapText="1"/>
    </xf>
    <xf numFmtId="0" fontId="18" fillId="22" borderId="26" xfId="123" applyFont="1" applyFill="1" applyBorder="1" applyAlignment="1">
      <alignment horizontal="center" vertical="center" wrapText="1"/>
    </xf>
    <xf numFmtId="0" fontId="18" fillId="22" borderId="36" xfId="123" applyFont="1" applyFill="1" applyBorder="1" applyAlignment="1">
      <alignment horizontal="center" vertical="center" wrapText="1"/>
    </xf>
    <xf numFmtId="0" fontId="18" fillId="22" borderId="21" xfId="123" applyFont="1" applyFill="1" applyBorder="1" applyAlignment="1">
      <alignment horizontal="center" vertical="center" wrapText="1"/>
    </xf>
    <xf numFmtId="0" fontId="18" fillId="22" borderId="32" xfId="123" applyFont="1" applyFill="1" applyBorder="1" applyAlignment="1">
      <alignment horizontal="center" vertical="center" wrapText="1"/>
    </xf>
    <xf numFmtId="0" fontId="0" fillId="18" borderId="36" xfId="0" applyNumberFormat="1" applyFill="1" applyBorder="1" applyAlignment="1">
      <alignment horizontal="center"/>
    </xf>
    <xf numFmtId="0" fontId="0" fillId="18" borderId="21" xfId="0" applyNumberFormat="1" applyFill="1" applyBorder="1" applyAlignment="1">
      <alignment horizontal="center"/>
    </xf>
    <xf numFmtId="0" fontId="118" fillId="22" borderId="34" xfId="123" applyFont="1" applyFill="1" applyBorder="1" applyAlignment="1">
      <alignment horizontal="center" vertical="center"/>
    </xf>
    <xf numFmtId="0" fontId="118" fillId="22" borderId="35" xfId="123" applyFont="1" applyFill="1" applyBorder="1" applyAlignment="1">
      <alignment horizontal="center" vertical="center"/>
    </xf>
    <xf numFmtId="0" fontId="118" fillId="22" borderId="25" xfId="123" applyFont="1" applyFill="1" applyBorder="1" applyAlignment="1">
      <alignment horizontal="center" vertical="center"/>
    </xf>
    <xf numFmtId="0" fontId="118" fillId="22" borderId="36" xfId="123" applyFont="1" applyFill="1" applyBorder="1" applyAlignment="1">
      <alignment horizontal="center" vertical="center"/>
    </xf>
    <xf numFmtId="0" fontId="118" fillId="22" borderId="21" xfId="123" applyFont="1" applyFill="1" applyBorder="1" applyAlignment="1">
      <alignment horizontal="center" vertical="center"/>
    </xf>
    <xf numFmtId="0" fontId="118" fillId="22" borderId="32" xfId="123" applyFont="1" applyFill="1" applyBorder="1" applyAlignment="1">
      <alignment horizontal="center" vertical="center"/>
    </xf>
    <xf numFmtId="2" fontId="4" fillId="18" borderId="49" xfId="123" applyNumberFormat="1" applyFill="1" applyBorder="1" applyAlignment="1">
      <alignment horizontal="center"/>
    </xf>
    <xf numFmtId="2" fontId="4" fillId="18" borderId="150" xfId="123" applyNumberFormat="1" applyFill="1" applyBorder="1" applyAlignment="1">
      <alignment horizontal="center"/>
    </xf>
    <xf numFmtId="0" fontId="93" fillId="31" borderId="215" xfId="0" applyNumberFormat="1" applyFont="1" applyFill="1" applyBorder="1" applyAlignment="1">
      <alignment horizontal="center" vertical="top" wrapText="1"/>
    </xf>
    <xf numFmtId="0" fontId="93" fillId="31" borderId="15" xfId="0" applyNumberFormat="1" applyFont="1" applyFill="1" applyBorder="1" applyAlignment="1">
      <alignment horizontal="center" vertical="top" wrapText="1"/>
    </xf>
    <xf numFmtId="0" fontId="55" fillId="0" borderId="50" xfId="0" applyNumberFormat="1" applyFont="1" applyBorder="1" applyAlignment="1">
      <alignment horizontal="center"/>
    </xf>
    <xf numFmtId="0" fontId="55" fillId="0" borderId="13" xfId="0" applyNumberFormat="1" applyFont="1" applyBorder="1" applyAlignment="1">
      <alignment horizontal="center"/>
    </xf>
    <xf numFmtId="0" fontId="55" fillId="0" borderId="62" xfId="0" applyNumberFormat="1" applyFont="1" applyBorder="1" applyAlignment="1">
      <alignment horizontal="center"/>
    </xf>
    <xf numFmtId="0" fontId="10" fillId="0" borderId="0" xfId="123" applyFont="1" applyAlignment="1">
      <alignment horizontal="center"/>
    </xf>
    <xf numFmtId="0" fontId="8" fillId="20" borderId="59" xfId="123" applyFont="1" applyFill="1" applyBorder="1" applyAlignment="1">
      <alignment horizontal="center" vertical="center" wrapText="1"/>
    </xf>
    <xf numFmtId="0" fontId="8" fillId="20" borderId="73" xfId="123" applyFont="1" applyFill="1" applyBorder="1" applyAlignment="1">
      <alignment horizontal="center" vertical="center" wrapText="1"/>
    </xf>
    <xf numFmtId="0" fontId="8" fillId="20" borderId="15" xfId="123" applyFont="1" applyFill="1" applyBorder="1" applyAlignment="1">
      <alignment horizontal="center" vertical="center" wrapText="1"/>
    </xf>
    <xf numFmtId="2" fontId="8" fillId="0" borderId="0" xfId="123" applyNumberFormat="1" applyFont="1" applyAlignment="1">
      <alignment horizontal="center"/>
    </xf>
    <xf numFmtId="0" fontId="4" fillId="0" borderId="18" xfId="123" applyBorder="1" applyAlignment="1">
      <alignment horizontal="center" wrapText="1"/>
    </xf>
    <xf numFmtId="0" fontId="4" fillId="0" borderId="53" xfId="123" applyBorder="1" applyAlignment="1">
      <alignment horizontal="center" wrapText="1"/>
    </xf>
    <xf numFmtId="0" fontId="4" fillId="0" borderId="23" xfId="123" applyBorder="1" applyAlignment="1">
      <alignment horizontal="center" wrapText="1"/>
    </xf>
    <xf numFmtId="0" fontId="4" fillId="0" borderId="55" xfId="123" applyBorder="1" applyAlignment="1">
      <alignment horizontal="center" wrapText="1"/>
    </xf>
    <xf numFmtId="0" fontId="7" fillId="0" borderId="35" xfId="123" applyFont="1" applyBorder="1" applyAlignment="1">
      <alignment horizontal="center" vertical="center" wrapText="1"/>
    </xf>
    <xf numFmtId="0" fontId="7" fillId="0" borderId="71" xfId="123" applyFont="1" applyBorder="1" applyAlignment="1">
      <alignment horizontal="center" vertical="center" wrapText="1"/>
    </xf>
    <xf numFmtId="0" fontId="7" fillId="0" borderId="54" xfId="123" applyFont="1" applyBorder="1" applyAlignment="1">
      <alignment horizontal="center" vertical="center" wrapText="1"/>
    </xf>
    <xf numFmtId="0" fontId="7" fillId="0" borderId="72" xfId="123" applyFont="1" applyBorder="1" applyAlignment="1">
      <alignment horizontal="center" vertical="center" wrapText="1"/>
    </xf>
    <xf numFmtId="0" fontId="10" fillId="32" borderId="10" xfId="123" applyFont="1" applyFill="1" applyBorder="1" applyAlignment="1">
      <alignment horizontal="center"/>
    </xf>
    <xf numFmtId="0" fontId="7" fillId="0" borderId="179" xfId="123" applyFont="1" applyBorder="1" applyAlignment="1">
      <alignment horizontal="left" wrapText="1"/>
    </xf>
    <xf numFmtId="0" fontId="4" fillId="0" borderId="18" xfId="123" applyBorder="1" applyAlignment="1">
      <alignment horizontal="left" wrapText="1"/>
    </xf>
    <xf numFmtId="0" fontId="4" fillId="0" borderId="51" xfId="123" applyBorder="1" applyAlignment="1">
      <alignment horizontal="left" wrapText="1"/>
    </xf>
    <xf numFmtId="0" fontId="4" fillId="0" borderId="53" xfId="123" applyBorder="1" applyAlignment="1">
      <alignment horizontal="left" wrapText="1"/>
    </xf>
    <xf numFmtId="0" fontId="4" fillId="0" borderId="23" xfId="123" applyBorder="1" applyAlignment="1">
      <alignment horizontal="left" wrapText="1"/>
    </xf>
    <xf numFmtId="0" fontId="4" fillId="0" borderId="54" xfId="123" applyBorder="1" applyAlignment="1">
      <alignment horizontal="left" wrapText="1"/>
    </xf>
    <xf numFmtId="0" fontId="4" fillId="0" borderId="55" xfId="123" applyBorder="1" applyAlignment="1">
      <alignment horizontal="left" wrapText="1"/>
    </xf>
    <xf numFmtId="0" fontId="7" fillId="0" borderId="54" xfId="123" applyFont="1" applyBorder="1" applyAlignment="1">
      <alignment horizontal="right"/>
    </xf>
    <xf numFmtId="0" fontId="4" fillId="22" borderId="216" xfId="123" applyFill="1" applyBorder="1" applyAlignment="1">
      <alignment horizontal="center"/>
    </xf>
    <xf numFmtId="0" fontId="4" fillId="22" borderId="232" xfId="123" applyFill="1" applyBorder="1" applyAlignment="1">
      <alignment horizontal="center"/>
    </xf>
    <xf numFmtId="0" fontId="4" fillId="22" borderId="214" xfId="123" applyFill="1" applyBorder="1" applyAlignment="1">
      <alignment horizontal="center"/>
    </xf>
    <xf numFmtId="0" fontId="10" fillId="25" borderId="12" xfId="123" applyFont="1" applyFill="1" applyBorder="1" applyAlignment="1">
      <alignment horizontal="center"/>
    </xf>
    <xf numFmtId="0" fontId="10" fillId="25" borderId="33" xfId="123" applyFont="1" applyFill="1" applyBorder="1" applyAlignment="1">
      <alignment horizontal="center"/>
    </xf>
    <xf numFmtId="0" fontId="10" fillId="25" borderId="48" xfId="123" applyFont="1" applyFill="1" applyBorder="1" applyAlignment="1">
      <alignment horizontal="center"/>
    </xf>
    <xf numFmtId="0" fontId="93" fillId="0" borderId="82" xfId="0" applyNumberFormat="1" applyFont="1" applyBorder="1" applyAlignment="1">
      <alignment horizontal="justify" vertical="top" wrapText="1"/>
    </xf>
    <xf numFmtId="0" fontId="93" fillId="0" borderId="93" xfId="0" applyNumberFormat="1" applyFont="1" applyBorder="1" applyAlignment="1">
      <alignment horizontal="justify" vertical="top" wrapText="1"/>
    </xf>
    <xf numFmtId="164" fontId="5" fillId="18" borderId="56" xfId="0" applyFont="1" applyFill="1" applyBorder="1" applyAlignment="1" applyProtection="1">
      <alignment horizontal="center" vertical="center" wrapText="1"/>
      <protection hidden="1"/>
    </xf>
    <xf numFmtId="164" fontId="5" fillId="18" borderId="38" xfId="0" applyFont="1" applyFill="1" applyBorder="1" applyAlignment="1" applyProtection="1">
      <alignment horizontal="center" vertical="center" wrapText="1"/>
      <protection hidden="1"/>
    </xf>
    <xf numFmtId="164" fontId="7" fillId="18" borderId="10" xfId="0" applyFont="1" applyFill="1" applyBorder="1" applyAlignment="1" applyProtection="1">
      <alignment horizontal="left" vertical="center" wrapText="1" indent="1"/>
      <protection hidden="1"/>
    </xf>
    <xf numFmtId="164" fontId="131" fillId="18" borderId="10" xfId="0" applyFont="1" applyFill="1" applyBorder="1" applyAlignment="1" applyProtection="1">
      <alignment horizontal="left" vertical="center" wrapText="1" indent="1"/>
      <protection hidden="1"/>
    </xf>
    <xf numFmtId="164" fontId="131" fillId="18" borderId="19" xfId="0" applyFont="1" applyFill="1" applyBorder="1" applyAlignment="1" applyProtection="1">
      <alignment horizontal="left" vertical="center" wrapText="1" indent="1"/>
      <protection hidden="1"/>
    </xf>
    <xf numFmtId="164" fontId="5" fillId="24" borderId="34" xfId="0" applyFont="1" applyFill="1" applyBorder="1" applyAlignment="1" applyProtection="1">
      <alignment horizontal="center" vertical="center" wrapText="1"/>
      <protection hidden="1"/>
    </xf>
    <xf numFmtId="164" fontId="5" fillId="24" borderId="24" xfId="0" applyFont="1" applyFill="1" applyBorder="1" applyAlignment="1" applyProtection="1">
      <alignment horizontal="center" vertical="center" wrapText="1"/>
      <protection hidden="1"/>
    </xf>
    <xf numFmtId="164" fontId="5" fillId="24" borderId="36" xfId="0" applyFont="1" applyFill="1" applyBorder="1" applyAlignment="1" applyProtection="1">
      <alignment horizontal="center" vertical="center" wrapText="1"/>
      <protection hidden="1"/>
    </xf>
    <xf numFmtId="1" fontId="5" fillId="0" borderId="190" xfId="0" applyNumberFormat="1" applyFont="1" applyBorder="1" applyAlignment="1" applyProtection="1">
      <alignment horizontal="center" vertical="center"/>
      <protection hidden="1"/>
    </xf>
    <xf numFmtId="1" fontId="5" fillId="0" borderId="121" xfId="0" applyNumberFormat="1" applyFont="1" applyBorder="1" applyAlignment="1" applyProtection="1">
      <alignment horizontal="center" vertical="center"/>
      <protection hidden="1"/>
    </xf>
    <xf numFmtId="1" fontId="5" fillId="0" borderId="196" xfId="0" applyNumberFormat="1" applyFont="1" applyBorder="1" applyAlignment="1" applyProtection="1">
      <alignment horizontal="center" vertical="center"/>
      <protection hidden="1"/>
    </xf>
    <xf numFmtId="0" fontId="10" fillId="18" borderId="10" xfId="0" applyNumberFormat="1" applyFont="1" applyFill="1" applyBorder="1" applyAlignment="1" applyProtection="1">
      <alignment horizontal="left" vertical="center" wrapText="1"/>
      <protection hidden="1"/>
    </xf>
    <xf numFmtId="0" fontId="132" fillId="18" borderId="10" xfId="0" applyNumberFormat="1" applyFont="1" applyFill="1" applyBorder="1" applyAlignment="1" applyProtection="1">
      <alignment horizontal="left" vertical="center" wrapText="1"/>
      <protection hidden="1"/>
    </xf>
    <xf numFmtId="164" fontId="159" fillId="44" borderId="341" xfId="0" applyFont="1" applyFill="1" applyBorder="1" applyAlignment="1" applyProtection="1">
      <alignment horizontal="center" vertical="center" wrapText="1"/>
      <protection hidden="1"/>
    </xf>
    <xf numFmtId="164" fontId="159" fillId="44" borderId="342" xfId="0" applyFont="1" applyFill="1" applyBorder="1" applyAlignment="1" applyProtection="1">
      <alignment horizontal="center" vertical="center" wrapText="1"/>
      <protection hidden="1"/>
    </xf>
    <xf numFmtId="164" fontId="159" fillId="44" borderId="17" xfId="0" applyFont="1" applyFill="1" applyBorder="1" applyAlignment="1" applyProtection="1">
      <alignment horizontal="center" vertical="center" wrapText="1"/>
      <protection hidden="1"/>
    </xf>
    <xf numFmtId="164" fontId="159" fillId="44" borderId="52" xfId="0" applyFont="1" applyFill="1" applyBorder="1" applyAlignment="1" applyProtection="1">
      <alignment horizontal="center" vertical="center" wrapText="1"/>
      <protection hidden="1"/>
    </xf>
    <xf numFmtId="164" fontId="159" fillId="44" borderId="211" xfId="0" applyFont="1" applyFill="1" applyBorder="1" applyAlignment="1" applyProtection="1">
      <alignment horizontal="center" vertical="center" wrapText="1"/>
      <protection hidden="1"/>
    </xf>
    <xf numFmtId="164" fontId="159" fillId="44" borderId="343" xfId="0" applyFont="1" applyFill="1" applyBorder="1" applyAlignment="1" applyProtection="1">
      <alignment horizontal="center" vertical="center" wrapText="1"/>
      <protection hidden="1"/>
    </xf>
    <xf numFmtId="164" fontId="4" fillId="18" borderId="68" xfId="0" applyFont="1" applyFill="1" applyBorder="1" applyAlignment="1" applyProtection="1">
      <alignment horizontal="center" vertical="center" wrapText="1"/>
      <protection hidden="1"/>
    </xf>
    <xf numFmtId="164" fontId="4" fillId="18" borderId="73" xfId="0" applyFont="1" applyFill="1" applyBorder="1" applyAlignment="1" applyProtection="1">
      <alignment horizontal="center" vertical="center" wrapText="1"/>
      <protection hidden="1"/>
    </xf>
    <xf numFmtId="164" fontId="5" fillId="44" borderId="189" xfId="0" applyFont="1" applyFill="1" applyBorder="1" applyAlignment="1" applyProtection="1">
      <alignment horizontal="center" vertical="center" wrapText="1"/>
      <protection hidden="1"/>
    </xf>
    <xf numFmtId="164" fontId="5" fillId="44" borderId="73" xfId="0" applyFont="1" applyFill="1" applyBorder="1" applyAlignment="1" applyProtection="1">
      <alignment horizontal="center" vertical="center" wrapText="1"/>
      <protection hidden="1"/>
    </xf>
    <xf numFmtId="164" fontId="5" fillId="44" borderId="195" xfId="0" applyFont="1" applyFill="1" applyBorder="1" applyAlignment="1" applyProtection="1">
      <alignment horizontal="center" vertical="center" wrapText="1"/>
      <protection hidden="1"/>
    </xf>
    <xf numFmtId="164" fontId="4" fillId="20" borderId="147" xfId="0" applyFont="1" applyFill="1" applyBorder="1" applyAlignment="1" applyProtection="1">
      <alignment horizontal="left" vertical="center" wrapText="1" indent="1"/>
      <protection hidden="1"/>
    </xf>
    <xf numFmtId="164" fontId="4" fillId="20" borderId="20" xfId="0" applyFont="1" applyFill="1" applyBorder="1" applyAlignment="1" applyProtection="1">
      <alignment horizontal="left" vertical="center" wrapText="1" indent="1"/>
      <protection hidden="1"/>
    </xf>
    <xf numFmtId="164" fontId="13" fillId="18" borderId="56" xfId="0" applyFont="1" applyFill="1" applyBorder="1" applyAlignment="1" applyProtection="1">
      <alignment horizontal="center" vertical="center" wrapText="1"/>
      <protection hidden="1"/>
    </xf>
    <xf numFmtId="164" fontId="13" fillId="18" borderId="57" xfId="0" applyFont="1" applyFill="1" applyBorder="1" applyAlignment="1" applyProtection="1">
      <alignment horizontal="center" vertical="center" wrapText="1"/>
      <protection hidden="1"/>
    </xf>
    <xf numFmtId="164" fontId="159" fillId="44" borderId="49" xfId="0" applyFont="1" applyFill="1" applyBorder="1" applyAlignment="1" applyProtection="1">
      <alignment horizontal="center" vertical="center" wrapText="1"/>
      <protection hidden="1"/>
    </xf>
    <xf numFmtId="164" fontId="159" fillId="44" borderId="150" xfId="0" applyFont="1" applyFill="1" applyBorder="1" applyAlignment="1" applyProtection="1">
      <alignment horizontal="center" vertical="center" wrapText="1"/>
      <protection hidden="1"/>
    </xf>
    <xf numFmtId="164" fontId="4" fillId="18" borderId="56" xfId="0" applyFont="1" applyFill="1" applyBorder="1" applyAlignment="1" applyProtection="1">
      <alignment horizontal="center" vertical="center" wrapText="1"/>
      <protection hidden="1"/>
    </xf>
    <xf numFmtId="164" fontId="4" fillId="18" borderId="38" xfId="0" applyFont="1" applyFill="1" applyBorder="1" applyAlignment="1" applyProtection="1">
      <alignment horizontal="center" vertical="center" wrapText="1"/>
      <protection hidden="1"/>
    </xf>
    <xf numFmtId="164" fontId="4" fillId="18" borderId="57" xfId="0" applyFont="1" applyFill="1" applyBorder="1" applyAlignment="1" applyProtection="1">
      <alignment horizontal="center" vertical="center" wrapText="1"/>
      <protection hidden="1"/>
    </xf>
    <xf numFmtId="0" fontId="132" fillId="18" borderId="19" xfId="0" applyNumberFormat="1" applyFont="1" applyFill="1" applyBorder="1" applyAlignment="1" applyProtection="1">
      <alignment horizontal="left" vertical="center" wrapText="1"/>
      <protection hidden="1"/>
    </xf>
    <xf numFmtId="164" fontId="131" fillId="18" borderId="10" xfId="0" applyFont="1" applyFill="1" applyBorder="1" applyAlignment="1" applyProtection="1">
      <alignment horizontal="right" vertical="center" wrapText="1"/>
      <protection hidden="1"/>
    </xf>
    <xf numFmtId="164" fontId="131" fillId="18" borderId="19" xfId="0" applyFont="1" applyFill="1" applyBorder="1" applyAlignment="1" applyProtection="1">
      <alignment horizontal="right" vertical="center" wrapText="1"/>
      <protection hidden="1"/>
    </xf>
    <xf numFmtId="1" fontId="132" fillId="18" borderId="120" xfId="0" applyNumberFormat="1" applyFont="1" applyFill="1" applyBorder="1" applyAlignment="1" applyProtection="1">
      <alignment horizontal="center" vertical="center" wrapText="1"/>
      <protection hidden="1"/>
    </xf>
    <xf numFmtId="1" fontId="132" fillId="18" borderId="121" xfId="0" applyNumberFormat="1" applyFont="1" applyFill="1" applyBorder="1" applyAlignment="1" applyProtection="1">
      <alignment horizontal="center" vertical="center" wrapText="1"/>
      <protection hidden="1"/>
    </xf>
    <xf numFmtId="1" fontId="132" fillId="18" borderId="151" xfId="0" applyNumberFormat="1" applyFont="1" applyFill="1" applyBorder="1" applyAlignment="1" applyProtection="1">
      <alignment horizontal="center" vertical="center" wrapText="1"/>
      <protection hidden="1"/>
    </xf>
    <xf numFmtId="0" fontId="132" fillId="18" borderId="16" xfId="0" applyNumberFormat="1" applyFont="1" applyFill="1" applyBorder="1" applyAlignment="1" applyProtection="1">
      <alignment horizontal="left" vertical="center" wrapText="1"/>
      <protection hidden="1"/>
    </xf>
    <xf numFmtId="164" fontId="131" fillId="18" borderId="16" xfId="0" applyFont="1" applyFill="1" applyBorder="1" applyAlignment="1" applyProtection="1">
      <alignment horizontal="right" vertical="center" wrapText="1"/>
      <protection hidden="1"/>
    </xf>
    <xf numFmtId="164" fontId="4" fillId="20" borderId="165" xfId="0" applyFont="1" applyFill="1" applyBorder="1" applyAlignment="1" applyProtection="1">
      <alignment horizontal="center" vertical="center" textRotation="90" wrapText="1"/>
      <protection hidden="1"/>
    </xf>
    <xf numFmtId="164" fontId="4" fillId="20" borderId="24" xfId="0" applyFont="1" applyFill="1" applyBorder="1" applyAlignment="1" applyProtection="1">
      <alignment horizontal="center" vertical="center" textRotation="90" wrapText="1"/>
      <protection hidden="1"/>
    </xf>
    <xf numFmtId="164" fontId="4" fillId="20" borderId="36" xfId="0" applyFont="1" applyFill="1" applyBorder="1" applyAlignment="1" applyProtection="1">
      <alignment horizontal="center" vertical="center" textRotation="90" wrapText="1"/>
      <protection hidden="1"/>
    </xf>
    <xf numFmtId="164" fontId="32" fillId="24" borderId="91" xfId="0" applyFont="1" applyFill="1" applyBorder="1" applyAlignment="1" applyProtection="1">
      <alignment horizontal="left" vertical="center" wrapText="1"/>
      <protection hidden="1"/>
    </xf>
    <xf numFmtId="164" fontId="4" fillId="20" borderId="60" xfId="0" applyFont="1" applyFill="1" applyBorder="1" applyAlignment="1" applyProtection="1">
      <alignment horizontal="left" vertical="center" wrapText="1" indent="1"/>
      <protection hidden="1"/>
    </xf>
    <xf numFmtId="164" fontId="4" fillId="18" borderId="34" xfId="0" applyFont="1" applyFill="1" applyBorder="1" applyAlignment="1" applyProtection="1">
      <alignment horizontal="center" vertical="center" wrapText="1"/>
      <protection hidden="1"/>
    </xf>
    <xf numFmtId="164" fontId="4" fillId="18" borderId="24" xfId="0" applyFont="1" applyFill="1" applyBorder="1" applyAlignment="1" applyProtection="1">
      <alignment horizontal="center" vertical="center" wrapText="1"/>
      <protection hidden="1"/>
    </xf>
    <xf numFmtId="164" fontId="4" fillId="18" borderId="36" xfId="0" applyFont="1" applyFill="1" applyBorder="1" applyAlignment="1" applyProtection="1">
      <alignment horizontal="center" vertical="center" wrapText="1"/>
      <protection hidden="1"/>
    </xf>
    <xf numFmtId="164" fontId="4" fillId="18" borderId="22" xfId="0" applyFont="1" applyFill="1" applyBorder="1" applyAlignment="1" applyProtection="1">
      <alignment horizontal="center" vertical="center" wrapText="1"/>
      <protection hidden="1"/>
    </xf>
    <xf numFmtId="164" fontId="4" fillId="18" borderId="25" xfId="0" applyFont="1" applyFill="1" applyBorder="1" applyAlignment="1" applyProtection="1">
      <alignment horizontal="center" vertical="center" wrapText="1"/>
      <protection hidden="1"/>
    </xf>
    <xf numFmtId="164" fontId="4" fillId="18" borderId="17" xfId="0" applyFont="1" applyFill="1" applyBorder="1" applyAlignment="1" applyProtection="1">
      <alignment horizontal="center" vertical="center" wrapText="1"/>
      <protection hidden="1"/>
    </xf>
    <xf numFmtId="164" fontId="4" fillId="18" borderId="26" xfId="0" applyFont="1" applyFill="1" applyBorder="1" applyAlignment="1" applyProtection="1">
      <alignment horizontal="center" vertical="center" wrapText="1"/>
      <protection hidden="1"/>
    </xf>
    <xf numFmtId="164" fontId="4" fillId="18" borderId="49" xfId="0" applyFont="1" applyFill="1" applyBorder="1" applyAlignment="1" applyProtection="1">
      <alignment horizontal="center" vertical="center" wrapText="1"/>
      <protection hidden="1"/>
    </xf>
    <xf numFmtId="164" fontId="4" fillId="18" borderId="32" xfId="0" applyFont="1" applyFill="1" applyBorder="1" applyAlignment="1" applyProtection="1">
      <alignment horizontal="center" vertical="center" wrapText="1"/>
      <protection hidden="1"/>
    </xf>
    <xf numFmtId="164" fontId="7" fillId="18" borderId="16" xfId="0" applyFont="1" applyFill="1" applyBorder="1" applyAlignment="1" applyProtection="1">
      <alignment horizontal="left" vertical="center" wrapText="1" indent="1"/>
      <protection hidden="1"/>
    </xf>
    <xf numFmtId="164" fontId="4" fillId="18" borderId="146" xfId="0" applyFont="1" applyFill="1" applyBorder="1" applyAlignment="1" applyProtection="1">
      <alignment horizontal="center" vertical="center" wrapText="1"/>
      <protection hidden="1"/>
    </xf>
    <xf numFmtId="164" fontId="4" fillId="18" borderId="82" xfId="0" applyFont="1" applyFill="1" applyBorder="1" applyAlignment="1" applyProtection="1">
      <alignment horizontal="center" vertical="center" wrapText="1"/>
      <protection hidden="1"/>
    </xf>
    <xf numFmtId="1" fontId="132" fillId="18" borderId="47" xfId="0" applyNumberFormat="1" applyFont="1" applyFill="1" applyBorder="1" applyAlignment="1" applyProtection="1">
      <alignment horizontal="center" vertical="center" wrapText="1"/>
      <protection hidden="1"/>
    </xf>
    <xf numFmtId="164" fontId="4" fillId="18" borderId="16" xfId="0" applyFont="1" applyFill="1" applyBorder="1" applyAlignment="1" applyProtection="1">
      <alignment horizontal="left" vertical="center" wrapText="1" indent="1"/>
      <protection hidden="1"/>
    </xf>
    <xf numFmtId="164" fontId="4" fillId="18" borderId="10" xfId="0" applyFont="1" applyFill="1" applyBorder="1" applyAlignment="1" applyProtection="1">
      <alignment horizontal="left" vertical="center" wrapText="1" indent="1"/>
      <protection hidden="1"/>
    </xf>
    <xf numFmtId="164" fontId="4" fillId="18" borderId="16" xfId="0" applyFont="1" applyFill="1" applyBorder="1" applyAlignment="1" applyProtection="1">
      <alignment horizontal="right" vertical="center" wrapText="1"/>
      <protection hidden="1"/>
    </xf>
    <xf numFmtId="164" fontId="4" fillId="18" borderId="10" xfId="0" applyFont="1" applyFill="1" applyBorder="1" applyAlignment="1" applyProtection="1">
      <alignment horizontal="right" vertical="center" wrapText="1"/>
      <protection hidden="1"/>
    </xf>
    <xf numFmtId="0" fontId="5" fillId="18" borderId="16" xfId="0" applyNumberFormat="1" applyFont="1" applyFill="1" applyBorder="1" applyAlignment="1" applyProtection="1">
      <alignment horizontal="left" vertical="center" wrapText="1"/>
      <protection hidden="1"/>
    </xf>
    <xf numFmtId="0" fontId="5" fillId="18" borderId="10" xfId="0" applyNumberFormat="1" applyFont="1" applyFill="1" applyBorder="1" applyAlignment="1" applyProtection="1">
      <alignment horizontal="left" vertical="center" wrapText="1"/>
      <protection hidden="1"/>
    </xf>
    <xf numFmtId="164" fontId="4" fillId="18" borderId="147" xfId="0" applyFont="1" applyFill="1" applyBorder="1" applyAlignment="1" applyProtection="1">
      <alignment horizontal="left" vertical="center" wrapText="1" indent="1"/>
      <protection hidden="1"/>
    </xf>
    <xf numFmtId="164" fontId="4" fillId="18" borderId="20" xfId="0" applyFont="1" applyFill="1" applyBorder="1" applyAlignment="1" applyProtection="1">
      <alignment horizontal="left" vertical="center" wrapText="1" indent="1"/>
      <protection hidden="1"/>
    </xf>
    <xf numFmtId="164" fontId="32" fillId="18" borderId="91" xfId="0" applyFont="1" applyFill="1" applyBorder="1" applyAlignment="1" applyProtection="1">
      <alignment horizontal="left" vertical="center" wrapText="1"/>
      <protection hidden="1"/>
    </xf>
    <xf numFmtId="164" fontId="4" fillId="18" borderId="38" xfId="0" applyFont="1" applyFill="1" applyBorder="1" applyAlignment="1" applyProtection="1">
      <alignment horizontal="left" vertical="center" wrapText="1" indent="1"/>
      <protection hidden="1"/>
    </xf>
    <xf numFmtId="164" fontId="4" fillId="18" borderId="152" xfId="0" applyFont="1" applyFill="1" applyBorder="1" applyAlignment="1" applyProtection="1">
      <alignment horizontal="left" vertical="center" wrapText="1" indent="1"/>
      <protection hidden="1"/>
    </xf>
    <xf numFmtId="164" fontId="4" fillId="18" borderId="57" xfId="0" applyFont="1" applyFill="1" applyBorder="1" applyAlignment="1" applyProtection="1">
      <alignment horizontal="left" vertical="center" wrapText="1" indent="1"/>
      <protection hidden="1"/>
    </xf>
    <xf numFmtId="164" fontId="5" fillId="18" borderId="34" xfId="0" applyFont="1" applyFill="1" applyBorder="1" applyAlignment="1" applyProtection="1">
      <alignment horizontal="center" vertical="center" wrapText="1"/>
      <protection hidden="1"/>
    </xf>
    <xf numFmtId="164" fontId="5" fillId="18" borderId="24" xfId="0" applyFont="1" applyFill="1" applyBorder="1" applyAlignment="1" applyProtection="1">
      <alignment horizontal="center" vertical="center" wrapText="1"/>
      <protection hidden="1"/>
    </xf>
    <xf numFmtId="164" fontId="5" fillId="18" borderId="36" xfId="0" applyFont="1" applyFill="1" applyBorder="1" applyAlignment="1" applyProtection="1">
      <alignment horizontal="center" vertical="center" wrapText="1"/>
      <protection hidden="1"/>
    </xf>
    <xf numFmtId="1" fontId="5" fillId="18" borderId="68" xfId="0" applyNumberFormat="1" applyFont="1" applyFill="1" applyBorder="1" applyAlignment="1" applyProtection="1">
      <alignment horizontal="center" vertical="center" wrapText="1"/>
      <protection hidden="1"/>
    </xf>
    <xf numFmtId="1" fontId="5" fillId="18" borderId="73" xfId="0" applyNumberFormat="1" applyFont="1" applyFill="1" applyBorder="1" applyAlignment="1" applyProtection="1">
      <alignment horizontal="center" vertical="center" wrapText="1"/>
      <protection hidden="1"/>
    </xf>
    <xf numFmtId="1" fontId="5" fillId="18" borderId="15" xfId="0" applyNumberFormat="1" applyFont="1" applyFill="1" applyBorder="1" applyAlignment="1" applyProtection="1">
      <alignment horizontal="center" vertical="center" wrapText="1"/>
      <protection hidden="1"/>
    </xf>
    <xf numFmtId="164" fontId="4" fillId="18" borderId="60" xfId="0" applyFont="1" applyFill="1" applyBorder="1" applyAlignment="1" applyProtection="1">
      <alignment horizontal="left" vertical="center" wrapText="1" indent="1"/>
      <protection hidden="1"/>
    </xf>
    <xf numFmtId="164" fontId="4" fillId="18" borderId="19" xfId="0" applyFont="1" applyFill="1" applyBorder="1" applyAlignment="1" applyProtection="1">
      <alignment horizontal="left" vertical="center" wrapText="1" indent="1"/>
      <protection hidden="1"/>
    </xf>
    <xf numFmtId="164" fontId="4" fillId="18" borderId="19" xfId="0" applyFont="1" applyFill="1" applyBorder="1" applyAlignment="1" applyProtection="1">
      <alignment horizontal="right" vertical="center" wrapText="1"/>
      <protection hidden="1"/>
    </xf>
    <xf numFmtId="0" fontId="5" fillId="18" borderId="19" xfId="0" applyNumberFormat="1" applyFont="1" applyFill="1" applyBorder="1" applyAlignment="1" applyProtection="1">
      <alignment horizontal="left" vertical="center" wrapText="1"/>
      <protection hidden="1"/>
    </xf>
    <xf numFmtId="1" fontId="5" fillId="18" borderId="162" xfId="0" applyNumberFormat="1" applyFont="1" applyFill="1" applyBorder="1" applyAlignment="1" applyProtection="1">
      <alignment horizontal="center" vertical="center" wrapText="1"/>
      <protection hidden="1"/>
    </xf>
    <xf numFmtId="1" fontId="5" fillId="18" borderId="160" xfId="0" applyNumberFormat="1" applyFont="1" applyFill="1" applyBorder="1" applyAlignment="1" applyProtection="1">
      <alignment horizontal="center" vertical="center" wrapText="1"/>
      <protection hidden="1"/>
    </xf>
    <xf numFmtId="1" fontId="5" fillId="18" borderId="161" xfId="0" applyNumberFormat="1" applyFont="1" applyFill="1" applyBorder="1" applyAlignment="1" applyProtection="1">
      <alignment horizontal="center" vertical="center" wrapText="1"/>
      <protection hidden="1"/>
    </xf>
    <xf numFmtId="164" fontId="5" fillId="18" borderId="59" xfId="0" applyFont="1" applyFill="1" applyBorder="1" applyAlignment="1" applyProtection="1">
      <alignment horizontal="left" vertical="center" wrapText="1" indent="1"/>
      <protection hidden="1"/>
    </xf>
    <xf numFmtId="164" fontId="5" fillId="18" borderId="73" xfId="0" applyFont="1" applyFill="1" applyBorder="1" applyAlignment="1" applyProtection="1">
      <alignment horizontal="left" vertical="center" wrapText="1" indent="1"/>
      <protection hidden="1"/>
    </xf>
    <xf numFmtId="164" fontId="5" fillId="18" borderId="74" xfId="0" applyFont="1" applyFill="1" applyBorder="1" applyAlignment="1" applyProtection="1">
      <alignment horizontal="left" vertical="center" wrapText="1" indent="1"/>
      <protection hidden="1"/>
    </xf>
    <xf numFmtId="1" fontId="5" fillId="18" borderId="47" xfId="0" applyNumberFormat="1" applyFont="1" applyFill="1" applyBorder="1" applyAlignment="1" applyProtection="1">
      <alignment horizontal="center" vertical="center"/>
      <protection hidden="1"/>
    </xf>
    <xf numFmtId="1" fontId="5" fillId="18" borderId="121" xfId="0" applyNumberFormat="1" applyFont="1" applyFill="1" applyBorder="1" applyAlignment="1" applyProtection="1">
      <alignment horizontal="center" vertical="center"/>
      <protection hidden="1"/>
    </xf>
    <xf numFmtId="1" fontId="5" fillId="18" borderId="151" xfId="0" applyNumberFormat="1" applyFont="1" applyFill="1" applyBorder="1" applyAlignment="1" applyProtection="1">
      <alignment horizontal="center" vertical="center"/>
      <protection hidden="1"/>
    </xf>
    <xf numFmtId="164" fontId="4" fillId="18" borderId="159" xfId="0" applyFont="1" applyFill="1" applyBorder="1" applyAlignment="1" applyProtection="1">
      <alignment horizontal="left" vertical="center" wrapText="1" indent="1"/>
      <protection hidden="1"/>
    </xf>
    <xf numFmtId="164" fontId="5" fillId="18" borderId="15" xfId="0" applyFont="1" applyFill="1" applyBorder="1" applyAlignment="1" applyProtection="1">
      <alignment horizontal="left" vertical="center" wrapText="1" indent="1"/>
      <protection hidden="1"/>
    </xf>
    <xf numFmtId="164" fontId="5" fillId="18" borderId="18" xfId="0" applyFont="1" applyFill="1" applyBorder="1" applyAlignment="1" applyProtection="1">
      <alignment horizontal="center" vertical="center" wrapText="1"/>
      <protection hidden="1"/>
    </xf>
    <xf numFmtId="164" fontId="5" fillId="18" borderId="51" xfId="0" applyFont="1" applyFill="1" applyBorder="1" applyAlignment="1" applyProtection="1">
      <alignment horizontal="center" vertical="center" wrapText="1"/>
      <protection hidden="1"/>
    </xf>
    <xf numFmtId="164" fontId="5" fillId="18" borderId="53" xfId="0" applyFont="1" applyFill="1" applyBorder="1" applyAlignment="1" applyProtection="1">
      <alignment horizontal="center" vertical="center" wrapText="1"/>
      <protection hidden="1"/>
    </xf>
    <xf numFmtId="164" fontId="5" fillId="18" borderId="23" xfId="0" applyFont="1" applyFill="1" applyBorder="1" applyAlignment="1" applyProtection="1">
      <alignment horizontal="center" vertical="center" wrapText="1"/>
      <protection hidden="1"/>
    </xf>
    <xf numFmtId="164" fontId="5" fillId="18" borderId="54" xfId="0" applyFont="1" applyFill="1" applyBorder="1" applyAlignment="1" applyProtection="1">
      <alignment horizontal="center" vertical="center" wrapText="1"/>
      <protection hidden="1"/>
    </xf>
    <xf numFmtId="164" fontId="5" fillId="18" borderId="55" xfId="0" applyFont="1" applyFill="1" applyBorder="1" applyAlignment="1" applyProtection="1">
      <alignment horizontal="center" vertical="center" wrapText="1"/>
      <protection hidden="1"/>
    </xf>
    <xf numFmtId="1" fontId="4" fillId="18" borderId="73" xfId="0" applyNumberFormat="1" applyFont="1" applyFill="1" applyBorder="1" applyAlignment="1" applyProtection="1">
      <alignment horizontal="center" vertical="center" wrapText="1"/>
      <protection hidden="1"/>
    </xf>
    <xf numFmtId="1" fontId="4" fillId="18" borderId="74" xfId="0" applyNumberFormat="1" applyFont="1" applyFill="1" applyBorder="1" applyAlignment="1" applyProtection="1">
      <alignment horizontal="center" vertical="center" wrapText="1"/>
      <protection hidden="1"/>
    </xf>
    <xf numFmtId="1" fontId="5" fillId="0" borderId="61" xfId="0" applyNumberFormat="1" applyFont="1" applyBorder="1" applyAlignment="1" applyProtection="1">
      <alignment horizontal="center" vertical="center"/>
      <protection hidden="1"/>
    </xf>
    <xf numFmtId="164" fontId="4" fillId="22" borderId="38" xfId="0" applyFont="1" applyFill="1" applyBorder="1" applyAlignment="1" applyProtection="1">
      <alignment horizontal="left" vertical="center" wrapText="1" indent="1"/>
      <protection hidden="1"/>
    </xf>
    <xf numFmtId="164" fontId="4" fillId="22" borderId="236" xfId="0" applyFont="1" applyFill="1" applyBorder="1" applyAlignment="1" applyProtection="1">
      <alignment horizontal="left" vertical="center" wrapText="1" indent="1"/>
      <protection hidden="1"/>
    </xf>
    <xf numFmtId="164" fontId="4" fillId="18" borderId="165" xfId="0" applyFont="1" applyFill="1" applyBorder="1" applyAlignment="1" applyProtection="1">
      <alignment horizontal="center" vertical="center" textRotation="90" wrapText="1"/>
      <protection hidden="1"/>
    </xf>
    <xf numFmtId="164" fontId="4" fillId="18" borderId="24" xfId="0" applyFont="1" applyFill="1" applyBorder="1" applyAlignment="1" applyProtection="1">
      <alignment horizontal="center" vertical="center" textRotation="90" wrapText="1"/>
      <protection hidden="1"/>
    </xf>
    <xf numFmtId="164" fontId="4" fillId="18" borderId="36" xfId="0" applyFont="1" applyFill="1" applyBorder="1" applyAlignment="1" applyProtection="1">
      <alignment horizontal="center" vertical="center" textRotation="90" wrapText="1"/>
      <protection hidden="1"/>
    </xf>
    <xf numFmtId="164" fontId="5" fillId="44" borderId="221" xfId="0" applyFont="1" applyFill="1" applyBorder="1" applyAlignment="1" applyProtection="1">
      <alignment horizontal="left" vertical="center" wrapText="1" indent="1"/>
      <protection hidden="1"/>
    </xf>
    <xf numFmtId="164" fontId="5" fillId="44" borderId="217" xfId="0" applyFont="1" applyFill="1" applyBorder="1" applyAlignment="1" applyProtection="1">
      <alignment horizontal="left" vertical="center" wrapText="1" indent="1"/>
      <protection hidden="1"/>
    </xf>
    <xf numFmtId="164" fontId="5" fillId="44" borderId="218" xfId="0" applyFont="1" applyFill="1" applyBorder="1" applyAlignment="1" applyProtection="1">
      <alignment horizontal="left" vertical="center" wrapText="1" indent="1"/>
      <protection hidden="1"/>
    </xf>
    <xf numFmtId="164" fontId="4" fillId="18" borderId="235" xfId="0" applyFont="1" applyFill="1" applyBorder="1" applyAlignment="1" applyProtection="1">
      <alignment horizontal="left" vertical="center" wrapText="1" indent="1"/>
      <protection hidden="1"/>
    </xf>
    <xf numFmtId="164" fontId="4" fillId="18" borderId="236" xfId="0" applyFont="1" applyFill="1" applyBorder="1" applyAlignment="1" applyProtection="1">
      <alignment horizontal="left" vertical="center" wrapText="1" indent="1"/>
      <protection hidden="1"/>
    </xf>
    <xf numFmtId="164" fontId="4" fillId="22" borderId="235" xfId="0" applyFont="1" applyFill="1" applyBorder="1" applyAlignment="1" applyProtection="1">
      <alignment horizontal="left" vertical="center" wrapText="1" indent="1"/>
      <protection hidden="1"/>
    </xf>
    <xf numFmtId="164" fontId="5" fillId="48" borderId="24" xfId="0" applyFont="1" applyFill="1" applyBorder="1" applyAlignment="1" applyProtection="1">
      <alignment horizontal="center" vertical="center" wrapText="1"/>
      <protection hidden="1"/>
    </xf>
    <xf numFmtId="164" fontId="5" fillId="48" borderId="36" xfId="0" applyFont="1" applyFill="1" applyBorder="1" applyAlignment="1" applyProtection="1">
      <alignment horizontal="center" vertical="center" wrapText="1"/>
      <protection hidden="1"/>
    </xf>
    <xf numFmtId="164" fontId="32" fillId="18" borderId="34" xfId="0" applyFont="1" applyFill="1" applyBorder="1" applyAlignment="1" applyProtection="1">
      <alignment horizontal="left" vertical="center" wrapText="1" indent="2"/>
      <protection hidden="1"/>
    </xf>
    <xf numFmtId="164" fontId="32" fillId="18" borderId="35" xfId="0" applyFont="1" applyFill="1" applyBorder="1" applyAlignment="1" applyProtection="1">
      <alignment horizontal="left" vertical="center" wrapText="1" indent="2"/>
      <protection hidden="1"/>
    </xf>
    <xf numFmtId="164" fontId="4" fillId="18" borderId="164" xfId="0" applyFont="1" applyFill="1" applyBorder="1" applyAlignment="1" applyProtection="1">
      <alignment horizontal="center" vertical="center" textRotation="90" wrapText="1"/>
      <protection hidden="1"/>
    </xf>
    <xf numFmtId="164" fontId="4" fillId="18" borderId="96" xfId="0" applyFont="1" applyFill="1" applyBorder="1" applyAlignment="1" applyProtection="1">
      <alignment horizontal="center" vertical="center" textRotation="90" wrapText="1"/>
      <protection hidden="1"/>
    </xf>
    <xf numFmtId="164" fontId="4" fillId="18" borderId="129" xfId="0" applyFont="1" applyFill="1" applyBorder="1" applyAlignment="1" applyProtection="1">
      <alignment horizontal="center" vertical="center" textRotation="90" wrapText="1"/>
      <protection hidden="1"/>
    </xf>
    <xf numFmtId="164" fontId="5" fillId="36" borderId="34" xfId="0" applyFont="1" applyFill="1" applyBorder="1" applyAlignment="1" applyProtection="1">
      <alignment horizontal="center" vertical="center" wrapText="1"/>
      <protection hidden="1"/>
    </xf>
    <xf numFmtId="164" fontId="5" fillId="36" borderId="24" xfId="0" applyFont="1" applyFill="1" applyBorder="1" applyAlignment="1" applyProtection="1">
      <alignment horizontal="center" vertical="center" wrapText="1"/>
      <protection hidden="1"/>
    </xf>
    <xf numFmtId="164" fontId="4" fillId="0" borderId="59" xfId="0" applyFont="1" applyBorder="1" applyAlignment="1" applyProtection="1">
      <alignment horizontal="center" vertical="center" wrapText="1"/>
      <protection hidden="1"/>
    </xf>
    <xf numFmtId="164" fontId="4" fillId="0" borderId="15" xfId="0" applyFont="1" applyBorder="1" applyAlignment="1" applyProtection="1">
      <alignment horizontal="center" vertical="center" wrapText="1"/>
      <protection hidden="1"/>
    </xf>
    <xf numFmtId="164" fontId="5" fillId="35" borderId="24" xfId="0" applyFont="1" applyFill="1" applyBorder="1" applyAlignment="1" applyProtection="1">
      <alignment horizontal="center" vertical="center" wrapText="1"/>
      <protection hidden="1"/>
    </xf>
    <xf numFmtId="164" fontId="5" fillId="35" borderId="36" xfId="0" applyFont="1" applyFill="1" applyBorder="1" applyAlignment="1" applyProtection="1">
      <alignment horizontal="center" vertical="center" wrapText="1"/>
      <protection hidden="1"/>
    </xf>
    <xf numFmtId="164" fontId="4" fillId="18" borderId="59" xfId="0" applyFont="1" applyFill="1" applyBorder="1" applyAlignment="1" applyProtection="1">
      <alignment horizontal="left" vertical="center" wrapText="1" indent="1"/>
      <protection hidden="1"/>
    </xf>
    <xf numFmtId="164" fontId="4" fillId="18" borderId="73" xfId="0" applyFont="1" applyFill="1" applyBorder="1" applyAlignment="1" applyProtection="1">
      <alignment horizontal="left" vertical="center" wrapText="1" indent="1"/>
      <protection hidden="1"/>
    </xf>
    <xf numFmtId="164" fontId="4" fillId="18" borderId="15" xfId="0" applyFont="1" applyFill="1" applyBorder="1" applyAlignment="1" applyProtection="1">
      <alignment horizontal="left" vertical="center" wrapText="1" indent="1"/>
      <protection hidden="1"/>
    </xf>
    <xf numFmtId="164" fontId="32" fillId="18" borderId="34" xfId="0" applyFont="1" applyFill="1" applyBorder="1" applyAlignment="1" applyProtection="1">
      <alignment horizontal="center" vertical="center" wrapText="1" shrinkToFit="1"/>
      <protection hidden="1"/>
    </xf>
    <xf numFmtId="164" fontId="32" fillId="18" borderId="35" xfId="0" applyFont="1" applyFill="1" applyBorder="1" applyAlignment="1" applyProtection="1">
      <alignment horizontal="center" vertical="center" wrapText="1" shrinkToFit="1"/>
      <protection hidden="1"/>
    </xf>
    <xf numFmtId="164" fontId="32" fillId="18" borderId="36" xfId="0" applyFont="1" applyFill="1" applyBorder="1" applyAlignment="1" applyProtection="1">
      <alignment horizontal="center" vertical="center" wrapText="1" shrinkToFit="1"/>
      <protection hidden="1"/>
    </xf>
    <xf numFmtId="164" fontId="32" fillId="18" borderId="21" xfId="0" applyFont="1" applyFill="1" applyBorder="1" applyAlignment="1" applyProtection="1">
      <alignment horizontal="center" vertical="center" wrapText="1" shrinkToFit="1"/>
      <protection hidden="1"/>
    </xf>
    <xf numFmtId="164" fontId="5" fillId="18" borderId="22" xfId="0" applyFont="1" applyFill="1" applyBorder="1" applyAlignment="1" applyProtection="1">
      <alignment horizontal="center" vertical="center" wrapText="1"/>
      <protection hidden="1"/>
    </xf>
    <xf numFmtId="164" fontId="5" fillId="18" borderId="35" xfId="0" applyFont="1" applyFill="1" applyBorder="1" applyAlignment="1" applyProtection="1">
      <alignment horizontal="center" vertical="center" wrapText="1"/>
      <protection hidden="1"/>
    </xf>
    <xf numFmtId="164" fontId="5" fillId="18" borderId="131" xfId="0" applyFont="1" applyFill="1" applyBorder="1" applyAlignment="1" applyProtection="1">
      <alignment horizontal="center" vertical="center" wrapText="1"/>
      <protection hidden="1"/>
    </xf>
    <xf numFmtId="1" fontId="4" fillId="18" borderId="22" xfId="0" applyNumberFormat="1" applyFont="1" applyFill="1" applyBorder="1" applyAlignment="1" applyProtection="1">
      <alignment horizontal="center" vertical="center" wrapText="1"/>
      <protection hidden="1"/>
    </xf>
    <xf numFmtId="1" fontId="4" fillId="18" borderId="17" xfId="0" applyNumberFormat="1" applyFont="1" applyFill="1" applyBorder="1" applyAlignment="1" applyProtection="1">
      <alignment horizontal="center" vertical="center" wrapText="1"/>
      <protection hidden="1"/>
    </xf>
    <xf numFmtId="1" fontId="4" fillId="18" borderId="49" xfId="0" applyNumberFormat="1" applyFont="1" applyFill="1" applyBorder="1" applyAlignment="1" applyProtection="1">
      <alignment horizontal="center" vertical="center" wrapText="1"/>
      <protection hidden="1"/>
    </xf>
    <xf numFmtId="164" fontId="4" fillId="0" borderId="74" xfId="0" applyFont="1" applyBorder="1" applyAlignment="1" applyProtection="1">
      <alignment horizontal="center" vertical="center" wrapText="1"/>
      <protection hidden="1"/>
    </xf>
    <xf numFmtId="1" fontId="5" fillId="18" borderId="61" xfId="0" applyNumberFormat="1" applyFont="1" applyFill="1" applyBorder="1" applyAlignment="1" applyProtection="1">
      <alignment horizontal="center" vertical="center"/>
      <protection hidden="1"/>
    </xf>
    <xf numFmtId="164" fontId="32" fillId="18" borderId="91" xfId="0" applyFont="1" applyFill="1" applyBorder="1" applyAlignment="1" applyProtection="1">
      <alignment horizontal="center" vertical="center"/>
      <protection hidden="1"/>
    </xf>
    <xf numFmtId="164" fontId="32" fillId="18" borderId="24" xfId="0" applyFont="1" applyFill="1" applyBorder="1" applyAlignment="1" applyProtection="1">
      <alignment horizontal="center" vertical="center" wrapText="1" shrinkToFit="1"/>
      <protection hidden="1"/>
    </xf>
    <xf numFmtId="164" fontId="32" fillId="18" borderId="0" xfId="0" applyFont="1" applyFill="1" applyAlignment="1" applyProtection="1">
      <alignment horizontal="center" vertical="center" wrapText="1" shrinkToFit="1"/>
      <protection hidden="1"/>
    </xf>
    <xf numFmtId="1" fontId="5" fillId="18" borderId="163" xfId="0" applyNumberFormat="1" applyFont="1" applyFill="1" applyBorder="1" applyAlignment="1" applyProtection="1">
      <alignment horizontal="center" vertical="center" wrapText="1"/>
      <protection hidden="1"/>
    </xf>
    <xf numFmtId="164" fontId="13" fillId="18" borderId="22" xfId="0" applyFont="1" applyFill="1" applyBorder="1" applyAlignment="1" applyProtection="1">
      <alignment horizontal="center" vertical="center"/>
      <protection hidden="1"/>
    </xf>
    <xf numFmtId="164" fontId="13" fillId="18" borderId="35" xfId="0" applyFont="1" applyFill="1" applyBorder="1" applyAlignment="1" applyProtection="1">
      <alignment horizontal="center" vertical="center"/>
      <protection hidden="1"/>
    </xf>
    <xf numFmtId="164" fontId="13" fillId="18" borderId="49" xfId="0" applyFont="1" applyFill="1" applyBorder="1" applyAlignment="1" applyProtection="1">
      <alignment horizontal="center" vertical="center"/>
      <protection hidden="1"/>
    </xf>
    <xf numFmtId="164" fontId="13" fillId="18" borderId="21" xfId="0" applyFont="1" applyFill="1" applyBorder="1" applyAlignment="1" applyProtection="1">
      <alignment horizontal="center" vertical="center"/>
      <protection hidden="1"/>
    </xf>
    <xf numFmtId="0" fontId="10" fillId="18" borderId="16" xfId="0" applyNumberFormat="1" applyFont="1" applyFill="1" applyBorder="1" applyAlignment="1" applyProtection="1">
      <alignment horizontal="left" vertical="center" wrapText="1"/>
      <protection hidden="1"/>
    </xf>
    <xf numFmtId="164" fontId="32" fillId="27" borderId="91" xfId="0" applyFont="1" applyFill="1" applyBorder="1" applyAlignment="1" applyProtection="1">
      <alignment horizontal="left" vertical="center" wrapText="1"/>
      <protection hidden="1"/>
    </xf>
    <xf numFmtId="164" fontId="131" fillId="18" borderId="146" xfId="0" applyFont="1" applyFill="1" applyBorder="1" applyAlignment="1" applyProtection="1">
      <alignment horizontal="center" vertical="center" wrapText="1"/>
      <protection hidden="1"/>
    </xf>
    <xf numFmtId="164" fontId="131" fillId="18" borderId="82" xfId="0" applyFont="1" applyFill="1" applyBorder="1" applyAlignment="1" applyProtection="1">
      <alignment horizontal="center" vertical="center" wrapText="1"/>
      <protection hidden="1"/>
    </xf>
    <xf numFmtId="164" fontId="131" fillId="18" borderId="95" xfId="0" applyFont="1" applyFill="1" applyBorder="1" applyAlignment="1" applyProtection="1">
      <alignment horizontal="center" vertical="center" wrapText="1"/>
      <protection hidden="1"/>
    </xf>
    <xf numFmtId="164" fontId="131" fillId="18" borderId="56" xfId="0" applyFont="1" applyFill="1" applyBorder="1" applyAlignment="1" applyProtection="1">
      <alignment horizontal="center" vertical="center" wrapText="1"/>
      <protection hidden="1"/>
    </xf>
    <xf numFmtId="164" fontId="131" fillId="18" borderId="38" xfId="0" applyFont="1" applyFill="1" applyBorder="1" applyAlignment="1" applyProtection="1">
      <alignment horizontal="center" vertical="center" wrapText="1"/>
      <protection hidden="1"/>
    </xf>
    <xf numFmtId="164" fontId="131" fillId="18" borderId="57" xfId="0" applyFont="1" applyFill="1" applyBorder="1" applyAlignment="1" applyProtection="1">
      <alignment horizontal="center" vertical="center" wrapText="1"/>
      <protection hidden="1"/>
    </xf>
    <xf numFmtId="164" fontId="131" fillId="18" borderId="22" xfId="0" applyFont="1" applyFill="1" applyBorder="1" applyAlignment="1" applyProtection="1">
      <alignment horizontal="center" vertical="center" wrapText="1"/>
      <protection hidden="1"/>
    </xf>
    <xf numFmtId="164" fontId="131" fillId="18" borderId="25" xfId="0" applyFont="1" applyFill="1" applyBorder="1" applyAlignment="1" applyProtection="1">
      <alignment horizontal="center" vertical="center" wrapText="1"/>
      <protection hidden="1"/>
    </xf>
    <xf numFmtId="164" fontId="131" fillId="18" borderId="17" xfId="0" applyFont="1" applyFill="1" applyBorder="1" applyAlignment="1" applyProtection="1">
      <alignment horizontal="center" vertical="center" wrapText="1"/>
      <protection hidden="1"/>
    </xf>
    <xf numFmtId="164" fontId="131" fillId="18" borderId="26" xfId="0" applyFont="1" applyFill="1" applyBorder="1" applyAlignment="1" applyProtection="1">
      <alignment horizontal="center" vertical="center" wrapText="1"/>
      <protection hidden="1"/>
    </xf>
    <xf numFmtId="164" fontId="131" fillId="18" borderId="49" xfId="0" applyFont="1" applyFill="1" applyBorder="1" applyAlignment="1" applyProtection="1">
      <alignment horizontal="center" vertical="center" wrapText="1"/>
      <protection hidden="1"/>
    </xf>
    <xf numFmtId="164" fontId="131" fillId="18" borderId="32" xfId="0" applyFont="1" applyFill="1" applyBorder="1" applyAlignment="1" applyProtection="1">
      <alignment horizontal="center" vertical="center" wrapText="1"/>
      <protection hidden="1"/>
    </xf>
    <xf numFmtId="164" fontId="7" fillId="0" borderId="146" xfId="0" applyFont="1" applyBorder="1" applyAlignment="1" applyProtection="1">
      <alignment horizontal="center" vertical="center" wrapText="1"/>
      <protection hidden="1"/>
    </xf>
    <xf numFmtId="164" fontId="7" fillId="0" borderId="82" xfId="0" applyFont="1" applyBorder="1" applyAlignment="1" applyProtection="1">
      <alignment horizontal="center" vertical="center" wrapText="1"/>
      <protection hidden="1"/>
    </xf>
    <xf numFmtId="164" fontId="7" fillId="0" borderId="68" xfId="0" applyFont="1" applyBorder="1" applyAlignment="1" applyProtection="1">
      <alignment horizontal="center" vertical="center" wrapText="1"/>
      <protection hidden="1"/>
    </xf>
    <xf numFmtId="164" fontId="7" fillId="0" borderId="73" xfId="0" applyFont="1" applyBorder="1" applyAlignment="1" applyProtection="1">
      <alignment horizontal="center" vertical="center" wrapText="1"/>
      <protection hidden="1"/>
    </xf>
    <xf numFmtId="164" fontId="5" fillId="18" borderId="57" xfId="0" applyFont="1" applyFill="1" applyBorder="1" applyAlignment="1" applyProtection="1">
      <alignment horizontal="center" vertical="center" wrapText="1"/>
      <protection hidden="1"/>
    </xf>
    <xf numFmtId="164" fontId="159" fillId="44" borderId="22" xfId="0" applyFont="1" applyFill="1" applyBorder="1" applyAlignment="1" applyProtection="1">
      <alignment horizontal="center" vertical="center" wrapText="1"/>
      <protection hidden="1"/>
    </xf>
    <xf numFmtId="164" fontId="159" fillId="44" borderId="131" xfId="0" applyFont="1" applyFill="1" applyBorder="1" applyAlignment="1" applyProtection="1">
      <alignment horizontal="center" vertical="center" wrapText="1"/>
      <protection hidden="1"/>
    </xf>
    <xf numFmtId="164" fontId="5" fillId="27" borderId="34" xfId="0" applyFont="1" applyFill="1" applyBorder="1" applyAlignment="1" applyProtection="1">
      <alignment horizontal="center" vertical="center" wrapText="1"/>
      <protection hidden="1"/>
    </xf>
    <xf numFmtId="164" fontId="5" fillId="27" borderId="24" xfId="0" applyFont="1" applyFill="1" applyBorder="1" applyAlignment="1" applyProtection="1">
      <alignment horizontal="center" vertical="center" wrapText="1"/>
      <protection hidden="1"/>
    </xf>
    <xf numFmtId="164" fontId="5" fillId="27" borderId="36" xfId="0" applyFont="1" applyFill="1" applyBorder="1" applyAlignment="1" applyProtection="1">
      <alignment horizontal="center" vertical="center" wrapText="1"/>
      <protection hidden="1"/>
    </xf>
    <xf numFmtId="164" fontId="32" fillId="18" borderId="12" xfId="0" applyFont="1" applyFill="1" applyBorder="1" applyAlignment="1" applyProtection="1">
      <alignment horizontal="left"/>
      <protection hidden="1"/>
    </xf>
    <xf numFmtId="164" fontId="32" fillId="18" borderId="33" xfId="0" applyFont="1" applyFill="1" applyBorder="1" applyAlignment="1" applyProtection="1">
      <alignment horizontal="left"/>
      <protection hidden="1"/>
    </xf>
    <xf numFmtId="164" fontId="32" fillId="18" borderId="48" xfId="0" applyFont="1" applyFill="1" applyBorder="1" applyAlignment="1" applyProtection="1">
      <alignment horizontal="left"/>
      <protection hidden="1"/>
    </xf>
    <xf numFmtId="164" fontId="7" fillId="0" borderId="74" xfId="0" applyFont="1" applyBorder="1" applyAlignment="1" applyProtection="1">
      <alignment horizontal="center" vertical="center" wrapText="1"/>
      <protection hidden="1"/>
    </xf>
    <xf numFmtId="164" fontId="7" fillId="0" borderId="95" xfId="0" applyFont="1" applyBorder="1" applyAlignment="1" applyProtection="1">
      <alignment horizontal="center" vertical="center" wrapText="1"/>
      <protection hidden="1"/>
    </xf>
    <xf numFmtId="1" fontId="5" fillId="0" borderId="121" xfId="0" applyNumberFormat="1" applyFont="1" applyBorder="1" applyAlignment="1" applyProtection="1">
      <alignment horizontal="center" vertical="center" wrapText="1"/>
      <protection hidden="1"/>
    </xf>
    <xf numFmtId="1" fontId="5" fillId="0" borderId="61" xfId="0" applyNumberFormat="1" applyFont="1" applyBorder="1" applyAlignment="1" applyProtection="1">
      <alignment horizontal="center" vertical="center" wrapText="1"/>
      <protection hidden="1"/>
    </xf>
    <xf numFmtId="164" fontId="4" fillId="18" borderId="262" xfId="0" applyFont="1" applyFill="1" applyBorder="1" applyAlignment="1" applyProtection="1">
      <alignment horizontal="center" vertical="center" wrapText="1"/>
      <protection hidden="1"/>
    </xf>
    <xf numFmtId="164" fontId="4" fillId="18" borderId="201" xfId="0" applyFont="1" applyFill="1" applyBorder="1" applyAlignment="1" applyProtection="1">
      <alignment horizontal="center" vertical="center" wrapText="1"/>
      <protection hidden="1"/>
    </xf>
    <xf numFmtId="164" fontId="4" fillId="18" borderId="213" xfId="0" applyFont="1" applyFill="1" applyBorder="1" applyAlignment="1" applyProtection="1">
      <alignment horizontal="center" vertical="center" wrapText="1"/>
      <protection hidden="1"/>
    </xf>
    <xf numFmtId="164" fontId="4" fillId="22" borderId="57" xfId="0" applyFont="1" applyFill="1" applyBorder="1" applyAlignment="1" applyProtection="1">
      <alignment horizontal="left" vertical="center" wrapText="1" indent="1"/>
      <protection hidden="1"/>
    </xf>
    <xf numFmtId="164" fontId="17" fillId="54" borderId="80" xfId="0" applyFont="1" applyFill="1" applyBorder="1" applyAlignment="1" applyProtection="1">
      <alignment horizontal="center" vertical="center" wrapText="1" shrinkToFit="1"/>
      <protection hidden="1"/>
    </xf>
    <xf numFmtId="164" fontId="17" fillId="54" borderId="91" xfId="0" applyFont="1" applyFill="1" applyBorder="1" applyAlignment="1" applyProtection="1">
      <alignment horizontal="center" vertical="center" wrapText="1" shrinkToFit="1"/>
      <protection hidden="1"/>
    </xf>
    <xf numFmtId="164" fontId="17" fillId="54" borderId="90" xfId="0" applyFont="1" applyFill="1" applyBorder="1" applyAlignment="1" applyProtection="1">
      <alignment horizontal="center" vertical="center" wrapText="1" shrinkToFit="1"/>
      <protection hidden="1"/>
    </xf>
    <xf numFmtId="164" fontId="4" fillId="0" borderId="0" xfId="0" applyFont="1" applyAlignment="1" applyProtection="1">
      <alignment horizontal="left" vertical="center" wrapText="1"/>
      <protection hidden="1"/>
    </xf>
    <xf numFmtId="164" fontId="153" fillId="39" borderId="203" xfId="0" applyFont="1" applyFill="1" applyBorder="1" applyAlignment="1" applyProtection="1">
      <alignment horizontal="left" vertical="center" wrapText="1"/>
      <protection hidden="1"/>
    </xf>
    <xf numFmtId="164" fontId="153" fillId="39" borderId="204" xfId="0" applyFont="1" applyFill="1" applyBorder="1" applyAlignment="1" applyProtection="1">
      <alignment horizontal="left" vertical="center" wrapText="1"/>
      <protection hidden="1"/>
    </xf>
    <xf numFmtId="164" fontId="153" fillId="39" borderId="205" xfId="0" applyFont="1" applyFill="1" applyBorder="1" applyAlignment="1" applyProtection="1">
      <alignment horizontal="left" vertical="center" wrapText="1"/>
      <protection hidden="1"/>
    </xf>
    <xf numFmtId="164" fontId="153" fillId="39" borderId="206" xfId="0" applyFont="1" applyFill="1" applyBorder="1" applyAlignment="1" applyProtection="1">
      <alignment horizontal="left" vertical="center" wrapText="1"/>
      <protection hidden="1"/>
    </xf>
    <xf numFmtId="164" fontId="153" fillId="39" borderId="0" xfId="0" applyFont="1" applyFill="1" applyAlignment="1" applyProtection="1">
      <alignment horizontal="left" vertical="center" wrapText="1"/>
      <protection hidden="1"/>
    </xf>
    <xf numFmtId="164" fontId="153" fillId="39" borderId="207" xfId="0" applyFont="1" applyFill="1" applyBorder="1" applyAlignment="1" applyProtection="1">
      <alignment horizontal="left" vertical="center" wrapText="1"/>
      <protection hidden="1"/>
    </xf>
    <xf numFmtId="164" fontId="153" fillId="39" borderId="208" xfId="0" applyFont="1" applyFill="1" applyBorder="1" applyAlignment="1" applyProtection="1">
      <alignment horizontal="left" vertical="center" wrapText="1"/>
      <protection hidden="1"/>
    </xf>
    <xf numFmtId="164" fontId="153" fillId="39" borderId="209" xfId="0" applyFont="1" applyFill="1" applyBorder="1" applyAlignment="1" applyProtection="1">
      <alignment horizontal="left" vertical="center" wrapText="1"/>
      <protection hidden="1"/>
    </xf>
    <xf numFmtId="164" fontId="153" fillId="39" borderId="210" xfId="0" applyFont="1" applyFill="1" applyBorder="1" applyAlignment="1" applyProtection="1">
      <alignment horizontal="left" vertical="center" wrapText="1"/>
      <protection hidden="1"/>
    </xf>
    <xf numFmtId="164" fontId="4" fillId="0" borderId="0" xfId="0" applyFont="1" applyAlignment="1" applyProtection="1">
      <alignment horizontal="center" vertical="center" wrapText="1"/>
      <protection hidden="1"/>
    </xf>
    <xf numFmtId="164" fontId="5" fillId="54" borderId="221" xfId="0" applyFont="1" applyFill="1" applyBorder="1" applyAlignment="1" applyProtection="1">
      <alignment horizontal="left" vertical="center" wrapText="1" indent="1"/>
      <protection hidden="1"/>
    </xf>
    <xf numFmtId="164" fontId="5" fillId="54" borderId="217" xfId="0" applyFont="1" applyFill="1" applyBorder="1" applyAlignment="1" applyProtection="1">
      <alignment horizontal="left" vertical="center" wrapText="1" indent="1"/>
      <protection hidden="1"/>
    </xf>
    <xf numFmtId="164" fontId="5" fillId="54" borderId="218" xfId="0" applyFont="1" applyFill="1" applyBorder="1" applyAlignment="1" applyProtection="1">
      <alignment horizontal="left" vertical="center" wrapText="1" indent="1"/>
      <protection hidden="1"/>
    </xf>
    <xf numFmtId="164" fontId="4" fillId="18" borderId="82" xfId="0" applyFont="1" applyFill="1" applyBorder="1" applyAlignment="1" applyProtection="1">
      <alignment horizontal="left" vertical="center" wrapText="1" indent="1"/>
      <protection hidden="1"/>
    </xf>
    <xf numFmtId="164" fontId="124" fillId="18" borderId="0" xfId="0" applyFont="1" applyFill="1" applyAlignment="1" applyProtection="1">
      <alignment horizontal="left" wrapText="1"/>
      <protection hidden="1"/>
    </xf>
    <xf numFmtId="164" fontId="32" fillId="26" borderId="91" xfId="0" applyFont="1" applyFill="1" applyBorder="1" applyAlignment="1" applyProtection="1">
      <alignment horizontal="center" vertical="center"/>
      <protection hidden="1"/>
    </xf>
    <xf numFmtId="1" fontId="132" fillId="18" borderId="61" xfId="0" applyNumberFormat="1" applyFont="1" applyFill="1" applyBorder="1" applyAlignment="1" applyProtection="1">
      <alignment horizontal="center" vertical="center" wrapText="1"/>
      <protection hidden="1"/>
    </xf>
    <xf numFmtId="164" fontId="5" fillId="26" borderId="34" xfId="0" applyFont="1" applyFill="1" applyBorder="1" applyAlignment="1" applyProtection="1">
      <alignment horizontal="center" vertical="center" wrapText="1"/>
      <protection hidden="1"/>
    </xf>
    <xf numFmtId="164" fontId="5" fillId="26" borderId="24" xfId="0" applyFont="1" applyFill="1" applyBorder="1" applyAlignment="1" applyProtection="1">
      <alignment horizontal="center" vertical="center" wrapText="1"/>
      <protection hidden="1"/>
    </xf>
    <xf numFmtId="164" fontId="5" fillId="26" borderId="36" xfId="0" applyFont="1" applyFill="1" applyBorder="1" applyAlignment="1" applyProtection="1">
      <alignment horizontal="center" vertical="center" wrapText="1"/>
      <protection hidden="1"/>
    </xf>
    <xf numFmtId="164" fontId="4" fillId="18" borderId="56" xfId="0" applyFont="1" applyFill="1" applyBorder="1" applyAlignment="1" applyProtection="1">
      <alignment horizontal="center" vertical="center" textRotation="90" wrapText="1"/>
      <protection hidden="1"/>
    </xf>
    <xf numFmtId="164" fontId="4" fillId="18" borderId="38" xfId="0" applyFont="1" applyFill="1" applyBorder="1" applyAlignment="1" applyProtection="1">
      <alignment horizontal="center" vertical="center" textRotation="90" wrapText="1"/>
      <protection hidden="1"/>
    </xf>
    <xf numFmtId="164" fontId="4" fillId="18" borderId="57" xfId="0" applyFont="1" applyFill="1" applyBorder="1" applyAlignment="1" applyProtection="1">
      <alignment horizontal="center" vertical="center" textRotation="90" wrapText="1"/>
      <protection hidden="1"/>
    </xf>
    <xf numFmtId="164" fontId="4" fillId="0" borderId="120" xfId="0" applyFont="1" applyBorder="1" applyAlignment="1" applyProtection="1">
      <alignment horizontal="center" vertical="center" wrapText="1"/>
      <protection hidden="1"/>
    </xf>
    <xf numFmtId="164" fontId="4" fillId="0" borderId="121" xfId="0" applyFont="1" applyBorder="1" applyAlignment="1" applyProtection="1">
      <alignment horizontal="center" vertical="center" wrapText="1"/>
      <protection hidden="1"/>
    </xf>
    <xf numFmtId="164" fontId="4" fillId="0" borderId="61" xfId="0" applyFont="1" applyBorder="1" applyAlignment="1" applyProtection="1">
      <alignment horizontal="center" vertical="center" wrapText="1"/>
      <protection hidden="1"/>
    </xf>
    <xf numFmtId="164" fontId="5" fillId="54" borderId="73" xfId="0" applyFont="1" applyFill="1" applyBorder="1" applyAlignment="1" applyProtection="1">
      <alignment horizontal="center" vertical="center" wrapText="1"/>
      <protection hidden="1"/>
    </xf>
    <xf numFmtId="164" fontId="5" fillId="54" borderId="74" xfId="0" applyFont="1" applyFill="1" applyBorder="1" applyAlignment="1" applyProtection="1">
      <alignment horizontal="center" vertical="center" wrapText="1"/>
      <protection hidden="1"/>
    </xf>
    <xf numFmtId="164" fontId="5" fillId="44" borderId="74" xfId="0" applyFont="1" applyFill="1" applyBorder="1" applyAlignment="1" applyProtection="1">
      <alignment horizontal="center" vertical="center" wrapText="1"/>
      <protection hidden="1"/>
    </xf>
    <xf numFmtId="164" fontId="32" fillId="18" borderId="231" xfId="0" applyFont="1" applyFill="1" applyBorder="1" applyAlignment="1" applyProtection="1">
      <alignment horizontal="left" vertical="center" wrapText="1" indent="1"/>
      <protection hidden="1"/>
    </xf>
    <xf numFmtId="164" fontId="5" fillId="18" borderId="34" xfId="0" applyFont="1" applyFill="1" applyBorder="1" applyAlignment="1" applyProtection="1">
      <alignment horizontal="center" wrapText="1"/>
      <protection hidden="1"/>
    </xf>
    <xf numFmtId="164" fontId="5" fillId="18" borderId="24" xfId="0" applyFont="1" applyFill="1" applyBorder="1" applyAlignment="1" applyProtection="1">
      <alignment horizontal="center" wrapText="1"/>
      <protection hidden="1"/>
    </xf>
    <xf numFmtId="164" fontId="5" fillId="18" borderId="321" xfId="0" applyFont="1" applyFill="1" applyBorder="1" applyAlignment="1" applyProtection="1">
      <alignment horizontal="center" wrapText="1"/>
      <protection hidden="1"/>
    </xf>
    <xf numFmtId="164" fontId="32" fillId="39" borderId="198" xfId="0" applyFont="1" applyFill="1" applyBorder="1" applyAlignment="1" applyProtection="1">
      <alignment horizontal="left" vertical="center" wrapText="1" indent="1"/>
      <protection hidden="1"/>
    </xf>
    <xf numFmtId="164" fontId="5" fillId="39" borderId="323" xfId="0" applyFont="1" applyFill="1" applyBorder="1" applyAlignment="1" applyProtection="1">
      <alignment horizontal="center" vertical="center" wrapText="1"/>
      <protection hidden="1"/>
    </xf>
    <xf numFmtId="164" fontId="5" fillId="39" borderId="24" xfId="0" applyFont="1" applyFill="1" applyBorder="1" applyAlignment="1" applyProtection="1">
      <alignment horizontal="center" vertical="center" wrapText="1"/>
      <protection hidden="1"/>
    </xf>
    <xf numFmtId="164" fontId="5" fillId="39" borderId="321" xfId="0" applyFont="1" applyFill="1" applyBorder="1" applyAlignment="1" applyProtection="1">
      <alignment horizontal="center" vertical="center" wrapText="1"/>
      <protection hidden="1"/>
    </xf>
    <xf numFmtId="164" fontId="4" fillId="0" borderId="17" xfId="0" applyFont="1" applyBorder="1" applyAlignment="1" applyProtection="1">
      <alignment horizontal="center" vertical="center" wrapText="1"/>
      <protection hidden="1"/>
    </xf>
    <xf numFmtId="164" fontId="4" fillId="0" borderId="49" xfId="0" applyFont="1" applyBorder="1" applyAlignment="1" applyProtection="1">
      <alignment horizontal="center" vertical="center" wrapText="1"/>
      <protection hidden="1"/>
    </xf>
    <xf numFmtId="1" fontId="4" fillId="0" borderId="240" xfId="0" applyNumberFormat="1" applyFont="1" applyBorder="1" applyAlignment="1" applyProtection="1">
      <alignment horizontal="center" vertical="center" wrapText="1"/>
      <protection hidden="1"/>
    </xf>
    <xf numFmtId="1" fontId="4" fillId="0" borderId="17" xfId="0" applyNumberFormat="1" applyFont="1" applyBorder="1" applyAlignment="1" applyProtection="1">
      <alignment horizontal="center" vertical="center" wrapText="1"/>
      <protection hidden="1"/>
    </xf>
    <xf numFmtId="1" fontId="4" fillId="0" borderId="49" xfId="0" applyNumberFormat="1" applyFont="1" applyBorder="1" applyAlignment="1" applyProtection="1">
      <alignment horizontal="center" vertical="center" wrapText="1"/>
      <protection hidden="1"/>
    </xf>
    <xf numFmtId="1" fontId="4" fillId="0" borderId="215" xfId="0" applyNumberFormat="1" applyFont="1" applyBorder="1" applyAlignment="1" applyProtection="1">
      <alignment horizontal="center" vertical="center" wrapText="1"/>
      <protection hidden="1"/>
    </xf>
    <xf numFmtId="1" fontId="4" fillId="0" borderId="73" xfId="0" applyNumberFormat="1" applyFont="1" applyBorder="1" applyAlignment="1" applyProtection="1">
      <alignment horizontal="center" vertical="center" wrapText="1"/>
      <protection hidden="1"/>
    </xf>
    <xf numFmtId="1" fontId="4" fillId="0" borderId="74" xfId="0" applyNumberFormat="1" applyFont="1" applyBorder="1" applyAlignment="1" applyProtection="1">
      <alignment horizontal="center" vertical="center" wrapText="1"/>
      <protection hidden="1"/>
    </xf>
    <xf numFmtId="164" fontId="155" fillId="44" borderId="80" xfId="0" applyFont="1" applyFill="1" applyBorder="1" applyAlignment="1" applyProtection="1">
      <alignment horizontal="center" vertical="center" wrapText="1" shrinkToFit="1"/>
      <protection hidden="1"/>
    </xf>
    <xf numFmtId="164" fontId="155" fillId="44" borderId="91" xfId="0" applyFont="1" applyFill="1" applyBorder="1" applyAlignment="1" applyProtection="1">
      <alignment horizontal="center" vertical="center" wrapText="1" shrinkToFit="1"/>
      <protection hidden="1"/>
    </xf>
    <xf numFmtId="164" fontId="155" fillId="44" borderId="90" xfId="0" applyFont="1" applyFill="1" applyBorder="1" applyAlignment="1" applyProtection="1">
      <alignment horizontal="center" vertical="center" wrapText="1" shrinkToFit="1"/>
      <protection hidden="1"/>
    </xf>
    <xf numFmtId="164" fontId="164" fillId="54" borderId="22" xfId="0" applyFont="1" applyFill="1" applyBorder="1" applyAlignment="1" applyProtection="1">
      <alignment horizontal="center" vertical="center" wrapText="1"/>
      <protection hidden="1"/>
    </xf>
    <xf numFmtId="164" fontId="164" fillId="54" borderId="131" xfId="0" applyFont="1" applyFill="1" applyBorder="1" applyAlignment="1" applyProtection="1">
      <alignment horizontal="center" vertical="center" wrapText="1"/>
      <protection hidden="1"/>
    </xf>
    <xf numFmtId="164" fontId="164" fillId="54" borderId="17" xfId="0" applyFont="1" applyFill="1" applyBorder="1" applyAlignment="1" applyProtection="1">
      <alignment horizontal="center" vertical="center" wrapText="1"/>
      <protection hidden="1"/>
    </xf>
    <xf numFmtId="164" fontId="164" fillId="54" borderId="52" xfId="0" applyFont="1" applyFill="1" applyBorder="1" applyAlignment="1" applyProtection="1">
      <alignment horizontal="center" vertical="center" wrapText="1"/>
      <protection hidden="1"/>
    </xf>
    <xf numFmtId="164" fontId="164" fillId="54" borderId="49" xfId="0" applyFont="1" applyFill="1" applyBorder="1" applyAlignment="1" applyProtection="1">
      <alignment horizontal="center" vertical="center" wrapText="1"/>
      <protection hidden="1"/>
    </xf>
    <xf numFmtId="164" fontId="164" fillId="54" borderId="150" xfId="0" applyFont="1" applyFill="1" applyBorder="1" applyAlignment="1" applyProtection="1">
      <alignment horizontal="center" vertical="center" wrapText="1"/>
      <protection hidden="1"/>
    </xf>
    <xf numFmtId="164" fontId="5" fillId="54" borderId="341" xfId="0" applyFont="1" applyFill="1" applyBorder="1" applyAlignment="1" applyProtection="1">
      <alignment horizontal="center" vertical="center" wrapText="1"/>
      <protection hidden="1"/>
    </xf>
    <xf numFmtId="164" fontId="5" fillId="54" borderId="342" xfId="0" applyFont="1" applyFill="1" applyBorder="1" applyAlignment="1" applyProtection="1">
      <alignment horizontal="center" vertical="center" wrapText="1"/>
      <protection hidden="1"/>
    </xf>
    <xf numFmtId="164" fontId="5" fillId="54" borderId="17" xfId="0" applyFont="1" applyFill="1" applyBorder="1" applyAlignment="1" applyProtection="1">
      <alignment horizontal="center" vertical="center" wrapText="1"/>
      <protection hidden="1"/>
    </xf>
    <xf numFmtId="164" fontId="5" fillId="54" borderId="52" xfId="0" applyFont="1" applyFill="1" applyBorder="1" applyAlignment="1" applyProtection="1">
      <alignment horizontal="center" vertical="center" wrapText="1"/>
      <protection hidden="1"/>
    </xf>
    <xf numFmtId="164" fontId="5" fillId="54" borderId="211" xfId="0" applyFont="1" applyFill="1" applyBorder="1" applyAlignment="1" applyProtection="1">
      <alignment horizontal="center" vertical="center" wrapText="1"/>
      <protection hidden="1"/>
    </xf>
    <xf numFmtId="164" fontId="5" fillId="54" borderId="343" xfId="0" applyFont="1" applyFill="1" applyBorder="1" applyAlignment="1" applyProtection="1">
      <alignment horizontal="center" vertical="center" wrapText="1"/>
      <protection hidden="1"/>
    </xf>
    <xf numFmtId="164" fontId="5" fillId="44" borderId="226" xfId="0" applyFont="1" applyFill="1" applyBorder="1" applyAlignment="1" applyProtection="1">
      <alignment horizontal="left" vertical="center" wrapText="1" indent="1"/>
      <protection hidden="1"/>
    </xf>
    <xf numFmtId="1" fontId="5" fillId="18" borderId="196" xfId="0" applyNumberFormat="1" applyFont="1" applyFill="1" applyBorder="1" applyAlignment="1" applyProtection="1">
      <alignment horizontal="center" vertical="center"/>
      <protection hidden="1"/>
    </xf>
    <xf numFmtId="164" fontId="32" fillId="48" borderId="24" xfId="0" applyFont="1" applyFill="1" applyBorder="1" applyAlignment="1" applyProtection="1">
      <alignment horizontal="left" vertical="center" indent="2"/>
      <protection hidden="1"/>
    </xf>
    <xf numFmtId="164" fontId="32" fillId="48" borderId="0" xfId="0" applyFont="1" applyFill="1" applyAlignment="1" applyProtection="1">
      <alignment horizontal="left" vertical="center" indent="2"/>
      <protection hidden="1"/>
    </xf>
    <xf numFmtId="164" fontId="5" fillId="18" borderId="199" xfId="0" applyFont="1" applyFill="1" applyBorder="1" applyAlignment="1" applyProtection="1">
      <alignment horizontal="center" vertical="center" wrapText="1"/>
      <protection hidden="1"/>
    </xf>
    <xf numFmtId="164" fontId="5" fillId="18" borderId="324" xfId="0" applyFont="1" applyFill="1" applyBorder="1" applyAlignment="1" applyProtection="1">
      <alignment horizontal="center" vertical="center" wrapText="1"/>
      <protection hidden="1"/>
    </xf>
    <xf numFmtId="164" fontId="5" fillId="38" borderId="199" xfId="0" applyFont="1" applyFill="1" applyBorder="1" applyAlignment="1" applyProtection="1">
      <alignment horizontal="center" vertical="center" wrapText="1"/>
      <protection hidden="1"/>
    </xf>
    <xf numFmtId="164" fontId="5" fillId="38" borderId="324" xfId="0" applyFont="1" applyFill="1" applyBorder="1" applyAlignment="1" applyProtection="1">
      <alignment horizontal="center" vertical="center" wrapText="1"/>
      <protection hidden="1"/>
    </xf>
    <xf numFmtId="164" fontId="32" fillId="38" borderId="24" xfId="0" applyFont="1" applyFill="1" applyBorder="1" applyAlignment="1" applyProtection="1">
      <alignment horizontal="left" vertical="center" wrapText="1" indent="2"/>
      <protection hidden="1"/>
    </xf>
    <xf numFmtId="164" fontId="32" fillId="38" borderId="0" xfId="0" applyFont="1" applyFill="1" applyAlignment="1" applyProtection="1">
      <alignment horizontal="left" vertical="center" wrapText="1" indent="2"/>
      <protection hidden="1"/>
    </xf>
    <xf numFmtId="1" fontId="10" fillId="18" borderId="22" xfId="0" applyNumberFormat="1" applyFont="1" applyFill="1" applyBorder="1" applyAlignment="1" applyProtection="1">
      <alignment horizontal="center" vertical="center" wrapText="1"/>
      <protection locked="0"/>
    </xf>
    <xf numFmtId="1" fontId="10" fillId="18" borderId="25" xfId="0" applyNumberFormat="1" applyFont="1" applyFill="1" applyBorder="1" applyAlignment="1" applyProtection="1">
      <alignment horizontal="center" vertical="center" wrapText="1"/>
      <protection locked="0"/>
    </xf>
    <xf numFmtId="1" fontId="10" fillId="18" borderId="49" xfId="0" applyNumberFormat="1" applyFont="1" applyFill="1" applyBorder="1" applyAlignment="1" applyProtection="1">
      <alignment horizontal="center" vertical="center" wrapText="1"/>
      <protection locked="0"/>
    </xf>
    <xf numFmtId="1" fontId="10" fillId="18" borderId="26" xfId="0" applyNumberFormat="1" applyFont="1" applyFill="1" applyBorder="1" applyAlignment="1" applyProtection="1">
      <alignment horizontal="center" vertical="center" wrapText="1"/>
      <protection locked="0"/>
    </xf>
    <xf numFmtId="164" fontId="7" fillId="42" borderId="146" xfId="0" applyFont="1" applyFill="1" applyBorder="1" applyAlignment="1" applyProtection="1">
      <alignment horizontal="center" vertical="center" wrapText="1"/>
      <protection hidden="1"/>
    </xf>
    <xf numFmtId="164" fontId="7" fillId="42" borderId="95" xfId="0" applyFont="1" applyFill="1" applyBorder="1" applyAlignment="1" applyProtection="1">
      <alignment horizontal="center" vertical="center" wrapText="1"/>
      <protection hidden="1"/>
    </xf>
    <xf numFmtId="173" fontId="6" fillId="53" borderId="24" xfId="0" applyNumberFormat="1" applyFont="1" applyFill="1" applyBorder="1" applyAlignment="1" applyProtection="1">
      <alignment horizontal="center"/>
      <protection hidden="1"/>
    </xf>
    <xf numFmtId="173" fontId="6" fillId="53" borderId="26" xfId="0" applyNumberFormat="1" applyFont="1" applyFill="1" applyBorder="1" applyAlignment="1" applyProtection="1">
      <alignment horizontal="center"/>
      <protection hidden="1"/>
    </xf>
    <xf numFmtId="173" fontId="6" fillId="53" borderId="36" xfId="0" applyNumberFormat="1" applyFont="1" applyFill="1" applyBorder="1" applyAlignment="1" applyProtection="1">
      <alignment horizontal="center"/>
      <protection hidden="1"/>
    </xf>
    <xf numFmtId="173" fontId="6" fillId="53" borderId="32" xfId="0" applyNumberFormat="1" applyFont="1" applyFill="1" applyBorder="1" applyAlignment="1" applyProtection="1">
      <alignment horizontal="center"/>
      <protection hidden="1"/>
    </xf>
    <xf numFmtId="164" fontId="29" fillId="0" borderId="34" xfId="0" applyFont="1" applyBorder="1" applyAlignment="1" applyProtection="1">
      <alignment horizontal="center" vertical="center" wrapText="1"/>
      <protection hidden="1"/>
    </xf>
    <xf numFmtId="164" fontId="29" fillId="0" borderId="25" xfId="0" applyFont="1" applyBorder="1" applyAlignment="1" applyProtection="1">
      <alignment horizontal="center" vertical="center" wrapText="1"/>
      <protection hidden="1"/>
    </xf>
    <xf numFmtId="164" fontId="29" fillId="0" borderId="24" xfId="0" applyFont="1" applyBorder="1" applyAlignment="1" applyProtection="1">
      <alignment horizontal="center" vertical="center" wrapText="1"/>
      <protection hidden="1"/>
    </xf>
    <xf numFmtId="164" fontId="29" fillId="0" borderId="26" xfId="0" applyFont="1" applyBorder="1" applyAlignment="1" applyProtection="1">
      <alignment horizontal="center" vertical="center" wrapText="1"/>
      <protection hidden="1"/>
    </xf>
    <xf numFmtId="164" fontId="4" fillId="41" borderId="80" xfId="0" applyFont="1" applyFill="1" applyBorder="1" applyAlignment="1" applyProtection="1">
      <alignment horizontal="center" wrapText="1"/>
      <protection locked="0"/>
    </xf>
    <xf numFmtId="164" fontId="4" fillId="41" borderId="90" xfId="0" applyFont="1" applyFill="1" applyBorder="1" applyAlignment="1" applyProtection="1">
      <alignment horizontal="center" wrapText="1"/>
      <protection locked="0"/>
    </xf>
    <xf numFmtId="164" fontId="10" fillId="18" borderId="22" xfId="0" applyFont="1" applyFill="1" applyBorder="1" applyAlignment="1" applyProtection="1">
      <alignment horizontal="center" vertical="center" wrapText="1"/>
      <protection locked="0"/>
    </xf>
    <xf numFmtId="164" fontId="10" fillId="18" borderId="25" xfId="0" applyFont="1" applyFill="1" applyBorder="1" applyAlignment="1" applyProtection="1">
      <alignment horizontal="center" vertical="center" wrapText="1"/>
      <protection locked="0"/>
    </xf>
    <xf numFmtId="164" fontId="10" fillId="18" borderId="17" xfId="0" applyFont="1" applyFill="1" applyBorder="1" applyAlignment="1" applyProtection="1">
      <alignment horizontal="center" vertical="center" wrapText="1"/>
      <protection locked="0"/>
    </xf>
    <xf numFmtId="164" fontId="10" fillId="18" borderId="26" xfId="0" applyFont="1" applyFill="1" applyBorder="1" applyAlignment="1" applyProtection="1">
      <alignment horizontal="center" vertical="center" wrapText="1"/>
      <protection locked="0"/>
    </xf>
    <xf numFmtId="164" fontId="10" fillId="19" borderId="43" xfId="0" applyFont="1" applyFill="1" applyBorder="1" applyAlignment="1" applyProtection="1">
      <alignment horizontal="center"/>
      <protection hidden="1"/>
    </xf>
    <xf numFmtId="164" fontId="10" fillId="19" borderId="245" xfId="0" applyFont="1" applyFill="1" applyBorder="1" applyAlignment="1" applyProtection="1">
      <alignment horizontal="center"/>
      <protection hidden="1"/>
    </xf>
    <xf numFmtId="164" fontId="7" fillId="19" borderId="122" xfId="0" applyFont="1" applyFill="1" applyBorder="1" applyAlignment="1" applyProtection="1">
      <alignment horizontal="left" shrinkToFit="1"/>
      <protection hidden="1"/>
    </xf>
    <xf numFmtId="164" fontId="7" fillId="19" borderId="244" xfId="0" applyFont="1" applyFill="1" applyBorder="1" applyAlignment="1" applyProtection="1">
      <alignment horizontal="left" shrinkToFit="1"/>
      <protection hidden="1"/>
    </xf>
    <xf numFmtId="164" fontId="7" fillId="19" borderId="24" xfId="0" applyFont="1" applyFill="1" applyBorder="1" applyAlignment="1" applyProtection="1">
      <alignment horizontal="left" shrinkToFit="1"/>
      <protection hidden="1"/>
    </xf>
    <xf numFmtId="164" fontId="7" fillId="19" borderId="52" xfId="0" applyFont="1" applyFill="1" applyBorder="1" applyAlignment="1" applyProtection="1">
      <alignment horizontal="left" shrinkToFit="1"/>
      <protection hidden="1"/>
    </xf>
    <xf numFmtId="164" fontId="7" fillId="19" borderId="24" xfId="0" applyFont="1" applyFill="1" applyBorder="1" applyAlignment="1" applyProtection="1">
      <alignment horizontal="left"/>
      <protection hidden="1"/>
    </xf>
    <xf numFmtId="164" fontId="7" fillId="19" borderId="52" xfId="0" applyFont="1" applyFill="1" applyBorder="1" applyAlignment="1" applyProtection="1">
      <alignment horizontal="left"/>
      <protection hidden="1"/>
    </xf>
    <xf numFmtId="164" fontId="7" fillId="19" borderId="71" xfId="0" applyFont="1" applyFill="1" applyBorder="1" applyAlignment="1" applyProtection="1">
      <alignment horizontal="left" shrinkToFit="1"/>
      <protection hidden="1"/>
    </xf>
    <xf numFmtId="164" fontId="7" fillId="19" borderId="213" xfId="0" applyFont="1" applyFill="1" applyBorder="1" applyAlignment="1" applyProtection="1">
      <alignment horizontal="left" shrinkToFit="1"/>
      <protection hidden="1"/>
    </xf>
    <xf numFmtId="164" fontId="148" fillId="18" borderId="243" xfId="0" applyFont="1" applyFill="1" applyBorder="1" applyAlignment="1" applyProtection="1">
      <alignment horizontal="right"/>
      <protection hidden="1"/>
    </xf>
    <xf numFmtId="164" fontId="148" fillId="18" borderId="245" xfId="0" applyFont="1" applyFill="1" applyBorder="1" applyAlignment="1" applyProtection="1">
      <alignment horizontal="right"/>
      <protection hidden="1"/>
    </xf>
    <xf numFmtId="173" fontId="6" fillId="53" borderId="293" xfId="0" applyNumberFormat="1" applyFont="1" applyFill="1" applyBorder="1" applyAlignment="1" applyProtection="1">
      <alignment horizontal="center"/>
      <protection hidden="1"/>
    </xf>
    <xf numFmtId="173" fontId="6" fillId="53" borderId="295" xfId="0" applyNumberFormat="1" applyFont="1" applyFill="1" applyBorder="1" applyAlignment="1" applyProtection="1">
      <alignment horizontal="center"/>
      <protection hidden="1"/>
    </xf>
    <xf numFmtId="164" fontId="4" fillId="41" borderId="50" xfId="0" applyFont="1" applyFill="1" applyBorder="1" applyAlignment="1" applyProtection="1">
      <alignment horizontal="left" wrapText="1"/>
      <protection locked="0"/>
    </xf>
    <xf numFmtId="164" fontId="4" fillId="41" borderId="62" xfId="0" applyFont="1" applyFill="1" applyBorder="1" applyAlignment="1" applyProtection="1">
      <alignment horizontal="left" wrapText="1"/>
      <protection locked="0"/>
    </xf>
    <xf numFmtId="164" fontId="5" fillId="42" borderId="80" xfId="0" applyFont="1" applyFill="1" applyBorder="1" applyAlignment="1">
      <alignment horizontal="right" vertical="center"/>
    </xf>
    <xf numFmtId="164" fontId="5" fillId="42" borderId="91" xfId="0" applyFont="1" applyFill="1" applyBorder="1" applyAlignment="1">
      <alignment horizontal="right" vertical="center"/>
    </xf>
    <xf numFmtId="164" fontId="7" fillId="41" borderId="284" xfId="0" applyFont="1" applyFill="1" applyBorder="1" applyAlignment="1" applyProtection="1">
      <alignment horizontal="left" indent="1"/>
      <protection locked="0"/>
    </xf>
    <xf numFmtId="164" fontId="7" fillId="41" borderId="245" xfId="0" applyFont="1" applyFill="1" applyBorder="1" applyAlignment="1" applyProtection="1">
      <alignment horizontal="left" indent="1"/>
      <protection locked="0"/>
    </xf>
    <xf numFmtId="164" fontId="15" fillId="18" borderId="0" xfId="0" applyFont="1" applyFill="1" applyAlignment="1">
      <alignment horizontal="left" vertical="center" wrapText="1"/>
    </xf>
    <xf numFmtId="164" fontId="59" fillId="18" borderId="12" xfId="0" applyFont="1" applyFill="1" applyBorder="1" applyAlignment="1">
      <alignment horizontal="center"/>
    </xf>
    <xf numFmtId="164" fontId="59" fillId="18" borderId="33" xfId="0" applyFont="1" applyFill="1" applyBorder="1" applyAlignment="1">
      <alignment horizontal="center"/>
    </xf>
    <xf numFmtId="164" fontId="59" fillId="18" borderId="48" xfId="0" applyFont="1" applyFill="1" applyBorder="1" applyAlignment="1">
      <alignment horizontal="center"/>
    </xf>
    <xf numFmtId="0" fontId="10" fillId="18" borderId="11" xfId="0" applyNumberFormat="1" applyFont="1" applyFill="1" applyBorder="1" applyAlignment="1" applyProtection="1">
      <alignment horizontal="left"/>
      <protection locked="0"/>
    </xf>
    <xf numFmtId="0" fontId="10" fillId="18" borderId="14" xfId="0" applyNumberFormat="1" applyFont="1" applyFill="1" applyBorder="1" applyAlignment="1" applyProtection="1">
      <alignment horizontal="left"/>
      <protection locked="0"/>
    </xf>
    <xf numFmtId="0" fontId="10" fillId="18" borderId="166" xfId="0" applyNumberFormat="1" applyFont="1" applyFill="1" applyBorder="1" applyAlignment="1" applyProtection="1">
      <alignment horizontal="left"/>
      <protection locked="0"/>
    </xf>
    <xf numFmtId="164" fontId="5" fillId="18" borderId="12" xfId="0" applyFont="1" applyFill="1" applyBorder="1" applyAlignment="1">
      <alignment horizontal="left"/>
    </xf>
    <xf numFmtId="164" fontId="5" fillId="18" borderId="33" xfId="0" applyFont="1" applyFill="1" applyBorder="1" applyAlignment="1">
      <alignment horizontal="left"/>
    </xf>
    <xf numFmtId="164" fontId="5" fillId="18" borderId="48" xfId="0" applyFont="1" applyFill="1" applyBorder="1" applyAlignment="1">
      <alignment horizontal="left"/>
    </xf>
    <xf numFmtId="164" fontId="71" fillId="18" borderId="59" xfId="0" applyFont="1" applyFill="1" applyBorder="1" applyAlignment="1">
      <alignment horizontal="left" wrapText="1"/>
    </xf>
    <xf numFmtId="164" fontId="71" fillId="18" borderId="15" xfId="0" applyFont="1" applyFill="1" applyBorder="1" applyAlignment="1">
      <alignment horizontal="left" wrapText="1"/>
    </xf>
    <xf numFmtId="164" fontId="5" fillId="18" borderId="12" xfId="0" applyFont="1" applyFill="1" applyBorder="1"/>
    <xf numFmtId="164" fontId="5" fillId="18" borderId="33" xfId="0" applyFont="1" applyFill="1" applyBorder="1"/>
    <xf numFmtId="164" fontId="5" fillId="18" borderId="48" xfId="0" applyFont="1" applyFill="1" applyBorder="1"/>
    <xf numFmtId="49" fontId="10" fillId="18" borderId="50" xfId="0" applyNumberFormat="1" applyFont="1" applyFill="1" applyBorder="1" applyAlignment="1" applyProtection="1">
      <alignment horizontal="left" vertical="center"/>
      <protection locked="0"/>
    </xf>
    <xf numFmtId="49" fontId="10" fillId="18" borderId="13" xfId="0" applyNumberFormat="1" applyFont="1" applyFill="1" applyBorder="1" applyAlignment="1" applyProtection="1">
      <alignment horizontal="left" vertical="center"/>
      <protection locked="0"/>
    </xf>
    <xf numFmtId="49" fontId="10" fillId="18" borderId="83" xfId="0" applyNumberFormat="1" applyFont="1" applyFill="1" applyBorder="1" applyAlignment="1" applyProtection="1">
      <alignment horizontal="left" vertical="center"/>
      <protection locked="0"/>
    </xf>
    <xf numFmtId="164" fontId="10" fillId="18" borderId="71" xfId="0" applyFont="1" applyFill="1" applyBorder="1" applyAlignment="1" applyProtection="1">
      <alignment horizontal="center"/>
      <protection hidden="1"/>
    </xf>
    <xf numFmtId="164" fontId="10" fillId="18" borderId="72" xfId="0" applyFont="1" applyFill="1" applyBorder="1" applyAlignment="1" applyProtection="1">
      <alignment horizontal="center"/>
      <protection hidden="1"/>
    </xf>
    <xf numFmtId="164" fontId="6" fillId="18" borderId="0" xfId="0" applyFont="1" applyFill="1" applyAlignment="1" applyProtection="1">
      <alignment horizontal="left"/>
      <protection hidden="1"/>
    </xf>
    <xf numFmtId="164" fontId="6" fillId="19" borderId="12" xfId="0" applyFont="1" applyFill="1" applyBorder="1" applyAlignment="1" applyProtection="1">
      <alignment horizontal="left"/>
      <protection hidden="1"/>
    </xf>
    <xf numFmtId="164" fontId="6" fillId="19" borderId="48" xfId="0" applyFont="1" applyFill="1" applyBorder="1" applyAlignment="1" applyProtection="1">
      <alignment horizontal="left"/>
      <protection hidden="1"/>
    </xf>
    <xf numFmtId="164" fontId="7" fillId="19" borderId="34" xfId="0" applyFont="1" applyFill="1" applyBorder="1" applyAlignment="1" applyProtection="1">
      <alignment horizontal="left"/>
      <protection hidden="1"/>
    </xf>
    <xf numFmtId="164" fontId="7" fillId="19" borderId="131" xfId="0" applyFont="1" applyFill="1" applyBorder="1" applyAlignment="1" applyProtection="1">
      <alignment horizontal="left"/>
      <protection hidden="1"/>
    </xf>
    <xf numFmtId="0" fontId="10" fillId="18" borderId="12" xfId="0" applyNumberFormat="1" applyFont="1" applyFill="1" applyBorder="1" applyAlignment="1" applyProtection="1">
      <alignment horizontal="left" vertical="center"/>
      <protection locked="0"/>
    </xf>
    <xf numFmtId="0" fontId="10" fillId="18" borderId="33" xfId="0" applyNumberFormat="1" applyFont="1" applyFill="1" applyBorder="1" applyAlignment="1" applyProtection="1">
      <alignment horizontal="left" vertical="center"/>
      <protection locked="0"/>
    </xf>
    <xf numFmtId="0" fontId="10" fillId="18" borderId="42" xfId="0" applyNumberFormat="1" applyFont="1" applyFill="1" applyBorder="1" applyAlignment="1" applyProtection="1">
      <alignment horizontal="left" vertical="center"/>
      <protection locked="0"/>
    </xf>
    <xf numFmtId="14" fontId="5" fillId="18" borderId="12" xfId="0" applyNumberFormat="1" applyFont="1" applyFill="1" applyBorder="1" applyAlignment="1" applyProtection="1">
      <alignment horizontal="left" vertical="center" indent="1"/>
      <protection locked="0"/>
    </xf>
    <xf numFmtId="14" fontId="5" fillId="18" borderId="33" xfId="0" applyNumberFormat="1" applyFont="1" applyFill="1" applyBorder="1" applyAlignment="1" applyProtection="1">
      <alignment horizontal="left" vertical="center" indent="1"/>
      <protection locked="0"/>
    </xf>
    <xf numFmtId="14" fontId="5" fillId="18" borderId="42" xfId="0" applyNumberFormat="1" applyFont="1" applyFill="1" applyBorder="1" applyAlignment="1" applyProtection="1">
      <alignment horizontal="left" vertical="center" indent="1"/>
      <protection locked="0"/>
    </xf>
    <xf numFmtId="164" fontId="7" fillId="19" borderId="0" xfId="0" applyFont="1" applyFill="1" applyAlignment="1" applyProtection="1">
      <alignment horizontal="left"/>
      <protection hidden="1"/>
    </xf>
    <xf numFmtId="0" fontId="10" fillId="18" borderId="12" xfId="0" applyNumberFormat="1" applyFont="1" applyFill="1" applyBorder="1" applyAlignment="1" applyProtection="1">
      <alignment horizontal="left"/>
      <protection locked="0"/>
    </xf>
    <xf numFmtId="0" fontId="10" fillId="18" borderId="33" xfId="0" applyNumberFormat="1" applyFont="1" applyFill="1" applyBorder="1" applyAlignment="1" applyProtection="1">
      <alignment horizontal="left"/>
      <protection locked="0"/>
    </xf>
    <xf numFmtId="0" fontId="10" fillId="18" borderId="42" xfId="0" applyNumberFormat="1" applyFont="1" applyFill="1" applyBorder="1" applyAlignment="1" applyProtection="1">
      <alignment horizontal="left"/>
      <protection locked="0"/>
    </xf>
    <xf numFmtId="164" fontId="4" fillId="41" borderId="284" xfId="0" applyFont="1" applyFill="1" applyBorder="1" applyAlignment="1" applyProtection="1">
      <alignment horizontal="left" indent="1"/>
      <protection locked="0"/>
    </xf>
    <xf numFmtId="164" fontId="4" fillId="41" borderId="245" xfId="0" applyFont="1" applyFill="1" applyBorder="1" applyAlignment="1" applyProtection="1">
      <alignment horizontal="left" indent="1"/>
      <protection locked="0"/>
    </xf>
    <xf numFmtId="164" fontId="7" fillId="41" borderId="50" xfId="0" applyFont="1" applyFill="1" applyBorder="1" applyAlignment="1" applyProtection="1">
      <alignment horizontal="left" indent="1"/>
      <protection locked="0"/>
    </xf>
    <xf numFmtId="164" fontId="7" fillId="41" borderId="62" xfId="0" applyFont="1" applyFill="1" applyBorder="1" applyAlignment="1" applyProtection="1">
      <alignment horizontal="left" indent="1"/>
      <protection locked="0"/>
    </xf>
    <xf numFmtId="164" fontId="144" fillId="20" borderId="26" xfId="0" applyFont="1" applyFill="1" applyBorder="1" applyAlignment="1">
      <alignment horizontal="center" textRotation="90" wrapText="1"/>
    </xf>
    <xf numFmtId="164" fontId="144" fillId="20" borderId="302" xfId="0" applyFont="1" applyFill="1" applyBorder="1" applyAlignment="1">
      <alignment horizontal="center" textRotation="90" wrapText="1"/>
    </xf>
    <xf numFmtId="164" fontId="144" fillId="20" borderId="115" xfId="0" applyFont="1" applyFill="1" applyBorder="1" applyAlignment="1">
      <alignment horizontal="center" textRotation="90" wrapText="1"/>
    </xf>
    <xf numFmtId="164" fontId="144" fillId="20" borderId="304" xfId="0" applyFont="1" applyFill="1" applyBorder="1" applyAlignment="1">
      <alignment horizontal="center" textRotation="90" wrapText="1"/>
    </xf>
    <xf numFmtId="164" fontId="10" fillId="19" borderId="12" xfId="0" applyFont="1" applyFill="1" applyBorder="1" applyAlignment="1" applyProtection="1">
      <alignment horizontal="center" vertical="center"/>
      <protection hidden="1"/>
    </xf>
    <xf numFmtId="164" fontId="10" fillId="19" borderId="33" xfId="0" applyFont="1" applyFill="1" applyBorder="1" applyAlignment="1" applyProtection="1">
      <alignment horizontal="center" vertical="center"/>
      <protection hidden="1"/>
    </xf>
    <xf numFmtId="164" fontId="10" fillId="19" borderId="48" xfId="0" applyFont="1" applyFill="1" applyBorder="1" applyAlignment="1" applyProtection="1">
      <alignment horizontal="center" vertical="center"/>
      <protection hidden="1"/>
    </xf>
    <xf numFmtId="164" fontId="148" fillId="18" borderId="201" xfId="0" applyFont="1" applyFill="1" applyBorder="1" applyAlignment="1" applyProtection="1">
      <alignment horizontal="right"/>
      <protection hidden="1"/>
    </xf>
    <xf numFmtId="164" fontId="148" fillId="18" borderId="213" xfId="0" applyFont="1" applyFill="1" applyBorder="1" applyAlignment="1" applyProtection="1">
      <alignment horizontal="right"/>
      <protection hidden="1"/>
    </xf>
    <xf numFmtId="164" fontId="75" fillId="18" borderId="56" xfId="0" applyFont="1" applyFill="1" applyBorder="1" applyAlignment="1" applyProtection="1">
      <alignment horizontal="left" vertical="center"/>
      <protection hidden="1"/>
    </xf>
    <xf numFmtId="164" fontId="75" fillId="18" borderId="57" xfId="0" applyFont="1" applyFill="1" applyBorder="1" applyAlignment="1" applyProtection="1">
      <alignment horizontal="left" vertical="center"/>
      <protection hidden="1"/>
    </xf>
    <xf numFmtId="15" fontId="7" fillId="19" borderId="33" xfId="0" applyNumberFormat="1" applyFont="1" applyFill="1" applyBorder="1" applyAlignment="1" applyProtection="1">
      <alignment horizontal="left"/>
      <protection hidden="1"/>
    </xf>
    <xf numFmtId="15" fontId="7" fillId="19" borderId="48" xfId="0" applyNumberFormat="1" applyFont="1" applyFill="1" applyBorder="1" applyAlignment="1" applyProtection="1">
      <alignment horizontal="left"/>
      <protection hidden="1"/>
    </xf>
    <xf numFmtId="164" fontId="4" fillId="41" borderId="297" xfId="0" applyFont="1" applyFill="1" applyBorder="1" applyAlignment="1" applyProtection="1">
      <alignment horizontal="left" indent="1"/>
      <protection locked="0"/>
    </xf>
    <xf numFmtId="164" fontId="4" fillId="41" borderId="298" xfId="0" applyFont="1" applyFill="1" applyBorder="1" applyAlignment="1" applyProtection="1">
      <alignment horizontal="left" indent="1"/>
      <protection locked="0"/>
    </xf>
    <xf numFmtId="164" fontId="29" fillId="19" borderId="36" xfId="0" applyFont="1" applyFill="1" applyBorder="1" applyAlignment="1" applyProtection="1">
      <alignment horizontal="left"/>
      <protection hidden="1"/>
    </xf>
    <xf numFmtId="164" fontId="29" fillId="19" borderId="150" xfId="0" applyFont="1" applyFill="1" applyBorder="1" applyAlignment="1" applyProtection="1">
      <alignment horizontal="left"/>
      <protection hidden="1"/>
    </xf>
    <xf numFmtId="164" fontId="7" fillId="19" borderId="36" xfId="0" applyFont="1" applyFill="1" applyBorder="1" applyAlignment="1" applyProtection="1">
      <alignment horizontal="left"/>
      <protection hidden="1"/>
    </xf>
    <xf numFmtId="164" fontId="7" fillId="19" borderId="21" xfId="0" applyFont="1" applyFill="1" applyBorder="1" applyAlignment="1" applyProtection="1">
      <alignment horizontal="left"/>
      <protection hidden="1"/>
    </xf>
    <xf numFmtId="164" fontId="7" fillId="19" borderId="168" xfId="0" applyFont="1" applyFill="1" applyBorder="1" applyAlignment="1" applyProtection="1">
      <alignment horizontal="left"/>
      <protection hidden="1"/>
    </xf>
    <xf numFmtId="164" fontId="85" fillId="18" borderId="38" xfId="0" applyFont="1" applyFill="1" applyBorder="1" applyAlignment="1" applyProtection="1">
      <alignment horizontal="left" wrapText="1"/>
      <protection hidden="1"/>
    </xf>
    <xf numFmtId="164" fontId="111" fillId="18" borderId="38" xfId="0" applyFont="1" applyFill="1" applyBorder="1" applyAlignment="1" applyProtection="1">
      <alignment horizontal="left" vertical="center" wrapText="1"/>
      <protection hidden="1"/>
    </xf>
    <xf numFmtId="164" fontId="85" fillId="18" borderId="38" xfId="0" applyFont="1" applyFill="1" applyBorder="1" applyAlignment="1" applyProtection="1">
      <alignment horizontal="left" vertical="center" wrapText="1"/>
      <protection hidden="1"/>
    </xf>
    <xf numFmtId="164" fontId="7" fillId="41" borderId="80" xfId="0" applyFont="1" applyFill="1" applyBorder="1" applyAlignment="1" applyProtection="1">
      <alignment horizontal="center" vertical="center"/>
      <protection locked="0"/>
    </xf>
    <xf numFmtId="164" fontId="7" fillId="41" borderId="90" xfId="0" applyFont="1" applyFill="1" applyBorder="1" applyAlignment="1" applyProtection="1">
      <alignment horizontal="center" vertical="center"/>
      <protection locked="0"/>
    </xf>
    <xf numFmtId="164" fontId="29" fillId="18" borderId="34" xfId="0" applyFont="1" applyFill="1" applyBorder="1" applyAlignment="1" applyProtection="1">
      <alignment horizontal="center" vertical="center" wrapText="1"/>
      <protection hidden="1"/>
    </xf>
    <xf numFmtId="164" fontId="29" fillId="18" borderId="25" xfId="0" applyFont="1" applyFill="1" applyBorder="1" applyAlignment="1" applyProtection="1">
      <alignment horizontal="center" vertical="center" wrapText="1"/>
      <protection hidden="1"/>
    </xf>
    <xf numFmtId="164" fontId="29" fillId="18" borderId="24" xfId="0" applyFont="1" applyFill="1" applyBorder="1" applyAlignment="1" applyProtection="1">
      <alignment horizontal="center" vertical="center" wrapText="1"/>
      <protection hidden="1"/>
    </xf>
    <xf numFmtId="164" fontId="29" fillId="18" borderId="26" xfId="0" applyFont="1" applyFill="1" applyBorder="1" applyAlignment="1" applyProtection="1">
      <alignment horizontal="center" vertical="center" wrapText="1"/>
      <protection hidden="1"/>
    </xf>
    <xf numFmtId="173" fontId="6" fillId="53" borderId="122" xfId="0" applyNumberFormat="1" applyFont="1" applyFill="1" applyBorder="1" applyAlignment="1" applyProtection="1">
      <alignment horizontal="center"/>
      <protection hidden="1"/>
    </xf>
    <xf numFmtId="173" fontId="6" fillId="53" borderId="283" xfId="0" applyNumberFormat="1" applyFont="1" applyFill="1" applyBorder="1" applyAlignment="1" applyProtection="1">
      <alignment horizontal="center"/>
      <protection hidden="1"/>
    </xf>
    <xf numFmtId="164" fontId="5" fillId="19" borderId="33" xfId="0" applyFont="1" applyFill="1" applyBorder="1" applyAlignment="1" applyProtection="1">
      <alignment horizontal="right"/>
      <protection hidden="1"/>
    </xf>
    <xf numFmtId="164" fontId="6" fillId="24" borderId="12" xfId="0" applyFont="1" applyFill="1" applyBorder="1" applyAlignment="1" applyProtection="1">
      <alignment horizontal="center"/>
      <protection hidden="1"/>
    </xf>
    <xf numFmtId="164" fontId="6" fillId="24" borderId="33" xfId="0" applyFont="1" applyFill="1" applyBorder="1" applyAlignment="1" applyProtection="1">
      <alignment horizontal="center"/>
      <protection hidden="1"/>
    </xf>
    <xf numFmtId="164" fontId="6" fillId="24" borderId="48" xfId="0" applyFont="1" applyFill="1" applyBorder="1" applyAlignment="1" applyProtection="1">
      <alignment horizontal="center"/>
      <protection hidden="1"/>
    </xf>
    <xf numFmtId="0" fontId="10" fillId="18" borderId="45" xfId="0" applyNumberFormat="1" applyFont="1" applyFill="1" applyBorder="1" applyAlignment="1" applyProtection="1">
      <alignment horizontal="left"/>
      <protection locked="0"/>
    </xf>
    <xf numFmtId="164" fontId="59" fillId="18" borderId="12" xfId="0" applyFont="1" applyFill="1" applyBorder="1"/>
    <xf numFmtId="164" fontId="59" fillId="18" borderId="33" xfId="0" applyFont="1" applyFill="1" applyBorder="1"/>
    <xf numFmtId="164" fontId="59" fillId="18" borderId="48" xfId="0" applyFont="1" applyFill="1" applyBorder="1"/>
    <xf numFmtId="164" fontId="5" fillId="18" borderId="12" xfId="0" applyFont="1" applyFill="1" applyBorder="1" applyAlignment="1">
      <alignment horizontal="center"/>
    </xf>
    <xf numFmtId="164" fontId="5" fillId="18" borderId="33" xfId="0" applyFont="1" applyFill="1" applyBorder="1" applyAlignment="1">
      <alignment horizontal="center"/>
    </xf>
    <xf numFmtId="164" fontId="5" fillId="18" borderId="48" xfId="0" applyFont="1" applyFill="1" applyBorder="1" applyAlignment="1">
      <alignment horizontal="center"/>
    </xf>
    <xf numFmtId="164" fontId="148" fillId="43" borderId="11" xfId="0" applyFont="1" applyFill="1" applyBorder="1" applyAlignment="1" applyProtection="1">
      <alignment horizontal="center"/>
      <protection hidden="1"/>
    </xf>
    <xf numFmtId="164" fontId="148" fillId="43" borderId="92" xfId="0" applyFont="1" applyFill="1" applyBorder="1" applyAlignment="1" applyProtection="1">
      <alignment horizontal="center"/>
      <protection hidden="1"/>
    </xf>
    <xf numFmtId="164" fontId="7" fillId="19" borderId="150" xfId="0" applyFont="1" applyFill="1" applyBorder="1" applyAlignment="1" applyProtection="1">
      <alignment horizontal="left"/>
      <protection hidden="1"/>
    </xf>
    <xf numFmtId="0" fontId="10" fillId="18" borderId="50" xfId="0" applyNumberFormat="1" applyFont="1" applyFill="1" applyBorder="1" applyAlignment="1" applyProtection="1">
      <alignment horizontal="left"/>
      <protection locked="0"/>
    </xf>
    <xf numFmtId="0" fontId="10" fillId="18" borderId="13" xfId="0" applyNumberFormat="1" applyFont="1" applyFill="1" applyBorder="1" applyAlignment="1" applyProtection="1">
      <alignment horizontal="left"/>
      <protection locked="0"/>
    </xf>
    <xf numFmtId="0" fontId="10" fillId="18" borderId="83" xfId="0" applyNumberFormat="1" applyFont="1" applyFill="1" applyBorder="1" applyAlignment="1" applyProtection="1">
      <alignment horizontal="left"/>
      <protection locked="0"/>
    </xf>
    <xf numFmtId="164" fontId="59" fillId="18" borderId="12" xfId="0" applyFont="1" applyFill="1" applyBorder="1" applyAlignment="1">
      <alignment horizontal="left"/>
    </xf>
    <xf numFmtId="164" fontId="59" fillId="18" borderId="33" xfId="0" applyFont="1" applyFill="1" applyBorder="1" applyAlignment="1">
      <alignment horizontal="left"/>
    </xf>
    <xf numFmtId="164" fontId="59" fillId="18" borderId="48" xfId="0" applyFont="1" applyFill="1" applyBorder="1" applyAlignment="1">
      <alignment horizontal="left"/>
    </xf>
    <xf numFmtId="164" fontId="33" fillId="39" borderId="34" xfId="0" applyFont="1" applyFill="1" applyBorder="1" applyAlignment="1" applyProtection="1">
      <alignment horizontal="center" vertical="center" wrapText="1"/>
      <protection hidden="1"/>
    </xf>
    <xf numFmtId="164" fontId="33" fillId="39" borderId="25" xfId="0" applyFont="1" applyFill="1" applyBorder="1" applyAlignment="1" applyProtection="1">
      <alignment horizontal="center" vertical="center" wrapText="1"/>
      <protection hidden="1"/>
    </xf>
    <xf numFmtId="164" fontId="33" fillId="39" borderId="24" xfId="0" applyFont="1" applyFill="1" applyBorder="1" applyAlignment="1" applyProtection="1">
      <alignment horizontal="center" vertical="center" wrapText="1"/>
      <protection hidden="1"/>
    </xf>
    <xf numFmtId="164" fontId="33" fillId="39" borderId="26" xfId="0" applyFont="1" applyFill="1" applyBorder="1" applyAlignment="1" applyProtection="1">
      <alignment horizontal="center" vertical="center" wrapText="1"/>
      <protection hidden="1"/>
    </xf>
    <xf numFmtId="164" fontId="4" fillId="41" borderId="80" xfId="0" applyFont="1" applyFill="1" applyBorder="1" applyAlignment="1" applyProtection="1">
      <alignment horizontal="center" vertical="center"/>
      <protection locked="0"/>
    </xf>
    <xf numFmtId="164" fontId="4" fillId="41" borderId="90" xfId="0" applyFont="1" applyFill="1" applyBorder="1" applyAlignment="1" applyProtection="1">
      <alignment horizontal="center" vertical="center"/>
      <protection locked="0"/>
    </xf>
    <xf numFmtId="164" fontId="10" fillId="39" borderId="71" xfId="0" applyFont="1" applyFill="1" applyBorder="1" applyAlignment="1" applyProtection="1">
      <alignment horizontal="center"/>
      <protection hidden="1"/>
    </xf>
    <xf numFmtId="164" fontId="10" fillId="39" borderId="72" xfId="0" applyFont="1" applyFill="1" applyBorder="1" applyAlignment="1" applyProtection="1">
      <alignment horizontal="center"/>
      <protection hidden="1"/>
    </xf>
    <xf numFmtId="164" fontId="10" fillId="39" borderId="22" xfId="0" applyFont="1" applyFill="1" applyBorder="1" applyAlignment="1" applyProtection="1">
      <alignment horizontal="center" vertical="center" wrapText="1"/>
      <protection locked="0"/>
    </xf>
    <xf numFmtId="164" fontId="10" fillId="39" borderId="25" xfId="0" applyFont="1" applyFill="1" applyBorder="1" applyAlignment="1" applyProtection="1">
      <alignment horizontal="center" vertical="center" wrapText="1"/>
      <protection locked="0"/>
    </xf>
    <xf numFmtId="164" fontId="10" fillId="39" borderId="17" xfId="0" applyFont="1" applyFill="1" applyBorder="1" applyAlignment="1" applyProtection="1">
      <alignment horizontal="center" vertical="center" wrapText="1"/>
      <protection locked="0"/>
    </xf>
    <xf numFmtId="164" fontId="10" fillId="39" borderId="26" xfId="0" applyFont="1" applyFill="1" applyBorder="1" applyAlignment="1" applyProtection="1">
      <alignment horizontal="center" vertical="center" wrapText="1"/>
      <protection locked="0"/>
    </xf>
    <xf numFmtId="164" fontId="7" fillId="19" borderId="24" xfId="0" applyFont="1" applyFill="1" applyBorder="1" applyAlignment="1" applyProtection="1">
      <alignment horizontal="right"/>
      <protection hidden="1"/>
    </xf>
    <xf numFmtId="164" fontId="7" fillId="19" borderId="52" xfId="0" applyFont="1" applyFill="1" applyBorder="1" applyAlignment="1" applyProtection="1">
      <alignment horizontal="right"/>
      <protection hidden="1"/>
    </xf>
    <xf numFmtId="164" fontId="7" fillId="19" borderId="96" xfId="0" applyFont="1" applyFill="1" applyBorder="1" applyAlignment="1" applyProtection="1">
      <alignment horizontal="left"/>
      <protection hidden="1"/>
    </xf>
    <xf numFmtId="164" fontId="7" fillId="19" borderId="97" xfId="0" applyFont="1" applyFill="1" applyBorder="1" applyAlignment="1" applyProtection="1">
      <alignment horizontal="left"/>
      <protection hidden="1"/>
    </xf>
    <xf numFmtId="164" fontId="7" fillId="19" borderId="98" xfId="0" applyFont="1" applyFill="1" applyBorder="1" applyAlignment="1" applyProtection="1">
      <alignment horizontal="left"/>
      <protection hidden="1"/>
    </xf>
    <xf numFmtId="164" fontId="7" fillId="19" borderId="36" xfId="0" applyFont="1" applyFill="1" applyBorder="1" applyAlignment="1" applyProtection="1">
      <alignment horizontal="right"/>
      <protection hidden="1"/>
    </xf>
    <xf numFmtId="164" fontId="7" fillId="19" borderId="21" xfId="0" applyFont="1" applyFill="1" applyBorder="1" applyAlignment="1" applyProtection="1">
      <alignment horizontal="right"/>
      <protection hidden="1"/>
    </xf>
    <xf numFmtId="164" fontId="7" fillId="19" borderId="129" xfId="0" applyFont="1" applyFill="1" applyBorder="1" applyAlignment="1" applyProtection="1">
      <alignment horizontal="left"/>
      <protection hidden="1"/>
    </xf>
    <xf numFmtId="164" fontId="7" fillId="19" borderId="169" xfId="0" applyFont="1" applyFill="1" applyBorder="1" applyAlignment="1" applyProtection="1">
      <alignment horizontal="left"/>
      <protection hidden="1"/>
    </xf>
    <xf numFmtId="164" fontId="7" fillId="19" borderId="168" xfId="0" applyFont="1" applyFill="1" applyBorder="1" applyAlignment="1" applyProtection="1">
      <alignment horizontal="right"/>
      <protection hidden="1"/>
    </xf>
    <xf numFmtId="164" fontId="71" fillId="0" borderId="0" xfId="0" applyFont="1" applyAlignment="1">
      <alignment horizontal="left" wrapText="1"/>
    </xf>
    <xf numFmtId="164" fontId="4" fillId="18" borderId="0" xfId="0" applyFont="1" applyFill="1" applyAlignment="1">
      <alignment horizontal="left" vertical="center" wrapText="1"/>
    </xf>
    <xf numFmtId="164" fontId="16" fillId="18" borderId="24" xfId="0" applyFont="1" applyFill="1" applyBorder="1" applyAlignment="1" applyProtection="1">
      <alignment horizontal="left" vertical="center" wrapText="1"/>
      <protection hidden="1"/>
    </xf>
    <xf numFmtId="164" fontId="16" fillId="18" borderId="0" xfId="0" applyFont="1" applyFill="1" applyAlignment="1" applyProtection="1">
      <alignment horizontal="left" vertical="center" wrapText="1"/>
      <protection hidden="1"/>
    </xf>
    <xf numFmtId="164" fontId="16" fillId="18" borderId="36" xfId="0" applyFont="1" applyFill="1" applyBorder="1" applyAlignment="1" applyProtection="1">
      <alignment horizontal="left" vertical="center" wrapText="1"/>
      <protection hidden="1"/>
    </xf>
    <xf numFmtId="164" fontId="16" fillId="18" borderId="21" xfId="0" applyFont="1" applyFill="1" applyBorder="1" applyAlignment="1" applyProtection="1">
      <alignment horizontal="left" vertical="center" wrapText="1"/>
      <protection hidden="1"/>
    </xf>
    <xf numFmtId="164" fontId="16" fillId="18" borderId="26" xfId="0" applyFont="1" applyFill="1" applyBorder="1" applyAlignment="1" applyProtection="1">
      <alignment horizontal="left" vertical="center" wrapText="1"/>
      <protection hidden="1"/>
    </xf>
    <xf numFmtId="164" fontId="127" fillId="18" borderId="24" xfId="0" applyFont="1" applyFill="1" applyBorder="1" applyAlignment="1" applyProtection="1">
      <alignment horizontal="left" vertical="center" wrapText="1"/>
      <protection hidden="1"/>
    </xf>
    <xf numFmtId="164" fontId="127" fillId="18" borderId="0" xfId="0" applyFont="1" applyFill="1" applyAlignment="1" applyProtection="1">
      <alignment horizontal="left" vertical="center" wrapText="1"/>
      <protection hidden="1"/>
    </xf>
    <xf numFmtId="164" fontId="5" fillId="18" borderId="241" xfId="0" applyFont="1" applyFill="1" applyBorder="1" applyAlignment="1">
      <alignment horizontal="center"/>
    </xf>
    <xf numFmtId="164" fontId="5" fillId="18" borderId="243" xfId="0" applyFont="1" applyFill="1" applyBorder="1" applyAlignment="1">
      <alignment horizontal="center"/>
    </xf>
    <xf numFmtId="164" fontId="5" fillId="18" borderId="242" xfId="0" applyFont="1" applyFill="1" applyBorder="1" applyAlignment="1">
      <alignment horizontal="center"/>
    </xf>
    <xf numFmtId="164" fontId="144" fillId="18" borderId="0" xfId="0" quotePrefix="1" applyFont="1" applyFill="1" applyAlignment="1" applyProtection="1">
      <alignment horizontal="left" wrapText="1"/>
      <protection hidden="1"/>
    </xf>
    <xf numFmtId="164" fontId="144" fillId="18" borderId="26" xfId="0" quotePrefix="1" applyFont="1" applyFill="1" applyBorder="1" applyAlignment="1" applyProtection="1">
      <alignment horizontal="left" wrapText="1"/>
      <protection hidden="1"/>
    </xf>
    <xf numFmtId="164" fontId="130" fillId="18" borderId="38" xfId="0" applyFont="1" applyFill="1" applyBorder="1" applyAlignment="1" applyProtection="1">
      <alignment horizontal="left" wrapText="1"/>
      <protection hidden="1"/>
    </xf>
    <xf numFmtId="164" fontId="12" fillId="18" borderId="21" xfId="0" applyFont="1" applyFill="1" applyBorder="1" applyAlignment="1" applyProtection="1">
      <alignment horizontal="left"/>
      <protection hidden="1"/>
    </xf>
    <xf numFmtId="164" fontId="7" fillId="42" borderId="34" xfId="0" applyFont="1" applyFill="1" applyBorder="1" applyAlignment="1" applyProtection="1">
      <alignment horizontal="left"/>
      <protection hidden="1"/>
    </xf>
    <xf numFmtId="164" fontId="7" fillId="42" borderId="131" xfId="0" applyFont="1" applyFill="1" applyBorder="1" applyAlignment="1" applyProtection="1">
      <alignment horizontal="left"/>
      <protection hidden="1"/>
    </xf>
    <xf numFmtId="164" fontId="7" fillId="42" borderId="24" xfId="0" applyFont="1" applyFill="1" applyBorder="1" applyAlignment="1" applyProtection="1">
      <alignment horizontal="left"/>
      <protection hidden="1"/>
    </xf>
    <xf numFmtId="164" fontId="7" fillId="42" borderId="52" xfId="0" applyFont="1" applyFill="1" applyBorder="1" applyAlignment="1" applyProtection="1">
      <alignment horizontal="left"/>
      <protection hidden="1"/>
    </xf>
    <xf numFmtId="164" fontId="7" fillId="42" borderId="71" xfId="0" applyFont="1" applyFill="1" applyBorder="1" applyAlignment="1" applyProtection="1">
      <alignment horizontal="left"/>
      <protection hidden="1"/>
    </xf>
    <xf numFmtId="164" fontId="7" fillId="42" borderId="347" xfId="0" applyFont="1" applyFill="1" applyBorder="1" applyAlignment="1" applyProtection="1">
      <alignment horizontal="left"/>
      <protection hidden="1"/>
    </xf>
    <xf numFmtId="164" fontId="29" fillId="42" borderId="106" xfId="0" applyFont="1" applyFill="1" applyBorder="1" applyAlignment="1" applyProtection="1">
      <alignment horizontal="left"/>
      <protection hidden="1"/>
    </xf>
    <xf numFmtId="164" fontId="29" fillId="42" borderId="62" xfId="0" applyFont="1" applyFill="1" applyBorder="1" applyAlignment="1" applyProtection="1">
      <alignment horizontal="left"/>
      <protection hidden="1"/>
    </xf>
    <xf numFmtId="164" fontId="98" fillId="19" borderId="96" xfId="0" applyFont="1" applyFill="1" applyBorder="1" applyAlignment="1" applyProtection="1">
      <alignment horizontal="left"/>
      <protection hidden="1"/>
    </xf>
    <xf numFmtId="164" fontId="98" fillId="19" borderId="52" xfId="0" applyFont="1" applyFill="1" applyBorder="1" applyAlignment="1" applyProtection="1">
      <alignment horizontal="left"/>
      <protection hidden="1"/>
    </xf>
    <xf numFmtId="164" fontId="4" fillId="18" borderId="34" xfId="0" applyFont="1" applyFill="1" applyBorder="1" applyAlignment="1">
      <alignment horizontal="center" wrapText="1"/>
    </xf>
    <xf numFmtId="164" fontId="4" fillId="18" borderId="24" xfId="0" applyFont="1" applyFill="1" applyBorder="1" applyAlignment="1">
      <alignment horizontal="center" wrapText="1"/>
    </xf>
    <xf numFmtId="164" fontId="4" fillId="18" borderId="24" xfId="0" applyFont="1" applyFill="1" applyBorder="1" applyAlignment="1">
      <alignment horizontal="center"/>
    </xf>
    <xf numFmtId="164" fontId="114" fillId="18" borderId="124" xfId="0" applyFont="1" applyFill="1" applyBorder="1" applyAlignment="1">
      <alignment horizontal="center"/>
    </xf>
    <xf numFmtId="164" fontId="114" fillId="18" borderId="14" xfId="0" applyFont="1" applyFill="1" applyBorder="1" applyAlignment="1">
      <alignment horizontal="center"/>
    </xf>
    <xf numFmtId="164" fontId="4" fillId="18" borderId="36" xfId="0" applyFont="1" applyFill="1" applyBorder="1" applyAlignment="1">
      <alignment horizontal="center"/>
    </xf>
    <xf numFmtId="164" fontId="4" fillId="18" borderId="21" xfId="0" applyFont="1" applyFill="1" applyBorder="1" applyAlignment="1">
      <alignment horizontal="center"/>
    </xf>
    <xf numFmtId="164" fontId="4" fillId="18" borderId="0" xfId="0" applyFont="1" applyFill="1" applyAlignment="1">
      <alignment horizontal="center"/>
    </xf>
    <xf numFmtId="164" fontId="4" fillId="18" borderId="51" xfId="0" applyFont="1" applyFill="1" applyBorder="1" applyAlignment="1">
      <alignment horizontal="center"/>
    </xf>
    <xf numFmtId="164" fontId="4" fillId="18" borderId="53" xfId="0" applyFont="1" applyFill="1" applyBorder="1"/>
    <xf numFmtId="164" fontId="4" fillId="18" borderId="35" xfId="0" applyFont="1" applyFill="1" applyBorder="1" applyAlignment="1">
      <alignment horizontal="center"/>
    </xf>
    <xf numFmtId="164" fontId="5" fillId="18" borderId="0" xfId="0" applyFont="1" applyFill="1" applyAlignment="1">
      <alignment wrapText="1"/>
    </xf>
    <xf numFmtId="164" fontId="4" fillId="18" borderId="26" xfId="0" applyFont="1" applyFill="1" applyBorder="1" applyAlignment="1">
      <alignment wrapText="1"/>
    </xf>
    <xf numFmtId="164" fontId="4" fillId="18" borderId="0" xfId="0" applyFont="1" applyFill="1" applyAlignment="1">
      <alignment wrapText="1"/>
    </xf>
    <xf numFmtId="164" fontId="33" fillId="18" borderId="24" xfId="0" applyFont="1" applyFill="1" applyBorder="1" applyAlignment="1">
      <alignment horizontal="center"/>
    </xf>
    <xf numFmtId="164" fontId="33" fillId="18" borderId="26" xfId="0" applyFont="1" applyFill="1" applyBorder="1" applyAlignment="1">
      <alignment horizontal="center"/>
    </xf>
    <xf numFmtId="164" fontId="114" fillId="18" borderId="45" xfId="0" applyFont="1" applyFill="1" applyBorder="1" applyAlignment="1">
      <alignment horizontal="center"/>
    </xf>
    <xf numFmtId="164" fontId="19" fillId="18" borderId="17" xfId="0" applyFont="1" applyFill="1" applyBorder="1" applyAlignment="1">
      <alignment horizontal="center" vertical="center" wrapText="1"/>
    </xf>
    <xf numFmtId="164" fontId="4" fillId="18" borderId="0" xfId="0" applyFont="1" applyFill="1"/>
    <xf numFmtId="164" fontId="4" fillId="18" borderId="17" xfId="0" applyFont="1" applyFill="1" applyBorder="1"/>
    <xf numFmtId="164" fontId="4" fillId="18" borderId="50" xfId="0" applyFont="1" applyFill="1" applyBorder="1" applyAlignment="1">
      <alignment horizontal="center"/>
    </xf>
    <xf numFmtId="164" fontId="4" fillId="18" borderId="13" xfId="0" applyFont="1" applyFill="1" applyBorder="1" applyAlignment="1">
      <alignment horizontal="center"/>
    </xf>
    <xf numFmtId="164" fontId="4" fillId="18" borderId="0" xfId="0" applyFont="1" applyFill="1" applyAlignment="1">
      <alignment horizontal="center" vertical="center"/>
    </xf>
    <xf numFmtId="164" fontId="4" fillId="18" borderId="26" xfId="0" applyFont="1" applyFill="1" applyBorder="1" applyAlignment="1">
      <alignment horizontal="center" vertical="center"/>
    </xf>
    <xf numFmtId="164" fontId="4" fillId="18" borderId="80" xfId="0" applyFont="1" applyFill="1" applyBorder="1" applyAlignment="1">
      <alignment horizontal="center"/>
    </xf>
    <xf numFmtId="164" fontId="4" fillId="18" borderId="90" xfId="0" applyFont="1" applyFill="1" applyBorder="1" applyAlignment="1">
      <alignment horizontal="center"/>
    </xf>
    <xf numFmtId="164" fontId="4" fillId="18" borderId="62" xfId="0" applyFont="1" applyFill="1" applyBorder="1" applyAlignment="1">
      <alignment horizontal="center"/>
    </xf>
    <xf numFmtId="164" fontId="19" fillId="18" borderId="18" xfId="0" applyFont="1" applyFill="1" applyBorder="1" applyAlignment="1">
      <alignment horizontal="center" vertical="center" wrapText="1"/>
    </xf>
    <xf numFmtId="164" fontId="19" fillId="18" borderId="51" xfId="0" applyFont="1" applyFill="1" applyBorder="1" applyAlignment="1">
      <alignment horizontal="center" vertical="center" wrapText="1"/>
    </xf>
    <xf numFmtId="164" fontId="19" fillId="18" borderId="53" xfId="0" applyFont="1" applyFill="1" applyBorder="1" applyAlignment="1">
      <alignment horizontal="center" vertical="center" wrapText="1"/>
    </xf>
    <xf numFmtId="164" fontId="19" fillId="18" borderId="23" xfId="0" applyFont="1" applyFill="1" applyBorder="1" applyAlignment="1">
      <alignment horizontal="center" vertical="center" wrapText="1"/>
    </xf>
    <xf numFmtId="164" fontId="19" fillId="18" borderId="54" xfId="0" applyFont="1" applyFill="1" applyBorder="1" applyAlignment="1">
      <alignment horizontal="center" vertical="center" wrapText="1"/>
    </xf>
    <xf numFmtId="164" fontId="19" fillId="18" borderId="55" xfId="0" applyFont="1" applyFill="1" applyBorder="1" applyAlignment="1">
      <alignment horizontal="center" vertical="center" wrapText="1"/>
    </xf>
    <xf numFmtId="164" fontId="4" fillId="18" borderId="34" xfId="0" applyFont="1" applyFill="1" applyBorder="1" applyAlignment="1">
      <alignment horizontal="center" vertical="center"/>
    </xf>
    <xf numFmtId="164" fontId="4" fillId="18" borderId="24" xfId="0" applyFont="1" applyFill="1" applyBorder="1" applyAlignment="1">
      <alignment horizontal="center" vertical="center"/>
    </xf>
    <xf numFmtId="164" fontId="4" fillId="18" borderId="34" xfId="0" applyFont="1" applyFill="1" applyBorder="1" applyAlignment="1">
      <alignment horizontal="center"/>
    </xf>
    <xf numFmtId="164" fontId="32" fillId="18" borderId="50" xfId="0" applyFont="1" applyFill="1" applyBorder="1" applyAlignment="1">
      <alignment horizontal="center" vertical="center"/>
    </xf>
    <xf numFmtId="164" fontId="32" fillId="18" borderId="62" xfId="0" applyFont="1" applyFill="1" applyBorder="1" applyAlignment="1">
      <alignment horizontal="center" vertical="center"/>
    </xf>
    <xf numFmtId="164" fontId="4" fillId="18" borderId="56" xfId="0" applyFont="1" applyFill="1" applyBorder="1" applyAlignment="1">
      <alignment horizontal="center" wrapText="1"/>
    </xf>
    <xf numFmtId="164" fontId="4" fillId="18" borderId="38" xfId="0" applyFont="1" applyFill="1" applyBorder="1" applyAlignment="1">
      <alignment horizontal="center" wrapText="1"/>
    </xf>
    <xf numFmtId="164" fontId="4" fillId="18" borderId="38" xfId="0" applyFont="1" applyFill="1" applyBorder="1" applyAlignment="1">
      <alignment horizontal="center"/>
    </xf>
    <xf numFmtId="164" fontId="4" fillId="18" borderId="91" xfId="0" applyFont="1" applyFill="1" applyBorder="1" applyAlignment="1">
      <alignment horizontal="center"/>
    </xf>
    <xf numFmtId="164" fontId="4" fillId="18" borderId="122" xfId="0" applyFont="1" applyFill="1" applyBorder="1" applyAlignment="1">
      <alignment horizontal="center" wrapText="1"/>
    </xf>
    <xf numFmtId="164" fontId="4" fillId="18" borderId="53" xfId="0" applyFont="1" applyFill="1" applyBorder="1" applyAlignment="1">
      <alignment horizontal="center" wrapText="1"/>
    </xf>
    <xf numFmtId="164" fontId="4" fillId="18" borderId="17" xfId="0" applyFont="1" applyFill="1" applyBorder="1" applyAlignment="1">
      <alignment horizontal="center"/>
    </xf>
    <xf numFmtId="164" fontId="4" fillId="18" borderId="18" xfId="0" applyFont="1" applyFill="1" applyBorder="1" applyAlignment="1">
      <alignment horizontal="center" vertical="center"/>
    </xf>
    <xf numFmtId="164" fontId="4" fillId="18" borderId="53" xfId="0" applyFont="1" applyFill="1" applyBorder="1" applyAlignment="1">
      <alignment horizontal="center" vertical="center"/>
    </xf>
    <xf numFmtId="164" fontId="4" fillId="18" borderId="17" xfId="0" applyFont="1" applyFill="1" applyBorder="1" applyAlignment="1">
      <alignment horizontal="center" vertical="center"/>
    </xf>
    <xf numFmtId="164" fontId="4" fillId="18" borderId="52" xfId="0" applyFont="1" applyFill="1" applyBorder="1" applyAlignment="1">
      <alignment horizontal="center" vertical="center"/>
    </xf>
    <xf numFmtId="164" fontId="4" fillId="18" borderId="23" xfId="0" applyFont="1" applyFill="1" applyBorder="1" applyAlignment="1">
      <alignment horizontal="center" vertical="center"/>
    </xf>
    <xf numFmtId="164" fontId="4" fillId="18" borderId="55" xfId="0" applyFont="1" applyFill="1" applyBorder="1" applyAlignment="1">
      <alignment horizontal="center" vertical="center"/>
    </xf>
    <xf numFmtId="164" fontId="4" fillId="18" borderId="94" xfId="0" applyFont="1" applyFill="1" applyBorder="1" applyAlignment="1">
      <alignment horizontal="center" vertical="center" wrapText="1"/>
    </xf>
    <xf numFmtId="164" fontId="4" fillId="18" borderId="93" xfId="0" applyFont="1" applyFill="1" applyBorder="1"/>
    <xf numFmtId="164" fontId="5" fillId="18" borderId="0" xfId="0" applyFont="1" applyFill="1" applyAlignment="1">
      <alignment horizontal="center"/>
    </xf>
    <xf numFmtId="164" fontId="4" fillId="18" borderId="51" xfId="0" applyFont="1" applyFill="1" applyBorder="1" applyAlignment="1">
      <alignment horizontal="center" vertical="center" wrapText="1"/>
    </xf>
    <xf numFmtId="164" fontId="4" fillId="18" borderId="53" xfId="0" applyFont="1" applyFill="1" applyBorder="1" applyAlignment="1">
      <alignment horizontal="center" vertical="center" wrapText="1"/>
    </xf>
    <xf numFmtId="164" fontId="4" fillId="18" borderId="54" xfId="0" applyFont="1" applyFill="1" applyBorder="1" applyAlignment="1">
      <alignment horizontal="center" vertical="center" wrapText="1"/>
    </xf>
    <xf numFmtId="164" fontId="4" fillId="18" borderId="55" xfId="0" applyFont="1" applyFill="1" applyBorder="1" applyAlignment="1">
      <alignment horizontal="center" vertical="center" wrapText="1"/>
    </xf>
    <xf numFmtId="164" fontId="4" fillId="18" borderId="32" xfId="0" applyFont="1" applyFill="1" applyBorder="1" applyAlignment="1">
      <alignment horizontal="center"/>
    </xf>
    <xf numFmtId="164" fontId="4" fillId="18" borderId="52" xfId="0" applyFont="1" applyFill="1" applyBorder="1"/>
    <xf numFmtId="164" fontId="4" fillId="18" borderId="23" xfId="0" applyFont="1" applyFill="1" applyBorder="1"/>
    <xf numFmtId="164" fontId="4" fillId="18" borderId="55" xfId="0" applyFont="1" applyFill="1" applyBorder="1"/>
    <xf numFmtId="164" fontId="4" fillId="18" borderId="18" xfId="0" applyFont="1" applyFill="1" applyBorder="1" applyAlignment="1">
      <alignment horizontal="center" vertical="center" wrapText="1"/>
    </xf>
    <xf numFmtId="164" fontId="4" fillId="18" borderId="18" xfId="0" applyFont="1" applyFill="1" applyBorder="1" applyAlignment="1">
      <alignment horizontal="center"/>
    </xf>
    <xf numFmtId="164" fontId="4" fillId="18" borderId="53" xfId="0" applyFont="1" applyFill="1" applyBorder="1" applyAlignment="1">
      <alignment horizontal="center"/>
    </xf>
    <xf numFmtId="164" fontId="4" fillId="18" borderId="25" xfId="0" applyFont="1" applyFill="1" applyBorder="1" applyAlignment="1">
      <alignment horizontal="center" vertical="center"/>
    </xf>
    <xf numFmtId="164" fontId="4" fillId="18" borderId="32" xfId="0" applyFont="1" applyFill="1" applyBorder="1" applyAlignment="1">
      <alignment horizontal="center" vertical="center"/>
    </xf>
    <xf numFmtId="164" fontId="4" fillId="18" borderId="59" xfId="0" applyFont="1" applyFill="1" applyBorder="1" applyAlignment="1">
      <alignment horizontal="center" vertical="center"/>
    </xf>
    <xf numFmtId="164" fontId="4" fillId="18" borderId="15" xfId="0" applyFont="1" applyFill="1" applyBorder="1" applyAlignment="1">
      <alignment horizontal="center" vertical="center"/>
    </xf>
    <xf numFmtId="164" fontId="4" fillId="18" borderId="73" xfId="0" applyFont="1" applyFill="1" applyBorder="1" applyAlignment="1">
      <alignment horizontal="center" vertical="center"/>
    </xf>
    <xf numFmtId="164" fontId="4" fillId="18" borderId="23" xfId="0" applyFont="1" applyFill="1" applyBorder="1" applyAlignment="1">
      <alignment horizontal="center"/>
    </xf>
    <xf numFmtId="164" fontId="4" fillId="18" borderId="55" xfId="0" applyFont="1" applyFill="1" applyBorder="1" applyAlignment="1">
      <alignment horizontal="center"/>
    </xf>
    <xf numFmtId="164" fontId="4" fillId="18" borderId="17" xfId="0" applyFont="1" applyFill="1" applyBorder="1" applyAlignment="1">
      <alignment horizontal="center" vertical="center" wrapText="1"/>
    </xf>
    <xf numFmtId="164" fontId="4" fillId="18" borderId="52" xfId="0" applyFont="1" applyFill="1" applyBorder="1" applyAlignment="1">
      <alignment horizontal="center" vertical="center" wrapText="1"/>
    </xf>
    <xf numFmtId="164" fontId="4" fillId="18" borderId="54" xfId="0" applyFont="1" applyFill="1" applyBorder="1" applyAlignment="1">
      <alignment horizontal="center"/>
    </xf>
    <xf numFmtId="164" fontId="4" fillId="18" borderId="73" xfId="0" applyFont="1" applyFill="1" applyBorder="1"/>
    <xf numFmtId="164" fontId="4" fillId="18" borderId="15" xfId="0" applyFont="1" applyFill="1" applyBorder="1"/>
    <xf numFmtId="164" fontId="4" fillId="18" borderId="54" xfId="0" applyFont="1" applyFill="1" applyBorder="1" applyAlignment="1">
      <alignment horizontal="center" vertical="center"/>
    </xf>
    <xf numFmtId="164" fontId="4" fillId="18" borderId="15" xfId="0" applyFont="1" applyFill="1" applyBorder="1" applyAlignment="1">
      <alignment vertical="center"/>
    </xf>
    <xf numFmtId="164" fontId="4" fillId="18" borderId="51" xfId="0" applyFont="1" applyFill="1" applyBorder="1" applyAlignment="1">
      <alignment wrapText="1"/>
    </xf>
    <xf numFmtId="164" fontId="4" fillId="18" borderId="93" xfId="0" applyFont="1" applyFill="1" applyBorder="1" applyAlignment="1">
      <alignment horizontal="center" vertical="center" wrapText="1"/>
    </xf>
    <xf numFmtId="164" fontId="4" fillId="18" borderId="0" xfId="0" applyFont="1" applyFill="1" applyAlignment="1">
      <alignment horizontal="center" vertical="center" wrapText="1"/>
    </xf>
    <xf numFmtId="164" fontId="4" fillId="18" borderId="122" xfId="0" applyFont="1" applyFill="1" applyBorder="1" applyAlignment="1">
      <alignment horizontal="center"/>
    </xf>
    <xf numFmtId="164" fontId="5" fillId="18" borderId="0" xfId="0" applyFont="1" applyFill="1" applyAlignment="1">
      <alignment horizontal="center" vertical="center" wrapText="1"/>
    </xf>
    <xf numFmtId="164" fontId="4" fillId="18" borderId="59" xfId="0" applyFont="1" applyFill="1" applyBorder="1" applyAlignment="1">
      <alignment horizontal="center" vertical="center" wrapText="1"/>
    </xf>
    <xf numFmtId="164" fontId="4" fillId="18" borderId="73" xfId="0" applyFont="1" applyFill="1" applyBorder="1" applyAlignment="1">
      <alignment horizontal="center" vertical="center" wrapText="1"/>
    </xf>
    <xf numFmtId="164" fontId="4" fillId="18" borderId="15" xfId="0" applyFont="1" applyFill="1" applyBorder="1" applyAlignment="1">
      <alignment horizontal="center" vertical="center" wrapText="1"/>
    </xf>
    <xf numFmtId="164" fontId="4" fillId="18" borderId="23" xfId="0" applyFont="1" applyFill="1" applyBorder="1" applyAlignment="1">
      <alignment horizontal="center" vertical="center" wrapText="1"/>
    </xf>
    <xf numFmtId="164" fontId="4" fillId="18" borderId="68" xfId="0" applyFont="1" applyFill="1" applyBorder="1" applyAlignment="1">
      <alignment horizontal="center" vertical="center"/>
    </xf>
    <xf numFmtId="164" fontId="4" fillId="18" borderId="43" xfId="0" applyFont="1" applyFill="1" applyBorder="1" applyAlignment="1">
      <alignment horizontal="center" vertical="center"/>
    </xf>
    <xf numFmtId="164" fontId="4" fillId="18" borderId="48" xfId="0" applyFont="1" applyFill="1" applyBorder="1" applyAlignment="1">
      <alignment horizontal="center" vertical="center"/>
    </xf>
    <xf numFmtId="164" fontId="147" fillId="39" borderId="34" xfId="122" applyNumberFormat="1" applyFont="1" applyFill="1" applyBorder="1" applyAlignment="1">
      <alignment horizontal="left" vertical="center" wrapText="1"/>
    </xf>
    <xf numFmtId="0" fontId="147" fillId="39" borderId="24" xfId="122" applyFont="1" applyFill="1" applyBorder="1" applyAlignment="1">
      <alignment horizontal="left" vertical="center" wrapText="1"/>
    </xf>
    <xf numFmtId="0" fontId="147" fillId="39" borderId="36" xfId="122" applyFont="1" applyFill="1" applyBorder="1" applyAlignment="1">
      <alignment horizontal="left" vertical="center" wrapText="1"/>
    </xf>
    <xf numFmtId="164" fontId="147" fillId="39" borderId="34" xfId="122" applyNumberFormat="1" applyFont="1" applyFill="1" applyBorder="1" applyAlignment="1">
      <alignment horizontal="left" vertical="center"/>
    </xf>
    <xf numFmtId="0" fontId="147" fillId="39" borderId="24" xfId="122" applyFont="1" applyFill="1" applyBorder="1" applyAlignment="1">
      <alignment horizontal="left" vertical="center"/>
    </xf>
    <xf numFmtId="0" fontId="147" fillId="39" borderId="36" xfId="122" applyFont="1" applyFill="1" applyBorder="1" applyAlignment="1">
      <alignment horizontal="left" vertical="center"/>
    </xf>
    <xf numFmtId="164" fontId="147" fillId="39" borderId="12" xfId="0" applyFont="1" applyFill="1" applyBorder="1" applyAlignment="1" applyProtection="1">
      <alignment horizontal="center"/>
      <protection hidden="1"/>
    </xf>
    <xf numFmtId="164" fontId="147" fillId="39" borderId="48" xfId="0" applyFont="1" applyFill="1" applyBorder="1" applyAlignment="1" applyProtection="1">
      <alignment horizontal="center"/>
      <protection hidden="1"/>
    </xf>
    <xf numFmtId="0" fontId="147" fillId="39" borderId="34" xfId="122" applyFont="1" applyFill="1" applyBorder="1" applyAlignment="1">
      <alignment horizontal="left" vertical="center" wrapText="1"/>
    </xf>
    <xf numFmtId="0" fontId="147" fillId="39" borderId="36" xfId="122" applyFont="1" applyFill="1" applyBorder="1" applyAlignment="1">
      <alignment horizontal="left" wrapText="1"/>
    </xf>
    <xf numFmtId="164" fontId="147" fillId="39" borderId="80" xfId="0" applyFont="1" applyFill="1" applyBorder="1" applyAlignment="1" applyProtection="1">
      <alignment horizontal="center"/>
      <protection hidden="1"/>
    </xf>
    <xf numFmtId="164" fontId="147" fillId="39" borderId="91" xfId="0" applyFont="1" applyFill="1" applyBorder="1" applyAlignment="1" applyProtection="1">
      <alignment horizontal="center"/>
      <protection hidden="1"/>
    </xf>
    <xf numFmtId="164" fontId="147" fillId="39" borderId="90" xfId="0" applyFont="1" applyFill="1" applyBorder="1" applyAlignment="1" applyProtection="1">
      <alignment horizontal="center"/>
      <protection hidden="1"/>
    </xf>
    <xf numFmtId="164" fontId="13" fillId="24" borderId="170" xfId="0" applyFont="1" applyFill="1" applyBorder="1" applyAlignment="1" applyProtection="1">
      <alignment horizontal="center" vertical="center"/>
      <protection hidden="1"/>
    </xf>
    <xf numFmtId="164" fontId="13" fillId="24" borderId="91" xfId="0" applyFont="1" applyFill="1" applyBorder="1" applyAlignment="1" applyProtection="1">
      <alignment horizontal="center" vertical="center"/>
      <protection hidden="1"/>
    </xf>
    <xf numFmtId="164" fontId="13" fillId="24" borderId="90" xfId="0" applyFont="1" applyFill="1" applyBorder="1" applyAlignment="1" applyProtection="1">
      <alignment horizontal="center" vertical="center"/>
      <protection hidden="1"/>
    </xf>
    <xf numFmtId="164" fontId="156" fillId="39" borderId="17" xfId="0" applyFont="1" applyFill="1" applyBorder="1" applyAlignment="1" applyProtection="1">
      <alignment horizontal="center" vertical="center" wrapText="1"/>
      <protection hidden="1"/>
    </xf>
    <xf numFmtId="1" fontId="4" fillId="0" borderId="68" xfId="0" applyNumberFormat="1" applyFont="1" applyBorder="1" applyAlignment="1" applyProtection="1">
      <alignment horizontal="center" vertical="center" wrapText="1"/>
      <protection hidden="1"/>
    </xf>
    <xf numFmtId="1" fontId="4" fillId="0" borderId="329" xfId="0" applyNumberFormat="1" applyFont="1" applyBorder="1" applyAlignment="1" applyProtection="1">
      <alignment horizontal="center" vertical="center" wrapText="1"/>
      <protection hidden="1"/>
    </xf>
    <xf numFmtId="164" fontId="32" fillId="18" borderId="12" xfId="0" applyFont="1" applyFill="1" applyBorder="1" applyProtection="1">
      <protection hidden="1"/>
    </xf>
    <xf numFmtId="164" fontId="32" fillId="18" borderId="33" xfId="0" applyFont="1" applyFill="1" applyBorder="1" applyProtection="1">
      <protection hidden="1"/>
    </xf>
    <xf numFmtId="164" fontId="32" fillId="18" borderId="305" xfId="0" applyFont="1" applyFill="1" applyBorder="1" applyProtection="1">
      <protection hidden="1"/>
    </xf>
    <xf numFmtId="164" fontId="32" fillId="18" borderId="48" xfId="0" applyFont="1" applyFill="1" applyBorder="1" applyProtection="1">
      <protection hidden="1"/>
    </xf>
    <xf numFmtId="164" fontId="32" fillId="18" borderId="305" xfId="0" applyFont="1" applyFill="1" applyBorder="1" applyAlignment="1" applyProtection="1">
      <alignment horizontal="left"/>
      <protection hidden="1"/>
    </xf>
    <xf numFmtId="164" fontId="5" fillId="0" borderId="68" xfId="0" applyFont="1" applyBorder="1" applyAlignment="1" applyProtection="1">
      <alignment horizontal="center" vertical="center" wrapText="1"/>
      <protection hidden="1"/>
    </xf>
    <xf numFmtId="164" fontId="5" fillId="0" borderId="73" xfId="0" applyFont="1" applyBorder="1" applyAlignment="1" applyProtection="1">
      <alignment horizontal="center" vertical="center" wrapText="1"/>
      <protection hidden="1"/>
    </xf>
    <xf numFmtId="164" fontId="5" fillId="0" borderId="329" xfId="0" applyFont="1" applyBorder="1" applyAlignment="1" applyProtection="1">
      <alignment horizontal="center" vertical="center" wrapText="1"/>
      <protection hidden="1"/>
    </xf>
    <xf numFmtId="164" fontId="123" fillId="18" borderId="34" xfId="0" applyFont="1" applyFill="1" applyBorder="1" applyAlignment="1" applyProtection="1">
      <alignment horizontal="center" vertical="center" wrapText="1"/>
      <protection hidden="1"/>
    </xf>
    <xf numFmtId="164" fontId="123" fillId="18" borderId="35" xfId="0" applyFont="1" applyFill="1" applyBorder="1" applyAlignment="1" applyProtection="1">
      <alignment horizontal="center" vertical="center" wrapText="1"/>
      <protection hidden="1"/>
    </xf>
    <xf numFmtId="164" fontId="123" fillId="18" borderId="25" xfId="0" applyFont="1" applyFill="1" applyBorder="1" applyAlignment="1" applyProtection="1">
      <alignment horizontal="center" vertical="center" wrapText="1"/>
      <protection hidden="1"/>
    </xf>
    <xf numFmtId="164" fontId="123" fillId="18" borderId="36" xfId="0" applyFont="1" applyFill="1" applyBorder="1" applyAlignment="1" applyProtection="1">
      <alignment horizontal="center" vertical="center" wrapText="1"/>
      <protection hidden="1"/>
    </xf>
    <xf numFmtId="164" fontId="123" fillId="18" borderId="21" xfId="0" applyFont="1" applyFill="1" applyBorder="1" applyAlignment="1" applyProtection="1">
      <alignment horizontal="center" vertical="center" wrapText="1"/>
      <protection hidden="1"/>
    </xf>
    <xf numFmtId="164" fontId="123" fillId="18" borderId="32" xfId="0" applyFont="1" applyFill="1" applyBorder="1" applyAlignment="1" applyProtection="1">
      <alignment horizontal="center" vertical="center" wrapText="1"/>
      <protection hidden="1"/>
    </xf>
    <xf numFmtId="164" fontId="60" fillId="18" borderId="80" xfId="0" applyFont="1" applyFill="1" applyBorder="1" applyAlignment="1" applyProtection="1">
      <alignment horizontal="center" vertical="center"/>
      <protection hidden="1"/>
    </xf>
    <xf numFmtId="164" fontId="60" fillId="18" borderId="91" xfId="0" applyFont="1" applyFill="1" applyBorder="1" applyAlignment="1" applyProtection="1">
      <alignment horizontal="center" vertical="center"/>
      <protection hidden="1"/>
    </xf>
    <xf numFmtId="164" fontId="16" fillId="38" borderId="56" xfId="0" applyFont="1" applyFill="1" applyBorder="1" applyAlignment="1" applyProtection="1">
      <alignment horizontal="center" vertical="center" wrapText="1"/>
      <protection hidden="1"/>
    </xf>
    <xf numFmtId="164" fontId="16" fillId="38" borderId="38" xfId="0" applyFont="1" applyFill="1" applyBorder="1" applyAlignment="1" applyProtection="1">
      <alignment horizontal="center" vertical="center" wrapText="1"/>
      <protection hidden="1"/>
    </xf>
    <xf numFmtId="164" fontId="16" fillId="38" borderId="24" xfId="0" applyFont="1" applyFill="1" applyBorder="1" applyAlignment="1" applyProtection="1">
      <alignment horizontal="center" vertical="center" wrapText="1"/>
      <protection hidden="1"/>
    </xf>
    <xf numFmtId="164" fontId="16" fillId="38" borderId="36" xfId="0" applyFont="1" applyFill="1" applyBorder="1" applyAlignment="1" applyProtection="1">
      <alignment horizontal="center" vertical="center" wrapText="1"/>
      <protection hidden="1"/>
    </xf>
    <xf numFmtId="164" fontId="5" fillId="0" borderId="120" xfId="0" applyFont="1" applyBorder="1" applyAlignment="1" applyProtection="1">
      <alignment horizontal="center" vertical="center" wrapText="1"/>
      <protection hidden="1"/>
    </xf>
    <xf numFmtId="164" fontId="5" fillId="0" borderId="121" xfId="0" applyFont="1" applyBorder="1" applyAlignment="1" applyProtection="1">
      <alignment horizontal="center" vertical="center" wrapText="1"/>
      <protection hidden="1"/>
    </xf>
    <xf numFmtId="164" fontId="5" fillId="0" borderId="178" xfId="0" applyFont="1" applyBorder="1" applyAlignment="1" applyProtection="1">
      <alignment horizontal="center" vertical="center" wrapText="1"/>
      <protection hidden="1"/>
    </xf>
    <xf numFmtId="164" fontId="5" fillId="38" borderId="38" xfId="0" applyFont="1" applyFill="1" applyBorder="1" applyAlignment="1" applyProtection="1">
      <alignment horizontal="center" vertical="center" wrapText="1"/>
      <protection hidden="1"/>
    </xf>
    <xf numFmtId="164" fontId="5" fillId="38" borderId="24" xfId="0" applyFont="1" applyFill="1" applyBorder="1" applyAlignment="1" applyProtection="1">
      <alignment horizontal="center" vertical="center" wrapText="1"/>
      <protection hidden="1"/>
    </xf>
    <xf numFmtId="164" fontId="5" fillId="38" borderId="36" xfId="0" applyFont="1" applyFill="1" applyBorder="1" applyAlignment="1" applyProtection="1">
      <alignment horizontal="center" vertical="center" wrapText="1"/>
      <protection hidden="1"/>
    </xf>
    <xf numFmtId="164" fontId="147" fillId="39" borderId="0" xfId="0" applyFont="1" applyFill="1" applyAlignment="1" applyProtection="1">
      <alignment horizontal="center"/>
      <protection hidden="1"/>
    </xf>
    <xf numFmtId="164" fontId="150" fillId="39" borderId="0" xfId="0" applyFont="1" applyFill="1" applyAlignment="1" applyProtection="1">
      <alignment horizontal="left"/>
      <protection hidden="1"/>
    </xf>
    <xf numFmtId="164" fontId="7" fillId="0" borderId="345" xfId="0" applyFont="1" applyBorder="1" applyAlignment="1" applyProtection="1">
      <alignment horizontal="center" vertical="center" wrapText="1"/>
      <protection hidden="1"/>
    </xf>
    <xf numFmtId="164" fontId="4" fillId="0" borderId="329" xfId="0" applyFont="1" applyBorder="1" applyAlignment="1" applyProtection="1">
      <alignment horizontal="center" vertical="center" wrapText="1"/>
      <protection hidden="1"/>
    </xf>
    <xf numFmtId="164" fontId="4" fillId="0" borderId="68" xfId="0" applyFont="1" applyBorder="1" applyAlignment="1" applyProtection="1">
      <alignment vertical="center" wrapText="1"/>
      <protection hidden="1"/>
    </xf>
    <xf numFmtId="164" fontId="4" fillId="0" borderId="73" xfId="0" applyFont="1" applyBorder="1" applyAlignment="1" applyProtection="1">
      <alignment vertical="center" wrapText="1"/>
      <protection hidden="1"/>
    </xf>
    <xf numFmtId="164" fontId="4" fillId="0" borderId="329" xfId="0" applyFont="1" applyBorder="1" applyAlignment="1" applyProtection="1">
      <alignment vertical="center" wrapText="1"/>
      <protection hidden="1"/>
    </xf>
    <xf numFmtId="1" fontId="4" fillId="0" borderId="131" xfId="0" applyNumberFormat="1" applyFont="1" applyBorder="1" applyAlignment="1" applyProtection="1">
      <alignment horizontal="center" vertical="center" wrapText="1"/>
      <protection hidden="1"/>
    </xf>
    <xf numFmtId="1" fontId="4" fillId="0" borderId="52" xfId="0" applyNumberFormat="1" applyFont="1" applyBorder="1" applyAlignment="1" applyProtection="1">
      <alignment horizontal="center" vertical="center" wrapText="1"/>
      <protection hidden="1"/>
    </xf>
    <xf numFmtId="164" fontId="5" fillId="0" borderId="171" xfId="0" applyFont="1" applyBorder="1" applyAlignment="1" applyProtection="1">
      <alignment horizontal="center" vertical="center" wrapText="1"/>
      <protection hidden="1"/>
    </xf>
    <xf numFmtId="164" fontId="59" fillId="0" borderId="68" xfId="0" applyFont="1" applyBorder="1" applyAlignment="1" applyProtection="1">
      <alignment horizontal="center" vertical="center" wrapText="1"/>
      <protection hidden="1"/>
    </xf>
    <xf numFmtId="164" fontId="59" fillId="0" borderId="73" xfId="0" applyFont="1" applyBorder="1" applyAlignment="1" applyProtection="1">
      <alignment horizontal="center" vertical="center" wrapText="1"/>
      <protection hidden="1"/>
    </xf>
    <xf numFmtId="164" fontId="59" fillId="0" borderId="329" xfId="0" applyFont="1" applyBorder="1" applyAlignment="1" applyProtection="1">
      <alignment horizontal="center" vertical="center" wrapText="1"/>
      <protection hidden="1"/>
    </xf>
    <xf numFmtId="164" fontId="7" fillId="0" borderId="131" xfId="0" applyFont="1" applyBorder="1" applyAlignment="1" applyProtection="1">
      <alignment horizontal="center" vertical="center" wrapText="1"/>
      <protection hidden="1"/>
    </xf>
    <xf numFmtId="164" fontId="7" fillId="0" borderId="52" xfId="0" applyFont="1" applyBorder="1" applyAlignment="1" applyProtection="1">
      <alignment horizontal="center" vertical="center" wrapText="1"/>
      <protection hidden="1"/>
    </xf>
    <xf numFmtId="164" fontId="60" fillId="18" borderId="180" xfId="0" applyFont="1" applyFill="1" applyBorder="1" applyAlignment="1" applyProtection="1">
      <alignment horizontal="center" vertical="center"/>
      <protection hidden="1"/>
    </xf>
    <xf numFmtId="164" fontId="7" fillId="0" borderId="35" xfId="0" applyFont="1" applyBorder="1" applyAlignment="1" applyProtection="1">
      <alignment horizontal="center" vertical="center" wrapText="1"/>
      <protection hidden="1"/>
    </xf>
    <xf numFmtId="164" fontId="7" fillId="0" borderId="0" xfId="0" applyFont="1" applyAlignment="1" applyProtection="1">
      <alignment horizontal="center" vertical="center" wrapText="1"/>
      <protection hidden="1"/>
    </xf>
    <xf numFmtId="1" fontId="4" fillId="0" borderId="171" xfId="0" applyNumberFormat="1" applyFont="1" applyBorder="1" applyAlignment="1" applyProtection="1">
      <alignment horizontal="center" vertical="center" wrapText="1"/>
      <protection hidden="1"/>
    </xf>
    <xf numFmtId="164" fontId="4" fillId="23" borderId="120" xfId="0" applyFont="1" applyFill="1" applyBorder="1" applyAlignment="1" applyProtection="1">
      <alignment horizontal="center" vertical="center" wrapText="1"/>
      <protection hidden="1"/>
    </xf>
    <xf numFmtId="164" fontId="4" fillId="23" borderId="121" xfId="0" applyFont="1" applyFill="1" applyBorder="1" applyAlignment="1" applyProtection="1">
      <alignment horizontal="center" vertical="center" wrapText="1"/>
      <protection hidden="1"/>
    </xf>
    <xf numFmtId="164" fontId="4" fillId="23" borderId="315" xfId="0" applyFont="1" applyFill="1" applyBorder="1" applyAlignment="1" applyProtection="1">
      <alignment horizontal="center" vertical="center" wrapText="1"/>
      <protection hidden="1"/>
    </xf>
    <xf numFmtId="164" fontId="7" fillId="0" borderId="141" xfId="0" applyFont="1" applyBorder="1" applyAlignment="1" applyProtection="1">
      <alignment horizontal="center" vertical="center" wrapText="1"/>
      <protection hidden="1"/>
    </xf>
    <xf numFmtId="164" fontId="4" fillId="23" borderId="61" xfId="0" applyFont="1" applyFill="1" applyBorder="1" applyAlignment="1" applyProtection="1">
      <alignment horizontal="center" vertical="center" wrapText="1"/>
      <protection hidden="1"/>
    </xf>
    <xf numFmtId="164" fontId="4" fillId="23" borderId="151" xfId="0" applyFont="1" applyFill="1" applyBorder="1" applyAlignment="1" applyProtection="1">
      <alignment horizontal="center" vertical="center" wrapText="1"/>
      <protection hidden="1"/>
    </xf>
    <xf numFmtId="164" fontId="32" fillId="18" borderId="246" xfId="0" applyFont="1" applyFill="1" applyBorder="1" applyAlignment="1" applyProtection="1">
      <alignment horizontal="center" vertical="center"/>
      <protection hidden="1"/>
    </xf>
    <xf numFmtId="164" fontId="32" fillId="18" borderId="243" xfId="0" applyFont="1" applyFill="1" applyBorder="1" applyAlignment="1" applyProtection="1">
      <alignment horizontal="center" vertical="center"/>
      <protection hidden="1"/>
    </xf>
    <xf numFmtId="164" fontId="32" fillId="18" borderId="245" xfId="0" applyFont="1" applyFill="1" applyBorder="1" applyAlignment="1" applyProtection="1">
      <alignment horizontal="center" vertical="center"/>
      <protection hidden="1"/>
    </xf>
    <xf numFmtId="164" fontId="158" fillId="0" borderId="254" xfId="0" applyFont="1" applyBorder="1" applyAlignment="1">
      <alignment horizontal="center" vertical="center" wrapText="1"/>
    </xf>
    <xf numFmtId="164" fontId="158" fillId="0" borderId="201" xfId="0" applyFont="1" applyBorder="1" applyAlignment="1">
      <alignment horizontal="center" vertical="center" wrapText="1"/>
    </xf>
    <xf numFmtId="164" fontId="98" fillId="0" borderId="271" xfId="0" applyFont="1" applyBorder="1" applyAlignment="1">
      <alignment horizontal="center" vertical="center" wrapText="1"/>
    </xf>
    <xf numFmtId="164" fontId="139" fillId="0" borderId="257" xfId="0" applyFont="1" applyBorder="1" applyAlignment="1">
      <alignment horizontal="center" vertical="center" wrapText="1"/>
    </xf>
    <xf numFmtId="164" fontId="5" fillId="42" borderId="0" xfId="0" applyFont="1" applyFill="1" applyAlignment="1">
      <alignment horizontal="center" vertical="center" wrapText="1"/>
    </xf>
    <xf numFmtId="164" fontId="5" fillId="0" borderId="273" xfId="0" quotePrefix="1" applyFont="1" applyBorder="1" applyAlignment="1">
      <alignment horizontal="center" vertical="center" wrapText="1"/>
    </xf>
    <xf numFmtId="164" fontId="5" fillId="0" borderId="270" xfId="0" quotePrefix="1" applyFont="1" applyBorder="1" applyAlignment="1">
      <alignment horizontal="center" vertical="center" wrapText="1"/>
    </xf>
    <xf numFmtId="164" fontId="139" fillId="53" borderId="274" xfId="0" applyFont="1" applyFill="1" applyBorder="1" applyAlignment="1" applyProtection="1">
      <alignment horizontal="center" vertical="center"/>
      <protection hidden="1"/>
    </xf>
    <xf numFmtId="164" fontId="139" fillId="53" borderId="249" xfId="0" applyFont="1" applyFill="1" applyBorder="1" applyAlignment="1" applyProtection="1">
      <alignment horizontal="center" vertical="center"/>
      <protection hidden="1"/>
    </xf>
    <xf numFmtId="164" fontId="98" fillId="0" borderId="348" xfId="0" quotePrefix="1" applyFont="1" applyBorder="1" applyAlignment="1">
      <alignment horizontal="center" vertical="center" wrapText="1"/>
    </xf>
    <xf numFmtId="164" fontId="98" fillId="0" borderId="264" xfId="0" quotePrefix="1" applyFont="1" applyBorder="1" applyAlignment="1">
      <alignment horizontal="center" vertical="center" wrapText="1"/>
    </xf>
    <xf numFmtId="164" fontId="98" fillId="0" borderId="276" xfId="0" quotePrefix="1" applyFont="1" applyBorder="1" applyAlignment="1">
      <alignment horizontal="center" vertical="center" wrapText="1"/>
    </xf>
    <xf numFmtId="164" fontId="139" fillId="0" borderId="248" xfId="0" quotePrefix="1" applyFont="1" applyBorder="1" applyAlignment="1">
      <alignment horizontal="center" vertical="center" wrapText="1"/>
    </xf>
    <xf numFmtId="164" fontId="139" fillId="53" borderId="192" xfId="0" applyFont="1" applyFill="1" applyBorder="1" applyAlignment="1" applyProtection="1">
      <alignment horizontal="center" vertical="center"/>
      <protection hidden="1"/>
    </xf>
    <xf numFmtId="164" fontId="139" fillId="53" borderId="265" xfId="0" applyFont="1" applyFill="1" applyBorder="1" applyAlignment="1" applyProtection="1">
      <alignment horizontal="center" vertical="center"/>
      <protection hidden="1"/>
    </xf>
    <xf numFmtId="164" fontId="5" fillId="0" borderId="269" xfId="0" quotePrefix="1" applyFont="1" applyBorder="1" applyAlignment="1">
      <alignment horizontal="center" vertical="center" wrapText="1"/>
    </xf>
    <xf numFmtId="164" fontId="5" fillId="0" borderId="51" xfId="0" quotePrefix="1" applyFont="1" applyBorder="1" applyAlignment="1">
      <alignment horizontal="center" vertical="center" wrapText="1"/>
    </xf>
    <xf numFmtId="164" fontId="73" fillId="18" borderId="12" xfId="0" applyFont="1" applyFill="1" applyBorder="1" applyAlignment="1" applyProtection="1">
      <alignment horizontal="center" vertical="center"/>
      <protection hidden="1"/>
    </xf>
    <xf numFmtId="164" fontId="0" fillId="0" borderId="48" xfId="0" applyBorder="1"/>
    <xf numFmtId="164" fontId="4" fillId="0" borderId="0" xfId="0" applyFont="1" applyAlignment="1">
      <alignment horizontal="center" wrapText="1"/>
    </xf>
    <xf numFmtId="164" fontId="76" fillId="0" borderId="59" xfId="0" applyFont="1" applyBorder="1" applyAlignment="1" applyProtection="1">
      <alignment horizontal="center" vertical="center" wrapText="1"/>
      <protection hidden="1"/>
    </xf>
    <xf numFmtId="164" fontId="76" fillId="0" borderId="15" xfId="0" applyFont="1" applyBorder="1" applyAlignment="1" applyProtection="1">
      <alignment horizontal="center" vertical="center" wrapText="1"/>
      <protection hidden="1"/>
    </xf>
    <xf numFmtId="164" fontId="151" fillId="41" borderId="43" xfId="0" applyFont="1" applyFill="1" applyBorder="1" applyAlignment="1" applyProtection="1">
      <alignment horizontal="center" vertical="center" wrapText="1"/>
      <protection locked="0" hidden="1"/>
    </xf>
    <xf numFmtId="164" fontId="151" fillId="41" borderId="305" xfId="0" applyFont="1" applyFill="1" applyBorder="1" applyAlignment="1" applyProtection="1">
      <alignment horizontal="center" vertical="center" wrapText="1"/>
      <protection locked="0" hidden="1"/>
    </xf>
    <xf numFmtId="164" fontId="151" fillId="41" borderId="245" xfId="0" applyFont="1" applyFill="1" applyBorder="1" applyAlignment="1" applyProtection="1">
      <alignment horizontal="center" vertical="center" wrapText="1"/>
      <protection locked="0" hidden="1"/>
    </xf>
    <xf numFmtId="164" fontId="4" fillId="42" borderId="73" xfId="0" applyFont="1" applyFill="1" applyBorder="1" applyAlignment="1" applyProtection="1">
      <alignment horizontal="center" vertical="center" wrapText="1"/>
      <protection hidden="1"/>
    </xf>
    <xf numFmtId="164" fontId="4" fillId="42" borderId="15" xfId="0" applyFont="1" applyFill="1" applyBorder="1" applyAlignment="1" applyProtection="1">
      <alignment horizontal="center" vertical="center" wrapText="1"/>
      <protection hidden="1"/>
    </xf>
    <xf numFmtId="1" fontId="59" fillId="24" borderId="0" xfId="0" applyNumberFormat="1" applyFont="1" applyFill="1" applyAlignment="1" applyProtection="1">
      <alignment horizontal="center" vertical="center" wrapText="1"/>
      <protection hidden="1"/>
    </xf>
    <xf numFmtId="1" fontId="4" fillId="24" borderId="0" xfId="0" applyNumberFormat="1" applyFont="1" applyFill="1" applyAlignment="1" applyProtection="1">
      <alignment horizontal="center" vertical="center" wrapText="1"/>
      <protection hidden="1"/>
    </xf>
    <xf numFmtId="1" fontId="4" fillId="0" borderId="38" xfId="0" applyNumberFormat="1" applyFont="1" applyBorder="1" applyAlignment="1" applyProtection="1">
      <alignment horizontal="center" vertical="center" wrapText="1"/>
      <protection hidden="1"/>
    </xf>
    <xf numFmtId="1" fontId="4" fillId="0" borderId="57" xfId="0" applyNumberFormat="1" applyFont="1" applyBorder="1" applyAlignment="1" applyProtection="1">
      <alignment horizontal="center" vertical="center" wrapText="1"/>
      <protection hidden="1"/>
    </xf>
    <xf numFmtId="164" fontId="5" fillId="54" borderId="36" xfId="0" applyFont="1" applyFill="1" applyBorder="1" applyAlignment="1" applyProtection="1">
      <alignment horizontal="center" vertical="center" wrapText="1"/>
      <protection hidden="1"/>
    </xf>
    <xf numFmtId="164" fontId="5" fillId="54" borderId="32" xfId="0" applyFont="1" applyFill="1" applyBorder="1" applyAlignment="1" applyProtection="1">
      <alignment horizontal="center" vertical="center" wrapText="1"/>
      <protection hidden="1"/>
    </xf>
    <xf numFmtId="164" fontId="5" fillId="44" borderId="24" xfId="0" applyFont="1" applyFill="1" applyBorder="1" applyAlignment="1" applyProtection="1">
      <alignment horizontal="center" vertical="center" wrapText="1"/>
      <protection hidden="1"/>
    </xf>
    <xf numFmtId="164" fontId="5" fillId="44" borderId="26" xfId="0" applyFont="1" applyFill="1" applyBorder="1" applyAlignment="1" applyProtection="1">
      <alignment horizontal="center" vertical="center" wrapText="1"/>
      <protection hidden="1"/>
    </xf>
    <xf numFmtId="164" fontId="5" fillId="44" borderId="36" xfId="0" applyFont="1" applyFill="1" applyBorder="1" applyAlignment="1" applyProtection="1">
      <alignment horizontal="center" vertical="center" wrapText="1"/>
      <protection hidden="1"/>
    </xf>
    <xf numFmtId="164" fontId="5" fillId="44" borderId="32" xfId="0" applyFont="1" applyFill="1" applyBorder="1" applyAlignment="1" applyProtection="1">
      <alignment horizontal="center" vertical="center" wrapText="1"/>
      <protection hidden="1"/>
    </xf>
    <xf numFmtId="164" fontId="4" fillId="0" borderId="82" xfId="0" applyFont="1" applyBorder="1" applyAlignment="1" applyProtection="1">
      <alignment horizontal="center" vertical="center" wrapText="1"/>
      <protection hidden="1"/>
    </xf>
    <xf numFmtId="1" fontId="5" fillId="54" borderId="184" xfId="0" applyNumberFormat="1" applyFont="1" applyFill="1" applyBorder="1" applyAlignment="1" applyProtection="1">
      <alignment horizontal="center" vertical="center" wrapText="1"/>
      <protection hidden="1"/>
    </xf>
    <xf numFmtId="1" fontId="5" fillId="54" borderId="344" xfId="0" applyNumberFormat="1" applyFont="1" applyFill="1" applyBorder="1" applyAlignment="1" applyProtection="1">
      <alignment horizontal="center" vertical="center" wrapText="1"/>
      <protection hidden="1"/>
    </xf>
    <xf numFmtId="1" fontId="159" fillId="44" borderId="341" xfId="0" applyNumberFormat="1" applyFont="1" applyFill="1" applyBorder="1" applyAlignment="1" applyProtection="1">
      <alignment horizontal="center" vertical="center" wrapText="1"/>
      <protection hidden="1"/>
    </xf>
    <xf numFmtId="1" fontId="159" fillId="44" borderId="342" xfId="0" applyNumberFormat="1" applyFont="1" applyFill="1" applyBorder="1" applyAlignment="1" applyProtection="1">
      <alignment horizontal="center" vertical="center" wrapText="1"/>
      <protection hidden="1"/>
    </xf>
    <xf numFmtId="1" fontId="159" fillId="44" borderId="17" xfId="0" applyNumberFormat="1" applyFont="1" applyFill="1" applyBorder="1" applyAlignment="1" applyProtection="1">
      <alignment horizontal="center" vertical="center" wrapText="1"/>
      <protection hidden="1"/>
    </xf>
    <xf numFmtId="1" fontId="159" fillId="44" borderId="52" xfId="0" applyNumberFormat="1" applyFont="1" applyFill="1" applyBorder="1" applyAlignment="1" applyProtection="1">
      <alignment horizontal="center" vertical="center" wrapText="1"/>
      <protection hidden="1"/>
    </xf>
    <xf numFmtId="1" fontId="159" fillId="44" borderId="211" xfId="0" applyNumberFormat="1" applyFont="1" applyFill="1" applyBorder="1" applyAlignment="1" applyProtection="1">
      <alignment horizontal="center" vertical="center" wrapText="1"/>
      <protection hidden="1"/>
    </xf>
    <xf numFmtId="1" fontId="159" fillId="44" borderId="343" xfId="0" applyNumberFormat="1" applyFont="1" applyFill="1" applyBorder="1" applyAlignment="1" applyProtection="1">
      <alignment horizontal="center" vertical="center" wrapText="1"/>
      <protection hidden="1"/>
    </xf>
    <xf numFmtId="164" fontId="5" fillId="24" borderId="0" xfId="0" applyFont="1" applyFill="1" applyAlignment="1" applyProtection="1">
      <alignment horizontal="center" vertical="center" wrapText="1"/>
      <protection hidden="1"/>
    </xf>
    <xf numFmtId="164" fontId="4" fillId="0" borderId="43" xfId="0" applyFont="1" applyBorder="1" applyAlignment="1" applyProtection="1">
      <alignment horizontal="center" vertical="center" wrapText="1"/>
      <protection hidden="1"/>
    </xf>
    <xf numFmtId="164" fontId="4" fillId="0" borderId="42" xfId="0" applyFont="1" applyBorder="1" applyAlignment="1" applyProtection="1">
      <alignment horizontal="center" vertical="center" wrapText="1"/>
      <protection hidden="1"/>
    </xf>
    <xf numFmtId="164" fontId="5" fillId="24" borderId="56" xfId="0" applyFont="1" applyFill="1" applyBorder="1" applyAlignment="1" applyProtection="1">
      <alignment horizontal="center" wrapText="1"/>
      <protection hidden="1"/>
    </xf>
    <xf numFmtId="164" fontId="5" fillId="24" borderId="38" xfId="0" applyFont="1" applyFill="1" applyBorder="1" applyAlignment="1" applyProtection="1">
      <alignment horizontal="center" wrapText="1"/>
      <protection hidden="1"/>
    </xf>
    <xf numFmtId="164" fontId="4" fillId="0" borderId="54" xfId="0" applyFont="1" applyBorder="1" applyAlignment="1" applyProtection="1">
      <alignment horizontal="center"/>
      <protection hidden="1"/>
    </xf>
    <xf numFmtId="164" fontId="4" fillId="0" borderId="36" xfId="0" applyFont="1" applyBorder="1" applyAlignment="1" applyProtection="1">
      <alignment horizontal="right" vertical="center" wrapText="1"/>
      <protection locked="0"/>
    </xf>
    <xf numFmtId="164" fontId="4" fillId="0" borderId="21" xfId="0" applyFont="1" applyBorder="1" applyAlignment="1" applyProtection="1">
      <alignment horizontal="right" vertical="center" wrapText="1"/>
      <protection locked="0"/>
    </xf>
    <xf numFmtId="164" fontId="4" fillId="37" borderId="94" xfId="0" applyFont="1" applyFill="1" applyBorder="1" applyAlignment="1" applyProtection="1">
      <alignment horizontal="center" wrapText="1"/>
      <protection hidden="1"/>
    </xf>
    <xf numFmtId="164" fontId="0" fillId="0" borderId="93" xfId="0" applyBorder="1" applyAlignment="1">
      <alignment horizontal="center"/>
    </xf>
    <xf numFmtId="164" fontId="4" fillId="0" borderId="80" xfId="0" applyFont="1" applyBorder="1" applyAlignment="1" applyProtection="1">
      <alignment horizontal="left" vertical="center" wrapText="1"/>
      <protection hidden="1"/>
    </xf>
    <xf numFmtId="164" fontId="4" fillId="0" borderId="91" xfId="0" applyFont="1" applyBorder="1" applyAlignment="1" applyProtection="1">
      <alignment horizontal="left" vertical="center" wrapText="1"/>
      <protection hidden="1"/>
    </xf>
    <xf numFmtId="164" fontId="5" fillId="40" borderId="26" xfId="0" applyFont="1" applyFill="1" applyBorder="1" applyAlignment="1">
      <alignment horizontal="left"/>
    </xf>
    <xf numFmtId="164" fontId="151" fillId="24" borderId="0" xfId="0" applyFont="1" applyFill="1" applyAlignment="1" applyProtection="1">
      <alignment horizontal="center" wrapText="1"/>
      <protection hidden="1"/>
    </xf>
    <xf numFmtId="164" fontId="151" fillId="24" borderId="21" xfId="0" applyFont="1" applyFill="1" applyBorder="1" applyAlignment="1" applyProtection="1">
      <alignment horizontal="center" wrapText="1"/>
      <protection hidden="1"/>
    </xf>
    <xf numFmtId="164" fontId="133" fillId="0" borderId="325" xfId="0" applyFont="1" applyBorder="1" applyAlignment="1" applyProtection="1">
      <alignment horizontal="center" wrapText="1"/>
      <protection hidden="1"/>
    </xf>
    <xf numFmtId="164" fontId="0" fillId="0" borderId="305" xfId="0" applyBorder="1" applyAlignment="1">
      <alignment horizontal="center" wrapText="1"/>
    </xf>
    <xf numFmtId="164" fontId="0" fillId="0" borderId="245" xfId="0" applyBorder="1" applyAlignment="1">
      <alignment horizontal="center" wrapText="1"/>
    </xf>
    <xf numFmtId="164" fontId="146" fillId="0" borderId="26" xfId="0" applyFont="1" applyBorder="1" applyAlignment="1" applyProtection="1">
      <alignment horizontal="center" textRotation="90"/>
      <protection hidden="1"/>
    </xf>
    <xf numFmtId="49" fontId="7" fillId="19" borderId="106" xfId="0" applyNumberFormat="1" applyFont="1" applyFill="1" applyBorder="1" applyAlignment="1">
      <alignment horizontal="right"/>
    </xf>
    <xf numFmtId="164" fontId="0" fillId="0" borderId="62" xfId="0" applyBorder="1" applyAlignment="1">
      <alignment horizontal="right"/>
    </xf>
    <xf numFmtId="164" fontId="32" fillId="18" borderId="43" xfId="0" applyFont="1" applyFill="1" applyBorder="1" applyAlignment="1" applyProtection="1">
      <alignment horizontal="left" vertical="center"/>
      <protection locked="0"/>
    </xf>
    <xf numFmtId="164" fontId="0" fillId="0" borderId="245" xfId="0" applyBorder="1"/>
    <xf numFmtId="164" fontId="4" fillId="19" borderId="124" xfId="0" applyFont="1" applyFill="1" applyBorder="1" applyAlignment="1" applyProtection="1">
      <alignment horizontal="center" vertical="center"/>
      <protection hidden="1"/>
    </xf>
    <xf numFmtId="164" fontId="4" fillId="0" borderId="14" xfId="0" applyFont="1" applyBorder="1"/>
    <xf numFmtId="164" fontId="4" fillId="0" borderId="172" xfId="0" applyFont="1" applyBorder="1"/>
    <xf numFmtId="164" fontId="5" fillId="53" borderId="173" xfId="0" applyFont="1" applyFill="1" applyBorder="1" applyAlignment="1">
      <alignment horizontal="center" vertical="center"/>
    </xf>
    <xf numFmtId="164" fontId="5" fillId="53" borderId="174" xfId="0" applyFont="1" applyFill="1" applyBorder="1" applyAlignment="1">
      <alignment horizontal="center" vertical="center"/>
    </xf>
    <xf numFmtId="164" fontId="10" fillId="18" borderId="12" xfId="0" applyFont="1" applyFill="1" applyBorder="1" applyAlignment="1" applyProtection="1">
      <alignment horizontal="center" vertical="center" wrapText="1"/>
      <protection hidden="1"/>
    </xf>
    <xf numFmtId="164" fontId="10" fillId="18" borderId="243" xfId="0" applyFont="1" applyFill="1" applyBorder="1" applyAlignment="1" applyProtection="1">
      <alignment horizontal="center" vertical="center" wrapText="1"/>
      <protection hidden="1"/>
    </xf>
    <xf numFmtId="164" fontId="10" fillId="18" borderId="48" xfId="0" applyFont="1" applyFill="1" applyBorder="1" applyAlignment="1" applyProtection="1">
      <alignment horizontal="center" vertical="center" wrapText="1"/>
      <protection hidden="1"/>
    </xf>
    <xf numFmtId="164" fontId="32" fillId="0" borderId="246" xfId="0" applyFont="1" applyBorder="1" applyAlignment="1" applyProtection="1">
      <alignment horizontal="left" vertical="center"/>
      <protection hidden="1"/>
    </xf>
    <xf numFmtId="164" fontId="32" fillId="0" borderId="263" xfId="0" applyFont="1" applyBorder="1" applyAlignment="1" applyProtection="1">
      <alignment horizontal="left" vertical="center"/>
      <protection hidden="1"/>
    </xf>
    <xf numFmtId="15" fontId="10" fillId="53" borderId="175" xfId="0" applyNumberFormat="1" applyFont="1" applyFill="1" applyBorder="1" applyAlignment="1" applyProtection="1">
      <alignment horizontal="center" vertical="center" wrapText="1"/>
      <protection hidden="1"/>
    </xf>
    <xf numFmtId="15" fontId="10" fillId="53" borderId="176" xfId="0" applyNumberFormat="1" applyFont="1" applyFill="1" applyBorder="1" applyAlignment="1" applyProtection="1">
      <alignment horizontal="center" vertical="center" wrapText="1"/>
      <protection hidden="1"/>
    </xf>
    <xf numFmtId="15" fontId="145" fillId="53" borderId="326" xfId="0" applyNumberFormat="1" applyFont="1" applyFill="1" applyBorder="1" applyAlignment="1" applyProtection="1">
      <alignment horizontal="center" vertical="center"/>
      <protection hidden="1"/>
    </xf>
    <xf numFmtId="15" fontId="145" fillId="53" borderId="201" xfId="0" applyNumberFormat="1" applyFont="1" applyFill="1" applyBorder="1" applyAlignment="1" applyProtection="1">
      <alignment horizontal="center" vertical="center"/>
      <protection hidden="1"/>
    </xf>
    <xf numFmtId="15" fontId="145" fillId="53" borderId="347" xfId="0" applyNumberFormat="1" applyFont="1" applyFill="1" applyBorder="1" applyAlignment="1" applyProtection="1">
      <alignment horizontal="center" vertical="center"/>
      <protection hidden="1"/>
    </xf>
    <xf numFmtId="164" fontId="22" fillId="17" borderId="82" xfId="0" applyFont="1" applyFill="1" applyBorder="1" applyAlignment="1" applyProtection="1">
      <alignment horizontal="center" vertical="center"/>
      <protection hidden="1"/>
    </xf>
    <xf numFmtId="164" fontId="22" fillId="17" borderId="93" xfId="0" applyFont="1" applyFill="1" applyBorder="1" applyAlignment="1" applyProtection="1">
      <alignment horizontal="center" vertical="center"/>
      <protection hidden="1"/>
    </xf>
    <xf numFmtId="164" fontId="4" fillId="17" borderId="73" xfId="0" applyFont="1" applyFill="1" applyBorder="1" applyAlignment="1" applyProtection="1">
      <alignment horizontal="center" vertical="center" wrapText="1"/>
      <protection hidden="1"/>
    </xf>
    <xf numFmtId="164" fontId="4" fillId="17" borderId="15" xfId="0" applyFont="1" applyFill="1" applyBorder="1" applyAlignment="1" applyProtection="1">
      <alignment horizontal="center" vertical="center" wrapText="1"/>
      <protection hidden="1"/>
    </xf>
    <xf numFmtId="164" fontId="28" fillId="17" borderId="73" xfId="0" applyFont="1" applyFill="1" applyBorder="1" applyAlignment="1" applyProtection="1">
      <alignment horizontal="center" vertical="center" wrapText="1"/>
      <protection hidden="1"/>
    </xf>
    <xf numFmtId="164" fontId="28" fillId="17" borderId="15" xfId="0" applyFont="1" applyFill="1" applyBorder="1" applyAlignment="1" applyProtection="1">
      <alignment horizontal="center" vertical="center" wrapText="1"/>
      <protection hidden="1"/>
    </xf>
    <xf numFmtId="164" fontId="140" fillId="53" borderId="325" xfId="0" applyFont="1" applyFill="1" applyBorder="1" applyAlignment="1" applyProtection="1">
      <alignment horizontal="center" vertical="center"/>
      <protection hidden="1"/>
    </xf>
    <xf numFmtId="164" fontId="140" fillId="53" borderId="305" xfId="0" applyFont="1" applyFill="1" applyBorder="1" applyAlignment="1" applyProtection="1">
      <alignment horizontal="center" vertical="center"/>
      <protection hidden="1"/>
    </xf>
    <xf numFmtId="164" fontId="140" fillId="53" borderId="245" xfId="0" applyFont="1" applyFill="1" applyBorder="1" applyAlignment="1" applyProtection="1">
      <alignment horizontal="center" vertical="center"/>
      <protection hidden="1"/>
    </xf>
    <xf numFmtId="164" fontId="5" fillId="24" borderId="0" xfId="0" applyFont="1" applyFill="1" applyAlignment="1">
      <alignment horizontal="left"/>
    </xf>
    <xf numFmtId="164" fontId="5" fillId="24" borderId="24" xfId="0" applyFont="1" applyFill="1" applyBorder="1" applyAlignment="1" applyProtection="1">
      <alignment horizontal="left"/>
      <protection hidden="1"/>
    </xf>
    <xf numFmtId="164" fontId="5" fillId="24" borderId="0" xfId="0" applyFont="1" applyFill="1" applyAlignment="1" applyProtection="1">
      <alignment horizontal="left"/>
      <protection hidden="1"/>
    </xf>
    <xf numFmtId="164" fontId="5" fillId="27" borderId="24" xfId="0" applyFont="1" applyFill="1" applyBorder="1" applyAlignment="1" applyProtection="1">
      <alignment horizontal="left"/>
      <protection hidden="1"/>
    </xf>
    <xf numFmtId="164" fontId="5" fillId="27" borderId="0" xfId="0" applyFont="1" applyFill="1" applyAlignment="1" applyProtection="1">
      <alignment horizontal="left"/>
      <protection hidden="1"/>
    </xf>
    <xf numFmtId="164" fontId="4" fillId="0" borderId="25" xfId="0" applyFont="1" applyBorder="1" applyAlignment="1">
      <alignment horizontal="center" wrapText="1"/>
    </xf>
    <xf numFmtId="164" fontId="4" fillId="0" borderId="26" xfId="0" applyFont="1" applyBorder="1" applyAlignment="1">
      <alignment horizontal="center" wrapText="1"/>
    </xf>
    <xf numFmtId="164" fontId="4" fillId="22" borderId="59" xfId="0" applyFont="1" applyFill="1" applyBorder="1" applyAlignment="1" applyProtection="1">
      <alignment horizontal="center" wrapText="1"/>
      <protection hidden="1"/>
    </xf>
    <xf numFmtId="164" fontId="4" fillId="22" borderId="15" xfId="0" applyFont="1" applyFill="1" applyBorder="1" applyAlignment="1" applyProtection="1">
      <alignment horizontal="center" wrapText="1"/>
      <protection hidden="1"/>
    </xf>
    <xf numFmtId="164" fontId="4" fillId="0" borderId="17" xfId="0" applyFont="1" applyBorder="1" applyAlignment="1">
      <alignment horizontal="center" wrapText="1"/>
    </xf>
    <xf numFmtId="164" fontId="4" fillId="24" borderId="34" xfId="0" applyFont="1" applyFill="1" applyBorder="1" applyAlignment="1" applyProtection="1">
      <alignment horizontal="center"/>
      <protection locked="0"/>
    </xf>
    <xf numFmtId="164" fontId="4" fillId="24" borderId="35" xfId="0" applyFont="1" applyFill="1" applyBorder="1" applyAlignment="1" applyProtection="1">
      <alignment horizontal="center"/>
      <protection locked="0"/>
    </xf>
    <xf numFmtId="164" fontId="4" fillId="0" borderId="22" xfId="0" applyFont="1" applyBorder="1" applyAlignment="1">
      <alignment horizontal="center" wrapText="1"/>
    </xf>
    <xf numFmtId="164" fontId="4" fillId="0" borderId="131" xfId="0" applyFont="1" applyBorder="1" applyAlignment="1">
      <alignment horizontal="center" wrapText="1"/>
    </xf>
    <xf numFmtId="164" fontId="4" fillId="0" borderId="23" xfId="0" applyFont="1" applyBorder="1" applyAlignment="1">
      <alignment horizontal="center" wrapText="1"/>
    </xf>
    <xf numFmtId="164" fontId="4" fillId="0" borderId="55" xfId="0" applyFont="1" applyBorder="1" applyAlignment="1">
      <alignment horizontal="center" wrapText="1"/>
    </xf>
    <xf numFmtId="164" fontId="5" fillId="37" borderId="18" xfId="0" applyFont="1" applyFill="1" applyBorder="1" applyAlignment="1" applyProtection="1">
      <alignment horizontal="center" vertical="center" wrapText="1"/>
      <protection hidden="1"/>
    </xf>
    <xf numFmtId="164" fontId="5" fillId="37" borderId="53" xfId="0" applyFont="1" applyFill="1" applyBorder="1" applyAlignment="1" applyProtection="1">
      <alignment horizontal="center" vertical="center" wrapText="1"/>
      <protection hidden="1"/>
    </xf>
    <xf numFmtId="164" fontId="5" fillId="37" borderId="23" xfId="0" applyFont="1" applyFill="1" applyBorder="1" applyAlignment="1" applyProtection="1">
      <alignment horizontal="center" vertical="center" wrapText="1"/>
      <protection hidden="1"/>
    </xf>
    <xf numFmtId="164" fontId="5" fillId="37" borderId="55" xfId="0" applyFont="1" applyFill="1" applyBorder="1" applyAlignment="1" applyProtection="1">
      <alignment horizontal="center" vertical="center" wrapText="1"/>
      <protection hidden="1"/>
    </xf>
    <xf numFmtId="164" fontId="133" fillId="0" borderId="0" xfId="0" applyFont="1" applyAlignment="1" applyProtection="1">
      <alignment horizontal="center" wrapText="1"/>
      <protection locked="0" hidden="1"/>
    </xf>
    <xf numFmtId="164" fontId="4" fillId="32" borderId="80" xfId="0" applyFont="1" applyFill="1" applyBorder="1" applyAlignment="1">
      <alignment horizontal="center" wrapText="1"/>
    </xf>
    <xf numFmtId="164" fontId="4" fillId="32" borderId="91" xfId="0" applyFont="1" applyFill="1" applyBorder="1" applyAlignment="1">
      <alignment horizontal="center" wrapText="1"/>
    </xf>
    <xf numFmtId="164" fontId="4" fillId="32" borderId="90" xfId="0" applyFont="1" applyFill="1" applyBorder="1" applyAlignment="1">
      <alignment horizontal="center" wrapText="1"/>
    </xf>
    <xf numFmtId="164" fontId="5" fillId="0" borderId="80" xfId="0" applyFont="1" applyBorder="1" applyAlignment="1">
      <alignment horizontal="center" wrapText="1"/>
    </xf>
    <xf numFmtId="164" fontId="5" fillId="0" borderId="91" xfId="0" applyFont="1" applyBorder="1" applyAlignment="1">
      <alignment horizontal="center" wrapText="1"/>
    </xf>
    <xf numFmtId="164" fontId="5" fillId="0" borderId="90" xfId="0" applyFont="1" applyBorder="1" applyAlignment="1">
      <alignment horizontal="center" wrapText="1"/>
    </xf>
    <xf numFmtId="164" fontId="4" fillId="37" borderId="59" xfId="0" applyFont="1" applyFill="1" applyBorder="1" applyAlignment="1" applyProtection="1">
      <alignment horizontal="center" wrapText="1"/>
      <protection hidden="1"/>
    </xf>
    <xf numFmtId="164" fontId="4" fillId="37" borderId="15" xfId="0" applyFont="1" applyFill="1" applyBorder="1" applyAlignment="1" applyProtection="1">
      <alignment horizontal="center" wrapText="1"/>
      <protection hidden="1"/>
    </xf>
    <xf numFmtId="164" fontId="4" fillId="0" borderId="0" xfId="0" applyFont="1" applyAlignment="1" applyProtection="1">
      <alignment horizontal="center" wrapText="1"/>
      <protection hidden="1"/>
    </xf>
    <xf numFmtId="164" fontId="139" fillId="0" borderId="192" xfId="0" applyFont="1" applyBorder="1" applyAlignment="1" applyProtection="1">
      <alignment horizontal="right" vertical="center"/>
      <protection hidden="1"/>
    </xf>
    <xf numFmtId="164" fontId="139" fillId="0" borderId="265" xfId="0" applyFont="1" applyBorder="1" applyAlignment="1" applyProtection="1">
      <alignment horizontal="right" vertical="center"/>
      <protection hidden="1"/>
    </xf>
    <xf numFmtId="164" fontId="32" fillId="19" borderId="43" xfId="0" applyFont="1" applyFill="1" applyBorder="1" applyAlignment="1" applyProtection="1">
      <alignment horizontal="right" vertical="center"/>
      <protection hidden="1"/>
    </xf>
    <xf numFmtId="164" fontId="0" fillId="0" borderId="33" xfId="0" applyBorder="1"/>
    <xf numFmtId="164" fontId="89" fillId="0" borderId="124" xfId="0" applyFont="1" applyBorder="1" applyAlignment="1" applyProtection="1">
      <alignment horizontal="right"/>
      <protection hidden="1"/>
    </xf>
    <xf numFmtId="164" fontId="0" fillId="0" borderId="14" xfId="0" applyBorder="1"/>
    <xf numFmtId="164" fontId="0" fillId="0" borderId="92" xfId="0" applyBorder="1"/>
    <xf numFmtId="164" fontId="5" fillId="0" borderId="250" xfId="0" quotePrefix="1" applyFont="1" applyBorder="1" applyAlignment="1">
      <alignment horizontal="center" vertical="center" wrapText="1"/>
    </xf>
    <xf numFmtId="164" fontId="5" fillId="0" borderId="243" xfId="0" quotePrefix="1" applyFont="1" applyBorder="1" applyAlignment="1">
      <alignment horizontal="center" vertical="center" wrapText="1"/>
    </xf>
    <xf numFmtId="164" fontId="16" fillId="0" borderId="36" xfId="0" applyFont="1" applyBorder="1" applyAlignment="1" applyProtection="1">
      <alignment horizontal="left"/>
      <protection hidden="1"/>
    </xf>
    <xf numFmtId="164" fontId="16" fillId="0" borderId="21" xfId="0" applyFont="1" applyBorder="1" applyAlignment="1" applyProtection="1">
      <alignment horizontal="left"/>
      <protection hidden="1"/>
    </xf>
    <xf numFmtId="164" fontId="127" fillId="0" borderId="35" xfId="0" applyFont="1" applyBorder="1" applyAlignment="1" applyProtection="1">
      <alignment horizontal="left"/>
      <protection hidden="1"/>
    </xf>
    <xf numFmtId="164" fontId="127" fillId="0" borderId="131" xfId="0" applyFont="1" applyBorder="1" applyAlignment="1" applyProtection="1">
      <alignment horizontal="left"/>
      <protection hidden="1"/>
    </xf>
    <xf numFmtId="164" fontId="13" fillId="53" borderId="50" xfId="0" applyFont="1" applyFill="1" applyBorder="1" applyAlignment="1" applyProtection="1">
      <alignment horizontal="right" vertical="center"/>
      <protection hidden="1"/>
    </xf>
    <xf numFmtId="164" fontId="0" fillId="53" borderId="13" xfId="0" applyFill="1" applyBorder="1"/>
    <xf numFmtId="164" fontId="0" fillId="53" borderId="62" xfId="0" applyFill="1" applyBorder="1"/>
    <xf numFmtId="164" fontId="68" fillId="0" borderId="35" xfId="0" applyFont="1" applyBorder="1" applyAlignment="1" applyProtection="1">
      <alignment horizontal="center"/>
      <protection hidden="1"/>
    </xf>
    <xf numFmtId="164" fontId="98" fillId="0" borderId="279" xfId="0" quotePrefix="1" applyFont="1" applyBorder="1" applyAlignment="1">
      <alignment horizontal="center" vertical="center" wrapText="1"/>
    </xf>
    <xf numFmtId="164" fontId="139" fillId="53" borderId="280" xfId="0" applyFont="1" applyFill="1" applyBorder="1" applyAlignment="1" applyProtection="1">
      <alignment horizontal="center" vertical="center"/>
      <protection hidden="1"/>
    </xf>
    <xf numFmtId="164" fontId="98" fillId="0" borderId="182" xfId="0" applyFont="1" applyBorder="1" applyAlignment="1">
      <alignment horizontal="center" vertical="center" wrapText="1"/>
    </xf>
    <xf numFmtId="164" fontId="98" fillId="0" borderId="198" xfId="0" applyFont="1" applyBorder="1" applyAlignment="1">
      <alignment horizontal="center" vertical="center" wrapText="1"/>
    </xf>
    <xf numFmtId="164" fontId="98" fillId="0" borderId="268" xfId="0" applyFont="1" applyBorder="1" applyAlignment="1">
      <alignment horizontal="center" vertical="center" wrapText="1"/>
    </xf>
    <xf numFmtId="164" fontId="151" fillId="0" borderId="11" xfId="0" applyFont="1" applyBorder="1" applyAlignment="1" applyProtection="1">
      <alignment horizontal="left" indent="1"/>
      <protection locked="0"/>
    </xf>
    <xf numFmtId="164" fontId="151" fillId="0" borderId="14" xfId="0" applyFont="1" applyBorder="1" applyAlignment="1" applyProtection="1">
      <alignment horizontal="left" indent="1"/>
      <protection locked="0"/>
    </xf>
    <xf numFmtId="164" fontId="151" fillId="0" borderId="92" xfId="0" applyFont="1" applyBorder="1" applyAlignment="1" applyProtection="1">
      <alignment horizontal="left" indent="1"/>
      <protection locked="0"/>
    </xf>
    <xf numFmtId="164" fontId="68" fillId="0" borderId="25" xfId="0" applyFont="1" applyBorder="1" applyAlignment="1" applyProtection="1">
      <alignment horizontal="center"/>
      <protection hidden="1"/>
    </xf>
    <xf numFmtId="164" fontId="21" fillId="19" borderId="106" xfId="0" applyFont="1" applyFill="1" applyBorder="1" applyAlignment="1" applyProtection="1">
      <alignment horizontal="left" vertical="center"/>
      <protection hidden="1"/>
    </xf>
    <xf numFmtId="164" fontId="0" fillId="0" borderId="13" xfId="0" applyBorder="1"/>
    <xf numFmtId="164" fontId="0" fillId="0" borderId="62" xfId="0" applyBorder="1"/>
    <xf numFmtId="164" fontId="13" fillId="0" borderId="12" xfId="0" applyFont="1" applyBorder="1" applyAlignment="1" applyProtection="1">
      <alignment horizontal="center" vertical="center"/>
      <protection hidden="1"/>
    </xf>
    <xf numFmtId="164" fontId="5" fillId="0" borderId="275" xfId="0" quotePrefix="1" applyFont="1" applyBorder="1" applyAlignment="1">
      <alignment horizontal="center" vertical="center" wrapText="1"/>
    </xf>
    <xf numFmtId="164" fontId="5" fillId="0" borderId="252" xfId="0" quotePrefix="1" applyFont="1" applyBorder="1" applyAlignment="1">
      <alignment horizontal="center" vertical="center" wrapText="1"/>
    </xf>
    <xf numFmtId="164" fontId="5" fillId="0" borderId="186" xfId="0" applyFont="1" applyBorder="1" applyAlignment="1" applyProtection="1">
      <alignment horizontal="right" vertical="center"/>
      <protection hidden="1"/>
    </xf>
    <xf numFmtId="164" fontId="5" fillId="0" borderId="266" xfId="0" applyFont="1" applyBorder="1" applyAlignment="1" applyProtection="1">
      <alignment horizontal="right" vertical="center"/>
      <protection hidden="1"/>
    </xf>
    <xf numFmtId="164" fontId="4" fillId="0" borderId="151" xfId="0" applyFont="1" applyBorder="1" applyAlignment="1" applyProtection="1">
      <alignment horizontal="center" vertical="center" wrapText="1"/>
      <protection hidden="1"/>
    </xf>
    <xf numFmtId="164" fontId="5" fillId="38" borderId="0" xfId="0" applyFont="1" applyFill="1" applyAlignment="1" applyProtection="1">
      <alignment horizontal="center" vertical="center" wrapText="1"/>
      <protection hidden="1"/>
    </xf>
    <xf numFmtId="164" fontId="5" fillId="38" borderId="21" xfId="0" applyFont="1" applyFill="1" applyBorder="1" applyAlignment="1" applyProtection="1">
      <alignment horizontal="center" vertical="center" wrapText="1"/>
      <protection hidden="1"/>
    </xf>
    <xf numFmtId="164" fontId="5" fillId="54" borderId="186" xfId="0" applyFont="1" applyFill="1" applyBorder="1" applyAlignment="1" applyProtection="1">
      <alignment horizontal="left" vertical="center" wrapText="1" indent="1"/>
      <protection hidden="1"/>
    </xf>
    <xf numFmtId="164" fontId="5" fillId="54" borderId="192" xfId="0" applyFont="1" applyFill="1" applyBorder="1" applyAlignment="1" applyProtection="1">
      <alignment horizontal="left" vertical="center" wrapText="1" indent="1"/>
      <protection hidden="1"/>
    </xf>
    <xf numFmtId="164" fontId="5" fillId="44" borderId="186" xfId="0" applyFont="1" applyFill="1" applyBorder="1" applyAlignment="1" applyProtection="1">
      <alignment horizontal="left" vertical="center" wrapText="1" indent="1"/>
      <protection hidden="1"/>
    </xf>
    <xf numFmtId="164" fontId="5" fillId="44" borderId="191" xfId="0" applyFont="1" applyFill="1" applyBorder="1" applyAlignment="1" applyProtection="1">
      <alignment horizontal="left" vertical="center" wrapText="1" indent="1"/>
      <protection hidden="1"/>
    </xf>
    <xf numFmtId="164" fontId="5" fillId="44" borderId="192" xfId="0" applyFont="1" applyFill="1" applyBorder="1" applyAlignment="1" applyProtection="1">
      <alignment horizontal="left" vertical="center" wrapText="1" indent="1"/>
      <protection hidden="1"/>
    </xf>
    <xf numFmtId="164" fontId="4" fillId="44" borderId="38" xfId="0" applyFont="1" applyFill="1" applyBorder="1" applyAlignment="1" applyProtection="1">
      <alignment horizontal="center" vertical="center" wrapText="1"/>
      <protection hidden="1"/>
    </xf>
    <xf numFmtId="164" fontId="4" fillId="44" borderId="57" xfId="0" applyFont="1" applyFill="1" applyBorder="1" applyAlignment="1" applyProtection="1">
      <alignment horizontal="center" vertical="center" wrapText="1"/>
      <protection hidden="1"/>
    </xf>
    <xf numFmtId="164" fontId="0" fillId="0" borderId="42" xfId="0" applyBorder="1"/>
    <xf numFmtId="164" fontId="33" fillId="17" borderId="300" xfId="0" applyFont="1" applyFill="1" applyBorder="1" applyAlignment="1" applyProtection="1">
      <alignment horizontal="center" vertical="center" wrapText="1" shrinkToFit="1"/>
      <protection hidden="1"/>
    </xf>
    <xf numFmtId="164" fontId="33" fillId="17" borderId="15" xfId="0" applyFont="1" applyFill="1" applyBorder="1" applyAlignment="1" applyProtection="1">
      <alignment horizontal="center" vertical="center" wrapText="1" shrinkToFit="1"/>
      <protection hidden="1"/>
    </xf>
    <xf numFmtId="164" fontId="22" fillId="17" borderId="300" xfId="0" applyFont="1" applyFill="1" applyBorder="1" applyAlignment="1" applyProtection="1">
      <alignment horizontal="center" vertical="center" wrapText="1"/>
      <protection hidden="1"/>
    </xf>
    <xf numFmtId="164" fontId="22" fillId="17" borderId="15" xfId="0" applyFont="1" applyFill="1" applyBorder="1" applyAlignment="1" applyProtection="1">
      <alignment horizontal="center" vertical="center" wrapText="1"/>
      <protection hidden="1"/>
    </xf>
    <xf numFmtId="2" fontId="5" fillId="18" borderId="199" xfId="0" applyNumberFormat="1" applyFont="1" applyFill="1" applyBorder="1" applyAlignment="1" applyProtection="1">
      <alignment horizontal="center" vertical="center" wrapText="1"/>
      <protection hidden="1"/>
    </xf>
    <xf numFmtId="2" fontId="5" fillId="18" borderId="200" xfId="0" applyNumberFormat="1" applyFont="1" applyFill="1" applyBorder="1" applyAlignment="1" applyProtection="1">
      <alignment horizontal="center" vertical="center" wrapText="1"/>
      <protection hidden="1"/>
    </xf>
    <xf numFmtId="164" fontId="13" fillId="19" borderId="12" xfId="0" applyFont="1" applyFill="1" applyBorder="1" applyAlignment="1" applyProtection="1">
      <alignment horizontal="center" vertical="center"/>
      <protection hidden="1"/>
    </xf>
    <xf numFmtId="164" fontId="4" fillId="0" borderId="315" xfId="0" applyFont="1" applyBorder="1" applyAlignment="1" applyProtection="1">
      <alignment horizontal="center" vertical="center" wrapText="1"/>
      <protection hidden="1"/>
    </xf>
    <xf numFmtId="164" fontId="5" fillId="49" borderId="24" xfId="0" applyFont="1" applyFill="1" applyBorder="1" applyAlignment="1" applyProtection="1">
      <alignment horizontal="center" vertical="center" wrapText="1"/>
      <protection hidden="1"/>
    </xf>
    <xf numFmtId="164" fontId="5" fillId="49" borderId="36" xfId="0" applyFont="1" applyFill="1" applyBorder="1" applyAlignment="1" applyProtection="1">
      <alignment horizontal="center" vertical="center" wrapText="1"/>
      <protection hidden="1"/>
    </xf>
    <xf numFmtId="164" fontId="32" fillId="49" borderId="24" xfId="0" applyFont="1" applyFill="1" applyBorder="1" applyAlignment="1" applyProtection="1">
      <alignment horizontal="left" vertical="center" indent="2"/>
      <protection hidden="1"/>
    </xf>
    <xf numFmtId="164" fontId="32" fillId="49" borderId="0" xfId="0" applyFont="1" applyFill="1" applyAlignment="1" applyProtection="1">
      <alignment horizontal="left" vertical="center" indent="2"/>
      <protection hidden="1"/>
    </xf>
    <xf numFmtId="1" fontId="159" fillId="44" borderId="49" xfId="0" applyNumberFormat="1" applyFont="1" applyFill="1" applyBorder="1" applyAlignment="1" applyProtection="1">
      <alignment horizontal="center" vertical="center" wrapText="1"/>
      <protection hidden="1"/>
    </xf>
    <xf numFmtId="1" fontId="159" fillId="44" borderId="150" xfId="0" applyNumberFormat="1" applyFont="1" applyFill="1" applyBorder="1" applyAlignment="1" applyProtection="1">
      <alignment horizontal="center" vertical="center" wrapText="1"/>
      <protection hidden="1"/>
    </xf>
    <xf numFmtId="164" fontId="32" fillId="38" borderId="24" xfId="0" applyFont="1" applyFill="1" applyBorder="1" applyAlignment="1" applyProtection="1">
      <alignment horizontal="center" vertical="center"/>
      <protection hidden="1"/>
    </xf>
    <xf numFmtId="164" fontId="32" fillId="38" borderId="0" xfId="0" applyFont="1" applyFill="1" applyAlignment="1" applyProtection="1">
      <alignment horizontal="center" vertical="center"/>
      <protection hidden="1"/>
    </xf>
    <xf numFmtId="164" fontId="32" fillId="0" borderId="34" xfId="0" applyFont="1" applyBorder="1" applyAlignment="1" applyProtection="1">
      <alignment horizontal="center" vertical="center"/>
      <protection hidden="1"/>
    </xf>
    <xf numFmtId="164" fontId="32" fillId="0" borderId="35" xfId="0" applyFont="1" applyBorder="1" applyAlignment="1" applyProtection="1">
      <alignment horizontal="center" vertical="center"/>
      <protection hidden="1"/>
    </xf>
    <xf numFmtId="164" fontId="4" fillId="0" borderId="201" xfId="0" applyFont="1" applyBorder="1" applyAlignment="1" applyProtection="1">
      <alignment horizontal="center" vertical="center" wrapText="1"/>
      <protection hidden="1"/>
    </xf>
    <xf numFmtId="1" fontId="5" fillId="54" borderId="341" xfId="0" applyNumberFormat="1" applyFont="1" applyFill="1" applyBorder="1" applyAlignment="1" applyProtection="1">
      <alignment horizontal="center" vertical="center" wrapText="1"/>
      <protection hidden="1"/>
    </xf>
    <xf numFmtId="1" fontId="5" fillId="54" borderId="342" xfId="0" applyNumberFormat="1" applyFont="1" applyFill="1" applyBorder="1" applyAlignment="1" applyProtection="1">
      <alignment horizontal="center" vertical="center" wrapText="1"/>
      <protection hidden="1"/>
    </xf>
    <xf numFmtId="1" fontId="5" fillId="54" borderId="211" xfId="0" applyNumberFormat="1" applyFont="1" applyFill="1" applyBorder="1" applyAlignment="1" applyProtection="1">
      <alignment horizontal="center" vertical="center" wrapText="1"/>
      <protection hidden="1"/>
    </xf>
    <xf numFmtId="1" fontId="5" fillId="54" borderId="343" xfId="0" applyNumberFormat="1" applyFont="1" applyFill="1" applyBorder="1" applyAlignment="1" applyProtection="1">
      <alignment horizontal="center" vertical="center" wrapText="1"/>
      <protection hidden="1"/>
    </xf>
    <xf numFmtId="164" fontId="4" fillId="0" borderId="313" xfId="0" applyFont="1" applyBorder="1" applyAlignment="1" applyProtection="1">
      <alignment horizontal="center" vertical="center" wrapText="1"/>
      <protection hidden="1"/>
    </xf>
    <xf numFmtId="164" fontId="13" fillId="54" borderId="80" xfId="0" applyFont="1" applyFill="1" applyBorder="1" applyAlignment="1" applyProtection="1">
      <alignment horizontal="left" vertical="center" wrapText="1" indent="4" shrinkToFit="1"/>
      <protection hidden="1"/>
    </xf>
    <xf numFmtId="164" fontId="13" fillId="54" borderId="91" xfId="0" applyFont="1" applyFill="1" applyBorder="1" applyAlignment="1" applyProtection="1">
      <alignment horizontal="left" vertical="center" wrapText="1" indent="4" shrinkToFit="1"/>
      <protection hidden="1"/>
    </xf>
    <xf numFmtId="164" fontId="13" fillId="54" borderId="90" xfId="0" applyFont="1" applyFill="1" applyBorder="1" applyAlignment="1" applyProtection="1">
      <alignment horizontal="left" vertical="center" wrapText="1" indent="4" shrinkToFit="1"/>
      <protection hidden="1"/>
    </xf>
    <xf numFmtId="164" fontId="13" fillId="44" borderId="80" xfId="0" applyFont="1" applyFill="1" applyBorder="1" applyAlignment="1" applyProtection="1">
      <alignment horizontal="left" vertical="center" wrapText="1" indent="4" shrinkToFit="1"/>
      <protection hidden="1"/>
    </xf>
    <xf numFmtId="164" fontId="13" fillId="44" borderId="91" xfId="0" applyFont="1" applyFill="1" applyBorder="1" applyAlignment="1" applyProtection="1">
      <alignment horizontal="left" vertical="center" wrapText="1" indent="4" shrinkToFit="1"/>
      <protection hidden="1"/>
    </xf>
    <xf numFmtId="164" fontId="13" fillId="44" borderId="90" xfId="0" applyFont="1" applyFill="1" applyBorder="1" applyAlignment="1" applyProtection="1">
      <alignment horizontal="left" vertical="center" wrapText="1" indent="4" shrinkToFit="1"/>
      <protection hidden="1"/>
    </xf>
    <xf numFmtId="164" fontId="5" fillId="0" borderId="0" xfId="0" quotePrefix="1" applyFont="1" applyAlignment="1">
      <alignment horizontal="left" vertical="center" wrapText="1"/>
    </xf>
    <xf numFmtId="164" fontId="139" fillId="0" borderId="0" xfId="0" applyFont="1" applyAlignment="1" applyProtection="1">
      <alignment horizontal="center"/>
      <protection hidden="1"/>
    </xf>
    <xf numFmtId="164" fontId="139" fillId="0" borderId="0" xfId="0" quotePrefix="1" applyFont="1" applyAlignment="1">
      <alignment horizontal="left" vertical="center" wrapText="1"/>
    </xf>
    <xf numFmtId="164" fontId="7" fillId="0" borderId="93" xfId="0" applyFont="1" applyBorder="1" applyAlignment="1" applyProtection="1">
      <alignment horizontal="center" vertical="center" wrapText="1"/>
      <protection hidden="1"/>
    </xf>
    <xf numFmtId="164" fontId="4" fillId="0" borderId="22" xfId="0" applyFont="1" applyBorder="1" applyAlignment="1" applyProtection="1">
      <alignment horizontal="center" vertical="center" wrapText="1"/>
      <protection hidden="1"/>
    </xf>
    <xf numFmtId="164" fontId="4" fillId="0" borderId="23" xfId="0" applyFont="1" applyBorder="1" applyAlignment="1" applyProtection="1">
      <alignment horizontal="center" vertical="center" wrapText="1"/>
      <protection hidden="1"/>
    </xf>
    <xf numFmtId="1" fontId="4" fillId="0" borderId="15" xfId="0" applyNumberFormat="1" applyFont="1" applyBorder="1" applyAlignment="1" applyProtection="1">
      <alignment horizontal="center" vertical="center" wrapText="1"/>
      <protection hidden="1"/>
    </xf>
    <xf numFmtId="164" fontId="5" fillId="0" borderId="190" xfId="0" applyFont="1" applyBorder="1" applyAlignment="1">
      <alignment horizontal="center" vertical="center"/>
    </xf>
    <xf numFmtId="164" fontId="5" fillId="0" borderId="121" xfId="0" applyFont="1" applyBorder="1" applyAlignment="1">
      <alignment horizontal="center" vertical="center"/>
    </xf>
    <xf numFmtId="164" fontId="5" fillId="0" borderId="196" xfId="0" applyFont="1" applyBorder="1" applyAlignment="1">
      <alignment horizontal="center" vertical="center"/>
    </xf>
    <xf numFmtId="164" fontId="5" fillId="44" borderId="212" xfId="0" applyFont="1" applyFill="1" applyBorder="1" applyAlignment="1" applyProtection="1">
      <alignment horizontal="left" vertical="center" wrapText="1" indent="1"/>
      <protection hidden="1"/>
    </xf>
    <xf numFmtId="164" fontId="5" fillId="0" borderId="61" xfId="0" applyFont="1" applyBorder="1" applyAlignment="1">
      <alignment horizontal="center" vertical="center"/>
    </xf>
    <xf numFmtId="164" fontId="7" fillId="0" borderId="17" xfId="0" applyFont="1" applyBorder="1" applyAlignment="1" applyProtection="1">
      <alignment horizontal="center" vertical="center" wrapText="1"/>
      <protection hidden="1"/>
    </xf>
    <xf numFmtId="164" fontId="7" fillId="0" borderId="49" xfId="0" applyFont="1" applyBorder="1" applyAlignment="1" applyProtection="1">
      <alignment horizontal="center" vertical="center" wrapText="1"/>
      <protection hidden="1"/>
    </xf>
    <xf numFmtId="164" fontId="4" fillId="0" borderId="244" xfId="0" applyFont="1" applyBorder="1" applyAlignment="1" applyProtection="1">
      <alignment horizontal="center" vertical="center" wrapText="1"/>
      <protection hidden="1"/>
    </xf>
    <xf numFmtId="164" fontId="4" fillId="0" borderId="52" xfId="0" applyFont="1" applyBorder="1" applyAlignment="1" applyProtection="1">
      <alignment horizontal="center" vertical="center" wrapText="1"/>
      <protection hidden="1"/>
    </xf>
    <xf numFmtId="164" fontId="4" fillId="0" borderId="150" xfId="0" applyFont="1" applyBorder="1" applyAlignment="1" applyProtection="1">
      <alignment horizontal="center" vertical="center" wrapText="1"/>
      <protection hidden="1"/>
    </xf>
    <xf numFmtId="164" fontId="5" fillId="18" borderId="201" xfId="0" applyFont="1" applyFill="1" applyBorder="1" applyAlignment="1" applyProtection="1">
      <alignment horizontal="center" vertical="center" wrapText="1"/>
      <protection hidden="1"/>
    </xf>
    <xf numFmtId="164" fontId="5" fillId="18" borderId="213" xfId="0" applyFont="1" applyFill="1" applyBorder="1" applyAlignment="1" applyProtection="1">
      <alignment horizontal="center" vertical="center" wrapText="1"/>
      <protection hidden="1"/>
    </xf>
    <xf numFmtId="164" fontId="5" fillId="24" borderId="26" xfId="0" applyFont="1" applyFill="1" applyBorder="1" applyAlignment="1" applyProtection="1">
      <alignment horizontal="left"/>
      <protection hidden="1"/>
    </xf>
    <xf numFmtId="164" fontId="158" fillId="0" borderId="255" xfId="0" applyFont="1" applyBorder="1" applyAlignment="1">
      <alignment horizontal="center" vertical="center" wrapText="1"/>
    </xf>
    <xf numFmtId="164" fontId="158" fillId="0" borderId="197" xfId="0" applyFont="1" applyBorder="1" applyAlignment="1">
      <alignment horizontal="center" vertical="center" wrapText="1"/>
    </xf>
    <xf numFmtId="164" fontId="98" fillId="0" borderId="257" xfId="0" applyFont="1" applyBorder="1" applyAlignment="1">
      <alignment horizontal="center" vertical="center" wrapText="1"/>
    </xf>
    <xf numFmtId="164" fontId="5" fillId="24" borderId="57" xfId="0" applyFont="1" applyFill="1" applyBorder="1" applyAlignment="1" applyProtection="1">
      <alignment horizontal="center" wrapText="1"/>
      <protection hidden="1"/>
    </xf>
    <xf numFmtId="164" fontId="133" fillId="0" borderId="12" xfId="0" applyFont="1" applyBorder="1" applyAlignment="1" applyProtection="1">
      <alignment horizontal="center" wrapText="1"/>
      <protection hidden="1"/>
    </xf>
    <xf numFmtId="164" fontId="133" fillId="0" borderId="33" xfId="0" applyFont="1" applyBorder="1" applyAlignment="1" applyProtection="1">
      <alignment horizontal="center" wrapText="1"/>
      <protection hidden="1"/>
    </xf>
    <xf numFmtId="164" fontId="133" fillId="0" borderId="48" xfId="0" applyFont="1" applyBorder="1" applyAlignment="1" applyProtection="1">
      <alignment horizontal="center" wrapText="1"/>
      <protection hidden="1"/>
    </xf>
    <xf numFmtId="164" fontId="4" fillId="17" borderId="215" xfId="0" applyFont="1" applyFill="1" applyBorder="1" applyAlignment="1" applyProtection="1">
      <alignment horizontal="center" vertical="center" wrapText="1"/>
      <protection hidden="1"/>
    </xf>
    <xf numFmtId="164" fontId="28" fillId="17" borderId="215" xfId="0" applyFont="1" applyFill="1" applyBorder="1" applyAlignment="1" applyProtection="1">
      <alignment horizontal="center" vertical="center" wrapText="1"/>
      <protection hidden="1"/>
    </xf>
    <xf numFmtId="164" fontId="139" fillId="53" borderId="281" xfId="0" applyFont="1" applyFill="1" applyBorder="1" applyAlignment="1" applyProtection="1">
      <alignment horizontal="center" vertical="center"/>
      <protection hidden="1"/>
    </xf>
    <xf numFmtId="164" fontId="139" fillId="53" borderId="277" xfId="0" applyFont="1" applyFill="1" applyBorder="1" applyAlignment="1" applyProtection="1">
      <alignment horizontal="center" vertical="center"/>
      <protection hidden="1"/>
    </xf>
    <xf numFmtId="164" fontId="139" fillId="53" borderId="256" xfId="0" applyFont="1" applyFill="1" applyBorder="1" applyAlignment="1" applyProtection="1">
      <alignment horizontal="center" vertical="center"/>
      <protection hidden="1"/>
    </xf>
    <xf numFmtId="164" fontId="98" fillId="0" borderId="248" xfId="0" quotePrefix="1" applyFont="1" applyBorder="1" applyAlignment="1">
      <alignment horizontal="center" vertical="center" wrapText="1"/>
    </xf>
    <xf numFmtId="164" fontId="4" fillId="24" borderId="80" xfId="0" applyFont="1" applyFill="1" applyBorder="1" applyAlignment="1">
      <alignment horizontal="center" wrapText="1"/>
    </xf>
    <xf numFmtId="164" fontId="4" fillId="24" borderId="91" xfId="0" applyFont="1" applyFill="1" applyBorder="1" applyAlignment="1">
      <alignment horizontal="center" wrapText="1"/>
    </xf>
    <xf numFmtId="164" fontId="4" fillId="24" borderId="90" xfId="0" applyFont="1" applyFill="1" applyBorder="1" applyAlignment="1">
      <alignment horizontal="center" wrapText="1"/>
    </xf>
    <xf numFmtId="164" fontId="151" fillId="0" borderId="0" xfId="0" applyFont="1" applyAlignment="1">
      <alignment horizontal="left" vertical="center" indent="2"/>
    </xf>
    <xf numFmtId="164" fontId="4" fillId="0" borderId="146" xfId="0" applyFont="1" applyBorder="1" applyAlignment="1" applyProtection="1">
      <alignment horizontal="center" vertical="center" wrapText="1"/>
      <protection hidden="1"/>
    </xf>
    <xf numFmtId="164" fontId="4" fillId="0" borderId="93" xfId="0" applyFont="1" applyBorder="1" applyAlignment="1" applyProtection="1">
      <alignment horizontal="center" vertical="center" wrapText="1"/>
      <protection hidden="1"/>
    </xf>
    <xf numFmtId="164" fontId="5" fillId="18" borderId="11" xfId="0" applyFont="1" applyFill="1" applyBorder="1" applyAlignment="1" applyProtection="1">
      <alignment horizontal="center" vertical="center" wrapText="1"/>
      <protection hidden="1"/>
    </xf>
    <xf numFmtId="164" fontId="5" fillId="18" borderId="14" xfId="0" applyFont="1" applyFill="1" applyBorder="1" applyAlignment="1" applyProtection="1">
      <alignment horizontal="center" vertical="center" wrapText="1"/>
      <protection hidden="1"/>
    </xf>
    <xf numFmtId="164" fontId="5" fillId="18" borderId="92" xfId="0" applyFont="1" applyFill="1" applyBorder="1" applyAlignment="1" applyProtection="1">
      <alignment horizontal="center" vertical="center" wrapText="1"/>
      <protection hidden="1"/>
    </xf>
    <xf numFmtId="164" fontId="4" fillId="23" borderId="56" xfId="0" applyFont="1" applyFill="1" applyBorder="1" applyAlignment="1" applyProtection="1">
      <alignment horizontal="center" vertical="center" wrapText="1"/>
      <protection hidden="1"/>
    </xf>
    <xf numFmtId="164" fontId="4" fillId="23" borderId="38" xfId="0" applyFont="1" applyFill="1" applyBorder="1" applyAlignment="1" applyProtection="1">
      <alignment horizontal="center" vertical="center" wrapText="1"/>
      <protection hidden="1"/>
    </xf>
    <xf numFmtId="1" fontId="4" fillId="0" borderId="59" xfId="0" applyNumberFormat="1" applyFont="1" applyBorder="1" applyAlignment="1" applyProtection="1">
      <alignment horizontal="center" vertical="center" wrapText="1"/>
      <protection hidden="1"/>
    </xf>
    <xf numFmtId="164" fontId="5" fillId="18" borderId="82" xfId="0" applyFont="1" applyFill="1" applyBorder="1" applyAlignment="1" applyProtection="1">
      <alignment horizontal="center" vertical="center" wrapText="1"/>
      <protection hidden="1"/>
    </xf>
    <xf numFmtId="164" fontId="5" fillId="18" borderId="95" xfId="0" applyFont="1" applyFill="1" applyBorder="1" applyAlignment="1" applyProtection="1">
      <alignment horizontal="center" vertical="center" wrapText="1"/>
      <protection hidden="1"/>
    </xf>
    <xf numFmtId="164" fontId="33" fillId="0" borderId="56" xfId="0" applyFont="1" applyBorder="1" applyAlignment="1" applyProtection="1">
      <alignment horizontal="center" vertical="center" textRotation="90"/>
      <protection hidden="1"/>
    </xf>
    <xf numFmtId="164" fontId="33" fillId="0" borderId="38" xfId="0" applyFont="1" applyBorder="1" applyAlignment="1" applyProtection="1">
      <alignment horizontal="center" vertical="center" textRotation="90"/>
      <protection hidden="1"/>
    </xf>
    <xf numFmtId="164" fontId="33" fillId="0" borderId="57" xfId="0" applyFont="1" applyBorder="1" applyAlignment="1" applyProtection="1">
      <alignment horizontal="center" vertical="center" textRotation="90"/>
      <protection hidden="1"/>
    </xf>
    <xf numFmtId="164" fontId="134" fillId="39" borderId="0" xfId="0" applyFont="1" applyFill="1" applyAlignment="1" applyProtection="1">
      <alignment horizontal="center" vertical="center"/>
      <protection hidden="1"/>
    </xf>
    <xf numFmtId="164" fontId="134" fillId="39" borderId="21" xfId="0" applyFont="1" applyFill="1" applyBorder="1" applyAlignment="1" applyProtection="1">
      <alignment horizontal="center" vertical="center"/>
      <protection hidden="1"/>
    </xf>
    <xf numFmtId="164" fontId="4" fillId="0" borderId="18" xfId="0" applyFont="1" applyBorder="1" applyAlignment="1">
      <alignment horizontal="center" wrapText="1"/>
    </xf>
    <xf numFmtId="164" fontId="4" fillId="0" borderId="53" xfId="0" applyFont="1" applyBorder="1" applyAlignment="1">
      <alignment horizontal="center" wrapText="1"/>
    </xf>
    <xf numFmtId="164" fontId="5" fillId="27" borderId="80" xfId="0" applyFont="1" applyFill="1" applyBorder="1" applyAlignment="1">
      <alignment horizontal="center" wrapText="1"/>
    </xf>
    <xf numFmtId="164" fontId="5" fillId="27" borderId="91" xfId="0" applyFont="1" applyFill="1" applyBorder="1" applyAlignment="1">
      <alignment horizontal="center" wrapText="1"/>
    </xf>
    <xf numFmtId="164" fontId="5" fillId="27" borderId="25" xfId="0" applyFont="1" applyFill="1" applyBorder="1" applyAlignment="1">
      <alignment horizontal="center" wrapText="1"/>
    </xf>
    <xf numFmtId="164" fontId="4" fillId="0" borderId="59" xfId="0" applyFont="1" applyBorder="1" applyAlignment="1" applyProtection="1">
      <alignment horizontal="center" wrapText="1"/>
      <protection locked="0"/>
    </xf>
    <xf numFmtId="164" fontId="4" fillId="0" borderId="15" xfId="0" applyFont="1" applyBorder="1" applyAlignment="1" applyProtection="1">
      <alignment horizontal="center" wrapText="1"/>
      <protection locked="0"/>
    </xf>
    <xf numFmtId="164" fontId="4" fillId="0" borderId="59" xfId="0" applyFont="1" applyBorder="1" applyAlignment="1" applyProtection="1">
      <alignment horizontal="center" wrapText="1"/>
      <protection hidden="1"/>
    </xf>
    <xf numFmtId="164" fontId="4" fillId="0" borderId="15" xfId="0" applyFont="1" applyBorder="1" applyAlignment="1" applyProtection="1">
      <alignment horizontal="center" wrapText="1"/>
      <protection hidden="1"/>
    </xf>
    <xf numFmtId="164" fontId="4" fillId="24" borderId="12" xfId="0" applyFont="1" applyFill="1" applyBorder="1" applyAlignment="1" applyProtection="1">
      <alignment horizontal="left"/>
      <protection locked="0"/>
    </xf>
    <xf numFmtId="164" fontId="4" fillId="24" borderId="33" xfId="0" applyFont="1" applyFill="1" applyBorder="1" applyAlignment="1" applyProtection="1">
      <alignment horizontal="left"/>
      <protection locked="0"/>
    </xf>
    <xf numFmtId="164" fontId="4" fillId="24" borderId="48" xfId="0" applyFont="1" applyFill="1" applyBorder="1" applyAlignment="1" applyProtection="1">
      <alignment horizontal="left"/>
      <protection locked="0"/>
    </xf>
    <xf numFmtId="164" fontId="4" fillId="24" borderId="18" xfId="0" applyFont="1" applyFill="1" applyBorder="1" applyAlignment="1" applyProtection="1">
      <alignment horizontal="left" vertical="center" wrapText="1"/>
      <protection locked="0"/>
    </xf>
    <xf numFmtId="164" fontId="0" fillId="24" borderId="51" xfId="0" applyFill="1" applyBorder="1" applyAlignment="1" applyProtection="1">
      <alignment horizontal="left" vertical="center" wrapText="1"/>
      <protection locked="0"/>
    </xf>
    <xf numFmtId="164" fontId="0" fillId="24" borderId="53" xfId="0" applyFill="1" applyBorder="1" applyAlignment="1" applyProtection="1">
      <alignment horizontal="left" vertical="center" wrapText="1"/>
      <protection locked="0"/>
    </xf>
    <xf numFmtId="164" fontId="0" fillId="24" borderId="23" xfId="0" applyFill="1" applyBorder="1" applyAlignment="1" applyProtection="1">
      <alignment horizontal="left" vertical="center" wrapText="1"/>
      <protection locked="0"/>
    </xf>
    <xf numFmtId="164" fontId="0" fillId="24" borderId="54" xfId="0" applyFill="1" applyBorder="1" applyAlignment="1" applyProtection="1">
      <alignment horizontal="left" vertical="center" wrapText="1"/>
      <protection locked="0"/>
    </xf>
    <xf numFmtId="164" fontId="0" fillId="24" borderId="55" xfId="0" applyFill="1" applyBorder="1" applyAlignment="1" applyProtection="1">
      <alignment horizontal="left" vertical="center" wrapText="1"/>
      <protection locked="0"/>
    </xf>
    <xf numFmtId="164" fontId="151" fillId="0" borderId="0" xfId="0" applyFont="1" applyAlignment="1" applyProtection="1">
      <alignment horizontal="left" wrapText="1"/>
      <protection hidden="1"/>
    </xf>
    <xf numFmtId="164" fontId="151" fillId="0" borderId="267" xfId="0" applyFont="1" applyBorder="1" applyAlignment="1" applyProtection="1">
      <alignment horizontal="left" wrapText="1"/>
      <protection hidden="1"/>
    </xf>
    <xf numFmtId="164" fontId="5" fillId="39" borderId="0" xfId="0" applyFont="1" applyFill="1" applyAlignment="1" applyProtection="1">
      <alignment horizontal="center" vertical="center"/>
      <protection hidden="1"/>
    </xf>
    <xf numFmtId="164" fontId="5" fillId="0" borderId="34" xfId="0" applyFont="1" applyBorder="1" applyAlignment="1" applyProtection="1">
      <alignment horizontal="center" vertical="center" wrapText="1"/>
      <protection hidden="1"/>
    </xf>
    <xf numFmtId="164" fontId="5" fillId="0" borderId="35" xfId="0" applyFont="1" applyBorder="1" applyAlignment="1" applyProtection="1">
      <alignment horizontal="center" vertical="center" wrapText="1"/>
      <protection hidden="1"/>
    </xf>
    <xf numFmtId="164" fontId="5" fillId="0" borderId="36" xfId="0" applyFont="1" applyBorder="1" applyAlignment="1" applyProtection="1">
      <alignment horizontal="center" vertical="center" wrapText="1"/>
      <protection hidden="1"/>
    </xf>
    <xf numFmtId="164" fontId="5" fillId="0" borderId="21" xfId="0" applyFont="1" applyBorder="1" applyAlignment="1" applyProtection="1">
      <alignment horizontal="center" vertical="center" wrapText="1"/>
      <protection hidden="1"/>
    </xf>
    <xf numFmtId="164" fontId="134" fillId="24" borderId="34" xfId="0" applyFont="1" applyFill="1" applyBorder="1" applyAlignment="1" applyProtection="1">
      <alignment horizontal="center" vertical="center"/>
      <protection hidden="1"/>
    </xf>
    <xf numFmtId="164" fontId="134" fillId="24" borderId="35" xfId="0" applyFont="1" applyFill="1" applyBorder="1" applyAlignment="1" applyProtection="1">
      <alignment horizontal="center" vertical="center"/>
      <protection hidden="1"/>
    </xf>
    <xf numFmtId="164" fontId="134" fillId="24" borderId="25" xfId="0" applyFont="1" applyFill="1" applyBorder="1" applyAlignment="1" applyProtection="1">
      <alignment horizontal="center" vertical="center"/>
      <protection hidden="1"/>
    </xf>
    <xf numFmtId="164" fontId="134" fillId="24" borderId="36" xfId="0" applyFont="1" applyFill="1" applyBorder="1" applyAlignment="1" applyProtection="1">
      <alignment horizontal="center" vertical="center"/>
      <protection hidden="1"/>
    </xf>
    <xf numFmtId="164" fontId="134" fillId="24" borderId="21" xfId="0" applyFont="1" applyFill="1" applyBorder="1" applyAlignment="1" applyProtection="1">
      <alignment horizontal="center" vertical="center"/>
      <protection hidden="1"/>
    </xf>
    <xf numFmtId="164" fontId="134" fillId="24" borderId="32" xfId="0" applyFont="1" applyFill="1" applyBorder="1" applyAlignment="1" applyProtection="1">
      <alignment horizontal="center" vertical="center"/>
      <protection hidden="1"/>
    </xf>
    <xf numFmtId="1" fontId="4" fillId="0" borderId="313" xfId="0" applyNumberFormat="1" applyFont="1" applyBorder="1" applyAlignment="1" applyProtection="1">
      <alignment horizontal="center" vertical="center" wrapText="1"/>
      <protection hidden="1"/>
    </xf>
    <xf numFmtId="164" fontId="4" fillId="0" borderId="56" xfId="0" applyFont="1" applyBorder="1" applyAlignment="1" applyProtection="1">
      <alignment horizontal="center" vertical="center" wrapText="1"/>
      <protection hidden="1"/>
    </xf>
    <xf numFmtId="164" fontId="4" fillId="0" borderId="38" xfId="0" applyFont="1" applyBorder="1" applyAlignment="1" applyProtection="1">
      <alignment horizontal="center" vertical="center" wrapText="1"/>
      <protection hidden="1"/>
    </xf>
    <xf numFmtId="164" fontId="4" fillId="0" borderId="152" xfId="0" applyFont="1" applyBorder="1" applyAlignment="1" applyProtection="1">
      <alignment horizontal="center" vertical="center" wrapText="1"/>
      <protection hidden="1"/>
    </xf>
    <xf numFmtId="164" fontId="4" fillId="0" borderId="131" xfId="0" applyFont="1" applyBorder="1" applyAlignment="1" applyProtection="1">
      <alignment horizontal="center" vertical="center" wrapText="1"/>
      <protection hidden="1"/>
    </xf>
    <xf numFmtId="164" fontId="4" fillId="0" borderId="347" xfId="0" applyFont="1" applyBorder="1" applyAlignment="1" applyProtection="1">
      <alignment horizontal="center" vertical="center" wrapText="1"/>
      <protection hidden="1"/>
    </xf>
  </cellXfs>
  <cellStyles count="13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2" xfId="98" builtinId="36" customBuiltin="1"/>
    <cellStyle name="60% - Accent3" xfId="99" builtinId="40" customBuiltin="1"/>
    <cellStyle name="60% - Accent4" xfId="100" builtinId="44" customBuiltin="1"/>
    <cellStyle name="60% - Accent5" xfId="101" builtinId="48" customBuiltin="1"/>
    <cellStyle name="60% - Accent6" xfId="102" builtinId="52" customBuiltin="1"/>
    <cellStyle name="Accent1" xfId="103" builtinId="29" customBuiltin="1"/>
    <cellStyle name="Accent2" xfId="104" builtinId="33" customBuiltin="1"/>
    <cellStyle name="Accent3" xfId="105" builtinId="37" customBuiltin="1"/>
    <cellStyle name="Accent4" xfId="106" builtinId="41" customBuiltin="1"/>
    <cellStyle name="Accent5" xfId="107" builtinId="45" customBuiltin="1"/>
    <cellStyle name="Accent6" xfId="108" builtinId="49" customBuiltin="1"/>
    <cellStyle name="Bad" xfId="109" builtinId="27" customBuiltin="1"/>
    <cellStyle name="Calculation" xfId="110" builtinId="22" customBuiltin="1"/>
    <cellStyle name="Check Cell" xfId="111" builtinId="23" customBuiltin="1"/>
    <cellStyle name="Explanatory Text" xfId="112" builtinId="53" customBuiltin="1"/>
    <cellStyle name="Good" xfId="113" builtinId="26" customBuiltin="1"/>
    <cellStyle name="Heading 1" xfId="114" builtinId="16" customBuiltin="1"/>
    <cellStyle name="Heading 2" xfId="115" builtinId="17" customBuiltin="1"/>
    <cellStyle name="Heading 3" xfId="116" builtinId="18" customBuiltin="1"/>
    <cellStyle name="Heading 4" xfId="117" builtinId="19" customBuiltin="1"/>
    <cellStyle name="Input" xfId="118" builtinId="20" customBuiltin="1"/>
    <cellStyle name="Linked Cell" xfId="119" builtinId="24" customBuiltin="1"/>
    <cellStyle name="Neutral" xfId="120" builtinId="28" customBuiltin="1"/>
    <cellStyle name="Normal" xfId="0" builtinId="0"/>
    <cellStyle name="Normal 2" xfId="121" xr:uid="{00000000-0005-0000-0000-000079000000}"/>
    <cellStyle name="Normal_Book2" xfId="122" xr:uid="{00000000-0005-0000-0000-00007A000000}"/>
    <cellStyle name="Normal_wind and EQ calcs" xfId="123" xr:uid="{00000000-0005-0000-0000-00007B000000}"/>
    <cellStyle name="Note" xfId="124" builtinId="10" customBuiltin="1"/>
    <cellStyle name="Note 2" xfId="125" xr:uid="{00000000-0005-0000-0000-00007D000000}"/>
    <cellStyle name="Output" xfId="126" builtinId="21" customBuiltin="1"/>
    <cellStyle name="Title" xfId="127" builtinId="15" customBuiltin="1"/>
    <cellStyle name="Total" xfId="128" builtinId="25" customBuiltin="1"/>
    <cellStyle name="Warning Text" xfId="129" builtinId="11" customBuiltin="1"/>
  </cellStyles>
  <dxfs count="2499">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font>
        <b/>
        <i val="0"/>
        <color rgb="FFFF0000"/>
      </font>
    </dxf>
    <dxf>
      <font>
        <b/>
        <i val="0"/>
        <color rgb="FFFF0000"/>
      </font>
    </dxf>
    <dxf>
      <font>
        <b/>
        <i val="0"/>
        <color rgb="FFFF0000"/>
      </font>
    </dxf>
    <dxf>
      <font>
        <b/>
        <i val="0"/>
        <color rgb="FFFF0000"/>
      </font>
    </dxf>
    <dxf>
      <numFmt numFmtId="1" formatCode="0"/>
    </dxf>
    <dxf>
      <font>
        <b/>
        <i val="0"/>
        <color rgb="FFFF0000"/>
      </font>
      <fill>
        <patternFill>
          <bgColor theme="0"/>
        </patternFill>
      </fill>
    </dxf>
    <dxf>
      <numFmt numFmtId="164" formatCode="0.0"/>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numFmt numFmtId="164" formatCode="0.0"/>
    </dxf>
    <dxf>
      <numFmt numFmtId="164" formatCode="0.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9"/>
      </font>
    </dxf>
    <dxf>
      <font>
        <condense val="0"/>
        <extend val="0"/>
        <color indexed="9"/>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b/>
        <i val="0"/>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numFmt numFmtId="174" formatCode="\ 0.0;\-0.0;;@\ "/>
    </dxf>
    <dxf>
      <numFmt numFmtId="174" formatCode="\ 0.0;\-0.0;;@\ "/>
    </dxf>
    <dxf>
      <font>
        <condense val="0"/>
        <extend val="0"/>
        <color indexed="9"/>
      </font>
    </dxf>
    <dxf>
      <numFmt numFmtId="164" formatCode="0.0"/>
    </dxf>
    <dxf>
      <numFmt numFmtId="164" formatCode="0.0"/>
    </dxf>
    <dxf>
      <numFmt numFmtId="174" formatCode="\ 0.0;\-0.0;;@\ "/>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fill>
        <patternFill>
          <fgColor theme="0"/>
          <bgColor theme="0"/>
        </patternFill>
      </fill>
    </dxf>
    <dxf>
      <numFmt numFmtId="164" formatCode="0.0"/>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color rgb="FFFF0000"/>
      </font>
    </dxf>
    <dxf>
      <font>
        <b/>
        <i val="0"/>
        <color rgb="FFFF0000"/>
      </font>
    </dxf>
    <dxf>
      <font>
        <b/>
        <i val="0"/>
        <color rgb="FFFF0000"/>
      </font>
    </dxf>
    <dxf>
      <font>
        <b/>
        <i val="0"/>
        <color rgb="FFFF0000"/>
      </font>
    </dxf>
    <dxf>
      <numFmt numFmtId="164" formatCode="0.0"/>
    </dxf>
    <dxf>
      <numFmt numFmtId="164" formatCode="0.0"/>
    </dxf>
    <dxf>
      <numFmt numFmtId="1" formatCode="0"/>
    </dxf>
    <dxf>
      <font>
        <b/>
        <i val="0"/>
        <color rgb="FFFF0000"/>
      </font>
      <fill>
        <patternFill>
          <bgColor theme="0"/>
        </patternFill>
      </fill>
    </dxf>
    <dxf>
      <numFmt numFmtId="164" formatCode="0.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font>
      <fill>
        <gradientFill degree="90">
          <stop position="0">
            <color theme="0"/>
          </stop>
          <stop position="0.5">
            <color rgb="FFFFC000"/>
          </stop>
          <stop position="1">
            <color theme="0"/>
          </stop>
        </gradient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9"/>
      </font>
    </dxf>
    <dxf>
      <font>
        <condense val="0"/>
        <extend val="0"/>
        <color indexed="9"/>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numFmt numFmtId="164" formatCode="0.0"/>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lor rgb="FFFF0000"/>
      </font>
    </dxf>
    <dxf>
      <font>
        <color rgb="FFFF0000"/>
      </font>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theme="0"/>
        </patternFill>
      </fill>
    </dxf>
    <dxf>
      <font>
        <color theme="0"/>
      </font>
      <fill>
        <patternFill>
          <fgColor theme="0"/>
          <bgColor theme="0"/>
        </patternFill>
      </fill>
    </dxf>
    <dxf>
      <numFmt numFmtId="164" formatCode="0.0"/>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4" formatCode="0.0"/>
    </dxf>
    <dxf>
      <font>
        <b/>
        <i val="0"/>
        <color rgb="FFFF0000"/>
      </font>
    </dxf>
    <dxf>
      <font>
        <b/>
        <i val="0"/>
        <color rgb="FFFF0000"/>
      </font>
    </dxf>
    <dxf>
      <font>
        <b/>
        <i val="0"/>
        <color rgb="FFFF0000"/>
      </font>
    </dxf>
    <dxf>
      <font>
        <b/>
        <i val="0"/>
        <color rgb="FFFF0000"/>
      </font>
    </dxf>
    <dxf>
      <numFmt numFmtId="1" formatCode="0"/>
    </dxf>
    <dxf>
      <font>
        <b/>
        <i val="0"/>
        <color rgb="FFFF0000"/>
      </font>
      <fill>
        <patternFill>
          <bgColor theme="0"/>
        </patternFill>
      </fill>
    </dxf>
    <dxf>
      <font>
        <color rgb="FFFF0000"/>
      </font>
    </dxf>
    <dxf>
      <font>
        <color rgb="FFFF0000"/>
      </font>
    </dxf>
    <dxf>
      <font>
        <color rgb="FFFF0000"/>
      </font>
    </dxf>
    <dxf>
      <font>
        <b/>
        <i val="0"/>
        <color rgb="FFFF0000"/>
      </font>
    </dxf>
    <dxf>
      <font>
        <b/>
        <i val="0"/>
        <color rgb="FFFF0000"/>
      </font>
    </dxf>
    <dxf>
      <font>
        <b/>
        <i val="0"/>
        <color rgb="FFFF0000"/>
      </font>
    </dxf>
    <dxf>
      <numFmt numFmtId="164" formatCode="0.0"/>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9"/>
      </font>
    </dxf>
    <dxf>
      <font>
        <condense val="0"/>
        <extend val="0"/>
        <color indexed="9"/>
      </font>
    </dxf>
    <dxf>
      <font>
        <condense val="0"/>
        <extend val="0"/>
        <color indexed="9"/>
      </font>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b/>
        <i val="0"/>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numFmt numFmtId="174" formatCode="\ 0.0;\-0.0;;@\ "/>
    </dxf>
    <dxf>
      <numFmt numFmtId="174" formatCode="\ 0.0;\-0.0;;@\ "/>
    </dxf>
    <dxf>
      <font>
        <condense val="0"/>
        <extend val="0"/>
        <color indexed="9"/>
      </font>
    </dxf>
    <dxf>
      <numFmt numFmtId="164" formatCode="0.0"/>
    </dxf>
    <dxf>
      <numFmt numFmtId="164" formatCode="0.0"/>
    </dxf>
    <dxf>
      <numFmt numFmtId="174" formatCode="\ 0.0;\-0.0;;@\ "/>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theme="0"/>
        </patternFill>
      </fill>
    </dxf>
    <dxf>
      <font>
        <color theme="0"/>
      </font>
      <fill>
        <patternFill>
          <fgColor theme="0"/>
          <bgColor theme="0"/>
        </patternFill>
      </fill>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4" formatCode="0.0"/>
    </dxf>
    <dxf>
      <font>
        <b/>
        <i val="0"/>
        <color rgb="FFFF0000"/>
      </font>
    </dxf>
    <dxf>
      <font>
        <b/>
        <i val="0"/>
        <color rgb="FFFF0000"/>
      </font>
    </dxf>
    <dxf>
      <font>
        <b/>
        <i val="0"/>
        <color rgb="FFFF0000"/>
      </font>
    </dxf>
    <dxf>
      <font>
        <b/>
        <i val="0"/>
        <color rgb="FFFF0000"/>
      </font>
    </dxf>
    <dxf>
      <numFmt numFmtId="1" formatCode="0"/>
    </dxf>
    <dxf>
      <font>
        <b/>
        <i val="0"/>
        <color rgb="FFFF0000"/>
      </font>
      <fill>
        <patternFill>
          <bgColor theme="0"/>
        </patternFill>
      </fill>
    </dxf>
    <dxf>
      <font>
        <color rgb="FFFF0000"/>
      </font>
    </dxf>
    <dxf>
      <font>
        <color rgb="FFFF0000"/>
      </font>
    </dxf>
    <dxf>
      <font>
        <color rgb="FFFF0000"/>
      </font>
    </dxf>
    <dxf>
      <font>
        <b/>
        <i val="0"/>
        <color rgb="FFFF0000"/>
      </font>
    </dxf>
    <dxf>
      <font>
        <b/>
        <i val="0"/>
        <color rgb="FFFF0000"/>
      </font>
    </dxf>
    <dxf>
      <font>
        <b/>
        <i val="0"/>
        <color rgb="FFFF0000"/>
      </font>
    </dxf>
    <dxf>
      <numFmt numFmtId="164" formatCode="0.0"/>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9"/>
      </font>
    </dxf>
    <dxf>
      <font>
        <condense val="0"/>
        <extend val="0"/>
        <color indexed="9"/>
      </font>
    </dxf>
    <dxf>
      <font>
        <condense val="0"/>
        <extend val="0"/>
        <color indexed="9"/>
      </font>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b/>
        <i val="0"/>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numFmt numFmtId="174" formatCode="\ 0.0;\-0.0;;@\ "/>
    </dxf>
    <dxf>
      <numFmt numFmtId="174" formatCode="\ 0.0;\-0.0;;@\ "/>
    </dxf>
    <dxf>
      <font>
        <condense val="0"/>
        <extend val="0"/>
        <color indexed="9"/>
      </font>
    </dxf>
    <dxf>
      <numFmt numFmtId="164" formatCode="0.0"/>
    </dxf>
    <dxf>
      <numFmt numFmtId="164" formatCode="0.0"/>
    </dxf>
    <dxf>
      <numFmt numFmtId="174" formatCode="\ 0.0;\-0.0;;@\ "/>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theme="0"/>
        </patternFill>
      </fill>
    </dxf>
    <dxf>
      <font>
        <color theme="0"/>
      </font>
      <fill>
        <patternFill>
          <fgColor theme="0"/>
          <bgColor theme="0"/>
        </patternFill>
      </fill>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4" formatCode="0.0"/>
    </dxf>
    <dxf>
      <font>
        <b/>
        <i val="0"/>
        <color rgb="FFFF0000"/>
      </font>
    </dxf>
    <dxf>
      <font>
        <b/>
        <i val="0"/>
        <color rgb="FFFF0000"/>
      </font>
    </dxf>
    <dxf>
      <font>
        <b/>
        <i val="0"/>
        <color rgb="FFFF0000"/>
      </font>
    </dxf>
    <dxf>
      <font>
        <b/>
        <i val="0"/>
        <color rgb="FFFF0000"/>
      </font>
    </dxf>
    <dxf>
      <numFmt numFmtId="1" formatCode="0"/>
    </dxf>
    <dxf>
      <font>
        <b/>
        <i val="0"/>
        <color rgb="FFFF0000"/>
      </font>
      <fill>
        <patternFill>
          <bgColor theme="0"/>
        </patternFill>
      </fill>
    </dxf>
    <dxf>
      <font>
        <color rgb="FFFF0000"/>
      </font>
    </dxf>
    <dxf>
      <font>
        <color rgb="FFFF0000"/>
      </font>
    </dxf>
    <dxf>
      <font>
        <color rgb="FFFF0000"/>
      </font>
    </dxf>
    <dxf>
      <font>
        <b/>
        <i val="0"/>
        <color rgb="FFFF0000"/>
      </font>
    </dxf>
    <dxf>
      <font>
        <b/>
        <i val="0"/>
        <color rgb="FFFF0000"/>
      </font>
    </dxf>
    <dxf>
      <font>
        <b/>
        <i val="0"/>
        <color rgb="FFFF0000"/>
      </font>
    </dxf>
    <dxf>
      <numFmt numFmtId="164" formatCode="0.0"/>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9"/>
      </font>
    </dxf>
    <dxf>
      <font>
        <condense val="0"/>
        <extend val="0"/>
        <color indexed="9"/>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b/>
        <i val="0"/>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numFmt numFmtId="174" formatCode="\ 0.0;\-0.0;;@\ "/>
    </dxf>
    <dxf>
      <numFmt numFmtId="174" formatCode="\ 0.0;\-0.0;;@\ "/>
    </dxf>
    <dxf>
      <font>
        <condense val="0"/>
        <extend val="0"/>
        <color indexed="9"/>
      </font>
    </dxf>
    <dxf>
      <numFmt numFmtId="164" formatCode="0.0"/>
    </dxf>
    <dxf>
      <numFmt numFmtId="164" formatCode="0.0"/>
    </dxf>
    <dxf>
      <numFmt numFmtId="174" formatCode="\ 0.0;\-0.0;;@\ "/>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theme="0"/>
        </patternFill>
      </fill>
    </dxf>
    <dxf>
      <font>
        <color theme="0"/>
      </font>
      <fill>
        <patternFill>
          <fgColor theme="0"/>
          <bgColor theme="0"/>
        </patternFill>
      </fill>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numFmt numFmtId="1" formatCode="0"/>
    </dxf>
    <dxf>
      <font>
        <color theme="0"/>
      </font>
    </dxf>
    <dxf>
      <font>
        <color theme="0"/>
      </font>
    </dxf>
    <dxf>
      <font>
        <color theme="0"/>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lor rgb="FFFF0000"/>
      </font>
    </dxf>
    <dxf>
      <font>
        <color rgb="FFFF0000"/>
      </font>
    </dxf>
    <dxf>
      <font>
        <color rgb="FFFF0000"/>
      </font>
    </dxf>
    <dxf>
      <font>
        <color rgb="FFFF0000"/>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lor rgb="FFFF0000"/>
      </font>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b/>
        <i val="0"/>
      </font>
      <fill>
        <gradientFill degree="90">
          <stop position="0">
            <color theme="0"/>
          </stop>
          <stop position="0.5">
            <color rgb="FFFFC000"/>
          </stop>
          <stop position="1">
            <color theme="0"/>
          </stop>
        </gradient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font>
      <fill>
        <gradientFill degree="90">
          <stop position="0">
            <color theme="0"/>
          </stop>
          <stop position="0.5">
            <color rgb="FFFFC000"/>
          </stop>
          <stop position="1">
            <color theme="0"/>
          </stop>
        </gradientFill>
      </fill>
    </dxf>
    <dxf>
      <font>
        <condense val="0"/>
        <extend val="0"/>
        <color indexed="9"/>
      </font>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condense val="0"/>
        <extend val="0"/>
        <color indexed="9"/>
      </font>
      <fill>
        <patternFill>
          <bgColor theme="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rgb="FFFF0000"/>
      </font>
    </dxf>
    <dxf>
      <font>
        <color rgb="FFFF0000"/>
      </font>
    </dxf>
    <dxf>
      <font>
        <color rgb="FFFF0000"/>
      </font>
    </dxf>
    <dxf>
      <font>
        <b/>
        <i val="0"/>
        <color rgb="FFFF0000"/>
      </font>
    </dxf>
    <dxf>
      <font>
        <b/>
        <i val="0"/>
        <color rgb="FFFF0000"/>
      </font>
    </dxf>
    <dxf>
      <font>
        <b/>
        <i val="0"/>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numFmt numFmtId="164" formatCode="0.0"/>
    </dxf>
    <dxf>
      <font>
        <color rgb="FFFF0000"/>
      </font>
    </dxf>
    <dxf>
      <font>
        <color rgb="FFFF0000"/>
      </font>
    </dxf>
    <dxf>
      <font>
        <b/>
        <i val="0"/>
        <color rgb="FFFF0000"/>
      </font>
    </dxf>
    <dxf>
      <font>
        <b/>
        <i val="0"/>
        <color rgb="FFFF0000"/>
      </font>
    </dxf>
    <dxf>
      <font>
        <b/>
        <i val="0"/>
        <color rgb="FFFF0000"/>
      </font>
    </dxf>
    <dxf>
      <font>
        <b/>
        <i val="0"/>
        <color rgb="FFFF0000"/>
      </font>
    </dxf>
    <dxf>
      <font>
        <color theme="0"/>
      </font>
    </dxf>
    <dxf>
      <font>
        <color rgb="FFFF0000"/>
      </font>
    </dxf>
    <dxf>
      <font>
        <condense val="0"/>
        <extend val="0"/>
        <color indexed="9"/>
      </font>
    </dxf>
    <dxf>
      <font>
        <color rgb="FFFF0000"/>
      </font>
    </dxf>
    <dxf>
      <font>
        <color rgb="FFFF0000"/>
      </font>
    </dxf>
    <dxf>
      <numFmt numFmtId="174" formatCode="\ 0.0;\-0.0;;@\ "/>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numFmt numFmtId="1" formatCode="0"/>
    </dxf>
    <dxf>
      <font>
        <b/>
        <i val="0"/>
        <color rgb="FFFF0000"/>
      </font>
      <fill>
        <patternFill>
          <bgColor theme="0"/>
        </patternFill>
      </fill>
    </dxf>
    <dxf>
      <font>
        <condense val="0"/>
        <extend val="0"/>
        <color indexed="9"/>
      </font>
      <fill>
        <patternFill>
          <bgColor theme="0"/>
        </patternFill>
      </fill>
    </dxf>
    <dxf>
      <font>
        <color theme="0"/>
      </font>
      <fill>
        <patternFill>
          <fgColor theme="0"/>
          <bgColor theme="0"/>
        </patternFill>
      </fill>
    </dxf>
    <dxf>
      <font>
        <condense val="0"/>
        <extend val="0"/>
        <color indexed="9"/>
      </font>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1" formatCode="0"/>
    </dxf>
    <dxf>
      <numFmt numFmtId="1" formatCode="0"/>
    </dxf>
    <dxf>
      <numFmt numFmtId="1" formatCode="0"/>
    </dxf>
    <dxf>
      <numFmt numFmtId="1" formatCode="0"/>
    </dxf>
    <dxf>
      <numFmt numFmtId="1" formatCode="0"/>
    </dxf>
    <dxf>
      <numFmt numFmtId="1" formatCode="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color rgb="FFFF0000"/>
      </font>
      <fill>
        <patternFill>
          <fgColor theme="0"/>
          <bgColor theme="0"/>
        </patternFill>
      </fill>
    </dxf>
    <dxf>
      <font>
        <b val="0"/>
        <i val="0"/>
        <color rgb="FFFF0000"/>
      </font>
      <fill>
        <patternFill>
          <fgColor theme="0"/>
          <bgColor theme="0"/>
        </patternFill>
      </fill>
    </dxf>
    <dxf>
      <font>
        <b val="0"/>
        <i val="0"/>
        <color rgb="FFFF0000"/>
      </font>
      <fill>
        <patternFill>
          <fgColor theme="0"/>
          <bgColor theme="0"/>
        </patternFill>
      </fill>
    </dxf>
    <dxf>
      <border>
        <bottom/>
        <vertical/>
        <horizontal/>
      </border>
    </dxf>
    <dxf>
      <border>
        <top style="thin">
          <color auto="1"/>
        </top>
        <vertical/>
        <horizontal/>
      </border>
    </dxf>
    <dxf>
      <border>
        <bottom style="thin">
          <color auto="1"/>
        </bottom>
        <vertical/>
        <horizontal/>
      </border>
    </dxf>
    <dxf>
      <border>
        <top style="thin">
          <color auto="1"/>
        </top>
        <vertical/>
        <horizontal/>
      </border>
    </dxf>
    <dxf>
      <border>
        <left/>
        <vertical/>
        <horizontal/>
      </border>
    </dxf>
    <dxf>
      <font>
        <color rgb="FFCCFFFF"/>
      </font>
      <fill>
        <patternFill>
          <bgColor rgb="FFCCFFFF"/>
        </patternFill>
      </fill>
      <border>
        <top/>
        <vertical/>
        <horizontal/>
      </border>
    </dxf>
    <dxf>
      <font>
        <color theme="0"/>
      </font>
      <fill>
        <patternFill>
          <bgColor theme="0"/>
        </patternFill>
      </fill>
      <border>
        <right/>
        <vertical/>
        <horizontal/>
      </border>
    </dxf>
    <dxf>
      <font>
        <color theme="0"/>
      </font>
      <fill>
        <patternFill>
          <bgColor theme="0"/>
        </patternFill>
      </fill>
      <border>
        <right/>
        <top/>
        <bottom/>
      </border>
    </dxf>
    <dxf>
      <font>
        <color theme="0"/>
      </font>
      <fill>
        <patternFill>
          <bgColor theme="0"/>
        </patternFill>
      </fill>
      <border>
        <right/>
        <top style="thin">
          <color auto="1"/>
        </top>
        <bottom/>
        <vertical/>
        <horizontal/>
      </border>
    </dxf>
    <dxf>
      <font>
        <color theme="0"/>
      </font>
      <fill>
        <patternFill>
          <bgColor theme="0"/>
        </patternFill>
      </fill>
      <border>
        <right/>
        <top/>
        <bottom/>
        <vertical/>
        <horizontal/>
      </border>
    </dxf>
    <dxf>
      <border>
        <top/>
      </border>
    </dxf>
    <dxf>
      <border>
        <bottom style="thin">
          <color auto="1"/>
        </bottom>
        <vertical/>
        <horizontal/>
      </border>
    </dxf>
    <dxf>
      <font>
        <color theme="0"/>
      </font>
      <fill>
        <patternFill>
          <bgColor theme="0"/>
        </patternFill>
      </fill>
      <border>
        <right/>
        <bottom/>
        <vertical/>
        <horizontal/>
      </border>
    </dxf>
    <dxf>
      <border>
        <top style="thin">
          <color auto="1"/>
        </top>
        <vertical/>
        <horizontal/>
      </border>
    </dxf>
    <dxf>
      <border>
        <bottom style="thin">
          <color auto="1"/>
        </bottom>
        <vertical/>
        <horizontal/>
      </border>
    </dxf>
    <dxf>
      <border>
        <top style="thin">
          <color auto="1"/>
        </top>
        <vertical/>
        <horizontal/>
      </border>
    </dxf>
    <dxf>
      <border>
        <bottom style="thin">
          <color auto="1"/>
        </bottom>
        <vertical/>
        <horizontal/>
      </border>
    </dxf>
    <dxf>
      <border>
        <top style="thin">
          <color auto="1"/>
        </top>
        <vertical/>
        <horizontal/>
      </border>
    </dxf>
    <dxf>
      <border>
        <left/>
        <right/>
        <top style="thin">
          <color auto="1"/>
        </top>
        <bottom/>
        <vertical/>
        <horizontal/>
      </border>
    </dxf>
    <dxf>
      <font>
        <color theme="0"/>
      </font>
      <border>
        <left style="thin">
          <color auto="1"/>
        </left>
        <right/>
        <top/>
        <bottom/>
        <vertical/>
        <horizontal/>
      </border>
    </dxf>
    <dxf>
      <border>
        <left style="thin">
          <color auto="1"/>
        </left>
        <top style="thin">
          <color auto="1"/>
        </top>
        <bottom style="thin">
          <color auto="1"/>
        </bottom>
        <vertical/>
        <horizontal/>
      </border>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indexed="9"/>
        </patternFill>
      </fill>
      <border>
        <top/>
        <bottom/>
      </border>
    </dxf>
    <dxf>
      <font>
        <color theme="0"/>
      </font>
      <fill>
        <patternFill>
          <bgColor indexed="9"/>
        </patternFill>
      </fill>
      <border>
        <top/>
        <bottom/>
      </border>
    </dxf>
    <dxf>
      <font>
        <color theme="0"/>
      </font>
      <fill>
        <patternFill>
          <bgColor theme="0"/>
        </patternFill>
      </fill>
      <border>
        <top/>
        <bottom/>
      </border>
    </dxf>
    <dxf>
      <font>
        <color rgb="FFCCFFFF"/>
      </font>
      <fill>
        <patternFill>
          <bgColor rgb="FFCCFFFF"/>
        </patternFill>
      </fill>
    </dxf>
    <dxf>
      <font>
        <color theme="0"/>
      </font>
      <fill>
        <patternFill>
          <bgColor theme="0"/>
        </patternFill>
      </fill>
      <border>
        <left/>
        <right/>
        <top/>
        <bottom/>
      </border>
    </dxf>
    <dxf>
      <font>
        <condense val="0"/>
        <extend val="0"/>
        <color indexed="9"/>
      </font>
      <fill>
        <patternFill>
          <bgColor indexed="9"/>
        </patternFill>
      </fill>
      <border>
        <left/>
        <right/>
        <top/>
        <bottom/>
      </border>
    </dxf>
    <dxf>
      <font>
        <color rgb="FFCCFFFF"/>
      </font>
      <fill>
        <patternFill>
          <bgColor rgb="FFCCFFFF"/>
        </patternFill>
      </fill>
      <border>
        <right/>
        <top/>
        <bottom/>
      </border>
    </dxf>
    <dxf>
      <border>
        <top style="thin">
          <color auto="1"/>
        </top>
        <bottom style="thin">
          <color auto="1"/>
        </bottom>
        <vertical/>
        <horizontal/>
      </border>
    </dxf>
    <dxf>
      <font>
        <color theme="0"/>
      </font>
      <fill>
        <patternFill>
          <bgColor theme="0"/>
        </patternFill>
      </fill>
      <border>
        <left/>
        <right/>
        <top/>
        <bottom/>
      </border>
    </dxf>
    <dxf>
      <border>
        <right style="thin">
          <color auto="1"/>
        </right>
        <top style="thin">
          <color auto="1"/>
        </top>
        <bottom style="thin">
          <color auto="1"/>
        </bottom>
        <vertical/>
        <horizontal/>
      </border>
    </dxf>
    <dxf>
      <border>
        <bottom style="thin">
          <color auto="1"/>
        </bottom>
        <vertical/>
        <horizontal/>
      </border>
    </dxf>
    <dxf>
      <font>
        <color theme="0"/>
      </font>
      <fill>
        <patternFill>
          <bgColor theme="0"/>
        </patternFill>
      </fill>
      <border>
        <left/>
        <right/>
        <bottom/>
      </border>
    </dxf>
    <dxf>
      <font>
        <color theme="0"/>
      </font>
      <fill>
        <patternFill>
          <bgColor theme="0"/>
        </patternFill>
      </fill>
      <border>
        <left/>
        <right/>
        <bottom/>
      </border>
    </dxf>
    <dxf>
      <font>
        <color indexed="9"/>
      </font>
      <fill>
        <patternFill>
          <bgColor indexed="9"/>
        </patternFill>
      </fill>
      <border>
        <left/>
        <top/>
        <bottom/>
      </border>
    </dxf>
    <dxf>
      <font>
        <color theme="0"/>
      </font>
      <fill>
        <patternFill>
          <bgColor theme="0"/>
        </patternFill>
      </fill>
      <border>
        <right/>
        <top/>
        <bottom/>
      </border>
    </dxf>
    <dxf>
      <font>
        <condense val="0"/>
        <extend val="0"/>
        <color indexed="9"/>
      </font>
      <fill>
        <patternFill>
          <bgColor indexed="9"/>
        </patternFill>
      </fill>
      <border>
        <left/>
        <top/>
        <bottom/>
      </border>
    </dxf>
    <dxf>
      <font>
        <color theme="0"/>
      </font>
      <fill>
        <patternFill>
          <bgColor theme="0"/>
        </patternFill>
      </fill>
      <border>
        <left/>
        <top/>
        <bottom/>
      </border>
    </dxf>
    <dxf>
      <font>
        <color theme="0"/>
      </font>
      <fill>
        <patternFill>
          <bgColor theme="0"/>
        </patternFill>
      </fill>
      <border>
        <left/>
        <right/>
        <top/>
        <bottom/>
      </border>
    </dxf>
    <dxf>
      <font>
        <color theme="0"/>
      </font>
      <fill>
        <patternFill>
          <bgColor theme="0"/>
        </patternFill>
      </fill>
      <border>
        <left/>
        <top/>
        <bottom/>
      </border>
    </dxf>
    <dxf>
      <font>
        <color rgb="FFCCFFFF"/>
      </font>
      <fill>
        <patternFill>
          <bgColor rgb="FFCCFFFF"/>
        </patternFill>
      </fill>
      <border>
        <left/>
      </border>
    </dxf>
    <dxf>
      <font>
        <color rgb="FFCCFFFF"/>
      </font>
      <fill>
        <patternFill>
          <bgColor rgb="FFCCFFFF"/>
        </patternFill>
      </fill>
      <border>
        <right/>
        <top/>
        <bottom/>
      </border>
    </dxf>
    <dxf>
      <border>
        <top style="thin">
          <color auto="1"/>
        </top>
        <bottom style="thin">
          <color auto="1"/>
        </bottom>
        <vertical/>
        <horizontal/>
      </border>
    </dxf>
    <dxf>
      <font>
        <color rgb="FFCCFFFF"/>
      </font>
      <fill>
        <patternFill>
          <bgColor rgb="FFCCFFFF"/>
        </patternFill>
      </fill>
      <border>
        <left/>
        <top/>
        <bottom/>
      </border>
    </dxf>
    <dxf>
      <font>
        <color rgb="FFCCFFFF"/>
      </font>
      <fill>
        <patternFill>
          <bgColor rgb="FFCCFFFF"/>
        </patternFill>
      </fill>
      <border>
        <right/>
        <top/>
        <bottom/>
      </border>
    </dxf>
    <dxf>
      <border>
        <top style="thin">
          <color auto="1"/>
        </top>
        <bottom style="thin">
          <color auto="1"/>
        </bottom>
        <vertical/>
        <horizontal/>
      </border>
    </dxf>
    <dxf>
      <font>
        <color theme="0"/>
        <name val="Cambria"/>
        <scheme val="none"/>
      </font>
      <fill>
        <patternFill>
          <bgColor theme="0"/>
        </patternFill>
      </fill>
      <border>
        <left/>
        <right/>
        <top/>
        <bottom/>
      </border>
    </dxf>
    <dxf>
      <numFmt numFmtId="175" formatCode="#\ &quot;Bu's&quot;"/>
    </dxf>
    <dxf>
      <numFmt numFmtId="172" formatCode="#.0\ &quot; kN&quot;"/>
    </dxf>
    <dxf>
      <font>
        <color theme="0"/>
      </font>
      <fill>
        <patternFill>
          <bgColor theme="0"/>
        </patternFill>
      </fill>
      <border>
        <left/>
        <right/>
        <top style="thin">
          <color indexed="64"/>
        </top>
      </border>
    </dxf>
    <dxf>
      <font>
        <color theme="0"/>
      </font>
      <fill>
        <patternFill>
          <bgColor theme="0"/>
        </patternFill>
      </fill>
      <border>
        <left/>
        <right/>
        <top/>
        <bottom/>
      </border>
    </dxf>
    <dxf>
      <font>
        <color theme="0"/>
        <name val="Cambria"/>
        <scheme val="none"/>
      </font>
      <fill>
        <patternFill>
          <bgColor theme="0"/>
        </patternFill>
      </fill>
      <border>
        <left/>
        <right/>
        <top/>
        <bottom/>
      </border>
    </dxf>
    <dxf>
      <font>
        <color rgb="FFCCFFFF"/>
      </font>
      <fill>
        <patternFill>
          <bgColor rgb="FFCCFFFF"/>
        </patternFill>
      </fill>
      <border>
        <right/>
        <top/>
        <bottom/>
      </border>
    </dxf>
    <dxf>
      <border>
        <bottom style="thin">
          <color auto="1"/>
        </bottom>
        <vertical/>
        <horizontal/>
      </border>
    </dxf>
    <dxf>
      <font>
        <color rgb="FFCCFFFF"/>
      </font>
      <fill>
        <patternFill>
          <bgColor rgb="FFCCFFFF"/>
        </patternFill>
      </fill>
      <border>
        <left/>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b/>
        <i val="0"/>
        <color rgb="FFFF0000"/>
      </font>
      <fill>
        <patternFill>
          <fgColor theme="0"/>
          <bgColor theme="0"/>
        </patternFill>
      </fill>
    </dxf>
    <dxf>
      <font>
        <b/>
        <i val="0"/>
        <color rgb="FFFF0000"/>
      </font>
      <fill>
        <patternFill>
          <fgColor theme="0"/>
          <bgColor theme="0"/>
        </patternFill>
      </fill>
    </dxf>
    <dxf>
      <numFmt numFmtId="164" formatCode="0.0"/>
    </dxf>
    <dxf>
      <fill>
        <patternFill>
          <bgColor theme="8" tint="0.39994506668294322"/>
        </patternFill>
      </fill>
    </dxf>
    <dxf>
      <fill>
        <patternFill>
          <bgColor theme="9" tint="0.39994506668294322"/>
        </patternFill>
      </fill>
    </dxf>
    <dxf>
      <fill>
        <patternFill>
          <bgColor theme="8" tint="0.39994506668294322"/>
        </patternFill>
      </fill>
    </dxf>
    <dxf>
      <fill>
        <patternFill>
          <bgColor theme="0"/>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0"/>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FFE3FF"/>
      <rgbColor rgb="00DBFFDB"/>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666699"/>
      <color rgb="FFFF00FF"/>
      <color rgb="FFCCFFFF"/>
      <color rgb="FFF2DCDB"/>
      <color rgb="FFFFFFFF"/>
      <color rgb="FFFFCCCC"/>
      <color rgb="FFFFCCFF"/>
      <color rgb="FF008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77</xdr:row>
      <xdr:rowOff>85725</xdr:rowOff>
    </xdr:from>
    <xdr:to>
      <xdr:col>10</xdr:col>
      <xdr:colOff>582083</xdr:colOff>
      <xdr:row>88</xdr:row>
      <xdr:rowOff>9525</xdr:rowOff>
    </xdr:to>
    <xdr:pic>
      <xdr:nvPicPr>
        <xdr:cNvPr id="344502" name="Picture 2105">
          <a:extLst>
            <a:ext uri="{FF2B5EF4-FFF2-40B4-BE49-F238E27FC236}">
              <a16:creationId xmlns:a16="http://schemas.microsoft.com/office/drawing/2014/main" id="{00000000-0008-0000-0300-0000B641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3367808"/>
          <a:ext cx="6832600" cy="167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32</xdr:row>
      <xdr:rowOff>142875</xdr:rowOff>
    </xdr:from>
    <xdr:to>
      <xdr:col>7</xdr:col>
      <xdr:colOff>600075</xdr:colOff>
      <xdr:row>34</xdr:row>
      <xdr:rowOff>142875</xdr:rowOff>
    </xdr:to>
    <xdr:sp macro="" textlink="">
      <xdr:nvSpPr>
        <xdr:cNvPr id="344503" name="Line 6">
          <a:extLst>
            <a:ext uri="{FF2B5EF4-FFF2-40B4-BE49-F238E27FC236}">
              <a16:creationId xmlns:a16="http://schemas.microsoft.com/office/drawing/2014/main" id="{00000000-0008-0000-0300-0000B7410500}"/>
            </a:ext>
          </a:extLst>
        </xdr:cNvPr>
        <xdr:cNvSpPr>
          <a:spLocks noChangeShapeType="1"/>
        </xdr:cNvSpPr>
      </xdr:nvSpPr>
      <xdr:spPr bwMode="auto">
        <a:xfrm flipH="1" flipV="1">
          <a:off x="4286250" y="4838700"/>
          <a:ext cx="1057275" cy="323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200025</xdr:colOff>
      <xdr:row>35</xdr:row>
      <xdr:rowOff>0</xdr:rowOff>
    </xdr:from>
    <xdr:to>
      <xdr:col>7</xdr:col>
      <xdr:colOff>571500</xdr:colOff>
      <xdr:row>38</xdr:row>
      <xdr:rowOff>57150</xdr:rowOff>
    </xdr:to>
    <xdr:sp macro="" textlink="">
      <xdr:nvSpPr>
        <xdr:cNvPr id="344504" name="Line 7">
          <a:extLst>
            <a:ext uri="{FF2B5EF4-FFF2-40B4-BE49-F238E27FC236}">
              <a16:creationId xmlns:a16="http://schemas.microsoft.com/office/drawing/2014/main" id="{00000000-0008-0000-0300-0000B8410500}"/>
            </a:ext>
          </a:extLst>
        </xdr:cNvPr>
        <xdr:cNvSpPr>
          <a:spLocks noChangeShapeType="1"/>
        </xdr:cNvSpPr>
      </xdr:nvSpPr>
      <xdr:spPr bwMode="auto">
        <a:xfrm flipH="1">
          <a:off x="4229100" y="5181600"/>
          <a:ext cx="10858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209550</xdr:colOff>
      <xdr:row>34</xdr:row>
      <xdr:rowOff>152400</xdr:rowOff>
    </xdr:from>
    <xdr:to>
      <xdr:col>7</xdr:col>
      <xdr:colOff>571500</xdr:colOff>
      <xdr:row>44</xdr:row>
      <xdr:rowOff>85725</xdr:rowOff>
    </xdr:to>
    <xdr:sp macro="" textlink="">
      <xdr:nvSpPr>
        <xdr:cNvPr id="344505" name="Line 8">
          <a:extLst>
            <a:ext uri="{FF2B5EF4-FFF2-40B4-BE49-F238E27FC236}">
              <a16:creationId xmlns:a16="http://schemas.microsoft.com/office/drawing/2014/main" id="{00000000-0008-0000-0300-0000B9410500}"/>
            </a:ext>
          </a:extLst>
        </xdr:cNvPr>
        <xdr:cNvSpPr>
          <a:spLocks noChangeShapeType="1"/>
        </xdr:cNvSpPr>
      </xdr:nvSpPr>
      <xdr:spPr bwMode="auto">
        <a:xfrm flipH="1">
          <a:off x="4238625" y="5172075"/>
          <a:ext cx="1076325" cy="1552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53788</xdr:colOff>
      <xdr:row>1</xdr:row>
      <xdr:rowOff>199462</xdr:rowOff>
    </xdr:from>
    <xdr:to>
      <xdr:col>39</xdr:col>
      <xdr:colOff>165417</xdr:colOff>
      <xdr:row>15</xdr:row>
      <xdr:rowOff>221806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0470" y="298074"/>
          <a:ext cx="6440711" cy="2505567"/>
        </a:xfrm>
        <a:prstGeom prst="rect">
          <a:avLst/>
        </a:prstGeom>
      </xdr:spPr>
    </xdr:pic>
    <xdr:clientData/>
  </xdr:twoCellAnchor>
  <xdr:twoCellAnchor editAs="oneCell">
    <xdr:from>
      <xdr:col>29</xdr:col>
      <xdr:colOff>33618</xdr:colOff>
      <xdr:row>19</xdr:row>
      <xdr:rowOff>4</xdr:rowOff>
    </xdr:from>
    <xdr:to>
      <xdr:col>39</xdr:col>
      <xdr:colOff>530457</xdr:colOff>
      <xdr:row>36</xdr:row>
      <xdr:rowOff>104801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0" y="3810004"/>
          <a:ext cx="6548018" cy="27157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120651</xdr:colOff>
      <xdr:row>31</xdr:row>
      <xdr:rowOff>69850</xdr:rowOff>
    </xdr:from>
    <xdr:to>
      <xdr:col>27</xdr:col>
      <xdr:colOff>650876</xdr:colOff>
      <xdr:row>40</xdr:row>
      <xdr:rowOff>165100</xdr:rowOff>
    </xdr:to>
    <xdr:pic>
      <xdr:nvPicPr>
        <xdr:cNvPr id="345251" name="Picture 248" descr="Mono Roof Single sub">
          <a:extLst>
            <a:ext uri="{FF2B5EF4-FFF2-40B4-BE49-F238E27FC236}">
              <a16:creationId xmlns:a16="http://schemas.microsoft.com/office/drawing/2014/main" id="{00000000-0008-0000-0500-0000A34405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239318" y="5920317"/>
          <a:ext cx="27146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112184</xdr:colOff>
      <xdr:row>31</xdr:row>
      <xdr:rowOff>60324</xdr:rowOff>
    </xdr:from>
    <xdr:to>
      <xdr:col>22</xdr:col>
      <xdr:colOff>709084</xdr:colOff>
      <xdr:row>40</xdr:row>
      <xdr:rowOff>12699</xdr:rowOff>
    </xdr:to>
    <xdr:pic>
      <xdr:nvPicPr>
        <xdr:cNvPr id="345252" name="Picture 249" descr="Mono Roof Single">
          <a:extLst>
            <a:ext uri="{FF2B5EF4-FFF2-40B4-BE49-F238E27FC236}">
              <a16:creationId xmlns:a16="http://schemas.microsoft.com/office/drawing/2014/main" id="{00000000-0008-0000-0500-0000A444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4971184" y="5910791"/>
          <a:ext cx="27813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206375</xdr:colOff>
      <xdr:row>43</xdr:row>
      <xdr:rowOff>19049</xdr:rowOff>
    </xdr:from>
    <xdr:to>
      <xdr:col>27</xdr:col>
      <xdr:colOff>584200</xdr:colOff>
      <xdr:row>53</xdr:row>
      <xdr:rowOff>186266</xdr:rowOff>
    </xdr:to>
    <xdr:pic>
      <xdr:nvPicPr>
        <xdr:cNvPr id="345253" name="Picture 251" descr="Mono Roof 2 storey sub">
          <a:extLst>
            <a:ext uri="{FF2B5EF4-FFF2-40B4-BE49-F238E27FC236}">
              <a16:creationId xmlns:a16="http://schemas.microsoft.com/office/drawing/2014/main" id="{00000000-0008-0000-0500-0000A544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8325042" y="8206316"/>
          <a:ext cx="25622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112184</xdr:colOff>
      <xdr:row>43</xdr:row>
      <xdr:rowOff>61382</xdr:rowOff>
    </xdr:from>
    <xdr:to>
      <xdr:col>22</xdr:col>
      <xdr:colOff>690034</xdr:colOff>
      <xdr:row>53</xdr:row>
      <xdr:rowOff>180974</xdr:rowOff>
    </xdr:to>
    <xdr:pic>
      <xdr:nvPicPr>
        <xdr:cNvPr id="345254" name="Picture 252" descr="Mono Roof 2 storey">
          <a:extLst>
            <a:ext uri="{FF2B5EF4-FFF2-40B4-BE49-F238E27FC236}">
              <a16:creationId xmlns:a16="http://schemas.microsoft.com/office/drawing/2014/main" id="{00000000-0008-0000-0500-0000A644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4971184" y="8248649"/>
          <a:ext cx="276225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9524</xdr:colOff>
      <xdr:row>68</xdr:row>
      <xdr:rowOff>51859</xdr:rowOff>
    </xdr:from>
    <xdr:to>
      <xdr:col>23</xdr:col>
      <xdr:colOff>321733</xdr:colOff>
      <xdr:row>75</xdr:row>
      <xdr:rowOff>187325</xdr:rowOff>
    </xdr:to>
    <xdr:pic>
      <xdr:nvPicPr>
        <xdr:cNvPr id="345255" name="Picture 10" descr="NewTopoEscarp3.JPG">
          <a:extLst>
            <a:ext uri="{FF2B5EF4-FFF2-40B4-BE49-F238E27FC236}">
              <a16:creationId xmlns:a16="http://schemas.microsoft.com/office/drawing/2014/main" id="{00000000-0008-0000-0500-0000A74405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868524" y="13107459"/>
          <a:ext cx="3224742" cy="149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28575</xdr:colOff>
      <xdr:row>57</xdr:row>
      <xdr:rowOff>9525</xdr:rowOff>
    </xdr:from>
    <xdr:to>
      <xdr:col>23</xdr:col>
      <xdr:colOff>339090</xdr:colOff>
      <xdr:row>64</xdr:row>
      <xdr:rowOff>171450</xdr:rowOff>
    </xdr:to>
    <xdr:pic>
      <xdr:nvPicPr>
        <xdr:cNvPr id="345256" name="Picture 11" descr="NewTopoHill3.JPG">
          <a:extLst>
            <a:ext uri="{FF2B5EF4-FFF2-40B4-BE49-F238E27FC236}">
              <a16:creationId xmlns:a16="http://schemas.microsoft.com/office/drawing/2014/main" id="{00000000-0008-0000-0500-0000A84405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887575" y="10923058"/>
          <a:ext cx="3223048" cy="1525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78317</xdr:colOff>
      <xdr:row>18</xdr:row>
      <xdr:rowOff>103715</xdr:rowOff>
    </xdr:from>
    <xdr:to>
      <xdr:col>27</xdr:col>
      <xdr:colOff>656167</xdr:colOff>
      <xdr:row>28</xdr:row>
      <xdr:rowOff>147106</xdr:rowOff>
    </xdr:to>
    <xdr:pic>
      <xdr:nvPicPr>
        <xdr:cNvPr id="345257" name="Picture 13" descr="dssu_50.bmp">
          <a:extLst>
            <a:ext uri="{FF2B5EF4-FFF2-40B4-BE49-F238E27FC236}">
              <a16:creationId xmlns:a16="http://schemas.microsoft.com/office/drawing/2014/main" id="{00000000-0008-0000-0500-0000A94405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8196984" y="3422648"/>
          <a:ext cx="2762250"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68791</xdr:colOff>
      <xdr:row>18</xdr:row>
      <xdr:rowOff>87841</xdr:rowOff>
    </xdr:from>
    <xdr:to>
      <xdr:col>22</xdr:col>
      <xdr:colOff>656166</xdr:colOff>
      <xdr:row>28</xdr:row>
      <xdr:rowOff>131232</xdr:rowOff>
    </xdr:to>
    <xdr:pic>
      <xdr:nvPicPr>
        <xdr:cNvPr id="345258" name="Picture 14" descr="DSS_50.bmp">
          <a:extLst>
            <a:ext uri="{FF2B5EF4-FFF2-40B4-BE49-F238E27FC236}">
              <a16:creationId xmlns:a16="http://schemas.microsoft.com/office/drawing/2014/main" id="{00000000-0008-0000-0500-0000AA44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4927791" y="3406774"/>
          <a:ext cx="277177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82550</xdr:colOff>
      <xdr:row>7</xdr:row>
      <xdr:rowOff>80431</xdr:rowOff>
    </xdr:from>
    <xdr:to>
      <xdr:col>22</xdr:col>
      <xdr:colOff>660400</xdr:colOff>
      <xdr:row>15</xdr:row>
      <xdr:rowOff>103715</xdr:rowOff>
    </xdr:to>
    <xdr:pic>
      <xdr:nvPicPr>
        <xdr:cNvPr id="345259" name="Picture 15" descr="Single.slab.typical.cropped.bmp">
          <a:extLst>
            <a:ext uri="{FF2B5EF4-FFF2-40B4-BE49-F238E27FC236}">
              <a16:creationId xmlns:a16="http://schemas.microsoft.com/office/drawing/2014/main" id="{00000000-0008-0000-0500-0000AB4405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4941550" y="1257298"/>
          <a:ext cx="2762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63500</xdr:colOff>
      <xdr:row>7</xdr:row>
      <xdr:rowOff>52916</xdr:rowOff>
    </xdr:from>
    <xdr:to>
      <xdr:col>27</xdr:col>
      <xdr:colOff>650875</xdr:colOff>
      <xdr:row>15</xdr:row>
      <xdr:rowOff>104775</xdr:rowOff>
    </xdr:to>
    <xdr:pic>
      <xdr:nvPicPr>
        <xdr:cNvPr id="345260" name="Picture 16" descr="Single.Slab.Typical.Cropped._50v1.bmp">
          <a:extLst>
            <a:ext uri="{FF2B5EF4-FFF2-40B4-BE49-F238E27FC236}">
              <a16:creationId xmlns:a16="http://schemas.microsoft.com/office/drawing/2014/main" id="{00000000-0008-0000-0500-0000AC4405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8182167" y="1229783"/>
          <a:ext cx="27717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EF88"/>
  <sheetViews>
    <sheetView zoomScale="90" zoomScaleNormal="90" workbookViewId="0">
      <selection activeCell="C5" sqref="C5"/>
    </sheetView>
  </sheetViews>
  <sheetFormatPr defaultRowHeight="12.75"/>
  <cols>
    <col min="1" max="1" width="1.7109375" style="1" customWidth="1"/>
    <col min="2" max="2" width="3" style="1" customWidth="1"/>
    <col min="3" max="3" width="99" style="1" customWidth="1"/>
    <col min="4" max="4" width="3.28515625" style="1" customWidth="1"/>
    <col min="5" max="6" width="9.140625" style="1151"/>
    <col min="7" max="41" width="9.140625" style="1188"/>
  </cols>
  <sheetData>
    <row r="1" spans="2:41" s="1" customFormat="1" ht="9.75" customHeight="1" thickBot="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row>
    <row r="2" spans="2:41" s="1" customFormat="1" ht="15.75" customHeight="1">
      <c r="B2" s="1825"/>
      <c r="C2" s="1827" t="str">
        <f>B19</f>
        <v>Elephant QuickBrace™ September 2018  V.1.0</v>
      </c>
      <c r="D2" s="1829"/>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row>
    <row r="3" spans="2:41" s="1" customFormat="1" ht="12" customHeight="1" thickBot="1">
      <c r="B3" s="1826"/>
      <c r="C3" s="1828"/>
      <c r="D3" s="1830"/>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row>
    <row r="4" spans="2:41" s="15" customFormat="1" ht="30.75" customHeight="1">
      <c r="B4" s="174"/>
      <c r="C4" s="175" t="s">
        <v>220</v>
      </c>
      <c r="D4" s="1189"/>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row>
    <row r="5" spans="2:41" s="15" customFormat="1" ht="39" customHeight="1">
      <c r="B5" s="174"/>
      <c r="C5" s="551" t="s">
        <v>604</v>
      </c>
      <c r="D5" s="1189"/>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row>
    <row r="6" spans="2:41" s="15" customFormat="1" ht="9.75" customHeight="1">
      <c r="B6" s="174"/>
      <c r="C6" s="1190"/>
      <c r="D6" s="1189"/>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row>
    <row r="7" spans="2:41" s="15" customFormat="1" ht="20.100000000000001" customHeight="1">
      <c r="B7" s="174"/>
      <c r="C7" s="176" t="s">
        <v>51</v>
      </c>
      <c r="D7" s="1189"/>
      <c r="E7" s="1195"/>
      <c r="F7" s="1195"/>
      <c r="G7" s="1195"/>
      <c r="H7" s="1195"/>
      <c r="I7" s="1195"/>
      <c r="J7" s="1195"/>
      <c r="K7" s="1195"/>
      <c r="L7" s="1195"/>
      <c r="M7" s="1195"/>
      <c r="N7" s="1195"/>
      <c r="O7" s="1195"/>
      <c r="P7" s="1195"/>
      <c r="Q7" s="1195"/>
      <c r="R7" s="1195"/>
      <c r="S7" s="1195"/>
      <c r="T7" s="1195"/>
      <c r="U7" s="1195"/>
      <c r="V7" s="1195"/>
      <c r="W7" s="1195"/>
      <c r="X7" s="1195"/>
      <c r="Y7" s="1195"/>
      <c r="Z7" s="1195"/>
      <c r="AA7" s="1195"/>
      <c r="AB7" s="1195"/>
      <c r="AC7" s="1195"/>
      <c r="AD7" s="1195"/>
      <c r="AE7" s="1195"/>
      <c r="AF7" s="1195"/>
      <c r="AG7" s="1195"/>
      <c r="AH7" s="1195"/>
      <c r="AI7" s="1195"/>
      <c r="AJ7" s="1195"/>
      <c r="AK7" s="1195"/>
      <c r="AL7" s="1195"/>
      <c r="AM7" s="1195"/>
      <c r="AN7" s="1195"/>
      <c r="AO7" s="1195"/>
    </row>
    <row r="8" spans="2:41" s="15" customFormat="1" ht="116.25" customHeight="1">
      <c r="B8" s="174"/>
      <c r="C8" s="1031" t="s">
        <v>967</v>
      </c>
      <c r="D8" s="1189"/>
      <c r="E8" s="1195"/>
      <c r="F8" s="1195"/>
      <c r="G8" s="1195"/>
      <c r="H8" s="1195"/>
      <c r="I8" s="1195"/>
      <c r="J8" s="1195"/>
      <c r="K8" s="1195"/>
      <c r="L8" s="1195"/>
      <c r="M8" s="1195"/>
      <c r="N8" s="1195"/>
      <c r="O8" s="1195"/>
      <c r="P8" s="1195"/>
      <c r="Q8" s="1195"/>
      <c r="R8" s="1195"/>
      <c r="S8" s="1195"/>
      <c r="T8" s="1195"/>
      <c r="U8" s="1195"/>
      <c r="V8" s="1195"/>
      <c r="W8" s="1195"/>
      <c r="X8" s="1195"/>
      <c r="Y8" s="1195"/>
      <c r="Z8" s="1195"/>
      <c r="AA8" s="1195"/>
      <c r="AB8" s="1195"/>
      <c r="AC8" s="1195"/>
      <c r="AD8" s="1195"/>
      <c r="AE8" s="1195"/>
      <c r="AF8" s="1195"/>
      <c r="AG8" s="1195"/>
      <c r="AH8" s="1195"/>
      <c r="AI8" s="1195"/>
      <c r="AJ8" s="1195"/>
      <c r="AK8" s="1195"/>
      <c r="AL8" s="1195"/>
      <c r="AM8" s="1195"/>
      <c r="AN8" s="1195"/>
      <c r="AO8" s="1195"/>
    </row>
    <row r="9" spans="2:41" s="15" customFormat="1" ht="13.5" customHeight="1">
      <c r="B9" s="174"/>
      <c r="C9" s="1190"/>
      <c r="D9" s="1189"/>
      <c r="E9" s="1195"/>
      <c r="F9" s="1195"/>
      <c r="G9" s="1195"/>
      <c r="H9" s="1195"/>
      <c r="I9" s="1195"/>
      <c r="J9" s="1195"/>
      <c r="K9" s="1195"/>
      <c r="L9" s="1195"/>
      <c r="M9" s="1195"/>
      <c r="N9" s="1195"/>
      <c r="O9" s="1195"/>
      <c r="P9" s="1195"/>
      <c r="Q9" s="1195"/>
      <c r="R9" s="1195"/>
      <c r="S9" s="1195"/>
      <c r="T9" s="1195"/>
      <c r="U9" s="1195"/>
      <c r="V9" s="1195"/>
      <c r="W9" s="1195"/>
      <c r="X9" s="1195"/>
      <c r="Y9" s="1195"/>
      <c r="Z9" s="1195"/>
      <c r="AA9" s="1195"/>
      <c r="AB9" s="1195"/>
      <c r="AC9" s="1195"/>
      <c r="AD9" s="1195"/>
      <c r="AE9" s="1195"/>
      <c r="AF9" s="1195"/>
      <c r="AG9" s="1195"/>
      <c r="AH9" s="1195"/>
      <c r="AI9" s="1195"/>
      <c r="AJ9" s="1195"/>
      <c r="AK9" s="1195"/>
      <c r="AL9" s="1195"/>
      <c r="AM9" s="1195"/>
      <c r="AN9" s="1195"/>
      <c r="AO9" s="1195"/>
    </row>
    <row r="10" spans="2:41" s="15" customFormat="1" ht="20.100000000000001" customHeight="1">
      <c r="B10" s="174"/>
      <c r="C10" s="176" t="s">
        <v>52</v>
      </c>
      <c r="D10" s="1189"/>
      <c r="E10" s="1195"/>
      <c r="F10" s="1195"/>
      <c r="G10" s="1195"/>
      <c r="H10" s="1195"/>
      <c r="I10" s="1195"/>
      <c r="J10" s="1195"/>
      <c r="K10" s="1195"/>
      <c r="L10" s="1195"/>
      <c r="M10" s="1195"/>
      <c r="N10" s="1195"/>
      <c r="O10" s="1195"/>
      <c r="P10" s="1195"/>
      <c r="Q10" s="1195"/>
      <c r="R10" s="1195"/>
      <c r="S10" s="1195"/>
      <c r="T10" s="1195"/>
      <c r="U10" s="1195"/>
      <c r="V10" s="1195"/>
      <c r="W10" s="1195"/>
      <c r="X10" s="1195"/>
      <c r="Y10" s="1195"/>
      <c r="Z10" s="1195"/>
      <c r="AA10" s="1195"/>
      <c r="AB10" s="1195"/>
      <c r="AC10" s="1195"/>
      <c r="AD10" s="1195"/>
      <c r="AE10" s="1195"/>
      <c r="AF10" s="1195"/>
      <c r="AG10" s="1195"/>
      <c r="AH10" s="1195"/>
      <c r="AI10" s="1195"/>
      <c r="AJ10" s="1195"/>
      <c r="AK10" s="1195"/>
      <c r="AL10" s="1195"/>
      <c r="AM10" s="1195"/>
      <c r="AN10" s="1195"/>
      <c r="AO10" s="1195"/>
    </row>
    <row r="11" spans="2:41" s="15" customFormat="1" ht="101.25" customHeight="1">
      <c r="B11" s="174"/>
      <c r="C11" s="551" t="s">
        <v>1033</v>
      </c>
      <c r="D11" s="1189"/>
      <c r="E11" s="1195"/>
      <c r="F11" s="1195"/>
      <c r="G11" s="1195"/>
      <c r="H11" s="1195"/>
      <c r="I11" s="1195"/>
      <c r="J11" s="1195"/>
      <c r="K11" s="1195"/>
      <c r="L11" s="1195"/>
      <c r="M11" s="1195"/>
      <c r="N11" s="1195"/>
      <c r="O11" s="1195"/>
      <c r="P11" s="1195"/>
      <c r="Q11" s="1195"/>
      <c r="R11" s="1195"/>
      <c r="S11" s="1195"/>
      <c r="T11" s="1195"/>
      <c r="U11" s="1195"/>
      <c r="V11" s="1195"/>
      <c r="W11" s="1195"/>
      <c r="X11" s="1195"/>
      <c r="Y11" s="1195"/>
      <c r="Z11" s="1195"/>
      <c r="AA11" s="1195"/>
      <c r="AB11" s="1195"/>
      <c r="AC11" s="1195"/>
      <c r="AD11" s="1195"/>
      <c r="AE11" s="1195"/>
      <c r="AF11" s="1195"/>
      <c r="AG11" s="1195"/>
      <c r="AH11" s="1195"/>
      <c r="AI11" s="1195"/>
      <c r="AJ11" s="1195"/>
      <c r="AK11" s="1195"/>
      <c r="AL11" s="1195"/>
      <c r="AM11" s="1195"/>
      <c r="AN11" s="1195"/>
      <c r="AO11" s="1195"/>
    </row>
    <row r="12" spans="2:41" s="15" customFormat="1" ht="11.25" customHeight="1">
      <c r="B12" s="174"/>
      <c r="C12" s="1190"/>
      <c r="D12" s="1189"/>
      <c r="E12" s="1195"/>
      <c r="F12" s="1195"/>
      <c r="G12" s="1195"/>
      <c r="H12" s="1195"/>
      <c r="I12" s="1195"/>
      <c r="J12" s="1195"/>
      <c r="K12" s="1195"/>
      <c r="L12" s="1195"/>
      <c r="M12" s="1195"/>
      <c r="N12" s="1195"/>
      <c r="O12" s="1195"/>
      <c r="P12" s="1195"/>
      <c r="Q12" s="1195"/>
      <c r="R12" s="1195"/>
      <c r="S12" s="1195"/>
      <c r="T12" s="1195"/>
      <c r="U12" s="1195"/>
      <c r="V12" s="1195"/>
      <c r="W12" s="1195"/>
      <c r="X12" s="1195"/>
      <c r="Y12" s="1195"/>
      <c r="Z12" s="1195"/>
      <c r="AA12" s="1195"/>
      <c r="AB12" s="1195"/>
      <c r="AC12" s="1195"/>
      <c r="AD12" s="1195"/>
      <c r="AE12" s="1195"/>
      <c r="AF12" s="1195"/>
      <c r="AG12" s="1195"/>
      <c r="AH12" s="1195"/>
      <c r="AI12" s="1195"/>
      <c r="AJ12" s="1195"/>
      <c r="AK12" s="1195"/>
      <c r="AL12" s="1195"/>
      <c r="AM12" s="1195"/>
      <c r="AN12" s="1195"/>
      <c r="AO12" s="1195"/>
    </row>
    <row r="13" spans="2:41" s="15" customFormat="1" ht="20.100000000000001" customHeight="1">
      <c r="B13" s="174"/>
      <c r="C13" s="176" t="s">
        <v>53</v>
      </c>
      <c r="D13" s="1189"/>
      <c r="E13" s="1195"/>
      <c r="F13" s="1195"/>
      <c r="G13" s="1195"/>
      <c r="H13" s="1195"/>
      <c r="I13" s="1195"/>
      <c r="J13" s="1195"/>
      <c r="K13" s="1195"/>
      <c r="L13" s="1195"/>
      <c r="M13" s="1195"/>
      <c r="N13" s="1195"/>
      <c r="O13" s="1195"/>
      <c r="P13" s="1195"/>
      <c r="Q13" s="1195"/>
      <c r="R13" s="1195"/>
      <c r="S13" s="1195"/>
      <c r="T13" s="1195"/>
      <c r="U13" s="1195"/>
      <c r="V13" s="1195"/>
      <c r="W13" s="1195"/>
      <c r="X13" s="1195"/>
      <c r="Y13" s="1195"/>
      <c r="Z13" s="1195"/>
      <c r="AA13" s="1195"/>
      <c r="AB13" s="1195"/>
      <c r="AC13" s="1195"/>
      <c r="AD13" s="1195"/>
      <c r="AE13" s="1195"/>
      <c r="AF13" s="1195"/>
      <c r="AG13" s="1195"/>
      <c r="AH13" s="1195"/>
      <c r="AI13" s="1195"/>
      <c r="AJ13" s="1195"/>
      <c r="AK13" s="1195"/>
      <c r="AL13" s="1195"/>
      <c r="AM13" s="1195"/>
      <c r="AN13" s="1195"/>
      <c r="AO13" s="1195"/>
    </row>
    <row r="14" spans="2:41" s="15" customFormat="1" ht="92.25" customHeight="1">
      <c r="B14" s="174"/>
      <c r="C14" s="551" t="s">
        <v>966</v>
      </c>
      <c r="D14" s="1189"/>
      <c r="E14" s="1195"/>
      <c r="F14" s="1195"/>
      <c r="G14" s="1195"/>
      <c r="H14" s="1195"/>
      <c r="I14" s="1195"/>
      <c r="J14" s="1195"/>
      <c r="K14" s="1195"/>
      <c r="L14" s="1195"/>
      <c r="M14" s="1195"/>
      <c r="N14" s="1195"/>
      <c r="O14" s="1195"/>
      <c r="P14" s="1195"/>
      <c r="Q14" s="1195"/>
      <c r="R14" s="1195"/>
      <c r="S14" s="1195"/>
      <c r="T14" s="1195"/>
      <c r="U14" s="1195"/>
      <c r="V14" s="1195"/>
      <c r="W14" s="1195"/>
      <c r="X14" s="1195"/>
      <c r="Y14" s="1195"/>
      <c r="Z14" s="1195"/>
      <c r="AA14" s="1195"/>
      <c r="AB14" s="1195"/>
      <c r="AC14" s="1195"/>
      <c r="AD14" s="1195"/>
      <c r="AE14" s="1195"/>
      <c r="AF14" s="1195"/>
      <c r="AG14" s="1195"/>
      <c r="AH14" s="1195"/>
      <c r="AI14" s="1195"/>
      <c r="AJ14" s="1195"/>
      <c r="AK14" s="1195"/>
      <c r="AL14" s="1195"/>
      <c r="AM14" s="1195"/>
      <c r="AN14" s="1195"/>
      <c r="AO14" s="1195"/>
    </row>
    <row r="15" spans="2:41" s="15" customFormat="1" ht="10.5" customHeight="1">
      <c r="B15" s="174"/>
      <c r="C15" s="1190"/>
      <c r="D15" s="1189"/>
      <c r="E15" s="1195"/>
      <c r="F15" s="1195"/>
      <c r="G15" s="1195"/>
      <c r="H15" s="1195"/>
      <c r="I15" s="1195"/>
      <c r="J15" s="1195"/>
      <c r="K15" s="1195"/>
      <c r="L15" s="1195"/>
      <c r="M15" s="1195"/>
      <c r="N15" s="1195"/>
      <c r="O15" s="1195"/>
      <c r="P15" s="1195"/>
      <c r="Q15" s="1195"/>
      <c r="R15" s="1195"/>
      <c r="S15" s="1195"/>
      <c r="T15" s="1195"/>
      <c r="U15" s="1195"/>
      <c r="V15" s="1195"/>
      <c r="W15" s="1195"/>
      <c r="X15" s="1195"/>
      <c r="Y15" s="1195"/>
      <c r="Z15" s="1195"/>
      <c r="AA15" s="1195"/>
      <c r="AB15" s="1195"/>
      <c r="AC15" s="1195"/>
      <c r="AD15" s="1195"/>
      <c r="AE15" s="1195"/>
      <c r="AF15" s="1195"/>
      <c r="AG15" s="1195"/>
      <c r="AH15" s="1195"/>
      <c r="AI15" s="1195"/>
      <c r="AJ15" s="1195"/>
      <c r="AK15" s="1195"/>
      <c r="AL15" s="1195"/>
      <c r="AM15" s="1195"/>
      <c r="AN15" s="1195"/>
      <c r="AO15" s="1195"/>
    </row>
    <row r="16" spans="2:41" s="15" customFormat="1" ht="14.25" customHeight="1">
      <c r="B16" s="174"/>
      <c r="C16" s="176" t="s">
        <v>54</v>
      </c>
      <c r="D16" s="1189"/>
      <c r="E16" s="1195"/>
      <c r="F16" s="1195"/>
      <c r="G16" s="1195"/>
      <c r="H16" s="1195"/>
      <c r="I16" s="1195"/>
      <c r="J16" s="1195"/>
      <c r="K16" s="1195"/>
      <c r="L16" s="1195"/>
      <c r="M16" s="1195"/>
      <c r="N16" s="1195"/>
      <c r="O16" s="1195"/>
      <c r="P16" s="1195"/>
      <c r="Q16" s="1195"/>
      <c r="R16" s="1195"/>
      <c r="S16" s="1195"/>
      <c r="T16" s="1195"/>
      <c r="U16" s="1195"/>
      <c r="V16" s="1195"/>
      <c r="W16" s="1195"/>
      <c r="X16" s="1195"/>
      <c r="Y16" s="1195"/>
      <c r="Z16" s="1195"/>
      <c r="AA16" s="1195"/>
      <c r="AB16" s="1195"/>
      <c r="AC16" s="1195"/>
      <c r="AD16" s="1195"/>
      <c r="AE16" s="1195"/>
      <c r="AF16" s="1195"/>
      <c r="AG16" s="1195"/>
      <c r="AH16" s="1195"/>
      <c r="AI16" s="1195"/>
      <c r="AJ16" s="1195"/>
      <c r="AK16" s="1195"/>
      <c r="AL16" s="1195"/>
      <c r="AM16" s="1195"/>
      <c r="AN16" s="1195"/>
      <c r="AO16" s="1195"/>
    </row>
    <row r="17" spans="1:136" s="15" customFormat="1" ht="80.25" customHeight="1">
      <c r="B17" s="174"/>
      <c r="C17" s="551" t="s">
        <v>989</v>
      </c>
      <c r="D17" s="1189"/>
      <c r="E17" s="1195"/>
      <c r="F17" s="1195"/>
      <c r="G17" s="1195"/>
      <c r="H17" s="1195"/>
      <c r="I17" s="1195"/>
      <c r="J17" s="1195"/>
      <c r="K17" s="1195"/>
      <c r="L17" s="1195"/>
      <c r="M17" s="1195"/>
      <c r="N17" s="1195"/>
      <c r="O17" s="1195"/>
      <c r="P17" s="1195"/>
      <c r="Q17" s="1195"/>
      <c r="R17" s="1195"/>
      <c r="S17" s="1195"/>
      <c r="T17" s="1195"/>
      <c r="U17" s="1195"/>
      <c r="V17" s="1195"/>
      <c r="W17" s="1195"/>
      <c r="X17" s="1195"/>
      <c r="Y17" s="1195"/>
      <c r="Z17" s="1195"/>
      <c r="AA17" s="1195"/>
      <c r="AB17" s="1195"/>
      <c r="AC17" s="1195"/>
      <c r="AD17" s="1195"/>
      <c r="AE17" s="1195"/>
      <c r="AF17" s="1195"/>
      <c r="AG17" s="1195"/>
      <c r="AH17" s="1195"/>
      <c r="AI17" s="1195"/>
      <c r="AJ17" s="1195"/>
      <c r="AK17" s="1195"/>
      <c r="AL17" s="1195"/>
      <c r="AM17" s="1195"/>
      <c r="AN17" s="1195"/>
      <c r="AO17" s="1195"/>
    </row>
    <row r="18" spans="1:136" s="1" customFormat="1">
      <c r="B18" s="94"/>
      <c r="C18" s="188"/>
      <c r="D18" s="1189"/>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row>
    <row r="19" spans="1:136" s="1" customFormat="1" ht="15">
      <c r="B19" s="1193" t="s">
        <v>1131</v>
      </c>
      <c r="C19" s="1194"/>
      <c r="D19" s="1189"/>
      <c r="E19" s="1196"/>
      <c r="F19" s="1196"/>
      <c r="G19" s="1196"/>
      <c r="H19" s="1196"/>
      <c r="I19" s="1159"/>
      <c r="J19" s="1159"/>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row>
    <row r="20" spans="1:136" s="1" customFormat="1" ht="13.5" thickBot="1">
      <c r="B20" s="177"/>
      <c r="C20" s="1191"/>
      <c r="D20" s="1192"/>
      <c r="E20" s="1151"/>
      <c r="F20" s="1151"/>
      <c r="G20" s="1151"/>
      <c r="H20" s="1151"/>
      <c r="I20" s="1151"/>
      <c r="J20" s="1151"/>
      <c r="K20" s="1151"/>
      <c r="L20" s="1151"/>
      <c r="M20" s="1151"/>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1151"/>
      <c r="AK20" s="1151"/>
      <c r="AL20" s="1151"/>
      <c r="AM20" s="1151"/>
      <c r="AN20" s="1151"/>
      <c r="AO20" s="1151"/>
    </row>
    <row r="21" spans="1:136" s="1151" customFormat="1"/>
    <row r="22" spans="1:136" s="1151" customFormat="1" ht="18.75" customHeight="1">
      <c r="B22" s="1159" t="s">
        <v>990</v>
      </c>
      <c r="C22" s="1159"/>
    </row>
    <row r="23" spans="1:136" s="1151" customFormat="1">
      <c r="B23" s="1159" t="s">
        <v>729</v>
      </c>
      <c r="C23" s="1159"/>
    </row>
    <row r="24" spans="1:136" s="1151" customFormat="1">
      <c r="B24" s="1159"/>
      <c r="C24" s="1159"/>
    </row>
    <row r="25" spans="1:136" s="1151" customFormat="1"/>
    <row r="26" spans="1:136" s="1151" customFormat="1"/>
    <row r="27" spans="1:136" s="1188" customFormat="1">
      <c r="A27" s="1151"/>
      <c r="B27" s="1151"/>
      <c r="C27" s="1151"/>
      <c r="D27" s="1151"/>
      <c r="E27" s="1151"/>
      <c r="F27" s="1151"/>
    </row>
    <row r="28" spans="1:136" s="1188" customFormat="1">
      <c r="A28" s="1151"/>
      <c r="B28" s="1151"/>
      <c r="C28" s="1151"/>
      <c r="D28" s="1151"/>
      <c r="E28" s="1151"/>
      <c r="F28" s="1151"/>
    </row>
    <row r="29" spans="1:136" s="1188" customFormat="1">
      <c r="A29" s="1151"/>
      <c r="B29" s="1151"/>
      <c r="C29" s="1151"/>
      <c r="D29" s="1151"/>
      <c r="E29" s="1151"/>
      <c r="F29" s="1151"/>
    </row>
    <row r="30" spans="1:136" s="1188" customFormat="1">
      <c r="A30" s="1151"/>
      <c r="B30" s="1151"/>
      <c r="C30" s="1151"/>
      <c r="D30" s="1151"/>
      <c r="E30" s="1151"/>
      <c r="F30" s="1151"/>
    </row>
    <row r="31" spans="1:136" s="1188" customFormat="1">
      <c r="A31" s="1151"/>
      <c r="B31" s="1151"/>
      <c r="C31" s="1151"/>
      <c r="D31" s="1151"/>
      <c r="E31" s="1151"/>
      <c r="F31" s="1151"/>
    </row>
    <row r="32" spans="1:136" s="1188" customFormat="1">
      <c r="A32" s="1151"/>
      <c r="B32" s="1151"/>
      <c r="C32" s="1151"/>
      <c r="D32" s="1151"/>
      <c r="E32" s="1151"/>
      <c r="F32" s="1151"/>
    </row>
    <row r="33" spans="1:6" s="1188" customFormat="1">
      <c r="A33" s="1151"/>
      <c r="B33" s="1151"/>
      <c r="C33" s="1151"/>
      <c r="D33" s="1151"/>
      <c r="E33" s="1151"/>
      <c r="F33" s="1151"/>
    </row>
    <row r="34" spans="1:6" s="1188" customFormat="1">
      <c r="A34" s="1151"/>
      <c r="B34" s="1151"/>
      <c r="C34" s="1151"/>
      <c r="D34" s="1151"/>
      <c r="E34" s="1151"/>
      <c r="F34" s="1151"/>
    </row>
    <row r="35" spans="1:6" s="1188" customFormat="1">
      <c r="A35" s="1151"/>
      <c r="B35" s="1151"/>
      <c r="C35" s="1151"/>
      <c r="D35" s="1151"/>
      <c r="E35" s="1151"/>
      <c r="F35" s="1151"/>
    </row>
    <row r="36" spans="1:6" s="1188" customFormat="1">
      <c r="A36" s="1151"/>
      <c r="B36" s="1151"/>
      <c r="C36" s="1151"/>
      <c r="D36" s="1151"/>
      <c r="E36" s="1151"/>
      <c r="F36" s="1151"/>
    </row>
    <row r="37" spans="1:6" s="1188" customFormat="1">
      <c r="A37" s="1151"/>
      <c r="B37" s="1151"/>
      <c r="C37" s="1151"/>
      <c r="D37" s="1151"/>
      <c r="E37" s="1151"/>
      <c r="F37" s="1151"/>
    </row>
    <row r="38" spans="1:6" s="1188" customFormat="1">
      <c r="A38" s="1151"/>
      <c r="B38" s="1151"/>
      <c r="C38" s="1151"/>
      <c r="D38" s="1151"/>
      <c r="E38" s="1151"/>
      <c r="F38" s="1151"/>
    </row>
    <row r="39" spans="1:6" s="1188" customFormat="1">
      <c r="A39" s="1151"/>
      <c r="B39" s="1151"/>
      <c r="C39" s="1151"/>
      <c r="D39" s="1151"/>
      <c r="E39" s="1151"/>
      <c r="F39" s="1151"/>
    </row>
    <row r="40" spans="1:6" s="1188" customFormat="1">
      <c r="A40" s="1151"/>
      <c r="B40" s="1151"/>
      <c r="C40" s="1151"/>
      <c r="D40" s="1151"/>
      <c r="E40" s="1151"/>
      <c r="F40" s="1151"/>
    </row>
    <row r="41" spans="1:6" s="1188" customFormat="1">
      <c r="A41" s="1151"/>
      <c r="B41" s="1151"/>
      <c r="C41" s="1151"/>
      <c r="D41" s="1151"/>
      <c r="E41" s="1151"/>
      <c r="F41" s="1151"/>
    </row>
    <row r="42" spans="1:6" s="1188" customFormat="1">
      <c r="A42" s="1151"/>
      <c r="B42" s="1151"/>
      <c r="C42" s="1151"/>
      <c r="D42" s="1151"/>
      <c r="E42" s="1151"/>
      <c r="F42" s="1151"/>
    </row>
    <row r="43" spans="1:6" s="1188" customFormat="1">
      <c r="A43" s="1151"/>
      <c r="B43" s="1151"/>
      <c r="C43" s="1151"/>
      <c r="D43" s="1151"/>
      <c r="E43" s="1151"/>
      <c r="F43" s="1151"/>
    </row>
    <row r="44" spans="1:6" s="1188" customFormat="1">
      <c r="A44" s="1151"/>
      <c r="B44" s="1151"/>
      <c r="C44" s="1151"/>
      <c r="D44" s="1151"/>
      <c r="E44" s="1151"/>
      <c r="F44" s="1151"/>
    </row>
    <row r="45" spans="1:6" s="1188" customFormat="1">
      <c r="A45" s="1151"/>
      <c r="B45" s="1151"/>
      <c r="C45" s="1151"/>
      <c r="D45" s="1151"/>
      <c r="E45" s="1151"/>
      <c r="F45" s="1151"/>
    </row>
    <row r="46" spans="1:6" s="1188" customFormat="1">
      <c r="A46" s="1151"/>
      <c r="B46" s="1151"/>
      <c r="C46" s="1151"/>
      <c r="D46" s="1151"/>
      <c r="E46" s="1151"/>
      <c r="F46" s="1151"/>
    </row>
    <row r="47" spans="1:6" s="1188" customFormat="1">
      <c r="A47" s="1151"/>
      <c r="B47" s="1151"/>
      <c r="C47" s="1151"/>
      <c r="D47" s="1151"/>
      <c r="E47" s="1151"/>
      <c r="F47" s="1151"/>
    </row>
    <row r="48" spans="1:6" s="1188" customFormat="1">
      <c r="A48" s="1151"/>
      <c r="B48" s="1151"/>
      <c r="C48" s="1151"/>
      <c r="D48" s="1151"/>
      <c r="E48" s="1151"/>
      <c r="F48" s="1151"/>
    </row>
    <row r="49" spans="1:6" s="1188" customFormat="1">
      <c r="A49" s="1151"/>
      <c r="B49" s="1151"/>
      <c r="C49" s="1151"/>
      <c r="D49" s="1151"/>
      <c r="E49" s="1151"/>
      <c r="F49" s="1151"/>
    </row>
    <row r="50" spans="1:6" s="1188" customFormat="1">
      <c r="A50" s="1151"/>
      <c r="B50" s="1151"/>
      <c r="C50" s="1151"/>
      <c r="D50" s="1151"/>
      <c r="E50" s="1151"/>
      <c r="F50" s="1151"/>
    </row>
    <row r="51" spans="1:6" s="1188" customFormat="1">
      <c r="A51" s="1151"/>
      <c r="B51" s="1151"/>
      <c r="C51" s="1151"/>
      <c r="D51" s="1151"/>
      <c r="E51" s="1151"/>
      <c r="F51" s="1151"/>
    </row>
    <row r="52" spans="1:6" s="1188" customFormat="1">
      <c r="A52" s="1151"/>
      <c r="B52" s="1151"/>
      <c r="C52" s="1151"/>
      <c r="D52" s="1151"/>
      <c r="E52" s="1151"/>
      <c r="F52" s="1151"/>
    </row>
    <row r="53" spans="1:6" s="1188" customFormat="1">
      <c r="A53" s="1151"/>
      <c r="B53" s="1151"/>
      <c r="C53" s="1151"/>
      <c r="D53" s="1151"/>
      <c r="E53" s="1151"/>
      <c r="F53" s="1151"/>
    </row>
    <row r="54" spans="1:6" s="1188" customFormat="1">
      <c r="A54" s="1151"/>
      <c r="B54" s="1151"/>
      <c r="C54" s="1151"/>
      <c r="D54" s="1151"/>
      <c r="E54" s="1151"/>
      <c r="F54" s="1151"/>
    </row>
    <row r="55" spans="1:6" s="1188" customFormat="1">
      <c r="A55" s="1151"/>
      <c r="B55" s="1151"/>
      <c r="C55" s="1151"/>
      <c r="D55" s="1151"/>
      <c r="E55" s="1151"/>
      <c r="F55" s="1151"/>
    </row>
    <row r="56" spans="1:6" s="1188" customFormat="1">
      <c r="A56" s="1151"/>
      <c r="B56" s="1151"/>
      <c r="C56" s="1151"/>
      <c r="D56" s="1151"/>
      <c r="E56" s="1151"/>
      <c r="F56" s="1151"/>
    </row>
    <row r="57" spans="1:6" s="1188" customFormat="1">
      <c r="A57" s="1151"/>
      <c r="B57" s="1151"/>
      <c r="C57" s="1151"/>
      <c r="D57" s="1151"/>
      <c r="E57" s="1151"/>
      <c r="F57" s="1151"/>
    </row>
    <row r="58" spans="1:6" s="1188" customFormat="1">
      <c r="A58" s="1151"/>
      <c r="B58" s="1151"/>
      <c r="C58" s="1151"/>
      <c r="D58" s="1151"/>
      <c r="E58" s="1151"/>
      <c r="F58" s="1151"/>
    </row>
    <row r="59" spans="1:6" s="1188" customFormat="1">
      <c r="A59" s="1151"/>
      <c r="B59" s="1151"/>
      <c r="C59" s="1151"/>
      <c r="D59" s="1151"/>
      <c r="E59" s="1151"/>
      <c r="F59" s="1151"/>
    </row>
    <row r="60" spans="1:6" s="1188" customFormat="1">
      <c r="A60" s="1151"/>
      <c r="B60" s="1151"/>
      <c r="C60" s="1151"/>
      <c r="D60" s="1151"/>
      <c r="E60" s="1151"/>
      <c r="F60" s="1151"/>
    </row>
    <row r="61" spans="1:6" s="1188" customFormat="1">
      <c r="A61" s="1151"/>
      <c r="B61" s="1151"/>
      <c r="C61" s="1151"/>
      <c r="D61" s="1151"/>
      <c r="E61" s="1151"/>
      <c r="F61" s="1151"/>
    </row>
    <row r="62" spans="1:6" s="1188" customFormat="1">
      <c r="A62" s="1151"/>
      <c r="B62" s="1151"/>
      <c r="C62" s="1151"/>
      <c r="D62" s="1151"/>
      <c r="E62" s="1151"/>
      <c r="F62" s="1151"/>
    </row>
    <row r="63" spans="1:6" s="1188" customFormat="1">
      <c r="A63" s="1151"/>
      <c r="B63" s="1151"/>
      <c r="C63" s="1151"/>
      <c r="D63" s="1151"/>
      <c r="E63" s="1151"/>
      <c r="F63" s="1151"/>
    </row>
    <row r="64" spans="1:6" s="1188" customFormat="1">
      <c r="A64" s="1151"/>
      <c r="B64" s="1151"/>
      <c r="C64" s="1151"/>
      <c r="D64" s="1151"/>
      <c r="E64" s="1151"/>
      <c r="F64" s="1151"/>
    </row>
    <row r="65" spans="1:6" s="1188" customFormat="1">
      <c r="A65" s="1151"/>
      <c r="B65" s="1151"/>
      <c r="C65" s="1151"/>
      <c r="D65" s="1151"/>
      <c r="E65" s="1151"/>
      <c r="F65" s="1151"/>
    </row>
    <row r="66" spans="1:6" s="1188" customFormat="1">
      <c r="A66" s="1151"/>
      <c r="B66" s="1151"/>
      <c r="C66" s="1151"/>
      <c r="D66" s="1151"/>
      <c r="E66" s="1151"/>
      <c r="F66" s="1151"/>
    </row>
    <row r="67" spans="1:6" s="1188" customFormat="1">
      <c r="A67" s="1151"/>
      <c r="B67" s="1151"/>
      <c r="C67" s="1151"/>
      <c r="D67" s="1151"/>
      <c r="E67" s="1151"/>
      <c r="F67" s="1151"/>
    </row>
    <row r="68" spans="1:6" s="1188" customFormat="1">
      <c r="A68" s="1151"/>
      <c r="B68" s="1151"/>
      <c r="C68" s="1151"/>
      <c r="D68" s="1151"/>
      <c r="E68" s="1151"/>
      <c r="F68" s="1151"/>
    </row>
    <row r="69" spans="1:6" s="1188" customFormat="1">
      <c r="A69" s="1151"/>
      <c r="B69" s="1151"/>
      <c r="C69" s="1151"/>
      <c r="D69" s="1151"/>
      <c r="E69" s="1151"/>
      <c r="F69" s="1151"/>
    </row>
    <row r="70" spans="1:6" s="1188" customFormat="1">
      <c r="A70" s="1151"/>
      <c r="B70" s="1151"/>
      <c r="C70" s="1151"/>
      <c r="D70" s="1151"/>
      <c r="E70" s="1151"/>
      <c r="F70" s="1151"/>
    </row>
    <row r="71" spans="1:6" s="1188" customFormat="1">
      <c r="A71" s="1151"/>
      <c r="B71" s="1151"/>
      <c r="C71" s="1151"/>
      <c r="D71" s="1151"/>
      <c r="E71" s="1151"/>
      <c r="F71" s="1151"/>
    </row>
    <row r="72" spans="1:6" s="1188" customFormat="1">
      <c r="A72" s="1151"/>
      <c r="B72" s="1151"/>
      <c r="C72" s="1151"/>
      <c r="D72" s="1151"/>
      <c r="E72" s="1151"/>
      <c r="F72" s="1151"/>
    </row>
    <row r="73" spans="1:6" s="1188" customFormat="1">
      <c r="A73" s="1151"/>
      <c r="B73" s="1151"/>
      <c r="C73" s="1151"/>
      <c r="D73" s="1151"/>
      <c r="E73" s="1151"/>
      <c r="F73" s="1151"/>
    </row>
    <row r="74" spans="1:6" s="1188" customFormat="1">
      <c r="A74" s="1151"/>
      <c r="B74" s="1151"/>
      <c r="C74" s="1151"/>
      <c r="D74" s="1151"/>
      <c r="E74" s="1151"/>
      <c r="F74" s="1151"/>
    </row>
    <row r="75" spans="1:6" s="1188" customFormat="1">
      <c r="A75" s="1151"/>
      <c r="B75" s="1151"/>
      <c r="C75" s="1151"/>
      <c r="D75" s="1151"/>
      <c r="E75" s="1151"/>
      <c r="F75" s="1151"/>
    </row>
    <row r="76" spans="1:6" s="1188" customFormat="1">
      <c r="A76" s="1151"/>
      <c r="B76" s="1151"/>
      <c r="C76" s="1151"/>
      <c r="D76" s="1151"/>
      <c r="E76" s="1151"/>
      <c r="F76" s="1151"/>
    </row>
    <row r="77" spans="1:6" s="1188" customFormat="1">
      <c r="A77" s="1151"/>
      <c r="B77" s="1151"/>
      <c r="C77" s="1151"/>
      <c r="D77" s="1151"/>
      <c r="E77" s="1151"/>
      <c r="F77" s="1151"/>
    </row>
    <row r="78" spans="1:6" s="1188" customFormat="1">
      <c r="A78" s="1151"/>
      <c r="B78" s="1151"/>
      <c r="C78" s="1151"/>
      <c r="D78" s="1151"/>
      <c r="E78" s="1151"/>
      <c r="F78" s="1151"/>
    </row>
    <row r="79" spans="1:6" s="1188" customFormat="1">
      <c r="A79" s="1151"/>
      <c r="B79" s="1151"/>
      <c r="C79" s="1151"/>
      <c r="D79" s="1151"/>
      <c r="E79" s="1151"/>
      <c r="F79" s="1151"/>
    </row>
    <row r="80" spans="1:6" s="1188" customFormat="1">
      <c r="A80" s="1151"/>
      <c r="B80" s="1151"/>
      <c r="C80" s="1151"/>
      <c r="D80" s="1151"/>
      <c r="E80" s="1151"/>
      <c r="F80" s="1151"/>
    </row>
    <row r="81" spans="1:6" s="1188" customFormat="1">
      <c r="A81" s="1151"/>
      <c r="B81" s="1151"/>
      <c r="C81" s="1151"/>
      <c r="D81" s="1151"/>
      <c r="E81" s="1151"/>
      <c r="F81" s="1151"/>
    </row>
    <row r="82" spans="1:6" s="1188" customFormat="1">
      <c r="A82" s="1151"/>
      <c r="B82" s="1151"/>
      <c r="C82" s="1151"/>
      <c r="D82" s="1151"/>
      <c r="E82" s="1151"/>
      <c r="F82" s="1151"/>
    </row>
    <row r="83" spans="1:6" s="1188" customFormat="1">
      <c r="A83" s="1151"/>
      <c r="B83" s="1151"/>
      <c r="C83" s="1151"/>
      <c r="D83" s="1151"/>
      <c r="E83" s="1151"/>
      <c r="F83" s="1151"/>
    </row>
    <row r="84" spans="1:6" s="1188" customFormat="1">
      <c r="A84" s="1151"/>
      <c r="B84" s="1151"/>
      <c r="C84" s="1151"/>
      <c r="D84" s="1151"/>
      <c r="E84" s="1151"/>
      <c r="F84" s="1151"/>
    </row>
    <row r="85" spans="1:6" s="1188" customFormat="1">
      <c r="A85" s="1151"/>
      <c r="B85" s="1151"/>
      <c r="C85" s="1151"/>
      <c r="D85" s="1151"/>
      <c r="E85" s="1151"/>
      <c r="F85" s="1151"/>
    </row>
    <row r="86" spans="1:6" s="1188" customFormat="1">
      <c r="A86" s="1151"/>
      <c r="B86" s="1151"/>
      <c r="C86" s="1151"/>
      <c r="D86" s="1151"/>
      <c r="E86" s="1151"/>
      <c r="F86" s="1151"/>
    </row>
    <row r="87" spans="1:6" s="1188" customFormat="1">
      <c r="A87" s="1151"/>
      <c r="B87" s="1151"/>
      <c r="C87" s="1151"/>
      <c r="D87" s="1151"/>
      <c r="E87" s="1151"/>
      <c r="F87" s="1151"/>
    </row>
    <row r="88" spans="1:6" s="1188" customFormat="1">
      <c r="A88" s="1151"/>
      <c r="B88" s="1151"/>
      <c r="C88" s="1151"/>
      <c r="D88" s="1151"/>
      <c r="E88" s="1151"/>
      <c r="F88" s="1151"/>
    </row>
  </sheetData>
  <sheetProtection algorithmName="SHA-512" hashValue="KB+whBZszkwnADR/FlVgAjK4niTTzSORYuu0ot2CqTmLxfgV+nsTDtjRLUgbLRSP8AMRBXMKAdOqlw8jyj5WOQ==" saltValue="PYKFZd68zFE9XPeQ4h++DQ==" spinCount="100000" sheet="1" objects="1" scenarios="1"/>
  <mergeCells count="3">
    <mergeCell ref="B2:B3"/>
    <mergeCell ref="C2:C3"/>
    <mergeCell ref="D2:D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1"/>
    <pageSetUpPr fitToPage="1"/>
  </sheetPr>
  <dimension ref="A1:EW216"/>
  <sheetViews>
    <sheetView showGridLines="0" zoomScale="85" zoomScaleNormal="85" zoomScaleSheetLayoutView="95" workbookViewId="0">
      <pane xSplit="1" ySplit="7" topLeftCell="B8" activePane="bottomRight" state="frozen"/>
      <selection pane="topRight" activeCell="B1" sqref="B1"/>
      <selection pane="bottomLeft" activeCell="A8" sqref="A8"/>
      <selection pane="bottomRight" activeCell="F8" sqref="F8"/>
    </sheetView>
  </sheetViews>
  <sheetFormatPr defaultRowHeight="12.75"/>
  <cols>
    <col min="1" max="1" width="3.7109375" style="1" customWidth="1"/>
    <col min="2" max="2" width="6.28515625" customWidth="1"/>
    <col min="3" max="3" width="8.140625" style="3" customWidth="1"/>
    <col min="4" max="4" width="12.28515625" style="9" customWidth="1"/>
    <col min="5" max="5" width="12.7109375" style="9" customWidth="1"/>
    <col min="6" max="6" width="8.7109375" style="5" customWidth="1"/>
    <col min="7" max="7" width="8.5703125" customWidth="1"/>
    <col min="8" max="8" width="8.42578125" style="1" customWidth="1"/>
    <col min="9" max="9" width="14.7109375" customWidth="1"/>
    <col min="10" max="10" width="11.7109375" customWidth="1"/>
    <col min="11" max="11" width="15.7109375" style="1" customWidth="1"/>
    <col min="12" max="12" width="9.42578125" style="9" customWidth="1"/>
    <col min="13" max="13" width="9.42578125" style="1" customWidth="1"/>
    <col min="14" max="14" width="9.42578125" style="9" customWidth="1"/>
    <col min="15" max="15" width="9.42578125" style="1" customWidth="1"/>
    <col min="16" max="16" width="1.7109375" style="1" customWidth="1"/>
    <col min="17" max="17" width="38" style="9" customWidth="1"/>
    <col min="18" max="18" width="7.5703125" style="451" hidden="1" customWidth="1"/>
    <col min="19" max="19" width="4.7109375" style="451" hidden="1" customWidth="1"/>
    <col min="20" max="20" width="8" style="451" hidden="1" customWidth="1"/>
    <col min="21" max="21" width="6.5703125" style="451" hidden="1" customWidth="1"/>
    <col min="22" max="22" width="7.5703125" style="451" hidden="1" customWidth="1"/>
    <col min="23" max="24" width="8.7109375" style="451" hidden="1" customWidth="1"/>
    <col min="25" max="25" width="7" style="509" hidden="1" customWidth="1"/>
    <col min="26" max="26" width="8.7109375" style="451" hidden="1" customWidth="1"/>
    <col min="27" max="27" width="8.7109375" style="426" hidden="1" customWidth="1"/>
    <col min="28" max="28" width="10.140625" style="451" hidden="1" customWidth="1"/>
    <col min="29" max="29" width="2.7109375" style="2" customWidth="1"/>
    <col min="30" max="31" width="8.7109375" style="2" customWidth="1"/>
    <col min="32" max="33" width="8.7109375" style="4" customWidth="1"/>
    <col min="34" max="34" width="8.7109375" style="4" hidden="1" customWidth="1"/>
    <col min="35" max="35" width="3.7109375" style="4" customWidth="1"/>
    <col min="36" max="37" width="8.7109375" style="2" hidden="1" customWidth="1"/>
    <col min="38" max="38" width="12.5703125" style="4" hidden="1" customWidth="1"/>
    <col min="39" max="41" width="8.7109375" style="4" hidden="1" customWidth="1"/>
    <col min="42" max="42" width="1.7109375" style="4" hidden="1" customWidth="1"/>
    <col min="43" max="43" width="8.28515625" style="4" hidden="1" customWidth="1"/>
    <col min="44" max="44" width="10.7109375" style="4" hidden="1" customWidth="1"/>
    <col min="45" max="45" width="10.7109375" style="10" hidden="1" customWidth="1"/>
    <col min="46" max="46" width="2.42578125" style="10" hidden="1" customWidth="1"/>
    <col min="47" max="47" width="37.140625" style="10" hidden="1" customWidth="1"/>
    <col min="48" max="48" width="2.28515625" hidden="1" customWidth="1"/>
    <col min="49" max="49" width="10.7109375" style="4" hidden="1" customWidth="1"/>
    <col min="50" max="50" width="10.7109375" hidden="1" customWidth="1"/>
    <col min="51" max="51" width="8.7109375" customWidth="1"/>
    <col min="52" max="52" width="11.28515625" hidden="1" customWidth="1"/>
    <col min="53" max="55" width="8.7109375" customWidth="1"/>
    <col min="56" max="56" width="2.7109375" style="430" hidden="1" customWidth="1"/>
    <col min="57" max="57" width="6.7109375" style="4" hidden="1" customWidth="1"/>
    <col min="58" max="58" width="13" style="430" hidden="1" customWidth="1"/>
    <col min="59" max="59" width="15.140625" style="430" hidden="1" customWidth="1"/>
    <col min="60" max="60" width="13.7109375" style="51" hidden="1" customWidth="1"/>
    <col min="61" max="61" width="5.140625" style="51" hidden="1" customWidth="1"/>
    <col min="62" max="62" width="7.28515625" style="51" hidden="1" customWidth="1"/>
    <col min="63" max="63" width="10.5703125" style="426" hidden="1" customWidth="1"/>
    <col min="64" max="64" width="12" style="430" hidden="1" customWidth="1"/>
    <col min="65" max="65" width="8" style="52" hidden="1" customWidth="1"/>
    <col min="66" max="66" width="8.5703125" style="52" hidden="1" customWidth="1"/>
    <col min="67" max="67" width="9.42578125" style="52" hidden="1" customWidth="1"/>
    <col min="68" max="68" width="8.7109375" style="52" hidden="1" customWidth="1"/>
    <col min="69" max="69" width="3" style="51" hidden="1" customWidth="1"/>
    <col min="70" max="70" width="9.7109375" style="52" hidden="1" customWidth="1"/>
    <col min="71" max="71" width="9.140625" style="52" hidden="1" customWidth="1"/>
    <col min="72" max="72" width="6.7109375" style="52" hidden="1" customWidth="1"/>
    <col min="73" max="73" width="7.5703125" style="52" hidden="1" customWidth="1"/>
    <col min="74" max="74" width="10.7109375" style="51" hidden="1" customWidth="1"/>
    <col min="75" max="75" width="4.5703125" style="51" hidden="1" customWidth="1"/>
    <col min="76" max="76" width="6.5703125" style="51" hidden="1" customWidth="1"/>
    <col min="77" max="77" width="4.85546875" style="51" hidden="1" customWidth="1"/>
    <col min="78" max="84" width="0.7109375" style="51" hidden="1" customWidth="1"/>
    <col min="85" max="85" width="5.5703125" style="51" hidden="1" customWidth="1"/>
    <col min="86" max="87" width="5.7109375" style="52" hidden="1" customWidth="1"/>
    <col min="88" max="88" width="7.5703125" style="51" hidden="1" customWidth="1"/>
    <col min="89" max="89" width="6.42578125" style="51" hidden="1" customWidth="1"/>
    <col min="90" max="90" width="16.7109375" style="779" hidden="1" customWidth="1"/>
    <col min="91" max="91" width="4.42578125" style="188" hidden="1" customWidth="1"/>
    <col min="92" max="92" width="15.5703125" style="779" hidden="1" customWidth="1"/>
    <col min="93" max="93" width="10.28515625" style="779" hidden="1" customWidth="1"/>
    <col min="94" max="104" width="9.140625" style="188" hidden="1" customWidth="1"/>
    <col min="105" max="106" width="9.140625" style="51" hidden="1" customWidth="1"/>
    <col min="107" max="107" width="10.85546875" style="993" hidden="1" customWidth="1"/>
    <col min="108" max="108" width="9.140625" style="51" hidden="1" customWidth="1"/>
    <col min="109" max="109" width="31" style="51" hidden="1" customWidth="1"/>
    <col min="110" max="110" width="14.140625" style="51" hidden="1" customWidth="1"/>
    <col min="111" max="122" width="9.140625" style="426" hidden="1" customWidth="1"/>
    <col min="123" max="123" width="13.140625" style="426" hidden="1" customWidth="1"/>
    <col min="124" max="124" width="17.140625" style="451" hidden="1" customWidth="1"/>
    <col min="125" max="136" width="9.140625" style="426" hidden="1" customWidth="1"/>
    <col min="137" max="137" width="13.140625" style="426" hidden="1" customWidth="1"/>
    <col min="138" max="138" width="11.28515625" style="426" hidden="1" customWidth="1"/>
    <col min="139" max="145" width="9.140625" style="426" hidden="1" customWidth="1"/>
    <col min="146" max="146" width="9.140625" style="497" hidden="1" customWidth="1"/>
    <col min="147" max="147" width="9.140625" style="430" hidden="1" customWidth="1"/>
    <col min="148" max="153" width="9.140625" style="426" hidden="1" customWidth="1"/>
  </cols>
  <sheetData>
    <row r="1" spans="1:153" ht="24" customHeight="1" thickBot="1">
      <c r="L1" s="2638" t="s">
        <v>1</v>
      </c>
      <c r="M1" s="2639"/>
      <c r="N1" s="2638" t="s">
        <v>17</v>
      </c>
      <c r="O1" s="2788"/>
      <c r="AD1" s="2763" t="s">
        <v>1089</v>
      </c>
      <c r="AE1" s="2764"/>
      <c r="AF1" s="2764"/>
      <c r="AG1" s="2765"/>
      <c r="AH1" s="2"/>
      <c r="AL1" s="1382"/>
      <c r="AM1" s="2"/>
      <c r="AO1" s="1408"/>
      <c r="AP1" s="1408"/>
      <c r="AQ1" s="1408"/>
      <c r="AR1" s="1408"/>
      <c r="AS1" s="1408"/>
      <c r="AT1" s="1408"/>
      <c r="AU1" s="1408"/>
      <c r="AW1" s="1408"/>
      <c r="BD1" s="641"/>
      <c r="BE1" s="641"/>
      <c r="BF1" s="652"/>
      <c r="BG1" s="652"/>
      <c r="BH1" s="652"/>
      <c r="BI1" s="759"/>
      <c r="BJ1" s="759"/>
      <c r="BK1" s="931"/>
      <c r="BL1" s="759"/>
      <c r="BM1" s="760"/>
      <c r="BN1" s="760"/>
      <c r="BO1" s="760"/>
      <c r="BP1" s="760"/>
      <c r="BQ1" s="759"/>
      <c r="BR1" s="760"/>
      <c r="BS1" s="760"/>
      <c r="BT1" s="760"/>
      <c r="BU1" s="760"/>
      <c r="BV1" s="759"/>
      <c r="BW1" s="759"/>
      <c r="BX1" s="759"/>
      <c r="BY1" s="759"/>
      <c r="BZ1" s="759"/>
      <c r="CA1" s="759"/>
      <c r="CB1" s="759"/>
      <c r="CC1" s="759"/>
      <c r="CD1" s="759"/>
      <c r="CE1" s="759"/>
      <c r="CF1" s="759"/>
      <c r="CG1" s="759"/>
      <c r="CH1" s="760"/>
      <c r="CI1" s="760"/>
      <c r="CJ1" s="759"/>
      <c r="CK1" s="188"/>
    </row>
    <row r="2" spans="1:153" ht="24" customHeight="1" thickBot="1">
      <c r="B2" s="2690" t="str">
        <f>'Terms and Conditions'!B19</f>
        <v>Elephant QuickBrace™ September 2018  V.1.0</v>
      </c>
      <c r="C2" s="2691"/>
      <c r="D2" s="2691"/>
      <c r="E2" s="2691"/>
      <c r="F2" s="2691"/>
      <c r="G2" s="2691"/>
      <c r="H2" s="2692"/>
      <c r="I2" s="2693" t="s">
        <v>358</v>
      </c>
      <c r="J2" s="2694"/>
      <c r="K2" s="123" t="s">
        <v>341</v>
      </c>
      <c r="L2" s="124">
        <f ca="1">M2/M3</f>
        <v>0</v>
      </c>
      <c r="M2" s="1544">
        <f ca="1">(SUM(M8:M12)+SUM(M14:M18)+SUM(M20:M24)+SUM(M26:M30)+SUM(M32:M36)+SUM(M38:M42)+SUM(M44:M48)+SUM(M50:M54)+SUM(M56:M60)+SUM(M62:M66)+SUM(M68:M72)+SUM(M74:M78))</f>
        <v>0</v>
      </c>
      <c r="N2" s="124">
        <f ca="1">O2/O3</f>
        <v>0</v>
      </c>
      <c r="O2" s="1545">
        <f ca="1">(SUM(O8:O12)+SUM(O14:O18)+SUM(O20:O24)+SUM(O26:O30)+SUM(O32:O36)+SUM(O38:O42)+SUM(O44:O48)+SUM(O50:O54)+SUM(O56:O60)+SUM(O62:O66)+SUM(O68:O72)+SUM(O74:O78))</f>
        <v>0</v>
      </c>
      <c r="P2" s="133"/>
      <c r="Q2" s="77" t="s">
        <v>370</v>
      </c>
      <c r="R2" s="982"/>
      <c r="S2" s="982"/>
      <c r="T2" s="982"/>
      <c r="U2" s="982"/>
      <c r="V2" s="982"/>
      <c r="W2" s="982"/>
      <c r="X2" s="982"/>
      <c r="Y2" s="1001"/>
      <c r="Z2" s="428"/>
      <c r="AA2" s="427"/>
      <c r="AB2" s="1818"/>
      <c r="AD2" s="2621" t="s">
        <v>1</v>
      </c>
      <c r="AE2" s="2622"/>
      <c r="AF2" s="2623" t="s">
        <v>17</v>
      </c>
      <c r="AG2" s="2624"/>
      <c r="AH2" s="2"/>
      <c r="AJ2" s="119"/>
      <c r="AK2" s="119"/>
      <c r="AL2" s="119"/>
      <c r="AM2" s="2"/>
      <c r="AQ2" s="14"/>
      <c r="AR2" s="14"/>
      <c r="AS2" s="6"/>
      <c r="AT2" s="6"/>
      <c r="AU2" s="6"/>
      <c r="AZ2" s="1409">
        <f>'Regular and QuickBrace Systems'!W2</f>
        <v>1</v>
      </c>
      <c r="BD2" s="650"/>
      <c r="BE2" s="697" t="s">
        <v>816</v>
      </c>
      <c r="BF2" s="698" t="s">
        <v>817</v>
      </c>
      <c r="BG2" s="698" t="s">
        <v>818</v>
      </c>
      <c r="BH2" s="699"/>
      <c r="BI2" s="759"/>
      <c r="BJ2" s="188"/>
      <c r="BK2" s="506"/>
      <c r="BL2" s="188"/>
      <c r="BM2" s="779"/>
      <c r="BN2" s="779"/>
      <c r="BO2" s="779"/>
      <c r="BP2" s="972"/>
      <c r="BY2" s="2682" t="s">
        <v>921</v>
      </c>
      <c r="BZ2" s="2683"/>
      <c r="CA2" s="2683"/>
      <c r="CB2" s="2683"/>
      <c r="CC2" s="2683"/>
      <c r="CD2" s="2683"/>
      <c r="CE2" s="2683"/>
      <c r="CF2" s="2683"/>
      <c r="CG2" s="2684"/>
      <c r="CJ2" s="759"/>
      <c r="CL2" s="906" t="s">
        <v>821</v>
      </c>
      <c r="CO2" s="713" t="s">
        <v>823</v>
      </c>
      <c r="CP2" s="714" t="s">
        <v>824</v>
      </c>
      <c r="CQ2" s="712"/>
      <c r="CR2" s="714" t="s">
        <v>1123</v>
      </c>
      <c r="CS2" s="704"/>
      <c r="CT2" s="712"/>
      <c r="CU2" s="714" t="s">
        <v>777</v>
      </c>
      <c r="CV2" s="715"/>
      <c r="CW2" s="712"/>
      <c r="CX2" s="481" t="s">
        <v>784</v>
      </c>
      <c r="CY2" s="714" t="s">
        <v>825</v>
      </c>
      <c r="CZ2" s="712"/>
      <c r="DA2" s="714" t="s">
        <v>371</v>
      </c>
      <c r="DB2" s="712"/>
      <c r="DC2" s="994"/>
      <c r="DJ2" s="427"/>
      <c r="DK2" s="427"/>
      <c r="DL2" s="427"/>
      <c r="DM2" s="427"/>
      <c r="DN2" s="427"/>
      <c r="DO2" s="427"/>
      <c r="DP2" s="427"/>
      <c r="DQ2" s="427"/>
      <c r="DR2" s="427"/>
      <c r="DS2" s="982"/>
      <c r="DT2" s="427"/>
      <c r="DU2" s="427"/>
      <c r="DV2" s="427"/>
      <c r="DW2" s="427"/>
      <c r="DX2" s="427"/>
      <c r="DY2" s="427"/>
      <c r="DZ2" s="427"/>
      <c r="EA2" s="427"/>
      <c r="EB2" s="427"/>
      <c r="EC2" s="427"/>
      <c r="ED2" s="427"/>
      <c r="EE2" s="427"/>
      <c r="EF2" s="427"/>
      <c r="EG2" s="427"/>
      <c r="EH2" s="427"/>
      <c r="EI2" s="427"/>
      <c r="EJ2" s="427"/>
      <c r="EK2" s="427"/>
      <c r="EL2" s="427"/>
      <c r="EM2" s="427"/>
      <c r="EN2" s="427"/>
      <c r="EO2" s="427"/>
      <c r="EP2" s="428"/>
      <c r="EQ2" s="431"/>
      <c r="ER2" s="427"/>
      <c r="ES2" s="427"/>
      <c r="ET2" s="427"/>
      <c r="EU2" s="427"/>
      <c r="EV2" s="427"/>
      <c r="EW2" s="427"/>
    </row>
    <row r="3" spans="1:153" s="21" customFormat="1" ht="24" customHeight="1" thickBot="1">
      <c r="A3" s="18"/>
      <c r="B3" s="2688" t="s">
        <v>47</v>
      </c>
      <c r="C3" s="2639"/>
      <c r="D3" s="2695" t="str">
        <f>'Project Demand'!E8</f>
        <v xml:space="preserve"> </v>
      </c>
      <c r="E3" s="2696"/>
      <c r="F3" s="2697"/>
      <c r="G3" s="2698" t="str">
        <f>'Project Demand'!E9</f>
        <v xml:space="preserve"> </v>
      </c>
      <c r="H3" s="2699"/>
      <c r="I3" s="2700" t="str">
        <f>IF('Project Demand'!AQ59=1,'Terms and Conditions'!B22,'Project Demand'!L34)</f>
        <v>QuickBrace©                        First Principles</v>
      </c>
      <c r="J3" s="2701"/>
      <c r="K3" s="1791" t="str">
        <f>IF('Project Demand'!AQ59=1,"Total Demand =","Alternative Demand =")</f>
        <v>Total Demand =</v>
      </c>
      <c r="L3" s="1792" t="str">
        <f>$BH$3</f>
        <v>Bu's</v>
      </c>
      <c r="M3" s="1793">
        <f>IF('Project Demand'!AQ59=2,'Project Demand'!M37,'FP Calcs'!E67)</f>
        <v>204</v>
      </c>
      <c r="N3" s="1792" t="str">
        <f>$BH$3</f>
        <v>Bu's</v>
      </c>
      <c r="O3" s="1794">
        <f>IF('Project Demand'!AQ59=2,'Project Demand'!M39,'FP Calcs'!E71)</f>
        <v>523</v>
      </c>
      <c r="P3" s="134"/>
      <c r="Q3" s="676" t="str">
        <f ca="1">IF(OR(M2&lt;M3,O2&lt;O3),"Total Achieved &lt; Total Demand","")</f>
        <v>Total Achieved &lt; Total Demand</v>
      </c>
      <c r="R3" s="923"/>
      <c r="S3" s="923"/>
      <c r="T3" s="923"/>
      <c r="U3" s="923"/>
      <c r="V3" s="923"/>
      <c r="W3" s="923"/>
      <c r="X3" s="923"/>
      <c r="Y3" s="1002"/>
      <c r="Z3" s="452"/>
      <c r="AB3" s="923"/>
      <c r="AC3" s="22"/>
      <c r="AD3" s="1357" t="str">
        <f>IF($BG$4=1,$BG$42,$BH$42)</f>
        <v>Top    Line</v>
      </c>
      <c r="AE3" s="1434" t="str">
        <f>IF($BG$4=1,$BG$43,$BH$43)</f>
        <v>Bottom Line</v>
      </c>
      <c r="AF3" s="1449" t="str">
        <f>IF($BG$4=1,$BG$42,$BH$42)</f>
        <v>Top    Line</v>
      </c>
      <c r="AG3" s="1358" t="str">
        <f>IF($BG$4=1,$BG$43,$BH$43)</f>
        <v>Bottom Line</v>
      </c>
      <c r="AJ3" s="1355"/>
      <c r="AK3" s="1355"/>
      <c r="AL3" s="1355"/>
      <c r="AM3" s="2819"/>
      <c r="AN3" s="2819"/>
      <c r="AS3" s="20"/>
      <c r="AT3" s="20"/>
      <c r="AU3" s="20"/>
      <c r="AV3" s="1356">
        <f>'Regular and QuickBrace Systems'!W2</f>
        <v>1</v>
      </c>
      <c r="BD3" s="639"/>
      <c r="BE3" s="700">
        <f>'Project Demand'!AX5</f>
        <v>1</v>
      </c>
      <c r="BF3" s="701">
        <f>IF($BE$3=1,100,5)</f>
        <v>100</v>
      </c>
      <c r="BG3" s="702">
        <f>IF($BE$3=1,15,0.75)</f>
        <v>15</v>
      </c>
      <c r="BH3" s="953" t="str">
        <f>IF($BE$3=1,CX2,CX3)</f>
        <v>Bu's</v>
      </c>
      <c r="BI3" s="931"/>
      <c r="BJ3" s="18"/>
      <c r="BM3" s="923"/>
      <c r="BP3" s="449"/>
      <c r="BT3" s="923"/>
      <c r="BU3" s="923"/>
      <c r="CH3" s="923"/>
      <c r="CI3" s="923"/>
      <c r="CJ3" s="927"/>
      <c r="CL3" s="907" t="s">
        <v>826</v>
      </c>
      <c r="CO3" s="717" t="s">
        <v>828</v>
      </c>
      <c r="CP3" s="705" t="s">
        <v>829</v>
      </c>
      <c r="CQ3" s="718"/>
      <c r="CR3" s="705" t="s">
        <v>830</v>
      </c>
      <c r="CS3" s="719"/>
      <c r="CT3" s="718"/>
      <c r="CU3" s="705" t="s">
        <v>831</v>
      </c>
      <c r="CV3" s="720"/>
      <c r="CW3" s="721"/>
      <c r="CX3" s="482" t="s">
        <v>786</v>
      </c>
      <c r="CY3" s="705" t="s">
        <v>832</v>
      </c>
      <c r="CZ3" s="718"/>
      <c r="DA3" s="705" t="s">
        <v>833</v>
      </c>
      <c r="DB3" s="718"/>
      <c r="DE3" s="652"/>
      <c r="DF3" s="2680" t="s">
        <v>1110</v>
      </c>
      <c r="DG3" s="986"/>
      <c r="DT3" s="651"/>
      <c r="DU3" s="651"/>
      <c r="DV3" s="651"/>
      <c r="EP3" s="1013"/>
      <c r="EQ3" s="432"/>
      <c r="EW3" s="651"/>
    </row>
    <row r="4" spans="1:153" ht="24" customHeight="1" thickBot="1">
      <c r="B4" s="2688" t="str">
        <f>IF(BH28=1,"Single Storey",IF(BH28=2,"Upper Storey",IF(BH28=3,"Double Storey","")))</f>
        <v>Upper Storey</v>
      </c>
      <c r="C4" s="2689"/>
      <c r="D4" s="2618" t="str">
        <f>'Project Demand'!E10</f>
        <v xml:space="preserve"> </v>
      </c>
      <c r="E4" s="2619"/>
      <c r="F4" s="2619"/>
      <c r="G4" s="2619"/>
      <c r="H4" s="2620"/>
      <c r="I4" s="2702" t="str">
        <f>CU4</f>
        <v>Min. Bu's per either External side of Project=</v>
      </c>
      <c r="J4" s="2703"/>
      <c r="K4" s="2704"/>
      <c r="L4" s="1785">
        <f ca="1">(IF(L5&gt;'Project Demand'!$E36*$BG$3,L5,IF('Project Demand'!$E36*$BG$3&gt;$BF$3,'Project Demand'!$E36*$BG$3,$BF$3)))</f>
        <v>108</v>
      </c>
      <c r="M4" s="1786"/>
      <c r="N4" s="1785">
        <f ca="1">(IF(N5&gt;'Project Demand'!$E36*$BG$3,N5,IF('Project Demand'!$E36*$BG$3&gt;$BF$3,'Project Demand'!$E36*$BG$3,$BF$3)))</f>
        <v>108</v>
      </c>
      <c r="O4" s="1787"/>
      <c r="P4" s="135"/>
      <c r="Q4" s="1018" t="str">
        <f ca="1">IF(OR(L4&gt;EI81,N4&gt;EJ81,L4&gt;EK81,N4&gt;EL81),"Min. Req. on Ext Lines not reached,  See Table below or at right ===&gt; ","")</f>
        <v xml:space="preserve">Min. Req. on Ext Lines not reached,  See Table below or at right ===&gt; </v>
      </c>
      <c r="T4" s="3"/>
      <c r="Z4" s="452"/>
      <c r="AD4" s="2636" t="str">
        <f ca="1">IF(AND(AD5&gt;=AD7,AE5&gt;=AD7),"Achieved","Not reached")</f>
        <v>Not reached</v>
      </c>
      <c r="AE4" s="2637"/>
      <c r="AF4" s="2626" t="str">
        <f ca="1">IF(AND(AF5&gt;=AF7,AG5&gt;=AF7),"Achieved","Not reached")</f>
        <v>Not reached</v>
      </c>
      <c r="AG4" s="2627"/>
      <c r="AJ4" s="2820"/>
      <c r="AK4" s="2820"/>
      <c r="AL4" s="1383"/>
      <c r="AM4" s="2821"/>
      <c r="AN4" s="2821"/>
      <c r="AU4" s="1"/>
      <c r="BD4" s="640"/>
      <c r="BE4" s="2673" t="s">
        <v>925</v>
      </c>
      <c r="BF4" s="2674"/>
      <c r="BG4" s="450">
        <f>'Project Demand'!AX21</f>
        <v>1</v>
      </c>
      <c r="BH4" s="703"/>
      <c r="BI4" s="932"/>
      <c r="CJ4" s="759"/>
      <c r="CL4" s="950" t="s">
        <v>834</v>
      </c>
      <c r="CO4" s="953" t="str">
        <f>IF($BE$3=1,CO2,CO3)</f>
        <v>Bu/m</v>
      </c>
      <c r="CP4" s="951" t="str">
        <f>IF($BE$3=1,CP2,CP3)</f>
        <v>Achieved Bu's</v>
      </c>
      <c r="CQ4" s="952"/>
      <c r="CR4" s="951" t="str">
        <f>IF($BE$3=1,CR2,CR3)</f>
        <v>Element Resistance Limitations</v>
      </c>
      <c r="CS4" s="930"/>
      <c r="CT4" s="952"/>
      <c r="CU4" s="951" t="str">
        <f>IF($BE$3=1,CU2,CU3)</f>
        <v>Min. Bu's per either External side of Project=</v>
      </c>
      <c r="CV4" s="954"/>
      <c r="CW4" s="952"/>
      <c r="CY4" s="951" t="str">
        <f>IF($BE$3=1,CY2,CY3)</f>
        <v>Minimum Bu's Req. on each Bracing Line =</v>
      </c>
      <c r="CZ4" s="952"/>
      <c r="DA4" s="951" t="str">
        <f>IF($BE$3=1,DA2,DA3)</f>
        <v>Achieved BU's =</v>
      </c>
      <c r="DB4" s="952"/>
      <c r="DE4" s="987"/>
      <c r="DF4" s="2681"/>
      <c r="DG4" s="988"/>
      <c r="DS4" s="1007"/>
      <c r="DT4" s="1007"/>
      <c r="DU4" s="1007"/>
      <c r="DV4" s="1007"/>
      <c r="EW4" s="427"/>
    </row>
    <row r="5" spans="1:153" ht="24" customHeight="1" thickBot="1">
      <c r="A5" s="36"/>
      <c r="B5" s="2643" t="s">
        <v>1084</v>
      </c>
      <c r="C5" s="2644"/>
      <c r="D5" s="2644"/>
      <c r="E5" s="2644"/>
      <c r="F5" s="2644"/>
      <c r="G5" s="2644"/>
      <c r="H5" s="2645"/>
      <c r="I5" s="2711" t="str">
        <f>CY4</f>
        <v>Minimum Bu's Req. on each Bracing Line =</v>
      </c>
      <c r="J5" s="2712"/>
      <c r="K5" s="2713"/>
      <c r="L5" s="1788">
        <f ca="1">M105</f>
        <v>0</v>
      </c>
      <c r="M5" s="1789"/>
      <c r="N5" s="1788">
        <f ca="1">O105</f>
        <v>0</v>
      </c>
      <c r="O5" s="1790"/>
      <c r="P5" s="135"/>
      <c r="Q5" s="76" t="str">
        <f ca="1">IF(ISERROR(FIND("&lt;Min BU/",Q13&amp;Q19&amp;Q25&amp;Q31&amp;Q37&amp;Q43&amp;Q49&amp;Q55&amp;Q61&amp;Q67&amp;Q73&amp;Q79,1)),"","Min. Req. on each Bracing Line not reached")</f>
        <v/>
      </c>
      <c r="T5" s="1373" t="s">
        <v>8</v>
      </c>
      <c r="AC5"/>
      <c r="AD5" s="1780">
        <f ca="1">$EI$81</f>
        <v>0</v>
      </c>
      <c r="AE5" s="1781">
        <f>$EK$81</f>
        <v>0</v>
      </c>
      <c r="AF5" s="1782">
        <f ca="1">$EJ$81</f>
        <v>0</v>
      </c>
      <c r="AG5" s="1783">
        <f>$EL$81</f>
        <v>0</v>
      </c>
      <c r="AJ5" s="2813" t="str">
        <f>'Regular and QuickBrace Systems'!C4</f>
        <v>Elephant Plasterboard  - Regular (Nominal) Fixing Method:  Bracing Performance</v>
      </c>
      <c r="AK5" s="2814"/>
      <c r="AL5" s="2814"/>
      <c r="AM5" s="2814"/>
      <c r="AN5" s="2814"/>
      <c r="AO5" s="2814"/>
      <c r="AP5" s="2814"/>
      <c r="AQ5" s="2814"/>
      <c r="AR5" s="2814"/>
      <c r="AS5" s="2814"/>
      <c r="AT5" s="2814"/>
      <c r="AU5" s="2815"/>
      <c r="AW5" s="1591"/>
      <c r="BD5" s="641"/>
      <c r="BE5" s="2677" t="s">
        <v>815</v>
      </c>
      <c r="BF5" s="2678"/>
      <c r="BG5" s="959" t="str">
        <f>IF('Project Demand'!AQ59&lt;&gt;1,"Yes","No")</f>
        <v>No</v>
      </c>
      <c r="BI5" s="759"/>
      <c r="CJ5" s="759"/>
      <c r="CK5" s="188"/>
      <c r="CL5" s="977"/>
      <c r="CM5" s="777"/>
      <c r="CN5" s="778"/>
      <c r="CO5" s="778"/>
      <c r="CP5" s="777"/>
      <c r="CQ5" s="777"/>
      <c r="CR5" s="777"/>
      <c r="CS5" s="777"/>
      <c r="CT5" s="777"/>
      <c r="CU5" s="777"/>
      <c r="CV5" s="777"/>
      <c r="CW5" s="777"/>
      <c r="CX5" s="777"/>
      <c r="CY5" s="777"/>
      <c r="CZ5" s="777"/>
      <c r="DA5" s="920">
        <v>1</v>
      </c>
      <c r="DB5" s="920"/>
      <c r="DC5" s="997"/>
      <c r="DD5" s="920"/>
      <c r="DE5" s="920"/>
      <c r="DF5" s="920"/>
      <c r="DG5" s="955"/>
      <c r="DH5" s="955" t="s">
        <v>261</v>
      </c>
      <c r="DI5" s="955"/>
      <c r="DJ5" s="955"/>
      <c r="DK5" s="955"/>
      <c r="DL5" s="955"/>
      <c r="DM5" s="955"/>
      <c r="DN5" s="955"/>
      <c r="DO5" s="920" t="s">
        <v>250</v>
      </c>
      <c r="DP5" s="955"/>
      <c r="DQ5" s="955"/>
      <c r="DR5" s="955"/>
      <c r="DS5" s="955" t="s">
        <v>262</v>
      </c>
      <c r="DT5" s="606" t="s">
        <v>265</v>
      </c>
      <c r="DU5" s="955" t="s">
        <v>261</v>
      </c>
      <c r="DV5" s="955"/>
      <c r="DW5" s="955"/>
      <c r="DX5" s="955"/>
      <c r="DY5" s="955"/>
      <c r="DZ5" s="955"/>
      <c r="EA5" s="955"/>
      <c r="EB5" s="955"/>
      <c r="EC5" s="920" t="s">
        <v>250</v>
      </c>
      <c r="ED5" s="955"/>
      <c r="EE5" s="955"/>
      <c r="EF5" s="955"/>
      <c r="EG5" s="2738" t="s">
        <v>617</v>
      </c>
      <c r="EH5" s="2739"/>
      <c r="EI5" s="2739"/>
      <c r="EJ5" s="2739"/>
      <c r="EK5" s="2739"/>
      <c r="EL5" s="2740"/>
      <c r="EM5" s="2735" t="s">
        <v>589</v>
      </c>
      <c r="EN5" s="2736"/>
      <c r="EO5" s="2737"/>
      <c r="EP5" s="1014"/>
      <c r="EQ5" s="458"/>
      <c r="ER5" s="2726" t="s">
        <v>602</v>
      </c>
      <c r="ES5" s="2727"/>
      <c r="ET5" s="955"/>
      <c r="EU5" s="2719" t="s">
        <v>835</v>
      </c>
      <c r="EW5" s="427"/>
    </row>
    <row r="6" spans="1:153" ht="24" customHeight="1" thickBot="1">
      <c r="A6" s="37"/>
      <c r="B6" s="2705" t="s">
        <v>32</v>
      </c>
      <c r="C6" s="2646" t="s">
        <v>1051</v>
      </c>
      <c r="D6" s="2707" t="str">
        <f>IF($BG$4=1,BG39,BG40)</f>
        <v>Top, Bottom OR Internal</v>
      </c>
      <c r="E6" s="2707" t="s">
        <v>1047</v>
      </c>
      <c r="F6" s="2707" t="s">
        <v>1046</v>
      </c>
      <c r="G6" s="2709" t="s">
        <v>483</v>
      </c>
      <c r="H6" s="2707" t="s">
        <v>36</v>
      </c>
      <c r="I6" s="1692" t="s">
        <v>1107</v>
      </c>
      <c r="J6" s="2791" t="s">
        <v>49</v>
      </c>
      <c r="K6" s="2789" t="str">
        <f>CR4</f>
        <v>Element Resistance Limitations</v>
      </c>
      <c r="L6" s="2638" t="s">
        <v>1</v>
      </c>
      <c r="M6" s="2639"/>
      <c r="N6" s="2638" t="s">
        <v>17</v>
      </c>
      <c r="O6" s="2788"/>
      <c r="P6" s="136"/>
      <c r="Q6" s="2641" t="str">
        <f ca="1">IF(Q98&lt;&gt;0,"Check Warnings below and at bottom of this page","")</f>
        <v>Check Warnings below and at bottom of this page</v>
      </c>
      <c r="T6" s="2640" t="s">
        <v>1070</v>
      </c>
      <c r="U6" s="2640" t="s">
        <v>1071</v>
      </c>
      <c r="W6" s="3"/>
      <c r="X6" s="3"/>
      <c r="AB6" s="2625" t="s">
        <v>1072</v>
      </c>
      <c r="AC6"/>
      <c r="AD6" s="2630" t="s">
        <v>1092</v>
      </c>
      <c r="AE6" s="2631"/>
      <c r="AF6" s="2632" t="s">
        <v>1090</v>
      </c>
      <c r="AG6" s="2633"/>
      <c r="AJ6" s="2816" t="str">
        <f>'Regular and QuickBrace Systems'!C19</f>
        <v>Elephant QuickBrace©      Bracing Systems  Performance</v>
      </c>
      <c r="AK6" s="2817"/>
      <c r="AL6" s="2817"/>
      <c r="AM6" s="2817"/>
      <c r="AN6" s="2817"/>
      <c r="AO6" s="2817"/>
      <c r="AP6" s="2817"/>
      <c r="AQ6" s="2817"/>
      <c r="AR6" s="2817"/>
      <c r="AS6" s="2817"/>
      <c r="AT6" s="2817"/>
      <c r="AU6" s="2818"/>
      <c r="AW6" s="1591"/>
      <c r="BD6" s="642"/>
      <c r="BE6" s="25"/>
      <c r="BF6" s="2670" t="s">
        <v>547</v>
      </c>
      <c r="BG6" s="918" t="s">
        <v>610</v>
      </c>
      <c r="BH6" s="919">
        <f>'Regular and QuickBrace Systems'!W2</f>
        <v>1</v>
      </c>
      <c r="BI6" s="933"/>
      <c r="BJ6" s="898"/>
      <c r="BL6" s="119" t="s">
        <v>8</v>
      </c>
      <c r="BR6" s="450" t="s">
        <v>248</v>
      </c>
      <c r="BS6" s="450" t="s">
        <v>248</v>
      </c>
      <c r="BT6" s="450" t="s">
        <v>323</v>
      </c>
      <c r="BU6" s="450" t="s">
        <v>267</v>
      </c>
      <c r="BV6" s="2730" t="s">
        <v>779</v>
      </c>
      <c r="BW6" s="2731"/>
      <c r="BX6" s="479" t="s">
        <v>380</v>
      </c>
      <c r="CH6" s="52" t="s">
        <v>235</v>
      </c>
      <c r="CI6" s="52" t="s">
        <v>235</v>
      </c>
      <c r="CJ6" s="759"/>
      <c r="CK6" s="188"/>
      <c r="CL6" s="2675" t="s">
        <v>778</v>
      </c>
      <c r="CN6" s="2721"/>
      <c r="CO6" s="2723"/>
      <c r="CR6" s="51"/>
      <c r="CS6" s="2672" t="s">
        <v>1</v>
      </c>
      <c r="CT6" s="2672"/>
      <c r="CU6" s="2672" t="s">
        <v>229</v>
      </c>
      <c r="CV6" s="2672"/>
      <c r="CW6" s="51"/>
      <c r="CX6" s="51"/>
      <c r="CY6" s="51"/>
      <c r="CZ6" s="51"/>
      <c r="DC6" s="2734" t="s">
        <v>924</v>
      </c>
      <c r="DD6" s="603" t="s">
        <v>323</v>
      </c>
      <c r="DE6" s="51" t="s">
        <v>1049</v>
      </c>
      <c r="DF6" s="2743" t="s">
        <v>1048</v>
      </c>
      <c r="DG6" s="2672" t="s">
        <v>1</v>
      </c>
      <c r="DH6" s="2672"/>
      <c r="DI6" s="2672" t="s">
        <v>229</v>
      </c>
      <c r="DJ6" s="2672"/>
      <c r="DK6" s="51"/>
      <c r="DL6" s="51"/>
      <c r="DM6" s="51"/>
      <c r="DN6" s="51"/>
      <c r="DO6" s="426" t="s">
        <v>1</v>
      </c>
      <c r="DQ6" s="426" t="s">
        <v>230</v>
      </c>
      <c r="DT6" s="2741" t="s">
        <v>778</v>
      </c>
      <c r="DU6" s="2672" t="s">
        <v>1</v>
      </c>
      <c r="DV6" s="2672"/>
      <c r="DW6" s="2672" t="s">
        <v>229</v>
      </c>
      <c r="DX6" s="2672"/>
      <c r="DY6" s="51"/>
      <c r="DZ6" s="51"/>
      <c r="EA6" s="51"/>
      <c r="EB6" s="51"/>
      <c r="EC6" s="426" t="s">
        <v>1</v>
      </c>
      <c r="EE6" s="426" t="s">
        <v>230</v>
      </c>
      <c r="EG6" s="601"/>
      <c r="EH6" s="465"/>
      <c r="EI6" s="604" t="s">
        <v>677</v>
      </c>
      <c r="EJ6" s="605"/>
      <c r="EK6" s="606" t="s">
        <v>644</v>
      </c>
      <c r="EL6" s="607"/>
      <c r="EM6" s="426" t="s">
        <v>368</v>
      </c>
      <c r="ER6" s="2728"/>
      <c r="ES6" s="2729"/>
      <c r="EU6" s="2720"/>
      <c r="EW6" s="427"/>
    </row>
    <row r="7" spans="1:153" ht="24" customHeight="1" thickBot="1">
      <c r="B7" s="2706"/>
      <c r="C7" s="2647"/>
      <c r="D7" s="2708"/>
      <c r="E7" s="2708"/>
      <c r="F7" s="2708"/>
      <c r="G7" s="2710"/>
      <c r="H7" s="2708"/>
      <c r="I7" s="1685" t="str">
        <f>IF(I6=BG8,"Suggested Systems","Select Systems")</f>
        <v>Suggested Systems</v>
      </c>
      <c r="J7" s="2792"/>
      <c r="K7" s="2790"/>
      <c r="L7" s="722" t="str">
        <f>CO4</f>
        <v>Bu/m</v>
      </c>
      <c r="M7" s="690" t="str">
        <f>CP4</f>
        <v>Achieved Bu's</v>
      </c>
      <c r="N7" s="722" t="str">
        <f>CO4</f>
        <v>Bu/m</v>
      </c>
      <c r="O7" s="723" t="str">
        <f>CP4</f>
        <v>Achieved Bu's</v>
      </c>
      <c r="P7" s="137"/>
      <c r="Q7" s="2642"/>
      <c r="R7" s="451">
        <v>1</v>
      </c>
      <c r="T7" s="2640"/>
      <c r="U7" s="2640"/>
      <c r="W7" s="451">
        <v>0</v>
      </c>
      <c r="Z7" s="429" t="s">
        <v>269</v>
      </c>
      <c r="AB7" s="2625"/>
      <c r="AD7" s="2634">
        <f ca="1">$L$4</f>
        <v>108</v>
      </c>
      <c r="AE7" s="2635"/>
      <c r="AF7" s="2628">
        <f ca="1">$N$4</f>
        <v>108</v>
      </c>
      <c r="AG7" s="2629"/>
      <c r="AJ7" s="1458"/>
      <c r="AK7" s="1458"/>
      <c r="AL7" s="1457"/>
      <c r="AM7" s="1459"/>
      <c r="AN7" s="1459"/>
      <c r="AO7" s="1459"/>
      <c r="AP7" s="1457"/>
      <c r="AQ7" s="1457"/>
      <c r="AR7" s="1457"/>
      <c r="AS7" s="1460"/>
      <c r="AT7" s="1460"/>
      <c r="AU7" s="1460"/>
      <c r="BD7" s="643"/>
      <c r="BF7" s="2671"/>
      <c r="BG7" s="2724"/>
      <c r="BH7" s="2725"/>
      <c r="BI7" s="759"/>
      <c r="BJ7" s="915" t="s">
        <v>863</v>
      </c>
      <c r="BK7" s="862"/>
      <c r="BL7" s="973"/>
      <c r="BM7" s="52" t="s">
        <v>41</v>
      </c>
      <c r="BN7" s="52" t="s">
        <v>40</v>
      </c>
      <c r="BO7" s="52" t="s">
        <v>42</v>
      </c>
      <c r="BP7" s="52" t="s">
        <v>43</v>
      </c>
      <c r="BR7" s="450" t="s">
        <v>263</v>
      </c>
      <c r="BS7" s="450" t="s">
        <v>264</v>
      </c>
      <c r="BT7" s="450" t="s">
        <v>324</v>
      </c>
      <c r="BU7" s="450" t="s">
        <v>268</v>
      </c>
      <c r="BV7" s="2732"/>
      <c r="BW7" s="2733"/>
      <c r="BX7" s="479" t="s">
        <v>379</v>
      </c>
      <c r="CH7" s="52" t="s">
        <v>1</v>
      </c>
      <c r="CI7" s="52" t="s">
        <v>236</v>
      </c>
      <c r="CJ7" s="759"/>
      <c r="CK7" s="188"/>
      <c r="CL7" s="2676"/>
      <c r="CN7" s="2722" t="s">
        <v>778</v>
      </c>
      <c r="CO7" s="2723" t="s">
        <v>249</v>
      </c>
      <c r="CR7" s="52" t="s">
        <v>226</v>
      </c>
      <c r="CS7" s="956" t="s">
        <v>227</v>
      </c>
      <c r="CT7" s="52" t="s">
        <v>228</v>
      </c>
      <c r="CU7" s="956" t="s">
        <v>227</v>
      </c>
      <c r="CV7" s="52" t="s">
        <v>228</v>
      </c>
      <c r="CW7" s="52" t="s">
        <v>253</v>
      </c>
      <c r="CX7" s="52" t="s">
        <v>1</v>
      </c>
      <c r="CY7" s="52" t="s">
        <v>254</v>
      </c>
      <c r="CZ7" s="52" t="s">
        <v>230</v>
      </c>
      <c r="DA7" s="52" t="s">
        <v>255</v>
      </c>
      <c r="DB7" s="52" t="s">
        <v>256</v>
      </c>
      <c r="DC7" s="2734"/>
      <c r="DD7" s="602" t="s">
        <v>324</v>
      </c>
      <c r="DF7" s="2743"/>
      <c r="DG7" s="956" t="s">
        <v>227</v>
      </c>
      <c r="DH7" s="52" t="s">
        <v>228</v>
      </c>
      <c r="DI7" s="956" t="s">
        <v>227</v>
      </c>
      <c r="DJ7" s="52" t="s">
        <v>228</v>
      </c>
      <c r="DK7" s="51"/>
      <c r="DL7" s="51" t="s">
        <v>1</v>
      </c>
      <c r="DM7" s="51"/>
      <c r="DN7" s="51" t="s">
        <v>230</v>
      </c>
      <c r="DO7" s="51" t="s">
        <v>251</v>
      </c>
      <c r="DP7" s="51" t="s">
        <v>252</v>
      </c>
      <c r="DQ7" s="51" t="s">
        <v>251</v>
      </c>
      <c r="DR7" s="51" t="s">
        <v>252</v>
      </c>
      <c r="DT7" s="2742"/>
      <c r="DU7" s="956" t="s">
        <v>227</v>
      </c>
      <c r="DV7" s="52" t="s">
        <v>228</v>
      </c>
      <c r="DW7" s="956" t="s">
        <v>227</v>
      </c>
      <c r="DX7" s="52" t="s">
        <v>228</v>
      </c>
      <c r="DY7" s="51"/>
      <c r="DZ7" s="51" t="s">
        <v>1</v>
      </c>
      <c r="EA7" s="51"/>
      <c r="EB7" s="51" t="s">
        <v>230</v>
      </c>
      <c r="EC7" s="51" t="s">
        <v>251</v>
      </c>
      <c r="ED7" s="51" t="s">
        <v>252</v>
      </c>
      <c r="EE7" s="51" t="s">
        <v>251</v>
      </c>
      <c r="EF7" s="51" t="s">
        <v>252</v>
      </c>
      <c r="EG7" s="433"/>
      <c r="EH7" s="602"/>
      <c r="EI7" s="608" t="s">
        <v>1</v>
      </c>
      <c r="EJ7" s="609" t="s">
        <v>643</v>
      </c>
      <c r="EK7" s="610" t="s">
        <v>1</v>
      </c>
      <c r="EL7" s="609" t="s">
        <v>230</v>
      </c>
      <c r="EM7" s="51" t="s">
        <v>369</v>
      </c>
      <c r="ER7" s="981">
        <f>'Project Demand'!E35</f>
        <v>2.4</v>
      </c>
      <c r="ES7" s="434"/>
      <c r="EU7" s="957"/>
      <c r="EW7" s="427"/>
    </row>
    <row r="8" spans="1:153" ht="17.100000000000001" customHeight="1" thickBot="1">
      <c r="B8" s="689" t="s">
        <v>2</v>
      </c>
      <c r="C8" s="684" t="str">
        <f>IF(OR(F8=0,I8="",I8=" ")," ",$V8)</f>
        <v xml:space="preserve"> </v>
      </c>
      <c r="D8" s="1413" t="str">
        <f>BG$12</f>
        <v>Top External</v>
      </c>
      <c r="E8" s="1034"/>
      <c r="F8" s="1415"/>
      <c r="G8" s="1416"/>
      <c r="H8" s="199" t="str">
        <f ca="1">IF(OR(F8=0,Z8="E",Z8="f")," ",'Project Demand'!E$35)</f>
        <v xml:space="preserve"> </v>
      </c>
      <c r="I8" s="631" t="str">
        <f>IF($I$6&lt;&gt;$BG$8," ",AB8)</f>
        <v xml:space="preserve"> </v>
      </c>
      <c r="J8" s="43" t="str">
        <f ca="1">IF(OR(I8=" ",I8="")," ",OFFSET($BO$9,CL8-1,0-4,1,1))</f>
        <v xml:space="preserve"> </v>
      </c>
      <c r="K8" s="55" t="str">
        <f>IF(OR(I8=" ",I8="")," ",IF(OR(Z8="e",Z8="h"),"SD",BG$24))</f>
        <v xml:space="preserve"> </v>
      </c>
      <c r="L8" s="725">
        <f ca="1">CW8</f>
        <v>0</v>
      </c>
      <c r="M8" s="446">
        <f ca="1">CY8</f>
        <v>0</v>
      </c>
      <c r="N8" s="445">
        <f t="shared" ref="N8:O12" ca="1" si="0">DA8</f>
        <v>0</v>
      </c>
      <c r="O8" s="728">
        <f t="shared" ca="1" si="0"/>
        <v>0</v>
      </c>
      <c r="P8" s="138"/>
      <c r="Q8" s="752" t="str">
        <f ca="1">IF(AND(OR(Z8="t",Z8="f"),K8=$BH$11),"No Floor!  Change Floor Type",IF(OR(I8=" ",I8="")," ",IF(F8&lt;OFFSET($BM$9,CL8-1,0,1,1),"check L(m)",DE8&amp;IF(AND(DP8&gt;=CY8,DR8&gt;=DB8),IF(AND(ED8&gt;=DP8,EF8&gt;=DR8),CONCATENATE(DS8," will provide same result"),CONCATENATE(CO8," will provide same result")),IF((DP8&gt;=CY8),CONCATENATE(CO8," provides same result in WIND"),IF((DR8&gt;=DB8),CONCATENATE(CO8," provides same result in EQ"),""))))))&amp;IF(ISERROR(FIND("pile",I8,1)),"",IF(INT(F8)&lt;&gt;F8,"Pile!  Use Whole Numbers Only",""))</f>
        <v xml:space="preserve"> </v>
      </c>
      <c r="R8" s="52">
        <f ca="1">COLUMN(INDIRECT(B8&amp;1))</f>
        <v>1</v>
      </c>
      <c r="S8" s="1372" t="str">
        <f ca="1">SUBSTITUTE(ADDRESS(1,R8,4),"1","")</f>
        <v>A</v>
      </c>
      <c r="T8" s="451">
        <f>IF(AND(ISTEXT(B8),SUBSTITUTE(SUBSTITUTE(SUBSTITUTE(SUBSTITUTE(SUBSTITUTE(SUBSTITUTE(SUBSTITUTE(SUBSTITUTE(SUBSTITUTE(SUBSTITUTE(SUBSTITUTE(SUBSTITUTE(SUBSTITUTE(SUBSTITUTE(SUBSTITUTE(SUBSTITUTE(SUBSTITUTE(SUBSTITUTE(SUBSTITUTE(SUBSTITUTE(SUBSTITUTE(SUBSTITUTE(SUBSTITUTE(SUBSTITUTE(SUBSTITUTE(SUBSTITUTE(LOWER(B8),"a",),"b",),"c",),"d",),"e",),"f",),"g",),"h",),"i",),"j",),"k",),"l",),"m",),"n",),"o",),"p",),"q",),"r",),"s",),"t",),"u",),"v",),"w",),"x",),"y",),"z",)=""),1,2)</f>
        <v>1</v>
      </c>
      <c r="U8" s="1377">
        <v>1</v>
      </c>
      <c r="V8" s="52" t="str">
        <f>IF(AND(B$5=$BF$9,OR(I8=BH$16,I8=BH$17))," ",IF(ISNUMBER(B$8),(CONCATENATE(B$8,".",W8)),(CONCATENATE(B$8,W8))))</f>
        <v>A0</v>
      </c>
      <c r="W8" s="9">
        <f>IF(B2=B8,W6+X8,X8)</f>
        <v>0</v>
      </c>
      <c r="X8" s="9">
        <f>IF(AND(B$5=$BF$9,OR($I8=$BH$16,$I8=$BH$17,$I8=" ",$I8="",$F8=0)),0,IF(OR($I8=" ",$I8="",$F8=0),0,1))</f>
        <v>0</v>
      </c>
      <c r="Y8" s="896">
        <f ca="1">IF(AND(M13&gt;0,B8&lt;&gt;B14),1,0)</f>
        <v>0</v>
      </c>
      <c r="Z8" s="52" t="str">
        <f ca="1">IF(I8=" "," ",OFFSET($BM$9,$CL8-1,8,1,1))</f>
        <v xml:space="preserve"> </v>
      </c>
      <c r="AA8" s="51" t="str">
        <f>IF(G8&gt;=45,"WA","")</f>
        <v/>
      </c>
      <c r="AB8" s="1364" t="str">
        <f>IF(F8&lt;&gt;"",IF(OR(D8=$BG$12,D8=$BG$13),IF(E8&lt;&gt;$BG$17,$BF$12,$BF$13),IF(E8&lt;&gt;$BG$17,$BF$12,$BF$13))," ")</f>
        <v xml:space="preserve"> </v>
      </c>
      <c r="AC8" s="1"/>
      <c r="AJ8" s="2185" t="str">
        <f>'Regular and QuickBrace Systems'!C5</f>
        <v>Supplier</v>
      </c>
      <c r="AK8" s="2831" t="str">
        <f>'Regular and QuickBrace Systems'!D5</f>
        <v>Internal or External Usage</v>
      </c>
      <c r="AL8" s="1824" t="str">
        <f>'Regular and QuickBrace Systems'!E5</f>
        <v>Regular Code</v>
      </c>
      <c r="AM8" s="2836" t="str">
        <f>'Regular and QuickBrace Systems'!F5</f>
        <v xml:space="preserve"> Performance</v>
      </c>
      <c r="AN8" s="2836"/>
      <c r="AO8" s="2837"/>
      <c r="AP8" s="1592"/>
      <c r="AQ8" s="2652" t="str">
        <f>'Regular and QuickBrace Systems'!I5</f>
        <v>Fixing Method</v>
      </c>
      <c r="AR8" s="2653"/>
      <c r="AS8" s="1597" t="s">
        <v>8</v>
      </c>
      <c r="AT8" s="1152"/>
      <c r="AU8" s="1456" t="str">
        <f>'Regular and QuickBrace Systems'!M5</f>
        <v xml:space="preserve">Lining Requirements </v>
      </c>
      <c r="AW8" s="2668" t="str">
        <f>'Regular and QuickBrace Systems'!O5</f>
        <v xml:space="preserve"> </v>
      </c>
      <c r="AX8" s="2669"/>
      <c r="BD8" s="641"/>
      <c r="BE8" s="457" t="s">
        <v>1069</v>
      </c>
      <c r="BF8" s="1379"/>
      <c r="BG8" s="430" t="s">
        <v>1107</v>
      </c>
      <c r="BH8" s="51" t="s">
        <v>1108</v>
      </c>
      <c r="BI8" s="759"/>
      <c r="BJ8" s="896"/>
      <c r="BK8" s="51"/>
      <c r="BL8" s="51"/>
      <c r="BM8" s="966" t="s">
        <v>8</v>
      </c>
      <c r="CJ8" s="759"/>
      <c r="CK8" s="188"/>
      <c r="CL8" s="978">
        <f>VLOOKUP(I8,Prodlink,2,0)</f>
        <v>0</v>
      </c>
      <c r="CN8" s="497">
        <f ca="1">VLOOKUP(CO8,Prodlink,2,0)</f>
        <v>0</v>
      </c>
      <c r="CO8" s="497">
        <f ca="1">OFFSET($CH$9,CL8-1,-15,1,1)</f>
        <v>0</v>
      </c>
      <c r="CQ8" s="51">
        <v>0</v>
      </c>
      <c r="CR8" s="51">
        <f>IF(K8=$BH$12,$BH$23,IF(K8=$BH$13,$BH$24,10000))</f>
        <v>10000</v>
      </c>
      <c r="CS8" s="51">
        <f ca="1">IF(F8&lt;OFFSET($BM$9,CL8-1,0,1,1),0,IF(F8&lt;OFFSET($BN$9,CL8-1,0,1,1),((F8-OFFSET($BM$9,CL8-1,0,1,1))*OFFSET($CH$9,CL8-1,0,1,1))+OFFSET($BO$9,CL8-1,CQ8,1,1),IF(F8&lt;OFFSET($BN$9,CL8+0,0,1,1),((F8-OFFSET($BM$9,CL8+0,0,1,1))*OFFSET($CH$9,CL8+0,0,1,1))+OFFSET($BO$9,CL8+0,CQ8,1,1),IF(F8&lt;OFFSET($BN$9,CL8+1,0,1,1),((F8-OFFSET($BM$9,CL8+1,0,1,1))*OFFSET($CH$9,CL8+1,0,1,1))+OFFSET($BO$9,CL8+1,CQ8,1,1),IF(F8&lt;OFFSET($BN$9,CL8+2,0,1,1),((F8-OFFSET($BM$9,CL8+2,0,1,1))*OFFSET($CH$9,CL8+2,0,1,1))+OFFSET($BO$9,CL8+2,CQ8,1,1),IF(F8&lt;OFFSET($BN$9,CL8+3,0,1,1),((F8-OFFSET($BM$9,CL8+3,0,1,1))*OFFSET($CH$9,CL8+3,0,1,1))+OFFSET($BO$9,CL8+3,CQ8,1,1),0))))))</f>
        <v>0</v>
      </c>
      <c r="CT8" s="51">
        <f ca="1">IF($F8&lt;OFFSET($BM$9,$CL8-1,0,1,1),0,IF($F8&lt;OFFSET($BN$9,$CL8-1,0,1,1),IF(AND($H8&gt;2.4,Z8&lt;&gt;"e",Z8&lt;&gt;"f"),CX8*2.4/$H8,CX8),IF($F8&lt;OFFSET($BN$9,$CL8+0,0,1,1),IF(AND($H8&gt;2.4,Z8&lt;&gt;"e",Z8&lt;&gt;"f"),CX8*2.4/$H8,CX8),IF($F8&lt;OFFSET($BN$9,$CL8+1,0,1,1),IF(AND($H8&gt;2.4,Z8&lt;&gt;"e",Z8&lt;&gt;"f"),CX8*2.4/$H8,CX8),IF($F8&lt;OFFSET($BN$9,CL8+2,0,1,1),IF(AND($H8&gt;2.4,Z8&lt;&gt;"e",Z8&lt;&gt;"f"),CX8*2.4/$H8,CX8),IF($F8&lt;OFFSET($BN$9,CL8+3,0,1,1),IF(AND($H8&gt;2.4,Z8&lt;&gt;"e",Z8&lt;&gt;"f"),CX8*2.4/$H8,CX8),0)))))*COS(RADIANS($G8)))</f>
        <v>0</v>
      </c>
      <c r="CU8" s="51">
        <f ca="1">IF(F8&lt;OFFSET($BM$9,CL8-1,0,1,1),0,IF(F8&lt;OFFSET($BN$9,CL8-1,0,1,1),((F8-OFFSET($BM$9,CL8-1,0,1,1))*OFFSET($CI$9,CL8-1,0,1,1))+OFFSET($BP$9,CL8-1,CQ8,1,1),IF(F8&lt;OFFSET($BN$9,CL8+0,0,1,1),((F8-OFFSET($BM$9,CL8+0,0,1,1))*OFFSET($CI$9,CL8+0,0,1,1))+OFFSET($BP$9,CL8+0,CQ8,1,1),IF(F8&lt;OFFSET($BN$9,CL8+1,0,1,1),((F8-OFFSET($BM$9,CL8+1,0,1,1))*OFFSET($CI$9,CL8+1,0,1,1))+OFFSET($BP$9,CL8+1,CQ8,1,1),IF(F8&lt;OFFSET($BN$9,CL8+2,0,1,1),((F8-OFFSET($BM$9,CL8+2,0,1,1))*OFFSET($CI$9,CL8+2,0,1,1))+OFFSET($BP$9,CL8+2,CQ8,1,1),IF(F8&lt;OFFSET($BN$9,CL8+3,0,1,1),((F8-OFFSET($BM$9,CL8+3,0,1,1))*OFFSET($CI$9,CL8+3,0,1,1))+OFFSET($BP$9,CL8+3,CQ8,1,1),0))))))</f>
        <v>0</v>
      </c>
      <c r="CV8" s="51">
        <f ca="1">IF($F8&lt;OFFSET($BM$9,$CL8-1,0,1,1),0,IF($F8&lt;OFFSET($BN$9,$CL8-1,0,1,1),IF(AND($H8&gt;2.4,Z8&lt;&gt;"e",Z8&lt;&gt;"f"),CZ8*2.4/$H8,CZ8),IF($F8&lt;OFFSET($BN$9,$CL8+0,0,1,1),IF(AND($H8&gt;2.4,Z8&lt;&gt;"e",Z8&lt;&gt;"f"),CZ8*2.4/$H8,CZ8),IF($F8&lt;OFFSET($BN$9,$CL8+1,0,1,1),IF(AND($H8&gt;2.4,Z8&lt;&gt;"e",Z8&lt;&gt;"f"),CZ8*2.4/$H8,CZ8),IF($F8&lt;OFFSET($BN$9,$CL8+2,0,1,1),IF(AND($H8&gt;2.4,Z8&lt;&gt;"e",Z8&lt;&gt;"f"),CZ8*2.4/$H8,CZ8),IF($F8&lt;OFFSET($BN$9,$CL8+3,0,1,1),IF(AND($H8&gt;2.4,Z8&lt;&gt;"e",Z8&lt;&gt;"f"),CZ8*2.4/$H8,CZ8),0)))))*COS(RADIANS($G8)))</f>
        <v>0</v>
      </c>
      <c r="CW8" s="51">
        <f ca="1">IF(CT8&gt;CR8,CR8,CT8)</f>
        <v>0</v>
      </c>
      <c r="CX8" s="51">
        <f ca="1">IF(CS8&gt;$CR8,$CR8,CS8)</f>
        <v>0</v>
      </c>
      <c r="CY8" s="51">
        <f ca="1">CW8*F8</f>
        <v>0</v>
      </c>
      <c r="CZ8" s="51">
        <f ca="1">IF($CU8&gt;$CR8,$CR8,$CU8)</f>
        <v>0</v>
      </c>
      <c r="DA8" s="51">
        <f ca="1">IF(CV8&gt;CR8,CR8,CV8)</f>
        <v>0</v>
      </c>
      <c r="DB8" s="984">
        <f ca="1">DA8*F8</f>
        <v>0</v>
      </c>
      <c r="DC8" s="993">
        <v>1</v>
      </c>
      <c r="DD8" s="758" t="str">
        <f>IF(OR(D8=BG$12,D8=BG$13),"External",IF(D8=BG$14,"Internal"," "))</f>
        <v>External</v>
      </c>
      <c r="DE8" s="51" t="str">
        <f ca="1">IF(AND(OFFSET($CH$9,CL8-1,-14,1,1)="I",DD8="External"),BE$66,IF(AND(OFFSET($CH$9,CL8-1,-14,1,1)="M",DD8="Internal"),BE$65,IF(AND(OFFSET($CH$9,CL8-1,-14,1,1)="M",DD8=" "),BE$64,IF(AND(OFFSET($CH$9,CL8-1,-14,1,1)="E",DD8="Internal"),BE$62,IF(AND(OFFSET($CH$9,CL8-1,-14,1,1)="E",DD8=" "),BE$61,IF(AND(DF8="Double",E8=$BG$16),BE$67,""))))))</f>
        <v/>
      </c>
      <c r="DF8" s="52" t="str">
        <f ca="1">IF(I8=" "," ",OFFSET($BM$9,$CL8-1,11,1,1))</f>
        <v xml:space="preserve"> </v>
      </c>
      <c r="DG8" s="51">
        <f ca="1">IF(F8&lt;OFFSET($BM$9,CN8-1,0,1,1),0,IF(F8&lt;OFFSET($BN$9,CN8-1,0,1,1),((F8-OFFSET($BM$9,CN8-1,0,1,1))*OFFSET($CH$9,CN8-1,0,1,1))+OFFSET($BO$9,CN8-1,CQ8,1,1),IF(F8&lt;OFFSET($BN$9,CN8+0,0,1,1),((F8-OFFSET($BM$9,CN8+0,0,1,1))*OFFSET($CH$9,CN8+0,0,1,1))+OFFSET($BO$9,CN8+0,CQ8,1,1),IF(F8&lt;OFFSET($BN$9,CN8+1,0,1,1),((F8-OFFSET($BM$9,CN8+1,0,1,1))*OFFSET($CH$9,CN8+1,0,1,1))+OFFSET($BO$9,CN8+1,CQ8,1,1),IF(F8&lt;OFFSET($BN$9,CN8+2,0,1,1),((F8-OFFSET($BM$9,CN8+2,0,1,1))*OFFSET($CH$9,CN8+2,0,1,1))+OFFSET($BO$9,CN8+2,CQ8,1,1),IF(F8&lt;OFFSET($BN$9,CN8+3,0,1,1),((F8-OFFSET($BM$9,CN8+3,0,1,1))*OFFSET($CH$9,CN8+3,0,1,1))+OFFSET($BO$9,CN8+3,CQ8,1,1),0))))))</f>
        <v>0</v>
      </c>
      <c r="DH8" s="51">
        <f ca="1">IF($F8&lt;OFFSET($BM$9,$CN8-1,0,1,1),0,IF($F8&lt;OFFSET($BN$9,$CN8-1,0,1,1),IF(AND($H8&gt;2.4,Z8&lt;&gt;"e",Z8&lt;&gt;"f"),DL8*2.4/$H8,DL8),IF($F8&lt;OFFSET($BN$9,$CN8+0,0,1,1),IF(AND($H8&gt;2.4,Z8&lt;&gt;"e",Z8&lt;&gt;"f"),DL8*2.4/$H8,DL8),IF($F8&lt;OFFSET($BN$9,$CN8+1,0,1,1),IF(AND($H8&gt;2.4,Z8&lt;&gt;"e",Z8&lt;&gt;"f"),DL8*2.4/$H8,DL8),IF($F8&lt;OFFSET($BN$9,$CN8+2,0,1,1),IF(AND($H8&gt;2.4,Z8&lt;&gt;"e",Z8&lt;&gt;"f"),DL8*2.4/$H8,DL8),IF($F8&lt;OFFSET($BN$9,$CN8+3,0,1,1),IF(AND($H8&gt;2.4,Z8&lt;&gt;"e",Z8&lt;&gt;"f"),DL8*2.4/$H8,DL8),0)))))*COS(RADIANS($G8)))</f>
        <v>0</v>
      </c>
      <c r="DI8" s="51">
        <f ca="1">IF(F8&lt;OFFSET($BM$9,CN8-1,0,1,1),0,IF(F8&lt;OFFSET($BN$9,CN8-1,0,1,1),((F8-OFFSET($BM$9,CN8-1,0,1,1))*OFFSET($CI$9,CN8-1,0,1,1))+OFFSET($BP$9,CN8-1,CQ8,1,1),IF(F8&lt;OFFSET($BN$9,CN8+0,0,1,1),((F8-OFFSET($BM$9,CN8+0,0,1,1))*OFFSET($CI$9,CN8+0,0,1,1))+OFFSET($BP$9,CN8+0,CQ8,1,1),IF(F8&lt;OFFSET($BN$9,CN8+1,0,1,1),((F8-OFFSET($BM$9,CN8+1,0,1,1))*OFFSET($CI$9,CN8+1,0,1,1))+OFFSET($BP$9,CN8+1,CQ8,1,1),IF(F8&lt;OFFSET($BN$9,CN8+2,0,1,1),((F8-OFFSET($BM$9,CN8+2,0,1,1))*OFFSET($CI$9,CN8+2,0,1,1))+OFFSET($BP$9,CN8+2,CQ8,1,1),IF(F8&lt;OFFSET($BN$9,CN8+3,0,1,1),((F8-OFFSET($BM$9,CN8+3,0,1,1))*OFFSET($CI$9,CN8+3,0,1,1))+OFFSET($BP$9,CN8+3,CQ8,1,1),0))))))</f>
        <v>0</v>
      </c>
      <c r="DJ8" s="51">
        <f ca="1">IF($F8&lt;OFFSET($BM$9,$CN8-1,0,1,1),0,IF($F8&lt;OFFSET($BN$9,$CN8-1,0,1,1),IF(AND($H8&gt;2.4,Z8&lt;&gt;"e",Z8&lt;&gt;"f"),DN8*2.4/$H8,DN8),IF($F8&lt;OFFSET($BN$9,$CN8+0,0,1,1),IF(AND($H8&gt;2.4,Z8&lt;&gt;"e",Z8&lt;&gt;"f"),DN8*2.4/$H8,DN8),IF($F8&lt;OFFSET($BN$9,$CN8+1,0,1,1),IF(AND($H8&gt;2.4,Z8&lt;&gt;"e",Z8&lt;&gt;"f"),DN8*2.4/$H8,DN8),IF($F8&lt;OFFSET($BN$9,$CN8+2,0,1,1),IF(AND($H8&gt;2.4,Z8&lt;&gt;"e",Z8&lt;&gt;"f"),DN8*2.4/$H8,DN8),IF($F8&lt;OFFSET($BN$9,$CN8+3,0,1,1),IF(AND($H8&gt;2.4,Z8&lt;&gt;"e",Z8&lt;&gt;"f"),DN8*2.4/$H8,DN8),0)))))*COS(RADIANS($G8)))</f>
        <v>0</v>
      </c>
      <c r="DK8" s="51"/>
      <c r="DL8" s="51">
        <f ca="1">IF(DG8&gt;$CR8,$CR8,DG8)</f>
        <v>0</v>
      </c>
      <c r="DM8" s="51"/>
      <c r="DN8" s="51">
        <f ca="1">IF(DI8&gt;$CR8,$CR8,DI8)</f>
        <v>0</v>
      </c>
      <c r="DO8" s="435">
        <f ca="1">IF(DH8&gt;$CR8,$CR8,DH8)</f>
        <v>0</v>
      </c>
      <c r="DP8" s="435">
        <f ca="1">DO8*F8</f>
        <v>0</v>
      </c>
      <c r="DQ8" s="436">
        <f ca="1">IF(DJ8&gt;$CR8,$CR8,DJ8)</f>
        <v>0</v>
      </c>
      <c r="DR8" s="437">
        <f ca="1">DQ8*F8</f>
        <v>0</v>
      </c>
      <c r="DS8" s="426">
        <f ca="1">OFFSET($CH$9,CL8-1,-15,1,1)</f>
        <v>0</v>
      </c>
      <c r="DT8" s="451">
        <f ca="1">VLOOKUP(DS8,Prodlink,2,0)</f>
        <v>0</v>
      </c>
      <c r="DU8" s="188">
        <f ca="1">IF(F8&lt;OFFSET($BM$9,DT8-1,0,1,1),0,IF(F8&lt;OFFSET($BN$9,DT8-1,0,1,1),((F8-OFFSET($BM$9,DT8-1,0,1,1))*OFFSET($CH$9,DT8-1,0,1,1))+OFFSET($BO$9,DT8-1,CQ8,1,1),IF(F8&lt;OFFSET($BN$9,DT8+0,0,1,1),((F8-OFFSET($BM$9,DT8+0,0,1,1))*OFFSET($CH$9,DT8+0,0,1,1))+OFFSET($BO$9,DT8+0,CQ8,1,1),IF(F8&lt;OFFSET($BN$9,DT8+1,0,1,1),((F8-OFFSET($BM$9,DT8+1,0,1,1))*OFFSET($CH$9,DT8+1,0,1,1))+OFFSET($BO$9,DT8+1,CQ8,1,1),IF(F8&lt;OFFSET($BN$9,DT8+2,0,1,1),((F8-OFFSET($BM$9,DT8+2,0,1,1))*OFFSET($CH$9,DT8+2,0,1,1))+OFFSET($BO$9,DT8+2,CQ8,1,1),IF(F8&lt;OFFSET($BN$9,DT8+3,0,1,1),((F8-OFFSET($BM$9,DT8+3,0,1,1))*OFFSET($CH$9,DT8+3,0,1,1))+OFFSET($BO$9,DT8+3,CQ8,1,1),0))))))</f>
        <v>0</v>
      </c>
      <c r="DV8" s="51">
        <f ca="1">IF($F8&lt;OFFSET($BM$9,$DT8-1,0,1,1),0,IF($F8&lt;OFFSET($BN$9,$DT8-1,0,1,1),IF(AND($H8&gt;2.4,Z8&lt;&gt;"e",Z8&lt;&gt;"f"),DZ8*2.4/$H8,DZ8),IF($F8&lt;OFFSET($BN$9,$DT8+0,0,1,1),IF(AND($H8&gt;2.4,Z8&lt;&gt;"e",Z8&lt;&gt;"f"),DZ8*2.4/$H8,DZ8),IF($F8&lt;OFFSET($BN$9,$DT8+1,0,1,1),IF(AND($H8&gt;2.4,Z8&lt;&gt;"e",Z8&lt;&gt;"f"),DZ8*2.4/$H8,DZ8),IF($F8&lt;OFFSET($BN$9,$DT8+2,0,1,1),IF(AND($H8&gt;2.4,Z8&lt;&gt;"e",Z8&lt;&gt;"f"),DZ8*2.4/$H8,DZ8),IF($F8&lt;OFFSET($BN$9,$DT8+3,0,1,1),IF(AND($H8&gt;2.4,Z8&lt;&gt;"e",Z8&lt;&gt;"f"),DZ8*2.4/$H8,DZ8),0)))))*COS(RADIANS($G8)))</f>
        <v>0</v>
      </c>
      <c r="DW8" s="188">
        <f ca="1">IF(F8&lt;OFFSET($BM$9,DT8-1,0,1,1),0,IF(F8&lt;OFFSET($BN$9,DT8-1,0,1,1),((F8-OFFSET($BM$9,DT8-1,0,1,1))*OFFSET($CI$9,DT8-1,0,1,1))+OFFSET($BP$9,DT8-1,CQ8,1,1),IF(F8&lt;OFFSET($BN$9,DT8+0,0,1,1),((F8-OFFSET($BM$9,DT8+0,0,1,1))*OFFSET($CI$9,DT8+0,0,1,1))+OFFSET($BP$9,DT8+0,CQ8,1,1),IF(F8&lt;OFFSET($BN$9,DT8+1,0,1,1),((F8-OFFSET($BM$9,DT8+1,0,1,1))*OFFSET($CI$9,DT8+1,0,1,1))+OFFSET($BP$9,DT8+1,CQ8,1,1),IF(F8&lt;OFFSET($BN$9,DT8+2,0,1,1),((F8-OFFSET($BM$9,DT8+2,0,1,1))*OFFSET($CI$9,DT8+2,0,1,1))+OFFSET($BP$9,DT8+2,CQ8,1,1),IF(F8&lt;OFFSET($BN$9,DT8+3,0,1,1),((F8-OFFSET($BM$9,DT8+3,0,1,1))*OFFSET($CI$9,DT8+3,0,1,1))+OFFSET($BP$9,DT8+3,CQ8,1,1),0))))))</f>
        <v>0</v>
      </c>
      <c r="DX8" s="51">
        <f ca="1">IF($F8&lt;OFFSET($BM$9,$DT8-1,0,1,1),0,IF($F8&lt;OFFSET($BN$9,$DT8-1,0,1,1),IF(AND($H8&gt;2.4,Z8&lt;&gt;"e",Z8&lt;&gt;"f"),EB8*2.4/$H8,EB8),IF($F8&lt;OFFSET($BN$9,$DT8+0,0,1,1),IF(AND($H8&gt;2.4,Z8&lt;&gt;"e",Z8&lt;&gt;"f"),EB8*2.4/$H8,EB8),IF($F8&lt;OFFSET($BN$9,$DT8+1,0,1,1),IF(AND($H8&gt;2.4,Z8&lt;&gt;"e",Z8&lt;&gt;"f"),EB8*2.4/$H8,EB8),IF($F8&lt;OFFSET($BN$9,$DT8+2,0,1,1),IF(AND($H8&gt;2.4,Z8&lt;&gt;"e",Z8&lt;&gt;"f"),EB8*2.4/$H8,EB8),IF($F8&lt;OFFSET($BN$9,$DT8+3,0,1,1),IF(AND($H8&gt;2.4,Z8&lt;&gt;"e",Z8&lt;&gt;"f"),EB8*2.4/$H8,EB8),0)))))*COS(RADIANS($G8)))</f>
        <v>0</v>
      </c>
      <c r="DY8" s="188"/>
      <c r="DZ8" s="188">
        <f ca="1">IF(DU8&gt;$CR8,$CR8,DU8)</f>
        <v>0</v>
      </c>
      <c r="EA8" s="188"/>
      <c r="EB8" s="188">
        <f ca="1">IF(DW8&gt;$CR8,$CR8,DW8)</f>
        <v>0</v>
      </c>
      <c r="EC8" s="435">
        <f ca="1">IF(DV8&gt;$CR8,$CR8,DV8)</f>
        <v>0</v>
      </c>
      <c r="ED8" s="435">
        <f ca="1">EC8*F8</f>
        <v>0</v>
      </c>
      <c r="EE8" s="436">
        <f ca="1">IF(DX8&gt;$CR8,$CR8,DX8)</f>
        <v>0</v>
      </c>
      <c r="EF8" s="437">
        <f ca="1">EE8*F8</f>
        <v>0</v>
      </c>
      <c r="EG8" s="613" t="str">
        <f>IF(D8=BG$12,BG$12,"")</f>
        <v>Top External</v>
      </c>
      <c r="EH8" s="614" t="str">
        <f>IF(D8=BG$13,BG$13,"")</f>
        <v/>
      </c>
      <c r="EI8" s="611">
        <f ca="1">IF(EG8=BG$12,M8,0)</f>
        <v>0</v>
      </c>
      <c r="EJ8" s="451">
        <f ca="1">IF(EG8=BG$12,O8,0)</f>
        <v>0</v>
      </c>
      <c r="EK8" s="451">
        <f>IF(EH8=BG$13,M8,0)</f>
        <v>0</v>
      </c>
      <c r="EL8" s="612">
        <f>IF(EH8=BG$13,O8,0)</f>
        <v>0</v>
      </c>
      <c r="EM8" s="426" t="str">
        <f ca="1">IF(AND(Z8&lt;&gt;"t",Z8&lt;&gt;"f"),"",IF(AND(EN8=$BH$13,K8=$BH$12),"NotOpt",IF(K8&lt;&gt;EN8,"Error","")))</f>
        <v/>
      </c>
      <c r="EN8" s="491" t="str">
        <f>IF(AND($BH$28=1,$BG$28=1),$BH$13,$BH$12)</f>
        <v>120 BU's</v>
      </c>
      <c r="EO8" s="426" t="str">
        <f>K8</f>
        <v xml:space="preserve"> </v>
      </c>
      <c r="EP8" s="497">
        <v>1</v>
      </c>
      <c r="EQ8" s="430" t="str">
        <f ca="1">IF(EP8=1," ",OFFSET(BF$15,EP8-2,0,1,1))</f>
        <v xml:space="preserve"> </v>
      </c>
      <c r="ER8" s="439" t="str">
        <f ca="1">IF(H8=0," ",H8)</f>
        <v xml:space="preserve"> </v>
      </c>
      <c r="ES8" s="440" t="str">
        <f ca="1">IF(ER8&lt;&gt;" ",IF(ER8&lt;&gt;ER$7,"Changed",""),"")</f>
        <v/>
      </c>
      <c r="ET8" s="440">
        <f ca="1">IF(ER8&lt;&gt;" ",IF(ER8&lt;&gt;ER$7,1,0),0)</f>
        <v>0</v>
      </c>
      <c r="EU8" s="957" t="str">
        <f ca="1">IF(I8=" "," ",IF(F8&lt;OFFSET($BM$9,CL8-1,0,1,1),1,""))</f>
        <v xml:space="preserve"> </v>
      </c>
      <c r="EW8" s="427"/>
    </row>
    <row r="9" spans="1:153" ht="17.100000000000001" customHeight="1" thickBot="1">
      <c r="B9" s="689" t="s">
        <v>246</v>
      </c>
      <c r="C9" s="684" t="str">
        <f>IF(OR(F9=0,I9="",I9=" ")," ",$V9)</f>
        <v xml:space="preserve"> </v>
      </c>
      <c r="D9" s="1033"/>
      <c r="E9" s="1360"/>
      <c r="F9" s="201"/>
      <c r="G9" s="1416"/>
      <c r="H9" s="199" t="str">
        <f ca="1">IF(OR(F9=0,Z9="E",Z9="f")," ",'Project Demand'!E$35)</f>
        <v xml:space="preserve"> </v>
      </c>
      <c r="I9" s="631" t="str">
        <f>IF($I$6&lt;&gt;$BG$8," ",AB9)</f>
        <v xml:space="preserve"> </v>
      </c>
      <c r="J9" s="44" t="str">
        <f ca="1">IF(OR(I9=" ",I9="")," ",OFFSET($BO$9,CL9-1,0-4,1,1))</f>
        <v xml:space="preserve"> </v>
      </c>
      <c r="K9" s="55" t="str">
        <f>IF(OR(I9=" ",I9="")," ",IF(OR(Z9="e",Z9="h"),"SD",BG$24))</f>
        <v xml:space="preserve"> </v>
      </c>
      <c r="L9" s="725">
        <f ca="1">CW9</f>
        <v>0</v>
      </c>
      <c r="M9" s="726">
        <f ca="1">CY9</f>
        <v>0</v>
      </c>
      <c r="N9" s="445">
        <f t="shared" ca="1" si="0"/>
        <v>0</v>
      </c>
      <c r="O9" s="728">
        <f t="shared" ca="1" si="0"/>
        <v>0</v>
      </c>
      <c r="P9" s="138"/>
      <c r="Q9" s="752" t="str">
        <f ca="1">IF(AND(OR(Z9="t",Z9="f"),K9=$BH$11),"No Floor!  Change Floor Type",IF(OR(I9=" ",I9="")," ",IF(F9&lt;OFFSET($BM$9,CL9-1,0,1,1),"check L(m)",DE9&amp;IF(AND(DP9&gt;=CY9,DR9&gt;=DB9),IF(AND(ED9&gt;=DP9,EF9&gt;=DR9),CONCATENATE(DS9," will provide same result"),CONCATENATE(CO9," will provide same result")),IF((DP9&gt;=CY9),CONCATENATE(CO9," provides same result in WIND"),IF((DR9&gt;=DB9),CONCATENATE(CO9," provides same result in EQ"),""))))))&amp;IF(ISERROR(FIND("pile",I9,1)),"",IF(INT(F9)&lt;&gt;F9,"Pile!  Use Whole Numbers Only",""))</f>
        <v xml:space="preserve"> </v>
      </c>
      <c r="R9" s="52"/>
      <c r="S9" s="1372"/>
      <c r="T9" s="52"/>
      <c r="U9" s="1377"/>
      <c r="V9" s="52" t="str">
        <f>IF(AND(B$5=$BF$9,OR(I9=BH$16,I9=BH$17))," ",IF(ISNUMBER(B$8),(CONCATENATE(B$8,".",W9)),(CONCATENATE(B$8,W9))))</f>
        <v>A0</v>
      </c>
      <c r="W9" s="9">
        <f>W8+X9</f>
        <v>0</v>
      </c>
      <c r="X9" s="9">
        <f>IF(AND(B$5=$BF$9,OR($I9=$BH$16,$I9=$BH$17,$I9=" ",$I9="",$F9=0)),0,IF(OR($I9=" ",$I9="",$F9=0),0,1))</f>
        <v>0</v>
      </c>
      <c r="Y9" s="896"/>
      <c r="Z9" s="52" t="str">
        <f ca="1">IF(I9=" "," ",OFFSET($BM$9,$CL9-1,8,1,1))</f>
        <v xml:space="preserve"> </v>
      </c>
      <c r="AA9" s="51" t="str">
        <f>IF(G9&gt;=45,"WA","")</f>
        <v/>
      </c>
      <c r="AB9" s="1364" t="str">
        <f>IF(F9&lt;&gt;"",IF(OR(D9=$BG$12,D9=$BG$13),IF(E9&lt;&gt;$BG$17,$BF$12,$BF$13),IF(E9&lt;&gt;$BG$17,$BF$12,$BF$13))," ")</f>
        <v xml:space="preserve"> </v>
      </c>
      <c r="AC9" s="1"/>
      <c r="AJ9" s="2185"/>
      <c r="AK9" s="2831"/>
      <c r="AL9" s="2786" t="str">
        <f>'Regular and QuickBrace Systems'!E20</f>
        <v>QuickBrace©  System Number</v>
      </c>
      <c r="AM9" s="2833" t="str">
        <f>'Regular and QuickBrace Systems'!F6</f>
        <v>Min Length (m)</v>
      </c>
      <c r="AN9" s="2251" t="str">
        <f>'Regular and QuickBrace Systems'!G6</f>
        <v>BU's/m   Wind</v>
      </c>
      <c r="AO9" s="2251" t="str">
        <f>'Regular and QuickBrace Systems'!H6</f>
        <v>BU's/m   EQ</v>
      </c>
      <c r="AP9" s="1244"/>
      <c r="AQ9" s="2654" t="str">
        <f>'Regular and QuickBrace Systems'!I20</f>
        <v>Specialised QuickBrace Corner &amp; Perimeter Pattern</v>
      </c>
      <c r="AR9" s="2655"/>
      <c r="AS9" s="2650" t="str">
        <f>'Regular and QuickBrace Systems'!K5</f>
        <v>Panel Hold Downs?</v>
      </c>
      <c r="AT9" s="1152"/>
      <c r="AU9" s="2023" t="str">
        <f>'Regular and QuickBrace Systems'!M6</f>
        <v xml:space="preserve">Elephant Plasterboard       </v>
      </c>
      <c r="AW9" s="2658" t="str">
        <f>'Regular and QuickBrace Systems'!$O$6</f>
        <v>Height Dependant</v>
      </c>
      <c r="AX9" s="2233" t="str">
        <f>'Regular and QuickBrace Systems'!$Q$6</f>
        <v>Foundation Dependant</v>
      </c>
      <c r="BD9" s="2649"/>
      <c r="BE9" s="1380"/>
      <c r="BF9" s="2679" t="s">
        <v>1084</v>
      </c>
      <c r="BG9" s="2679"/>
      <c r="BH9" s="2679"/>
      <c r="BI9" s="759"/>
      <c r="BJ9" s="896">
        <v>1</v>
      </c>
      <c r="BK9" s="119" t="s">
        <v>49</v>
      </c>
      <c r="BL9" s="916" t="s">
        <v>39</v>
      </c>
      <c r="BM9" s="967">
        <v>0</v>
      </c>
      <c r="BN9" s="966"/>
      <c r="BO9" s="966">
        <v>0</v>
      </c>
      <c r="BP9" s="966"/>
      <c r="BR9" s="450"/>
      <c r="BS9" s="450"/>
      <c r="BT9" s="450"/>
      <c r="BU9" s="450"/>
      <c r="BV9" s="51" t="s">
        <v>8</v>
      </c>
      <c r="CH9" s="966" t="s">
        <v>8</v>
      </c>
      <c r="CI9" s="966"/>
      <c r="CJ9" s="928"/>
      <c r="CK9" s="937"/>
      <c r="CL9" s="979">
        <f>VLOOKUP(I9,Prodlink,2,0)</f>
        <v>0</v>
      </c>
      <c r="CN9" s="497">
        <f ca="1">VLOOKUP(CO9,Prodlink,2,0)</f>
        <v>0</v>
      </c>
      <c r="CO9" s="497">
        <f ca="1">OFFSET($CH$9,CL9-1,-15,1,1)</f>
        <v>0</v>
      </c>
      <c r="CQ9" s="51">
        <v>0</v>
      </c>
      <c r="CR9" s="51">
        <f>IF(K9=$BH$12,$BH$23,IF(K9=$BH$13,$BH$24,10000))</f>
        <v>10000</v>
      </c>
      <c r="CS9" s="51">
        <f ca="1">IF(F9&lt;OFFSET($BM$9,CL9-1,0,1,1),0,IF(F9&lt;OFFSET($BN$9,CL9-1,0,1,1),((F9-OFFSET($BM$9,CL9-1,0,1,1))*OFFSET($CH$9,CL9-1,0,1,1))+OFFSET($BO$9,CL9-1,CQ9,1,1),IF(F9&lt;OFFSET($BN$9,CL9+0,0,1,1),((F9-OFFSET($BM$9,CL9+0,0,1,1))*OFFSET($CH$9,CL9+0,0,1,1))+OFFSET($BO$9,CL9+0,CQ9,1,1),IF(F9&lt;OFFSET($BN$9,CL9+1,0,1,1),((F9-OFFSET($BM$9,CL9+1,0,1,1))*OFFSET($CH$9,CL9+1,0,1,1))+OFFSET($BO$9,CL9+1,CQ9,1,1),IF(F9&lt;OFFSET($BN$9,CL9+2,0,1,1),((F9-OFFSET($BM$9,CL9+2,0,1,1))*OFFSET($CH$9,CL9+2,0,1,1))+OFFSET($BO$9,CL9+2,CQ9,1,1),IF(F9&lt;OFFSET($BN$9,CL9+3,0,1,1),((F9-OFFSET($BM$9,CL9+3,0,1,1))*OFFSET($CH$9,CL9+3,0,1,1))+OFFSET($BO$9,CL9+3,CQ9,1,1),0))))))</f>
        <v>0</v>
      </c>
      <c r="CT9" s="51">
        <f ca="1">IF($F9&lt;OFFSET($BM$9,$CL9-1,0,1,1),0,IF($F9&lt;OFFSET($BN$9,$CL9-1,0,1,1),IF(AND($H9&gt;2.4,Z9&lt;&gt;"e",Z9&lt;&gt;"f"),CX9*2.4/$H9,CX9),IF($F9&lt;OFFSET($BN$9,$CL9+0,0,1,1),IF(AND($H9&gt;2.4,Z9&lt;&gt;"e",Z9&lt;&gt;"f"),CX9*2.4/$H9,CX9),IF($F9&lt;OFFSET($BN$9,$CL9+1,0,1,1),IF(AND($H9&gt;2.4,Z9&lt;&gt;"e",Z9&lt;&gt;"f"),CX9*2.4/$H9,CX9),IF($F9&lt;OFFSET($BN$9,CL9+2,0,1,1),IF(AND($H9&gt;2.4,Z9&lt;&gt;"e",Z9&lt;&gt;"f"),CX9*2.4/$H9,CX9),IF($F9&lt;OFFSET($BN$9,CL9+3,0,1,1),IF(AND($H9&gt;2.4,Z9&lt;&gt;"e",Z9&lt;&gt;"f"),CX9*2.4/$H9,CX9),0)))))*COS(RADIANS($G9)))</f>
        <v>0</v>
      </c>
      <c r="CU9" s="51">
        <f ca="1">IF(F9&lt;OFFSET($BM$9,CL9-1,0,1,1),0,IF(F9&lt;OFFSET($BN$9,CL9-1,0,1,1),((F9-OFFSET($BM$9,CL9-1,0,1,1))*OFFSET($CI$9,CL9-1,0,1,1))+OFFSET($BP$9,CL9-1,CQ9,1,1),IF(F9&lt;OFFSET($BN$9,CL9+0,0,1,1),((F9-OFFSET($BM$9,CL9+0,0,1,1))*OFFSET($CI$9,CL9+0,0,1,1))+OFFSET($BP$9,CL9+0,CQ9,1,1),IF(F9&lt;OFFSET($BN$9,CL9+1,0,1,1),((F9-OFFSET($BM$9,CL9+1,0,1,1))*OFFSET($CI$9,CL9+1,0,1,1))+OFFSET($BP$9,CL9+1,CQ9,1,1),IF(F9&lt;OFFSET($BN$9,CL9+2,0,1,1),((F9-OFFSET($BM$9,CL9+2,0,1,1))*OFFSET($CI$9,CL9+2,0,1,1))+OFFSET($BP$9,CL9+2,CQ9,1,1),IF(F9&lt;OFFSET($BN$9,CL9+3,0,1,1),((F9-OFFSET($BM$9,CL9+3,0,1,1))*OFFSET($CI$9,CL9+3,0,1,1))+OFFSET($BP$9,CL9+3,CQ9,1,1),0))))))</f>
        <v>0</v>
      </c>
      <c r="CV9" s="51">
        <f ca="1">IF($F9&lt;OFFSET($BM$9,$CL9-1,0,1,1),0,IF($F9&lt;OFFSET($BN$9,$CL9-1,0,1,1),IF(AND($H9&gt;2.4,Z9&lt;&gt;"e",Z9&lt;&gt;"f"),CZ9*2.4/$H9,CZ9),IF($F9&lt;OFFSET($BN$9,$CL9+0,0,1,1),IF(AND($H9&gt;2.4,Z9&lt;&gt;"e",Z9&lt;&gt;"f"),CZ9*2.4/$H9,CZ9),IF($F9&lt;OFFSET($BN$9,$CL9+1,0,1,1),IF(AND($H9&gt;2.4,Z9&lt;&gt;"e",Z9&lt;&gt;"f"),CZ9*2.4/$H9,CZ9),IF($F9&lt;OFFSET($BN$9,$CL9+2,0,1,1),IF(AND($H9&gt;2.4,Z9&lt;&gt;"e",Z9&lt;&gt;"f"),CZ9*2.4/$H9,CZ9),IF($F9&lt;OFFSET($BN$9,$CL9+3,0,1,1),IF(AND($H9&gt;2.4,Z9&lt;&gt;"e",Z9&lt;&gt;"f"),CZ9*2.4/$H9,CZ9),0)))))*COS(RADIANS($G9)))</f>
        <v>0</v>
      </c>
      <c r="CW9" s="51">
        <f ca="1">IF(CT9&gt;CR9,CR9,CT9)</f>
        <v>0</v>
      </c>
      <c r="CX9" s="51">
        <f ca="1">IF(CS9&gt;$CR9,$CR9,CS9)</f>
        <v>0</v>
      </c>
      <c r="CY9" s="51">
        <f ca="1">CW9*F9</f>
        <v>0</v>
      </c>
      <c r="CZ9" s="51">
        <f ca="1">IF($CU9&gt;$CR9,$CR9,$CU9)</f>
        <v>0</v>
      </c>
      <c r="DA9" s="51">
        <f ca="1">IF(CV9&gt;CR9,CR9,CV9)</f>
        <v>0</v>
      </c>
      <c r="DB9" s="984">
        <f ca="1">DA9*F9</f>
        <v>0</v>
      </c>
      <c r="DC9" s="993">
        <v>1</v>
      </c>
      <c r="DD9" s="758" t="str">
        <f>IF(OR(D9=BG$12,D9=BG$13),"External",IF(D9=BG$14,"Internal"," "))</f>
        <v xml:space="preserve"> </v>
      </c>
      <c r="DE9" s="51" t="str">
        <f t="shared" ref="DE9:DE72" ca="1" si="1">IF(AND(OFFSET($CH$9,CL9-1,-14,1,1)="I",DD9="External"),BE$66,IF(AND(OFFSET($CH$9,CL9-1,-14,1,1)="M",DD9="Internal"),BE$65,IF(AND(OFFSET($CH$9,CL9-1,-14,1,1)="M",DD9=" "),BE$64,IF(AND(OFFSET($CH$9,CL9-1,-14,1,1)="E",DD9="Internal"),BE$62,IF(AND(OFFSET($CH$9,CL9-1,-14,1,1)="E",DD9=" "),BE$61,IF(AND(DF9="Double",E9=$BG$16),BE$67,""))))))</f>
        <v/>
      </c>
      <c r="DF9" s="52" t="str">
        <f t="shared" ref="DF9:DF72" ca="1" si="2">IF(I9=" "," ",OFFSET($BM$9,$CL9-1,11,1,1))</f>
        <v xml:space="preserve"> </v>
      </c>
      <c r="DG9" s="51">
        <f ca="1">IF(F9&lt;OFFSET($BM$9,CN9-1,0,1,1),0,IF(F9&lt;OFFSET($BN$9,CN9-1,0,1,1),((F9-OFFSET($BM$9,CN9-1,0,1,1))*OFFSET($CH$9,CN9-1,0,1,1))+OFFSET($BO$9,CN9-1,CQ9,1,1),IF(F9&lt;OFFSET($BN$9,CN9+0,0,1,1),((F9-OFFSET($BM$9,CN9+0,0,1,1))*OFFSET($CH$9,CN9+0,0,1,1))+OFFSET($BO$9,CN9+0,CQ9,1,1),IF(F9&lt;OFFSET($BN$9,CN9+1,0,1,1),((F9-OFFSET($BM$9,CN9+1,0,1,1))*OFFSET($CH$9,CN9+1,0,1,1))+OFFSET($BO$9,CN9+1,CQ9,1,1),IF(F9&lt;OFFSET($BN$9,CN9+2,0,1,1),((F9-OFFSET($BM$9,CN9+2,0,1,1))*OFFSET($CH$9,CN9+2,0,1,1))+OFFSET($BO$9,CN9+2,CQ9,1,1),IF(F9&lt;OFFSET($BN$9,CN9+3,0,1,1),((F9-OFFSET($BM$9,CN9+3,0,1,1))*OFFSET($CH$9,CN9+3,0,1,1))+OFFSET($BO$9,CN9+3,CQ9,1,1),0))))))</f>
        <v>0</v>
      </c>
      <c r="DH9" s="51">
        <f ca="1">IF($F9&lt;OFFSET($BM$9,$CN9-1,0,1,1),0,IF($F9&lt;OFFSET($BN$9,$CN9-1,0,1,1),IF(AND($H9&gt;2.4,Z9&lt;&gt;"e",Z9&lt;&gt;"f"),DL9*2.4/$H9,DL9),IF($F9&lt;OFFSET($BN$9,$CN9+0,0,1,1),IF(AND($H9&gt;2.4,Z9&lt;&gt;"e",Z9&lt;&gt;"f"),DL9*2.4/$H9,DL9),IF($F9&lt;OFFSET($BN$9,$CN9+1,0,1,1),IF(AND($H9&gt;2.4,Z9&lt;&gt;"e",Z9&lt;&gt;"f"),DL9*2.4/$H9,DL9),IF($F9&lt;OFFSET($BN$9,$CN9+2,0,1,1),IF(AND($H9&gt;2.4,Z9&lt;&gt;"e",Z9&lt;&gt;"f"),DL9*2.4/$H9,DL9),IF($F9&lt;OFFSET($BN$9,$CN9+3,0,1,1),IF(AND($H9&gt;2.4,Z9&lt;&gt;"e",Z9&lt;&gt;"f"),DL9*2.4/$H9,DL9),0)))))*COS(RADIANS($G9)))</f>
        <v>0</v>
      </c>
      <c r="DI9" s="51">
        <f ca="1">IF(F9&lt;OFFSET($BM$9,CN9-1,0,1,1),0,IF(F9&lt;OFFSET($BN$9,CN9-1,0,1,1),((F9-OFFSET($BM$9,CN9-1,0,1,1))*OFFSET($CI$9,CN9-1,0,1,1))+OFFSET($BP$9,CN9-1,CQ9,1,1),IF(F9&lt;OFFSET($BN$9,CN9+0,0,1,1),((F9-OFFSET($BM$9,CN9+0,0,1,1))*OFFSET($CI$9,CN9+0,0,1,1))+OFFSET($BP$9,CN9+0,CQ9,1,1),IF(F9&lt;OFFSET($BN$9,CN9+1,0,1,1),((F9-OFFSET($BM$9,CN9+1,0,1,1))*OFFSET($CI$9,CN9+1,0,1,1))+OFFSET($BP$9,CN9+1,CQ9,1,1),IF(F9&lt;OFFSET($BN$9,CN9+2,0,1,1),((F9-OFFSET($BM$9,CN9+2,0,1,1))*OFFSET($CI$9,CN9+2,0,1,1))+OFFSET($BP$9,CN9+2,CQ9,1,1),IF(F9&lt;OFFSET($BN$9,CN9+3,0,1,1),((F9-OFFSET($BM$9,CN9+3,0,1,1))*OFFSET($CI$9,CN9+3,0,1,1))+OFFSET($BP$9,CN9+3,CQ9,1,1),0))))))</f>
        <v>0</v>
      </c>
      <c r="DJ9" s="51">
        <f ca="1">IF($F9&lt;OFFSET($BM$9,$CN9-1,0,1,1),0,IF($F9&lt;OFFSET($BN$9,$CN9-1,0,1,1),IF(AND($H9&gt;2.4,Z9&lt;&gt;"e",Z9&lt;&gt;"f"),DN9*2.4/$H9,DN9),IF($F9&lt;OFFSET($BN$9,$CN9+0,0,1,1),IF(AND($H9&gt;2.4,Z9&lt;&gt;"e",Z9&lt;&gt;"f"),DN9*2.4/$H9,DN9),IF($F9&lt;OFFSET($BN$9,$CN9+1,0,1,1),IF(AND($H9&gt;2.4,Z9&lt;&gt;"e",Z9&lt;&gt;"f"),DN9*2.4/$H9,DN9),IF($F9&lt;OFFSET($BN$9,$CN9+2,0,1,1),IF(AND($H9&gt;2.4,Z9&lt;&gt;"e",Z9&lt;&gt;"f"),DN9*2.4/$H9,DN9),IF($F9&lt;OFFSET($BN$9,$CN9+3,0,1,1),IF(AND($H9&gt;2.4,Z9&lt;&gt;"e",Z9&lt;&gt;"f"),DN9*2.4/$H9,DN9),0)))))*COS(RADIANS($G9)))</f>
        <v>0</v>
      </c>
      <c r="DK9" s="51"/>
      <c r="DL9" s="51">
        <f ca="1">IF(DG9&gt;$CR9,$CR9,DG9)</f>
        <v>0</v>
      </c>
      <c r="DM9" s="51"/>
      <c r="DN9" s="51">
        <f ca="1">IF(DI9&gt;$CR9,$CR9,DI9)</f>
        <v>0</v>
      </c>
      <c r="DO9" s="435">
        <f ca="1">IF(DH9&gt;$CR9,$CR9,DH9)</f>
        <v>0</v>
      </c>
      <c r="DP9" s="435">
        <f ca="1">DO9*F9</f>
        <v>0</v>
      </c>
      <c r="DQ9" s="436">
        <f ca="1">IF(DJ9&gt;$CR9,$CR9,DJ9)</f>
        <v>0</v>
      </c>
      <c r="DR9" s="437">
        <f ca="1">DQ9*F9</f>
        <v>0</v>
      </c>
      <c r="DS9" s="426">
        <f ca="1">OFFSET($CH$9,CL9-1,-15,1,1)</f>
        <v>0</v>
      </c>
      <c r="DT9" s="451">
        <f ca="1">VLOOKUP(DS9,Prodlink,2,0)</f>
        <v>0</v>
      </c>
      <c r="DU9" s="188">
        <f ca="1">IF(F9&lt;OFFSET($BM$9,DT9-1,0,1,1),0,IF(F9&lt;OFFSET($BN$9,DT9-1,0,1,1),((F9-OFFSET($BM$9,DT9-1,0,1,1))*OFFSET($CH$9,DT9-1,0,1,1))+OFFSET($BO$9,DT9-1,CQ9,1,1),IF(F9&lt;OFFSET($BN$9,DT9+0,0,1,1),((F9-OFFSET($BM$9,DT9+0,0,1,1))*OFFSET($CH$9,DT9+0,0,1,1))+OFFSET($BO$9,DT9+0,CQ9,1,1),IF(F9&lt;OFFSET($BN$9,DT9+1,0,1,1),((F9-OFFSET($BM$9,DT9+1,0,1,1))*OFFSET($CH$9,DT9+1,0,1,1))+OFFSET($BO$9,DT9+1,CQ9,1,1),IF(F9&lt;OFFSET($BN$9,DT9+2,0,1,1),((F9-OFFSET($BM$9,DT9+2,0,1,1))*OFFSET($CH$9,DT9+2,0,1,1))+OFFSET($BO$9,DT9+2,CQ9,1,1),IF(F9&lt;OFFSET($BN$9,DT9+3,0,1,1),((F9-OFFSET($BM$9,DT9+3,0,1,1))*OFFSET($CH$9,DT9+3,0,1,1))+OFFSET($BO$9,DT9+3,CQ9,1,1),0))))))</f>
        <v>0</v>
      </c>
      <c r="DV9" s="51">
        <f ca="1">IF($F9&lt;OFFSET($BM$9,$DT9-1,0,1,1),0,IF($F9&lt;OFFSET($BN$9,$DT9-1,0,1,1),IF(AND($H9&gt;2.4,Z9&lt;&gt;"e",Z9&lt;&gt;"f"),DZ9*2.4/$H9,DZ9),IF($F9&lt;OFFSET($BN$9,$DT9+0,0,1,1),IF(AND($H9&gt;2.4,Z9&lt;&gt;"e",Z9&lt;&gt;"f"),DZ9*2.4/$H9,DZ9),IF($F9&lt;OFFSET($BN$9,$DT9+1,0,1,1),IF(AND($H9&gt;2.4,Z9&lt;&gt;"e",Z9&lt;&gt;"f"),DZ9*2.4/$H9,DZ9),IF($F9&lt;OFFSET($BN$9,$DT9+2,0,1,1),IF(AND($H9&gt;2.4,Z9&lt;&gt;"e",Z9&lt;&gt;"f"),DZ9*2.4/$H9,DZ9),IF($F9&lt;OFFSET($BN$9,$DT9+3,0,1,1),IF(AND($H9&gt;2.4,Z9&lt;&gt;"e",Z9&lt;&gt;"f"),DZ9*2.4/$H9,DZ9),0)))))*COS(RADIANS($G9)))</f>
        <v>0</v>
      </c>
      <c r="DW9" s="188">
        <f ca="1">IF(F9&lt;OFFSET($BM$9,DT9-1,0,1,1),0,IF(F9&lt;OFFSET($BN$9,DT9-1,0,1,1),((F9-OFFSET($BM$9,DT9-1,0,1,1))*OFFSET($CI$9,DT9-1,0,1,1))+OFFSET($BP$9,DT9-1,CQ9,1,1),IF(F9&lt;OFFSET($BN$9,DT9+0,0,1,1),((F9-OFFSET($BM$9,DT9+0,0,1,1))*OFFSET($CI$9,DT9+0,0,1,1))+OFFSET($BP$9,DT9+0,CQ9,1,1),IF(F9&lt;OFFSET($BN$9,DT9+1,0,1,1),((F9-OFFSET($BM$9,DT9+1,0,1,1))*OFFSET($CI$9,DT9+1,0,1,1))+OFFSET($BP$9,DT9+1,CQ9,1,1),IF(F9&lt;OFFSET($BN$9,DT9+2,0,1,1),((F9-OFFSET($BM$9,DT9+2,0,1,1))*OFFSET($CI$9,DT9+2,0,1,1))+OFFSET($BP$9,DT9+2,CQ9,1,1),IF(F9&lt;OFFSET($BN$9,DT9+3,0,1,1),((F9-OFFSET($BM$9,DT9+3,0,1,1))*OFFSET($CI$9,DT9+3,0,1,1))+OFFSET($BP$9,DT9+3,CQ9,1,1),0))))))</f>
        <v>0</v>
      </c>
      <c r="DX9" s="51">
        <f ca="1">IF($F9&lt;OFFSET($BM$9,$DT9-1,0,1,1),0,IF($F9&lt;OFFSET($BN$9,$DT9-1,0,1,1),IF(AND($H9&gt;2.4,Z9&lt;&gt;"e",Z9&lt;&gt;"f"),EB9*2.4/$H9,EB9),IF($F9&lt;OFFSET($BN$9,$DT9+0,0,1,1),IF(AND($H9&gt;2.4,Z9&lt;&gt;"e",Z9&lt;&gt;"f"),EB9*2.4/$H9,EB9),IF($F9&lt;OFFSET($BN$9,$DT9+1,0,1,1),IF(AND($H9&gt;2.4,Z9&lt;&gt;"e",Z9&lt;&gt;"f"),EB9*2.4/$H9,EB9),IF($F9&lt;OFFSET($BN$9,$DT9+2,0,1,1),IF(AND($H9&gt;2.4,Z9&lt;&gt;"e",Z9&lt;&gt;"f"),EB9*2.4/$H9,EB9),IF($F9&lt;OFFSET($BN$9,$DT9+3,0,1,1),IF(AND($H9&gt;2.4,Z9&lt;&gt;"e",Z9&lt;&gt;"f"),EB9*2.4/$H9,EB9),0)))))*COS(RADIANS($G9)))</f>
        <v>0</v>
      </c>
      <c r="DY9" s="188"/>
      <c r="DZ9" s="188">
        <f ca="1">IF(DU9&gt;$CR9,$CR9,DU9)</f>
        <v>0</v>
      </c>
      <c r="EA9" s="188"/>
      <c r="EB9" s="188">
        <f ca="1">IF(DW9&gt;$CR9,$CR9,DW9)</f>
        <v>0</v>
      </c>
      <c r="EC9" s="435">
        <f ca="1">IF(DV9&gt;$CR9,$CR9,DV9)</f>
        <v>0</v>
      </c>
      <c r="ED9" s="435">
        <f ca="1">EC9*F9</f>
        <v>0</v>
      </c>
      <c r="EE9" s="436">
        <f ca="1">IF(DX9&gt;$CR9,$CR9,DX9)</f>
        <v>0</v>
      </c>
      <c r="EF9" s="437">
        <f ca="1">EE9*F9</f>
        <v>0</v>
      </c>
      <c r="EG9" s="613" t="str">
        <f>IF(D9=BG$12,BG$12,"")</f>
        <v/>
      </c>
      <c r="EH9" s="614" t="str">
        <f>IF(D9=BG$13,BG$13,"")</f>
        <v/>
      </c>
      <c r="EI9" s="611">
        <f>IF(EG9=BG$12,M9,0)</f>
        <v>0</v>
      </c>
      <c r="EJ9" s="451">
        <f>IF(EG9=BG$12,O9,0)</f>
        <v>0</v>
      </c>
      <c r="EK9" s="451">
        <f>IF(EH9=BG$13,M9,0)</f>
        <v>0</v>
      </c>
      <c r="EL9" s="612">
        <f>IF(EH9=BG$13,O9,0)</f>
        <v>0</v>
      </c>
      <c r="EM9" s="426" t="str">
        <f ca="1">IF(AND(Z9&lt;&gt;"t",Z9&lt;&gt;"f"),"",IF(AND(EN9=$BH$13,K9=$BH$12),"NotOpt",IF(K9&lt;&gt;EN9,"Error","")))</f>
        <v/>
      </c>
      <c r="EN9" s="491" t="str">
        <f>IF(AND($BH$28=1,$BG$28=1),$BH$13,$BH$12)</f>
        <v>120 BU's</v>
      </c>
      <c r="EO9" s="426" t="str">
        <f>K9</f>
        <v xml:space="preserve"> </v>
      </c>
      <c r="EP9" s="497">
        <v>1</v>
      </c>
      <c r="EQ9" s="430" t="str">
        <f ca="1">IF(EP9=1," ",OFFSET(BF$15,EP9-2,0,1,1))</f>
        <v xml:space="preserve"> </v>
      </c>
      <c r="ER9" s="439" t="str">
        <f ca="1">IF(H9=0," ",H9)</f>
        <v xml:space="preserve"> </v>
      </c>
      <c r="ES9" s="440" t="str">
        <f ca="1">IF(ER9&lt;&gt;" ",IF(ER9&lt;&gt;ER$7,"Changed",""),"")</f>
        <v/>
      </c>
      <c r="ET9" s="440">
        <f ca="1">IF(ER9&lt;&gt;" ",IF(ER9&lt;&gt;ER$7,1,0),0)</f>
        <v>0</v>
      </c>
      <c r="EU9" s="957" t="str">
        <f ca="1">IF(I9=" "," ",IF(F9&lt;OFFSET($BM$9,CL9-1,0,1,1),1,""))</f>
        <v xml:space="preserve"> </v>
      </c>
      <c r="EW9" s="427"/>
    </row>
    <row r="10" spans="1:153" ht="17.100000000000001" customHeight="1" thickBot="1">
      <c r="B10" s="689" t="s">
        <v>246</v>
      </c>
      <c r="C10" s="684" t="str">
        <f>IF(OR(F10=0,I10="",I10=" ")," ",$V10)</f>
        <v xml:space="preserve"> </v>
      </c>
      <c r="D10" s="1033"/>
      <c r="E10" s="1360"/>
      <c r="F10" s="201"/>
      <c r="G10" s="1416"/>
      <c r="H10" s="199" t="str">
        <f ca="1">IF(OR(F10=0,Z10="E",Z10="f")," ",'Project Demand'!E$35)</f>
        <v xml:space="preserve"> </v>
      </c>
      <c r="I10" s="631" t="str">
        <f>IF($I$6&lt;&gt;$BG$8," ",AB10)</f>
        <v xml:space="preserve"> </v>
      </c>
      <c r="J10" s="44" t="str">
        <f ca="1">IF(OR(I10=" ",I10="")," ",OFFSET($BO$9,CL10-1,0-4,1,1))</f>
        <v xml:space="preserve"> </v>
      </c>
      <c r="K10" s="55" t="str">
        <f>IF(OR(I10=" ",I10="")," ",IF(OR(Z10="e",Z10="h"),"SD",BG$24))</f>
        <v xml:space="preserve"> </v>
      </c>
      <c r="L10" s="725">
        <f ca="1">CW10</f>
        <v>0</v>
      </c>
      <c r="M10" s="726">
        <f ca="1">CY10</f>
        <v>0</v>
      </c>
      <c r="N10" s="445">
        <f t="shared" ca="1" si="0"/>
        <v>0</v>
      </c>
      <c r="O10" s="728">
        <f t="shared" ca="1" si="0"/>
        <v>0</v>
      </c>
      <c r="P10" s="138"/>
      <c r="Q10" s="752" t="str">
        <f ca="1">IF(AND(OR(Z10="t",Z10="f"),K10=$BH$11),"No Floor!  Change Floor Type",IF(OR(I10=" ",I10="")," ",IF(F10&lt;OFFSET($BM$9,CL10-1,0,1,1),"check L(m)",DE10&amp;IF(AND(DP10&gt;=CY10,DR10&gt;=DB10),IF(AND(ED10&gt;=DP10,EF10&gt;=DR10),CONCATENATE(DS10," will provide same result"),CONCATENATE(CO10," will provide same result")),IF((DP10&gt;=CY10),CONCATENATE(CO10," provides same result in WIND"),IF((DR10&gt;=DB10),CONCATENATE(CO10," provides same result in EQ"),""))))))&amp;IF(ISERROR(FIND("pile",I10,1)),"",IF(INT(F10)&lt;&gt;F10,"Pile!  Use Whole Numbers Only",""))</f>
        <v xml:space="preserve"> </v>
      </c>
      <c r="R10" s="52"/>
      <c r="S10" s="1372"/>
      <c r="T10" s="52"/>
      <c r="U10" s="1377"/>
      <c r="V10" s="52" t="str">
        <f>IF(AND(B$5=$BF$9,OR(I10=BH$16,I10=BH$17))," ",IF(ISNUMBER(B$8),(CONCATENATE(B$8,".",W10)),(CONCATENATE(B$8,W10))))</f>
        <v>A0</v>
      </c>
      <c r="W10" s="9">
        <f>W9+X10</f>
        <v>0</v>
      </c>
      <c r="X10" s="9">
        <f>IF(AND(B$5=$BF$9,OR($I10=$BH$16,$I10=$BH$17,$I10=" ",$I10="",$F10=0)),0,IF(OR($I10=" ",$I10="",$F10=0),0,1))</f>
        <v>0</v>
      </c>
      <c r="Y10" s="896"/>
      <c r="Z10" s="52" t="str">
        <f ca="1">IF(I10=" "," ",OFFSET($BM$9,$CL10-1,8,1,1))</f>
        <v xml:space="preserve"> </v>
      </c>
      <c r="AA10" s="51" t="str">
        <f>IF(G10&gt;=45,"WA","")</f>
        <v/>
      </c>
      <c r="AB10" s="1364" t="str">
        <f>IF(F10&lt;&gt;"",IF(OR(D10=$BG$12,D10=$BG$13),IF(E10&lt;&gt;$BG$17,$BF$12,$BF$13),IF(E10&lt;&gt;$BG$17,$BF$12,$BF$13))," ")</f>
        <v xml:space="preserve"> </v>
      </c>
      <c r="AC10" s="1"/>
      <c r="AJ10" s="2185"/>
      <c r="AK10" s="2831"/>
      <c r="AL10" s="2786"/>
      <c r="AM10" s="2834"/>
      <c r="AN10" s="2252"/>
      <c r="AO10" s="2252"/>
      <c r="AP10" s="1244"/>
      <c r="AQ10" s="2654"/>
      <c r="AR10" s="2655"/>
      <c r="AS10" s="2650"/>
      <c r="AT10" s="1152"/>
      <c r="AU10" s="2023"/>
      <c r="AW10" s="2658"/>
      <c r="AX10" s="2233"/>
      <c r="BD10" s="2649"/>
      <c r="BE10" s="1381"/>
      <c r="BF10" s="2679" t="s">
        <v>1085</v>
      </c>
      <c r="BG10" s="2679"/>
      <c r="BH10" s="2679"/>
      <c r="BI10" s="759"/>
      <c r="BJ10" s="896">
        <f>BJ9+1</f>
        <v>2</v>
      </c>
      <c r="BK10" s="917"/>
      <c r="BL10" s="898"/>
      <c r="BM10" s="968"/>
      <c r="BV10" s="51" t="s">
        <v>8</v>
      </c>
      <c r="BW10" s="51" t="s">
        <v>8</v>
      </c>
      <c r="CJ10" s="759"/>
      <c r="CK10" s="188"/>
      <c r="CL10" s="979">
        <f>VLOOKUP(I10,Prodlink,2,0)</f>
        <v>0</v>
      </c>
      <c r="CN10" s="497">
        <f ca="1">VLOOKUP(CO10,Prodlink,2,0)</f>
        <v>0</v>
      </c>
      <c r="CO10" s="497">
        <f ca="1">OFFSET($CH$9,CL10-1,-15,1,1)</f>
        <v>0</v>
      </c>
      <c r="CQ10" s="51">
        <v>0</v>
      </c>
      <c r="CR10" s="51">
        <f>IF(K10=$BH$12,$BH$23,IF(K10=$BH$13,$BH$24,10000))</f>
        <v>10000</v>
      </c>
      <c r="CS10" s="51">
        <f ca="1">IF(F10&lt;OFFSET($BM$9,CL10-1,0,1,1),0,IF(F10&lt;OFFSET($BN$9,CL10-1,0,1,1),((F10-OFFSET($BM$9,CL10-1,0,1,1))*OFFSET($CH$9,CL10-1,0,1,1))+OFFSET($BO$9,CL10-1,CQ10,1,1),IF(F10&lt;OFFSET($BN$9,CL10+0,0,1,1),((F10-OFFSET($BM$9,CL10+0,0,1,1))*OFFSET($CH$9,CL10+0,0,1,1))+OFFSET($BO$9,CL10+0,CQ10,1,1),IF(F10&lt;OFFSET($BN$9,CL10+1,0,1,1),((F10-OFFSET($BM$9,CL10+1,0,1,1))*OFFSET($CH$9,CL10+1,0,1,1))+OFFSET($BO$9,CL10+1,CQ10,1,1),IF(F10&lt;OFFSET($BN$9,CL10+2,0,1,1),((F10-OFFSET($BM$9,CL10+2,0,1,1))*OFFSET($CH$9,CL10+2,0,1,1))+OFFSET($BO$9,CL10+2,CQ10,1,1),IF(F10&lt;OFFSET($BN$9,CL10+3,0,1,1),((F10-OFFSET($BM$9,CL10+3,0,1,1))*OFFSET($CH$9,CL10+3,0,1,1))+OFFSET($BO$9,CL10+3,CQ10,1,1),0))))))</f>
        <v>0</v>
      </c>
      <c r="CT10" s="51">
        <f ca="1">IF($F10&lt;OFFSET($BM$9,$CL10-1,0,1,1),0,IF($F10&lt;OFFSET($BN$9,$CL10-1,0,1,1),IF(AND($H10&gt;2.4,Z10&lt;&gt;"e",Z10&lt;&gt;"f"),CX10*2.4/$H10,CX10),IF($F10&lt;OFFSET($BN$9,$CL10+0,0,1,1),IF(AND($H10&gt;2.4,Z10&lt;&gt;"e",Z10&lt;&gt;"f"),CX10*2.4/$H10,CX10),IF($F10&lt;OFFSET($BN$9,$CL10+1,0,1,1),IF(AND($H10&gt;2.4,Z10&lt;&gt;"e",Z10&lt;&gt;"f"),CX10*2.4/$H10,CX10),IF($F10&lt;OFFSET($BN$9,CL10+2,0,1,1),IF(AND($H10&gt;2.4,Z10&lt;&gt;"e",Z10&lt;&gt;"f"),CX10*2.4/$H10,CX10),IF($F10&lt;OFFSET($BN$9,CL10+3,0,1,1),IF(AND($H10&gt;2.4,Z10&lt;&gt;"e",Z10&lt;&gt;"f"),CX10*2.4/$H10,CX10),0)))))*COS(RADIANS($G10)))</f>
        <v>0</v>
      </c>
      <c r="CU10" s="51">
        <f ca="1">IF(F10&lt;OFFSET($BM$9,CL10-1,0,1,1),0,IF(F10&lt;OFFSET($BN$9,CL10-1,0,1,1),((F10-OFFSET($BM$9,CL10-1,0,1,1))*OFFSET($CI$9,CL10-1,0,1,1))+OFFSET($BP$9,CL10-1,CQ10,1,1),IF(F10&lt;OFFSET($BN$9,CL10+0,0,1,1),((F10-OFFSET($BM$9,CL10+0,0,1,1))*OFFSET($CI$9,CL10+0,0,1,1))+OFFSET($BP$9,CL10+0,CQ10,1,1),IF(F10&lt;OFFSET($BN$9,CL10+1,0,1,1),((F10-OFFSET($BM$9,CL10+1,0,1,1))*OFFSET($CI$9,CL10+1,0,1,1))+OFFSET($BP$9,CL10+1,CQ10,1,1),IF(F10&lt;OFFSET($BN$9,CL10+2,0,1,1),((F10-OFFSET($BM$9,CL10+2,0,1,1))*OFFSET($CI$9,CL10+2,0,1,1))+OFFSET($BP$9,CL10+2,CQ10,1,1),IF(F10&lt;OFFSET($BN$9,CL10+3,0,1,1),((F10-OFFSET($BM$9,CL10+3,0,1,1))*OFFSET($CI$9,CL10+3,0,1,1))+OFFSET($BP$9,CL10+3,CQ10,1,1),0))))))</f>
        <v>0</v>
      </c>
      <c r="CV10" s="51">
        <f ca="1">IF($F10&lt;OFFSET($BM$9,$CL10-1,0,1,1),0,IF($F10&lt;OFFSET($BN$9,$CL10-1,0,1,1),IF(AND($H10&gt;2.4,Z10&lt;&gt;"e",Z10&lt;&gt;"f"),CZ10*2.4/$H10,CZ10),IF($F10&lt;OFFSET($BN$9,$CL10+0,0,1,1),IF(AND($H10&gt;2.4,Z10&lt;&gt;"e",Z10&lt;&gt;"f"),CZ10*2.4/$H10,CZ10),IF($F10&lt;OFFSET($BN$9,$CL10+1,0,1,1),IF(AND($H10&gt;2.4,Z10&lt;&gt;"e",Z10&lt;&gt;"f"),CZ10*2.4/$H10,CZ10),IF($F10&lt;OFFSET($BN$9,$CL10+2,0,1,1),IF(AND($H10&gt;2.4,Z10&lt;&gt;"e",Z10&lt;&gt;"f"),CZ10*2.4/$H10,CZ10),IF($F10&lt;OFFSET($BN$9,$CL10+3,0,1,1),IF(AND($H10&gt;2.4,Z10&lt;&gt;"e",Z10&lt;&gt;"f"),CZ10*2.4/$H10,CZ10),0)))))*COS(RADIANS($G10)))</f>
        <v>0</v>
      </c>
      <c r="CW10" s="51">
        <f ca="1">IF(CT10&gt;CR10,CR10,CT10)</f>
        <v>0</v>
      </c>
      <c r="CX10" s="51">
        <f ca="1">IF(CS10&gt;$CR10,$CR10,CS10)</f>
        <v>0</v>
      </c>
      <c r="CY10" s="51">
        <f ca="1">CW10*F10</f>
        <v>0</v>
      </c>
      <c r="CZ10" s="51">
        <f ca="1">IF($CU10&gt;$CR10,$CR10,$CU10)</f>
        <v>0</v>
      </c>
      <c r="DA10" s="51">
        <f ca="1">IF(CV10&gt;CR10,CR10,CV10)</f>
        <v>0</v>
      </c>
      <c r="DB10" s="984">
        <f ca="1">DA10*F10</f>
        <v>0</v>
      </c>
      <c r="DC10" s="993">
        <v>1</v>
      </c>
      <c r="DD10" s="758" t="str">
        <f>IF(OR(D10=BG$12,D10=BG$13),"External",IF(D10=BG$14,"Internal"," "))</f>
        <v xml:space="preserve"> </v>
      </c>
      <c r="DE10" s="51" t="str">
        <f t="shared" ca="1" si="1"/>
        <v/>
      </c>
      <c r="DF10" s="52" t="str">
        <f t="shared" ca="1" si="2"/>
        <v xml:space="preserve"> </v>
      </c>
      <c r="DG10" s="51">
        <f ca="1">IF(F10&lt;OFFSET($BM$9,CN10-1,0,1,1),0,IF(F10&lt;OFFSET($BN$9,CN10-1,0,1,1),((F10-OFFSET($BM$9,CN10-1,0,1,1))*OFFSET($CH$9,CN10-1,0,1,1))+OFFSET($BO$9,CN10-1,CQ10,1,1),IF(F10&lt;OFFSET($BN$9,CN10+0,0,1,1),((F10-OFFSET($BM$9,CN10+0,0,1,1))*OFFSET($CH$9,CN10+0,0,1,1))+OFFSET($BO$9,CN10+0,CQ10,1,1),IF(F10&lt;OFFSET($BN$9,CN10+1,0,1,1),((F10-OFFSET($BM$9,CN10+1,0,1,1))*OFFSET($CH$9,CN10+1,0,1,1))+OFFSET($BO$9,CN10+1,CQ10,1,1),IF(F10&lt;OFFSET($BN$9,CN10+2,0,1,1),((F10-OFFSET($BM$9,CN10+2,0,1,1))*OFFSET($CH$9,CN10+2,0,1,1))+OFFSET($BO$9,CN10+2,CQ10,1,1),IF(F10&lt;OFFSET($BN$9,CN10+3,0,1,1),((F10-OFFSET($BM$9,CN10+3,0,1,1))*OFFSET($CH$9,CN10+3,0,1,1))+OFFSET($BO$9,CN10+3,CQ10,1,1),0))))))</f>
        <v>0</v>
      </c>
      <c r="DH10" s="51">
        <f ca="1">IF($F10&lt;OFFSET($BM$9,$CN10-1,0,1,1),0,IF($F10&lt;OFFSET($BN$9,$CN10-1,0,1,1),IF(AND($H10&gt;2.4,Z10&lt;&gt;"e",Z10&lt;&gt;"f"),DL10*2.4/$H10,DL10),IF($F10&lt;OFFSET($BN$9,$CN10+0,0,1,1),IF(AND($H10&gt;2.4,Z10&lt;&gt;"e",Z10&lt;&gt;"f"),DL10*2.4/$H10,DL10),IF($F10&lt;OFFSET($BN$9,$CN10+1,0,1,1),IF(AND($H10&gt;2.4,Z10&lt;&gt;"e",Z10&lt;&gt;"f"),DL10*2.4/$H10,DL10),IF($F10&lt;OFFSET($BN$9,$CN10+2,0,1,1),IF(AND($H10&gt;2.4,Z10&lt;&gt;"e",Z10&lt;&gt;"f"),DL10*2.4/$H10,DL10),IF($F10&lt;OFFSET($BN$9,$CN10+3,0,1,1),IF(AND($H10&gt;2.4,Z10&lt;&gt;"e",Z10&lt;&gt;"f"),DL10*2.4/$H10,DL10),0)))))*COS(RADIANS($G10)))</f>
        <v>0</v>
      </c>
      <c r="DI10" s="51">
        <f ca="1">IF(F10&lt;OFFSET($BM$9,CN10-1,0,1,1),0,IF(F10&lt;OFFSET($BN$9,CN10-1,0,1,1),((F10-OFFSET($BM$9,CN10-1,0,1,1))*OFFSET($CI$9,CN10-1,0,1,1))+OFFSET($BP$9,CN10-1,CQ10,1,1),IF(F10&lt;OFFSET($BN$9,CN10+0,0,1,1),((F10-OFFSET($BM$9,CN10+0,0,1,1))*OFFSET($CI$9,CN10+0,0,1,1))+OFFSET($BP$9,CN10+0,CQ10,1,1),IF(F10&lt;OFFSET($BN$9,CN10+1,0,1,1),((F10-OFFSET($BM$9,CN10+1,0,1,1))*OFFSET($CI$9,CN10+1,0,1,1))+OFFSET($BP$9,CN10+1,CQ10,1,1),IF(F10&lt;OFFSET($BN$9,CN10+2,0,1,1),((F10-OFFSET($BM$9,CN10+2,0,1,1))*OFFSET($CI$9,CN10+2,0,1,1))+OFFSET($BP$9,CN10+2,CQ10,1,1),IF(F10&lt;OFFSET($BN$9,CN10+3,0,1,1),((F10-OFFSET($BM$9,CN10+3,0,1,1))*OFFSET($CI$9,CN10+3,0,1,1))+OFFSET($BP$9,CN10+3,CQ10,1,1),0))))))</f>
        <v>0</v>
      </c>
      <c r="DJ10" s="51">
        <f ca="1">IF($F10&lt;OFFSET($BM$9,$CN10-1,0,1,1),0,IF($F10&lt;OFFSET($BN$9,$CN10-1,0,1,1),IF(AND($H10&gt;2.4,Z10&lt;&gt;"e",Z10&lt;&gt;"f"),DN10*2.4/$H10,DN10),IF($F10&lt;OFFSET($BN$9,$CN10+0,0,1,1),IF(AND($H10&gt;2.4,Z10&lt;&gt;"e",Z10&lt;&gt;"f"),DN10*2.4/$H10,DN10),IF($F10&lt;OFFSET($BN$9,$CN10+1,0,1,1),IF(AND($H10&gt;2.4,Z10&lt;&gt;"e",Z10&lt;&gt;"f"),DN10*2.4/$H10,DN10),IF($F10&lt;OFFSET($BN$9,$CN10+2,0,1,1),IF(AND($H10&gt;2.4,Z10&lt;&gt;"e",Z10&lt;&gt;"f"),DN10*2.4/$H10,DN10),IF($F10&lt;OFFSET($BN$9,$CN10+3,0,1,1),IF(AND($H10&gt;2.4,Z10&lt;&gt;"e",Z10&lt;&gt;"f"),DN10*2.4/$H10,DN10),0)))))*COS(RADIANS($G10)))</f>
        <v>0</v>
      </c>
      <c r="DK10" s="51"/>
      <c r="DL10" s="51">
        <f ca="1">IF(DG10&gt;$CR10,$CR10,DG10)</f>
        <v>0</v>
      </c>
      <c r="DM10" s="51"/>
      <c r="DN10" s="51">
        <f ca="1">IF(DI10&gt;$CR10,$CR10,DI10)</f>
        <v>0</v>
      </c>
      <c r="DO10" s="435">
        <f ca="1">IF(DH10&gt;$CR10,$CR10,DH10)</f>
        <v>0</v>
      </c>
      <c r="DP10" s="435">
        <f ca="1">DO10*F10</f>
        <v>0</v>
      </c>
      <c r="DQ10" s="436">
        <f ca="1">IF(DJ10&gt;$CR10,$CR10,DJ10)</f>
        <v>0</v>
      </c>
      <c r="DR10" s="437">
        <f ca="1">DQ10*F10</f>
        <v>0</v>
      </c>
      <c r="DS10" s="426">
        <f ca="1">OFFSET($CH$9,CL10-1,-15,1,1)</f>
        <v>0</v>
      </c>
      <c r="DT10" s="451">
        <f ca="1">VLOOKUP(DS10,Prodlink,2,0)</f>
        <v>0</v>
      </c>
      <c r="DU10" s="188">
        <f ca="1">IF(F10&lt;OFFSET($BM$9,DT10-1,0,1,1),0,IF(F10&lt;OFFSET($BN$9,DT10-1,0,1,1),((F10-OFFSET($BM$9,DT10-1,0,1,1))*OFFSET($CH$9,DT10-1,0,1,1))+OFFSET($BO$9,DT10-1,CQ10,1,1),IF(F10&lt;OFFSET($BN$9,DT10+0,0,1,1),((F10-OFFSET($BM$9,DT10+0,0,1,1))*OFFSET($CH$9,DT10+0,0,1,1))+OFFSET($BO$9,DT10+0,CQ10,1,1),IF(F10&lt;OFFSET($BN$9,DT10+1,0,1,1),((F10-OFFSET($BM$9,DT10+1,0,1,1))*OFFSET($CH$9,DT10+1,0,1,1))+OFFSET($BO$9,DT10+1,CQ10,1,1),IF(F10&lt;OFFSET($BN$9,DT10+2,0,1,1),((F10-OFFSET($BM$9,DT10+2,0,1,1))*OFFSET($CH$9,DT10+2,0,1,1))+OFFSET($BO$9,DT10+2,CQ10,1,1),IF(F10&lt;OFFSET($BN$9,DT10+3,0,1,1),((F10-OFFSET($BM$9,DT10+3,0,1,1))*OFFSET($CH$9,DT10+3,0,1,1))+OFFSET($BO$9,DT10+3,CQ10,1,1),0))))))</f>
        <v>0</v>
      </c>
      <c r="DV10" s="51">
        <f ca="1">IF($F10&lt;OFFSET($BM$9,$DT10-1,0,1,1),0,IF($F10&lt;OFFSET($BN$9,$DT10-1,0,1,1),IF(AND($H10&gt;2.4,Z10&lt;&gt;"e",Z10&lt;&gt;"f"),DZ10*2.4/$H10,DZ10),IF($F10&lt;OFFSET($BN$9,$DT10+0,0,1,1),IF(AND($H10&gt;2.4,Z10&lt;&gt;"e",Z10&lt;&gt;"f"),DZ10*2.4/$H10,DZ10),IF($F10&lt;OFFSET($BN$9,$DT10+1,0,1,1),IF(AND($H10&gt;2.4,Z10&lt;&gt;"e",Z10&lt;&gt;"f"),DZ10*2.4/$H10,DZ10),IF($F10&lt;OFFSET($BN$9,$DT10+2,0,1,1),IF(AND($H10&gt;2.4,Z10&lt;&gt;"e",Z10&lt;&gt;"f"),DZ10*2.4/$H10,DZ10),IF($F10&lt;OFFSET($BN$9,$DT10+3,0,1,1),IF(AND($H10&gt;2.4,Z10&lt;&gt;"e",Z10&lt;&gt;"f"),DZ10*2.4/$H10,DZ10),0)))))*COS(RADIANS($G10)))</f>
        <v>0</v>
      </c>
      <c r="DW10" s="188">
        <f ca="1">IF(F10&lt;OFFSET($BM$9,DT10-1,0,1,1),0,IF(F10&lt;OFFSET($BN$9,DT10-1,0,1,1),((F10-OFFSET($BM$9,DT10-1,0,1,1))*OFFSET($CI$9,DT10-1,0,1,1))+OFFSET($BP$9,DT10-1,CQ10,1,1),IF(F10&lt;OFFSET($BN$9,DT10+0,0,1,1),((F10-OFFSET($BM$9,DT10+0,0,1,1))*OFFSET($CI$9,DT10+0,0,1,1))+OFFSET($BP$9,DT10+0,CQ10,1,1),IF(F10&lt;OFFSET($BN$9,DT10+1,0,1,1),((F10-OFFSET($BM$9,DT10+1,0,1,1))*OFFSET($CI$9,DT10+1,0,1,1))+OFFSET($BP$9,DT10+1,CQ10,1,1),IF(F10&lt;OFFSET($BN$9,DT10+2,0,1,1),((F10-OFFSET($BM$9,DT10+2,0,1,1))*OFFSET($CI$9,DT10+2,0,1,1))+OFFSET($BP$9,DT10+2,CQ10,1,1),IF(F10&lt;OFFSET($BN$9,DT10+3,0,1,1),((F10-OFFSET($BM$9,DT10+3,0,1,1))*OFFSET($CI$9,DT10+3,0,1,1))+OFFSET($BP$9,DT10+3,CQ10,1,1),0))))))</f>
        <v>0</v>
      </c>
      <c r="DX10" s="51">
        <f ca="1">IF($F10&lt;OFFSET($BM$9,$DT10-1,0,1,1),0,IF($F10&lt;OFFSET($BN$9,$DT10-1,0,1,1),IF(AND($H10&gt;2.4,Z10&lt;&gt;"e",Z10&lt;&gt;"f"),EB10*2.4/$H10,EB10),IF($F10&lt;OFFSET($BN$9,$DT10+0,0,1,1),IF(AND($H10&gt;2.4,Z10&lt;&gt;"e",Z10&lt;&gt;"f"),EB10*2.4/$H10,EB10),IF($F10&lt;OFFSET($BN$9,$DT10+1,0,1,1),IF(AND($H10&gt;2.4,Z10&lt;&gt;"e",Z10&lt;&gt;"f"),EB10*2.4/$H10,EB10),IF($F10&lt;OFFSET($BN$9,$DT10+2,0,1,1),IF(AND($H10&gt;2.4,Z10&lt;&gt;"e",Z10&lt;&gt;"f"),EB10*2.4/$H10,EB10),IF($F10&lt;OFFSET($BN$9,$DT10+3,0,1,1),IF(AND($H10&gt;2.4,Z10&lt;&gt;"e",Z10&lt;&gt;"f"),EB10*2.4/$H10,EB10),0)))))*COS(RADIANS($G10)))</f>
        <v>0</v>
      </c>
      <c r="DY10" s="188"/>
      <c r="DZ10" s="188">
        <f ca="1">IF(DU10&gt;$CR10,$CR10,DU10)</f>
        <v>0</v>
      </c>
      <c r="EA10" s="188"/>
      <c r="EB10" s="188">
        <f ca="1">IF(DW10&gt;$CR10,$CR10,DW10)</f>
        <v>0</v>
      </c>
      <c r="EC10" s="435">
        <f ca="1">IF(DV10&gt;$CR10,$CR10,DV10)</f>
        <v>0</v>
      </c>
      <c r="ED10" s="435">
        <f ca="1">EC10*F10</f>
        <v>0</v>
      </c>
      <c r="EE10" s="436">
        <f ca="1">IF(DX10&gt;$CR10,$CR10,DX10)</f>
        <v>0</v>
      </c>
      <c r="EF10" s="437">
        <f ca="1">EE10*F10</f>
        <v>0</v>
      </c>
      <c r="EG10" s="613" t="str">
        <f>IF(D10=BG$12,BG$12,"")</f>
        <v/>
      </c>
      <c r="EH10" s="614" t="str">
        <f>IF(D10=BG$13,BG$13,"")</f>
        <v/>
      </c>
      <c r="EI10" s="611">
        <f>IF(EG10=BG$12,M10,0)</f>
        <v>0</v>
      </c>
      <c r="EJ10" s="451">
        <f>IF(EG10=BG$12,O10,0)</f>
        <v>0</v>
      </c>
      <c r="EK10" s="451">
        <f>IF(EH10=BG$13,M10,0)</f>
        <v>0</v>
      </c>
      <c r="EL10" s="612">
        <f>IF(EH10=BG$13,O10,0)</f>
        <v>0</v>
      </c>
      <c r="EM10" s="426" t="str">
        <f ca="1">IF(AND(Z10&lt;&gt;"t",Z10&lt;&gt;"f"),"",IF(AND(EN10=$BH$13,K10=$BH$12),"NotOpt",IF(K10&lt;&gt;EN10,"Error","")))</f>
        <v/>
      </c>
      <c r="EN10" s="491" t="str">
        <f>IF(AND($BH$28=1,$BG$28=1),$BH$13,$BH$12)</f>
        <v>120 BU's</v>
      </c>
      <c r="EO10" s="426" t="str">
        <f>K10</f>
        <v xml:space="preserve"> </v>
      </c>
      <c r="EP10" s="497">
        <v>1</v>
      </c>
      <c r="EQ10" s="430" t="str">
        <f ca="1">IF(EP10=1," ",OFFSET(BF$15,EP10-2,0,1,1))</f>
        <v xml:space="preserve"> </v>
      </c>
      <c r="ER10" s="439" t="str">
        <f ca="1">IF(H10=0," ",H10)</f>
        <v xml:space="preserve"> </v>
      </c>
      <c r="ES10" s="440" t="str">
        <f ca="1">IF(ER10&lt;&gt;" ",IF(ER10&lt;&gt;ER$7,"Changed",""),"")</f>
        <v/>
      </c>
      <c r="ET10" s="440">
        <f ca="1">IF(ER10&lt;&gt;" ",IF(ER10&lt;&gt;ER$7,1,0),0)</f>
        <v>0</v>
      </c>
      <c r="EU10" s="957" t="str">
        <f ca="1">IF(I10=" "," ",IF(F10&lt;OFFSET($BM$9,CL10-1,0,1,1),1,""))</f>
        <v xml:space="preserve"> </v>
      </c>
      <c r="EW10" s="427"/>
    </row>
    <row r="11" spans="1:153" ht="17.100000000000001" customHeight="1" thickBot="1">
      <c r="B11" s="689" t="s">
        <v>246</v>
      </c>
      <c r="C11" s="684" t="str">
        <f>IF(OR(F11=0,I11="",I11=" ")," ",$V11)</f>
        <v xml:space="preserve"> </v>
      </c>
      <c r="D11" s="1033"/>
      <c r="E11" s="1034" t="s">
        <v>8</v>
      </c>
      <c r="F11" s="201"/>
      <c r="G11" s="1416"/>
      <c r="H11" s="199" t="str">
        <f ca="1">IF(OR(F11=0,Z11="E",Z11="f")," ",'Project Demand'!E$35)</f>
        <v xml:space="preserve"> </v>
      </c>
      <c r="I11" s="631" t="str">
        <f>IF($I$6&lt;&gt;$BG$8," ",AB11)</f>
        <v xml:space="preserve"> </v>
      </c>
      <c r="J11" s="44" t="str">
        <f ca="1">IF(OR(I11=" ",I11="")," ",OFFSET($BO$9,CL11-1,0-4,1,1))</f>
        <v xml:space="preserve"> </v>
      </c>
      <c r="K11" s="55" t="str">
        <f>IF(OR(I11=" ",I11="")," ",IF(OR(Z11="e",Z11="h"),"SD",BG$24))</f>
        <v xml:space="preserve"> </v>
      </c>
      <c r="L11" s="725">
        <f ca="1">CW11</f>
        <v>0</v>
      </c>
      <c r="M11" s="726">
        <f ca="1">CY11</f>
        <v>0</v>
      </c>
      <c r="N11" s="445">
        <f ca="1">DA11</f>
        <v>0</v>
      </c>
      <c r="O11" s="728">
        <f t="shared" ca="1" si="0"/>
        <v>0</v>
      </c>
      <c r="P11" s="138"/>
      <c r="Q11" s="752" t="str">
        <f ca="1">IF(AND(OR(Z11="t",Z11="f"),K11=$BH$11),"No Floor!  Change Floor Type",IF(OR(I11=" ",I11="")," ",IF(F11&lt;OFFSET($BM$9,CL11-1,0,1,1),"check L(m)",DE11&amp;IF(AND(DP11&gt;=CY11,DR11&gt;=DB11),IF(AND(ED11&gt;=DP11,EF11&gt;=DR11),CONCATENATE(DS11," will provide same result"),CONCATENATE(CO11," will provide same result")),IF((DP11&gt;=CY11),CONCATENATE(CO11," provides same result in WIND"),IF((DR11&gt;=DB11),CONCATENATE(CO11," provides same result in EQ"),""))))))&amp;IF(ISERROR(FIND("pile",I11,1)),"",IF(INT(F11)&lt;&gt;F11,"Pile!  Use Whole Numbers Only",""))</f>
        <v xml:space="preserve"> </v>
      </c>
      <c r="R11" s="52"/>
      <c r="S11" s="1372"/>
      <c r="T11" s="52"/>
      <c r="U11" s="1377"/>
      <c r="V11" s="52" t="str">
        <f>IF(AND(B$5=$BF$9,OR(I11=BH$16,I11=BH$17))," ",IF(ISNUMBER(B$8),(CONCATENATE(B$8,".",W11)),(CONCATENATE(B$8,W11))))</f>
        <v>A0</v>
      </c>
      <c r="W11" s="9">
        <f>W10+X11</f>
        <v>0</v>
      </c>
      <c r="X11" s="9">
        <f>IF(AND(B$5=$BF$9,OR($I11=$BH$16,$I11=$BH$17,$I11=" ",$I11="",$F11=0)),0,IF(OR($I11=" ",$I11="",$F11=0),0,1))</f>
        <v>0</v>
      </c>
      <c r="Y11" s="896"/>
      <c r="Z11" s="52" t="str">
        <f ca="1">IF(I11=" "," ",OFFSET($BM$9,$CL11-1,8,1,1))</f>
        <v xml:space="preserve"> </v>
      </c>
      <c r="AA11" s="51" t="str">
        <f>IF(G11&gt;=45,"WA","")</f>
        <v/>
      </c>
      <c r="AB11" s="1364" t="str">
        <f>IF(F11&lt;&gt;"",IF(OR(D11=$BG$12,D11=$BG$13),IF(E11&lt;&gt;$BG$17,$BF$12,$BF$13),IF(E11&lt;&gt;$BG$17,$BF$12,$BF$13))," ")</f>
        <v xml:space="preserve"> </v>
      </c>
      <c r="AC11" s="1"/>
      <c r="AJ11" s="2198"/>
      <c r="AK11" s="2832"/>
      <c r="AL11" s="2787"/>
      <c r="AM11" s="2835"/>
      <c r="AN11" s="2253"/>
      <c r="AO11" s="2253"/>
      <c r="AP11" s="1593"/>
      <c r="AQ11" s="2656"/>
      <c r="AR11" s="2657"/>
      <c r="AS11" s="2651"/>
      <c r="AT11" s="1152"/>
      <c r="AU11" s="2188"/>
      <c r="AW11" s="2658"/>
      <c r="AX11" s="2233"/>
      <c r="BD11" s="2649"/>
      <c r="BE11" s="51"/>
      <c r="BF11" s="948" t="s">
        <v>8</v>
      </c>
      <c r="BG11" s="1029" t="s">
        <v>8</v>
      </c>
      <c r="BI11" s="759"/>
      <c r="BJ11" s="922">
        <f>BJ10+1</f>
        <v>3</v>
      </c>
      <c r="BM11" s="52">
        <v>0</v>
      </c>
      <c r="BN11" s="52">
        <v>999</v>
      </c>
      <c r="BO11" s="52">
        <f>AS10</f>
        <v>0</v>
      </c>
      <c r="BP11" s="52">
        <v>0</v>
      </c>
      <c r="BR11" s="52">
        <f>Table!G4</f>
        <v>0</v>
      </c>
      <c r="BS11" s="52">
        <f>Table!G5</f>
        <v>0</v>
      </c>
      <c r="BT11" s="52" t="str">
        <f>Table!H4</f>
        <v>B</v>
      </c>
      <c r="BU11" s="52" t="s">
        <v>242</v>
      </c>
      <c r="BV11" s="909" t="s">
        <v>8</v>
      </c>
      <c r="BW11" s="921">
        <v>0</v>
      </c>
      <c r="CH11" s="768">
        <f>IF(BN11=999,0,(BO12-BO11)/(BN11-BM11))</f>
        <v>0</v>
      </c>
      <c r="CI11" s="924">
        <f>IF(BN11=999,0,(BP12-BP11)/(BN11-BM11))</f>
        <v>0</v>
      </c>
      <c r="CJ11" s="759"/>
      <c r="CK11" s="188"/>
      <c r="CL11" s="979">
        <f>VLOOKUP(I11,Prodlink,2,0)</f>
        <v>0</v>
      </c>
      <c r="CN11" s="497">
        <f ca="1">VLOOKUP(CO11,Prodlink,2,0)</f>
        <v>0</v>
      </c>
      <c r="CO11" s="497">
        <f ca="1">OFFSET($CH$9,CL11-1,-15,1,1)</f>
        <v>0</v>
      </c>
      <c r="CQ11" s="51">
        <v>0</v>
      </c>
      <c r="CR11" s="51">
        <f>IF(K11=$BH$12,$BH$23,IF(K11=$BH$13,$BH$24,10000))</f>
        <v>10000</v>
      </c>
      <c r="CS11" s="51">
        <f ca="1">IF(F11&lt;OFFSET($BM$9,CL11-1,0,1,1),0,IF(F11&lt;OFFSET($BN$9,CL11-1,0,1,1),((F11-OFFSET($BM$9,CL11-1,0,1,1))*OFFSET($CH$9,CL11-1,0,1,1))+OFFSET($BO$9,CL11-1,CQ11,1,1),IF(F11&lt;OFFSET($BN$9,CL11+0,0,1,1),((F11-OFFSET($BM$9,CL11+0,0,1,1))*OFFSET($CH$9,CL11+0,0,1,1))+OFFSET($BO$9,CL11+0,CQ11,1,1),IF(F11&lt;OFFSET($BN$9,CL11+1,0,1,1),((F11-OFFSET($BM$9,CL11+1,0,1,1))*OFFSET($CH$9,CL11+1,0,1,1))+OFFSET($BO$9,CL11+1,CQ11,1,1),IF(F11&lt;OFFSET($BN$9,CL11+2,0,1,1),((F11-OFFSET($BM$9,CL11+2,0,1,1))*OFFSET($CH$9,CL11+2,0,1,1))+OFFSET($BO$9,CL11+2,CQ11,1,1),IF(F11&lt;OFFSET($BN$9,CL11+3,0,1,1),((F11-OFFSET($BM$9,CL11+3,0,1,1))*OFFSET($CH$9,CL11+3,0,1,1))+OFFSET($BO$9,CL11+3,CQ11,1,1),0))))))</f>
        <v>0</v>
      </c>
      <c r="CT11" s="51">
        <f ca="1">IF($F11&lt;OFFSET($BM$9,$CL11-1,0,1,1),0,IF($F11&lt;OFFSET($BN$9,$CL11-1,0,1,1),IF(AND($H11&gt;2.4,Z11&lt;&gt;"e",Z11&lt;&gt;"f"),CX11*2.4/$H11,CX11),IF($F11&lt;OFFSET($BN$9,$CL11+0,0,1,1),IF(AND($H11&gt;2.4,Z11&lt;&gt;"e",Z11&lt;&gt;"f"),CX11*2.4/$H11,CX11),IF($F11&lt;OFFSET($BN$9,$CL11+1,0,1,1),IF(AND($H11&gt;2.4,Z11&lt;&gt;"e",Z11&lt;&gt;"f"),CX11*2.4/$H11,CX11),IF($F11&lt;OFFSET($BN$9,CL11+2,0,1,1),IF(AND($H11&gt;2.4,Z11&lt;&gt;"e",Z11&lt;&gt;"f"),CX11*2.4/$H11,CX11),IF($F11&lt;OFFSET($BN$9,CL11+3,0,1,1),IF(AND($H11&gt;2.4,Z11&lt;&gt;"e",Z11&lt;&gt;"f"),CX11*2.4/$H11,CX11),0)))))*COS(RADIANS($G11)))</f>
        <v>0</v>
      </c>
      <c r="CU11" s="51">
        <f ca="1">IF(F11&lt;OFFSET($BM$9,CL11-1,0,1,1),0,IF(F11&lt;OFFSET($BN$9,CL11-1,0,1,1),((F11-OFFSET($BM$9,CL11-1,0,1,1))*OFFSET($CI$9,CL11-1,0,1,1))+OFFSET($BP$9,CL11-1,CQ11,1,1),IF(F11&lt;OFFSET($BN$9,CL11+0,0,1,1),((F11-OFFSET($BM$9,CL11+0,0,1,1))*OFFSET($CI$9,CL11+0,0,1,1))+OFFSET($BP$9,CL11+0,CQ11,1,1),IF(F11&lt;OFFSET($BN$9,CL11+1,0,1,1),((F11-OFFSET($BM$9,CL11+1,0,1,1))*OFFSET($CI$9,CL11+1,0,1,1))+OFFSET($BP$9,CL11+1,CQ11,1,1),IF(F11&lt;OFFSET($BN$9,CL11+2,0,1,1),((F11-OFFSET($BM$9,CL11+2,0,1,1))*OFFSET($CI$9,CL11+2,0,1,1))+OFFSET($BP$9,CL11+2,CQ11,1,1),IF(F11&lt;OFFSET($BN$9,CL11+3,0,1,1),((F11-OFFSET($BM$9,CL11+3,0,1,1))*OFFSET($CI$9,CL11+3,0,1,1))+OFFSET($BP$9,CL11+3,CQ11,1,1),0))))))</f>
        <v>0</v>
      </c>
      <c r="CV11" s="51">
        <f ca="1">IF($F11&lt;OFFSET($BM$9,$CL11-1,0,1,1),0,IF($F11&lt;OFFSET($BN$9,$CL11-1,0,1,1),IF(AND($H11&gt;2.4,Z11&lt;&gt;"e",Z11&lt;&gt;"f"),CZ11*2.4/$H11,CZ11),IF($F11&lt;OFFSET($BN$9,$CL11+0,0,1,1),IF(AND($H11&gt;2.4,Z11&lt;&gt;"e",Z11&lt;&gt;"f"),CZ11*2.4/$H11,CZ11),IF($F11&lt;OFFSET($BN$9,$CL11+1,0,1,1),IF(AND($H11&gt;2.4,Z11&lt;&gt;"e",Z11&lt;&gt;"f"),CZ11*2.4/$H11,CZ11),IF($F11&lt;OFFSET($BN$9,$CL11+2,0,1,1),IF(AND($H11&gt;2.4,Z11&lt;&gt;"e",Z11&lt;&gt;"f"),CZ11*2.4/$H11,CZ11),IF($F11&lt;OFFSET($BN$9,$CL11+3,0,1,1),IF(AND($H11&gt;2.4,Z11&lt;&gt;"e",Z11&lt;&gt;"f"),CZ11*2.4/$H11,CZ11),0)))))*COS(RADIANS($G11)))</f>
        <v>0</v>
      </c>
      <c r="CW11" s="51">
        <f ca="1">IF(CT11&gt;CR11,CR11,CT11)</f>
        <v>0</v>
      </c>
      <c r="CX11" s="51">
        <f ca="1">IF(CS11&gt;$CR11,$CR11,CS11)</f>
        <v>0</v>
      </c>
      <c r="CY11" s="51">
        <f ca="1">CW11*F11</f>
        <v>0</v>
      </c>
      <c r="CZ11" s="51">
        <f ca="1">IF($CU11&gt;$CR11,$CR11,$CU11)</f>
        <v>0</v>
      </c>
      <c r="DA11" s="51">
        <f ca="1">IF(CV11&gt;CR11,CR11,CV11)</f>
        <v>0</v>
      </c>
      <c r="DB11" s="984">
        <f ca="1">DA11*F11</f>
        <v>0</v>
      </c>
      <c r="DC11" s="993">
        <v>1</v>
      </c>
      <c r="DD11" s="758" t="str">
        <f>IF(OR(D11=BG$12,D11=BG$13),"External",IF(D11=BG$14,"Internal"," "))</f>
        <v xml:space="preserve"> </v>
      </c>
      <c r="DE11" s="51" t="str">
        <f t="shared" ca="1" si="1"/>
        <v/>
      </c>
      <c r="DF11" s="52" t="str">
        <f t="shared" ca="1" si="2"/>
        <v xml:space="preserve"> </v>
      </c>
      <c r="DG11" s="51">
        <f ca="1">IF(F11&lt;OFFSET($BM$9,CN11-1,0,1,1),0,IF(F11&lt;OFFSET($BN$9,CN11-1,0,1,1),((F11-OFFSET($BM$9,CN11-1,0,1,1))*OFFSET($CH$9,CN11-1,0,1,1))+OFFSET($BO$9,CN11-1,CQ11,1,1),IF(F11&lt;OFFSET($BN$9,CN11+0,0,1,1),((F11-OFFSET($BM$9,CN11+0,0,1,1))*OFFSET($CH$9,CN11+0,0,1,1))+OFFSET($BO$9,CN11+0,CQ11,1,1),IF(F11&lt;OFFSET($BN$9,CN11+1,0,1,1),((F11-OFFSET($BM$9,CN11+1,0,1,1))*OFFSET($CH$9,CN11+1,0,1,1))+OFFSET($BO$9,CN11+1,CQ11,1,1),IF(F11&lt;OFFSET($BN$9,CN11+2,0,1,1),((F11-OFFSET($BM$9,CN11+2,0,1,1))*OFFSET($CH$9,CN11+2,0,1,1))+OFFSET($BO$9,CN11+2,CQ11,1,1),IF(F11&lt;OFFSET($BN$9,CN11+3,0,1,1),((F11-OFFSET($BM$9,CN11+3,0,1,1))*OFFSET($CH$9,CN11+3,0,1,1))+OFFSET($BO$9,CN11+3,CQ11,1,1),0))))))</f>
        <v>0</v>
      </c>
      <c r="DH11" s="51">
        <f ca="1">IF($F11&lt;OFFSET($BM$9,$CN11-1,0,1,1),0,IF($F11&lt;OFFSET($BN$9,$CN11-1,0,1,1),IF(AND($H11&gt;2.4,Z11&lt;&gt;"e",Z11&lt;&gt;"f"),DL11*2.4/$H11,DL11),IF($F11&lt;OFFSET($BN$9,$CN11+0,0,1,1),IF(AND($H11&gt;2.4,Z11&lt;&gt;"e",Z11&lt;&gt;"f"),DL11*2.4/$H11,DL11),IF($F11&lt;OFFSET($BN$9,$CN11+1,0,1,1),IF(AND($H11&gt;2.4,Z11&lt;&gt;"e",Z11&lt;&gt;"f"),DL11*2.4/$H11,DL11),IF($F11&lt;OFFSET($BN$9,$CN11+2,0,1,1),IF(AND($H11&gt;2.4,Z11&lt;&gt;"e",Z11&lt;&gt;"f"),DL11*2.4/$H11,DL11),IF($F11&lt;OFFSET($BN$9,$CN11+3,0,1,1),IF(AND($H11&gt;2.4,Z11&lt;&gt;"e",Z11&lt;&gt;"f"),DL11*2.4/$H11,DL11),0)))))*COS(RADIANS($G11)))</f>
        <v>0</v>
      </c>
      <c r="DI11" s="51">
        <f ca="1">IF(F11&lt;OFFSET($BM$9,CN11-1,0,1,1),0,IF(F11&lt;OFFSET($BN$9,CN11-1,0,1,1),((F11-OFFSET($BM$9,CN11-1,0,1,1))*OFFSET($CI$9,CN11-1,0,1,1))+OFFSET($BP$9,CN11-1,CQ11,1,1),IF(F11&lt;OFFSET($BN$9,CN11+0,0,1,1),((F11-OFFSET($BM$9,CN11+0,0,1,1))*OFFSET($CI$9,CN11+0,0,1,1))+OFFSET($BP$9,CN11+0,CQ11,1,1),IF(F11&lt;OFFSET($BN$9,CN11+1,0,1,1),((F11-OFFSET($BM$9,CN11+1,0,1,1))*OFFSET($CI$9,CN11+1,0,1,1))+OFFSET($BP$9,CN11+1,CQ11,1,1),IF(F11&lt;OFFSET($BN$9,CN11+2,0,1,1),((F11-OFFSET($BM$9,CN11+2,0,1,1))*OFFSET($CI$9,CN11+2,0,1,1))+OFFSET($BP$9,CN11+2,CQ11,1,1),IF(F11&lt;OFFSET($BN$9,CN11+3,0,1,1),((F11-OFFSET($BM$9,CN11+3,0,1,1))*OFFSET($CI$9,CN11+3,0,1,1))+OFFSET($BP$9,CN11+3,CQ11,1,1),0))))))</f>
        <v>0</v>
      </c>
      <c r="DJ11" s="51">
        <f ca="1">IF($F11&lt;OFFSET($BM$9,$CN11-1,0,1,1),0,IF($F11&lt;OFFSET($BN$9,$CN11-1,0,1,1),IF(AND($H11&gt;2.4,Z11&lt;&gt;"e",Z11&lt;&gt;"f"),DN11*2.4/$H11,DN11),IF($F11&lt;OFFSET($BN$9,$CN11+0,0,1,1),IF(AND($H11&gt;2.4,Z11&lt;&gt;"e",Z11&lt;&gt;"f"),DN11*2.4/$H11,DN11),IF($F11&lt;OFFSET($BN$9,$CN11+1,0,1,1),IF(AND($H11&gt;2.4,Z11&lt;&gt;"e",Z11&lt;&gt;"f"),DN11*2.4/$H11,DN11),IF($F11&lt;OFFSET($BN$9,$CN11+2,0,1,1),IF(AND($H11&gt;2.4,Z11&lt;&gt;"e",Z11&lt;&gt;"f"),DN11*2.4/$H11,DN11),IF($F11&lt;OFFSET($BN$9,$CN11+3,0,1,1),IF(AND($H11&gt;2.4,Z11&lt;&gt;"e",Z11&lt;&gt;"f"),DN11*2.4/$H11,DN11),0)))))*COS(RADIANS($G11)))</f>
        <v>0</v>
      </c>
      <c r="DK11" s="51"/>
      <c r="DL11" s="51">
        <f ca="1">IF(DG11&gt;$CR11,$CR11,DG11)</f>
        <v>0</v>
      </c>
      <c r="DM11" s="51"/>
      <c r="DN11" s="51">
        <f ca="1">IF(DI11&gt;$CR11,$CR11,DI11)</f>
        <v>0</v>
      </c>
      <c r="DO11" s="435">
        <f ca="1">IF(DH11&gt;$CR11,$CR11,DH11)</f>
        <v>0</v>
      </c>
      <c r="DP11" s="435">
        <f ca="1">DO11*F11</f>
        <v>0</v>
      </c>
      <c r="DQ11" s="436">
        <f ca="1">IF(DJ11&gt;$CR11,$CR11,DJ11)</f>
        <v>0</v>
      </c>
      <c r="DR11" s="437">
        <f ca="1">DQ11*F11</f>
        <v>0</v>
      </c>
      <c r="DS11" s="426">
        <f ca="1">OFFSET($CH$9,CL11-1,-15,1,1)</f>
        <v>0</v>
      </c>
      <c r="DT11" s="451">
        <f ca="1">VLOOKUP(DS11,Prodlink,2,0)</f>
        <v>0</v>
      </c>
      <c r="DU11" s="188">
        <f ca="1">IF(F11&lt;OFFSET($BM$9,DT11-1,0,1,1),0,IF(F11&lt;OFFSET($BN$9,DT11-1,0,1,1),((F11-OFFSET($BM$9,DT11-1,0,1,1))*OFFSET($CH$9,DT11-1,0,1,1))+OFFSET($BO$9,DT11-1,CQ11,1,1),IF(F11&lt;OFFSET($BN$9,DT11+0,0,1,1),((F11-OFFSET($BM$9,DT11+0,0,1,1))*OFFSET($CH$9,DT11+0,0,1,1))+OFFSET($BO$9,DT11+0,CQ11,1,1),IF(F11&lt;OFFSET($BN$9,DT11+1,0,1,1),((F11-OFFSET($BM$9,DT11+1,0,1,1))*OFFSET($CH$9,DT11+1,0,1,1))+OFFSET($BO$9,DT11+1,CQ11,1,1),IF(F11&lt;OFFSET($BN$9,DT11+2,0,1,1),((F11-OFFSET($BM$9,DT11+2,0,1,1))*OFFSET($CH$9,DT11+2,0,1,1))+OFFSET($BO$9,DT11+2,CQ11,1,1),IF(F11&lt;OFFSET($BN$9,DT11+3,0,1,1),((F11-OFFSET($BM$9,DT11+3,0,1,1))*OFFSET($CH$9,DT11+3,0,1,1))+OFFSET($BO$9,DT11+3,CQ11,1,1),0))))))</f>
        <v>0</v>
      </c>
      <c r="DV11" s="51">
        <f ca="1">IF($F11&lt;OFFSET($BM$9,$DT11-1,0,1,1),0,IF($F11&lt;OFFSET($BN$9,$DT11-1,0,1,1),IF(AND($H11&gt;2.4,Z11&lt;&gt;"e",Z11&lt;&gt;"f"),DZ11*2.4/$H11,DZ11),IF($F11&lt;OFFSET($BN$9,$DT11+0,0,1,1),IF(AND($H11&gt;2.4,Z11&lt;&gt;"e",Z11&lt;&gt;"f"),DZ11*2.4/$H11,DZ11),IF($F11&lt;OFFSET($BN$9,$DT11+1,0,1,1),IF(AND($H11&gt;2.4,Z11&lt;&gt;"e",Z11&lt;&gt;"f"),DZ11*2.4/$H11,DZ11),IF($F11&lt;OFFSET($BN$9,$DT11+2,0,1,1),IF(AND($H11&gt;2.4,Z11&lt;&gt;"e",Z11&lt;&gt;"f"),DZ11*2.4/$H11,DZ11),IF($F11&lt;OFFSET($BN$9,$DT11+3,0,1,1),IF(AND($H11&gt;2.4,Z11&lt;&gt;"e",Z11&lt;&gt;"f"),DZ11*2.4/$H11,DZ11),0)))))*COS(RADIANS($G11)))</f>
        <v>0</v>
      </c>
      <c r="DW11" s="188">
        <f ca="1">IF(F11&lt;OFFSET($BM$9,DT11-1,0,1,1),0,IF(F11&lt;OFFSET($BN$9,DT11-1,0,1,1),((F11-OFFSET($BM$9,DT11-1,0,1,1))*OFFSET($CI$9,DT11-1,0,1,1))+OFFSET($BP$9,DT11-1,CQ11,1,1),IF(F11&lt;OFFSET($BN$9,DT11+0,0,1,1),((F11-OFFSET($BM$9,DT11+0,0,1,1))*OFFSET($CI$9,DT11+0,0,1,1))+OFFSET($BP$9,DT11+0,CQ11,1,1),IF(F11&lt;OFFSET($BN$9,DT11+1,0,1,1),((F11-OFFSET($BM$9,DT11+1,0,1,1))*OFFSET($CI$9,DT11+1,0,1,1))+OFFSET($BP$9,DT11+1,CQ11,1,1),IF(F11&lt;OFFSET($BN$9,DT11+2,0,1,1),((F11-OFFSET($BM$9,DT11+2,0,1,1))*OFFSET($CI$9,DT11+2,0,1,1))+OFFSET($BP$9,DT11+2,CQ11,1,1),IF(F11&lt;OFFSET($BN$9,DT11+3,0,1,1),((F11-OFFSET($BM$9,DT11+3,0,1,1))*OFFSET($CI$9,DT11+3,0,1,1))+OFFSET($BP$9,DT11+3,CQ11,1,1),0))))))</f>
        <v>0</v>
      </c>
      <c r="DX11" s="51">
        <f ca="1">IF($F11&lt;OFFSET($BM$9,$DT11-1,0,1,1),0,IF($F11&lt;OFFSET($BN$9,$DT11-1,0,1,1),IF(AND($H11&gt;2.4,Z11&lt;&gt;"e",Z11&lt;&gt;"f"),EB11*2.4/$H11,EB11),IF($F11&lt;OFFSET($BN$9,$DT11+0,0,1,1),IF(AND($H11&gt;2.4,Z11&lt;&gt;"e",Z11&lt;&gt;"f"),EB11*2.4/$H11,EB11),IF($F11&lt;OFFSET($BN$9,$DT11+1,0,1,1),IF(AND($H11&gt;2.4,Z11&lt;&gt;"e",Z11&lt;&gt;"f"),EB11*2.4/$H11,EB11),IF($F11&lt;OFFSET($BN$9,$DT11+2,0,1,1),IF(AND($H11&gt;2.4,Z11&lt;&gt;"e",Z11&lt;&gt;"f"),EB11*2.4/$H11,EB11),IF($F11&lt;OFFSET($BN$9,$DT11+3,0,1,1),IF(AND($H11&gt;2.4,Z11&lt;&gt;"e",Z11&lt;&gt;"f"),EB11*2.4/$H11,EB11),0)))))*COS(RADIANS($G11)))</f>
        <v>0</v>
      </c>
      <c r="DY11" s="188"/>
      <c r="DZ11" s="188">
        <f ca="1">IF(DU11&gt;$CR11,$CR11,DU11)</f>
        <v>0</v>
      </c>
      <c r="EA11" s="188"/>
      <c r="EB11" s="188">
        <f ca="1">IF(DW11&gt;$CR11,$CR11,DW11)</f>
        <v>0</v>
      </c>
      <c r="EC11" s="435">
        <f ca="1">IF(DV11&gt;$CR11,$CR11,DV11)</f>
        <v>0</v>
      </c>
      <c r="ED11" s="435">
        <f ca="1">EC11*F11</f>
        <v>0</v>
      </c>
      <c r="EE11" s="436">
        <f ca="1">IF(DX11&gt;$CR11,$CR11,DX11)</f>
        <v>0</v>
      </c>
      <c r="EF11" s="437">
        <f ca="1">EE11*F11</f>
        <v>0</v>
      </c>
      <c r="EG11" s="613" t="str">
        <f>IF(D11=BG$12,BG$12,"")</f>
        <v/>
      </c>
      <c r="EH11" s="614" t="str">
        <f>IF(D11=BG$13,BG$13,"")</f>
        <v/>
      </c>
      <c r="EI11" s="611">
        <f>IF(EG11=BG$12,M11,0)</f>
        <v>0</v>
      </c>
      <c r="EJ11" s="451">
        <f>IF(EG11=BG$12,O11,0)</f>
        <v>0</v>
      </c>
      <c r="EK11" s="451">
        <f>IF(EH11=BG$13,M11,0)</f>
        <v>0</v>
      </c>
      <c r="EL11" s="612">
        <f>IF(EH11=BG$13,O11,0)</f>
        <v>0</v>
      </c>
      <c r="EM11" s="426" t="str">
        <f ca="1">IF(AND(Z11&lt;&gt;"t",Z11&lt;&gt;"f"),"",IF(AND(EN11=$BH$13,K11=$BH$12),"NotOpt",IF(K11&lt;&gt;EN11,"Error","")))</f>
        <v/>
      </c>
      <c r="EN11" s="491" t="str">
        <f>IF(AND($BH$28=1,$BG$28=1),$BH$13,$BH$12)</f>
        <v>120 BU's</v>
      </c>
      <c r="EO11" s="426" t="str">
        <f>K11</f>
        <v xml:space="preserve"> </v>
      </c>
      <c r="EP11" s="497">
        <v>1</v>
      </c>
      <c r="EQ11" s="430" t="str">
        <f ca="1">IF(EP11=1," ",OFFSET(BF$15,EP11-2,0,1,1))</f>
        <v xml:space="preserve"> </v>
      </c>
      <c r="ER11" s="439" t="str">
        <f ca="1">IF(H11=0," ",H11)</f>
        <v xml:space="preserve"> </v>
      </c>
      <c r="ES11" s="440" t="str">
        <f ca="1">IF(ER11&lt;&gt;" ",IF(ER11&lt;&gt;ER$7,"Changed",""),"")</f>
        <v/>
      </c>
      <c r="ET11" s="440">
        <f ca="1">IF(ER11&lt;&gt;" ",IF(ER11&lt;&gt;ER$7,1,0),0)</f>
        <v>0</v>
      </c>
      <c r="EU11" s="957" t="str">
        <f ca="1">IF(I11=" "," ",IF(F11&lt;OFFSET($BM$9,CL11-1,0,1,1),1,""))</f>
        <v xml:space="preserve"> </v>
      </c>
      <c r="EW11" s="427"/>
    </row>
    <row r="12" spans="1:153" ht="17.100000000000001" customHeight="1" thickBot="1">
      <c r="B12" s="689" t="s">
        <v>246</v>
      </c>
      <c r="C12" s="684" t="str">
        <f>IF(OR(F12=0,I12="",I12=" ")," ",$V12)</f>
        <v xml:space="preserve"> </v>
      </c>
      <c r="D12" s="1418"/>
      <c r="E12" s="1034"/>
      <c r="F12" s="201"/>
      <c r="G12" s="1416"/>
      <c r="H12" s="199" t="str">
        <f ca="1">IF(OR(F12=0,Z12="E",Z12="f")," ",'Project Demand'!E$35)</f>
        <v xml:space="preserve"> </v>
      </c>
      <c r="I12" s="631" t="str">
        <f>IF($I$6&lt;&gt;$BG$8," ",AB12)</f>
        <v xml:space="preserve"> </v>
      </c>
      <c r="J12" s="44" t="str">
        <f ca="1">IF(OR(I12=" ",I12="")," ",OFFSET($BO$9,CL12-1,0-4,1,1))</f>
        <v xml:space="preserve"> </v>
      </c>
      <c r="K12" s="55" t="str">
        <f>IF(OR(I12=" ",I12="")," ",IF(OR(Z12="e",Z12="h"),"SD",BG$24))</f>
        <v xml:space="preserve"> </v>
      </c>
      <c r="L12" s="725">
        <f ca="1">CW12</f>
        <v>0</v>
      </c>
      <c r="M12" s="727">
        <f ca="1">CY12</f>
        <v>0</v>
      </c>
      <c r="N12" s="445">
        <f t="shared" ca="1" si="0"/>
        <v>0</v>
      </c>
      <c r="O12" s="728">
        <f t="shared" ca="1" si="0"/>
        <v>0</v>
      </c>
      <c r="P12" s="138"/>
      <c r="Q12" s="752" t="str">
        <f ca="1">IF(AND(OR(Z12="t",Z12="f"),K12=$BH$11),"No Floor!  Change Floor Type",IF(OR(I12=" ",I12="")," ",IF(F12&lt;OFFSET($BM$9,CL12-1,0,1,1),"check L(m)",DE12&amp;IF(AND(DP12&gt;=CY12,DR12&gt;=DB12),IF(AND(ED12&gt;=DP12,EF12&gt;=DR12),CONCATENATE(DS12," will provide same result"),CONCATENATE(CO12," will provide same result")),IF((DP12&gt;=CY12),CONCATENATE(CO12," provides same result in WIND"),IF((DR12&gt;=DB12),CONCATENATE(CO12," provides same result in EQ"),""))))))&amp;IF(ISERROR(FIND("pile",I12,1)),"",IF(INT(F12)&lt;&gt;F12,"Pile!  Use Whole Numbers Only",""))</f>
        <v xml:space="preserve"> </v>
      </c>
      <c r="T12" s="52"/>
      <c r="U12" s="1377"/>
      <c r="V12" s="52" t="str">
        <f>IF(AND(B$5=$BF$9,OR(I12=BH$16,I12=BH$17))," ",IF(ISNUMBER(B$8),(CONCATENATE(B$8,".",W12)),(CONCATENATE(B$8,W12))))</f>
        <v>A0</v>
      </c>
      <c r="W12" s="9">
        <f>W11+X12</f>
        <v>0</v>
      </c>
      <c r="X12" s="9">
        <f>IF(AND(B$5=$BF$9,OR($I12=$BH$16,$I12=$BH$17,$I12=" ",$I12="",$F12=0)),0,IF(OR($I12=" ",$I12="",$F12=0),0,1))</f>
        <v>0</v>
      </c>
      <c r="Y12" s="896"/>
      <c r="Z12" s="52" t="str">
        <f ca="1">IF(I12=" "," ",OFFSET($BM$9,$CL12-1,8,1,1))</f>
        <v xml:space="preserve"> </v>
      </c>
      <c r="AA12" s="51" t="str">
        <f>IF(G12&gt;=45,"WA","")</f>
        <v/>
      </c>
      <c r="AB12" s="1364" t="str">
        <f>IF(F12&lt;&gt;"",IF(OR(D12=$BG$12,D12=$BG$13),IF(E12&lt;&gt;$BG$17,$BF$12,$BF$13),IF(E12&lt;&gt;$BG$17,$BF$12,$BF$13))," ")</f>
        <v xml:space="preserve"> </v>
      </c>
      <c r="AC12" s="1"/>
      <c r="AJ12" s="2229" t="str">
        <f>'Regular and QuickBrace Systems'!C24</f>
        <v xml:space="preserve">Elephant Plasterboard ®  (EPB)  </v>
      </c>
      <c r="AK12" s="2805" t="str">
        <f>'Regular and QuickBrace Systems'!D24</f>
        <v>Plasterboard on One Side</v>
      </c>
      <c r="AL12" s="2806"/>
      <c r="AM12" s="2806"/>
      <c r="AN12" s="2806"/>
      <c r="AO12" s="1302"/>
      <c r="AP12" s="1302"/>
      <c r="AQ12" s="1303"/>
      <c r="AR12" s="1303"/>
      <c r="AS12" s="1334"/>
      <c r="AT12" s="1188"/>
      <c r="AU12" s="1354"/>
      <c r="AW12" s="1582"/>
      <c r="AX12" s="1571"/>
      <c r="BD12" s="2667"/>
      <c r="BE12" s="51"/>
      <c r="BF12" s="598" t="str">
        <f>Table!AI72</f>
        <v>ER1</v>
      </c>
      <c r="BG12" s="1026" t="str">
        <f>IF('Project Demand'!AX21=1,BG32,BG35)</f>
        <v>Top External</v>
      </c>
      <c r="BH12" s="709" t="str">
        <f>IF($BE$3=1,BH19,BG19)</f>
        <v>120 BU's</v>
      </c>
      <c r="BI12" s="759"/>
      <c r="BJ12" s="897">
        <f t="shared" ref="BJ12:BJ40" si="3">BJ11+1</f>
        <v>4</v>
      </c>
      <c r="BK12" s="769" t="str">
        <f t="shared" ref="BK12:BK31" si="4">AK48</f>
        <v xml:space="preserve">  </v>
      </c>
      <c r="BL12" s="770" t="str">
        <f t="shared" ref="BL12:BL31" si="5">AL48</f>
        <v>Custom1</v>
      </c>
      <c r="BM12" s="454">
        <f t="shared" ref="BM12:BM31" si="6">AM48</f>
        <v>9.9999999999999996E-76</v>
      </c>
      <c r="BN12" s="454">
        <v>999</v>
      </c>
      <c r="BO12" s="454">
        <f t="shared" ref="BO12:BO31" si="7">AN48</f>
        <v>0</v>
      </c>
      <c r="BP12" s="924">
        <f t="shared" ref="BP12:BP31" si="8">AO48</f>
        <v>0</v>
      </c>
      <c r="BR12" s="768"/>
      <c r="BS12" s="454"/>
      <c r="BT12" s="454" t="str">
        <f t="shared" ref="BT12:BT31" si="9">AP48</f>
        <v>B</v>
      </c>
      <c r="BU12" s="924" t="str">
        <f t="shared" ref="BU12:BU31" si="10">AZ48</f>
        <v>T</v>
      </c>
      <c r="BV12" s="483" t="str">
        <f t="shared" ref="BV12:BV31" si="11">AL48</f>
        <v>Custom1</v>
      </c>
      <c r="BW12" s="910">
        <v>4</v>
      </c>
      <c r="BX12" s="924" t="str">
        <f>AQ48</f>
        <v>Single</v>
      </c>
      <c r="CG12" s="51" t="s">
        <v>8</v>
      </c>
      <c r="CH12" s="768">
        <f t="shared" ref="CH12:CH30" si="12">IF(BN12=999,0,(BO13-BO12)/(BN12-BM12))</f>
        <v>0</v>
      </c>
      <c r="CI12" s="924">
        <f t="shared" ref="CI12:CI30" si="13">IF(BN12=999,0,(BP13-BP12)/(BN12-BM12))</f>
        <v>0</v>
      </c>
      <c r="CJ12" s="759"/>
      <c r="CK12" s="188"/>
      <c r="CL12" s="979">
        <f>VLOOKUP(I12,Prodlink,2,0)</f>
        <v>0</v>
      </c>
      <c r="CN12" s="497">
        <f ca="1">VLOOKUP(CO12,Prodlink,2,0)</f>
        <v>0</v>
      </c>
      <c r="CO12" s="497">
        <f ca="1">OFFSET($CH$9,CL12-1,-15,1,1)</f>
        <v>0</v>
      </c>
      <c r="CQ12" s="51">
        <v>0</v>
      </c>
      <c r="CR12" s="51">
        <f>IF(K12=$BH$12,$BH$23,IF(K12=$BH$13,$BH$24,10000))</f>
        <v>10000</v>
      </c>
      <c r="CS12" s="51">
        <f ca="1">IF(F12&lt;OFFSET($BM$9,CL12-1,0,1,1),0,IF(F12&lt;OFFSET($BN$9,CL12-1,0,1,1),((F12-OFFSET($BM$9,CL12-1,0,1,1))*OFFSET($CH$9,CL12-1,0,1,1))+OFFSET($BO$9,CL12-1,CQ12,1,1),IF(F12&lt;OFFSET($BN$9,CL12+0,0,1,1),((F12-OFFSET($BM$9,CL12+0,0,1,1))*OFFSET($CH$9,CL12+0,0,1,1))+OFFSET($BO$9,CL12+0,CQ12,1,1),IF(F12&lt;OFFSET($BN$9,CL12+1,0,1,1),((F12-OFFSET($BM$9,CL12+1,0,1,1))*OFFSET($CH$9,CL12+1,0,1,1))+OFFSET($BO$9,CL12+1,CQ12,1,1),IF(F12&lt;OFFSET($BN$9,CL12+2,0,1,1),((F12-OFFSET($BM$9,CL12+2,0,1,1))*OFFSET($CH$9,CL12+2,0,1,1))+OFFSET($BO$9,CL12+2,CQ12,1,1),IF(F12&lt;OFFSET($BN$9,CL12+3,0,1,1),((F12-OFFSET($BM$9,CL12+3,0,1,1))*OFFSET($CH$9,CL12+3,0,1,1))+OFFSET($BO$9,CL12+3,CQ12,1,1),0))))))</f>
        <v>0</v>
      </c>
      <c r="CT12" s="51">
        <f ca="1">IF($F12&lt;OFFSET($BM$9,$CL12-1,0,1,1),0,IF($F12&lt;OFFSET($BN$9,$CL12-1,0,1,1),IF(AND($H12&gt;2.4,Z12&lt;&gt;"e",Z12&lt;&gt;"f"),CX12*2.4/$H12,CX12),IF($F12&lt;OFFSET($BN$9,$CL12+0,0,1,1),IF(AND($H12&gt;2.4,Z12&lt;&gt;"e",Z12&lt;&gt;"f"),CX12*2.4/$H12,CX12),IF($F12&lt;OFFSET($BN$9,$CL12+1,0,1,1),IF(AND($H12&gt;2.4,Z12&lt;&gt;"e",Z12&lt;&gt;"f"),CX12*2.4/$H12,CX12),IF($F12&lt;OFFSET($BN$9,CL12+2,0,1,1),IF(AND($H12&gt;2.4,Z12&lt;&gt;"e",Z12&lt;&gt;"f"),CX12*2.4/$H12,CX12),IF($F12&lt;OFFSET($BN$9,CL12+3,0,1,1),IF(AND($H12&gt;2.4,Z12&lt;&gt;"e",Z12&lt;&gt;"f"),CX12*2.4/$H12,CX12),0)))))*COS(RADIANS($G12)))</f>
        <v>0</v>
      </c>
      <c r="CU12" s="51">
        <f ca="1">IF(F12&lt;OFFSET($BM$9,CL12-1,0,1,1),0,IF(F12&lt;OFFSET($BN$9,CL12-1,0,1,1),((F12-OFFSET($BM$9,CL12-1,0,1,1))*OFFSET($CI$9,CL12-1,0,1,1))+OFFSET($BP$9,CL12-1,CQ12,1,1),IF(F12&lt;OFFSET($BN$9,CL12+0,0,1,1),((F12-OFFSET($BM$9,CL12+0,0,1,1))*OFFSET($CI$9,CL12+0,0,1,1))+OFFSET($BP$9,CL12+0,CQ12,1,1),IF(F12&lt;OFFSET($BN$9,CL12+1,0,1,1),((F12-OFFSET($BM$9,CL12+1,0,1,1))*OFFSET($CI$9,CL12+1,0,1,1))+OFFSET($BP$9,CL12+1,CQ12,1,1),IF(F12&lt;OFFSET($BN$9,CL12+2,0,1,1),((F12-OFFSET($BM$9,CL12+2,0,1,1))*OFFSET($CI$9,CL12+2,0,1,1))+OFFSET($BP$9,CL12+2,CQ12,1,1),IF(F12&lt;OFFSET($BN$9,CL12+3,0,1,1),((F12-OFFSET($BM$9,CL12+3,0,1,1))*OFFSET($CI$9,CL12+3,0,1,1))+OFFSET($BP$9,CL12+3,CQ12,1,1),0))))))</f>
        <v>0</v>
      </c>
      <c r="CV12" s="51">
        <f ca="1">IF($F12&lt;OFFSET($BM$9,$CL12-1,0,1,1),0,IF($F12&lt;OFFSET($BN$9,$CL12-1,0,1,1),IF(AND($H12&gt;2.4,Z12&lt;&gt;"e",Z12&lt;&gt;"f"),CZ12*2.4/$H12,CZ12),IF($F12&lt;OFFSET($BN$9,$CL12+0,0,1,1),IF(AND($H12&gt;2.4,Z12&lt;&gt;"e",Z12&lt;&gt;"f"),CZ12*2.4/$H12,CZ12),IF($F12&lt;OFFSET($BN$9,$CL12+1,0,1,1),IF(AND($H12&gt;2.4,Z12&lt;&gt;"e",Z12&lt;&gt;"f"),CZ12*2.4/$H12,CZ12),IF($F12&lt;OFFSET($BN$9,$CL12+2,0,1,1),IF(AND($H12&gt;2.4,Z12&lt;&gt;"e",Z12&lt;&gt;"f"),CZ12*2.4/$H12,CZ12),IF($F12&lt;OFFSET($BN$9,$CL12+3,0,1,1),IF(AND($H12&gt;2.4,Z12&lt;&gt;"e",Z12&lt;&gt;"f"),CZ12*2.4/$H12,CZ12),0)))))*COS(RADIANS($G12)))</f>
        <v>0</v>
      </c>
      <c r="CW12" s="51">
        <f ca="1">IF(CT12&gt;CR12,CR12,CT12)</f>
        <v>0</v>
      </c>
      <c r="CX12" s="51">
        <f ca="1">IF(CS12&gt;$CR12,$CR12,CS12)</f>
        <v>0</v>
      </c>
      <c r="CY12" s="51">
        <f ca="1">CW12*F12</f>
        <v>0</v>
      </c>
      <c r="CZ12" s="51">
        <f ca="1">IF($CU12&gt;$CR12,$CR12,$CU12)</f>
        <v>0</v>
      </c>
      <c r="DA12" s="51">
        <f ca="1">IF(CV12&gt;CR12,CR12,CV12)</f>
        <v>0</v>
      </c>
      <c r="DB12" s="984">
        <f ca="1">DA12*F12</f>
        <v>0</v>
      </c>
      <c r="DC12" s="993">
        <v>1</v>
      </c>
      <c r="DD12" s="758" t="str">
        <f>IF(OR(D12=BG$12,D12=BG$13),"External",IF(D12=BG$14,"Internal"," "))</f>
        <v xml:space="preserve"> </v>
      </c>
      <c r="DE12" s="51" t="str">
        <f t="shared" ca="1" si="1"/>
        <v/>
      </c>
      <c r="DF12" s="52" t="str">
        <f t="shared" ca="1" si="2"/>
        <v xml:space="preserve"> </v>
      </c>
      <c r="DG12" s="51">
        <f ca="1">IF(F12&lt;OFFSET($BM$9,CN12-1,0,1,1),0,IF(F12&lt;OFFSET($BN$9,CN12-1,0,1,1),((F12-OFFSET($BM$9,CN12-1,0,1,1))*OFFSET($CH$9,CN12-1,0,1,1))+OFFSET($BO$9,CN12-1,CQ12,1,1),IF(F12&lt;OFFSET($BN$9,CN12+0,0,1,1),((F12-OFFSET($BM$9,CN12+0,0,1,1))*OFFSET($CH$9,CN12+0,0,1,1))+OFFSET($BO$9,CN12+0,CQ12,1,1),IF(F12&lt;OFFSET($BN$9,CN12+1,0,1,1),((F12-OFFSET($BM$9,CN12+1,0,1,1))*OFFSET($CH$9,CN12+1,0,1,1))+OFFSET($BO$9,CN12+1,CQ12,1,1),IF(F12&lt;OFFSET($BN$9,CN12+2,0,1,1),((F12-OFFSET($BM$9,CN12+2,0,1,1))*OFFSET($CH$9,CN12+2,0,1,1))+OFFSET($BO$9,CN12+2,CQ12,1,1),IF(F12&lt;OFFSET($BN$9,CN12+3,0,1,1),((F12-OFFSET($BM$9,CN12+3,0,1,1))*OFFSET($CH$9,CN12+3,0,1,1))+OFFSET($BO$9,CN12+3,CQ12,1,1),0))))))</f>
        <v>0</v>
      </c>
      <c r="DH12" s="51">
        <f ca="1">IF($F12&lt;OFFSET($BM$9,$CN12-1,0,1,1),0,IF($F12&lt;OFFSET($BN$9,$CN12-1,0,1,1),IF(AND($H12&gt;2.4,Z12&lt;&gt;"e",Z12&lt;&gt;"f"),DL12*2.4/$H12,DL12),IF($F12&lt;OFFSET($BN$9,$CN12+0,0,1,1),IF(AND($H12&gt;2.4,Z12&lt;&gt;"e",Z12&lt;&gt;"f"),DL12*2.4/$H12,DL12),IF($F12&lt;OFFSET($BN$9,$CN12+1,0,1,1),IF(AND($H12&gt;2.4,Z12&lt;&gt;"e",Z12&lt;&gt;"f"),DL12*2.4/$H12,DL12),IF($F12&lt;OFFSET($BN$9,$CN12+2,0,1,1),IF(AND($H12&gt;2.4,Z12&lt;&gt;"e",Z12&lt;&gt;"f"),DL12*2.4/$H12,DL12),IF($F12&lt;OFFSET($BN$9,$CN12+3,0,1,1),IF(AND($H12&gt;2.4,Z12&lt;&gt;"e",Z12&lt;&gt;"f"),DL12*2.4/$H12,DL12),0)))))*COS(RADIANS($G12)))</f>
        <v>0</v>
      </c>
      <c r="DI12" s="51">
        <f ca="1">IF(F12&lt;OFFSET($BM$9,CN12-1,0,1,1),0,IF(F12&lt;OFFSET($BN$9,CN12-1,0,1,1),((F12-OFFSET($BM$9,CN12-1,0,1,1))*OFFSET($CI$9,CN12-1,0,1,1))+OFFSET($BP$9,CN12-1,CQ12,1,1),IF(F12&lt;OFFSET($BN$9,CN12+0,0,1,1),((F12-OFFSET($BM$9,CN12+0,0,1,1))*OFFSET($CI$9,CN12+0,0,1,1))+OFFSET($BP$9,CN12+0,CQ12,1,1),IF(F12&lt;OFFSET($BN$9,CN12+1,0,1,1),((F12-OFFSET($BM$9,CN12+1,0,1,1))*OFFSET($CI$9,CN12+1,0,1,1))+OFFSET($BP$9,CN12+1,CQ12,1,1),IF(F12&lt;OFFSET($BN$9,CN12+2,0,1,1),((F12-OFFSET($BM$9,CN12+2,0,1,1))*OFFSET($CI$9,CN12+2,0,1,1))+OFFSET($BP$9,CN12+2,CQ12,1,1),IF(F12&lt;OFFSET($BN$9,CN12+3,0,1,1),((F12-OFFSET($BM$9,CN12+3,0,1,1))*OFFSET($CI$9,CN12+3,0,1,1))+OFFSET($BP$9,CN12+3,CQ12,1,1),0))))))</f>
        <v>0</v>
      </c>
      <c r="DJ12" s="51">
        <f ca="1">IF($F12&lt;OFFSET($BM$9,$CN12-1,0,1,1),0,IF($F12&lt;OFFSET($BN$9,$CN12-1,0,1,1),IF(AND($H12&gt;2.4,Z12&lt;&gt;"e",Z12&lt;&gt;"f"),DN12*2.4/$H12,DN12),IF($F12&lt;OFFSET($BN$9,$CN12+0,0,1,1),IF(AND($H12&gt;2.4,Z12&lt;&gt;"e",Z12&lt;&gt;"f"),DN12*2.4/$H12,DN12),IF($F12&lt;OFFSET($BN$9,$CN12+1,0,1,1),IF(AND($H12&gt;2.4,Z12&lt;&gt;"e",Z12&lt;&gt;"f"),DN12*2.4/$H12,DN12),IF($F12&lt;OFFSET($BN$9,$CN12+2,0,1,1),IF(AND($H12&gt;2.4,Z12&lt;&gt;"e",Z12&lt;&gt;"f"),DN12*2.4/$H12,DN12),IF($F12&lt;OFFSET($BN$9,$CN12+3,0,1,1),IF(AND($H12&gt;2.4,Z12&lt;&gt;"e",Z12&lt;&gt;"f"),DN12*2.4/$H12,DN12),0)))))*COS(RADIANS($G12)))</f>
        <v>0</v>
      </c>
      <c r="DK12" s="51"/>
      <c r="DL12" s="51">
        <f ca="1">IF(DG12&gt;$CR12,$CR12,DG12)</f>
        <v>0</v>
      </c>
      <c r="DM12" s="51"/>
      <c r="DN12" s="51">
        <f ca="1">IF(DI12&gt;$CR12,$CR12,DI12)</f>
        <v>0</v>
      </c>
      <c r="DO12" s="435">
        <f ca="1">IF(DH12&gt;$CR12,$CR12,DH12)</f>
        <v>0</v>
      </c>
      <c r="DP12" s="435">
        <f ca="1">DO12*F12</f>
        <v>0</v>
      </c>
      <c r="DQ12" s="436">
        <f ca="1">IF(DJ12&gt;$CR12,$CR12,DJ12)</f>
        <v>0</v>
      </c>
      <c r="DR12" s="437">
        <f ca="1">DQ12*F12</f>
        <v>0</v>
      </c>
      <c r="DS12" s="426">
        <f ca="1">OFFSET($CH$9,CL12-1,-15,1,1)</f>
        <v>0</v>
      </c>
      <c r="DT12" s="451">
        <f ca="1">VLOOKUP(DS12,Prodlink,2,0)</f>
        <v>0</v>
      </c>
      <c r="DU12" s="188">
        <f ca="1">IF(F12&lt;OFFSET($BM$9,DT12-1,0,1,1),0,IF(F12&lt;OFFSET($BN$9,DT12-1,0,1,1),((F12-OFFSET($BM$9,DT12-1,0,1,1))*OFFSET($CH$9,DT12-1,0,1,1))+OFFSET($BO$9,DT12-1,CQ12,1,1),IF(F12&lt;OFFSET($BN$9,DT12+0,0,1,1),((F12-OFFSET($BM$9,DT12+0,0,1,1))*OFFSET($CH$9,DT12+0,0,1,1))+OFFSET($BO$9,DT12+0,CQ12,1,1),IF(F12&lt;OFFSET($BN$9,DT12+1,0,1,1),((F12-OFFSET($BM$9,DT12+1,0,1,1))*OFFSET($CH$9,DT12+1,0,1,1))+OFFSET($BO$9,DT12+1,CQ12,1,1),IF(F12&lt;OFFSET($BN$9,DT12+2,0,1,1),((F12-OFFSET($BM$9,DT12+2,0,1,1))*OFFSET($CH$9,DT12+2,0,1,1))+OFFSET($BO$9,DT12+2,CQ12,1,1),IF(F12&lt;OFFSET($BN$9,DT12+3,0,1,1),((F12-OFFSET($BM$9,DT12+3,0,1,1))*OFFSET($CH$9,DT12+3,0,1,1))+OFFSET($BO$9,DT12+3,CQ12,1,1),0))))))</f>
        <v>0</v>
      </c>
      <c r="DV12" s="51">
        <f ca="1">IF($F12&lt;OFFSET($BM$9,$DT12-1,0,1,1),0,IF($F12&lt;OFFSET($BN$9,$DT12-1,0,1,1),IF(AND($H12&gt;2.4,Z12&lt;&gt;"e",Z12&lt;&gt;"f"),DZ12*2.4/$H12,DZ12),IF($F12&lt;OFFSET($BN$9,$DT12+0,0,1,1),IF(AND($H12&gt;2.4,Z12&lt;&gt;"e",Z12&lt;&gt;"f"),DZ12*2.4/$H12,DZ12),IF($F12&lt;OFFSET($BN$9,$DT12+1,0,1,1),IF(AND($H12&gt;2.4,Z12&lt;&gt;"e",Z12&lt;&gt;"f"),DZ12*2.4/$H12,DZ12),IF($F12&lt;OFFSET($BN$9,$DT12+2,0,1,1),IF(AND($H12&gt;2.4,Z12&lt;&gt;"e",Z12&lt;&gt;"f"),DZ12*2.4/$H12,DZ12),IF($F12&lt;OFFSET($BN$9,$DT12+3,0,1,1),IF(AND($H12&gt;2.4,Z12&lt;&gt;"e",Z12&lt;&gt;"f"),DZ12*2.4/$H12,DZ12),0)))))*COS(RADIANS($G12)))</f>
        <v>0</v>
      </c>
      <c r="DW12" s="188">
        <f ca="1">IF(F12&lt;OFFSET($BM$9,DT12-1,0,1,1),0,IF(F12&lt;OFFSET($BN$9,DT12-1,0,1,1),((F12-OFFSET($BM$9,DT12-1,0,1,1))*OFFSET($CI$9,DT12-1,0,1,1))+OFFSET($BP$9,DT12-1,CQ12,1,1),IF(F12&lt;OFFSET($BN$9,DT12+0,0,1,1),((F12-OFFSET($BM$9,DT12+0,0,1,1))*OFFSET($CI$9,DT12+0,0,1,1))+OFFSET($BP$9,DT12+0,CQ12,1,1),IF(F12&lt;OFFSET($BN$9,DT12+1,0,1,1),((F12-OFFSET($BM$9,DT12+1,0,1,1))*OFFSET($CI$9,DT12+1,0,1,1))+OFFSET($BP$9,DT12+1,CQ12,1,1),IF(F12&lt;OFFSET($BN$9,DT12+2,0,1,1),((F12-OFFSET($BM$9,DT12+2,0,1,1))*OFFSET($CI$9,DT12+2,0,1,1))+OFFSET($BP$9,DT12+2,CQ12,1,1),IF(F12&lt;OFFSET($BN$9,DT12+3,0,1,1),((F12-OFFSET($BM$9,DT12+3,0,1,1))*OFFSET($CI$9,DT12+3,0,1,1))+OFFSET($BP$9,DT12+3,CQ12,1,1),0))))))</f>
        <v>0</v>
      </c>
      <c r="DX12" s="51">
        <f ca="1">IF($F12&lt;OFFSET($BM$9,$DT12-1,0,1,1),0,IF($F12&lt;OFFSET($BN$9,$DT12-1,0,1,1),IF(AND($H12&gt;2.4,Z12&lt;&gt;"e",Z12&lt;&gt;"f"),EB12*2.4/$H12,EB12),IF($F12&lt;OFFSET($BN$9,$DT12+0,0,1,1),IF(AND($H12&gt;2.4,Z12&lt;&gt;"e",Z12&lt;&gt;"f"),EB12*2.4/$H12,EB12),IF($F12&lt;OFFSET($BN$9,$DT12+1,0,1,1),IF(AND($H12&gt;2.4,Z12&lt;&gt;"e",Z12&lt;&gt;"f"),EB12*2.4/$H12,EB12),IF($F12&lt;OFFSET($BN$9,$DT12+2,0,1,1),IF(AND($H12&gt;2.4,Z12&lt;&gt;"e",Z12&lt;&gt;"f"),EB12*2.4/$H12,EB12),IF($F12&lt;OFFSET($BN$9,$DT12+3,0,1,1),IF(AND($H12&gt;2.4,Z12&lt;&gt;"e",Z12&lt;&gt;"f"),EB12*2.4/$H12,EB12),0)))))*COS(RADIANS($G12)))</f>
        <v>0</v>
      </c>
      <c r="DY12" s="188"/>
      <c r="DZ12" s="188">
        <f ca="1">IF(DU12&gt;$CR12,$CR12,DU12)</f>
        <v>0</v>
      </c>
      <c r="EA12" s="188"/>
      <c r="EB12" s="188">
        <f ca="1">IF(DW12&gt;$CR12,$CR12,DW12)</f>
        <v>0</v>
      </c>
      <c r="EC12" s="435">
        <f ca="1">IF(DV12&gt;$CR12,$CR12,DV12)</f>
        <v>0</v>
      </c>
      <c r="ED12" s="435">
        <f ca="1">EC12*F12</f>
        <v>0</v>
      </c>
      <c r="EE12" s="436">
        <f ca="1">IF(DX12&gt;$CR12,$CR12,DX12)</f>
        <v>0</v>
      </c>
      <c r="EF12" s="437">
        <f ca="1">EE12*F12</f>
        <v>0</v>
      </c>
      <c r="EG12" s="613" t="str">
        <f>IF(D12=BG$12,BG$12,"")</f>
        <v/>
      </c>
      <c r="EH12" s="614" t="str">
        <f>IF(D12=BG$13,BG$13,"")</f>
        <v/>
      </c>
      <c r="EI12" s="611">
        <f>IF(EG12=BG$12,M12,0)</f>
        <v>0</v>
      </c>
      <c r="EJ12" s="451">
        <f>IF(EG12=BG$12,O12,0)</f>
        <v>0</v>
      </c>
      <c r="EK12" s="451">
        <f>IF(EH12=BG$13,M12,0)</f>
        <v>0</v>
      </c>
      <c r="EL12" s="612">
        <f>IF(EH12=BG$13,O12,0)</f>
        <v>0</v>
      </c>
      <c r="EM12" s="426" t="str">
        <f ca="1">IF(AND(Z12&lt;&gt;"t",Z12&lt;&gt;"f"),"",IF(AND(EN12=$BH$13,K12=$BH$12),"NotOpt",IF(K12&lt;&gt;EN12,"Error","")))</f>
        <v/>
      </c>
      <c r="EN12" s="491" t="str">
        <f>IF(AND($BH$28=1,$BG$28=1),$BH$13,$BH$12)</f>
        <v>120 BU's</v>
      </c>
      <c r="EO12" s="426" t="str">
        <f>K12</f>
        <v xml:space="preserve"> </v>
      </c>
      <c r="EP12" s="497">
        <v>1</v>
      </c>
      <c r="EQ12" s="430" t="str">
        <f ca="1">IF(EP12=1," ",OFFSET(BF$15,EP12-2,0,1,1))</f>
        <v xml:space="preserve"> </v>
      </c>
      <c r="ER12" s="439" t="str">
        <f ca="1">IF(H12=0," ",H12)</f>
        <v xml:space="preserve"> </v>
      </c>
      <c r="ES12" s="440" t="str">
        <f ca="1">IF(ER12&lt;&gt;" ",IF(ER12&lt;&gt;ER$7,"Changed",""),"")</f>
        <v/>
      </c>
      <c r="ET12" s="440">
        <f ca="1">IF(ER12&lt;&gt;" ",IF(ER12&lt;&gt;ER$7,1,0),0)</f>
        <v>0</v>
      </c>
      <c r="EU12" s="957" t="str">
        <f ca="1">IF(I12=" "," ",IF(F12&lt;OFFSET($BM$9,CL12-1,0,1,1),1,""))</f>
        <v xml:space="preserve"> </v>
      </c>
      <c r="EW12" s="427"/>
    </row>
    <row r="13" spans="1:153" ht="17.100000000000001" customHeight="1" thickBot="1">
      <c r="B13" s="2686" t="s">
        <v>8</v>
      </c>
      <c r="C13" s="2687"/>
      <c r="D13" s="1461"/>
      <c r="E13" s="659"/>
      <c r="F13" s="659"/>
      <c r="G13" s="659"/>
      <c r="H13" s="659"/>
      <c r="I13" s="1462"/>
      <c r="J13" s="1365" t="str">
        <f>(CONCATENATE(B8,$BE$54))</f>
        <v>A  Line:  Min. Requirement=</v>
      </c>
      <c r="K13" s="865"/>
      <c r="L13" s="1019">
        <f ca="1">L$5</f>
        <v>0</v>
      </c>
      <c r="M13" s="48">
        <f ca="1">SUM(M8:M12)</f>
        <v>0</v>
      </c>
      <c r="N13" s="1019">
        <f ca="1">N$5</f>
        <v>0</v>
      </c>
      <c r="O13" s="866">
        <f ca="1">SUM(O8:O12)</f>
        <v>0</v>
      </c>
      <c r="P13" s="139"/>
      <c r="Q13" s="42" t="str">
        <f ca="1">IF(B8=B14,"",IF(AND(M13&gt;0,L13=L$5,OR(M13&lt;$M$105,M13&lt;$BF$3)),"Achieved &lt; Min Req per Line",IF(AND(O13&gt;0,N13=N$5,OR(O13&lt;$O$105,O13&lt;$BF$3)),"Achieved &lt; Min Req per Line",IF(AND(M13&gt;0,L13&gt;M13),"More Required on this line",IF(AND(O13&gt;0,N13&gt;O13),"More Required on this line",IF(AND(L13&gt;0,L13&lt;$BF$3),$BE$59,IF(AND(N13&gt;0,N13&lt;$BF$3),$BE$59,"")))))))</f>
        <v/>
      </c>
      <c r="R13" s="52"/>
      <c r="S13" s="52"/>
      <c r="T13" s="52"/>
      <c r="U13" s="1378"/>
      <c r="V13" s="52"/>
      <c r="W13" s="9"/>
      <c r="X13" s="9"/>
      <c r="Y13" s="896"/>
      <c r="Z13" s="52"/>
      <c r="AA13" s="51"/>
      <c r="AB13" s="1364"/>
      <c r="AC13" s="1"/>
      <c r="AJ13" s="2230"/>
      <c r="AK13" s="2793" t="str">
        <f>'Regular and QuickBrace Systems'!D25</f>
        <v xml:space="preserve"> Internal or External</v>
      </c>
      <c r="AL13" s="1817" t="str">
        <f>'Regular and QuickBrace Systems'!E25</f>
        <v>ER1</v>
      </c>
      <c r="AM13" s="1175">
        <f>'Regular and QuickBrace Systems'!F25</f>
        <v>0.4</v>
      </c>
      <c r="AN13" s="1270">
        <f>'Regular and QuickBrace Systems'!G25</f>
        <v>40</v>
      </c>
      <c r="AO13" s="1271">
        <f>'Regular and QuickBrace Systems'!H25</f>
        <v>30</v>
      </c>
      <c r="AP13" s="1271"/>
      <c r="AQ13" s="2659" t="str">
        <f>'Regular and QuickBrace Systems'!I25</f>
        <v>Regular Fixing</v>
      </c>
      <c r="AR13" s="2660"/>
      <c r="AS13" s="1335" t="str">
        <f>'Regular and QuickBrace Systems'!K25</f>
        <v>No</v>
      </c>
      <c r="AT13" s="1339"/>
      <c r="AU13" s="1331" t="str">
        <f>'Regular and QuickBrace Systems'!M10</f>
        <v>Any Elephant Plasterboard on One side</v>
      </c>
      <c r="AW13" s="1583" t="str">
        <f>'Regular and QuickBrace Systems'!O10</f>
        <v>Yes</v>
      </c>
      <c r="AX13" s="1572" t="str">
        <f>'Regular and QuickBrace Systems'!Q10</f>
        <v>No</v>
      </c>
      <c r="BD13" s="2667"/>
      <c r="BE13" s="51"/>
      <c r="BF13" s="598" t="str">
        <f>Table!AI77</f>
        <v>ER2</v>
      </c>
      <c r="BG13" s="1026" t="str">
        <f>IF('Project Demand'!AX21=1,BG33,BG36)</f>
        <v>Bot. External</v>
      </c>
      <c r="BH13" s="709" t="str">
        <f>IF($BE$3=1,BH20,BG20)</f>
        <v>150 BU's</v>
      </c>
      <c r="BI13" s="759"/>
      <c r="BJ13" s="897">
        <f>BJ12+1</f>
        <v>5</v>
      </c>
      <c r="BK13" s="769" t="str">
        <f t="shared" si="4"/>
        <v xml:space="preserve">  </v>
      </c>
      <c r="BL13" s="771" t="str">
        <f t="shared" si="5"/>
        <v>Custom2</v>
      </c>
      <c r="BM13" s="455">
        <f t="shared" si="6"/>
        <v>9.9999999999999996E-76</v>
      </c>
      <c r="BN13" s="455">
        <v>999</v>
      </c>
      <c r="BO13" s="455">
        <f t="shared" si="7"/>
        <v>0</v>
      </c>
      <c r="BP13" s="925">
        <f t="shared" si="8"/>
        <v>0</v>
      </c>
      <c r="BR13" s="764"/>
      <c r="BS13" s="455"/>
      <c r="BT13" s="455" t="str">
        <f t="shared" si="9"/>
        <v>B</v>
      </c>
      <c r="BU13" s="925" t="str">
        <f t="shared" si="10"/>
        <v>T</v>
      </c>
      <c r="BV13" s="483" t="str">
        <f t="shared" si="11"/>
        <v>Custom2</v>
      </c>
      <c r="BW13" s="910">
        <f>BW12+1</f>
        <v>5</v>
      </c>
      <c r="BX13" s="925" t="str">
        <f t="shared" ref="BX13:BX31" si="14">AQ49</f>
        <v>Single</v>
      </c>
      <c r="CG13" s="51" t="s">
        <v>8</v>
      </c>
      <c r="CH13" s="764">
        <f t="shared" si="12"/>
        <v>0</v>
      </c>
      <c r="CI13" s="925">
        <f t="shared" si="13"/>
        <v>0</v>
      </c>
      <c r="CJ13" s="759"/>
      <c r="CK13" s="188"/>
      <c r="CL13" s="979"/>
      <c r="CN13" s="497"/>
      <c r="CO13" s="497" t="s">
        <v>8</v>
      </c>
      <c r="CQ13" s="51" t="s">
        <v>8</v>
      </c>
      <c r="CR13" s="51" t="s">
        <v>8</v>
      </c>
      <c r="CS13" s="51" t="s">
        <v>8</v>
      </c>
      <c r="CT13" s="51" t="s">
        <v>8</v>
      </c>
      <c r="CU13" s="51" t="s">
        <v>8</v>
      </c>
      <c r="CV13" s="51" t="s">
        <v>8</v>
      </c>
      <c r="CW13" s="51" t="s">
        <v>8</v>
      </c>
      <c r="CX13" s="51" t="s">
        <v>8</v>
      </c>
      <c r="CY13" s="51" t="s">
        <v>8</v>
      </c>
      <c r="CZ13" s="51" t="s">
        <v>8</v>
      </c>
      <c r="DA13" s="51" t="s">
        <v>8</v>
      </c>
      <c r="DB13" s="984" t="s">
        <v>8</v>
      </c>
      <c r="DD13" s="758"/>
      <c r="DF13" s="52"/>
      <c r="DG13" s="51"/>
      <c r="DH13" s="51"/>
      <c r="DI13" s="51"/>
      <c r="DJ13" s="51"/>
      <c r="DK13" s="51"/>
      <c r="DL13" s="51" t="s">
        <v>8</v>
      </c>
      <c r="DM13" s="51"/>
      <c r="DN13" s="51" t="s">
        <v>8</v>
      </c>
      <c r="DO13" s="435" t="s">
        <v>8</v>
      </c>
      <c r="DP13" s="435" t="s">
        <v>8</v>
      </c>
      <c r="DQ13" s="868" t="s">
        <v>8</v>
      </c>
      <c r="DR13" s="868" t="s">
        <v>8</v>
      </c>
      <c r="DS13" s="426" t="s">
        <v>8</v>
      </c>
      <c r="DT13" s="451" t="s">
        <v>8</v>
      </c>
      <c r="DU13" s="188" t="s">
        <v>8</v>
      </c>
      <c r="DV13" s="188" t="s">
        <v>8</v>
      </c>
      <c r="DW13" s="188" t="s">
        <v>8</v>
      </c>
      <c r="DX13" s="188" t="s">
        <v>8</v>
      </c>
      <c r="DY13" s="188"/>
      <c r="DZ13" s="188" t="s">
        <v>8</v>
      </c>
      <c r="EA13" s="188"/>
      <c r="EB13" s="188" t="s">
        <v>8</v>
      </c>
      <c r="EC13" s="435" t="s">
        <v>8</v>
      </c>
      <c r="ED13" s="435" t="s">
        <v>8</v>
      </c>
      <c r="EE13" s="868" t="s">
        <v>8</v>
      </c>
      <c r="EF13" s="867" t="s">
        <v>8</v>
      </c>
      <c r="EG13" s="613"/>
      <c r="EH13" s="614"/>
      <c r="EI13" s="613"/>
      <c r="EJ13" s="435"/>
      <c r="EK13" s="451"/>
      <c r="EL13" s="612"/>
      <c r="EN13" s="947"/>
      <c r="ER13" s="441"/>
      <c r="ES13" s="440"/>
      <c r="ET13" s="440"/>
      <c r="EU13" s="957"/>
      <c r="EW13" s="427"/>
    </row>
    <row r="14" spans="1:153" ht="17.100000000000001" customHeight="1" thickBot="1">
      <c r="B14" s="1369" t="str">
        <f ca="1">S14</f>
        <v>B</v>
      </c>
      <c r="C14" s="1375" t="str">
        <f>IF(OR(F14=0,I14="",I14=" ")," ",$V14)</f>
        <v xml:space="preserve"> </v>
      </c>
      <c r="D14" s="1033" t="s">
        <v>8</v>
      </c>
      <c r="E14" s="1360"/>
      <c r="F14" s="201"/>
      <c r="G14" s="1416"/>
      <c r="H14" s="199" t="str">
        <f ca="1">IF(OR(F14=0,Z14="E",Z14="f")," ",'Project Demand'!E$35)</f>
        <v xml:space="preserve"> </v>
      </c>
      <c r="I14" s="631" t="str">
        <f>IF($I$6&lt;&gt;$BG$8," ",AB14)</f>
        <v xml:space="preserve"> </v>
      </c>
      <c r="J14" s="43" t="str">
        <f ca="1">IF(OR(I14=" ",I14="")," ",OFFSET($BO$9,CL14-1,0-4,1,1))</f>
        <v xml:space="preserve"> </v>
      </c>
      <c r="K14" s="55" t="str">
        <f>IF(OR(I14=" ",I14="")," ",IF(OR(Z14="e",Z14="h"),"SD",BG$24))</f>
        <v xml:space="preserve"> </v>
      </c>
      <c r="L14" s="49">
        <f ca="1">CW14</f>
        <v>0</v>
      </c>
      <c r="M14" s="49">
        <f ca="1">CY14</f>
        <v>0</v>
      </c>
      <c r="N14" s="50">
        <f t="shared" ref="N14:O18" ca="1" si="15">DA14</f>
        <v>0</v>
      </c>
      <c r="O14" s="126">
        <f t="shared" ca="1" si="15"/>
        <v>0</v>
      </c>
      <c r="P14" s="140"/>
      <c r="Q14" s="752" t="str">
        <f ca="1">IF(AND(OR(Z14="t",Z14="f"),K14=$BH$11),"No Floor!  Change Floor Type",IF(OR(I14=" ",I14="")," ",IF(F14&lt;OFFSET($BM$9,CL14-1,0,1,1),"check L(m)",DE14&amp;IF(AND(DP14&gt;=CY14,DR14&gt;=DB14),IF(AND(ED14&gt;=DP14,EF14&gt;=DR14),CONCATENATE(DS14," will provide same result"),CONCATENATE(CO14," will provide same result")),IF((DP14&gt;=CY14),CONCATENATE(CO14," provides same result in WIND"),IF((DR14&gt;=DB14),CONCATENATE(CO14," provides same result in EQ"),""))))))&amp;IF(ISERROR(FIND("pile",I14,1)),"",IF(INT(F14)&lt;&gt;F14,"Pile!  Use Whole Numbers Only",""))</f>
        <v xml:space="preserve"> </v>
      </c>
      <c r="R14" s="52">
        <f ca="1">IF(T8&lt;&gt;2,(COLUMN(INDIRECT(B8&amp;1))+1),U14)</f>
        <v>2</v>
      </c>
      <c r="S14" s="1372" t="str">
        <f ca="1">SUBSTITUTE(ADDRESS(1,R14,4),"1","")</f>
        <v>B</v>
      </c>
      <c r="T14" s="451">
        <f ca="1">IF(AND(ISTEXT(B14),SUBSTITUTE(SUBSTITUTE(SUBSTITUTE(SUBSTITUTE(SUBSTITUTE(SUBSTITUTE(SUBSTITUTE(SUBSTITUTE(SUBSTITUTE(SUBSTITUTE(SUBSTITUTE(SUBSTITUTE(SUBSTITUTE(SUBSTITUTE(SUBSTITUTE(SUBSTITUTE(SUBSTITUTE(SUBSTITUTE(SUBSTITUTE(SUBSTITUTE(SUBSTITUTE(SUBSTITUTE(SUBSTITUTE(SUBSTITUTE(SUBSTITUTE(SUBSTITUTE(LOWER(B14),"a",),"b",),"c",),"d",),"e",),"f",),"g",),"h",),"i",),"j",),"k",),"l",),"m",),"n",),"o",),"p",),"q",),"r",),"s",),"t",),"u",),"v",),"w",),"x",),"y",),"z",)=""),1,2)</f>
        <v>1</v>
      </c>
      <c r="U14" s="1377">
        <v>2</v>
      </c>
      <c r="V14" s="52" t="str">
        <f ca="1">IF(AND(B$5=$BF$9,OR(I14=BH$16,I14=BH$17))," ",IF(ISNUMBER(B$14),(CONCATENATE(B$14,".",W14)),(CONCATENATE(B$14,W14))))</f>
        <v>B0</v>
      </c>
      <c r="W14" s="9">
        <f ca="1">IF(B8=B14,W12+X14,X14)</f>
        <v>0</v>
      </c>
      <c r="X14" s="9">
        <f>IF(AND(B$5=$BF$9,OR($I14=$BH$16,$I14=$BH$17,$I14=" ",$I14="",$F14=0)),0,IF(OR($I14=" ",$I14="",$F14=0),0,1))</f>
        <v>0</v>
      </c>
      <c r="Y14" s="896">
        <f ca="1">IF(AND(M19&gt;0,B14&lt;&gt;B20),1,0)</f>
        <v>0</v>
      </c>
      <c r="Z14" s="52" t="str">
        <f ca="1">IF(I14=" "," ",OFFSET($BM$9,$CL14-1,8,1,1))</f>
        <v xml:space="preserve"> </v>
      </c>
      <c r="AA14" s="51" t="str">
        <f>IF(G14&gt;=45,"WA","")</f>
        <v/>
      </c>
      <c r="AB14" s="1364" t="str">
        <f>IF(F14&lt;&gt;"",IF(OR(D14=$BG$12,D14=$BG$13),IF(E14&lt;&gt;$BG$17,$BF$12,$BF$13),IF(E14&lt;&gt;$BG$17,$BF$12,$BF$13))," ")</f>
        <v xml:space="preserve"> </v>
      </c>
      <c r="AC14" s="1"/>
      <c r="AJ14" s="2230"/>
      <c r="AK14" s="2793"/>
      <c r="AL14" s="2783" t="str">
        <f>'Regular and QuickBrace Systems'!E28</f>
        <v>ES-N</v>
      </c>
      <c r="AM14" s="1176">
        <f>'Regular and QuickBrace Systems'!F28</f>
        <v>0.4</v>
      </c>
      <c r="AN14" s="1272">
        <f>'Regular and QuickBrace Systems'!G28</f>
        <v>66</v>
      </c>
      <c r="AO14" s="1273">
        <f>'Regular and QuickBrace Systems'!H28</f>
        <v>61</v>
      </c>
      <c r="AP14" s="1594"/>
      <c r="AQ14" s="2661" t="str">
        <f>'Regular and QuickBrace Systems'!I28</f>
        <v>Specialised QuickBrace Pattern</v>
      </c>
      <c r="AR14" s="2662"/>
      <c r="AS14" s="2030" t="str">
        <f>'Regular and QuickBrace Systems'!K28</f>
        <v>No</v>
      </c>
      <c r="AT14" s="1339"/>
      <c r="AU14" s="2131" t="str">
        <f>'Regular and QuickBrace Systems'!M28</f>
        <v xml:space="preserve">Elephant Standard-Plus board One side </v>
      </c>
      <c r="AW14" s="1567" t="str">
        <f>'Regular and QuickBrace Systems'!O28</f>
        <v>Yes</v>
      </c>
      <c r="AX14" s="1573" t="str">
        <f>'Regular and QuickBrace Systems'!Q28</f>
        <v>No</v>
      </c>
      <c r="BD14" s="2667"/>
      <c r="BE14" s="51"/>
      <c r="BF14" s="430" t="s">
        <v>8</v>
      </c>
      <c r="BG14" s="949" t="s">
        <v>318</v>
      </c>
      <c r="BH14" s="600" t="s">
        <v>189</v>
      </c>
      <c r="BI14" s="759"/>
      <c r="BJ14" s="897">
        <f t="shared" si="3"/>
        <v>6</v>
      </c>
      <c r="BK14" s="769" t="str">
        <f t="shared" si="4"/>
        <v xml:space="preserve">  </v>
      </c>
      <c r="BL14" s="771" t="str">
        <f t="shared" si="5"/>
        <v>Custom3</v>
      </c>
      <c r="BM14" s="455">
        <f t="shared" si="6"/>
        <v>9.9999999999999996E-76</v>
      </c>
      <c r="BN14" s="455">
        <v>999</v>
      </c>
      <c r="BO14" s="455">
        <f t="shared" si="7"/>
        <v>0</v>
      </c>
      <c r="BP14" s="925">
        <f t="shared" si="8"/>
        <v>0</v>
      </c>
      <c r="BR14" s="764"/>
      <c r="BS14" s="455"/>
      <c r="BT14" s="455" t="str">
        <f t="shared" si="9"/>
        <v>B</v>
      </c>
      <c r="BU14" s="925" t="str">
        <f t="shared" si="10"/>
        <v>T</v>
      </c>
      <c r="BV14" s="483" t="str">
        <f t="shared" si="11"/>
        <v>Custom3</v>
      </c>
      <c r="BW14" s="910">
        <f t="shared" ref="BW14:BW31" si="16">BW13+1</f>
        <v>6</v>
      </c>
      <c r="BX14" s="925" t="str">
        <f t="shared" si="14"/>
        <v>Single</v>
      </c>
      <c r="CG14" s="51" t="s">
        <v>8</v>
      </c>
      <c r="CH14" s="764">
        <f t="shared" si="12"/>
        <v>0</v>
      </c>
      <c r="CI14" s="925">
        <f t="shared" si="13"/>
        <v>0</v>
      </c>
      <c r="CJ14" s="759"/>
      <c r="CK14" s="188"/>
      <c r="CL14" s="979">
        <f>VLOOKUP(I14,Prodlink,2,0)</f>
        <v>0</v>
      </c>
      <c r="CN14" s="497">
        <f ca="1">VLOOKUP(CO14,Prodlink,2,0)</f>
        <v>0</v>
      </c>
      <c r="CO14" s="497">
        <f ca="1">OFFSET($CH$9,CL14-1,-15,1,1)</f>
        <v>0</v>
      </c>
      <c r="CQ14" s="51">
        <v>0</v>
      </c>
      <c r="CR14" s="51">
        <f>IF(K14=$BH$12,$BH$23,IF(K14=$BH$13,$BH$24,10000))</f>
        <v>10000</v>
      </c>
      <c r="CS14" s="51">
        <f ca="1">IF(F14&lt;OFFSET($BM$9,CL14-1,0,1,1),0,IF(F14&lt;OFFSET($BN$9,CL14-1,0,1,1),((F14-OFFSET($BM$9,CL14-1,0,1,1))*OFFSET($CH$9,CL14-1,0,1,1))+OFFSET($BO$9,CL14-1,CQ14,1,1),IF(F14&lt;OFFSET($BN$9,CL14+0,0,1,1),((F14-OFFSET($BM$9,CL14+0,0,1,1))*OFFSET($CH$9,CL14+0,0,1,1))+OFFSET($BO$9,CL14+0,CQ14,1,1),IF(F14&lt;OFFSET($BN$9,CL14+1,0,1,1),((F14-OFFSET($BM$9,CL14+1,0,1,1))*OFFSET($CH$9,CL14+1,0,1,1))+OFFSET($BO$9,CL14+1,CQ14,1,1),IF(F14&lt;OFFSET($BN$9,CL14+2,0,1,1),((F14-OFFSET($BM$9,CL14+2,0,1,1))*OFFSET($CH$9,CL14+2,0,1,1))+OFFSET($BO$9,CL14+2,CQ14,1,1),IF(F14&lt;OFFSET($BN$9,CL14+3,0,1,1),((F14-OFFSET($BM$9,CL14+3,0,1,1))*OFFSET($CH$9,CL14+3,0,1,1))+OFFSET($BO$9,CL14+3,CQ14,1,1),0))))))</f>
        <v>0</v>
      </c>
      <c r="CT14" s="51">
        <f ca="1">IF($F14&lt;OFFSET($BM$9,$CL14-1,0,1,1),0,IF($F14&lt;OFFSET($BN$9,$CL14-1,0,1,1),IF(AND($H14&gt;2.4,Z14&lt;&gt;"e",Z14&lt;&gt;"f"),CX14*2.4/$H14,CX14),IF($F14&lt;OFFSET($BN$9,$CL14+0,0,1,1),IF(AND($H14&gt;2.4,Z14&lt;&gt;"e",Z14&lt;&gt;"f"),CX14*2.4/$H14,CX14),IF($F14&lt;OFFSET($BN$9,$CL14+1,0,1,1),IF(AND($H14&gt;2.4,Z14&lt;&gt;"e",Z14&lt;&gt;"f"),CX14*2.4/$H14,CX14),IF($F14&lt;OFFSET($BN$9,CL14+2,0,1,1),IF(AND($H14&gt;2.4,Z14&lt;&gt;"e",Z14&lt;&gt;"f"),CX14*2.4/$H14,CX14),IF($F14&lt;OFFSET($BN$9,CL14+3,0,1,1),IF(AND($H14&gt;2.4,Z14&lt;&gt;"e",Z14&lt;&gt;"f"),CX14*2.4/$H14,CX14),0)))))*COS(RADIANS($G14)))</f>
        <v>0</v>
      </c>
      <c r="CU14" s="51">
        <f ca="1">IF(F14&lt;OFFSET($BM$9,CL14-1,0,1,1),0,IF(F14&lt;OFFSET($BN$9,CL14-1,0,1,1),((F14-OFFSET($BM$9,CL14-1,0,1,1))*OFFSET($CI$9,CL14-1,0,1,1))+OFFSET($BP$9,CL14-1,CQ14,1,1),IF(F14&lt;OFFSET($BN$9,CL14+0,0,1,1),((F14-OFFSET($BM$9,CL14+0,0,1,1))*OFFSET($CI$9,CL14+0,0,1,1))+OFFSET($BP$9,CL14+0,CQ14,1,1),IF(F14&lt;OFFSET($BN$9,CL14+1,0,1,1),((F14-OFFSET($BM$9,CL14+1,0,1,1))*OFFSET($CI$9,CL14+1,0,1,1))+OFFSET($BP$9,CL14+1,CQ14,1,1),IF(F14&lt;OFFSET($BN$9,CL14+2,0,1,1),((F14-OFFSET($BM$9,CL14+2,0,1,1))*OFFSET($CI$9,CL14+2,0,1,1))+OFFSET($BP$9,CL14+2,CQ14,1,1),IF(F14&lt;OFFSET($BN$9,CL14+3,0,1,1),((F14-OFFSET($BM$9,CL14+3,0,1,1))*OFFSET($CI$9,CL14+3,0,1,1))+OFFSET($BP$9,CL14+3,CQ14,1,1),0))))))</f>
        <v>0</v>
      </c>
      <c r="CV14" s="51">
        <f ca="1">IF($F14&lt;OFFSET($BM$9,$CL14-1,0,1,1),0,IF($F14&lt;OFFSET($BN$9,$CL14-1,0,1,1),IF(AND($H14&gt;2.4,Z14&lt;&gt;"e",Z14&lt;&gt;"f"),CZ14*2.4/$H14,CZ14),IF($F14&lt;OFFSET($BN$9,$CL14+0,0,1,1),IF(AND($H14&gt;2.4,Z14&lt;&gt;"e",Z14&lt;&gt;"f"),CZ14*2.4/$H14,CZ14),IF($F14&lt;OFFSET($BN$9,$CL14+1,0,1,1),IF(AND($H14&gt;2.4,Z14&lt;&gt;"e",Z14&lt;&gt;"f"),CZ14*2.4/$H14,CZ14),IF($F14&lt;OFFSET($BN$9,$CL14+2,0,1,1),IF(AND($H14&gt;2.4,Z14&lt;&gt;"e",Z14&lt;&gt;"f"),CZ14*2.4/$H14,CZ14),IF($F14&lt;OFFSET($BN$9,$CL14+3,0,1,1),IF(AND($H14&gt;2.4,Z14&lt;&gt;"e",Z14&lt;&gt;"f"),CZ14*2.4/$H14,CZ14),0)))))*COS(RADIANS($G14)))</f>
        <v>0</v>
      </c>
      <c r="CW14" s="51">
        <f ca="1">IF(CT14&gt;CR14,CR14,CT14)</f>
        <v>0</v>
      </c>
      <c r="CX14" s="51">
        <f ca="1">IF(CS14&gt;$CR14,$CR14,CS14)</f>
        <v>0</v>
      </c>
      <c r="CY14" s="51">
        <f ca="1">CW14*F14</f>
        <v>0</v>
      </c>
      <c r="CZ14" s="51">
        <f ca="1">IF($CU14&gt;$CR14,$CR14,$CU14)</f>
        <v>0</v>
      </c>
      <c r="DA14" s="51">
        <f ca="1">IF(CV14&gt;CR14,CR14,CV14)</f>
        <v>0</v>
      </c>
      <c r="DB14" s="984">
        <f ca="1">DA14*F14</f>
        <v>0</v>
      </c>
      <c r="DC14" s="993">
        <v>1</v>
      </c>
      <c r="DD14" s="758" t="str">
        <f>IF(OR(D14=BG$12,D14=BG$13),"External",IF(D14=BG$14,"Internal"," "))</f>
        <v xml:space="preserve"> </v>
      </c>
      <c r="DE14" s="51" t="str">
        <f t="shared" ca="1" si="1"/>
        <v/>
      </c>
      <c r="DF14" s="52" t="str">
        <f t="shared" ca="1" si="2"/>
        <v xml:space="preserve"> </v>
      </c>
      <c r="DG14" s="51">
        <f ca="1">IF(F14&lt;OFFSET($BM$9,CN14-1,0,1,1),0,IF(F14&lt;OFFSET($BN$9,CN14-1,0,1,1),((F14-OFFSET($BM$9,CN14-1,0,1,1))*OFFSET($CH$9,CN14-1,0,1,1))+OFFSET($BO$9,CN14-1,CQ14,1,1),IF(F14&lt;OFFSET($BN$9,CN14+0,0,1,1),((F14-OFFSET($BM$9,CN14+0,0,1,1))*OFFSET($CH$9,CN14+0,0,1,1))+OFFSET($BO$9,CN14+0,CQ14,1,1),IF(F14&lt;OFFSET($BN$9,CN14+1,0,1,1),((F14-OFFSET($BM$9,CN14+1,0,1,1))*OFFSET($CH$9,CN14+1,0,1,1))+OFFSET($BO$9,CN14+1,CQ14,1,1),IF(F14&lt;OFFSET($BN$9,CN14+2,0,1,1),((F14-OFFSET($BM$9,CN14+2,0,1,1))*OFFSET($CH$9,CN14+2,0,1,1))+OFFSET($BO$9,CN14+2,CQ14,1,1),IF(F14&lt;OFFSET($BN$9,CN14+3,0,1,1),((F14-OFFSET($BM$9,CN14+3,0,1,1))*OFFSET($CH$9,CN14+3,0,1,1))+OFFSET($BO$9,CN14+3,CQ14,1,1),0))))))</f>
        <v>0</v>
      </c>
      <c r="DH14" s="51">
        <f ca="1">IF($F14&lt;OFFSET($BM$9,$CN14-1,0,1,1),0,IF($F14&lt;OFFSET($BN$9,$CN14-1,0,1,1),IF(AND($H14&gt;2.4,Z14&lt;&gt;"e",Z14&lt;&gt;"f"),DL14*2.4/$H14,DL14),IF($F14&lt;OFFSET($BN$9,$CN14+0,0,1,1),IF(AND($H14&gt;2.4,Z14&lt;&gt;"e",Z14&lt;&gt;"f"),DL14*2.4/$H14,DL14),IF($F14&lt;OFFSET($BN$9,$CN14+1,0,1,1),IF(AND($H14&gt;2.4,Z14&lt;&gt;"e",Z14&lt;&gt;"f"),DL14*2.4/$H14,DL14),IF($F14&lt;OFFSET($BN$9,$CN14+2,0,1,1),IF(AND($H14&gt;2.4,Z14&lt;&gt;"e",Z14&lt;&gt;"f"),DL14*2.4/$H14,DL14),IF($F14&lt;OFFSET($BN$9,$CN14+3,0,1,1),IF(AND($H14&gt;2.4,Z14&lt;&gt;"e",Z14&lt;&gt;"f"),DL14*2.4/$H14,DL14),0)))))*COS(RADIANS($G14)))</f>
        <v>0</v>
      </c>
      <c r="DI14" s="51">
        <f ca="1">IF(F14&lt;OFFSET($BM$9,CN14-1,0,1,1),0,IF(F14&lt;OFFSET($BN$9,CN14-1,0,1,1),((F14-OFFSET($BM$9,CN14-1,0,1,1))*OFFSET($CI$9,CN14-1,0,1,1))+OFFSET($BP$9,CN14-1,CQ14,1,1),IF(F14&lt;OFFSET($BN$9,CN14+0,0,1,1),((F14-OFFSET($BM$9,CN14+0,0,1,1))*OFFSET($CI$9,CN14+0,0,1,1))+OFFSET($BP$9,CN14+0,CQ14,1,1),IF(F14&lt;OFFSET($BN$9,CN14+1,0,1,1),((F14-OFFSET($BM$9,CN14+1,0,1,1))*OFFSET($CI$9,CN14+1,0,1,1))+OFFSET($BP$9,CN14+1,CQ14,1,1),IF(F14&lt;OFFSET($BN$9,CN14+2,0,1,1),((F14-OFFSET($BM$9,CN14+2,0,1,1))*OFFSET($CI$9,CN14+2,0,1,1))+OFFSET($BP$9,CN14+2,CQ14,1,1),IF(F14&lt;OFFSET($BN$9,CN14+3,0,1,1),((F14-OFFSET($BM$9,CN14+3,0,1,1))*OFFSET($CI$9,CN14+3,0,1,1))+OFFSET($BP$9,CN14+3,CQ14,1,1),0))))))</f>
        <v>0</v>
      </c>
      <c r="DJ14" s="51">
        <f ca="1">IF($F14&lt;OFFSET($BM$9,$CN14-1,0,1,1),0,IF($F14&lt;OFFSET($BN$9,$CN14-1,0,1,1),IF(AND($H14&gt;2.4,Z14&lt;&gt;"e",Z14&lt;&gt;"f"),DN14*2.4/$H14,DN14),IF($F14&lt;OFFSET($BN$9,$CN14+0,0,1,1),IF(AND($H14&gt;2.4,Z14&lt;&gt;"e",Z14&lt;&gt;"f"),DN14*2.4/$H14,DN14),IF($F14&lt;OFFSET($BN$9,$CN14+1,0,1,1),IF(AND($H14&gt;2.4,Z14&lt;&gt;"e",Z14&lt;&gt;"f"),DN14*2.4/$H14,DN14),IF($F14&lt;OFFSET($BN$9,$CN14+2,0,1,1),IF(AND($H14&gt;2.4,Z14&lt;&gt;"e",Z14&lt;&gt;"f"),DN14*2.4/$H14,DN14),IF($F14&lt;OFFSET($BN$9,$CN14+3,0,1,1),IF(AND($H14&gt;2.4,Z14&lt;&gt;"e",Z14&lt;&gt;"f"),DN14*2.4/$H14,DN14),0)))))*COS(RADIANS($G14)))</f>
        <v>0</v>
      </c>
      <c r="DK14" s="51"/>
      <c r="DL14" s="51">
        <f ca="1">IF(DG14&gt;$CR14,$CR14,DG14)</f>
        <v>0</v>
      </c>
      <c r="DM14" s="51"/>
      <c r="DN14" s="51">
        <f ca="1">IF(DI14&gt;$CR14,$CR14,DI14)</f>
        <v>0</v>
      </c>
      <c r="DO14" s="435">
        <f ca="1">IF(DH14&gt;$CR14,$CR14,DH14)</f>
        <v>0</v>
      </c>
      <c r="DP14" s="435">
        <f ca="1">DO14*F14</f>
        <v>0</v>
      </c>
      <c r="DQ14" s="436">
        <f ca="1">IF(DJ14&gt;$CR14,$CR14,DJ14)</f>
        <v>0</v>
      </c>
      <c r="DR14" s="437">
        <f ca="1">DQ14*F14</f>
        <v>0</v>
      </c>
      <c r="DS14" s="426">
        <f ca="1">OFFSET($CH$9,CL14-1,-15,1,1)</f>
        <v>0</v>
      </c>
      <c r="DT14" s="451">
        <f ca="1">VLOOKUP(DS14,Prodlink,2,0)</f>
        <v>0</v>
      </c>
      <c r="DU14" s="188">
        <f ca="1">IF(F14&lt;OFFSET($BM$9,DT14-1,0,1,1),0,IF(F14&lt;OFFSET($BN$9,DT14-1,0,1,1),((F14-OFFSET($BM$9,DT14-1,0,1,1))*OFFSET($CH$9,DT14-1,0,1,1))+OFFSET($BO$9,DT14-1,CQ14,1,1),IF(F14&lt;OFFSET($BN$9,DT14+0,0,1,1),((F14-OFFSET($BM$9,DT14+0,0,1,1))*OFFSET($CH$9,DT14+0,0,1,1))+OFFSET($BO$9,DT14+0,CQ14,1,1),IF(F14&lt;OFFSET($BN$9,DT14+1,0,1,1),((F14-OFFSET($BM$9,DT14+1,0,1,1))*OFFSET($CH$9,DT14+1,0,1,1))+OFFSET($BO$9,DT14+1,CQ14,1,1),IF(F14&lt;OFFSET($BN$9,DT14+2,0,1,1),((F14-OFFSET($BM$9,DT14+2,0,1,1))*OFFSET($CH$9,DT14+2,0,1,1))+OFFSET($BO$9,DT14+2,CQ14,1,1),IF(F14&lt;OFFSET($BN$9,DT14+3,0,1,1),((F14-OFFSET($BM$9,DT14+3,0,1,1))*OFFSET($CH$9,DT14+3,0,1,1))+OFFSET($BO$9,DT14+3,CQ14,1,1),0))))))</f>
        <v>0</v>
      </c>
      <c r="DV14" s="51">
        <f ca="1">IF($F14&lt;OFFSET($BM$9,$DT14-1,0,1,1),0,IF($F14&lt;OFFSET($BN$9,$DT14-1,0,1,1),IF(AND($H14&gt;2.4,Z14&lt;&gt;"e",Z14&lt;&gt;"f"),DZ14*2.4/$H14,DZ14),IF($F14&lt;OFFSET($BN$9,$DT14+0,0,1,1),IF(AND($H14&gt;2.4,Z14&lt;&gt;"e",Z14&lt;&gt;"f"),DZ14*2.4/$H14,DZ14),IF($F14&lt;OFFSET($BN$9,$DT14+1,0,1,1),IF(AND($H14&gt;2.4,Z14&lt;&gt;"e",Z14&lt;&gt;"f"),DZ14*2.4/$H14,DZ14),IF($F14&lt;OFFSET($BN$9,$DT14+2,0,1,1),IF(AND($H14&gt;2.4,Z14&lt;&gt;"e",Z14&lt;&gt;"f"),DZ14*2.4/$H14,DZ14),IF($F14&lt;OFFSET($BN$9,$DT14+3,0,1,1),IF(AND($H14&gt;2.4,Z14&lt;&gt;"e",Z14&lt;&gt;"f"),DZ14*2.4/$H14,DZ14),0)))))*COS(RADIANS($G14)))</f>
        <v>0</v>
      </c>
      <c r="DW14" s="188">
        <f ca="1">IF(F14&lt;OFFSET($BM$9,DT14-1,0,1,1),0,IF(F14&lt;OFFSET($BN$9,DT14-1,0,1,1),((F14-OFFSET($BM$9,DT14-1,0,1,1))*OFFSET($CI$9,DT14-1,0,1,1))+OFFSET($BP$9,DT14-1,CQ14,1,1),IF(F14&lt;OFFSET($BN$9,DT14+0,0,1,1),((F14-OFFSET($BM$9,DT14+0,0,1,1))*OFFSET($CI$9,DT14+0,0,1,1))+OFFSET($BP$9,DT14+0,CQ14,1,1),IF(F14&lt;OFFSET($BN$9,DT14+1,0,1,1),((F14-OFFSET($BM$9,DT14+1,0,1,1))*OFFSET($CI$9,DT14+1,0,1,1))+OFFSET($BP$9,DT14+1,CQ14,1,1),IF(F14&lt;OFFSET($BN$9,DT14+2,0,1,1),((F14-OFFSET($BM$9,DT14+2,0,1,1))*OFFSET($CI$9,DT14+2,0,1,1))+OFFSET($BP$9,DT14+2,CQ14,1,1),IF(F14&lt;OFFSET($BN$9,DT14+3,0,1,1),((F14-OFFSET($BM$9,DT14+3,0,1,1))*OFFSET($CI$9,DT14+3,0,1,1))+OFFSET($BP$9,DT14+3,CQ14,1,1),0))))))</f>
        <v>0</v>
      </c>
      <c r="DX14" s="51">
        <f ca="1">IF($F14&lt;OFFSET($BM$9,$DT14-1,0,1,1),0,IF($F14&lt;OFFSET($BN$9,$DT14-1,0,1,1),IF(AND($H14&gt;2.4,Z14&lt;&gt;"e",Z14&lt;&gt;"f"),EB14*2.4/$H14,EB14),IF($F14&lt;OFFSET($BN$9,$DT14+0,0,1,1),IF(AND($H14&gt;2.4,Z14&lt;&gt;"e",Z14&lt;&gt;"f"),EB14*2.4/$H14,EB14),IF($F14&lt;OFFSET($BN$9,$DT14+1,0,1,1),IF(AND($H14&gt;2.4,Z14&lt;&gt;"e",Z14&lt;&gt;"f"),EB14*2.4/$H14,EB14),IF($F14&lt;OFFSET($BN$9,$DT14+2,0,1,1),IF(AND($H14&gt;2.4,Z14&lt;&gt;"e",Z14&lt;&gt;"f"),EB14*2.4/$H14,EB14),IF($F14&lt;OFFSET($BN$9,$DT14+3,0,1,1),IF(AND($H14&gt;2.4,Z14&lt;&gt;"e",Z14&lt;&gt;"f"),EB14*2.4/$H14,EB14),0)))))*COS(RADIANS($G14)))</f>
        <v>0</v>
      </c>
      <c r="DY14" s="188"/>
      <c r="DZ14" s="188">
        <f ca="1">IF(DU14&gt;$CR14,$CR14,DU14)</f>
        <v>0</v>
      </c>
      <c r="EA14" s="188"/>
      <c r="EB14" s="188">
        <f ca="1">IF(DW14&gt;$CR14,$CR14,DW14)</f>
        <v>0</v>
      </c>
      <c r="EC14" s="435">
        <f ca="1">IF(DV14&gt;$CR14,$CR14,DV14)</f>
        <v>0</v>
      </c>
      <c r="ED14" s="435">
        <f ca="1">EC14*F14</f>
        <v>0</v>
      </c>
      <c r="EE14" s="436">
        <f ca="1">IF(DX14&gt;$CR14,$CR14,DX14)</f>
        <v>0</v>
      </c>
      <c r="EF14" s="437">
        <f ca="1">EE14*F14</f>
        <v>0</v>
      </c>
      <c r="EG14" s="613" t="str">
        <f>IF(D14=BG$12,BG$12,"")</f>
        <v/>
      </c>
      <c r="EH14" s="614" t="str">
        <f>IF(D14=BG$13,BG$13,"")</f>
        <v/>
      </c>
      <c r="EI14" s="611">
        <f>IF(EG14=BG$12,M14,0)</f>
        <v>0</v>
      </c>
      <c r="EJ14" s="451">
        <f>IF(EG14=BG$12,O14,0)</f>
        <v>0</v>
      </c>
      <c r="EK14" s="451">
        <f>IF(EH14=BG$13,M14,0)</f>
        <v>0</v>
      </c>
      <c r="EL14" s="612">
        <f>IF(EH14=BG$13,O14,0)</f>
        <v>0</v>
      </c>
      <c r="EM14" s="426" t="str">
        <f ca="1">IF(AND(Z14&lt;&gt;"t",Z14&lt;&gt;"f"),"",IF(AND(EN14=$BH$13,K14=$BH$12),"NotOpt",IF(K14&lt;&gt;EN14,"Error","")))</f>
        <v/>
      </c>
      <c r="EN14" s="491" t="str">
        <f>IF(AND($BH$28=1,$BG$28=1),$BH$13,$BH$12)</f>
        <v>120 BU's</v>
      </c>
      <c r="EO14" s="426" t="str">
        <f>K14</f>
        <v xml:space="preserve"> </v>
      </c>
      <c r="EP14" s="497">
        <v>1</v>
      </c>
      <c r="EQ14" s="430" t="str">
        <f ca="1">IF(EP14=1," ",OFFSET(BF$15,EP14-2,0,1,1))</f>
        <v xml:space="preserve"> </v>
      </c>
      <c r="ER14" s="439" t="str">
        <f ca="1">IF(H14=0," ",H14)</f>
        <v xml:space="preserve"> </v>
      </c>
      <c r="ES14" s="440" t="str">
        <f ca="1">IF(ER14&lt;&gt;" ",IF(ER14&lt;&gt;ER$7,"Changed",""),"")</f>
        <v/>
      </c>
      <c r="ET14" s="440">
        <f ca="1">IF(ER14&lt;&gt;" ",IF(ER14&lt;&gt;ER$7,1,0),0)</f>
        <v>0</v>
      </c>
      <c r="EU14" s="957" t="str">
        <f ca="1">IF(I14=" "," ",IF(F14&lt;OFFSET($BM$9,CL14-1,0,1,1),1,""))</f>
        <v xml:space="preserve"> </v>
      </c>
      <c r="EW14" s="427"/>
    </row>
    <row r="15" spans="1:153" ht="17.100000000000001" customHeight="1">
      <c r="B15" s="689" t="s">
        <v>246</v>
      </c>
      <c r="C15" s="684" t="str">
        <f>IF(OR(F15=0,I15="",I15=" ")," ",$V15)</f>
        <v xml:space="preserve"> </v>
      </c>
      <c r="D15" s="1033"/>
      <c r="E15" s="1360"/>
      <c r="F15" s="201"/>
      <c r="G15" s="1416"/>
      <c r="H15" s="199" t="str">
        <f ca="1">IF(OR(F15=0,Z15="E",Z15="f")," ",'Project Demand'!E$35)</f>
        <v xml:space="preserve"> </v>
      </c>
      <c r="I15" s="631" t="str">
        <f>IF($I$6&lt;&gt;$BG$8," ",AB15)</f>
        <v xml:space="preserve"> </v>
      </c>
      <c r="J15" s="44" t="str">
        <f ca="1">IF(OR(I15=" ",I15="")," ",OFFSET($BO$9,CL15-1,0-4,1,1))</f>
        <v xml:space="preserve"> </v>
      </c>
      <c r="K15" s="55" t="str">
        <f>IF(OR(I15=" ",I15="")," ",IF(OR(Z15="e",Z15="h"),"SD",BG$24))</f>
        <v xml:space="preserve"> </v>
      </c>
      <c r="L15" s="49">
        <f ca="1">CW15</f>
        <v>0</v>
      </c>
      <c r="M15" s="49">
        <f ca="1">CY15</f>
        <v>0</v>
      </c>
      <c r="N15" s="50">
        <f t="shared" ca="1" si="15"/>
        <v>0</v>
      </c>
      <c r="O15" s="126">
        <f t="shared" ca="1" si="15"/>
        <v>0</v>
      </c>
      <c r="P15" s="140"/>
      <c r="Q15" s="752" t="str">
        <f ca="1">IF(AND(OR(Z15="t",Z15="f"),K15=$BH$11),"No Floor!  Change Floor Type",IF(OR(I15=" ",I15="")," ",IF(F15&lt;OFFSET($BM$9,CL15-1,0,1,1),"check L(m)",DE15&amp;IF(AND(DP15&gt;=CY15,DR15&gt;=DB15),IF(AND(ED15&gt;=DP15,EF15&gt;=DR15),CONCATENATE(DS15," will provide same result"),CONCATENATE(CO15," will provide same result")),IF((DP15&gt;=CY15),CONCATENATE(CO15," provides same result in WIND"),IF((DR15&gt;=DB15),CONCATENATE(CO15," provides same result in EQ"),""))))))&amp;IF(ISERROR(FIND("pile",I15,1)),"",IF(INT(F15)&lt;&gt;F15,"Pile!  Use Whole Numbers Only",""))</f>
        <v xml:space="preserve"> </v>
      </c>
      <c r="R15" s="52"/>
      <c r="S15" s="1372"/>
      <c r="T15" s="52"/>
      <c r="U15" s="1377"/>
      <c r="V15" s="52" t="str">
        <f ca="1">IF(AND(B$5=$BF$9,OR(I15=BH$16,I15=BH$17))," ",IF(ISNUMBER(B$14),(CONCATENATE(B$14,".",W15)),(CONCATENATE(B$14,W15))))</f>
        <v>B0</v>
      </c>
      <c r="W15" s="9">
        <f ca="1">W14+X15</f>
        <v>0</v>
      </c>
      <c r="X15" s="9">
        <f>IF(AND(B$5=$BF$9,OR($I15=$BH$16,$I15=$BH$17,$I15=" ",$I15="",$F15=0)),0,IF(OR($I15=" ",$I15="",$F15=0),0,1))</f>
        <v>0</v>
      </c>
      <c r="Y15" s="896"/>
      <c r="Z15" s="52" t="str">
        <f ca="1">IF(I15=" "," ",OFFSET($BM$9,$CL15-1,8,1,1))</f>
        <v xml:space="preserve"> </v>
      </c>
      <c r="AA15" s="51" t="str">
        <f>IF(G15&gt;=45,"WA","")</f>
        <v/>
      </c>
      <c r="AB15" s="1364" t="str">
        <f>IF(F15&lt;&gt;"",IF(OR(D15=$BG$12,D15=$BG$13),IF(E15&lt;&gt;$BG$17,$BF$12,$BF$13),IF(E15&lt;&gt;$BG$17,$BF$12,$BF$13))," ")</f>
        <v xml:space="preserve"> </v>
      </c>
      <c r="AC15" s="1"/>
      <c r="AJ15" s="2230"/>
      <c r="AK15" s="2793"/>
      <c r="AL15" s="2784"/>
      <c r="AM15" s="11">
        <f>'Regular and QuickBrace Systems'!F29</f>
        <v>1.2</v>
      </c>
      <c r="AN15" s="1336">
        <f>'Regular and QuickBrace Systems'!G29</f>
        <v>72</v>
      </c>
      <c r="AO15" s="26">
        <f>'Regular and QuickBrace Systems'!H29</f>
        <v>64</v>
      </c>
      <c r="AP15" s="1595"/>
      <c r="AQ15" s="2663"/>
      <c r="AR15" s="2664"/>
      <c r="AS15" s="2031"/>
      <c r="AT15" s="1339"/>
      <c r="AU15" s="2090"/>
      <c r="AW15" s="1569" t="str">
        <f>'Regular and QuickBrace Systems'!O29</f>
        <v>Yes</v>
      </c>
      <c r="AX15" s="442" t="str">
        <f>'Regular and QuickBrace Systems'!Q29</f>
        <v>No</v>
      </c>
      <c r="BD15" s="2667"/>
      <c r="BE15" s="51"/>
      <c r="BF15" s="598" t="str">
        <f>Table!AI73</f>
        <v>ES-N</v>
      </c>
      <c r="BG15" s="1029" t="s">
        <v>8</v>
      </c>
      <c r="BI15" s="759"/>
      <c r="BJ15" s="897">
        <f t="shared" si="3"/>
        <v>7</v>
      </c>
      <c r="BK15" s="769" t="str">
        <f t="shared" si="4"/>
        <v xml:space="preserve">  </v>
      </c>
      <c r="BL15" s="771" t="str">
        <f t="shared" si="5"/>
        <v>Custom4</v>
      </c>
      <c r="BM15" s="455">
        <f t="shared" si="6"/>
        <v>9.9999999999999996E-76</v>
      </c>
      <c r="BN15" s="455">
        <v>999</v>
      </c>
      <c r="BO15" s="455">
        <f t="shared" si="7"/>
        <v>0</v>
      </c>
      <c r="BP15" s="925">
        <f t="shared" si="8"/>
        <v>0</v>
      </c>
      <c r="BR15" s="764"/>
      <c r="BS15" s="455"/>
      <c r="BT15" s="455" t="str">
        <f t="shared" si="9"/>
        <v>B</v>
      </c>
      <c r="BU15" s="925" t="str">
        <f t="shared" si="10"/>
        <v>T</v>
      </c>
      <c r="BV15" s="483" t="str">
        <f t="shared" si="11"/>
        <v>Custom4</v>
      </c>
      <c r="BW15" s="910">
        <f t="shared" si="16"/>
        <v>7</v>
      </c>
      <c r="BX15" s="925" t="str">
        <f t="shared" si="14"/>
        <v>Single</v>
      </c>
      <c r="CG15" s="51" t="s">
        <v>8</v>
      </c>
      <c r="CH15" s="764">
        <f t="shared" si="12"/>
        <v>0</v>
      </c>
      <c r="CI15" s="925">
        <f t="shared" si="13"/>
        <v>0</v>
      </c>
      <c r="CJ15" s="759"/>
      <c r="CK15" s="188"/>
      <c r="CL15" s="979">
        <f>VLOOKUP(I15,Prodlink,2,0)</f>
        <v>0</v>
      </c>
      <c r="CN15" s="497">
        <f ca="1">VLOOKUP(CO15,Prodlink,2,0)</f>
        <v>0</v>
      </c>
      <c r="CO15" s="497">
        <f ca="1">OFFSET($CH$9,CL15-1,-15,1,1)</f>
        <v>0</v>
      </c>
      <c r="CQ15" s="51">
        <v>0</v>
      </c>
      <c r="CR15" s="51">
        <f>IF(K15=$BH$12,$BH$23,IF(K15=$BH$13,$BH$24,10000))</f>
        <v>10000</v>
      </c>
      <c r="CS15" s="51">
        <f ca="1">IF(F15&lt;OFFSET($BM$9,CL15-1,0,1,1),0,IF(F15&lt;OFFSET($BN$9,CL15-1,0,1,1),((F15-OFFSET($BM$9,CL15-1,0,1,1))*OFFSET($CH$9,CL15-1,0,1,1))+OFFSET($BO$9,CL15-1,CQ15,1,1),IF(F15&lt;OFFSET($BN$9,CL15+0,0,1,1),((F15-OFFSET($BM$9,CL15+0,0,1,1))*OFFSET($CH$9,CL15+0,0,1,1))+OFFSET($BO$9,CL15+0,CQ15,1,1),IF(F15&lt;OFFSET($BN$9,CL15+1,0,1,1),((F15-OFFSET($BM$9,CL15+1,0,1,1))*OFFSET($CH$9,CL15+1,0,1,1))+OFFSET($BO$9,CL15+1,CQ15,1,1),IF(F15&lt;OFFSET($BN$9,CL15+2,0,1,1),((F15-OFFSET($BM$9,CL15+2,0,1,1))*OFFSET($CH$9,CL15+2,0,1,1))+OFFSET($BO$9,CL15+2,CQ15,1,1),IF(F15&lt;OFFSET($BN$9,CL15+3,0,1,1),((F15-OFFSET($BM$9,CL15+3,0,1,1))*OFFSET($CH$9,CL15+3,0,1,1))+OFFSET($BO$9,CL15+3,CQ15,1,1),0))))))</f>
        <v>0</v>
      </c>
      <c r="CT15" s="51">
        <f ca="1">IF($F15&lt;OFFSET($BM$9,$CL15-1,0,1,1),0,IF($F15&lt;OFFSET($BN$9,$CL15-1,0,1,1),IF(AND($H15&gt;2.4,Z15&lt;&gt;"e",Z15&lt;&gt;"f"),CX15*2.4/$H15,CX15),IF($F15&lt;OFFSET($BN$9,$CL15+0,0,1,1),IF(AND($H15&gt;2.4,Z15&lt;&gt;"e",Z15&lt;&gt;"f"),CX15*2.4/$H15,CX15),IF($F15&lt;OFFSET($BN$9,$CL15+1,0,1,1),IF(AND($H15&gt;2.4,Z15&lt;&gt;"e",Z15&lt;&gt;"f"),CX15*2.4/$H15,CX15),IF($F15&lt;OFFSET($BN$9,CL15+2,0,1,1),IF(AND($H15&gt;2.4,Z15&lt;&gt;"e",Z15&lt;&gt;"f"),CX15*2.4/$H15,CX15),IF($F15&lt;OFFSET($BN$9,CL15+3,0,1,1),IF(AND($H15&gt;2.4,Z15&lt;&gt;"e",Z15&lt;&gt;"f"),CX15*2.4/$H15,CX15),0)))))*COS(RADIANS($G15)))</f>
        <v>0</v>
      </c>
      <c r="CU15" s="51">
        <f ca="1">IF(F15&lt;OFFSET($BM$9,CL15-1,0,1,1),0,IF(F15&lt;OFFSET($BN$9,CL15-1,0,1,1),((F15-OFFSET($BM$9,CL15-1,0,1,1))*OFFSET($CI$9,CL15-1,0,1,1))+OFFSET($BP$9,CL15-1,CQ15,1,1),IF(F15&lt;OFFSET($BN$9,CL15+0,0,1,1),((F15-OFFSET($BM$9,CL15+0,0,1,1))*OFFSET($CI$9,CL15+0,0,1,1))+OFFSET($BP$9,CL15+0,CQ15,1,1),IF(F15&lt;OFFSET($BN$9,CL15+1,0,1,1),((F15-OFFSET($BM$9,CL15+1,0,1,1))*OFFSET($CI$9,CL15+1,0,1,1))+OFFSET($BP$9,CL15+1,CQ15,1,1),IF(F15&lt;OFFSET($BN$9,CL15+2,0,1,1),((F15-OFFSET($BM$9,CL15+2,0,1,1))*OFFSET($CI$9,CL15+2,0,1,1))+OFFSET($BP$9,CL15+2,CQ15,1,1),IF(F15&lt;OFFSET($BN$9,CL15+3,0,1,1),((F15-OFFSET($BM$9,CL15+3,0,1,1))*OFFSET($CI$9,CL15+3,0,1,1))+OFFSET($BP$9,CL15+3,CQ15,1,1),0))))))</f>
        <v>0</v>
      </c>
      <c r="CV15" s="51">
        <f ca="1">IF($F15&lt;OFFSET($BM$9,$CL15-1,0,1,1),0,IF($F15&lt;OFFSET($BN$9,$CL15-1,0,1,1),IF(AND($H15&gt;2.4,Z15&lt;&gt;"e",Z15&lt;&gt;"f"),CZ15*2.4/$H15,CZ15),IF($F15&lt;OFFSET($BN$9,$CL15+0,0,1,1),IF(AND($H15&gt;2.4,Z15&lt;&gt;"e",Z15&lt;&gt;"f"),CZ15*2.4/$H15,CZ15),IF($F15&lt;OFFSET($BN$9,$CL15+1,0,1,1),IF(AND($H15&gt;2.4,Z15&lt;&gt;"e",Z15&lt;&gt;"f"),CZ15*2.4/$H15,CZ15),IF($F15&lt;OFFSET($BN$9,$CL15+2,0,1,1),IF(AND($H15&gt;2.4,Z15&lt;&gt;"e",Z15&lt;&gt;"f"),CZ15*2.4/$H15,CZ15),IF($F15&lt;OFFSET($BN$9,$CL15+3,0,1,1),IF(AND($H15&gt;2.4,Z15&lt;&gt;"e",Z15&lt;&gt;"f"),CZ15*2.4/$H15,CZ15),0)))))*COS(RADIANS($G15)))</f>
        <v>0</v>
      </c>
      <c r="CW15" s="51">
        <f ca="1">IF(CT15&gt;CR15,CR15,CT15)</f>
        <v>0</v>
      </c>
      <c r="CX15" s="51">
        <f ca="1">IF(CS15&gt;$CR15,$CR15,CS15)</f>
        <v>0</v>
      </c>
      <c r="CY15" s="51">
        <f ca="1">CW15*F15</f>
        <v>0</v>
      </c>
      <c r="CZ15" s="51">
        <f ca="1">IF($CU15&gt;$CR15,$CR15,$CU15)</f>
        <v>0</v>
      </c>
      <c r="DA15" s="51">
        <f ca="1">IF(CV15&gt;CR15,CR15,CV15)</f>
        <v>0</v>
      </c>
      <c r="DB15" s="984">
        <f ca="1">DA15*F15</f>
        <v>0</v>
      </c>
      <c r="DC15" s="993">
        <v>1</v>
      </c>
      <c r="DD15" s="758" t="str">
        <f>IF(OR(D15=BG$12,D15=BG$13),"External",IF(D15=BG$14,"Internal"," "))</f>
        <v xml:space="preserve"> </v>
      </c>
      <c r="DE15" s="51" t="str">
        <f t="shared" ca="1" si="1"/>
        <v/>
      </c>
      <c r="DF15" s="52" t="str">
        <f t="shared" ca="1" si="2"/>
        <v xml:space="preserve"> </v>
      </c>
      <c r="DG15" s="51">
        <f ca="1">IF(F15&lt;OFFSET($BM$9,CN15-1,0,1,1),0,IF(F15&lt;OFFSET($BN$9,CN15-1,0,1,1),((F15-OFFSET($BM$9,CN15-1,0,1,1))*OFFSET($CH$9,CN15-1,0,1,1))+OFFSET($BO$9,CN15-1,CQ15,1,1),IF(F15&lt;OFFSET($BN$9,CN15+0,0,1,1),((F15-OFFSET($BM$9,CN15+0,0,1,1))*OFFSET($CH$9,CN15+0,0,1,1))+OFFSET($BO$9,CN15+0,CQ15,1,1),IF(F15&lt;OFFSET($BN$9,CN15+1,0,1,1),((F15-OFFSET($BM$9,CN15+1,0,1,1))*OFFSET($CH$9,CN15+1,0,1,1))+OFFSET($BO$9,CN15+1,CQ15,1,1),IF(F15&lt;OFFSET($BN$9,CN15+2,0,1,1),((F15-OFFSET($BM$9,CN15+2,0,1,1))*OFFSET($CH$9,CN15+2,0,1,1))+OFFSET($BO$9,CN15+2,CQ15,1,1),IF(F15&lt;OFFSET($BN$9,CN15+3,0,1,1),((F15-OFFSET($BM$9,CN15+3,0,1,1))*OFFSET($CH$9,CN15+3,0,1,1))+OFFSET($BO$9,CN15+3,CQ15,1,1),0))))))</f>
        <v>0</v>
      </c>
      <c r="DH15" s="51">
        <f ca="1">IF($F15&lt;OFFSET($BM$9,$CN15-1,0,1,1),0,IF($F15&lt;OFFSET($BN$9,$CN15-1,0,1,1),IF(AND($H15&gt;2.4,Z15&lt;&gt;"e",Z15&lt;&gt;"f"),DL15*2.4/$H15,DL15),IF($F15&lt;OFFSET($BN$9,$CN15+0,0,1,1),IF(AND($H15&gt;2.4,Z15&lt;&gt;"e",Z15&lt;&gt;"f"),DL15*2.4/$H15,DL15),IF($F15&lt;OFFSET($BN$9,$CN15+1,0,1,1),IF(AND($H15&gt;2.4,Z15&lt;&gt;"e",Z15&lt;&gt;"f"),DL15*2.4/$H15,DL15),IF($F15&lt;OFFSET($BN$9,$CN15+2,0,1,1),IF(AND($H15&gt;2.4,Z15&lt;&gt;"e",Z15&lt;&gt;"f"),DL15*2.4/$H15,DL15),IF($F15&lt;OFFSET($BN$9,$CN15+3,0,1,1),IF(AND($H15&gt;2.4,Z15&lt;&gt;"e",Z15&lt;&gt;"f"),DL15*2.4/$H15,DL15),0)))))*COS(RADIANS($G15)))</f>
        <v>0</v>
      </c>
      <c r="DI15" s="51">
        <f ca="1">IF(F15&lt;OFFSET($BM$9,CN15-1,0,1,1),0,IF(F15&lt;OFFSET($BN$9,CN15-1,0,1,1),((F15-OFFSET($BM$9,CN15-1,0,1,1))*OFFSET($CI$9,CN15-1,0,1,1))+OFFSET($BP$9,CN15-1,CQ15,1,1),IF(F15&lt;OFFSET($BN$9,CN15+0,0,1,1),((F15-OFFSET($BM$9,CN15+0,0,1,1))*OFFSET($CI$9,CN15+0,0,1,1))+OFFSET($BP$9,CN15+0,CQ15,1,1),IF(F15&lt;OFFSET($BN$9,CN15+1,0,1,1),((F15-OFFSET($BM$9,CN15+1,0,1,1))*OFFSET($CI$9,CN15+1,0,1,1))+OFFSET($BP$9,CN15+1,CQ15,1,1),IF(F15&lt;OFFSET($BN$9,CN15+2,0,1,1),((F15-OFFSET($BM$9,CN15+2,0,1,1))*OFFSET($CI$9,CN15+2,0,1,1))+OFFSET($BP$9,CN15+2,CQ15,1,1),IF(F15&lt;OFFSET($BN$9,CN15+3,0,1,1),((F15-OFFSET($BM$9,CN15+3,0,1,1))*OFFSET($CI$9,CN15+3,0,1,1))+OFFSET($BP$9,CN15+3,CQ15,1,1),0))))))</f>
        <v>0</v>
      </c>
      <c r="DJ15" s="51">
        <f ca="1">IF($F15&lt;OFFSET($BM$9,$CN15-1,0,1,1),0,IF($F15&lt;OFFSET($BN$9,$CN15-1,0,1,1),IF(AND($H15&gt;2.4,Z15&lt;&gt;"e",Z15&lt;&gt;"f"),DN15*2.4/$H15,DN15),IF($F15&lt;OFFSET($BN$9,$CN15+0,0,1,1),IF(AND($H15&gt;2.4,Z15&lt;&gt;"e",Z15&lt;&gt;"f"),DN15*2.4/$H15,DN15),IF($F15&lt;OFFSET($BN$9,$CN15+1,0,1,1),IF(AND($H15&gt;2.4,Z15&lt;&gt;"e",Z15&lt;&gt;"f"),DN15*2.4/$H15,DN15),IF($F15&lt;OFFSET($BN$9,$CN15+2,0,1,1),IF(AND($H15&gt;2.4,Z15&lt;&gt;"e",Z15&lt;&gt;"f"),DN15*2.4/$H15,DN15),IF($F15&lt;OFFSET($BN$9,$CN15+3,0,1,1),IF(AND($H15&gt;2.4,Z15&lt;&gt;"e",Z15&lt;&gt;"f"),DN15*2.4/$H15,DN15),0)))))*COS(RADIANS($G15)))</f>
        <v>0</v>
      </c>
      <c r="DK15" s="51"/>
      <c r="DL15" s="51">
        <f ca="1">IF(DG15&gt;$CR15,$CR15,DG15)</f>
        <v>0</v>
      </c>
      <c r="DM15" s="51"/>
      <c r="DN15" s="51">
        <f ca="1">IF(DI15&gt;$CR15,$CR15,DI15)</f>
        <v>0</v>
      </c>
      <c r="DO15" s="435">
        <f ca="1">IF(DH15&gt;$CR15,$CR15,DH15)</f>
        <v>0</v>
      </c>
      <c r="DP15" s="435">
        <f ca="1">DO15*F15</f>
        <v>0</v>
      </c>
      <c r="DQ15" s="436">
        <f ca="1">IF(DJ15&gt;$CR15,$CR15,DJ15)</f>
        <v>0</v>
      </c>
      <c r="DR15" s="437">
        <f ca="1">DQ15*F15</f>
        <v>0</v>
      </c>
      <c r="DS15" s="426">
        <f ca="1">OFFSET($CH$9,CL15-1,-15,1,1)</f>
        <v>0</v>
      </c>
      <c r="DT15" s="451">
        <f ca="1">VLOOKUP(DS15,Prodlink,2,0)</f>
        <v>0</v>
      </c>
      <c r="DU15" s="188">
        <f ca="1">IF(F15&lt;OFFSET($BM$9,DT15-1,0,1,1),0,IF(F15&lt;OFFSET($BN$9,DT15-1,0,1,1),((F15-OFFSET($BM$9,DT15-1,0,1,1))*OFFSET($CH$9,DT15-1,0,1,1))+OFFSET($BO$9,DT15-1,CQ15,1,1),IF(F15&lt;OFFSET($BN$9,DT15+0,0,1,1),((F15-OFFSET($BM$9,DT15+0,0,1,1))*OFFSET($CH$9,DT15+0,0,1,1))+OFFSET($BO$9,DT15+0,CQ15,1,1),IF(F15&lt;OFFSET($BN$9,DT15+1,0,1,1),((F15-OFFSET($BM$9,DT15+1,0,1,1))*OFFSET($CH$9,DT15+1,0,1,1))+OFFSET($BO$9,DT15+1,CQ15,1,1),IF(F15&lt;OFFSET($BN$9,DT15+2,0,1,1),((F15-OFFSET($BM$9,DT15+2,0,1,1))*OFFSET($CH$9,DT15+2,0,1,1))+OFFSET($BO$9,DT15+2,CQ15,1,1),IF(F15&lt;OFFSET($BN$9,DT15+3,0,1,1),((F15-OFFSET($BM$9,DT15+3,0,1,1))*OFFSET($CH$9,DT15+3,0,1,1))+OFFSET($BO$9,DT15+3,CQ15,1,1),0))))))</f>
        <v>0</v>
      </c>
      <c r="DV15" s="51">
        <f ca="1">IF($F15&lt;OFFSET($BM$9,$DT15-1,0,1,1),0,IF($F15&lt;OFFSET($BN$9,$DT15-1,0,1,1),IF(AND($H15&gt;2.4,Z15&lt;&gt;"e",Z15&lt;&gt;"f"),DZ15*2.4/$H15,DZ15),IF($F15&lt;OFFSET($BN$9,$DT15+0,0,1,1),IF(AND($H15&gt;2.4,Z15&lt;&gt;"e",Z15&lt;&gt;"f"),DZ15*2.4/$H15,DZ15),IF($F15&lt;OFFSET($BN$9,$DT15+1,0,1,1),IF(AND($H15&gt;2.4,Z15&lt;&gt;"e",Z15&lt;&gt;"f"),DZ15*2.4/$H15,DZ15),IF($F15&lt;OFFSET($BN$9,$DT15+2,0,1,1),IF(AND($H15&gt;2.4,Z15&lt;&gt;"e",Z15&lt;&gt;"f"),DZ15*2.4/$H15,DZ15),IF($F15&lt;OFFSET($BN$9,$DT15+3,0,1,1),IF(AND($H15&gt;2.4,Z15&lt;&gt;"e",Z15&lt;&gt;"f"),DZ15*2.4/$H15,DZ15),0)))))*COS(RADIANS($G15)))</f>
        <v>0</v>
      </c>
      <c r="DW15" s="188">
        <f ca="1">IF(F15&lt;OFFSET($BM$9,DT15-1,0,1,1),0,IF(F15&lt;OFFSET($BN$9,DT15-1,0,1,1),((F15-OFFSET($BM$9,DT15-1,0,1,1))*OFFSET($CI$9,DT15-1,0,1,1))+OFFSET($BP$9,DT15-1,CQ15,1,1),IF(F15&lt;OFFSET($BN$9,DT15+0,0,1,1),((F15-OFFSET($BM$9,DT15+0,0,1,1))*OFFSET($CI$9,DT15+0,0,1,1))+OFFSET($BP$9,DT15+0,CQ15,1,1),IF(F15&lt;OFFSET($BN$9,DT15+1,0,1,1),((F15-OFFSET($BM$9,DT15+1,0,1,1))*OFFSET($CI$9,DT15+1,0,1,1))+OFFSET($BP$9,DT15+1,CQ15,1,1),IF(F15&lt;OFFSET($BN$9,DT15+2,0,1,1),((F15-OFFSET($BM$9,DT15+2,0,1,1))*OFFSET($CI$9,DT15+2,0,1,1))+OFFSET($BP$9,DT15+2,CQ15,1,1),IF(F15&lt;OFFSET($BN$9,DT15+3,0,1,1),((F15-OFFSET($BM$9,DT15+3,0,1,1))*OFFSET($CI$9,DT15+3,0,1,1))+OFFSET($BP$9,DT15+3,CQ15,1,1),0))))))</f>
        <v>0</v>
      </c>
      <c r="DX15" s="51">
        <f ca="1">IF($F15&lt;OFFSET($BM$9,$DT15-1,0,1,1),0,IF($F15&lt;OFFSET($BN$9,$DT15-1,0,1,1),IF(AND($H15&gt;2.4,Z15&lt;&gt;"e",Z15&lt;&gt;"f"),EB15*2.4/$H15,EB15),IF($F15&lt;OFFSET($BN$9,$DT15+0,0,1,1),IF(AND($H15&gt;2.4,Z15&lt;&gt;"e",Z15&lt;&gt;"f"),EB15*2.4/$H15,EB15),IF($F15&lt;OFFSET($BN$9,$DT15+1,0,1,1),IF(AND($H15&gt;2.4,Z15&lt;&gt;"e",Z15&lt;&gt;"f"),EB15*2.4/$H15,EB15),IF($F15&lt;OFFSET($BN$9,$DT15+2,0,1,1),IF(AND($H15&gt;2.4,Z15&lt;&gt;"e",Z15&lt;&gt;"f"),EB15*2.4/$H15,EB15),IF($F15&lt;OFFSET($BN$9,$DT15+3,0,1,1),IF(AND($H15&gt;2.4,Z15&lt;&gt;"e",Z15&lt;&gt;"f"),EB15*2.4/$H15,EB15),0)))))*COS(RADIANS($G15)))</f>
        <v>0</v>
      </c>
      <c r="DY15" s="188"/>
      <c r="DZ15" s="188">
        <f ca="1">IF(DU15&gt;$CR15,$CR15,DU15)</f>
        <v>0</v>
      </c>
      <c r="EA15" s="188"/>
      <c r="EB15" s="188">
        <f ca="1">IF(DW15&gt;$CR15,$CR15,DW15)</f>
        <v>0</v>
      </c>
      <c r="EC15" s="435">
        <f ca="1">IF(DV15&gt;$CR15,$CR15,DV15)</f>
        <v>0</v>
      </c>
      <c r="ED15" s="435">
        <f ca="1">EC15*F15</f>
        <v>0</v>
      </c>
      <c r="EE15" s="436">
        <f ca="1">IF(DX15&gt;$CR15,$CR15,DX15)</f>
        <v>0</v>
      </c>
      <c r="EF15" s="437">
        <f ca="1">EE15*F15</f>
        <v>0</v>
      </c>
      <c r="EG15" s="613" t="str">
        <f>IF(D15=BG$12,BG$12,"")</f>
        <v/>
      </c>
      <c r="EH15" s="614" t="str">
        <f>IF(D15=BG$13,BG$13,"")</f>
        <v/>
      </c>
      <c r="EI15" s="611">
        <f>IF(EG15=BG$12,M15,0)</f>
        <v>0</v>
      </c>
      <c r="EJ15" s="451">
        <f>IF(EG15=BG$12,O15,0)</f>
        <v>0</v>
      </c>
      <c r="EK15" s="451">
        <f>IF(EH15=BG$13,M15,0)</f>
        <v>0</v>
      </c>
      <c r="EL15" s="612">
        <f>IF(EH15=BG$13,O15,0)</f>
        <v>0</v>
      </c>
      <c r="EM15" s="426" t="str">
        <f ca="1">IF(AND(Z15&lt;&gt;"t",Z15&lt;&gt;"f"),"",IF(AND(EN15=$BH$13,K15=$BH$12),"NotOpt",IF(K15&lt;&gt;EN15,"Error","")))</f>
        <v/>
      </c>
      <c r="EN15" s="491" t="str">
        <f>IF(AND($BH$28=1,$BG$28=1),$BH$13,$BH$12)</f>
        <v>120 BU's</v>
      </c>
      <c r="EO15" s="426" t="str">
        <f>K15</f>
        <v xml:space="preserve"> </v>
      </c>
      <c r="EP15" s="497">
        <v>1</v>
      </c>
      <c r="EQ15" s="430" t="str">
        <f ca="1">IF(EP15=1," ",OFFSET(BF$15,EP15-2,0,1,1))</f>
        <v xml:space="preserve"> </v>
      </c>
      <c r="ER15" s="439" t="str">
        <f ca="1">IF(H15=0," ",H15)</f>
        <v xml:space="preserve"> </v>
      </c>
      <c r="ES15" s="440" t="str">
        <f ca="1">IF(ER15&lt;&gt;" ",IF(ER15&lt;&gt;ER$7,"Changed",""),"")</f>
        <v/>
      </c>
      <c r="ET15" s="440">
        <f ca="1">IF(ER15&lt;&gt;" ",IF(ER15&lt;&gt;ER$7,1,0),0)</f>
        <v>0</v>
      </c>
      <c r="EU15" s="957" t="str">
        <f ca="1">IF(I15=" "," ",IF(F15&lt;OFFSET($BM$9,CL15-1,0,1,1),1,""))</f>
        <v xml:space="preserve"> </v>
      </c>
      <c r="EW15" s="427"/>
    </row>
    <row r="16" spans="1:153" ht="17.100000000000001" customHeight="1" thickBot="1">
      <c r="B16" s="689" t="s">
        <v>246</v>
      </c>
      <c r="C16" s="684" t="str">
        <f>IF(OR(F16=0,I16="",I16=" ")," ",$V16)</f>
        <v xml:space="preserve"> </v>
      </c>
      <c r="D16" s="1033"/>
      <c r="E16" s="1360"/>
      <c r="F16" s="201"/>
      <c r="G16" s="1416"/>
      <c r="H16" s="199" t="str">
        <f ca="1">IF(OR(F16=0,Z16="E",Z16="f")," ",'Project Demand'!E$35)</f>
        <v xml:space="preserve"> </v>
      </c>
      <c r="I16" s="631" t="str">
        <f>IF($I$6&lt;&gt;$BG$8," ",AB16)</f>
        <v xml:space="preserve"> </v>
      </c>
      <c r="J16" s="44" t="str">
        <f ca="1">IF(OR(I16=" ",I16="")," ",OFFSET($BO$9,CL16-1,0-4,1,1))</f>
        <v xml:space="preserve"> </v>
      </c>
      <c r="K16" s="55" t="str">
        <f>IF(OR(I16=" ",I16="")," ",IF(OR(Z16="e",Z16="h"),"SD",BG$24))</f>
        <v xml:space="preserve"> </v>
      </c>
      <c r="L16" s="49">
        <f ca="1">CW16</f>
        <v>0</v>
      </c>
      <c r="M16" s="49">
        <f ca="1">CY16</f>
        <v>0</v>
      </c>
      <c r="N16" s="50">
        <f t="shared" ca="1" si="15"/>
        <v>0</v>
      </c>
      <c r="O16" s="126">
        <f t="shared" ca="1" si="15"/>
        <v>0</v>
      </c>
      <c r="P16" s="140"/>
      <c r="Q16" s="752" t="str">
        <f ca="1">IF(AND(OR(Z16="t",Z16="f"),K16=$BH$11),"No Floor!  Change Floor Type",IF(OR(I16=" ",I16="")," ",IF(F16&lt;OFFSET($BM$9,CL16-1,0,1,1),"check L(m)",DE16&amp;IF(AND(DP16&gt;=CY16,DR16&gt;=DB16),IF(AND(ED16&gt;=DP16,EF16&gt;=DR16),CONCATENATE(DS16," will provide same result"),CONCATENATE(CO16," will provide same result")),IF((DP16&gt;=CY16),CONCATENATE(CO16," provides same result in WIND"),IF((DR16&gt;=DB16),CONCATENATE(CO16," provides same result in EQ"),""))))))&amp;IF(ISERROR(FIND("pile",I16,1)),"",IF(INT(F16)&lt;&gt;F16,"Pile!  Use Whole Numbers Only",""))</f>
        <v xml:space="preserve"> </v>
      </c>
      <c r="R16" s="52"/>
      <c r="S16" s="1372"/>
      <c r="T16" s="52"/>
      <c r="U16" s="1377"/>
      <c r="V16" s="52" t="str">
        <f ca="1">IF(AND(B$5=$BF$9,OR(I16=BH$16,I16=BH$17))," ",IF(ISNUMBER(B$14),(CONCATENATE(B$14,".",W16)),(CONCATENATE(B$14,W16))))</f>
        <v>B0</v>
      </c>
      <c r="W16" s="9">
        <f ca="1">W15+X16</f>
        <v>0</v>
      </c>
      <c r="X16" s="9">
        <f>IF(AND(B$5=$BF$9,OR($I16=$BH$16,$I16=$BH$17,$I16=" ",$I16="",$F16=0)),0,IF(OR($I16=" ",$I16="",$F16=0),0,1))</f>
        <v>0</v>
      </c>
      <c r="Y16" s="896"/>
      <c r="Z16" s="52" t="str">
        <f ca="1">IF(I16=" "," ",OFFSET($BM$9,$CL16-1,8,1,1))</f>
        <v xml:space="preserve"> </v>
      </c>
      <c r="AA16" s="51" t="str">
        <f>IF(G16&gt;=45,"WA","")</f>
        <v/>
      </c>
      <c r="AB16" s="1364" t="str">
        <f>IF(F16&lt;&gt;"",IF(OR(D16=$BG$12,D16=$BG$13),IF(E16&lt;&gt;$BG$17,$BF$12,$BF$13),IF(E16&lt;&gt;$BG$17,$BF$12,$BF$13))," ")</f>
        <v xml:space="preserve"> </v>
      </c>
      <c r="AC16" s="1"/>
      <c r="AJ16" s="2230"/>
      <c r="AK16" s="2793"/>
      <c r="AL16" s="2785"/>
      <c r="AM16" s="1177">
        <f>'Regular and QuickBrace Systems'!F30</f>
        <v>1.8</v>
      </c>
      <c r="AN16" s="1274">
        <f>'Regular and QuickBrace Systems'!G30</f>
        <v>83</v>
      </c>
      <c r="AO16" s="1275">
        <f>'Regular and QuickBrace Systems'!H30</f>
        <v>64</v>
      </c>
      <c r="AP16" s="1277"/>
      <c r="AQ16" s="2665"/>
      <c r="AR16" s="2666"/>
      <c r="AS16" s="2032"/>
      <c r="AT16" s="1339"/>
      <c r="AU16" s="2132"/>
      <c r="AW16" s="1570" t="str">
        <f>'Regular and QuickBrace Systems'!O30</f>
        <v>Yes</v>
      </c>
      <c r="AX16" s="1574" t="str">
        <f>'Regular and QuickBrace Systems'!Q30</f>
        <v>No</v>
      </c>
      <c r="BD16" s="2667"/>
      <c r="BE16" s="51"/>
      <c r="BF16" s="598" t="str">
        <f>Table!AI74</f>
        <v>ES-H</v>
      </c>
      <c r="BG16" s="1026" t="s">
        <v>1044</v>
      </c>
      <c r="BH16" s="1394" t="str">
        <f>Table!AI72</f>
        <v>ER1</v>
      </c>
      <c r="BI16" s="759"/>
      <c r="BJ16" s="897">
        <f t="shared" si="3"/>
        <v>8</v>
      </c>
      <c r="BK16" s="769" t="str">
        <f t="shared" si="4"/>
        <v xml:space="preserve">  </v>
      </c>
      <c r="BL16" s="771" t="str">
        <f t="shared" si="5"/>
        <v>Custom5</v>
      </c>
      <c r="BM16" s="455">
        <f t="shared" si="6"/>
        <v>9.9999999999999996E-76</v>
      </c>
      <c r="BN16" s="455">
        <v>999</v>
      </c>
      <c r="BO16" s="455">
        <f t="shared" si="7"/>
        <v>0</v>
      </c>
      <c r="BP16" s="925">
        <f t="shared" si="8"/>
        <v>0</v>
      </c>
      <c r="BR16" s="764"/>
      <c r="BS16" s="455"/>
      <c r="BT16" s="455" t="str">
        <f t="shared" si="9"/>
        <v>B</v>
      </c>
      <c r="BU16" s="925" t="str">
        <f t="shared" si="10"/>
        <v>T</v>
      </c>
      <c r="BV16" s="483" t="str">
        <f t="shared" si="11"/>
        <v>Custom5</v>
      </c>
      <c r="BW16" s="910">
        <f t="shared" si="16"/>
        <v>8</v>
      </c>
      <c r="BX16" s="925" t="str">
        <f t="shared" si="14"/>
        <v>Single</v>
      </c>
      <c r="CG16" s="51" t="s">
        <v>8</v>
      </c>
      <c r="CH16" s="764">
        <f t="shared" si="12"/>
        <v>0</v>
      </c>
      <c r="CI16" s="925">
        <f t="shared" si="13"/>
        <v>0</v>
      </c>
      <c r="CJ16" s="759"/>
      <c r="CK16" s="188"/>
      <c r="CL16" s="979">
        <f>VLOOKUP(I16,Prodlink,2,0)</f>
        <v>0</v>
      </c>
      <c r="CN16" s="497">
        <f ca="1">VLOOKUP(CO16,Prodlink,2,0)</f>
        <v>0</v>
      </c>
      <c r="CO16" s="497">
        <f ca="1">OFFSET($CH$9,CL16-1,-15,1,1)</f>
        <v>0</v>
      </c>
      <c r="CQ16" s="51">
        <v>0</v>
      </c>
      <c r="CR16" s="51">
        <f>IF(K16=$BH$12,$BH$23,IF(K16=$BH$13,$BH$24,10000))</f>
        <v>10000</v>
      </c>
      <c r="CS16" s="51">
        <f ca="1">IF(F16&lt;OFFSET($BM$9,CL16-1,0,1,1),0,IF(F16&lt;OFFSET($BN$9,CL16-1,0,1,1),((F16-OFFSET($BM$9,CL16-1,0,1,1))*OFFSET($CH$9,CL16-1,0,1,1))+OFFSET($BO$9,CL16-1,CQ16,1,1),IF(F16&lt;OFFSET($BN$9,CL16+0,0,1,1),((F16-OFFSET($BM$9,CL16+0,0,1,1))*OFFSET($CH$9,CL16+0,0,1,1))+OFFSET($BO$9,CL16+0,CQ16,1,1),IF(F16&lt;OFFSET($BN$9,CL16+1,0,1,1),((F16-OFFSET($BM$9,CL16+1,0,1,1))*OFFSET($CH$9,CL16+1,0,1,1))+OFFSET($BO$9,CL16+1,CQ16,1,1),IF(F16&lt;OFFSET($BN$9,CL16+2,0,1,1),((F16-OFFSET($BM$9,CL16+2,0,1,1))*OFFSET($CH$9,CL16+2,0,1,1))+OFFSET($BO$9,CL16+2,CQ16,1,1),IF(F16&lt;OFFSET($BN$9,CL16+3,0,1,1),((F16-OFFSET($BM$9,CL16+3,0,1,1))*OFFSET($CH$9,CL16+3,0,1,1))+OFFSET($BO$9,CL16+3,CQ16,1,1),0))))))</f>
        <v>0</v>
      </c>
      <c r="CT16" s="51">
        <f ca="1">IF($F16&lt;OFFSET($BM$9,$CL16-1,0,1,1),0,IF($F16&lt;OFFSET($BN$9,$CL16-1,0,1,1),IF(AND($H16&gt;2.4,Z16&lt;&gt;"e",Z16&lt;&gt;"f"),CX16*2.4/$H16,CX16),IF($F16&lt;OFFSET($BN$9,$CL16+0,0,1,1),IF(AND($H16&gt;2.4,Z16&lt;&gt;"e",Z16&lt;&gt;"f"),CX16*2.4/$H16,CX16),IF($F16&lt;OFFSET($BN$9,$CL16+1,0,1,1),IF(AND($H16&gt;2.4,Z16&lt;&gt;"e",Z16&lt;&gt;"f"),CX16*2.4/$H16,CX16),IF($F16&lt;OFFSET($BN$9,CL16+2,0,1,1),IF(AND($H16&gt;2.4,Z16&lt;&gt;"e",Z16&lt;&gt;"f"),CX16*2.4/$H16,CX16),IF($F16&lt;OFFSET($BN$9,CL16+3,0,1,1),IF(AND($H16&gt;2.4,Z16&lt;&gt;"e",Z16&lt;&gt;"f"),CX16*2.4/$H16,CX16),0)))))*COS(RADIANS($G16)))</f>
        <v>0</v>
      </c>
      <c r="CU16" s="51">
        <f ca="1">IF(F16&lt;OFFSET($BM$9,CL16-1,0,1,1),0,IF(F16&lt;OFFSET($BN$9,CL16-1,0,1,1),((F16-OFFSET($BM$9,CL16-1,0,1,1))*OFFSET($CI$9,CL16-1,0,1,1))+OFFSET($BP$9,CL16-1,CQ16,1,1),IF(F16&lt;OFFSET($BN$9,CL16+0,0,1,1),((F16-OFFSET($BM$9,CL16+0,0,1,1))*OFFSET($CI$9,CL16+0,0,1,1))+OFFSET($BP$9,CL16+0,CQ16,1,1),IF(F16&lt;OFFSET($BN$9,CL16+1,0,1,1),((F16-OFFSET($BM$9,CL16+1,0,1,1))*OFFSET($CI$9,CL16+1,0,1,1))+OFFSET($BP$9,CL16+1,CQ16,1,1),IF(F16&lt;OFFSET($BN$9,CL16+2,0,1,1),((F16-OFFSET($BM$9,CL16+2,0,1,1))*OFFSET($CI$9,CL16+2,0,1,1))+OFFSET($BP$9,CL16+2,CQ16,1,1),IF(F16&lt;OFFSET($BN$9,CL16+3,0,1,1),((F16-OFFSET($BM$9,CL16+3,0,1,1))*OFFSET($CI$9,CL16+3,0,1,1))+OFFSET($BP$9,CL16+3,CQ16,1,1),0))))))</f>
        <v>0</v>
      </c>
      <c r="CV16" s="51">
        <f ca="1">IF($F16&lt;OFFSET($BM$9,$CL16-1,0,1,1),0,IF($F16&lt;OFFSET($BN$9,$CL16-1,0,1,1),IF(AND($H16&gt;2.4,Z16&lt;&gt;"e",Z16&lt;&gt;"f"),CZ16*2.4/$H16,CZ16),IF($F16&lt;OFFSET($BN$9,$CL16+0,0,1,1),IF(AND($H16&gt;2.4,Z16&lt;&gt;"e",Z16&lt;&gt;"f"),CZ16*2.4/$H16,CZ16),IF($F16&lt;OFFSET($BN$9,$CL16+1,0,1,1),IF(AND($H16&gt;2.4,Z16&lt;&gt;"e",Z16&lt;&gt;"f"),CZ16*2.4/$H16,CZ16),IF($F16&lt;OFFSET($BN$9,$CL16+2,0,1,1),IF(AND($H16&gt;2.4,Z16&lt;&gt;"e",Z16&lt;&gt;"f"),CZ16*2.4/$H16,CZ16),IF($F16&lt;OFFSET($BN$9,$CL16+3,0,1,1),IF(AND($H16&gt;2.4,Z16&lt;&gt;"e",Z16&lt;&gt;"f"),CZ16*2.4/$H16,CZ16),0)))))*COS(RADIANS($G16)))</f>
        <v>0</v>
      </c>
      <c r="CW16" s="51">
        <f ca="1">IF(CT16&gt;CR16,CR16,CT16)</f>
        <v>0</v>
      </c>
      <c r="CX16" s="51">
        <f ca="1">IF(CS16&gt;$CR16,$CR16,CS16)</f>
        <v>0</v>
      </c>
      <c r="CY16" s="51">
        <f ca="1">CW16*F16</f>
        <v>0</v>
      </c>
      <c r="CZ16" s="51">
        <f ca="1">IF($CU16&gt;$CR16,$CR16,$CU16)</f>
        <v>0</v>
      </c>
      <c r="DA16" s="51">
        <f ca="1">IF(CV16&gt;CR16,CR16,CV16)</f>
        <v>0</v>
      </c>
      <c r="DB16" s="984">
        <f ca="1">DA16*F16</f>
        <v>0</v>
      </c>
      <c r="DC16" s="993">
        <v>1</v>
      </c>
      <c r="DD16" s="758" t="str">
        <f>IF(OR(D16=BG$12,D16=BG$13),"External",IF(D16=BG$14,"Internal"," "))</f>
        <v xml:space="preserve"> </v>
      </c>
      <c r="DE16" s="51" t="str">
        <f t="shared" ca="1" si="1"/>
        <v/>
      </c>
      <c r="DF16" s="52" t="str">
        <f t="shared" ca="1" si="2"/>
        <v xml:space="preserve"> </v>
      </c>
      <c r="DG16" s="51">
        <f ca="1">IF(F16&lt;OFFSET($BM$9,CN16-1,0,1,1),0,IF(F16&lt;OFFSET($BN$9,CN16-1,0,1,1),((F16-OFFSET($BM$9,CN16-1,0,1,1))*OFFSET($CH$9,CN16-1,0,1,1))+OFFSET($BO$9,CN16-1,CQ16,1,1),IF(F16&lt;OFFSET($BN$9,CN16+0,0,1,1),((F16-OFFSET($BM$9,CN16+0,0,1,1))*OFFSET($CH$9,CN16+0,0,1,1))+OFFSET($BO$9,CN16+0,CQ16,1,1),IF(F16&lt;OFFSET($BN$9,CN16+1,0,1,1),((F16-OFFSET($BM$9,CN16+1,0,1,1))*OFFSET($CH$9,CN16+1,0,1,1))+OFFSET($BO$9,CN16+1,CQ16,1,1),IF(F16&lt;OFFSET($BN$9,CN16+2,0,1,1),((F16-OFFSET($BM$9,CN16+2,0,1,1))*OFFSET($CH$9,CN16+2,0,1,1))+OFFSET($BO$9,CN16+2,CQ16,1,1),IF(F16&lt;OFFSET($BN$9,CN16+3,0,1,1),((F16-OFFSET($BM$9,CN16+3,0,1,1))*OFFSET($CH$9,CN16+3,0,1,1))+OFFSET($BO$9,CN16+3,CQ16,1,1),0))))))</f>
        <v>0</v>
      </c>
      <c r="DH16" s="51">
        <f ca="1">IF($F16&lt;OFFSET($BM$9,$CN16-1,0,1,1),0,IF($F16&lt;OFFSET($BN$9,$CN16-1,0,1,1),IF(AND($H16&gt;2.4,Z16&lt;&gt;"e",Z16&lt;&gt;"f"),DL16*2.4/$H16,DL16),IF($F16&lt;OFFSET($BN$9,$CN16+0,0,1,1),IF(AND($H16&gt;2.4,Z16&lt;&gt;"e",Z16&lt;&gt;"f"),DL16*2.4/$H16,DL16),IF($F16&lt;OFFSET($BN$9,$CN16+1,0,1,1),IF(AND($H16&gt;2.4,Z16&lt;&gt;"e",Z16&lt;&gt;"f"),DL16*2.4/$H16,DL16),IF($F16&lt;OFFSET($BN$9,$CN16+2,0,1,1),IF(AND($H16&gt;2.4,Z16&lt;&gt;"e",Z16&lt;&gt;"f"),DL16*2.4/$H16,DL16),IF($F16&lt;OFFSET($BN$9,$CN16+3,0,1,1),IF(AND($H16&gt;2.4,Z16&lt;&gt;"e",Z16&lt;&gt;"f"),DL16*2.4/$H16,DL16),0)))))*COS(RADIANS($G16)))</f>
        <v>0</v>
      </c>
      <c r="DI16" s="51">
        <f ca="1">IF(F16&lt;OFFSET($BM$9,CN16-1,0,1,1),0,IF(F16&lt;OFFSET($BN$9,CN16-1,0,1,1),((F16-OFFSET($BM$9,CN16-1,0,1,1))*OFFSET($CI$9,CN16-1,0,1,1))+OFFSET($BP$9,CN16-1,CQ16,1,1),IF(F16&lt;OFFSET($BN$9,CN16+0,0,1,1),((F16-OFFSET($BM$9,CN16+0,0,1,1))*OFFSET($CI$9,CN16+0,0,1,1))+OFFSET($BP$9,CN16+0,CQ16,1,1),IF(F16&lt;OFFSET($BN$9,CN16+1,0,1,1),((F16-OFFSET($BM$9,CN16+1,0,1,1))*OFFSET($CI$9,CN16+1,0,1,1))+OFFSET($BP$9,CN16+1,CQ16,1,1),IF(F16&lt;OFFSET($BN$9,CN16+2,0,1,1),((F16-OFFSET($BM$9,CN16+2,0,1,1))*OFFSET($CI$9,CN16+2,0,1,1))+OFFSET($BP$9,CN16+2,CQ16,1,1),IF(F16&lt;OFFSET($BN$9,CN16+3,0,1,1),((F16-OFFSET($BM$9,CN16+3,0,1,1))*OFFSET($CI$9,CN16+3,0,1,1))+OFFSET($BP$9,CN16+3,CQ16,1,1),0))))))</f>
        <v>0</v>
      </c>
      <c r="DJ16" s="51">
        <f ca="1">IF($F16&lt;OFFSET($BM$9,$CN16-1,0,1,1),0,IF($F16&lt;OFFSET($BN$9,$CN16-1,0,1,1),IF(AND($H16&gt;2.4,Z16&lt;&gt;"e",Z16&lt;&gt;"f"),DN16*2.4/$H16,DN16),IF($F16&lt;OFFSET($BN$9,$CN16+0,0,1,1),IF(AND($H16&gt;2.4,Z16&lt;&gt;"e",Z16&lt;&gt;"f"),DN16*2.4/$H16,DN16),IF($F16&lt;OFFSET($BN$9,$CN16+1,0,1,1),IF(AND($H16&gt;2.4,Z16&lt;&gt;"e",Z16&lt;&gt;"f"),DN16*2.4/$H16,DN16),IF($F16&lt;OFFSET($BN$9,$CN16+2,0,1,1),IF(AND($H16&gt;2.4,Z16&lt;&gt;"e",Z16&lt;&gt;"f"),DN16*2.4/$H16,DN16),IF($F16&lt;OFFSET($BN$9,$CN16+3,0,1,1),IF(AND($H16&gt;2.4,Z16&lt;&gt;"e",Z16&lt;&gt;"f"),DN16*2.4/$H16,DN16),0)))))*COS(RADIANS($G16)))</f>
        <v>0</v>
      </c>
      <c r="DK16" s="51"/>
      <c r="DL16" s="51">
        <f ca="1">IF(DG16&gt;$CR16,$CR16,DG16)</f>
        <v>0</v>
      </c>
      <c r="DM16" s="51"/>
      <c r="DN16" s="51">
        <f ca="1">IF(DI16&gt;$CR16,$CR16,DI16)</f>
        <v>0</v>
      </c>
      <c r="DO16" s="435">
        <f ca="1">IF(DH16&gt;$CR16,$CR16,DH16)</f>
        <v>0</v>
      </c>
      <c r="DP16" s="435">
        <f ca="1">DO16*F16</f>
        <v>0</v>
      </c>
      <c r="DQ16" s="436">
        <f ca="1">IF(DJ16&gt;$CR16,$CR16,DJ16)</f>
        <v>0</v>
      </c>
      <c r="DR16" s="437">
        <f ca="1">DQ16*F16</f>
        <v>0</v>
      </c>
      <c r="DS16" s="426">
        <f ca="1">OFFSET($CH$9,CL16-1,-15,1,1)</f>
        <v>0</v>
      </c>
      <c r="DT16" s="451">
        <f ca="1">VLOOKUP(DS16,Prodlink,2,0)</f>
        <v>0</v>
      </c>
      <c r="DU16" s="188">
        <f ca="1">IF(F16&lt;OFFSET($BM$9,DT16-1,0,1,1),0,IF(F16&lt;OFFSET($BN$9,DT16-1,0,1,1),((F16-OFFSET($BM$9,DT16-1,0,1,1))*OFFSET($CH$9,DT16-1,0,1,1))+OFFSET($BO$9,DT16-1,CQ16,1,1),IF(F16&lt;OFFSET($BN$9,DT16+0,0,1,1),((F16-OFFSET($BM$9,DT16+0,0,1,1))*OFFSET($CH$9,DT16+0,0,1,1))+OFFSET($BO$9,DT16+0,CQ16,1,1),IF(F16&lt;OFFSET($BN$9,DT16+1,0,1,1),((F16-OFFSET($BM$9,DT16+1,0,1,1))*OFFSET($CH$9,DT16+1,0,1,1))+OFFSET($BO$9,DT16+1,CQ16,1,1),IF(F16&lt;OFFSET($BN$9,DT16+2,0,1,1),((F16-OFFSET($BM$9,DT16+2,0,1,1))*OFFSET($CH$9,DT16+2,0,1,1))+OFFSET($BO$9,DT16+2,CQ16,1,1),IF(F16&lt;OFFSET($BN$9,DT16+3,0,1,1),((F16-OFFSET($BM$9,DT16+3,0,1,1))*OFFSET($CH$9,DT16+3,0,1,1))+OFFSET($BO$9,DT16+3,CQ16,1,1),0))))))</f>
        <v>0</v>
      </c>
      <c r="DV16" s="51">
        <f ca="1">IF($F16&lt;OFFSET($BM$9,$DT16-1,0,1,1),0,IF($F16&lt;OFFSET($BN$9,$DT16-1,0,1,1),IF(AND($H16&gt;2.4,Z16&lt;&gt;"e",Z16&lt;&gt;"f"),DZ16*2.4/$H16,DZ16),IF($F16&lt;OFFSET($BN$9,$DT16+0,0,1,1),IF(AND($H16&gt;2.4,Z16&lt;&gt;"e",Z16&lt;&gt;"f"),DZ16*2.4/$H16,DZ16),IF($F16&lt;OFFSET($BN$9,$DT16+1,0,1,1),IF(AND($H16&gt;2.4,Z16&lt;&gt;"e",Z16&lt;&gt;"f"),DZ16*2.4/$H16,DZ16),IF($F16&lt;OFFSET($BN$9,$DT16+2,0,1,1),IF(AND($H16&gt;2.4,Z16&lt;&gt;"e",Z16&lt;&gt;"f"),DZ16*2.4/$H16,DZ16),IF($F16&lt;OFFSET($BN$9,$DT16+3,0,1,1),IF(AND($H16&gt;2.4,Z16&lt;&gt;"e",Z16&lt;&gt;"f"),DZ16*2.4/$H16,DZ16),0)))))*COS(RADIANS($G16)))</f>
        <v>0</v>
      </c>
      <c r="DW16" s="188">
        <f ca="1">IF(F16&lt;OFFSET($BM$9,DT16-1,0,1,1),0,IF(F16&lt;OFFSET($BN$9,DT16-1,0,1,1),((F16-OFFSET($BM$9,DT16-1,0,1,1))*OFFSET($CI$9,DT16-1,0,1,1))+OFFSET($BP$9,DT16-1,CQ16,1,1),IF(F16&lt;OFFSET($BN$9,DT16+0,0,1,1),((F16-OFFSET($BM$9,DT16+0,0,1,1))*OFFSET($CI$9,DT16+0,0,1,1))+OFFSET($BP$9,DT16+0,CQ16,1,1),IF(F16&lt;OFFSET($BN$9,DT16+1,0,1,1),((F16-OFFSET($BM$9,DT16+1,0,1,1))*OFFSET($CI$9,DT16+1,0,1,1))+OFFSET($BP$9,DT16+1,CQ16,1,1),IF(F16&lt;OFFSET($BN$9,DT16+2,0,1,1),((F16-OFFSET($BM$9,DT16+2,0,1,1))*OFFSET($CI$9,DT16+2,0,1,1))+OFFSET($BP$9,DT16+2,CQ16,1,1),IF(F16&lt;OFFSET($BN$9,DT16+3,0,1,1),((F16-OFFSET($BM$9,DT16+3,0,1,1))*OFFSET($CI$9,DT16+3,0,1,1))+OFFSET($BP$9,DT16+3,CQ16,1,1),0))))))</f>
        <v>0</v>
      </c>
      <c r="DX16" s="51">
        <f ca="1">IF($F16&lt;OFFSET($BM$9,$DT16-1,0,1,1),0,IF($F16&lt;OFFSET($BN$9,$DT16-1,0,1,1),IF(AND($H16&gt;2.4,Z16&lt;&gt;"e",Z16&lt;&gt;"f"),EB16*2.4/$H16,EB16),IF($F16&lt;OFFSET($BN$9,$DT16+0,0,1,1),IF(AND($H16&gt;2.4,Z16&lt;&gt;"e",Z16&lt;&gt;"f"),EB16*2.4/$H16,EB16),IF($F16&lt;OFFSET($BN$9,$DT16+1,0,1,1),IF(AND($H16&gt;2.4,Z16&lt;&gt;"e",Z16&lt;&gt;"f"),EB16*2.4/$H16,EB16),IF($F16&lt;OFFSET($BN$9,$DT16+2,0,1,1),IF(AND($H16&gt;2.4,Z16&lt;&gt;"e",Z16&lt;&gt;"f"),EB16*2.4/$H16,EB16),IF($F16&lt;OFFSET($BN$9,$DT16+3,0,1,1),IF(AND($H16&gt;2.4,Z16&lt;&gt;"e",Z16&lt;&gt;"f"),EB16*2.4/$H16,EB16),0)))))*COS(RADIANS($G16)))</f>
        <v>0</v>
      </c>
      <c r="DY16" s="188"/>
      <c r="DZ16" s="188">
        <f ca="1">IF(DU16&gt;$CR16,$CR16,DU16)</f>
        <v>0</v>
      </c>
      <c r="EA16" s="188"/>
      <c r="EB16" s="188">
        <f ca="1">IF(DW16&gt;$CR16,$CR16,DW16)</f>
        <v>0</v>
      </c>
      <c r="EC16" s="435">
        <f ca="1">IF(DV16&gt;$CR16,$CR16,DV16)</f>
        <v>0</v>
      </c>
      <c r="ED16" s="435">
        <f ca="1">EC16*F16</f>
        <v>0</v>
      </c>
      <c r="EE16" s="436">
        <f ca="1">IF(DX16&gt;$CR16,$CR16,DX16)</f>
        <v>0</v>
      </c>
      <c r="EF16" s="437">
        <f ca="1">EE16*F16</f>
        <v>0</v>
      </c>
      <c r="EG16" s="613" t="str">
        <f>IF(D16=BG$12,BG$12,"")</f>
        <v/>
      </c>
      <c r="EH16" s="614" t="str">
        <f>IF(D16=BG$13,BG$13,"")</f>
        <v/>
      </c>
      <c r="EI16" s="611">
        <f>IF(EG16=BG$12,M16,0)</f>
        <v>0</v>
      </c>
      <c r="EJ16" s="451">
        <f>IF(EG16=BG$12,O16,0)</f>
        <v>0</v>
      </c>
      <c r="EK16" s="451">
        <f>IF(EH16=BG$13,M16,0)</f>
        <v>0</v>
      </c>
      <c r="EL16" s="612">
        <f>IF(EH16=BG$13,O16,0)</f>
        <v>0</v>
      </c>
      <c r="EM16" s="426" t="str">
        <f ca="1">IF(AND(Z16&lt;&gt;"t",Z16&lt;&gt;"f"),"",IF(AND(EN16=$BH$13,K16=$BH$12),"NotOpt",IF(K16&lt;&gt;EN16,"Error","")))</f>
        <v/>
      </c>
      <c r="EN16" s="491" t="str">
        <f>IF(AND($BH$28=1,$BG$28=1),$BH$13,$BH$12)</f>
        <v>120 BU's</v>
      </c>
      <c r="EO16" s="426" t="str">
        <f>K16</f>
        <v xml:space="preserve"> </v>
      </c>
      <c r="EP16" s="497">
        <v>1</v>
      </c>
      <c r="EQ16" s="430" t="str">
        <f ca="1">IF(EP16=1," ",OFFSET(BF$15,EP16-2,0,1,1))</f>
        <v xml:space="preserve"> </v>
      </c>
      <c r="ER16" s="439" t="str">
        <f ca="1">IF(H16=0," ",H16)</f>
        <v xml:space="preserve"> </v>
      </c>
      <c r="ES16" s="440" t="str">
        <f ca="1">IF(ER16&lt;&gt;" ",IF(ER16&lt;&gt;ER$7,"Changed",""),"")</f>
        <v/>
      </c>
      <c r="ET16" s="440">
        <f ca="1">IF(ER16&lt;&gt;" ",IF(ER16&lt;&gt;ER$7,1,0),0)</f>
        <v>0</v>
      </c>
      <c r="EU16" s="957" t="str">
        <f ca="1">IF(I16=" "," ",IF(F16&lt;OFFSET($BM$9,CL16-1,0,1,1),1,""))</f>
        <v xml:space="preserve"> </v>
      </c>
      <c r="EW16" s="427"/>
    </row>
    <row r="17" spans="2:153" ht="17.100000000000001" customHeight="1">
      <c r="B17" s="689" t="s">
        <v>246</v>
      </c>
      <c r="C17" s="684" t="str">
        <f>IF(OR(F17=0,I17="",I17=" ")," ",$V17)</f>
        <v xml:space="preserve"> </v>
      </c>
      <c r="D17" s="1033"/>
      <c r="E17" s="1360"/>
      <c r="F17" s="201"/>
      <c r="G17" s="1416"/>
      <c r="H17" s="199" t="str">
        <f ca="1">IF(OR(F17=0,Z17="E",Z17="f")," ",'Project Demand'!E$35)</f>
        <v xml:space="preserve"> </v>
      </c>
      <c r="I17" s="631" t="str">
        <f>IF($I$6&lt;&gt;$BG$8," ",AB17)</f>
        <v xml:space="preserve"> </v>
      </c>
      <c r="J17" s="44" t="str">
        <f ca="1">IF(OR(I17=" ",I17="")," ",OFFSET($BO$9,CL17-1,0-4,1,1))</f>
        <v xml:space="preserve"> </v>
      </c>
      <c r="K17" s="55" t="str">
        <f>IF(OR(I17=" ",I17="")," ",IF(OR(Z17="e",Z17="h"),"SD",BG$24))</f>
        <v xml:space="preserve"> </v>
      </c>
      <c r="L17" s="49">
        <f ca="1">CW17</f>
        <v>0</v>
      </c>
      <c r="M17" s="49">
        <f ca="1">CY17</f>
        <v>0</v>
      </c>
      <c r="N17" s="50">
        <f t="shared" ca="1" si="15"/>
        <v>0</v>
      </c>
      <c r="O17" s="126">
        <f t="shared" ca="1" si="15"/>
        <v>0</v>
      </c>
      <c r="P17" s="140"/>
      <c r="Q17" s="752" t="str">
        <f ca="1">IF(AND(OR(Z17="t",Z17="f"),K17=$BH$11),"No Floor!  Change Floor Type",IF(OR(I17=" ",I17="")," ",IF(F17&lt;OFFSET($BM$9,CL17-1,0,1,1),"check L(m)",DE17&amp;IF(AND(DP17&gt;=CY17,DR17&gt;=DB17),IF(AND(ED17&gt;=DP17,EF17&gt;=DR17),CONCATENATE(DS17," will provide same result"),CONCATENATE(CO17," will provide same result")),IF((DP17&gt;=CY17),CONCATENATE(CO17," provides same result in WIND"),IF((DR17&gt;=DB17),CONCATENATE(CO17," provides same result in EQ"),""))))))&amp;IF(ISERROR(FIND("pile",I17,1)),"",IF(INT(F17)&lt;&gt;F17,"Pile!  Use Whole Numbers Only",""))</f>
        <v xml:space="preserve"> </v>
      </c>
      <c r="R17" s="52"/>
      <c r="S17" s="1372"/>
      <c r="T17" s="52"/>
      <c r="U17" s="1377"/>
      <c r="V17" s="52" t="str">
        <f ca="1">IF(AND(B$5=$BF$9,OR(I17=BH$16,I17=BH$17))," ",IF(ISNUMBER(B$14),(CONCATENATE(B$14,".",W17)),(CONCATENATE(B$14,W17))))</f>
        <v>B0</v>
      </c>
      <c r="W17" s="9">
        <f ca="1">W16+X17</f>
        <v>0</v>
      </c>
      <c r="X17" s="9">
        <f>IF(AND(B$5=$BF$9,OR($I17=$BH$16,$I17=$BH$17,$I17=" ",$I17="",$F17=0)),0,IF(OR($I17=" ",$I17="",$F17=0),0,1))</f>
        <v>0</v>
      </c>
      <c r="Y17" s="896"/>
      <c r="Z17" s="52" t="str">
        <f ca="1">IF(I17=" "," ",OFFSET($BM$9,$CL17-1,8,1,1))</f>
        <v xml:space="preserve"> </v>
      </c>
      <c r="AA17" s="51" t="str">
        <f>IF(G17&gt;=45,"WA","")</f>
        <v/>
      </c>
      <c r="AB17" s="1364" t="str">
        <f>IF(F17&lt;&gt;"",IF(OR(D17=$BG$12,D17=$BG$13),IF(E17&lt;&gt;$BG$17,$BF$12,$BF$13),IF(E17&lt;&gt;$BG$17,$BF$12,$BF$13))," ")</f>
        <v xml:space="preserve"> </v>
      </c>
      <c r="AC17" s="1"/>
      <c r="AJ17" s="2230"/>
      <c r="AK17" s="2793"/>
      <c r="AL17" s="2783" t="str">
        <f>'Regular and QuickBrace Systems'!E31</f>
        <v>ES-H</v>
      </c>
      <c r="AM17" s="1176">
        <f>'Regular and QuickBrace Systems'!F31</f>
        <v>0.4</v>
      </c>
      <c r="AN17" s="1272">
        <f>'Regular and QuickBrace Systems'!G31</f>
        <v>75</v>
      </c>
      <c r="AO17" s="1273">
        <f>'Regular and QuickBrace Systems'!H31</f>
        <v>75</v>
      </c>
      <c r="AP17" s="1594"/>
      <c r="AQ17" s="2661" t="str">
        <f>'Regular and QuickBrace Systems'!I28</f>
        <v>Specialised QuickBrace Pattern</v>
      </c>
      <c r="AR17" s="2662"/>
      <c r="AS17" s="2030" t="str">
        <f>'Regular and QuickBrace Systems'!K31</f>
        <v>Yes</v>
      </c>
      <c r="AT17" s="1339"/>
      <c r="AU17" s="2131" t="str">
        <f>'Regular and QuickBrace Systems'!M31</f>
        <v>Elephant Standard-Plus board One side</v>
      </c>
      <c r="AW17" s="1567" t="str">
        <f>'Regular and QuickBrace Systems'!O31</f>
        <v>Yes</v>
      </c>
      <c r="AX17" s="1573" t="str">
        <f>'Regular and QuickBrace Systems'!Q31</f>
        <v>No</v>
      </c>
      <c r="BD17" s="2667"/>
      <c r="BE17" s="51"/>
      <c r="BF17" s="598" t="str">
        <f>Table!AI75</f>
        <v>EM-H</v>
      </c>
      <c r="BG17" s="1026" t="s">
        <v>1045</v>
      </c>
      <c r="BH17" s="1394" t="str">
        <f>Table!AI77</f>
        <v>ER2</v>
      </c>
      <c r="BI17" s="759"/>
      <c r="BJ17" s="897">
        <f t="shared" si="3"/>
        <v>9</v>
      </c>
      <c r="BK17" s="769" t="str">
        <f t="shared" si="4"/>
        <v xml:space="preserve">  </v>
      </c>
      <c r="BL17" s="771" t="str">
        <f t="shared" si="5"/>
        <v>Custom6</v>
      </c>
      <c r="BM17" s="455">
        <f t="shared" si="6"/>
        <v>9.9999999999999996E-76</v>
      </c>
      <c r="BN17" s="455">
        <v>999</v>
      </c>
      <c r="BO17" s="455">
        <f t="shared" si="7"/>
        <v>0</v>
      </c>
      <c r="BP17" s="925">
        <f t="shared" si="8"/>
        <v>0</v>
      </c>
      <c r="BR17" s="764"/>
      <c r="BS17" s="455"/>
      <c r="BT17" s="455" t="str">
        <f t="shared" si="9"/>
        <v>B</v>
      </c>
      <c r="BU17" s="925" t="str">
        <f t="shared" si="10"/>
        <v>T</v>
      </c>
      <c r="BV17" s="483" t="str">
        <f t="shared" si="11"/>
        <v>Custom6</v>
      </c>
      <c r="BW17" s="910">
        <f t="shared" si="16"/>
        <v>9</v>
      </c>
      <c r="BX17" s="925" t="str">
        <f t="shared" si="14"/>
        <v>Single</v>
      </c>
      <c r="CG17" s="51" t="s">
        <v>8</v>
      </c>
      <c r="CH17" s="764">
        <f t="shared" si="12"/>
        <v>0</v>
      </c>
      <c r="CI17" s="925">
        <f t="shared" si="13"/>
        <v>0</v>
      </c>
      <c r="CJ17" s="759"/>
      <c r="CK17" s="188"/>
      <c r="CL17" s="979">
        <f>VLOOKUP(I17,Prodlink,2,0)</f>
        <v>0</v>
      </c>
      <c r="CN17" s="497">
        <f ca="1">VLOOKUP(CO17,Prodlink,2,0)</f>
        <v>0</v>
      </c>
      <c r="CO17" s="497">
        <f ca="1">OFFSET($CH$9,CL17-1,-15,1,1)</f>
        <v>0</v>
      </c>
      <c r="CQ17" s="51">
        <v>0</v>
      </c>
      <c r="CR17" s="51">
        <f>IF(K17=$BH$12,$BH$23,IF(K17=$BH$13,$BH$24,10000))</f>
        <v>10000</v>
      </c>
      <c r="CS17" s="51">
        <f ca="1">IF(F17&lt;OFFSET($BM$9,CL17-1,0,1,1),0,IF(F17&lt;OFFSET($BN$9,CL17-1,0,1,1),((F17-OFFSET($BM$9,CL17-1,0,1,1))*OFFSET($CH$9,CL17-1,0,1,1))+OFFSET($BO$9,CL17-1,CQ17,1,1),IF(F17&lt;OFFSET($BN$9,CL17+0,0,1,1),((F17-OFFSET($BM$9,CL17+0,0,1,1))*OFFSET($CH$9,CL17+0,0,1,1))+OFFSET($BO$9,CL17+0,CQ17,1,1),IF(F17&lt;OFFSET($BN$9,CL17+1,0,1,1),((F17-OFFSET($BM$9,CL17+1,0,1,1))*OFFSET($CH$9,CL17+1,0,1,1))+OFFSET($BO$9,CL17+1,CQ17,1,1),IF(F17&lt;OFFSET($BN$9,CL17+2,0,1,1),((F17-OFFSET($BM$9,CL17+2,0,1,1))*OFFSET($CH$9,CL17+2,0,1,1))+OFFSET($BO$9,CL17+2,CQ17,1,1),IF(F17&lt;OFFSET($BN$9,CL17+3,0,1,1),((F17-OFFSET($BM$9,CL17+3,0,1,1))*OFFSET($CH$9,CL17+3,0,1,1))+OFFSET($BO$9,CL17+3,CQ17,1,1),0))))))</f>
        <v>0</v>
      </c>
      <c r="CT17" s="51">
        <f ca="1">IF($F17&lt;OFFSET($BM$9,$CL17-1,0,1,1),0,IF($F17&lt;OFFSET($BN$9,$CL17-1,0,1,1),IF(AND($H17&gt;2.4,Z17&lt;&gt;"e",Z17&lt;&gt;"f"),CX17*2.4/$H17,CX17),IF($F17&lt;OFFSET($BN$9,$CL17+0,0,1,1),IF(AND($H17&gt;2.4,Z17&lt;&gt;"e",Z17&lt;&gt;"f"),CX17*2.4/$H17,CX17),IF($F17&lt;OFFSET($BN$9,$CL17+1,0,1,1),IF(AND($H17&gt;2.4,Z17&lt;&gt;"e",Z17&lt;&gt;"f"),CX17*2.4/$H17,CX17),IF($F17&lt;OFFSET($BN$9,CL17+2,0,1,1),IF(AND($H17&gt;2.4,Z17&lt;&gt;"e",Z17&lt;&gt;"f"),CX17*2.4/$H17,CX17),IF($F17&lt;OFFSET($BN$9,CL17+3,0,1,1),IF(AND($H17&gt;2.4,Z17&lt;&gt;"e",Z17&lt;&gt;"f"),CX17*2.4/$H17,CX17),0)))))*COS(RADIANS($G17)))</f>
        <v>0</v>
      </c>
      <c r="CU17" s="51">
        <f ca="1">IF(F17&lt;OFFSET($BM$9,CL17-1,0,1,1),0,IF(F17&lt;OFFSET($BN$9,CL17-1,0,1,1),((F17-OFFSET($BM$9,CL17-1,0,1,1))*OFFSET($CI$9,CL17-1,0,1,1))+OFFSET($BP$9,CL17-1,CQ17,1,1),IF(F17&lt;OFFSET($BN$9,CL17+0,0,1,1),((F17-OFFSET($BM$9,CL17+0,0,1,1))*OFFSET($CI$9,CL17+0,0,1,1))+OFFSET($BP$9,CL17+0,CQ17,1,1),IF(F17&lt;OFFSET($BN$9,CL17+1,0,1,1),((F17-OFFSET($BM$9,CL17+1,0,1,1))*OFFSET($CI$9,CL17+1,0,1,1))+OFFSET($BP$9,CL17+1,CQ17,1,1),IF(F17&lt;OFFSET($BN$9,CL17+2,0,1,1),((F17-OFFSET($BM$9,CL17+2,0,1,1))*OFFSET($CI$9,CL17+2,0,1,1))+OFFSET($BP$9,CL17+2,CQ17,1,1),IF(F17&lt;OFFSET($BN$9,CL17+3,0,1,1),((F17-OFFSET($BM$9,CL17+3,0,1,1))*OFFSET($CI$9,CL17+3,0,1,1))+OFFSET($BP$9,CL17+3,CQ17,1,1),0))))))</f>
        <v>0</v>
      </c>
      <c r="CV17" s="51">
        <f ca="1">IF($F17&lt;OFFSET($BM$9,$CL17-1,0,1,1),0,IF($F17&lt;OFFSET($BN$9,$CL17-1,0,1,1),IF(AND($H17&gt;2.4,Z17&lt;&gt;"e",Z17&lt;&gt;"f"),CZ17*2.4/$H17,CZ17),IF($F17&lt;OFFSET($BN$9,$CL17+0,0,1,1),IF(AND($H17&gt;2.4,Z17&lt;&gt;"e",Z17&lt;&gt;"f"),CZ17*2.4/$H17,CZ17),IF($F17&lt;OFFSET($BN$9,$CL17+1,0,1,1),IF(AND($H17&gt;2.4,Z17&lt;&gt;"e",Z17&lt;&gt;"f"),CZ17*2.4/$H17,CZ17),IF($F17&lt;OFFSET($BN$9,$CL17+2,0,1,1),IF(AND($H17&gt;2.4,Z17&lt;&gt;"e",Z17&lt;&gt;"f"),CZ17*2.4/$H17,CZ17),IF($F17&lt;OFFSET($BN$9,$CL17+3,0,1,1),IF(AND($H17&gt;2.4,Z17&lt;&gt;"e",Z17&lt;&gt;"f"),CZ17*2.4/$H17,CZ17),0)))))*COS(RADIANS($G17)))</f>
        <v>0</v>
      </c>
      <c r="CW17" s="51">
        <f ca="1">IF(CT17&gt;CR17,CR17,CT17)</f>
        <v>0</v>
      </c>
      <c r="CX17" s="51">
        <f ca="1">IF(CS17&gt;$CR17,$CR17,CS17)</f>
        <v>0</v>
      </c>
      <c r="CY17" s="51">
        <f ca="1">CW17*F17</f>
        <v>0</v>
      </c>
      <c r="CZ17" s="51">
        <f ca="1">IF($CU17&gt;$CR17,$CR17,$CU17)</f>
        <v>0</v>
      </c>
      <c r="DA17" s="51">
        <f ca="1">IF(CV17&gt;CR17,CR17,CV17)</f>
        <v>0</v>
      </c>
      <c r="DB17" s="984">
        <f ca="1">DA17*F17</f>
        <v>0</v>
      </c>
      <c r="DC17" s="993">
        <v>1</v>
      </c>
      <c r="DD17" s="758" t="str">
        <f>IF(OR(D17=BG$12,D17=BG$13),"External",IF(D17=BG$14,"Internal"," "))</f>
        <v xml:space="preserve"> </v>
      </c>
      <c r="DE17" s="51" t="str">
        <f t="shared" ca="1" si="1"/>
        <v/>
      </c>
      <c r="DF17" s="52" t="str">
        <f t="shared" ca="1" si="2"/>
        <v xml:space="preserve"> </v>
      </c>
      <c r="DG17" s="51">
        <f ca="1">IF(F17&lt;OFFSET($BM$9,CN17-1,0,1,1),0,IF(F17&lt;OFFSET($BN$9,CN17-1,0,1,1),((F17-OFFSET($BM$9,CN17-1,0,1,1))*OFFSET($CH$9,CN17-1,0,1,1))+OFFSET($BO$9,CN17-1,CQ17,1,1),IF(F17&lt;OFFSET($BN$9,CN17+0,0,1,1),((F17-OFFSET($BM$9,CN17+0,0,1,1))*OFFSET($CH$9,CN17+0,0,1,1))+OFFSET($BO$9,CN17+0,CQ17,1,1),IF(F17&lt;OFFSET($BN$9,CN17+1,0,1,1),((F17-OFFSET($BM$9,CN17+1,0,1,1))*OFFSET($CH$9,CN17+1,0,1,1))+OFFSET($BO$9,CN17+1,CQ17,1,1),IF(F17&lt;OFFSET($BN$9,CN17+2,0,1,1),((F17-OFFSET($BM$9,CN17+2,0,1,1))*OFFSET($CH$9,CN17+2,0,1,1))+OFFSET($BO$9,CN17+2,CQ17,1,1),IF(F17&lt;OFFSET($BN$9,CN17+3,0,1,1),((F17-OFFSET($BM$9,CN17+3,0,1,1))*OFFSET($CH$9,CN17+3,0,1,1))+OFFSET($BO$9,CN17+3,CQ17,1,1),0))))))</f>
        <v>0</v>
      </c>
      <c r="DH17" s="51">
        <f ca="1">IF($F17&lt;OFFSET($BM$9,$CN17-1,0,1,1),0,IF($F17&lt;OFFSET($BN$9,$CN17-1,0,1,1),IF(AND($H17&gt;2.4,Z17&lt;&gt;"e",Z17&lt;&gt;"f"),DL17*2.4/$H17,DL17),IF($F17&lt;OFFSET($BN$9,$CN17+0,0,1,1),IF(AND($H17&gt;2.4,Z17&lt;&gt;"e",Z17&lt;&gt;"f"),DL17*2.4/$H17,DL17),IF($F17&lt;OFFSET($BN$9,$CN17+1,0,1,1),IF(AND($H17&gt;2.4,Z17&lt;&gt;"e",Z17&lt;&gt;"f"),DL17*2.4/$H17,DL17),IF($F17&lt;OFFSET($BN$9,$CN17+2,0,1,1),IF(AND($H17&gt;2.4,Z17&lt;&gt;"e",Z17&lt;&gt;"f"),DL17*2.4/$H17,DL17),IF($F17&lt;OFFSET($BN$9,$CN17+3,0,1,1),IF(AND($H17&gt;2.4,Z17&lt;&gt;"e",Z17&lt;&gt;"f"),DL17*2.4/$H17,DL17),0)))))*COS(RADIANS($G17)))</f>
        <v>0</v>
      </c>
      <c r="DI17" s="51">
        <f ca="1">IF(F17&lt;OFFSET($BM$9,CN17-1,0,1,1),0,IF(F17&lt;OFFSET($BN$9,CN17-1,0,1,1),((F17-OFFSET($BM$9,CN17-1,0,1,1))*OFFSET($CI$9,CN17-1,0,1,1))+OFFSET($BP$9,CN17-1,CQ17,1,1),IF(F17&lt;OFFSET($BN$9,CN17+0,0,1,1),((F17-OFFSET($BM$9,CN17+0,0,1,1))*OFFSET($CI$9,CN17+0,0,1,1))+OFFSET($BP$9,CN17+0,CQ17,1,1),IF(F17&lt;OFFSET($BN$9,CN17+1,0,1,1),((F17-OFFSET($BM$9,CN17+1,0,1,1))*OFFSET($CI$9,CN17+1,0,1,1))+OFFSET($BP$9,CN17+1,CQ17,1,1),IF(F17&lt;OFFSET($BN$9,CN17+2,0,1,1),((F17-OFFSET($BM$9,CN17+2,0,1,1))*OFFSET($CI$9,CN17+2,0,1,1))+OFFSET($BP$9,CN17+2,CQ17,1,1),IF(F17&lt;OFFSET($BN$9,CN17+3,0,1,1),((F17-OFFSET($BM$9,CN17+3,0,1,1))*OFFSET($CI$9,CN17+3,0,1,1))+OFFSET($BP$9,CN17+3,CQ17,1,1),0))))))</f>
        <v>0</v>
      </c>
      <c r="DJ17" s="51">
        <f ca="1">IF($F17&lt;OFFSET($BM$9,$CN17-1,0,1,1),0,IF($F17&lt;OFFSET($BN$9,$CN17-1,0,1,1),IF(AND($H17&gt;2.4,Z17&lt;&gt;"e",Z17&lt;&gt;"f"),DN17*2.4/$H17,DN17),IF($F17&lt;OFFSET($BN$9,$CN17+0,0,1,1),IF(AND($H17&gt;2.4,Z17&lt;&gt;"e",Z17&lt;&gt;"f"),DN17*2.4/$H17,DN17),IF($F17&lt;OFFSET($BN$9,$CN17+1,0,1,1),IF(AND($H17&gt;2.4,Z17&lt;&gt;"e",Z17&lt;&gt;"f"),DN17*2.4/$H17,DN17),IF($F17&lt;OFFSET($BN$9,$CN17+2,0,1,1),IF(AND($H17&gt;2.4,Z17&lt;&gt;"e",Z17&lt;&gt;"f"),DN17*2.4/$H17,DN17),IF($F17&lt;OFFSET($BN$9,$CN17+3,0,1,1),IF(AND($H17&gt;2.4,Z17&lt;&gt;"e",Z17&lt;&gt;"f"),DN17*2.4/$H17,DN17),0)))))*COS(RADIANS($G17)))</f>
        <v>0</v>
      </c>
      <c r="DK17" s="51"/>
      <c r="DL17" s="51">
        <f ca="1">IF(DG17&gt;$CR17,$CR17,DG17)</f>
        <v>0</v>
      </c>
      <c r="DM17" s="51"/>
      <c r="DN17" s="51">
        <f ca="1">IF(DI17&gt;$CR17,$CR17,DI17)</f>
        <v>0</v>
      </c>
      <c r="DO17" s="435">
        <f ca="1">IF(DH17&gt;$CR17,$CR17,DH17)</f>
        <v>0</v>
      </c>
      <c r="DP17" s="435">
        <f ca="1">DO17*F17</f>
        <v>0</v>
      </c>
      <c r="DQ17" s="436">
        <f ca="1">IF(DJ17&gt;$CR17,$CR17,DJ17)</f>
        <v>0</v>
      </c>
      <c r="DR17" s="437">
        <f ca="1">DQ17*F17</f>
        <v>0</v>
      </c>
      <c r="DS17" s="426">
        <f ca="1">OFFSET($CH$9,CL17-1,-15,1,1)</f>
        <v>0</v>
      </c>
      <c r="DT17" s="451">
        <f ca="1">VLOOKUP(DS17,Prodlink,2,0)</f>
        <v>0</v>
      </c>
      <c r="DU17" s="188">
        <f ca="1">IF(F17&lt;OFFSET($BM$9,DT17-1,0,1,1),0,IF(F17&lt;OFFSET($BN$9,DT17-1,0,1,1),((F17-OFFSET($BM$9,DT17-1,0,1,1))*OFFSET($CH$9,DT17-1,0,1,1))+OFFSET($BO$9,DT17-1,CQ17,1,1),IF(F17&lt;OFFSET($BN$9,DT17+0,0,1,1),((F17-OFFSET($BM$9,DT17+0,0,1,1))*OFFSET($CH$9,DT17+0,0,1,1))+OFFSET($BO$9,DT17+0,CQ17,1,1),IF(F17&lt;OFFSET($BN$9,DT17+1,0,1,1),((F17-OFFSET($BM$9,DT17+1,0,1,1))*OFFSET($CH$9,DT17+1,0,1,1))+OFFSET($BO$9,DT17+1,CQ17,1,1),IF(F17&lt;OFFSET($BN$9,DT17+2,0,1,1),((F17-OFFSET($BM$9,DT17+2,0,1,1))*OFFSET($CH$9,DT17+2,0,1,1))+OFFSET($BO$9,DT17+2,CQ17,1,1),IF(F17&lt;OFFSET($BN$9,DT17+3,0,1,1),((F17-OFFSET($BM$9,DT17+3,0,1,1))*OFFSET($CH$9,DT17+3,0,1,1))+OFFSET($BO$9,DT17+3,CQ17,1,1),0))))))</f>
        <v>0</v>
      </c>
      <c r="DV17" s="51">
        <f ca="1">IF($F17&lt;OFFSET($BM$9,$DT17-1,0,1,1),0,IF($F17&lt;OFFSET($BN$9,$DT17-1,0,1,1),IF(AND($H17&gt;2.4,Z17&lt;&gt;"e",Z17&lt;&gt;"f"),DZ17*2.4/$H17,DZ17),IF($F17&lt;OFFSET($BN$9,$DT17+0,0,1,1),IF(AND($H17&gt;2.4,Z17&lt;&gt;"e",Z17&lt;&gt;"f"),DZ17*2.4/$H17,DZ17),IF($F17&lt;OFFSET($BN$9,$DT17+1,0,1,1),IF(AND($H17&gt;2.4,Z17&lt;&gt;"e",Z17&lt;&gt;"f"),DZ17*2.4/$H17,DZ17),IF($F17&lt;OFFSET($BN$9,$DT17+2,0,1,1),IF(AND($H17&gt;2.4,Z17&lt;&gt;"e",Z17&lt;&gt;"f"),DZ17*2.4/$H17,DZ17),IF($F17&lt;OFFSET($BN$9,$DT17+3,0,1,1),IF(AND($H17&gt;2.4,Z17&lt;&gt;"e",Z17&lt;&gt;"f"),DZ17*2.4/$H17,DZ17),0)))))*COS(RADIANS($G17)))</f>
        <v>0</v>
      </c>
      <c r="DW17" s="188">
        <f ca="1">IF(F17&lt;OFFSET($BM$9,DT17-1,0,1,1),0,IF(F17&lt;OFFSET($BN$9,DT17-1,0,1,1),((F17-OFFSET($BM$9,DT17-1,0,1,1))*OFFSET($CI$9,DT17-1,0,1,1))+OFFSET($BP$9,DT17-1,CQ17,1,1),IF(F17&lt;OFFSET($BN$9,DT17+0,0,1,1),((F17-OFFSET($BM$9,DT17+0,0,1,1))*OFFSET($CI$9,DT17+0,0,1,1))+OFFSET($BP$9,DT17+0,CQ17,1,1),IF(F17&lt;OFFSET($BN$9,DT17+1,0,1,1),((F17-OFFSET($BM$9,DT17+1,0,1,1))*OFFSET($CI$9,DT17+1,0,1,1))+OFFSET($BP$9,DT17+1,CQ17,1,1),IF(F17&lt;OFFSET($BN$9,DT17+2,0,1,1),((F17-OFFSET($BM$9,DT17+2,0,1,1))*OFFSET($CI$9,DT17+2,0,1,1))+OFFSET($BP$9,DT17+2,CQ17,1,1),IF(F17&lt;OFFSET($BN$9,DT17+3,0,1,1),((F17-OFFSET($BM$9,DT17+3,0,1,1))*OFFSET($CI$9,DT17+3,0,1,1))+OFFSET($BP$9,DT17+3,CQ17,1,1),0))))))</f>
        <v>0</v>
      </c>
      <c r="DX17" s="51">
        <f ca="1">IF($F17&lt;OFFSET($BM$9,$DT17-1,0,1,1),0,IF($F17&lt;OFFSET($BN$9,$DT17-1,0,1,1),IF(AND($H17&gt;2.4,Z17&lt;&gt;"e",Z17&lt;&gt;"f"),EB17*2.4/$H17,EB17),IF($F17&lt;OFFSET($BN$9,$DT17+0,0,1,1),IF(AND($H17&gt;2.4,Z17&lt;&gt;"e",Z17&lt;&gt;"f"),EB17*2.4/$H17,EB17),IF($F17&lt;OFFSET($BN$9,$DT17+1,0,1,1),IF(AND($H17&gt;2.4,Z17&lt;&gt;"e",Z17&lt;&gt;"f"),EB17*2.4/$H17,EB17),IF($F17&lt;OFFSET($BN$9,$DT17+2,0,1,1),IF(AND($H17&gt;2.4,Z17&lt;&gt;"e",Z17&lt;&gt;"f"),EB17*2.4/$H17,EB17),IF($F17&lt;OFFSET($BN$9,$DT17+3,0,1,1),IF(AND($H17&gt;2.4,Z17&lt;&gt;"e",Z17&lt;&gt;"f"),EB17*2.4/$H17,EB17),0)))))*COS(RADIANS($G17)))</f>
        <v>0</v>
      </c>
      <c r="DY17" s="188"/>
      <c r="DZ17" s="188">
        <f ca="1">IF(DU17&gt;$CR17,$CR17,DU17)</f>
        <v>0</v>
      </c>
      <c r="EA17" s="188"/>
      <c r="EB17" s="188">
        <f ca="1">IF(DW17&gt;$CR17,$CR17,DW17)</f>
        <v>0</v>
      </c>
      <c r="EC17" s="435">
        <f ca="1">IF(DV17&gt;$CR17,$CR17,DV17)</f>
        <v>0</v>
      </c>
      <c r="ED17" s="435">
        <f ca="1">EC17*F17</f>
        <v>0</v>
      </c>
      <c r="EE17" s="436">
        <f ca="1">IF(DX17&gt;$CR17,$CR17,DX17)</f>
        <v>0</v>
      </c>
      <c r="EF17" s="437">
        <f ca="1">EE17*F17</f>
        <v>0</v>
      </c>
      <c r="EG17" s="613" t="str">
        <f>IF(D17=BG$12,BG$12,"")</f>
        <v/>
      </c>
      <c r="EH17" s="614" t="str">
        <f>IF(D17=BG$13,BG$13,"")</f>
        <v/>
      </c>
      <c r="EI17" s="611">
        <f>IF(EG17=BG$12,M17,0)</f>
        <v>0</v>
      </c>
      <c r="EJ17" s="451">
        <f>IF(EG17=BG$12,O17,0)</f>
        <v>0</v>
      </c>
      <c r="EK17" s="451">
        <f>IF(EH17=BG$13,M17,0)</f>
        <v>0</v>
      </c>
      <c r="EL17" s="612">
        <f>IF(EH17=BG$13,O17,0)</f>
        <v>0</v>
      </c>
      <c r="EM17" s="426" t="str">
        <f ca="1">IF(AND(Z17&lt;&gt;"t",Z17&lt;&gt;"f"),"",IF(AND(EN17=$BH$13,K17=$BH$12),"NotOpt",IF(K17&lt;&gt;EN17,"Error","")))</f>
        <v/>
      </c>
      <c r="EN17" s="491" t="str">
        <f>IF(AND($BH$28=1,$BG$28=1),$BH$13,$BH$12)</f>
        <v>120 BU's</v>
      </c>
      <c r="EO17" s="426" t="str">
        <f>K17</f>
        <v xml:space="preserve"> </v>
      </c>
      <c r="EP17" s="497">
        <v>1</v>
      </c>
      <c r="EQ17" s="430" t="str">
        <f ca="1">IF(EP17=1," ",OFFSET(BF$15,EP17-2,0,1,1))</f>
        <v xml:space="preserve"> </v>
      </c>
      <c r="ER17" s="439" t="str">
        <f ca="1">IF(H17=0," ",H17)</f>
        <v xml:space="preserve"> </v>
      </c>
      <c r="ES17" s="440" t="str">
        <f ca="1">IF(ER17&lt;&gt;" ",IF(ER17&lt;&gt;ER$7,"Changed",""),"")</f>
        <v/>
      </c>
      <c r="ET17" s="440">
        <f ca="1">IF(ER17&lt;&gt;" ",IF(ER17&lt;&gt;ER$7,1,0),0)</f>
        <v>0</v>
      </c>
      <c r="EU17" s="957" t="str">
        <f ca="1">IF(I17=" "," ",IF(F17&lt;OFFSET($BM$9,CL17-1,0,1,1),1,""))</f>
        <v xml:space="preserve"> </v>
      </c>
      <c r="EW17" s="427"/>
    </row>
    <row r="18" spans="2:153" ht="17.100000000000001" customHeight="1" thickBot="1">
      <c r="B18" s="689" t="s">
        <v>246</v>
      </c>
      <c r="C18" s="684" t="str">
        <f>IF(OR(F18=0,I18="",I18=" ")," ",$V18)</f>
        <v xml:space="preserve"> </v>
      </c>
      <c r="D18" s="1419"/>
      <c r="E18" s="1360"/>
      <c r="F18" s="201"/>
      <c r="G18" s="1416"/>
      <c r="H18" s="199" t="str">
        <f ca="1">IF(OR(F18=0,Z18="E",Z18="f")," ",'Project Demand'!E$35)</f>
        <v xml:space="preserve"> </v>
      </c>
      <c r="I18" s="631" t="str">
        <f>IF($I$6&lt;&gt;$BG$8," ",AB18)</f>
        <v xml:space="preserve"> </v>
      </c>
      <c r="J18" s="44" t="str">
        <f ca="1">IF(OR(I18=" ",I18="")," ",OFFSET($BO$9,CL18-1,0-4,1,1))</f>
        <v xml:space="preserve"> </v>
      </c>
      <c r="K18" s="55" t="str">
        <f>IF(OR(I18=" ",I18="")," ",IF(OR(Z18="e",Z18="h"),"SD",BG$24))</f>
        <v xml:space="preserve"> </v>
      </c>
      <c r="L18" s="49">
        <f ca="1">CW18</f>
        <v>0</v>
      </c>
      <c r="M18" s="49">
        <f ca="1">CY18</f>
        <v>0</v>
      </c>
      <c r="N18" s="50">
        <f t="shared" ca="1" si="15"/>
        <v>0</v>
      </c>
      <c r="O18" s="126">
        <f t="shared" ca="1" si="15"/>
        <v>0</v>
      </c>
      <c r="P18" s="140"/>
      <c r="Q18" s="752" t="str">
        <f ca="1">IF(AND(OR(Z18="t",Z18="f"),K18=$BH$11),"No Floor!  Change Floor Type",IF(OR(I18=" ",I18="")," ",IF(F18&lt;OFFSET($BM$9,CL18-1,0,1,1),"check L(m)",DE18&amp;IF(AND(DP18&gt;=CY18,DR18&gt;=DB18),IF(AND(ED18&gt;=DP18,EF18&gt;=DR18),CONCATENATE(DS18," will provide same result"),CONCATENATE(CO18," will provide same result")),IF((DP18&gt;=CY18),CONCATENATE(CO18," provides same result in WIND"),IF((DR18&gt;=DB18),CONCATENATE(CO18," provides same result in EQ"),""))))))&amp;IF(ISERROR(FIND("pile",I18,1)),"",IF(INT(F18)&lt;&gt;F18,"Pile!  Use Whole Numbers Only",""))</f>
        <v xml:space="preserve"> </v>
      </c>
      <c r="T18" s="52"/>
      <c r="U18" s="1377"/>
      <c r="V18" s="52" t="str">
        <f ca="1">IF(AND(B$5=$BF$9,OR(I18=BH$16,I18=BH$17))," ",IF(ISNUMBER(B$14),(CONCATENATE(B$14,".",W18)),(CONCATENATE(B$14,W18))))</f>
        <v>B0</v>
      </c>
      <c r="W18" s="9">
        <f ca="1">W17+X18</f>
        <v>0</v>
      </c>
      <c r="X18" s="9">
        <f>IF(AND(B$5=$BF$9,OR($I18=$BH$16,$I18=$BH$17,$I18=" ",$I18="",$F18=0)),0,IF(OR($I18=" ",$I18="",$F18=0),0,1))</f>
        <v>0</v>
      </c>
      <c r="Y18" s="896"/>
      <c r="Z18" s="52" t="str">
        <f ca="1">IF(I18=" "," ",OFFSET($BM$9,$CL18-1,8,1,1))</f>
        <v xml:space="preserve"> </v>
      </c>
      <c r="AA18" s="51" t="str">
        <f>IF(G18&gt;=45,"WA","")</f>
        <v/>
      </c>
      <c r="AB18" s="1364" t="str">
        <f>IF(F18&lt;&gt;"",IF(OR(D18=$BG$12,D18=$BG$13),IF(E18&lt;&gt;$BG$17,$BF$12,$BF$13),IF(E18&lt;&gt;$BG$17,$BF$12,$BF$13))," ")</f>
        <v xml:space="preserve"> </v>
      </c>
      <c r="AC18" s="1"/>
      <c r="AJ18" s="2230"/>
      <c r="AK18" s="2793"/>
      <c r="AL18" s="2784"/>
      <c r="AM18" s="11">
        <f>'Regular and QuickBrace Systems'!F32</f>
        <v>0.8</v>
      </c>
      <c r="AN18" s="1336">
        <f>'Regular and QuickBrace Systems'!G32</f>
        <v>95</v>
      </c>
      <c r="AO18" s="26">
        <f>'Regular and QuickBrace Systems'!H32</f>
        <v>83</v>
      </c>
      <c r="AP18" s="1595"/>
      <c r="AQ18" s="2663"/>
      <c r="AR18" s="2664"/>
      <c r="AS18" s="2031"/>
      <c r="AT18" s="1339"/>
      <c r="AU18" s="2090"/>
      <c r="AW18" s="1569" t="str">
        <f>'Regular and QuickBrace Systems'!O32</f>
        <v>Yes</v>
      </c>
      <c r="AX18" s="442" t="str">
        <f>'Regular and QuickBrace Systems'!Q32</f>
        <v>No</v>
      </c>
      <c r="BD18" s="638"/>
      <c r="BE18" s="51"/>
      <c r="BF18" s="598" t="str">
        <f>Table!AI78</f>
        <v>ESSN</v>
      </c>
      <c r="BG18" s="949"/>
      <c r="BI18" s="759"/>
      <c r="BJ18" s="897">
        <f t="shared" si="3"/>
        <v>10</v>
      </c>
      <c r="BK18" s="769" t="str">
        <f t="shared" si="4"/>
        <v xml:space="preserve">  </v>
      </c>
      <c r="BL18" s="771" t="str">
        <f t="shared" si="5"/>
        <v>Custom7</v>
      </c>
      <c r="BM18" s="455">
        <f t="shared" si="6"/>
        <v>9.9999999999999996E-76</v>
      </c>
      <c r="BN18" s="455">
        <v>999</v>
      </c>
      <c r="BO18" s="455">
        <f t="shared" si="7"/>
        <v>0</v>
      </c>
      <c r="BP18" s="925">
        <f t="shared" si="8"/>
        <v>0</v>
      </c>
      <c r="BR18" s="764"/>
      <c r="BS18" s="455"/>
      <c r="BT18" s="455" t="str">
        <f t="shared" si="9"/>
        <v>B</v>
      </c>
      <c r="BU18" s="925" t="str">
        <f t="shared" si="10"/>
        <v>T</v>
      </c>
      <c r="BV18" s="483" t="str">
        <f t="shared" si="11"/>
        <v>Custom7</v>
      </c>
      <c r="BW18" s="910">
        <f t="shared" si="16"/>
        <v>10</v>
      </c>
      <c r="BX18" s="925" t="str">
        <f t="shared" si="14"/>
        <v>Single</v>
      </c>
      <c r="CG18" s="51" t="s">
        <v>8</v>
      </c>
      <c r="CH18" s="764">
        <f t="shared" si="12"/>
        <v>0</v>
      </c>
      <c r="CI18" s="925">
        <f t="shared" si="13"/>
        <v>0</v>
      </c>
      <c r="CJ18" s="759"/>
      <c r="CK18" s="188"/>
      <c r="CL18" s="979">
        <f>VLOOKUP(I18,Prodlink,2,0)</f>
        <v>0</v>
      </c>
      <c r="CN18" s="497">
        <f ca="1">VLOOKUP(CO18,Prodlink,2,0)</f>
        <v>0</v>
      </c>
      <c r="CO18" s="497">
        <f ca="1">OFFSET($CH$9,CL18-1,-15,1,1)</f>
        <v>0</v>
      </c>
      <c r="CQ18" s="51">
        <v>0</v>
      </c>
      <c r="CR18" s="51">
        <f>IF(K18=$BH$12,$BH$23,IF(K18=$BH$13,$BH$24,10000))</f>
        <v>10000</v>
      </c>
      <c r="CS18" s="51">
        <f ca="1">IF(F18&lt;OFFSET($BM$9,CL18-1,0,1,1),0,IF(F18&lt;OFFSET($BN$9,CL18-1,0,1,1),((F18-OFFSET($BM$9,CL18-1,0,1,1))*OFFSET($CH$9,CL18-1,0,1,1))+OFFSET($BO$9,CL18-1,CQ18,1,1),IF(F18&lt;OFFSET($BN$9,CL18+0,0,1,1),((F18-OFFSET($BM$9,CL18+0,0,1,1))*OFFSET($CH$9,CL18+0,0,1,1))+OFFSET($BO$9,CL18+0,CQ18,1,1),IF(F18&lt;OFFSET($BN$9,CL18+1,0,1,1),((F18-OFFSET($BM$9,CL18+1,0,1,1))*OFFSET($CH$9,CL18+1,0,1,1))+OFFSET($BO$9,CL18+1,CQ18,1,1),IF(F18&lt;OFFSET($BN$9,CL18+2,0,1,1),((F18-OFFSET($BM$9,CL18+2,0,1,1))*OFFSET($CH$9,CL18+2,0,1,1))+OFFSET($BO$9,CL18+2,CQ18,1,1),IF(F18&lt;OFFSET($BN$9,CL18+3,0,1,1),((F18-OFFSET($BM$9,CL18+3,0,1,1))*OFFSET($CH$9,CL18+3,0,1,1))+OFFSET($BO$9,CL18+3,CQ18,1,1),0))))))</f>
        <v>0</v>
      </c>
      <c r="CT18" s="51">
        <f ca="1">IF($F18&lt;OFFSET($BM$9,$CL18-1,0,1,1),0,IF($F18&lt;OFFSET($BN$9,$CL18-1,0,1,1),IF(AND($H18&gt;2.4,Z18&lt;&gt;"e",Z18&lt;&gt;"f"),CX18*2.4/$H18,CX18),IF($F18&lt;OFFSET($BN$9,$CL18+0,0,1,1),IF(AND($H18&gt;2.4,Z18&lt;&gt;"e",Z18&lt;&gt;"f"),CX18*2.4/$H18,CX18),IF($F18&lt;OFFSET($BN$9,$CL18+1,0,1,1),IF(AND($H18&gt;2.4,Z18&lt;&gt;"e",Z18&lt;&gt;"f"),CX18*2.4/$H18,CX18),IF($F18&lt;OFFSET($BN$9,CL18+2,0,1,1),IF(AND($H18&gt;2.4,Z18&lt;&gt;"e",Z18&lt;&gt;"f"),CX18*2.4/$H18,CX18),IF($F18&lt;OFFSET($BN$9,CL18+3,0,1,1),IF(AND($H18&gt;2.4,Z18&lt;&gt;"e",Z18&lt;&gt;"f"),CX18*2.4/$H18,CX18),0)))))*COS(RADIANS($G18)))</f>
        <v>0</v>
      </c>
      <c r="CU18" s="51">
        <f ca="1">IF(F18&lt;OFFSET($BM$9,CL18-1,0,1,1),0,IF(F18&lt;OFFSET($BN$9,CL18-1,0,1,1),((F18-OFFSET($BM$9,CL18-1,0,1,1))*OFFSET($CI$9,CL18-1,0,1,1))+OFFSET($BP$9,CL18-1,CQ18,1,1),IF(F18&lt;OFFSET($BN$9,CL18+0,0,1,1),((F18-OFFSET($BM$9,CL18+0,0,1,1))*OFFSET($CI$9,CL18+0,0,1,1))+OFFSET($BP$9,CL18+0,CQ18,1,1),IF(F18&lt;OFFSET($BN$9,CL18+1,0,1,1),((F18-OFFSET($BM$9,CL18+1,0,1,1))*OFFSET($CI$9,CL18+1,0,1,1))+OFFSET($BP$9,CL18+1,CQ18,1,1),IF(F18&lt;OFFSET($BN$9,CL18+2,0,1,1),((F18-OFFSET($BM$9,CL18+2,0,1,1))*OFFSET($CI$9,CL18+2,0,1,1))+OFFSET($BP$9,CL18+2,CQ18,1,1),IF(F18&lt;OFFSET($BN$9,CL18+3,0,1,1),((F18-OFFSET($BM$9,CL18+3,0,1,1))*OFFSET($CI$9,CL18+3,0,1,1))+OFFSET($BP$9,CL18+3,CQ18,1,1),0))))))</f>
        <v>0</v>
      </c>
      <c r="CV18" s="51">
        <f ca="1">IF($F18&lt;OFFSET($BM$9,$CL18-1,0,1,1),0,IF($F18&lt;OFFSET($BN$9,$CL18-1,0,1,1),IF(AND($H18&gt;2.4,Z18&lt;&gt;"e",Z18&lt;&gt;"f"),CZ18*2.4/$H18,CZ18),IF($F18&lt;OFFSET($BN$9,$CL18+0,0,1,1),IF(AND($H18&gt;2.4,Z18&lt;&gt;"e",Z18&lt;&gt;"f"),CZ18*2.4/$H18,CZ18),IF($F18&lt;OFFSET($BN$9,$CL18+1,0,1,1),IF(AND($H18&gt;2.4,Z18&lt;&gt;"e",Z18&lt;&gt;"f"),CZ18*2.4/$H18,CZ18),IF($F18&lt;OFFSET($BN$9,$CL18+2,0,1,1),IF(AND($H18&gt;2.4,Z18&lt;&gt;"e",Z18&lt;&gt;"f"),CZ18*2.4/$H18,CZ18),IF($F18&lt;OFFSET($BN$9,$CL18+3,0,1,1),IF(AND($H18&gt;2.4,Z18&lt;&gt;"e",Z18&lt;&gt;"f"),CZ18*2.4/$H18,CZ18),0)))))*COS(RADIANS($G18)))</f>
        <v>0</v>
      </c>
      <c r="CW18" s="51">
        <f ca="1">IF(CT18&gt;CR18,CR18,CT18)</f>
        <v>0</v>
      </c>
      <c r="CX18" s="51">
        <f ca="1">IF(CS18&gt;$CR18,$CR18,CS18)</f>
        <v>0</v>
      </c>
      <c r="CY18" s="51">
        <f ca="1">CW18*F18</f>
        <v>0</v>
      </c>
      <c r="CZ18" s="51">
        <f ca="1">IF($CU18&gt;$CR18,$CR18,$CU18)</f>
        <v>0</v>
      </c>
      <c r="DA18" s="51">
        <f ca="1">IF(CV18&gt;CR18,CR18,CV18)</f>
        <v>0</v>
      </c>
      <c r="DB18" s="984">
        <f ca="1">DA18*F18</f>
        <v>0</v>
      </c>
      <c r="DC18" s="993">
        <v>1</v>
      </c>
      <c r="DD18" s="758" t="str">
        <f>IF(OR(D18=BG$12,D18=BG$13),"External",IF(D18=BG$14,"Internal"," "))</f>
        <v xml:space="preserve"> </v>
      </c>
      <c r="DE18" s="51" t="str">
        <f t="shared" ca="1" si="1"/>
        <v/>
      </c>
      <c r="DF18" s="52" t="str">
        <f t="shared" ca="1" si="2"/>
        <v xml:space="preserve"> </v>
      </c>
      <c r="DG18" s="51">
        <f ca="1">IF(F18&lt;OFFSET($BM$9,CN18-1,0,1,1),0,IF(F18&lt;OFFSET($BN$9,CN18-1,0,1,1),((F18-OFFSET($BM$9,CN18-1,0,1,1))*OFFSET($CH$9,CN18-1,0,1,1))+OFFSET($BO$9,CN18-1,CQ18,1,1),IF(F18&lt;OFFSET($BN$9,CN18+0,0,1,1),((F18-OFFSET($BM$9,CN18+0,0,1,1))*OFFSET($CH$9,CN18+0,0,1,1))+OFFSET($BO$9,CN18+0,CQ18,1,1),IF(F18&lt;OFFSET($BN$9,CN18+1,0,1,1),((F18-OFFSET($BM$9,CN18+1,0,1,1))*OFFSET($CH$9,CN18+1,0,1,1))+OFFSET($BO$9,CN18+1,CQ18,1,1),IF(F18&lt;OFFSET($BN$9,CN18+2,0,1,1),((F18-OFFSET($BM$9,CN18+2,0,1,1))*OFFSET($CH$9,CN18+2,0,1,1))+OFFSET($BO$9,CN18+2,CQ18,1,1),IF(F18&lt;OFFSET($BN$9,CN18+3,0,1,1),((F18-OFFSET($BM$9,CN18+3,0,1,1))*OFFSET($CH$9,CN18+3,0,1,1))+OFFSET($BO$9,CN18+3,CQ18,1,1),0))))))</f>
        <v>0</v>
      </c>
      <c r="DH18" s="51">
        <f ca="1">IF($F18&lt;OFFSET($BM$9,$CN18-1,0,1,1),0,IF($F18&lt;OFFSET($BN$9,$CN18-1,0,1,1),IF(AND($H18&gt;2.4,Z18&lt;&gt;"e",Z18&lt;&gt;"f"),DL18*2.4/$H18,DL18),IF($F18&lt;OFFSET($BN$9,$CN18+0,0,1,1),IF(AND($H18&gt;2.4,Z18&lt;&gt;"e",Z18&lt;&gt;"f"),DL18*2.4/$H18,DL18),IF($F18&lt;OFFSET($BN$9,$CN18+1,0,1,1),IF(AND($H18&gt;2.4,Z18&lt;&gt;"e",Z18&lt;&gt;"f"),DL18*2.4/$H18,DL18),IF($F18&lt;OFFSET($BN$9,$CN18+2,0,1,1),IF(AND($H18&gt;2.4,Z18&lt;&gt;"e",Z18&lt;&gt;"f"),DL18*2.4/$H18,DL18),IF($F18&lt;OFFSET($BN$9,$CN18+3,0,1,1),IF(AND($H18&gt;2.4,Z18&lt;&gt;"e",Z18&lt;&gt;"f"),DL18*2.4/$H18,DL18),0)))))*COS(RADIANS($G18)))</f>
        <v>0</v>
      </c>
      <c r="DI18" s="51">
        <f ca="1">IF(F18&lt;OFFSET($BM$9,CN18-1,0,1,1),0,IF(F18&lt;OFFSET($BN$9,CN18-1,0,1,1),((F18-OFFSET($BM$9,CN18-1,0,1,1))*OFFSET($CI$9,CN18-1,0,1,1))+OFFSET($BP$9,CN18-1,CQ18,1,1),IF(F18&lt;OFFSET($BN$9,CN18+0,0,1,1),((F18-OFFSET($BM$9,CN18+0,0,1,1))*OFFSET($CI$9,CN18+0,0,1,1))+OFFSET($BP$9,CN18+0,CQ18,1,1),IF(F18&lt;OFFSET($BN$9,CN18+1,0,1,1),((F18-OFFSET($BM$9,CN18+1,0,1,1))*OFFSET($CI$9,CN18+1,0,1,1))+OFFSET($BP$9,CN18+1,CQ18,1,1),IF(F18&lt;OFFSET($BN$9,CN18+2,0,1,1),((F18-OFFSET($BM$9,CN18+2,0,1,1))*OFFSET($CI$9,CN18+2,0,1,1))+OFFSET($BP$9,CN18+2,CQ18,1,1),IF(F18&lt;OFFSET($BN$9,CN18+3,0,1,1),((F18-OFFSET($BM$9,CN18+3,0,1,1))*OFFSET($CI$9,CN18+3,0,1,1))+OFFSET($BP$9,CN18+3,CQ18,1,1),0))))))</f>
        <v>0</v>
      </c>
      <c r="DJ18" s="51">
        <f ca="1">IF($F18&lt;OFFSET($BM$9,$CN18-1,0,1,1),0,IF($F18&lt;OFFSET($BN$9,$CN18-1,0,1,1),IF(AND($H18&gt;2.4,Z18&lt;&gt;"e",Z18&lt;&gt;"f"),DN18*2.4/$H18,DN18),IF($F18&lt;OFFSET($BN$9,$CN18+0,0,1,1),IF(AND($H18&gt;2.4,Z18&lt;&gt;"e",Z18&lt;&gt;"f"),DN18*2.4/$H18,DN18),IF($F18&lt;OFFSET($BN$9,$CN18+1,0,1,1),IF(AND($H18&gt;2.4,Z18&lt;&gt;"e",Z18&lt;&gt;"f"),DN18*2.4/$H18,DN18),IF($F18&lt;OFFSET($BN$9,$CN18+2,0,1,1),IF(AND($H18&gt;2.4,Z18&lt;&gt;"e",Z18&lt;&gt;"f"),DN18*2.4/$H18,DN18),IF($F18&lt;OFFSET($BN$9,$CN18+3,0,1,1),IF(AND($H18&gt;2.4,Z18&lt;&gt;"e",Z18&lt;&gt;"f"),DN18*2.4/$H18,DN18),0)))))*COS(RADIANS($G18)))</f>
        <v>0</v>
      </c>
      <c r="DK18" s="51"/>
      <c r="DL18" s="51">
        <f ca="1">IF(DG18&gt;$CR18,$CR18,DG18)</f>
        <v>0</v>
      </c>
      <c r="DM18" s="51"/>
      <c r="DN18" s="51">
        <f ca="1">IF(DI18&gt;$CR18,$CR18,DI18)</f>
        <v>0</v>
      </c>
      <c r="DO18" s="435">
        <f ca="1">IF(DH18&gt;$CR18,$CR18,DH18)</f>
        <v>0</v>
      </c>
      <c r="DP18" s="435">
        <f ca="1">DO18*F18</f>
        <v>0</v>
      </c>
      <c r="DQ18" s="436">
        <f ca="1">IF(DJ18&gt;$CR18,$CR18,DJ18)</f>
        <v>0</v>
      </c>
      <c r="DR18" s="437">
        <f ca="1">DQ18*F18</f>
        <v>0</v>
      </c>
      <c r="DS18" s="426">
        <f ca="1">OFFSET($CH$9,CL18-1,-15,1,1)</f>
        <v>0</v>
      </c>
      <c r="DT18" s="451">
        <f ca="1">VLOOKUP(DS18,Prodlink,2,0)</f>
        <v>0</v>
      </c>
      <c r="DU18" s="188">
        <f ca="1">IF(F18&lt;OFFSET($BM$9,DT18-1,0,1,1),0,IF(F18&lt;OFFSET($BN$9,DT18-1,0,1,1),((F18-OFFSET($BM$9,DT18-1,0,1,1))*OFFSET($CH$9,DT18-1,0,1,1))+OFFSET($BO$9,DT18-1,CQ18,1,1),IF(F18&lt;OFFSET($BN$9,DT18+0,0,1,1),((F18-OFFSET($BM$9,DT18+0,0,1,1))*OFFSET($CH$9,DT18+0,0,1,1))+OFFSET($BO$9,DT18+0,CQ18,1,1),IF(F18&lt;OFFSET($BN$9,DT18+1,0,1,1),((F18-OFFSET($BM$9,DT18+1,0,1,1))*OFFSET($CH$9,DT18+1,0,1,1))+OFFSET($BO$9,DT18+1,CQ18,1,1),IF(F18&lt;OFFSET($BN$9,DT18+2,0,1,1),((F18-OFFSET($BM$9,DT18+2,0,1,1))*OFFSET($CH$9,DT18+2,0,1,1))+OFFSET($BO$9,DT18+2,CQ18,1,1),IF(F18&lt;OFFSET($BN$9,DT18+3,0,1,1),((F18-OFFSET($BM$9,DT18+3,0,1,1))*OFFSET($CH$9,DT18+3,0,1,1))+OFFSET($BO$9,DT18+3,CQ18,1,1),0))))))</f>
        <v>0</v>
      </c>
      <c r="DV18" s="51">
        <f ca="1">IF($F18&lt;OFFSET($BM$9,$DT18-1,0,1,1),0,IF($F18&lt;OFFSET($BN$9,$DT18-1,0,1,1),IF(AND($H18&gt;2.4,Z18&lt;&gt;"e",Z18&lt;&gt;"f"),DZ18*2.4/$H18,DZ18),IF($F18&lt;OFFSET($BN$9,$DT18+0,0,1,1),IF(AND($H18&gt;2.4,Z18&lt;&gt;"e",Z18&lt;&gt;"f"),DZ18*2.4/$H18,DZ18),IF($F18&lt;OFFSET($BN$9,$DT18+1,0,1,1),IF(AND($H18&gt;2.4,Z18&lt;&gt;"e",Z18&lt;&gt;"f"),DZ18*2.4/$H18,DZ18),IF($F18&lt;OFFSET($BN$9,$DT18+2,0,1,1),IF(AND($H18&gt;2.4,Z18&lt;&gt;"e",Z18&lt;&gt;"f"),DZ18*2.4/$H18,DZ18),IF($F18&lt;OFFSET($BN$9,$DT18+3,0,1,1),IF(AND($H18&gt;2.4,Z18&lt;&gt;"e",Z18&lt;&gt;"f"),DZ18*2.4/$H18,DZ18),0)))))*COS(RADIANS($G18)))</f>
        <v>0</v>
      </c>
      <c r="DW18" s="188">
        <f ca="1">IF(F18&lt;OFFSET($BM$9,DT18-1,0,1,1),0,IF(F18&lt;OFFSET($BN$9,DT18-1,0,1,1),((F18-OFFSET($BM$9,DT18-1,0,1,1))*OFFSET($CI$9,DT18-1,0,1,1))+OFFSET($BP$9,DT18-1,CQ18,1,1),IF(F18&lt;OFFSET($BN$9,DT18+0,0,1,1),((F18-OFFSET($BM$9,DT18+0,0,1,1))*OFFSET($CI$9,DT18+0,0,1,1))+OFFSET($BP$9,DT18+0,CQ18,1,1),IF(F18&lt;OFFSET($BN$9,DT18+1,0,1,1),((F18-OFFSET($BM$9,DT18+1,0,1,1))*OFFSET($CI$9,DT18+1,0,1,1))+OFFSET($BP$9,DT18+1,CQ18,1,1),IF(F18&lt;OFFSET($BN$9,DT18+2,0,1,1),((F18-OFFSET($BM$9,DT18+2,0,1,1))*OFFSET($CI$9,DT18+2,0,1,1))+OFFSET($BP$9,DT18+2,CQ18,1,1),IF(F18&lt;OFFSET($BN$9,DT18+3,0,1,1),((F18-OFFSET($BM$9,DT18+3,0,1,1))*OFFSET($CI$9,DT18+3,0,1,1))+OFFSET($BP$9,DT18+3,CQ18,1,1),0))))))</f>
        <v>0</v>
      </c>
      <c r="DX18" s="51">
        <f ca="1">IF($F18&lt;OFFSET($BM$9,$DT18-1,0,1,1),0,IF($F18&lt;OFFSET($BN$9,$DT18-1,0,1,1),IF(AND($H18&gt;2.4,Z18&lt;&gt;"e",Z18&lt;&gt;"f"),EB18*2.4/$H18,EB18),IF($F18&lt;OFFSET($BN$9,$DT18+0,0,1,1),IF(AND($H18&gt;2.4,Z18&lt;&gt;"e",Z18&lt;&gt;"f"),EB18*2.4/$H18,EB18),IF($F18&lt;OFFSET($BN$9,$DT18+1,0,1,1),IF(AND($H18&gt;2.4,Z18&lt;&gt;"e",Z18&lt;&gt;"f"),EB18*2.4/$H18,EB18),IF($F18&lt;OFFSET($BN$9,$DT18+2,0,1,1),IF(AND($H18&gt;2.4,Z18&lt;&gt;"e",Z18&lt;&gt;"f"),EB18*2.4/$H18,EB18),IF($F18&lt;OFFSET($BN$9,$DT18+3,0,1,1),IF(AND($H18&gt;2.4,Z18&lt;&gt;"e",Z18&lt;&gt;"f"),EB18*2.4/$H18,EB18),0)))))*COS(RADIANS($G18)))</f>
        <v>0</v>
      </c>
      <c r="DY18" s="188"/>
      <c r="DZ18" s="188">
        <f ca="1">IF(DU18&gt;$CR18,$CR18,DU18)</f>
        <v>0</v>
      </c>
      <c r="EA18" s="188"/>
      <c r="EB18" s="188">
        <f ca="1">IF(DW18&gt;$CR18,$CR18,DW18)</f>
        <v>0</v>
      </c>
      <c r="EC18" s="435">
        <f ca="1">IF(DV18&gt;$CR18,$CR18,DV18)</f>
        <v>0</v>
      </c>
      <c r="ED18" s="435">
        <f ca="1">EC18*F18</f>
        <v>0</v>
      </c>
      <c r="EE18" s="436">
        <f ca="1">IF(DX18&gt;$CR18,$CR18,DX18)</f>
        <v>0</v>
      </c>
      <c r="EF18" s="437">
        <f ca="1">EE18*F18</f>
        <v>0</v>
      </c>
      <c r="EG18" s="613" t="str">
        <f>IF(D18=BG$12,BG$12,"")</f>
        <v/>
      </c>
      <c r="EH18" s="614" t="str">
        <f>IF(D18=BG$13,BG$13,"")</f>
        <v/>
      </c>
      <c r="EI18" s="611">
        <f>IF(EG18=BG$12,M18,0)</f>
        <v>0</v>
      </c>
      <c r="EJ18" s="451">
        <f>IF(EG18=BG$12,O18,0)</f>
        <v>0</v>
      </c>
      <c r="EK18" s="451">
        <f>IF(EH18=BG$13,M18,0)</f>
        <v>0</v>
      </c>
      <c r="EL18" s="612">
        <f>IF(EH18=BG$13,O18,0)</f>
        <v>0</v>
      </c>
      <c r="EM18" s="426" t="str">
        <f ca="1">IF(AND(Z18&lt;&gt;"t",Z18&lt;&gt;"f"),"",IF(AND(EN18=$BH$13,K18=$BH$12),"NotOpt",IF(K18&lt;&gt;EN18,"Error","")))</f>
        <v/>
      </c>
      <c r="EN18" s="491" t="str">
        <f>IF(AND($BH$28=1,$BG$28=1),$BH$13,$BH$12)</f>
        <v>120 BU's</v>
      </c>
      <c r="EO18" s="426" t="str">
        <f>K18</f>
        <v xml:space="preserve"> </v>
      </c>
      <c r="EP18" s="497">
        <v>1</v>
      </c>
      <c r="EQ18" s="430" t="str">
        <f ca="1">IF(EP18=1," ",OFFSET(BF$15,EP18-2,0,1,1))</f>
        <v xml:space="preserve"> </v>
      </c>
      <c r="ER18" s="439" t="str">
        <f ca="1">IF(H18=0," ",H18)</f>
        <v xml:space="preserve"> </v>
      </c>
      <c r="ES18" s="440" t="str">
        <f ca="1">IF(ER18&lt;&gt;" ",IF(ER18&lt;&gt;ER$7,"Changed",""),"")</f>
        <v/>
      </c>
      <c r="ET18" s="440">
        <f ca="1">IF(ER18&lt;&gt;" ",IF(ER18&lt;&gt;ER$7,1,0),0)</f>
        <v>0</v>
      </c>
      <c r="EU18" s="957" t="str">
        <f ca="1">IF(I18=" "," ",IF(F18&lt;OFFSET($BM$9,CL18-1,0,1,1),1,""))</f>
        <v xml:space="preserve"> </v>
      </c>
      <c r="EW18" s="427"/>
    </row>
    <row r="19" spans="2:153" ht="17.100000000000001" customHeight="1" thickBot="1">
      <c r="B19" s="2686" t="s">
        <v>8</v>
      </c>
      <c r="C19" s="2687"/>
      <c r="D19" s="1461"/>
      <c r="E19" s="659"/>
      <c r="F19" s="659"/>
      <c r="G19" s="659"/>
      <c r="H19" s="659"/>
      <c r="I19" s="1462"/>
      <c r="J19" s="1365" t="str">
        <f ca="1">(CONCATENATE(B14,$BE$54))</f>
        <v>B  Line:  Min. Requirement=</v>
      </c>
      <c r="K19" s="23"/>
      <c r="L19" s="1019">
        <f ca="1">L$5</f>
        <v>0</v>
      </c>
      <c r="M19" s="48">
        <f ca="1">IF(B14=B8,SUM(M14:M18)+M13,SUM(M14:M18))</f>
        <v>0</v>
      </c>
      <c r="N19" s="1019">
        <f ca="1">N$5</f>
        <v>0</v>
      </c>
      <c r="O19" s="125">
        <f ca="1">IF(B14=B8,SUM(O14:O18)+O13,SUM(O14:O18))</f>
        <v>0</v>
      </c>
      <c r="P19" s="139"/>
      <c r="Q19" s="42" t="str">
        <f ca="1">IF(B14=B20,"",IF(AND(M19&gt;0,L19=L$5,OR(M19&lt;$M$105,M19&lt;$BF$3)),"Achieved &lt; Min Req per Line",IF(AND(O19&gt;0,N19=N$5,OR(O19&lt;$O$105,O19&lt;$BF$3)),"Achieved &lt; Min Req per Line",IF(AND(M19&gt;0,L19&gt;M19),"More Required on this line",IF(AND(O19&gt;0,N19&gt;O19),"More Required on this line",IF(AND(L19&gt;0,L19&lt;$BF$3),$BE$59,IF(AND(N19&gt;0,N19&lt;$BF$3),$BE$59,"")))))))</f>
        <v/>
      </c>
      <c r="R19" s="52"/>
      <c r="S19" s="52"/>
      <c r="T19" s="52"/>
      <c r="U19" s="1378"/>
      <c r="V19" s="52"/>
      <c r="W19" s="9"/>
      <c r="X19" s="9"/>
      <c r="Y19" s="896"/>
      <c r="Z19" s="52"/>
      <c r="AA19" s="51"/>
      <c r="AB19" s="1364"/>
      <c r="AC19" s="1"/>
      <c r="AJ19" s="2230"/>
      <c r="AK19" s="2793"/>
      <c r="AL19" s="2785"/>
      <c r="AM19" s="1177">
        <f>'Regular and QuickBrace Systems'!F33</f>
        <v>1.8</v>
      </c>
      <c r="AN19" s="1274">
        <f>'Regular and QuickBrace Systems'!G33</f>
        <v>110</v>
      </c>
      <c r="AO19" s="1275">
        <f>'Regular and QuickBrace Systems'!H33</f>
        <v>84</v>
      </c>
      <c r="AP19" s="1277"/>
      <c r="AQ19" s="2665"/>
      <c r="AR19" s="2666"/>
      <c r="AS19" s="2032"/>
      <c r="AT19" s="1339"/>
      <c r="AU19" s="2132"/>
      <c r="AW19" s="1570" t="str">
        <f>'Regular and QuickBrace Systems'!O33</f>
        <v>Yes</v>
      </c>
      <c r="AX19" s="1574" t="str">
        <f>'Regular and QuickBrace Systems'!Q33</f>
        <v>No</v>
      </c>
      <c r="BD19" s="2648"/>
      <c r="BE19" s="51"/>
      <c r="BF19" s="598" t="str">
        <f>Table!AI79</f>
        <v>ESSH</v>
      </c>
      <c r="BG19" s="706" t="s">
        <v>819</v>
      </c>
      <c r="BH19" s="961" t="s">
        <v>221</v>
      </c>
      <c r="BI19" s="759"/>
      <c r="BJ19" s="897">
        <f t="shared" si="3"/>
        <v>11</v>
      </c>
      <c r="BK19" s="769" t="str">
        <f t="shared" si="4"/>
        <v xml:space="preserve">  </v>
      </c>
      <c r="BL19" s="771" t="str">
        <f t="shared" si="5"/>
        <v>Custom8</v>
      </c>
      <c r="BM19" s="455">
        <f t="shared" si="6"/>
        <v>9.9999999999999996E-76</v>
      </c>
      <c r="BN19" s="455">
        <v>999</v>
      </c>
      <c r="BO19" s="455">
        <f t="shared" si="7"/>
        <v>0</v>
      </c>
      <c r="BP19" s="925">
        <f t="shared" si="8"/>
        <v>0</v>
      </c>
      <c r="BR19" s="764"/>
      <c r="BS19" s="455"/>
      <c r="BT19" s="455" t="str">
        <f t="shared" si="9"/>
        <v>B</v>
      </c>
      <c r="BU19" s="925" t="str">
        <f t="shared" si="10"/>
        <v>T</v>
      </c>
      <c r="BV19" s="483" t="str">
        <f t="shared" si="11"/>
        <v>Custom8</v>
      </c>
      <c r="BW19" s="910">
        <f t="shared" si="16"/>
        <v>11</v>
      </c>
      <c r="BX19" s="925" t="str">
        <f t="shared" si="14"/>
        <v>Single</v>
      </c>
      <c r="CG19" s="51" t="s">
        <v>8</v>
      </c>
      <c r="CH19" s="764">
        <f t="shared" si="12"/>
        <v>0</v>
      </c>
      <c r="CI19" s="925">
        <f t="shared" si="13"/>
        <v>0</v>
      </c>
      <c r="CJ19" s="759"/>
      <c r="CK19" s="188"/>
      <c r="CL19" s="979"/>
      <c r="CN19" s="497"/>
      <c r="CO19" s="497" t="s">
        <v>8</v>
      </c>
      <c r="CQ19" s="51" t="s">
        <v>8</v>
      </c>
      <c r="CR19" s="51" t="s">
        <v>8</v>
      </c>
      <c r="CS19" s="51" t="s">
        <v>8</v>
      </c>
      <c r="CT19" s="51" t="s">
        <v>8</v>
      </c>
      <c r="CU19" s="51" t="s">
        <v>8</v>
      </c>
      <c r="CV19" s="51" t="s">
        <v>8</v>
      </c>
      <c r="CW19" s="51" t="s">
        <v>8</v>
      </c>
      <c r="CX19" s="51" t="s">
        <v>8</v>
      </c>
      <c r="CY19" s="51" t="s">
        <v>8</v>
      </c>
      <c r="CZ19" s="51" t="s">
        <v>8</v>
      </c>
      <c r="DA19" s="51" t="s">
        <v>8</v>
      </c>
      <c r="DB19" s="984" t="s">
        <v>8</v>
      </c>
      <c r="DD19" s="758"/>
      <c r="DF19" s="52"/>
      <c r="DG19" s="51"/>
      <c r="DH19" s="51"/>
      <c r="DI19" s="51"/>
      <c r="DJ19" s="51"/>
      <c r="DK19" s="51"/>
      <c r="DL19" s="51" t="s">
        <v>8</v>
      </c>
      <c r="DM19" s="51"/>
      <c r="DN19" s="51" t="s">
        <v>8</v>
      </c>
      <c r="DO19" s="435" t="s">
        <v>8</v>
      </c>
      <c r="DP19" s="435" t="s">
        <v>8</v>
      </c>
      <c r="DQ19" s="868" t="s">
        <v>8</v>
      </c>
      <c r="DR19" s="868" t="s">
        <v>8</v>
      </c>
      <c r="DS19" s="426" t="s">
        <v>8</v>
      </c>
      <c r="DT19" s="451" t="s">
        <v>8</v>
      </c>
      <c r="DU19" s="188" t="s">
        <v>8</v>
      </c>
      <c r="DV19" s="188" t="s">
        <v>8</v>
      </c>
      <c r="DW19" s="188" t="s">
        <v>8</v>
      </c>
      <c r="DX19" s="188" t="s">
        <v>8</v>
      </c>
      <c r="DY19" s="188"/>
      <c r="DZ19" s="188" t="s">
        <v>8</v>
      </c>
      <c r="EA19" s="188"/>
      <c r="EB19" s="188" t="s">
        <v>8</v>
      </c>
      <c r="EC19" s="435" t="s">
        <v>8</v>
      </c>
      <c r="ED19" s="435" t="s">
        <v>8</v>
      </c>
      <c r="EE19" s="868" t="s">
        <v>8</v>
      </c>
      <c r="EF19" s="867" t="s">
        <v>8</v>
      </c>
      <c r="EG19" s="613"/>
      <c r="EH19" s="614"/>
      <c r="EI19" s="613"/>
      <c r="EJ19" s="435"/>
      <c r="EK19" s="451"/>
      <c r="EL19" s="612"/>
      <c r="EN19" s="947"/>
      <c r="ER19" s="441"/>
      <c r="ES19" s="440"/>
      <c r="ET19" s="440"/>
      <c r="EU19" s="957"/>
      <c r="EW19" s="427"/>
    </row>
    <row r="20" spans="2:153" ht="17.100000000000001" customHeight="1">
      <c r="B20" s="1369" t="str">
        <f ca="1">S20</f>
        <v>C</v>
      </c>
      <c r="C20" s="684" t="str">
        <f>IF(OR(F20=0,I20="",I20=" ")," ",$V20)</f>
        <v xml:space="preserve"> </v>
      </c>
      <c r="D20" s="1033" t="s">
        <v>8</v>
      </c>
      <c r="E20" s="1034" t="s">
        <v>8</v>
      </c>
      <c r="F20" s="202"/>
      <c r="G20" s="1416"/>
      <c r="H20" s="199" t="str">
        <f ca="1">IF(OR(F20=0,Z20="E",Z20="f")," ",'Project Demand'!E$35)</f>
        <v xml:space="preserve"> </v>
      </c>
      <c r="I20" s="631" t="str">
        <f>IF($I$6&lt;&gt;$BG$8," ",AB20)</f>
        <v xml:space="preserve"> </v>
      </c>
      <c r="J20" s="43" t="str">
        <f ca="1">IF(OR(I20=" ",I20="")," ",OFFSET($BO$9,CL20-1,0-4,1,1))</f>
        <v xml:space="preserve"> </v>
      </c>
      <c r="K20" s="55" t="str">
        <f>IF(OR(I20=" ",I20="")," ",IF(OR(Z20="e",Z20="h"),"SD",BG$24))</f>
        <v xml:space="preserve"> </v>
      </c>
      <c r="L20" s="49">
        <f ca="1">CW20</f>
        <v>0</v>
      </c>
      <c r="M20" s="49">
        <f ca="1">CY20</f>
        <v>0</v>
      </c>
      <c r="N20" s="50">
        <f t="shared" ref="N20:O24" ca="1" si="17">DA20</f>
        <v>0</v>
      </c>
      <c r="O20" s="126">
        <f t="shared" ca="1" si="17"/>
        <v>0</v>
      </c>
      <c r="P20" s="140"/>
      <c r="Q20" s="752" t="str">
        <f ca="1">IF(AND(OR(Z20="t",Z20="f"),K20=$BH$11),"No Floor!  Change Floor Type",IF(OR(I20=" ",I20="")," ",IF(F20&lt;OFFSET($BM$9,CL20-1,0,1,1),"check L(m)",DE20&amp;IF(AND(DP20&gt;=CY20,DR20&gt;=DB20),IF(AND(ED20&gt;=DP20,EF20&gt;=DR20),CONCATENATE(DS20," will provide same result"),CONCATENATE(CO20," will provide same result")),IF((DP20&gt;=CY20),CONCATENATE(CO20," provides same result in WIND"),IF((DR20&gt;=DB20),CONCATENATE(CO20," provides same result in EQ"),""))))))&amp;IF(ISERROR(FIND("pile",I20,1)),"",IF(INT(F20)&lt;&gt;F20,"Pile!  Use Whole Numbers Only",""))</f>
        <v xml:space="preserve"> </v>
      </c>
      <c r="R20" s="52">
        <f ca="1">IF(T14&lt;&gt;2,(COLUMN(INDIRECT(B14&amp;1))+1),U20)</f>
        <v>3</v>
      </c>
      <c r="S20" s="1372" t="str">
        <f ca="1">SUBSTITUTE(ADDRESS(1,R20,4),"1","")</f>
        <v>C</v>
      </c>
      <c r="T20" s="451">
        <f ca="1">IF(AND(ISTEXT(B20),SUBSTITUTE(SUBSTITUTE(SUBSTITUTE(SUBSTITUTE(SUBSTITUTE(SUBSTITUTE(SUBSTITUTE(SUBSTITUTE(SUBSTITUTE(SUBSTITUTE(SUBSTITUTE(SUBSTITUTE(SUBSTITUTE(SUBSTITUTE(SUBSTITUTE(SUBSTITUTE(SUBSTITUTE(SUBSTITUTE(SUBSTITUTE(SUBSTITUTE(SUBSTITUTE(SUBSTITUTE(SUBSTITUTE(SUBSTITUTE(SUBSTITUTE(SUBSTITUTE(LOWER(B20),"a",),"b",),"c",),"d",),"e",),"f",),"g",),"h",),"i",),"j",),"k",),"l",),"m",),"n",),"o",),"p",),"q",),"r",),"s",),"t",),"u",),"v",),"w",),"x",),"y",),"z",)=""),1,2)</f>
        <v>1</v>
      </c>
      <c r="U20" s="1377">
        <v>3</v>
      </c>
      <c r="V20" s="52" t="str">
        <f ca="1">IF(AND(B$5=$BF$9,OR(I20=BH$16,I20=BH$17))," ",IF(ISNUMBER(B$20),(CONCATENATE(B$20,".",W20)),(CONCATENATE(B$20,W20))))</f>
        <v>C0</v>
      </c>
      <c r="W20" s="9">
        <f ca="1">IF(B14=B20,W18+X20,X20)</f>
        <v>0</v>
      </c>
      <c r="X20" s="9">
        <f>IF(AND(B$5=$BF$9,OR($I20=$BH$16,$I20=$BH$17,$I20=" ",$I20="",$F20=0)),0,IF(OR($I20=" ",$I20="",$F20=0),0,1))</f>
        <v>0</v>
      </c>
      <c r="Y20" s="896">
        <f ca="1">IF(AND(M25&gt;0,B20&lt;&gt;B26),1,0)</f>
        <v>0</v>
      </c>
      <c r="Z20" s="52" t="str">
        <f ca="1">IF(I20=" "," ",OFFSET($BM$9,$CL20-1,8,1,1))</f>
        <v xml:space="preserve"> </v>
      </c>
      <c r="AA20" s="51" t="str">
        <f>IF(G20&gt;=45,"WA","")</f>
        <v/>
      </c>
      <c r="AB20" s="1364" t="str">
        <f>IF(F20&lt;&gt;"",IF(OR(D20=$BG$12,D20=$BG$13),IF(E20&lt;&gt;$BG$17,$BF$12,$BF$13),IF(E20&lt;&gt;$BG$17,$BF$12,$BF$13))," ")</f>
        <v xml:space="preserve"> </v>
      </c>
      <c r="AC20" s="1"/>
      <c r="AJ20" s="2230"/>
      <c r="AK20" s="2793"/>
      <c r="AL20" s="2783" t="str">
        <f>'Regular and QuickBrace Systems'!E34</f>
        <v>EM-H</v>
      </c>
      <c r="AM20" s="1178">
        <f>'Regular and QuickBrace Systems'!F34</f>
        <v>0.4</v>
      </c>
      <c r="AN20" s="1272">
        <f>'Regular and QuickBrace Systems'!G34</f>
        <v>98</v>
      </c>
      <c r="AO20" s="1273">
        <f>'Regular and QuickBrace Systems'!H34</f>
        <v>100</v>
      </c>
      <c r="AP20" s="1594"/>
      <c r="AQ20" s="2661" t="str">
        <f>'Regular and QuickBrace Systems'!I28</f>
        <v>Specialised QuickBrace Pattern</v>
      </c>
      <c r="AR20" s="2662"/>
      <c r="AS20" s="2030" t="str">
        <f>'Regular and QuickBrace Systems'!K31</f>
        <v>Yes</v>
      </c>
      <c r="AT20" s="1339"/>
      <c r="AU20" s="2133" t="str">
        <f>'Regular and QuickBrace Systems'!M34</f>
        <v>Elephant Multiboard One side</v>
      </c>
      <c r="AW20" s="1584" t="str">
        <f>'Regular and QuickBrace Systems'!O34</f>
        <v>Yes</v>
      </c>
      <c r="AX20" s="1575" t="str">
        <f>'Regular and QuickBrace Systems'!Q34</f>
        <v>No</v>
      </c>
      <c r="BD20" s="2648"/>
      <c r="BE20" s="51"/>
      <c r="BF20" s="598" t="str">
        <f>Table!AI80</f>
        <v>EMSH</v>
      </c>
      <c r="BG20" s="708" t="s">
        <v>820</v>
      </c>
      <c r="BH20" s="961" t="s">
        <v>222</v>
      </c>
      <c r="BI20" s="759"/>
      <c r="BJ20" s="897">
        <f t="shared" si="3"/>
        <v>12</v>
      </c>
      <c r="BK20" s="769" t="str">
        <f t="shared" si="4"/>
        <v xml:space="preserve">  </v>
      </c>
      <c r="BL20" s="771" t="str">
        <f t="shared" si="5"/>
        <v>Custom9</v>
      </c>
      <c r="BM20" s="455">
        <f t="shared" si="6"/>
        <v>9.9999999999999996E-76</v>
      </c>
      <c r="BN20" s="455">
        <v>999</v>
      </c>
      <c r="BO20" s="455">
        <f t="shared" si="7"/>
        <v>0</v>
      </c>
      <c r="BP20" s="925">
        <f t="shared" si="8"/>
        <v>0</v>
      </c>
      <c r="BR20" s="764"/>
      <c r="BS20" s="455"/>
      <c r="BT20" s="455" t="str">
        <f t="shared" si="9"/>
        <v>B</v>
      </c>
      <c r="BU20" s="925" t="str">
        <f t="shared" si="10"/>
        <v>T</v>
      </c>
      <c r="BV20" s="483" t="str">
        <f t="shared" si="11"/>
        <v>Custom9</v>
      </c>
      <c r="BW20" s="910">
        <f t="shared" si="16"/>
        <v>12</v>
      </c>
      <c r="BX20" s="925" t="str">
        <f t="shared" si="14"/>
        <v>Single</v>
      </c>
      <c r="CG20" s="51" t="s">
        <v>8</v>
      </c>
      <c r="CH20" s="764">
        <f t="shared" si="12"/>
        <v>0</v>
      </c>
      <c r="CI20" s="925">
        <f t="shared" si="13"/>
        <v>0</v>
      </c>
      <c r="CJ20" s="759"/>
      <c r="CK20" s="188"/>
      <c r="CL20" s="979">
        <f>VLOOKUP(I20,Prodlink,2,0)</f>
        <v>0</v>
      </c>
      <c r="CN20" s="497">
        <f ca="1">VLOOKUP(CO20,Prodlink,2,0)</f>
        <v>0</v>
      </c>
      <c r="CO20" s="497">
        <f ca="1">OFFSET($CH$9,CL20-1,-15,1,1)</f>
        <v>0</v>
      </c>
      <c r="CQ20" s="51">
        <v>0</v>
      </c>
      <c r="CR20" s="51">
        <f>IF(K20=$BH$12,$BH$23,IF(K20=$BH$13,$BH$24,10000))</f>
        <v>10000</v>
      </c>
      <c r="CS20" s="51">
        <f ca="1">IF(F20&lt;OFFSET($BM$9,CL20-1,0,1,1),0,IF(F20&lt;OFFSET($BN$9,CL20-1,0,1,1),((F20-OFFSET($BM$9,CL20-1,0,1,1))*OFFSET($CH$9,CL20-1,0,1,1))+OFFSET($BO$9,CL20-1,CQ20,1,1),IF(F20&lt;OFFSET($BN$9,CL20+0,0,1,1),((F20-OFFSET($BM$9,CL20+0,0,1,1))*OFFSET($CH$9,CL20+0,0,1,1))+OFFSET($BO$9,CL20+0,CQ20,1,1),IF(F20&lt;OFFSET($BN$9,CL20+1,0,1,1),((F20-OFFSET($BM$9,CL20+1,0,1,1))*OFFSET($CH$9,CL20+1,0,1,1))+OFFSET($BO$9,CL20+1,CQ20,1,1),IF(F20&lt;OFFSET($BN$9,CL20+2,0,1,1),((F20-OFFSET($BM$9,CL20+2,0,1,1))*OFFSET($CH$9,CL20+2,0,1,1))+OFFSET($BO$9,CL20+2,CQ20,1,1),IF(F20&lt;OFFSET($BN$9,CL20+3,0,1,1),((F20-OFFSET($BM$9,CL20+3,0,1,1))*OFFSET($CH$9,CL20+3,0,1,1))+OFFSET($BO$9,CL20+3,CQ20,1,1),0))))))</f>
        <v>0</v>
      </c>
      <c r="CT20" s="51">
        <f ca="1">IF($F20&lt;OFFSET($BM$9,$CL20-1,0,1,1),0,IF($F20&lt;OFFSET($BN$9,$CL20-1,0,1,1),IF(AND($H20&gt;2.4,Z20&lt;&gt;"e",Z20&lt;&gt;"f"),CX20*2.4/$H20,CX20),IF($F20&lt;OFFSET($BN$9,$CL20+0,0,1,1),IF(AND($H20&gt;2.4,Z20&lt;&gt;"e",Z20&lt;&gt;"f"),CX20*2.4/$H20,CX20),IF($F20&lt;OFFSET($BN$9,$CL20+1,0,1,1),IF(AND($H20&gt;2.4,Z20&lt;&gt;"e",Z20&lt;&gt;"f"),CX20*2.4/$H20,CX20),IF($F20&lt;OFFSET($BN$9,CL20+2,0,1,1),IF(AND($H20&gt;2.4,Z20&lt;&gt;"e",Z20&lt;&gt;"f"),CX20*2.4/$H20,CX20),IF($F20&lt;OFFSET($BN$9,CL20+3,0,1,1),IF(AND($H20&gt;2.4,Z20&lt;&gt;"e",Z20&lt;&gt;"f"),CX20*2.4/$H20,CX20),0)))))*COS(RADIANS($G20)))</f>
        <v>0</v>
      </c>
      <c r="CU20" s="51">
        <f ca="1">IF(F20&lt;OFFSET($BM$9,CL20-1,0,1,1),0,IF(F20&lt;OFFSET($BN$9,CL20-1,0,1,1),((F20-OFFSET($BM$9,CL20-1,0,1,1))*OFFSET($CI$9,CL20-1,0,1,1))+OFFSET($BP$9,CL20-1,CQ20,1,1),IF(F20&lt;OFFSET($BN$9,CL20+0,0,1,1),((F20-OFFSET($BM$9,CL20+0,0,1,1))*OFFSET($CI$9,CL20+0,0,1,1))+OFFSET($BP$9,CL20+0,CQ20,1,1),IF(F20&lt;OFFSET($BN$9,CL20+1,0,1,1),((F20-OFFSET($BM$9,CL20+1,0,1,1))*OFFSET($CI$9,CL20+1,0,1,1))+OFFSET($BP$9,CL20+1,CQ20,1,1),IF(F20&lt;OFFSET($BN$9,CL20+2,0,1,1),((F20-OFFSET($BM$9,CL20+2,0,1,1))*OFFSET($CI$9,CL20+2,0,1,1))+OFFSET($BP$9,CL20+2,CQ20,1,1),IF(F20&lt;OFFSET($BN$9,CL20+3,0,1,1),((F20-OFFSET($BM$9,CL20+3,0,1,1))*OFFSET($CI$9,CL20+3,0,1,1))+OFFSET($BP$9,CL20+3,CQ20,1,1),0))))))</f>
        <v>0</v>
      </c>
      <c r="CV20" s="51">
        <f ca="1">IF($F20&lt;OFFSET($BM$9,$CL20-1,0,1,1),0,IF($F20&lt;OFFSET($BN$9,$CL20-1,0,1,1),IF(AND($H20&gt;2.4,Z20&lt;&gt;"e",Z20&lt;&gt;"f"),CZ20*2.4/$H20,CZ20),IF($F20&lt;OFFSET($BN$9,$CL20+0,0,1,1),IF(AND($H20&gt;2.4,Z20&lt;&gt;"e",Z20&lt;&gt;"f"),CZ20*2.4/$H20,CZ20),IF($F20&lt;OFFSET($BN$9,$CL20+1,0,1,1),IF(AND($H20&gt;2.4,Z20&lt;&gt;"e",Z20&lt;&gt;"f"),CZ20*2.4/$H20,CZ20),IF($F20&lt;OFFSET($BN$9,$CL20+2,0,1,1),IF(AND($H20&gt;2.4,Z20&lt;&gt;"e",Z20&lt;&gt;"f"),CZ20*2.4/$H20,CZ20),IF($F20&lt;OFFSET($BN$9,$CL20+3,0,1,1),IF(AND($H20&gt;2.4,Z20&lt;&gt;"e",Z20&lt;&gt;"f"),CZ20*2.4/$H20,CZ20),0)))))*COS(RADIANS($G20)))</f>
        <v>0</v>
      </c>
      <c r="CW20" s="51">
        <f ca="1">IF(CT20&gt;CR20,CR20,CT20)</f>
        <v>0</v>
      </c>
      <c r="CX20" s="51">
        <f ca="1">IF(CS20&gt;$CR20,$CR20,CS20)</f>
        <v>0</v>
      </c>
      <c r="CY20" s="51">
        <f ca="1">CW20*F20</f>
        <v>0</v>
      </c>
      <c r="CZ20" s="51">
        <f ca="1">IF($CU20&gt;$CR20,$CR20,$CU20)</f>
        <v>0</v>
      </c>
      <c r="DA20" s="51">
        <f ca="1">IF(CV20&gt;CR20,CR20,CV20)</f>
        <v>0</v>
      </c>
      <c r="DB20" s="984">
        <f ca="1">DA20*F20</f>
        <v>0</v>
      </c>
      <c r="DC20" s="993">
        <v>1</v>
      </c>
      <c r="DD20" s="758" t="str">
        <f>IF(OR(D20=BG$12,D20=BG$13),"External",IF(D20=BG$14,"Internal"," "))</f>
        <v xml:space="preserve"> </v>
      </c>
      <c r="DE20" s="51" t="str">
        <f t="shared" ca="1" si="1"/>
        <v/>
      </c>
      <c r="DF20" s="52" t="str">
        <f t="shared" ca="1" si="2"/>
        <v xml:space="preserve"> </v>
      </c>
      <c r="DG20" s="51">
        <f ca="1">IF(F20&lt;OFFSET($BM$9,CN20-1,0,1,1),0,IF(F20&lt;OFFSET($BN$9,CN20-1,0,1,1),((F20-OFFSET($BM$9,CN20-1,0,1,1))*OFFSET($CH$9,CN20-1,0,1,1))+OFFSET($BO$9,CN20-1,CQ20,1,1),IF(F20&lt;OFFSET($BN$9,CN20+0,0,1,1),((F20-OFFSET($BM$9,CN20+0,0,1,1))*OFFSET($CH$9,CN20+0,0,1,1))+OFFSET($BO$9,CN20+0,CQ20,1,1),IF(F20&lt;OFFSET($BN$9,CN20+1,0,1,1),((F20-OFFSET($BM$9,CN20+1,0,1,1))*OFFSET($CH$9,CN20+1,0,1,1))+OFFSET($BO$9,CN20+1,CQ20,1,1),IF(F20&lt;OFFSET($BN$9,CN20+2,0,1,1),((F20-OFFSET($BM$9,CN20+2,0,1,1))*OFFSET($CH$9,CN20+2,0,1,1))+OFFSET($BO$9,CN20+2,CQ20,1,1),IF(F20&lt;OFFSET($BN$9,CN20+3,0,1,1),((F20-OFFSET($BM$9,CN20+3,0,1,1))*OFFSET($CH$9,CN20+3,0,1,1))+OFFSET($BO$9,CN20+3,CQ20,1,1),0))))))</f>
        <v>0</v>
      </c>
      <c r="DH20" s="51">
        <f ca="1">IF($F20&lt;OFFSET($BM$9,$CN20-1,0,1,1),0,IF($F20&lt;OFFSET($BN$9,$CN20-1,0,1,1),IF(AND($H20&gt;2.4,Z20&lt;&gt;"e",Z20&lt;&gt;"f"),DL20*2.4/$H20,DL20),IF($F20&lt;OFFSET($BN$9,$CN20+0,0,1,1),IF(AND($H20&gt;2.4,Z20&lt;&gt;"e",Z20&lt;&gt;"f"),DL20*2.4/$H20,DL20),IF($F20&lt;OFFSET($BN$9,$CN20+1,0,1,1),IF(AND($H20&gt;2.4,Z20&lt;&gt;"e",Z20&lt;&gt;"f"),DL20*2.4/$H20,DL20),IF($F20&lt;OFFSET($BN$9,$CN20+2,0,1,1),IF(AND($H20&gt;2.4,Z20&lt;&gt;"e",Z20&lt;&gt;"f"),DL20*2.4/$H20,DL20),IF($F20&lt;OFFSET($BN$9,$CN20+3,0,1,1),IF(AND($H20&gt;2.4,Z20&lt;&gt;"e",Z20&lt;&gt;"f"),DL20*2.4/$H20,DL20),0)))))*COS(RADIANS($G20)))</f>
        <v>0</v>
      </c>
      <c r="DI20" s="51">
        <f ca="1">IF(F20&lt;OFFSET($BM$9,CN20-1,0,1,1),0,IF(F20&lt;OFFSET($BN$9,CN20-1,0,1,1),((F20-OFFSET($BM$9,CN20-1,0,1,1))*OFFSET($CI$9,CN20-1,0,1,1))+OFFSET($BP$9,CN20-1,CQ20,1,1),IF(F20&lt;OFFSET($BN$9,CN20+0,0,1,1),((F20-OFFSET($BM$9,CN20+0,0,1,1))*OFFSET($CI$9,CN20+0,0,1,1))+OFFSET($BP$9,CN20+0,CQ20,1,1),IF(F20&lt;OFFSET($BN$9,CN20+1,0,1,1),((F20-OFFSET($BM$9,CN20+1,0,1,1))*OFFSET($CI$9,CN20+1,0,1,1))+OFFSET($BP$9,CN20+1,CQ20,1,1),IF(F20&lt;OFFSET($BN$9,CN20+2,0,1,1),((F20-OFFSET($BM$9,CN20+2,0,1,1))*OFFSET($CI$9,CN20+2,0,1,1))+OFFSET($BP$9,CN20+2,CQ20,1,1),IF(F20&lt;OFFSET($BN$9,CN20+3,0,1,1),((F20-OFFSET($BM$9,CN20+3,0,1,1))*OFFSET($CI$9,CN20+3,0,1,1))+OFFSET($BP$9,CN20+3,CQ20,1,1),0))))))</f>
        <v>0</v>
      </c>
      <c r="DJ20" s="51">
        <f ca="1">IF($F20&lt;OFFSET($BM$9,$CN20-1,0,1,1),0,IF($F20&lt;OFFSET($BN$9,$CN20-1,0,1,1),IF(AND($H20&gt;2.4,Z20&lt;&gt;"e",Z20&lt;&gt;"f"),DN20*2.4/$H20,DN20),IF($F20&lt;OFFSET($BN$9,$CN20+0,0,1,1),IF(AND($H20&gt;2.4,Z20&lt;&gt;"e",Z20&lt;&gt;"f"),DN20*2.4/$H20,DN20),IF($F20&lt;OFFSET($BN$9,$CN20+1,0,1,1),IF(AND($H20&gt;2.4,Z20&lt;&gt;"e",Z20&lt;&gt;"f"),DN20*2.4/$H20,DN20),IF($F20&lt;OFFSET($BN$9,$CN20+2,0,1,1),IF(AND($H20&gt;2.4,Z20&lt;&gt;"e",Z20&lt;&gt;"f"),DN20*2.4/$H20,DN20),IF($F20&lt;OFFSET($BN$9,$CN20+3,0,1,1),IF(AND($H20&gt;2.4,Z20&lt;&gt;"e",Z20&lt;&gt;"f"),DN20*2.4/$H20,DN20),0)))))*COS(RADIANS($G20)))</f>
        <v>0</v>
      </c>
      <c r="DK20" s="51"/>
      <c r="DL20" s="51">
        <f ca="1">IF(DG20&gt;$CR20,$CR20,DG20)</f>
        <v>0</v>
      </c>
      <c r="DM20" s="51"/>
      <c r="DN20" s="51">
        <f ca="1">IF(DI20&gt;$CR20,$CR20,DI20)</f>
        <v>0</v>
      </c>
      <c r="DO20" s="435">
        <f ca="1">IF(DH20&gt;$CR20,$CR20,DH20)</f>
        <v>0</v>
      </c>
      <c r="DP20" s="435">
        <f ca="1">DO20*F20</f>
        <v>0</v>
      </c>
      <c r="DQ20" s="436">
        <f ca="1">IF(DJ20&gt;$CR20,$CR20,DJ20)</f>
        <v>0</v>
      </c>
      <c r="DR20" s="437">
        <f ca="1">DQ20*F20</f>
        <v>0</v>
      </c>
      <c r="DS20" s="426">
        <f ca="1">OFFSET($CH$9,CL20-1,-15,1,1)</f>
        <v>0</v>
      </c>
      <c r="DT20" s="451">
        <f ca="1">VLOOKUP(DS20,Prodlink,2,0)</f>
        <v>0</v>
      </c>
      <c r="DU20" s="188">
        <f ca="1">IF(F20&lt;OFFSET($BM$9,DT20-1,0,1,1),0,IF(F20&lt;OFFSET($BN$9,DT20-1,0,1,1),((F20-OFFSET($BM$9,DT20-1,0,1,1))*OFFSET($CH$9,DT20-1,0,1,1))+OFFSET($BO$9,DT20-1,CQ20,1,1),IF(F20&lt;OFFSET($BN$9,DT20+0,0,1,1),((F20-OFFSET($BM$9,DT20+0,0,1,1))*OFFSET($CH$9,DT20+0,0,1,1))+OFFSET($BO$9,DT20+0,CQ20,1,1),IF(F20&lt;OFFSET($BN$9,DT20+1,0,1,1),((F20-OFFSET($BM$9,DT20+1,0,1,1))*OFFSET($CH$9,DT20+1,0,1,1))+OFFSET($BO$9,DT20+1,CQ20,1,1),IF(F20&lt;OFFSET($BN$9,DT20+2,0,1,1),((F20-OFFSET($BM$9,DT20+2,0,1,1))*OFFSET($CH$9,DT20+2,0,1,1))+OFFSET($BO$9,DT20+2,CQ20,1,1),IF(F20&lt;OFFSET($BN$9,DT20+3,0,1,1),((F20-OFFSET($BM$9,DT20+3,0,1,1))*OFFSET($CH$9,DT20+3,0,1,1))+OFFSET($BO$9,DT20+3,CQ20,1,1),0))))))</f>
        <v>0</v>
      </c>
      <c r="DV20" s="51">
        <f ca="1">IF($F20&lt;OFFSET($BM$9,$DT20-1,0,1,1),0,IF($F20&lt;OFFSET($BN$9,$DT20-1,0,1,1),IF(AND($H20&gt;2.4,Z20&lt;&gt;"e",Z20&lt;&gt;"f"),DZ20*2.4/$H20,DZ20),IF($F20&lt;OFFSET($BN$9,$DT20+0,0,1,1),IF(AND($H20&gt;2.4,Z20&lt;&gt;"e",Z20&lt;&gt;"f"),DZ20*2.4/$H20,DZ20),IF($F20&lt;OFFSET($BN$9,$DT20+1,0,1,1),IF(AND($H20&gt;2.4,Z20&lt;&gt;"e",Z20&lt;&gt;"f"),DZ20*2.4/$H20,DZ20),IF($F20&lt;OFFSET($BN$9,$DT20+2,0,1,1),IF(AND($H20&gt;2.4,Z20&lt;&gt;"e",Z20&lt;&gt;"f"),DZ20*2.4/$H20,DZ20),IF($F20&lt;OFFSET($BN$9,$DT20+3,0,1,1),IF(AND($H20&gt;2.4,Z20&lt;&gt;"e",Z20&lt;&gt;"f"),DZ20*2.4/$H20,DZ20),0)))))*COS(RADIANS($G20)))</f>
        <v>0</v>
      </c>
      <c r="DW20" s="188">
        <f ca="1">IF(F20&lt;OFFSET($BM$9,DT20-1,0,1,1),0,IF(F20&lt;OFFSET($BN$9,DT20-1,0,1,1),((F20-OFFSET($BM$9,DT20-1,0,1,1))*OFFSET($CI$9,DT20-1,0,1,1))+OFFSET($BP$9,DT20-1,CQ20,1,1),IF(F20&lt;OFFSET($BN$9,DT20+0,0,1,1),((F20-OFFSET($BM$9,DT20+0,0,1,1))*OFFSET($CI$9,DT20+0,0,1,1))+OFFSET($BP$9,DT20+0,CQ20,1,1),IF(F20&lt;OFFSET($BN$9,DT20+1,0,1,1),((F20-OFFSET($BM$9,DT20+1,0,1,1))*OFFSET($CI$9,DT20+1,0,1,1))+OFFSET($BP$9,DT20+1,CQ20,1,1),IF(F20&lt;OFFSET($BN$9,DT20+2,0,1,1),((F20-OFFSET($BM$9,DT20+2,0,1,1))*OFFSET($CI$9,DT20+2,0,1,1))+OFFSET($BP$9,DT20+2,CQ20,1,1),IF(F20&lt;OFFSET($BN$9,DT20+3,0,1,1),((F20-OFFSET($BM$9,DT20+3,0,1,1))*OFFSET($CI$9,DT20+3,0,1,1))+OFFSET($BP$9,DT20+3,CQ20,1,1),0))))))</f>
        <v>0</v>
      </c>
      <c r="DX20" s="51">
        <f ca="1">IF($F20&lt;OFFSET($BM$9,$DT20-1,0,1,1),0,IF($F20&lt;OFFSET($BN$9,$DT20-1,0,1,1),IF(AND($H20&gt;2.4,Z20&lt;&gt;"e",Z20&lt;&gt;"f"),EB20*2.4/$H20,EB20),IF($F20&lt;OFFSET($BN$9,$DT20+0,0,1,1),IF(AND($H20&gt;2.4,Z20&lt;&gt;"e",Z20&lt;&gt;"f"),EB20*2.4/$H20,EB20),IF($F20&lt;OFFSET($BN$9,$DT20+1,0,1,1),IF(AND($H20&gt;2.4,Z20&lt;&gt;"e",Z20&lt;&gt;"f"),EB20*2.4/$H20,EB20),IF($F20&lt;OFFSET($BN$9,$DT20+2,0,1,1),IF(AND($H20&gt;2.4,Z20&lt;&gt;"e",Z20&lt;&gt;"f"),EB20*2.4/$H20,EB20),IF($F20&lt;OFFSET($BN$9,$DT20+3,0,1,1),IF(AND($H20&gt;2.4,Z20&lt;&gt;"e",Z20&lt;&gt;"f"),EB20*2.4/$H20,EB20),0)))))*COS(RADIANS($G20)))</f>
        <v>0</v>
      </c>
      <c r="DY20" s="188"/>
      <c r="DZ20" s="188">
        <f ca="1">IF(DU20&gt;$CR20,$CR20,DU20)</f>
        <v>0</v>
      </c>
      <c r="EA20" s="188"/>
      <c r="EB20" s="188">
        <f ca="1">IF(DW20&gt;$CR20,$CR20,DW20)</f>
        <v>0</v>
      </c>
      <c r="EC20" s="435">
        <f ca="1">IF(DV20&gt;$CR20,$CR20,DV20)</f>
        <v>0</v>
      </c>
      <c r="ED20" s="435">
        <f ca="1">EC20*F20</f>
        <v>0</v>
      </c>
      <c r="EE20" s="436">
        <f ca="1">IF(DX20&gt;$CR20,$CR20,DX20)</f>
        <v>0</v>
      </c>
      <c r="EF20" s="437">
        <f ca="1">EE20*F20</f>
        <v>0</v>
      </c>
      <c r="EG20" s="613" t="str">
        <f>IF(D20=BG$12,BG$12,"")</f>
        <v/>
      </c>
      <c r="EH20" s="614" t="str">
        <f>IF(D20=BG$13,BG$13,"")</f>
        <v/>
      </c>
      <c r="EI20" s="611">
        <f>IF(EG20=BG$12,M20,0)</f>
        <v>0</v>
      </c>
      <c r="EJ20" s="451">
        <f>IF(EG20=BG$12,O20,0)</f>
        <v>0</v>
      </c>
      <c r="EK20" s="451">
        <f>IF(EH20=BG$13,M20,0)</f>
        <v>0</v>
      </c>
      <c r="EL20" s="612">
        <f>IF(EH20=BG$13,O20,0)</f>
        <v>0</v>
      </c>
      <c r="EM20" s="426" t="str">
        <f ca="1">IF(AND(Z20&lt;&gt;"t",Z20&lt;&gt;"f"),"",IF(AND(EN20=$BH$13,K20=$BH$12),"NotOpt",IF(K20&lt;&gt;EN20,"Error","")))</f>
        <v/>
      </c>
      <c r="EN20" s="491" t="str">
        <f>IF(AND($BH$28=1,$BG$28=1),$BH$13,$BH$12)</f>
        <v>120 BU's</v>
      </c>
      <c r="EO20" s="426" t="str">
        <f>K20</f>
        <v xml:space="preserve"> </v>
      </c>
      <c r="EP20" s="497">
        <v>1</v>
      </c>
      <c r="EQ20" s="430" t="str">
        <f ca="1">IF(EP20=1," ",OFFSET(BF$15,EP20-2,0,1,1))</f>
        <v xml:space="preserve"> </v>
      </c>
      <c r="ER20" s="439" t="str">
        <f ca="1">IF(H20=0," ",H20)</f>
        <v xml:space="preserve"> </v>
      </c>
      <c r="ES20" s="440" t="str">
        <f ca="1">IF(ER20&lt;&gt;" ",IF(ER20&lt;&gt;ER$7,"Changed",""),"")</f>
        <v/>
      </c>
      <c r="ET20" s="440">
        <f ca="1">IF(ER20&lt;&gt;" ",IF(ER20&lt;&gt;ER$7,1,0),0)</f>
        <v>0</v>
      </c>
      <c r="EU20" s="957" t="str">
        <f ca="1">IF(I20=" "," ",IF(F20&lt;OFFSET($BM$9,CL20-1,0,1,1),1,""))</f>
        <v xml:space="preserve"> </v>
      </c>
      <c r="EW20" s="427"/>
    </row>
    <row r="21" spans="2:153" ht="17.100000000000001" customHeight="1">
      <c r="B21" s="689" t="s">
        <v>246</v>
      </c>
      <c r="C21" s="684" t="str">
        <f>IF(OR(F21=0,I21="",I21=" ")," ",$V21)</f>
        <v xml:space="preserve"> </v>
      </c>
      <c r="D21" s="1033"/>
      <c r="E21" s="1034" t="s">
        <v>8</v>
      </c>
      <c r="F21" s="202"/>
      <c r="G21" s="1416"/>
      <c r="H21" s="199" t="str">
        <f ca="1">IF(OR(F21=0,Z21="E",Z21="f")," ",'Project Demand'!E$35)</f>
        <v xml:space="preserve"> </v>
      </c>
      <c r="I21" s="631" t="str">
        <f>IF($I$6&lt;&gt;$BG$8," ",AB21)</f>
        <v xml:space="preserve"> </v>
      </c>
      <c r="J21" s="44" t="str">
        <f ca="1">IF(OR(I21=" ",I21="")," ",OFFSET($BO$9,CL21-1,0-4,1,1))</f>
        <v xml:space="preserve"> </v>
      </c>
      <c r="K21" s="55" t="str">
        <f>IF(OR(I21=" ",I21="")," ",IF(OR(Z21="e",Z21="h"),"SD",BG$24))</f>
        <v xml:space="preserve"> </v>
      </c>
      <c r="L21" s="49">
        <f ca="1">CW21</f>
        <v>0</v>
      </c>
      <c r="M21" s="49">
        <f ca="1">CY21</f>
        <v>0</v>
      </c>
      <c r="N21" s="50">
        <f t="shared" ca="1" si="17"/>
        <v>0</v>
      </c>
      <c r="O21" s="126">
        <f t="shared" ca="1" si="17"/>
        <v>0</v>
      </c>
      <c r="P21" s="140"/>
      <c r="Q21" s="752" t="str">
        <f ca="1">IF(AND(OR(Z21="t",Z21="f"),K21=$BH$11),"No Floor!  Change Floor Type",IF(OR(I21=" ",I21="")," ",IF(F21&lt;OFFSET($BM$9,CL21-1,0,1,1),"check L(m)",DE21&amp;IF(AND(DP21&gt;=CY21,DR21&gt;=DB21),IF(AND(ED21&gt;=DP21,EF21&gt;=DR21),CONCATENATE(DS21," will provide same result"),CONCATENATE(CO21," will provide same result")),IF((DP21&gt;=CY21),CONCATENATE(CO21," provides same result in WIND"),IF((DR21&gt;=DB21),CONCATENATE(CO21," provides same result in EQ"),""))))))&amp;IF(ISERROR(FIND("pile",I21,1)),"",IF(INT(F21)&lt;&gt;F21,"Pile!  Use Whole Numbers Only",""))</f>
        <v xml:space="preserve"> </v>
      </c>
      <c r="R21" s="52"/>
      <c r="S21" s="1372"/>
      <c r="T21" s="52"/>
      <c r="U21" s="1377"/>
      <c r="V21" s="52" t="str">
        <f ca="1">IF(AND(B$5=$BF$9,OR(I21=BH$16,I21=BH$17))," ",IF(ISNUMBER(B$20),(CONCATENATE(B$20,".",W21)),(CONCATENATE(B$20,W21))))</f>
        <v>C0</v>
      </c>
      <c r="W21" s="9">
        <f ca="1">W20+X21</f>
        <v>0</v>
      </c>
      <c r="X21" s="9">
        <f>IF(AND(B$5=$BF$9,OR($I21=$BH$16,$I21=$BH$17,$I21=" ",$I21="",$F21=0)),0,IF(OR($I21=" ",$I21="",$F21=0),0,1))</f>
        <v>0</v>
      </c>
      <c r="Y21" s="896"/>
      <c r="Z21" s="52" t="str">
        <f ca="1">IF(I21=" "," ",OFFSET($BM$9,$CL21-1,8,1,1))</f>
        <v xml:space="preserve"> </v>
      </c>
      <c r="AA21" s="51" t="str">
        <f>IF(G21&gt;=45,"WA","")</f>
        <v/>
      </c>
      <c r="AB21" s="1364" t="str">
        <f>IF(F21&lt;&gt;"",IF(OR(D21=$BG$12,D21=$BG$13),IF(E21&lt;&gt;$BG$17,$BF$12,$BF$13),IF(E21&lt;&gt;$BG$17,$BF$12,$BF$13))," ")</f>
        <v xml:space="preserve"> </v>
      </c>
      <c r="AC21" s="1"/>
      <c r="AJ21" s="2230"/>
      <c r="AK21" s="2793"/>
      <c r="AL21" s="2784"/>
      <c r="AM21" s="11">
        <f>'Regular and QuickBrace Systems'!F35</f>
        <v>0.8</v>
      </c>
      <c r="AN21" s="1336">
        <f>'Regular and QuickBrace Systems'!G35</f>
        <v>120</v>
      </c>
      <c r="AO21" s="26">
        <f>'Regular and QuickBrace Systems'!H35</f>
        <v>109</v>
      </c>
      <c r="AP21" s="1595"/>
      <c r="AQ21" s="2663"/>
      <c r="AR21" s="2664"/>
      <c r="AS21" s="2031"/>
      <c r="AT21" s="1339"/>
      <c r="AU21" s="2123"/>
      <c r="AW21" s="1569" t="str">
        <f>'Regular and QuickBrace Systems'!O35</f>
        <v>Yes</v>
      </c>
      <c r="AX21" s="442" t="str">
        <f>'Regular and QuickBrace Systems'!Q35</f>
        <v>Yes</v>
      </c>
      <c r="BD21" s="2648"/>
      <c r="BE21" s="51"/>
      <c r="BF21" s="482" t="s">
        <v>8</v>
      </c>
      <c r="BI21" s="759"/>
      <c r="BJ21" s="897">
        <f t="shared" si="3"/>
        <v>13</v>
      </c>
      <c r="BK21" s="769" t="str">
        <f t="shared" si="4"/>
        <v xml:space="preserve">  </v>
      </c>
      <c r="BL21" s="771" t="str">
        <f t="shared" si="5"/>
        <v>Custom10</v>
      </c>
      <c r="BM21" s="455">
        <f t="shared" si="6"/>
        <v>9.9999999999999996E-76</v>
      </c>
      <c r="BN21" s="455">
        <v>999</v>
      </c>
      <c r="BO21" s="455">
        <f t="shared" si="7"/>
        <v>0</v>
      </c>
      <c r="BP21" s="925">
        <f t="shared" si="8"/>
        <v>0</v>
      </c>
      <c r="BR21" s="764"/>
      <c r="BS21" s="455"/>
      <c r="BT21" s="455" t="str">
        <f t="shared" si="9"/>
        <v>B</v>
      </c>
      <c r="BU21" s="925" t="str">
        <f t="shared" si="10"/>
        <v>T</v>
      </c>
      <c r="BV21" s="483" t="str">
        <f t="shared" si="11"/>
        <v>Custom10</v>
      </c>
      <c r="BW21" s="910">
        <f t="shared" si="16"/>
        <v>13</v>
      </c>
      <c r="BX21" s="925" t="str">
        <f t="shared" si="14"/>
        <v>Single</v>
      </c>
      <c r="CG21" s="51" t="s">
        <v>8</v>
      </c>
      <c r="CH21" s="764">
        <f t="shared" si="12"/>
        <v>0</v>
      </c>
      <c r="CI21" s="925">
        <f t="shared" si="13"/>
        <v>0</v>
      </c>
      <c r="CJ21" s="759"/>
      <c r="CK21" s="188"/>
      <c r="CL21" s="979">
        <f>VLOOKUP(I21,Prodlink,2,0)</f>
        <v>0</v>
      </c>
      <c r="CN21" s="497">
        <f ca="1">VLOOKUP(CO21,Prodlink,2,0)</f>
        <v>0</v>
      </c>
      <c r="CO21" s="497">
        <f ca="1">OFFSET($CH$9,CL21-1,-15,1,1)</f>
        <v>0</v>
      </c>
      <c r="CQ21" s="51">
        <v>0</v>
      </c>
      <c r="CR21" s="51">
        <f>IF(K21=$BH$12,$BH$23,IF(K21=$BH$13,$BH$24,10000))</f>
        <v>10000</v>
      </c>
      <c r="CS21" s="51">
        <f ca="1">IF(F21&lt;OFFSET($BM$9,CL21-1,0,1,1),0,IF(F21&lt;OFFSET($BN$9,CL21-1,0,1,1),((F21-OFFSET($BM$9,CL21-1,0,1,1))*OFFSET($CH$9,CL21-1,0,1,1))+OFFSET($BO$9,CL21-1,CQ21,1,1),IF(F21&lt;OFFSET($BN$9,CL21+0,0,1,1),((F21-OFFSET($BM$9,CL21+0,0,1,1))*OFFSET($CH$9,CL21+0,0,1,1))+OFFSET($BO$9,CL21+0,CQ21,1,1),IF(F21&lt;OFFSET($BN$9,CL21+1,0,1,1),((F21-OFFSET($BM$9,CL21+1,0,1,1))*OFFSET($CH$9,CL21+1,0,1,1))+OFFSET($BO$9,CL21+1,CQ21,1,1),IF(F21&lt;OFFSET($BN$9,CL21+2,0,1,1),((F21-OFFSET($BM$9,CL21+2,0,1,1))*OFFSET($CH$9,CL21+2,0,1,1))+OFFSET($BO$9,CL21+2,CQ21,1,1),IF(F21&lt;OFFSET($BN$9,CL21+3,0,1,1),((F21-OFFSET($BM$9,CL21+3,0,1,1))*OFFSET($CH$9,CL21+3,0,1,1))+OFFSET($BO$9,CL21+3,CQ21,1,1),0))))))</f>
        <v>0</v>
      </c>
      <c r="CT21" s="51">
        <f ca="1">IF($F21&lt;OFFSET($BM$9,$CL21-1,0,1,1),0,IF($F21&lt;OFFSET($BN$9,$CL21-1,0,1,1),IF(AND($H21&gt;2.4,Z21&lt;&gt;"e",Z21&lt;&gt;"f"),CX21*2.4/$H21,CX21),IF($F21&lt;OFFSET($BN$9,$CL21+0,0,1,1),IF(AND($H21&gt;2.4,Z21&lt;&gt;"e",Z21&lt;&gt;"f"),CX21*2.4/$H21,CX21),IF($F21&lt;OFFSET($BN$9,$CL21+1,0,1,1),IF(AND($H21&gt;2.4,Z21&lt;&gt;"e",Z21&lt;&gt;"f"),CX21*2.4/$H21,CX21),IF($F21&lt;OFFSET($BN$9,CL21+2,0,1,1),IF(AND($H21&gt;2.4,Z21&lt;&gt;"e",Z21&lt;&gt;"f"),CX21*2.4/$H21,CX21),IF($F21&lt;OFFSET($BN$9,CL21+3,0,1,1),IF(AND($H21&gt;2.4,Z21&lt;&gt;"e",Z21&lt;&gt;"f"),CX21*2.4/$H21,CX21),0)))))*COS(RADIANS($G21)))</f>
        <v>0</v>
      </c>
      <c r="CU21" s="51">
        <f ca="1">IF(F21&lt;OFFSET($BM$9,CL21-1,0,1,1),0,IF(F21&lt;OFFSET($BN$9,CL21-1,0,1,1),((F21-OFFSET($BM$9,CL21-1,0,1,1))*OFFSET($CI$9,CL21-1,0,1,1))+OFFSET($BP$9,CL21-1,CQ21,1,1),IF(F21&lt;OFFSET($BN$9,CL21+0,0,1,1),((F21-OFFSET($BM$9,CL21+0,0,1,1))*OFFSET($CI$9,CL21+0,0,1,1))+OFFSET($BP$9,CL21+0,CQ21,1,1),IF(F21&lt;OFFSET($BN$9,CL21+1,0,1,1),((F21-OFFSET($BM$9,CL21+1,0,1,1))*OFFSET($CI$9,CL21+1,0,1,1))+OFFSET($BP$9,CL21+1,CQ21,1,1),IF(F21&lt;OFFSET($BN$9,CL21+2,0,1,1),((F21-OFFSET($BM$9,CL21+2,0,1,1))*OFFSET($CI$9,CL21+2,0,1,1))+OFFSET($BP$9,CL21+2,CQ21,1,1),IF(F21&lt;OFFSET($BN$9,CL21+3,0,1,1),((F21-OFFSET($BM$9,CL21+3,0,1,1))*OFFSET($CI$9,CL21+3,0,1,1))+OFFSET($BP$9,CL21+3,CQ21,1,1),0))))))</f>
        <v>0</v>
      </c>
      <c r="CV21" s="51">
        <f ca="1">IF($F21&lt;OFFSET($BM$9,$CL21-1,0,1,1),0,IF($F21&lt;OFFSET($BN$9,$CL21-1,0,1,1),IF(AND($H21&gt;2.4,Z21&lt;&gt;"e",Z21&lt;&gt;"f"),CZ21*2.4/$H21,CZ21),IF($F21&lt;OFFSET($BN$9,$CL21+0,0,1,1),IF(AND($H21&gt;2.4,Z21&lt;&gt;"e",Z21&lt;&gt;"f"),CZ21*2.4/$H21,CZ21),IF($F21&lt;OFFSET($BN$9,$CL21+1,0,1,1),IF(AND($H21&gt;2.4,Z21&lt;&gt;"e",Z21&lt;&gt;"f"),CZ21*2.4/$H21,CZ21),IF($F21&lt;OFFSET($BN$9,$CL21+2,0,1,1),IF(AND($H21&gt;2.4,Z21&lt;&gt;"e",Z21&lt;&gt;"f"),CZ21*2.4/$H21,CZ21),IF($F21&lt;OFFSET($BN$9,$CL21+3,0,1,1),IF(AND($H21&gt;2.4,Z21&lt;&gt;"e",Z21&lt;&gt;"f"),CZ21*2.4/$H21,CZ21),0)))))*COS(RADIANS($G21)))</f>
        <v>0</v>
      </c>
      <c r="CW21" s="51">
        <f ca="1">IF(CT21&gt;CR21,CR21,CT21)</f>
        <v>0</v>
      </c>
      <c r="CX21" s="51">
        <f ca="1">IF(CS21&gt;$CR21,$CR21,CS21)</f>
        <v>0</v>
      </c>
      <c r="CY21" s="51">
        <f ca="1">CW21*F21</f>
        <v>0</v>
      </c>
      <c r="CZ21" s="51">
        <f ca="1">IF($CU21&gt;$CR21,$CR21,$CU21)</f>
        <v>0</v>
      </c>
      <c r="DA21" s="51">
        <f ca="1">IF(CV21&gt;CR21,CR21,CV21)</f>
        <v>0</v>
      </c>
      <c r="DB21" s="984">
        <f ca="1">DA21*F21</f>
        <v>0</v>
      </c>
      <c r="DC21" s="993">
        <v>1</v>
      </c>
      <c r="DD21" s="758" t="str">
        <f>IF(OR(D21=BG$12,D21=BG$13),"External",IF(D21=BG$14,"Internal"," "))</f>
        <v xml:space="preserve"> </v>
      </c>
      <c r="DE21" s="51" t="str">
        <f t="shared" ca="1" si="1"/>
        <v/>
      </c>
      <c r="DF21" s="52" t="str">
        <f t="shared" ca="1" si="2"/>
        <v xml:space="preserve"> </v>
      </c>
      <c r="DG21" s="51">
        <f ca="1">IF(F21&lt;OFFSET($BM$9,CN21-1,0,1,1),0,IF(F21&lt;OFFSET($BN$9,CN21-1,0,1,1),((F21-OFFSET($BM$9,CN21-1,0,1,1))*OFFSET($CH$9,CN21-1,0,1,1))+OFFSET($BO$9,CN21-1,CQ21,1,1),IF(F21&lt;OFFSET($BN$9,CN21+0,0,1,1),((F21-OFFSET($BM$9,CN21+0,0,1,1))*OFFSET($CH$9,CN21+0,0,1,1))+OFFSET($BO$9,CN21+0,CQ21,1,1),IF(F21&lt;OFFSET($BN$9,CN21+1,0,1,1),((F21-OFFSET($BM$9,CN21+1,0,1,1))*OFFSET($CH$9,CN21+1,0,1,1))+OFFSET($BO$9,CN21+1,CQ21,1,1),IF(F21&lt;OFFSET($BN$9,CN21+2,0,1,1),((F21-OFFSET($BM$9,CN21+2,0,1,1))*OFFSET($CH$9,CN21+2,0,1,1))+OFFSET($BO$9,CN21+2,CQ21,1,1),IF(F21&lt;OFFSET($BN$9,CN21+3,0,1,1),((F21-OFFSET($BM$9,CN21+3,0,1,1))*OFFSET($CH$9,CN21+3,0,1,1))+OFFSET($BO$9,CN21+3,CQ21,1,1),0))))))</f>
        <v>0</v>
      </c>
      <c r="DH21" s="51">
        <f ca="1">IF($F21&lt;OFFSET($BM$9,$CN21-1,0,1,1),0,IF($F21&lt;OFFSET($BN$9,$CN21-1,0,1,1),IF(AND($H21&gt;2.4,Z21&lt;&gt;"e",Z21&lt;&gt;"f"),DL21*2.4/$H21,DL21),IF($F21&lt;OFFSET($BN$9,$CN21+0,0,1,1),IF(AND($H21&gt;2.4,Z21&lt;&gt;"e",Z21&lt;&gt;"f"),DL21*2.4/$H21,DL21),IF($F21&lt;OFFSET($BN$9,$CN21+1,0,1,1),IF(AND($H21&gt;2.4,Z21&lt;&gt;"e",Z21&lt;&gt;"f"),DL21*2.4/$H21,DL21),IF($F21&lt;OFFSET($BN$9,$CN21+2,0,1,1),IF(AND($H21&gt;2.4,Z21&lt;&gt;"e",Z21&lt;&gt;"f"),DL21*2.4/$H21,DL21),IF($F21&lt;OFFSET($BN$9,$CN21+3,0,1,1),IF(AND($H21&gt;2.4,Z21&lt;&gt;"e",Z21&lt;&gt;"f"),DL21*2.4/$H21,DL21),0)))))*COS(RADIANS($G21)))</f>
        <v>0</v>
      </c>
      <c r="DI21" s="51">
        <f ca="1">IF(F21&lt;OFFSET($BM$9,CN21-1,0,1,1),0,IF(F21&lt;OFFSET($BN$9,CN21-1,0,1,1),((F21-OFFSET($BM$9,CN21-1,0,1,1))*OFFSET($CI$9,CN21-1,0,1,1))+OFFSET($BP$9,CN21-1,CQ21,1,1),IF(F21&lt;OFFSET($BN$9,CN21+0,0,1,1),((F21-OFFSET($BM$9,CN21+0,0,1,1))*OFFSET($CI$9,CN21+0,0,1,1))+OFFSET($BP$9,CN21+0,CQ21,1,1),IF(F21&lt;OFFSET($BN$9,CN21+1,0,1,1),((F21-OFFSET($BM$9,CN21+1,0,1,1))*OFFSET($CI$9,CN21+1,0,1,1))+OFFSET($BP$9,CN21+1,CQ21,1,1),IF(F21&lt;OFFSET($BN$9,CN21+2,0,1,1),((F21-OFFSET($BM$9,CN21+2,0,1,1))*OFFSET($CI$9,CN21+2,0,1,1))+OFFSET($BP$9,CN21+2,CQ21,1,1),IF(F21&lt;OFFSET($BN$9,CN21+3,0,1,1),((F21-OFFSET($BM$9,CN21+3,0,1,1))*OFFSET($CI$9,CN21+3,0,1,1))+OFFSET($BP$9,CN21+3,CQ21,1,1),0))))))</f>
        <v>0</v>
      </c>
      <c r="DJ21" s="51">
        <f ca="1">IF($F21&lt;OFFSET($BM$9,$CN21-1,0,1,1),0,IF($F21&lt;OFFSET($BN$9,$CN21-1,0,1,1),IF(AND($H21&gt;2.4,Z21&lt;&gt;"e",Z21&lt;&gt;"f"),DN21*2.4/$H21,DN21),IF($F21&lt;OFFSET($BN$9,$CN21+0,0,1,1),IF(AND($H21&gt;2.4,Z21&lt;&gt;"e",Z21&lt;&gt;"f"),DN21*2.4/$H21,DN21),IF($F21&lt;OFFSET($BN$9,$CN21+1,0,1,1),IF(AND($H21&gt;2.4,Z21&lt;&gt;"e",Z21&lt;&gt;"f"),DN21*2.4/$H21,DN21),IF($F21&lt;OFFSET($BN$9,$CN21+2,0,1,1),IF(AND($H21&gt;2.4,Z21&lt;&gt;"e",Z21&lt;&gt;"f"),DN21*2.4/$H21,DN21),IF($F21&lt;OFFSET($BN$9,$CN21+3,0,1,1),IF(AND($H21&gt;2.4,Z21&lt;&gt;"e",Z21&lt;&gt;"f"),DN21*2.4/$H21,DN21),0)))))*COS(RADIANS($G21)))</f>
        <v>0</v>
      </c>
      <c r="DK21" s="51"/>
      <c r="DL21" s="51">
        <f ca="1">IF(DG21&gt;$CR21,$CR21,DG21)</f>
        <v>0</v>
      </c>
      <c r="DM21" s="51"/>
      <c r="DN21" s="51">
        <f ca="1">IF(DI21&gt;$CR21,$CR21,DI21)</f>
        <v>0</v>
      </c>
      <c r="DO21" s="435">
        <f ca="1">IF(DH21&gt;$CR21,$CR21,DH21)</f>
        <v>0</v>
      </c>
      <c r="DP21" s="435">
        <f ca="1">DO21*F21</f>
        <v>0</v>
      </c>
      <c r="DQ21" s="436">
        <f ca="1">IF(DJ21&gt;$CR21,$CR21,DJ21)</f>
        <v>0</v>
      </c>
      <c r="DR21" s="437">
        <f ca="1">DQ21*F21</f>
        <v>0</v>
      </c>
      <c r="DS21" s="426">
        <f ca="1">OFFSET($CH$9,CL21-1,-15,1,1)</f>
        <v>0</v>
      </c>
      <c r="DT21" s="451">
        <f ca="1">VLOOKUP(DS21,Prodlink,2,0)</f>
        <v>0</v>
      </c>
      <c r="DU21" s="188">
        <f ca="1">IF(F21&lt;OFFSET($BM$9,DT21-1,0,1,1),0,IF(F21&lt;OFFSET($BN$9,DT21-1,0,1,1),((F21-OFFSET($BM$9,DT21-1,0,1,1))*OFFSET($CH$9,DT21-1,0,1,1))+OFFSET($BO$9,DT21-1,CQ21,1,1),IF(F21&lt;OFFSET($BN$9,DT21+0,0,1,1),((F21-OFFSET($BM$9,DT21+0,0,1,1))*OFFSET($CH$9,DT21+0,0,1,1))+OFFSET($BO$9,DT21+0,CQ21,1,1),IF(F21&lt;OFFSET($BN$9,DT21+1,0,1,1),((F21-OFFSET($BM$9,DT21+1,0,1,1))*OFFSET($CH$9,DT21+1,0,1,1))+OFFSET($BO$9,DT21+1,CQ21,1,1),IF(F21&lt;OFFSET($BN$9,DT21+2,0,1,1),((F21-OFFSET($BM$9,DT21+2,0,1,1))*OFFSET($CH$9,DT21+2,0,1,1))+OFFSET($BO$9,DT21+2,CQ21,1,1),IF(F21&lt;OFFSET($BN$9,DT21+3,0,1,1),((F21-OFFSET($BM$9,DT21+3,0,1,1))*OFFSET($CH$9,DT21+3,0,1,1))+OFFSET($BO$9,DT21+3,CQ21,1,1),0))))))</f>
        <v>0</v>
      </c>
      <c r="DV21" s="51">
        <f ca="1">IF($F21&lt;OFFSET($BM$9,$DT21-1,0,1,1),0,IF($F21&lt;OFFSET($BN$9,$DT21-1,0,1,1),IF(AND($H21&gt;2.4,Z21&lt;&gt;"e",Z21&lt;&gt;"f"),DZ21*2.4/$H21,DZ21),IF($F21&lt;OFFSET($BN$9,$DT21+0,0,1,1),IF(AND($H21&gt;2.4,Z21&lt;&gt;"e",Z21&lt;&gt;"f"),DZ21*2.4/$H21,DZ21),IF($F21&lt;OFFSET($BN$9,$DT21+1,0,1,1),IF(AND($H21&gt;2.4,Z21&lt;&gt;"e",Z21&lt;&gt;"f"),DZ21*2.4/$H21,DZ21),IF($F21&lt;OFFSET($BN$9,$DT21+2,0,1,1),IF(AND($H21&gt;2.4,Z21&lt;&gt;"e",Z21&lt;&gt;"f"),DZ21*2.4/$H21,DZ21),IF($F21&lt;OFFSET($BN$9,$DT21+3,0,1,1),IF(AND($H21&gt;2.4,Z21&lt;&gt;"e",Z21&lt;&gt;"f"),DZ21*2.4/$H21,DZ21),0)))))*COS(RADIANS($G21)))</f>
        <v>0</v>
      </c>
      <c r="DW21" s="188">
        <f ca="1">IF(F21&lt;OFFSET($BM$9,DT21-1,0,1,1),0,IF(F21&lt;OFFSET($BN$9,DT21-1,0,1,1),((F21-OFFSET($BM$9,DT21-1,0,1,1))*OFFSET($CI$9,DT21-1,0,1,1))+OFFSET($BP$9,DT21-1,CQ21,1,1),IF(F21&lt;OFFSET($BN$9,DT21+0,0,1,1),((F21-OFFSET($BM$9,DT21+0,0,1,1))*OFFSET($CI$9,DT21+0,0,1,1))+OFFSET($BP$9,DT21+0,CQ21,1,1),IF(F21&lt;OFFSET($BN$9,DT21+1,0,1,1),((F21-OFFSET($BM$9,DT21+1,0,1,1))*OFFSET($CI$9,DT21+1,0,1,1))+OFFSET($BP$9,DT21+1,CQ21,1,1),IF(F21&lt;OFFSET($BN$9,DT21+2,0,1,1),((F21-OFFSET($BM$9,DT21+2,0,1,1))*OFFSET($CI$9,DT21+2,0,1,1))+OFFSET($BP$9,DT21+2,CQ21,1,1),IF(F21&lt;OFFSET($BN$9,DT21+3,0,1,1),((F21-OFFSET($BM$9,DT21+3,0,1,1))*OFFSET($CI$9,DT21+3,0,1,1))+OFFSET($BP$9,DT21+3,CQ21,1,1),0))))))</f>
        <v>0</v>
      </c>
      <c r="DX21" s="51">
        <f ca="1">IF($F21&lt;OFFSET($BM$9,$DT21-1,0,1,1),0,IF($F21&lt;OFFSET($BN$9,$DT21-1,0,1,1),IF(AND($H21&gt;2.4,Z21&lt;&gt;"e",Z21&lt;&gt;"f"),EB21*2.4/$H21,EB21),IF($F21&lt;OFFSET($BN$9,$DT21+0,0,1,1),IF(AND($H21&gt;2.4,Z21&lt;&gt;"e",Z21&lt;&gt;"f"),EB21*2.4/$H21,EB21),IF($F21&lt;OFFSET($BN$9,$DT21+1,0,1,1),IF(AND($H21&gt;2.4,Z21&lt;&gt;"e",Z21&lt;&gt;"f"),EB21*2.4/$H21,EB21),IF($F21&lt;OFFSET($BN$9,$DT21+2,0,1,1),IF(AND($H21&gt;2.4,Z21&lt;&gt;"e",Z21&lt;&gt;"f"),EB21*2.4/$H21,EB21),IF($F21&lt;OFFSET($BN$9,$DT21+3,0,1,1),IF(AND($H21&gt;2.4,Z21&lt;&gt;"e",Z21&lt;&gt;"f"),EB21*2.4/$H21,EB21),0)))))*COS(RADIANS($G21)))</f>
        <v>0</v>
      </c>
      <c r="DY21" s="188"/>
      <c r="DZ21" s="188">
        <f ca="1">IF(DU21&gt;$CR21,$CR21,DU21)</f>
        <v>0</v>
      </c>
      <c r="EA21" s="188"/>
      <c r="EB21" s="188">
        <f ca="1">IF(DW21&gt;$CR21,$CR21,DW21)</f>
        <v>0</v>
      </c>
      <c r="EC21" s="435">
        <f ca="1">IF(DV21&gt;$CR21,$CR21,DV21)</f>
        <v>0</v>
      </c>
      <c r="ED21" s="435">
        <f ca="1">EC21*F21</f>
        <v>0</v>
      </c>
      <c r="EE21" s="436">
        <f ca="1">IF(DX21&gt;$CR21,$CR21,DX21)</f>
        <v>0</v>
      </c>
      <c r="EF21" s="437">
        <f ca="1">EE21*F21</f>
        <v>0</v>
      </c>
      <c r="EG21" s="613" t="str">
        <f>IF(D21=BG$12,BG$12,"")</f>
        <v/>
      </c>
      <c r="EH21" s="614" t="str">
        <f>IF(D21=BG$13,BG$13,"")</f>
        <v/>
      </c>
      <c r="EI21" s="611">
        <f>IF(EG21=BG$12,M21,0)</f>
        <v>0</v>
      </c>
      <c r="EJ21" s="451">
        <f>IF(EG21=BG$12,O21,0)</f>
        <v>0</v>
      </c>
      <c r="EK21" s="451">
        <f>IF(EH21=BG$13,M21,0)</f>
        <v>0</v>
      </c>
      <c r="EL21" s="612">
        <f>IF(EH21=BG$13,O21,0)</f>
        <v>0</v>
      </c>
      <c r="EM21" s="426" t="str">
        <f ca="1">IF(AND(Z21&lt;&gt;"t",Z21&lt;&gt;"f"),"",IF(AND(EN21=$BH$13,K21=$BH$12),"NotOpt",IF(K21&lt;&gt;EN21,"Error","")))</f>
        <v/>
      </c>
      <c r="EN21" s="491" t="str">
        <f>IF(AND($BH$28=1,$BG$28=1),$BH$13,$BH$12)</f>
        <v>120 BU's</v>
      </c>
      <c r="EO21" s="426" t="str">
        <f>K21</f>
        <v xml:space="preserve"> </v>
      </c>
      <c r="EP21" s="497">
        <v>1</v>
      </c>
      <c r="EQ21" s="430" t="str">
        <f ca="1">IF(EP21=1," ",OFFSET(BF$15,EP21-2,0,1,1))</f>
        <v xml:space="preserve"> </v>
      </c>
      <c r="ER21" s="439" t="str">
        <f ca="1">IF(H21=0," ",H21)</f>
        <v xml:space="preserve"> </v>
      </c>
      <c r="ES21" s="440" t="str">
        <f ca="1">IF(ER21&lt;&gt;" ",IF(ER21&lt;&gt;ER$7,"Changed",""),"")</f>
        <v/>
      </c>
      <c r="ET21" s="440">
        <f ca="1">IF(ER21&lt;&gt;" ",IF(ER21&lt;&gt;ER$7,1,0),0)</f>
        <v>0</v>
      </c>
      <c r="EU21" s="957" t="str">
        <f ca="1">IF(I21=" "," ",IF(F21&lt;OFFSET($BM$9,CL21-1,0,1,1),1,""))</f>
        <v xml:space="preserve"> </v>
      </c>
      <c r="EW21" s="427"/>
    </row>
    <row r="22" spans="2:153" ht="17.100000000000001" customHeight="1" thickBot="1">
      <c r="B22" s="689" t="s">
        <v>246</v>
      </c>
      <c r="C22" s="684" t="str">
        <f>IF(OR(F22=0,I22="",I22=" ")," ",$V22)</f>
        <v xml:space="preserve"> </v>
      </c>
      <c r="D22" s="1033"/>
      <c r="E22" s="1360"/>
      <c r="F22" s="202"/>
      <c r="G22" s="1416"/>
      <c r="H22" s="199" t="str">
        <f ca="1">IF(OR(F22=0,Z22="E",Z22="f")," ",'Project Demand'!E$35)</f>
        <v xml:space="preserve"> </v>
      </c>
      <c r="I22" s="631" t="str">
        <f>IF($I$6&lt;&gt;$BG$8," ",AB22)</f>
        <v xml:space="preserve"> </v>
      </c>
      <c r="J22" s="44" t="str">
        <f ca="1">IF(OR(I22=" ",I22="")," ",OFFSET($BO$9,CL22-1,0-4,1,1))</f>
        <v xml:space="preserve"> </v>
      </c>
      <c r="K22" s="55" t="str">
        <f>IF(OR(I22=" ",I22="")," ",IF(OR(Z22="e",Z22="h"),"SD",BG$24))</f>
        <v xml:space="preserve"> </v>
      </c>
      <c r="L22" s="49">
        <f ca="1">CW22</f>
        <v>0</v>
      </c>
      <c r="M22" s="49">
        <f ca="1">CY22</f>
        <v>0</v>
      </c>
      <c r="N22" s="50">
        <f t="shared" ca="1" si="17"/>
        <v>0</v>
      </c>
      <c r="O22" s="126">
        <f t="shared" ca="1" si="17"/>
        <v>0</v>
      </c>
      <c r="P22" s="140"/>
      <c r="Q22" s="752" t="str">
        <f ca="1">IF(AND(OR(Z22="t",Z22="f"),K22=$BH$11),"No Floor!  Change Floor Type",IF(OR(I22=" ",I22="")," ",IF(F22&lt;OFFSET($BM$9,CL22-1,0,1,1),"check L(m)",DE22&amp;IF(AND(DP22&gt;=CY22,DR22&gt;=DB22),IF(AND(ED22&gt;=DP22,EF22&gt;=DR22),CONCATENATE(DS22," will provide same result"),CONCATENATE(CO22," will provide same result")),IF((DP22&gt;=CY22),CONCATENATE(CO22," provides same result in WIND"),IF((DR22&gt;=DB22),CONCATENATE(CO22," provides same result in EQ"),""))))))&amp;IF(ISERROR(FIND("pile",I22,1)),"",IF(INT(F22)&lt;&gt;F22,"Pile!  Use Whole Numbers Only",""))</f>
        <v xml:space="preserve"> </v>
      </c>
      <c r="R22" s="52"/>
      <c r="S22" s="1372"/>
      <c r="T22" s="52"/>
      <c r="U22" s="1377"/>
      <c r="V22" s="52" t="str">
        <f ca="1">IF(AND(B$5=$BF$9,OR(I22=BH$16,I22=BH$17))," ",IF(ISNUMBER(B$20),(CONCATENATE(B$20,".",W22)),(CONCATENATE(B$20,W22))))</f>
        <v>C0</v>
      </c>
      <c r="W22" s="9">
        <f ca="1">W21+X22</f>
        <v>0</v>
      </c>
      <c r="X22" s="9">
        <f>IF(AND(B$5=$BF$9,OR($I22=$BH$16,$I22=$BH$17,$I22=" ",$I22="",$F22=0)),0,IF(OR($I22=" ",$I22="",$F22=0),0,1))</f>
        <v>0</v>
      </c>
      <c r="Y22" s="896"/>
      <c r="Z22" s="52" t="str">
        <f ca="1">IF(I22=" "," ",OFFSET($BM$9,$CL22-1,8,1,1))</f>
        <v xml:space="preserve"> </v>
      </c>
      <c r="AA22" s="51" t="str">
        <f>IF(G22&gt;=45,"WA","")</f>
        <v/>
      </c>
      <c r="AB22" s="1364" t="str">
        <f>IF(F22&lt;&gt;"",IF(OR(D22=$BG$12,D22=$BG$13),IF(E22&lt;&gt;$BG$17,$BF$12,$BF$13),IF(E22&lt;&gt;$BG$17,$BF$12,$BF$13))," ")</f>
        <v xml:space="preserve"> </v>
      </c>
      <c r="AC22" s="1"/>
      <c r="AJ22" s="2230"/>
      <c r="AK22" s="2794"/>
      <c r="AL22" s="2785"/>
      <c r="AM22" s="1177">
        <f>'Regular and QuickBrace Systems'!F36</f>
        <v>1.2</v>
      </c>
      <c r="AN22" s="1274">
        <f>'Regular and QuickBrace Systems'!G36</f>
        <v>140</v>
      </c>
      <c r="AO22" s="1275">
        <f>'Regular and QuickBrace Systems'!H36</f>
        <v>115</v>
      </c>
      <c r="AP22" s="1277"/>
      <c r="AQ22" s="2665"/>
      <c r="AR22" s="2666"/>
      <c r="AS22" s="2032"/>
      <c r="AT22" s="1339"/>
      <c r="AU22" s="2124"/>
      <c r="AW22" s="1570" t="str">
        <f>'Regular and QuickBrace Systems'!O36</f>
        <v>Yes</v>
      </c>
      <c r="AX22" s="1574" t="str">
        <f>'Regular and QuickBrace Systems'!Q36</f>
        <v>Yes</v>
      </c>
      <c r="BD22" s="2648"/>
      <c r="BE22" s="51"/>
      <c r="BF22" s="598" t="str">
        <f>Table!AI83</f>
        <v>ESPH</v>
      </c>
      <c r="BG22" s="1003" t="s">
        <v>674</v>
      </c>
      <c r="BH22" s="1004"/>
      <c r="BI22" s="759"/>
      <c r="BJ22" s="897">
        <f t="shared" si="3"/>
        <v>14</v>
      </c>
      <c r="BK22" s="769" t="str">
        <f t="shared" si="4"/>
        <v xml:space="preserve">  </v>
      </c>
      <c r="BL22" s="771" t="str">
        <f t="shared" si="5"/>
        <v>Custom11</v>
      </c>
      <c r="BM22" s="455">
        <f t="shared" si="6"/>
        <v>9.9999999999999996E-76</v>
      </c>
      <c r="BN22" s="455">
        <v>999</v>
      </c>
      <c r="BO22" s="455">
        <f t="shared" si="7"/>
        <v>0</v>
      </c>
      <c r="BP22" s="925">
        <f t="shared" si="8"/>
        <v>0</v>
      </c>
      <c r="BR22" s="764"/>
      <c r="BS22" s="455"/>
      <c r="BT22" s="455" t="str">
        <f t="shared" si="9"/>
        <v>B</v>
      </c>
      <c r="BU22" s="925" t="str">
        <f t="shared" si="10"/>
        <v>T</v>
      </c>
      <c r="BV22" s="483" t="str">
        <f t="shared" si="11"/>
        <v>Custom11</v>
      </c>
      <c r="BW22" s="910">
        <f t="shared" si="16"/>
        <v>14</v>
      </c>
      <c r="BX22" s="925" t="str">
        <f t="shared" si="14"/>
        <v>Single</v>
      </c>
      <c r="CG22" s="51" t="s">
        <v>8</v>
      </c>
      <c r="CH22" s="764">
        <f t="shared" si="12"/>
        <v>0</v>
      </c>
      <c r="CI22" s="925">
        <f t="shared" si="13"/>
        <v>0</v>
      </c>
      <c r="CJ22" s="759"/>
      <c r="CK22" s="188"/>
      <c r="CL22" s="979">
        <f>VLOOKUP(I22,Prodlink,2,0)</f>
        <v>0</v>
      </c>
      <c r="CN22" s="497">
        <f ca="1">VLOOKUP(CO22,Prodlink,2,0)</f>
        <v>0</v>
      </c>
      <c r="CO22" s="497">
        <f ca="1">OFFSET($CH$9,CL22-1,-15,1,1)</f>
        <v>0</v>
      </c>
      <c r="CQ22" s="51">
        <v>0</v>
      </c>
      <c r="CR22" s="51">
        <f>IF(K22=$BH$12,$BH$23,IF(K22=$BH$13,$BH$24,10000))</f>
        <v>10000</v>
      </c>
      <c r="CS22" s="51">
        <f ca="1">IF(F22&lt;OFFSET($BM$9,CL22-1,0,1,1),0,IF(F22&lt;OFFSET($BN$9,CL22-1,0,1,1),((F22-OFFSET($BM$9,CL22-1,0,1,1))*OFFSET($CH$9,CL22-1,0,1,1))+OFFSET($BO$9,CL22-1,CQ22,1,1),IF(F22&lt;OFFSET($BN$9,CL22+0,0,1,1),((F22-OFFSET($BM$9,CL22+0,0,1,1))*OFFSET($CH$9,CL22+0,0,1,1))+OFFSET($BO$9,CL22+0,CQ22,1,1),IF(F22&lt;OFFSET($BN$9,CL22+1,0,1,1),((F22-OFFSET($BM$9,CL22+1,0,1,1))*OFFSET($CH$9,CL22+1,0,1,1))+OFFSET($BO$9,CL22+1,CQ22,1,1),IF(F22&lt;OFFSET($BN$9,CL22+2,0,1,1),((F22-OFFSET($BM$9,CL22+2,0,1,1))*OFFSET($CH$9,CL22+2,0,1,1))+OFFSET($BO$9,CL22+2,CQ22,1,1),IF(F22&lt;OFFSET($BN$9,CL22+3,0,1,1),((F22-OFFSET($BM$9,CL22+3,0,1,1))*OFFSET($CH$9,CL22+3,0,1,1))+OFFSET($BO$9,CL22+3,CQ22,1,1),0))))))</f>
        <v>0</v>
      </c>
      <c r="CT22" s="51">
        <f ca="1">IF($F22&lt;OFFSET($BM$9,$CL22-1,0,1,1),0,IF($F22&lt;OFFSET($BN$9,$CL22-1,0,1,1),IF(AND($H22&gt;2.4,Z22&lt;&gt;"e",Z22&lt;&gt;"f"),CX22*2.4/$H22,CX22),IF($F22&lt;OFFSET($BN$9,$CL22+0,0,1,1),IF(AND($H22&gt;2.4,Z22&lt;&gt;"e",Z22&lt;&gt;"f"),CX22*2.4/$H22,CX22),IF($F22&lt;OFFSET($BN$9,$CL22+1,0,1,1),IF(AND($H22&gt;2.4,Z22&lt;&gt;"e",Z22&lt;&gt;"f"),CX22*2.4/$H22,CX22),IF($F22&lt;OFFSET($BN$9,CL22+2,0,1,1),IF(AND($H22&gt;2.4,Z22&lt;&gt;"e",Z22&lt;&gt;"f"),CX22*2.4/$H22,CX22),IF($F22&lt;OFFSET($BN$9,CL22+3,0,1,1),IF(AND($H22&gt;2.4,Z22&lt;&gt;"e",Z22&lt;&gt;"f"),CX22*2.4/$H22,CX22),0)))))*COS(RADIANS($G22)))</f>
        <v>0</v>
      </c>
      <c r="CU22" s="51">
        <f ca="1">IF(F22&lt;OFFSET($BM$9,CL22-1,0,1,1),0,IF(F22&lt;OFFSET($BN$9,CL22-1,0,1,1),((F22-OFFSET($BM$9,CL22-1,0,1,1))*OFFSET($CI$9,CL22-1,0,1,1))+OFFSET($BP$9,CL22-1,CQ22,1,1),IF(F22&lt;OFFSET($BN$9,CL22+0,0,1,1),((F22-OFFSET($BM$9,CL22+0,0,1,1))*OFFSET($CI$9,CL22+0,0,1,1))+OFFSET($BP$9,CL22+0,CQ22,1,1),IF(F22&lt;OFFSET($BN$9,CL22+1,0,1,1),((F22-OFFSET($BM$9,CL22+1,0,1,1))*OFFSET($CI$9,CL22+1,0,1,1))+OFFSET($BP$9,CL22+1,CQ22,1,1),IF(F22&lt;OFFSET($BN$9,CL22+2,0,1,1),((F22-OFFSET($BM$9,CL22+2,0,1,1))*OFFSET($CI$9,CL22+2,0,1,1))+OFFSET($BP$9,CL22+2,CQ22,1,1),IF(F22&lt;OFFSET($BN$9,CL22+3,0,1,1),((F22-OFFSET($BM$9,CL22+3,0,1,1))*OFFSET($CI$9,CL22+3,0,1,1))+OFFSET($BP$9,CL22+3,CQ22,1,1),0))))))</f>
        <v>0</v>
      </c>
      <c r="CV22" s="51">
        <f ca="1">IF($F22&lt;OFFSET($BM$9,$CL22-1,0,1,1),0,IF($F22&lt;OFFSET($BN$9,$CL22-1,0,1,1),IF(AND($H22&gt;2.4,Z22&lt;&gt;"e",Z22&lt;&gt;"f"),CZ22*2.4/$H22,CZ22),IF($F22&lt;OFFSET($BN$9,$CL22+0,0,1,1),IF(AND($H22&gt;2.4,Z22&lt;&gt;"e",Z22&lt;&gt;"f"),CZ22*2.4/$H22,CZ22),IF($F22&lt;OFFSET($BN$9,$CL22+1,0,1,1),IF(AND($H22&gt;2.4,Z22&lt;&gt;"e",Z22&lt;&gt;"f"),CZ22*2.4/$H22,CZ22),IF($F22&lt;OFFSET($BN$9,$CL22+2,0,1,1),IF(AND($H22&gt;2.4,Z22&lt;&gt;"e",Z22&lt;&gt;"f"),CZ22*2.4/$H22,CZ22),IF($F22&lt;OFFSET($BN$9,$CL22+3,0,1,1),IF(AND($H22&gt;2.4,Z22&lt;&gt;"e",Z22&lt;&gt;"f"),CZ22*2.4/$H22,CZ22),0)))))*COS(RADIANS($G22)))</f>
        <v>0</v>
      </c>
      <c r="CW22" s="51">
        <f ca="1">IF(CT22&gt;CR22,CR22,CT22)</f>
        <v>0</v>
      </c>
      <c r="CX22" s="51">
        <f ca="1">IF(CS22&gt;$CR22,$CR22,CS22)</f>
        <v>0</v>
      </c>
      <c r="CY22" s="51">
        <f ca="1">CW22*F22</f>
        <v>0</v>
      </c>
      <c r="CZ22" s="51">
        <f ca="1">IF($CU22&gt;$CR22,$CR22,$CU22)</f>
        <v>0</v>
      </c>
      <c r="DA22" s="51">
        <f ca="1">IF(CV22&gt;CR22,CR22,CV22)</f>
        <v>0</v>
      </c>
      <c r="DB22" s="984">
        <f ca="1">DA22*F22</f>
        <v>0</v>
      </c>
      <c r="DC22" s="993">
        <v>1</v>
      </c>
      <c r="DD22" s="758" t="str">
        <f>IF(OR(D22=BG$12,D22=BG$13),"External",IF(D22=BG$14,"Internal"," "))</f>
        <v xml:space="preserve"> </v>
      </c>
      <c r="DE22" s="51" t="str">
        <f t="shared" ca="1" si="1"/>
        <v/>
      </c>
      <c r="DF22" s="52" t="str">
        <f t="shared" ca="1" si="2"/>
        <v xml:space="preserve"> </v>
      </c>
      <c r="DG22" s="51">
        <f ca="1">IF(F22&lt;OFFSET($BM$9,CN22-1,0,1,1),0,IF(F22&lt;OFFSET($BN$9,CN22-1,0,1,1),((F22-OFFSET($BM$9,CN22-1,0,1,1))*OFFSET($CH$9,CN22-1,0,1,1))+OFFSET($BO$9,CN22-1,CQ22,1,1),IF(F22&lt;OFFSET($BN$9,CN22+0,0,1,1),((F22-OFFSET($BM$9,CN22+0,0,1,1))*OFFSET($CH$9,CN22+0,0,1,1))+OFFSET($BO$9,CN22+0,CQ22,1,1),IF(F22&lt;OFFSET($BN$9,CN22+1,0,1,1),((F22-OFFSET($BM$9,CN22+1,0,1,1))*OFFSET($CH$9,CN22+1,0,1,1))+OFFSET($BO$9,CN22+1,CQ22,1,1),IF(F22&lt;OFFSET($BN$9,CN22+2,0,1,1),((F22-OFFSET($BM$9,CN22+2,0,1,1))*OFFSET($CH$9,CN22+2,0,1,1))+OFFSET($BO$9,CN22+2,CQ22,1,1),IF(F22&lt;OFFSET($BN$9,CN22+3,0,1,1),((F22-OFFSET($BM$9,CN22+3,0,1,1))*OFFSET($CH$9,CN22+3,0,1,1))+OFFSET($BO$9,CN22+3,CQ22,1,1),0))))))</f>
        <v>0</v>
      </c>
      <c r="DH22" s="51">
        <f ca="1">IF($F22&lt;OFFSET($BM$9,$CN22-1,0,1,1),0,IF($F22&lt;OFFSET($BN$9,$CN22-1,0,1,1),IF(AND($H22&gt;2.4,Z22&lt;&gt;"e",Z22&lt;&gt;"f"),DL22*2.4/$H22,DL22),IF($F22&lt;OFFSET($BN$9,$CN22+0,0,1,1),IF(AND($H22&gt;2.4,Z22&lt;&gt;"e",Z22&lt;&gt;"f"),DL22*2.4/$H22,DL22),IF($F22&lt;OFFSET($BN$9,$CN22+1,0,1,1),IF(AND($H22&gt;2.4,Z22&lt;&gt;"e",Z22&lt;&gt;"f"),DL22*2.4/$H22,DL22),IF($F22&lt;OFFSET($BN$9,$CN22+2,0,1,1),IF(AND($H22&gt;2.4,Z22&lt;&gt;"e",Z22&lt;&gt;"f"),DL22*2.4/$H22,DL22),IF($F22&lt;OFFSET($BN$9,$CN22+3,0,1,1),IF(AND($H22&gt;2.4,Z22&lt;&gt;"e",Z22&lt;&gt;"f"),DL22*2.4/$H22,DL22),0)))))*COS(RADIANS($G22)))</f>
        <v>0</v>
      </c>
      <c r="DI22" s="51">
        <f ca="1">IF(F22&lt;OFFSET($BM$9,CN22-1,0,1,1),0,IF(F22&lt;OFFSET($BN$9,CN22-1,0,1,1),((F22-OFFSET($BM$9,CN22-1,0,1,1))*OFFSET($CI$9,CN22-1,0,1,1))+OFFSET($BP$9,CN22-1,CQ22,1,1),IF(F22&lt;OFFSET($BN$9,CN22+0,0,1,1),((F22-OFFSET($BM$9,CN22+0,0,1,1))*OFFSET($CI$9,CN22+0,0,1,1))+OFFSET($BP$9,CN22+0,CQ22,1,1),IF(F22&lt;OFFSET($BN$9,CN22+1,0,1,1),((F22-OFFSET($BM$9,CN22+1,0,1,1))*OFFSET($CI$9,CN22+1,0,1,1))+OFFSET($BP$9,CN22+1,CQ22,1,1),IF(F22&lt;OFFSET($BN$9,CN22+2,0,1,1),((F22-OFFSET($BM$9,CN22+2,0,1,1))*OFFSET($CI$9,CN22+2,0,1,1))+OFFSET($BP$9,CN22+2,CQ22,1,1),IF(F22&lt;OFFSET($BN$9,CN22+3,0,1,1),((F22-OFFSET($BM$9,CN22+3,0,1,1))*OFFSET($CI$9,CN22+3,0,1,1))+OFFSET($BP$9,CN22+3,CQ22,1,1),0))))))</f>
        <v>0</v>
      </c>
      <c r="DJ22" s="51">
        <f ca="1">IF($F22&lt;OFFSET($BM$9,$CN22-1,0,1,1),0,IF($F22&lt;OFFSET($BN$9,$CN22-1,0,1,1),IF(AND($H22&gt;2.4,Z22&lt;&gt;"e",Z22&lt;&gt;"f"),DN22*2.4/$H22,DN22),IF($F22&lt;OFFSET($BN$9,$CN22+0,0,1,1),IF(AND($H22&gt;2.4,Z22&lt;&gt;"e",Z22&lt;&gt;"f"),DN22*2.4/$H22,DN22),IF($F22&lt;OFFSET($BN$9,$CN22+1,0,1,1),IF(AND($H22&gt;2.4,Z22&lt;&gt;"e",Z22&lt;&gt;"f"),DN22*2.4/$H22,DN22),IF($F22&lt;OFFSET($BN$9,$CN22+2,0,1,1),IF(AND($H22&gt;2.4,Z22&lt;&gt;"e",Z22&lt;&gt;"f"),DN22*2.4/$H22,DN22),IF($F22&lt;OFFSET($BN$9,$CN22+3,0,1,1),IF(AND($H22&gt;2.4,Z22&lt;&gt;"e",Z22&lt;&gt;"f"),DN22*2.4/$H22,DN22),0)))))*COS(RADIANS($G22)))</f>
        <v>0</v>
      </c>
      <c r="DK22" s="51"/>
      <c r="DL22" s="51">
        <f ca="1">IF(DG22&gt;$CR22,$CR22,DG22)</f>
        <v>0</v>
      </c>
      <c r="DM22" s="51"/>
      <c r="DN22" s="51">
        <f ca="1">IF(DI22&gt;$CR22,$CR22,DI22)</f>
        <v>0</v>
      </c>
      <c r="DO22" s="435">
        <f ca="1">IF(DH22&gt;$CR22,$CR22,DH22)</f>
        <v>0</v>
      </c>
      <c r="DP22" s="435">
        <f ca="1">DO22*F22</f>
        <v>0</v>
      </c>
      <c r="DQ22" s="436">
        <f ca="1">IF(DJ22&gt;$CR22,$CR22,DJ22)</f>
        <v>0</v>
      </c>
      <c r="DR22" s="437">
        <f ca="1">DQ22*F22</f>
        <v>0</v>
      </c>
      <c r="DS22" s="426">
        <f ca="1">OFFSET($CH$9,CL22-1,-15,1,1)</f>
        <v>0</v>
      </c>
      <c r="DT22" s="451">
        <f ca="1">VLOOKUP(DS22,Prodlink,2,0)</f>
        <v>0</v>
      </c>
      <c r="DU22" s="188">
        <f ca="1">IF(F22&lt;OFFSET($BM$9,DT22-1,0,1,1),0,IF(F22&lt;OFFSET($BN$9,DT22-1,0,1,1),((F22-OFFSET($BM$9,DT22-1,0,1,1))*OFFSET($CH$9,DT22-1,0,1,1))+OFFSET($BO$9,DT22-1,CQ22,1,1),IF(F22&lt;OFFSET($BN$9,DT22+0,0,1,1),((F22-OFFSET($BM$9,DT22+0,0,1,1))*OFFSET($CH$9,DT22+0,0,1,1))+OFFSET($BO$9,DT22+0,CQ22,1,1),IF(F22&lt;OFFSET($BN$9,DT22+1,0,1,1),((F22-OFFSET($BM$9,DT22+1,0,1,1))*OFFSET($CH$9,DT22+1,0,1,1))+OFFSET($BO$9,DT22+1,CQ22,1,1),IF(F22&lt;OFFSET($BN$9,DT22+2,0,1,1),((F22-OFFSET($BM$9,DT22+2,0,1,1))*OFFSET($CH$9,DT22+2,0,1,1))+OFFSET($BO$9,DT22+2,CQ22,1,1),IF(F22&lt;OFFSET($BN$9,DT22+3,0,1,1),((F22-OFFSET($BM$9,DT22+3,0,1,1))*OFFSET($CH$9,DT22+3,0,1,1))+OFFSET($BO$9,DT22+3,CQ22,1,1),0))))))</f>
        <v>0</v>
      </c>
      <c r="DV22" s="51">
        <f ca="1">IF($F22&lt;OFFSET($BM$9,$DT22-1,0,1,1),0,IF($F22&lt;OFFSET($BN$9,$DT22-1,0,1,1),IF(AND($H22&gt;2.4,Z22&lt;&gt;"e",Z22&lt;&gt;"f"),DZ22*2.4/$H22,DZ22),IF($F22&lt;OFFSET($BN$9,$DT22+0,0,1,1),IF(AND($H22&gt;2.4,Z22&lt;&gt;"e",Z22&lt;&gt;"f"),DZ22*2.4/$H22,DZ22),IF($F22&lt;OFFSET($BN$9,$DT22+1,0,1,1),IF(AND($H22&gt;2.4,Z22&lt;&gt;"e",Z22&lt;&gt;"f"),DZ22*2.4/$H22,DZ22),IF($F22&lt;OFFSET($BN$9,$DT22+2,0,1,1),IF(AND($H22&gt;2.4,Z22&lt;&gt;"e",Z22&lt;&gt;"f"),DZ22*2.4/$H22,DZ22),IF($F22&lt;OFFSET($BN$9,$DT22+3,0,1,1),IF(AND($H22&gt;2.4,Z22&lt;&gt;"e",Z22&lt;&gt;"f"),DZ22*2.4/$H22,DZ22),0)))))*COS(RADIANS($G22)))</f>
        <v>0</v>
      </c>
      <c r="DW22" s="188">
        <f ca="1">IF(F22&lt;OFFSET($BM$9,DT22-1,0,1,1),0,IF(F22&lt;OFFSET($BN$9,DT22-1,0,1,1),((F22-OFFSET($BM$9,DT22-1,0,1,1))*OFFSET($CI$9,DT22-1,0,1,1))+OFFSET($BP$9,DT22-1,CQ22,1,1),IF(F22&lt;OFFSET($BN$9,DT22+0,0,1,1),((F22-OFFSET($BM$9,DT22+0,0,1,1))*OFFSET($CI$9,DT22+0,0,1,1))+OFFSET($BP$9,DT22+0,CQ22,1,1),IF(F22&lt;OFFSET($BN$9,DT22+1,0,1,1),((F22-OFFSET($BM$9,DT22+1,0,1,1))*OFFSET($CI$9,DT22+1,0,1,1))+OFFSET($BP$9,DT22+1,CQ22,1,1),IF(F22&lt;OFFSET($BN$9,DT22+2,0,1,1),((F22-OFFSET($BM$9,DT22+2,0,1,1))*OFFSET($CI$9,DT22+2,0,1,1))+OFFSET($BP$9,DT22+2,CQ22,1,1),IF(F22&lt;OFFSET($BN$9,DT22+3,0,1,1),((F22-OFFSET($BM$9,DT22+3,0,1,1))*OFFSET($CI$9,DT22+3,0,1,1))+OFFSET($BP$9,DT22+3,CQ22,1,1),0))))))</f>
        <v>0</v>
      </c>
      <c r="DX22" s="51">
        <f ca="1">IF($F22&lt;OFFSET($BM$9,$DT22-1,0,1,1),0,IF($F22&lt;OFFSET($BN$9,$DT22-1,0,1,1),IF(AND($H22&gt;2.4,Z22&lt;&gt;"e",Z22&lt;&gt;"f"),EB22*2.4/$H22,EB22),IF($F22&lt;OFFSET($BN$9,$DT22+0,0,1,1),IF(AND($H22&gt;2.4,Z22&lt;&gt;"e",Z22&lt;&gt;"f"),EB22*2.4/$H22,EB22),IF($F22&lt;OFFSET($BN$9,$DT22+1,0,1,1),IF(AND($H22&gt;2.4,Z22&lt;&gt;"e",Z22&lt;&gt;"f"),EB22*2.4/$H22,EB22),IF($F22&lt;OFFSET($BN$9,$DT22+2,0,1,1),IF(AND($H22&gt;2.4,Z22&lt;&gt;"e",Z22&lt;&gt;"f"),EB22*2.4/$H22,EB22),IF($F22&lt;OFFSET($BN$9,$DT22+3,0,1,1),IF(AND($H22&gt;2.4,Z22&lt;&gt;"e",Z22&lt;&gt;"f"),EB22*2.4/$H22,EB22),0)))))*COS(RADIANS($G22)))</f>
        <v>0</v>
      </c>
      <c r="DY22" s="188"/>
      <c r="DZ22" s="188">
        <f ca="1">IF(DU22&gt;$CR22,$CR22,DU22)</f>
        <v>0</v>
      </c>
      <c r="EA22" s="188"/>
      <c r="EB22" s="188">
        <f ca="1">IF(DW22&gt;$CR22,$CR22,DW22)</f>
        <v>0</v>
      </c>
      <c r="EC22" s="435">
        <f ca="1">IF(DV22&gt;$CR22,$CR22,DV22)</f>
        <v>0</v>
      </c>
      <c r="ED22" s="435">
        <f ca="1">EC22*F22</f>
        <v>0</v>
      </c>
      <c r="EE22" s="436">
        <f ca="1">IF(DX22&gt;$CR22,$CR22,DX22)</f>
        <v>0</v>
      </c>
      <c r="EF22" s="437">
        <f ca="1">EE22*F22</f>
        <v>0</v>
      </c>
      <c r="EG22" s="613" t="str">
        <f>IF(D22=BG$12,BG$12,"")</f>
        <v/>
      </c>
      <c r="EH22" s="614" t="str">
        <f>IF(D22=BG$13,BG$13,"")</f>
        <v/>
      </c>
      <c r="EI22" s="611">
        <f>IF(EG22=BG$12,M22,0)</f>
        <v>0</v>
      </c>
      <c r="EJ22" s="451">
        <f>IF(EG22=BG$12,O22,0)</f>
        <v>0</v>
      </c>
      <c r="EK22" s="451">
        <f>IF(EH22=BG$13,M22,0)</f>
        <v>0</v>
      </c>
      <c r="EL22" s="612">
        <f>IF(EH22=BG$13,O22,0)</f>
        <v>0</v>
      </c>
      <c r="EM22" s="426" t="str">
        <f ca="1">IF(AND(Z22&lt;&gt;"t",Z22&lt;&gt;"f"),"",IF(AND(EN22=$BH$13,K22=$BH$12),"NotOpt",IF(K22&lt;&gt;EN22,"Error","")))</f>
        <v/>
      </c>
      <c r="EN22" s="491" t="str">
        <f>IF(AND($BH$28=1,$BG$28=1),$BH$13,$BH$12)</f>
        <v>120 BU's</v>
      </c>
      <c r="EO22" s="426" t="str">
        <f>K22</f>
        <v xml:space="preserve"> </v>
      </c>
      <c r="EP22" s="497">
        <v>0</v>
      </c>
      <c r="EQ22" s="430" t="str">
        <f ca="1">IF(EP22=1," ",OFFSET(BF$15,EP22-2,0,1,1))</f>
        <v>ER2</v>
      </c>
      <c r="ER22" s="439" t="str">
        <f ca="1">IF(H22=0," ",H22)</f>
        <v xml:space="preserve"> </v>
      </c>
      <c r="ES22" s="440" t="str">
        <f ca="1">IF(ER22&lt;&gt;" ",IF(ER22&lt;&gt;ER$7,"Changed",""),"")</f>
        <v/>
      </c>
      <c r="ET22" s="440">
        <f ca="1">IF(ER22&lt;&gt;" ",IF(ER22&lt;&gt;ER$7,1,0),0)</f>
        <v>0</v>
      </c>
      <c r="EU22" s="957" t="str">
        <f ca="1">IF(I22=" "," ",IF(F22&lt;OFFSET($BM$9,CL22-1,0,1,1),1,""))</f>
        <v xml:space="preserve"> </v>
      </c>
      <c r="EW22" s="427"/>
    </row>
    <row r="23" spans="2:153" ht="17.100000000000001" customHeight="1" thickBot="1">
      <c r="B23" s="689" t="s">
        <v>246</v>
      </c>
      <c r="C23" s="684" t="str">
        <f>IF(OR(F23=0,I23="",I23=" ")," ",$V23)</f>
        <v xml:space="preserve"> </v>
      </c>
      <c r="D23" s="1033"/>
      <c r="E23" s="1360"/>
      <c r="F23" s="202"/>
      <c r="G23" s="1416"/>
      <c r="H23" s="199" t="str">
        <f ca="1">IF(OR(F23=0,Z23="E",Z23="f")," ",'Project Demand'!E$35)</f>
        <v xml:space="preserve"> </v>
      </c>
      <c r="I23" s="631" t="str">
        <f>IF($I$6&lt;&gt;$BG$8," ",AB23)</f>
        <v xml:space="preserve"> </v>
      </c>
      <c r="J23" s="44" t="str">
        <f ca="1">IF(OR(I23=" ",I23="")," ",OFFSET($BO$9,CL23-1,0-4,1,1))</f>
        <v xml:space="preserve"> </v>
      </c>
      <c r="K23" s="55" t="str">
        <f>IF(OR(I23=" ",I23="")," ",IF(OR(Z23="e",Z23="h"),"SD",BG$24))</f>
        <v xml:space="preserve"> </v>
      </c>
      <c r="L23" s="49">
        <f ca="1">CW23</f>
        <v>0</v>
      </c>
      <c r="M23" s="49">
        <f ca="1">CY23</f>
        <v>0</v>
      </c>
      <c r="N23" s="50">
        <f t="shared" ca="1" si="17"/>
        <v>0</v>
      </c>
      <c r="O23" s="126">
        <f t="shared" ca="1" si="17"/>
        <v>0</v>
      </c>
      <c r="P23" s="140"/>
      <c r="Q23" s="752" t="str">
        <f ca="1">IF(AND(OR(Z23="t",Z23="f"),K23=$BH$11),"No Floor!  Change Floor Type",IF(OR(I23=" ",I23="")," ",IF(F23&lt;OFFSET($BM$9,CL23-1,0,1,1),"check L(m)",DE23&amp;IF(AND(DP23&gt;=CY23,DR23&gt;=DB23),IF(AND(ED23&gt;=DP23,EF23&gt;=DR23),CONCATENATE(DS23," will provide same result"),CONCATENATE(CO23," will provide same result")),IF((DP23&gt;=CY23),CONCATENATE(CO23," provides same result in WIND"),IF((DR23&gt;=DB23),CONCATENATE(CO23," provides same result in EQ"),""))))))&amp;IF(ISERROR(FIND("pile",I23,1)),"",IF(INT(F23)&lt;&gt;F23,"Pile!  Use Whole Numbers Only",""))</f>
        <v xml:space="preserve"> </v>
      </c>
      <c r="R23" s="52"/>
      <c r="S23" s="1372"/>
      <c r="T23" s="52"/>
      <c r="U23" s="1377"/>
      <c r="V23" s="52" t="str">
        <f ca="1">IF(AND(B$5=$BF$9,OR(I23=BH$16,I23=BH$17))," ",IF(ISNUMBER(B$20),(CONCATENATE(B$20,".",W23)),(CONCATENATE(B$20,W23))))</f>
        <v>C0</v>
      </c>
      <c r="W23" s="9">
        <f ca="1">W22+X23</f>
        <v>0</v>
      </c>
      <c r="X23" s="9">
        <f>IF(AND(B$5=$BF$9,OR($I23=$BH$16,$I23=$BH$17,$I23=" ",$I23="",$F23=0)),0,IF(OR($I23=" ",$I23="",$F23=0),0,1))</f>
        <v>0</v>
      </c>
      <c r="Y23" s="896"/>
      <c r="Z23" s="52" t="str">
        <f ca="1">IF(I23=" "," ",OFFSET($BM$9,$CL23-1,8,1,1))</f>
        <v xml:space="preserve"> </v>
      </c>
      <c r="AA23" s="51" t="str">
        <f>IF(G23&gt;=45,"WA","")</f>
        <v/>
      </c>
      <c r="AB23" s="1364" t="str">
        <f>IF(F23&lt;&gt;"",IF(OR(D23=$BG$12,D23=$BG$13),IF(E23&lt;&gt;$BG$17,$BF$12,$BF$13),IF(E23&lt;&gt;$BG$17,$BF$12,$BF$13))," ")</f>
        <v xml:space="preserve"> </v>
      </c>
      <c r="AC23" s="1"/>
      <c r="AJ23" s="2230"/>
      <c r="AK23" s="2803" t="str">
        <f>'Regular and QuickBrace Systems'!D37</f>
        <v>Plasterboard on Both Sides</v>
      </c>
      <c r="AL23" s="2804"/>
      <c r="AM23" s="2804"/>
      <c r="AN23" s="2804"/>
      <c r="AO23" s="1304"/>
      <c r="AP23" s="1304"/>
      <c r="AQ23" s="1305"/>
      <c r="AR23" s="1305"/>
      <c r="AS23" s="1337"/>
      <c r="AT23" s="1188"/>
      <c r="AU23" s="1332"/>
      <c r="AW23" s="1585"/>
      <c r="AX23" s="1576"/>
      <c r="BD23" s="2648"/>
      <c r="BE23" s="51"/>
      <c r="BF23" s="598" t="str">
        <f>Table!AI84</f>
        <v>EMPH</v>
      </c>
      <c r="BG23" s="1011">
        <f>'Project Demand'!AX72</f>
        <v>1</v>
      </c>
      <c r="BH23" s="655">
        <f>IF(BE$3=1,120,6)</f>
        <v>120</v>
      </c>
      <c r="BI23" s="759"/>
      <c r="BJ23" s="897">
        <f t="shared" si="3"/>
        <v>15</v>
      </c>
      <c r="BK23" s="769" t="str">
        <f t="shared" si="4"/>
        <v xml:space="preserve">  </v>
      </c>
      <c r="BL23" s="771" t="str">
        <f t="shared" si="5"/>
        <v>Custom12</v>
      </c>
      <c r="BM23" s="455">
        <f t="shared" si="6"/>
        <v>9.9999999999999996E-76</v>
      </c>
      <c r="BN23" s="455">
        <v>999</v>
      </c>
      <c r="BO23" s="455">
        <f t="shared" si="7"/>
        <v>0</v>
      </c>
      <c r="BP23" s="925">
        <f t="shared" si="8"/>
        <v>0</v>
      </c>
      <c r="BR23" s="764"/>
      <c r="BS23" s="455"/>
      <c r="BT23" s="455" t="str">
        <f t="shared" si="9"/>
        <v>B</v>
      </c>
      <c r="BU23" s="925" t="str">
        <f t="shared" si="10"/>
        <v>T</v>
      </c>
      <c r="BV23" s="483" t="str">
        <f t="shared" si="11"/>
        <v>Custom12</v>
      </c>
      <c r="BW23" s="910">
        <f t="shared" si="16"/>
        <v>15</v>
      </c>
      <c r="BX23" s="925" t="str">
        <f t="shared" si="14"/>
        <v>Single</v>
      </c>
      <c r="CG23" s="51" t="s">
        <v>8</v>
      </c>
      <c r="CH23" s="764">
        <f t="shared" si="12"/>
        <v>0</v>
      </c>
      <c r="CI23" s="925">
        <f t="shared" si="13"/>
        <v>0</v>
      </c>
      <c r="CJ23" s="759"/>
      <c r="CK23" s="188"/>
      <c r="CL23" s="979">
        <f>VLOOKUP(I23,Prodlink,2,0)</f>
        <v>0</v>
      </c>
      <c r="CN23" s="497">
        <f ca="1">VLOOKUP(CO23,Prodlink,2,0)</f>
        <v>0</v>
      </c>
      <c r="CO23" s="497">
        <f ca="1">OFFSET($CH$9,CL23-1,-15,1,1)</f>
        <v>0</v>
      </c>
      <c r="CQ23" s="51">
        <v>0</v>
      </c>
      <c r="CR23" s="51">
        <f>IF(K23=$BH$12,$BH$23,IF(K23=$BH$13,$BH$24,10000))</f>
        <v>10000</v>
      </c>
      <c r="CS23" s="51">
        <f ca="1">IF(F23&lt;OFFSET($BM$9,CL23-1,0,1,1),0,IF(F23&lt;OFFSET($BN$9,CL23-1,0,1,1),((F23-OFFSET($BM$9,CL23-1,0,1,1))*OFFSET($CH$9,CL23-1,0,1,1))+OFFSET($BO$9,CL23-1,CQ23,1,1),IF(F23&lt;OFFSET($BN$9,CL23+0,0,1,1),((F23-OFFSET($BM$9,CL23+0,0,1,1))*OFFSET($CH$9,CL23+0,0,1,1))+OFFSET($BO$9,CL23+0,CQ23,1,1),IF(F23&lt;OFFSET($BN$9,CL23+1,0,1,1),((F23-OFFSET($BM$9,CL23+1,0,1,1))*OFFSET($CH$9,CL23+1,0,1,1))+OFFSET($BO$9,CL23+1,CQ23,1,1),IF(F23&lt;OFFSET($BN$9,CL23+2,0,1,1),((F23-OFFSET($BM$9,CL23+2,0,1,1))*OFFSET($CH$9,CL23+2,0,1,1))+OFFSET($BO$9,CL23+2,CQ23,1,1),IF(F23&lt;OFFSET($BN$9,CL23+3,0,1,1),((F23-OFFSET($BM$9,CL23+3,0,1,1))*OFFSET($CH$9,CL23+3,0,1,1))+OFFSET($BO$9,CL23+3,CQ23,1,1),0))))))</f>
        <v>0</v>
      </c>
      <c r="CT23" s="51">
        <f ca="1">IF($F23&lt;OFFSET($BM$9,$CL23-1,0,1,1),0,IF($F23&lt;OFFSET($BN$9,$CL23-1,0,1,1),IF(AND($H23&gt;2.4,Z23&lt;&gt;"e",Z23&lt;&gt;"f"),CX23*2.4/$H23,CX23),IF($F23&lt;OFFSET($BN$9,$CL23+0,0,1,1),IF(AND($H23&gt;2.4,Z23&lt;&gt;"e",Z23&lt;&gt;"f"),CX23*2.4/$H23,CX23),IF($F23&lt;OFFSET($BN$9,$CL23+1,0,1,1),IF(AND($H23&gt;2.4,Z23&lt;&gt;"e",Z23&lt;&gt;"f"),CX23*2.4/$H23,CX23),IF($F23&lt;OFFSET($BN$9,CL23+2,0,1,1),IF(AND($H23&gt;2.4,Z23&lt;&gt;"e",Z23&lt;&gt;"f"),CX23*2.4/$H23,CX23),IF($F23&lt;OFFSET($BN$9,CL23+3,0,1,1),IF(AND($H23&gt;2.4,Z23&lt;&gt;"e",Z23&lt;&gt;"f"),CX23*2.4/$H23,CX23),0)))))*COS(RADIANS($G23)))</f>
        <v>0</v>
      </c>
      <c r="CU23" s="51">
        <f ca="1">IF(F23&lt;OFFSET($BM$9,CL23-1,0,1,1),0,IF(F23&lt;OFFSET($BN$9,CL23-1,0,1,1),((F23-OFFSET($BM$9,CL23-1,0,1,1))*OFFSET($CI$9,CL23-1,0,1,1))+OFFSET($BP$9,CL23-1,CQ23,1,1),IF(F23&lt;OFFSET($BN$9,CL23+0,0,1,1),((F23-OFFSET($BM$9,CL23+0,0,1,1))*OFFSET($CI$9,CL23+0,0,1,1))+OFFSET($BP$9,CL23+0,CQ23,1,1),IF(F23&lt;OFFSET($BN$9,CL23+1,0,1,1),((F23-OFFSET($BM$9,CL23+1,0,1,1))*OFFSET($CI$9,CL23+1,0,1,1))+OFFSET($BP$9,CL23+1,CQ23,1,1),IF(F23&lt;OFFSET($BN$9,CL23+2,0,1,1),((F23-OFFSET($BM$9,CL23+2,0,1,1))*OFFSET($CI$9,CL23+2,0,1,1))+OFFSET($BP$9,CL23+2,CQ23,1,1),IF(F23&lt;OFFSET($BN$9,CL23+3,0,1,1),((F23-OFFSET($BM$9,CL23+3,0,1,1))*OFFSET($CI$9,CL23+3,0,1,1))+OFFSET($BP$9,CL23+3,CQ23,1,1),0))))))</f>
        <v>0</v>
      </c>
      <c r="CV23" s="51">
        <f ca="1">IF($F23&lt;OFFSET($BM$9,$CL23-1,0,1,1),0,IF($F23&lt;OFFSET($BN$9,$CL23-1,0,1,1),IF(AND($H23&gt;2.4,Z23&lt;&gt;"e",Z23&lt;&gt;"f"),CZ23*2.4/$H23,CZ23),IF($F23&lt;OFFSET($BN$9,$CL23+0,0,1,1),IF(AND($H23&gt;2.4,Z23&lt;&gt;"e",Z23&lt;&gt;"f"),CZ23*2.4/$H23,CZ23),IF($F23&lt;OFFSET($BN$9,$CL23+1,0,1,1),IF(AND($H23&gt;2.4,Z23&lt;&gt;"e",Z23&lt;&gt;"f"),CZ23*2.4/$H23,CZ23),IF($F23&lt;OFFSET($BN$9,$CL23+2,0,1,1),IF(AND($H23&gt;2.4,Z23&lt;&gt;"e",Z23&lt;&gt;"f"),CZ23*2.4/$H23,CZ23),IF($F23&lt;OFFSET($BN$9,$CL23+3,0,1,1),IF(AND($H23&gt;2.4,Z23&lt;&gt;"e",Z23&lt;&gt;"f"),CZ23*2.4/$H23,CZ23),0)))))*COS(RADIANS($G23)))</f>
        <v>0</v>
      </c>
      <c r="CW23" s="51">
        <f ca="1">IF(CT23&gt;CR23,CR23,CT23)</f>
        <v>0</v>
      </c>
      <c r="CX23" s="51">
        <f ca="1">IF(CS23&gt;$CR23,$CR23,CS23)</f>
        <v>0</v>
      </c>
      <c r="CY23" s="51">
        <f ca="1">CW23*F23</f>
        <v>0</v>
      </c>
      <c r="CZ23" s="51">
        <f ca="1">IF($CU23&gt;$CR23,$CR23,$CU23)</f>
        <v>0</v>
      </c>
      <c r="DA23" s="51">
        <f ca="1">IF(CV23&gt;CR23,CR23,CV23)</f>
        <v>0</v>
      </c>
      <c r="DB23" s="984">
        <f ca="1">DA23*F23</f>
        <v>0</v>
      </c>
      <c r="DC23" s="993">
        <v>1</v>
      </c>
      <c r="DD23" s="758" t="str">
        <f>IF(OR(D23=BG$12,D23=BG$13),"External",IF(D23=BG$14,"Internal"," "))</f>
        <v xml:space="preserve"> </v>
      </c>
      <c r="DE23" s="51" t="str">
        <f t="shared" ca="1" si="1"/>
        <v/>
      </c>
      <c r="DF23" s="52" t="str">
        <f t="shared" ca="1" si="2"/>
        <v xml:space="preserve"> </v>
      </c>
      <c r="DG23" s="51">
        <f ca="1">IF(F23&lt;OFFSET($BM$9,CN23-1,0,1,1),0,IF(F23&lt;OFFSET($BN$9,CN23-1,0,1,1),((F23-OFFSET($BM$9,CN23-1,0,1,1))*OFFSET($CH$9,CN23-1,0,1,1))+OFFSET($BO$9,CN23-1,CQ23,1,1),IF(F23&lt;OFFSET($BN$9,CN23+0,0,1,1),((F23-OFFSET($BM$9,CN23+0,0,1,1))*OFFSET($CH$9,CN23+0,0,1,1))+OFFSET($BO$9,CN23+0,CQ23,1,1),IF(F23&lt;OFFSET($BN$9,CN23+1,0,1,1),((F23-OFFSET($BM$9,CN23+1,0,1,1))*OFFSET($CH$9,CN23+1,0,1,1))+OFFSET($BO$9,CN23+1,CQ23,1,1),IF(F23&lt;OFFSET($BN$9,CN23+2,0,1,1),((F23-OFFSET($BM$9,CN23+2,0,1,1))*OFFSET($CH$9,CN23+2,0,1,1))+OFFSET($BO$9,CN23+2,CQ23,1,1),IF(F23&lt;OFFSET($BN$9,CN23+3,0,1,1),((F23-OFFSET($BM$9,CN23+3,0,1,1))*OFFSET($CH$9,CN23+3,0,1,1))+OFFSET($BO$9,CN23+3,CQ23,1,1),0))))))</f>
        <v>0</v>
      </c>
      <c r="DH23" s="51">
        <f ca="1">IF($F23&lt;OFFSET($BM$9,$CN23-1,0,1,1),0,IF($F23&lt;OFFSET($BN$9,$CN23-1,0,1,1),IF(AND($H23&gt;2.4,Z23&lt;&gt;"e",Z23&lt;&gt;"f"),DL23*2.4/$H23,DL23),IF($F23&lt;OFFSET($BN$9,$CN23+0,0,1,1),IF(AND($H23&gt;2.4,Z23&lt;&gt;"e",Z23&lt;&gt;"f"),DL23*2.4/$H23,DL23),IF($F23&lt;OFFSET($BN$9,$CN23+1,0,1,1),IF(AND($H23&gt;2.4,Z23&lt;&gt;"e",Z23&lt;&gt;"f"),DL23*2.4/$H23,DL23),IF($F23&lt;OFFSET($BN$9,$CN23+2,0,1,1),IF(AND($H23&gt;2.4,Z23&lt;&gt;"e",Z23&lt;&gt;"f"),DL23*2.4/$H23,DL23),IF($F23&lt;OFFSET($BN$9,$CN23+3,0,1,1),IF(AND($H23&gt;2.4,Z23&lt;&gt;"e",Z23&lt;&gt;"f"),DL23*2.4/$H23,DL23),0)))))*COS(RADIANS($G23)))</f>
        <v>0</v>
      </c>
      <c r="DI23" s="51">
        <f ca="1">IF(F23&lt;OFFSET($BM$9,CN23-1,0,1,1),0,IF(F23&lt;OFFSET($BN$9,CN23-1,0,1,1),((F23-OFFSET($BM$9,CN23-1,0,1,1))*OFFSET($CI$9,CN23-1,0,1,1))+OFFSET($BP$9,CN23-1,CQ23,1,1),IF(F23&lt;OFFSET($BN$9,CN23+0,0,1,1),((F23-OFFSET($BM$9,CN23+0,0,1,1))*OFFSET($CI$9,CN23+0,0,1,1))+OFFSET($BP$9,CN23+0,CQ23,1,1),IF(F23&lt;OFFSET($BN$9,CN23+1,0,1,1),((F23-OFFSET($BM$9,CN23+1,0,1,1))*OFFSET($CI$9,CN23+1,0,1,1))+OFFSET($BP$9,CN23+1,CQ23,1,1),IF(F23&lt;OFFSET($BN$9,CN23+2,0,1,1),((F23-OFFSET($BM$9,CN23+2,0,1,1))*OFFSET($CI$9,CN23+2,0,1,1))+OFFSET($BP$9,CN23+2,CQ23,1,1),IF(F23&lt;OFFSET($BN$9,CN23+3,0,1,1),((F23-OFFSET($BM$9,CN23+3,0,1,1))*OFFSET($CI$9,CN23+3,0,1,1))+OFFSET($BP$9,CN23+3,CQ23,1,1),0))))))</f>
        <v>0</v>
      </c>
      <c r="DJ23" s="51">
        <f ca="1">IF($F23&lt;OFFSET($BM$9,$CN23-1,0,1,1),0,IF($F23&lt;OFFSET($BN$9,$CN23-1,0,1,1),IF(AND($H23&gt;2.4,Z23&lt;&gt;"e",Z23&lt;&gt;"f"),DN23*2.4/$H23,DN23),IF($F23&lt;OFFSET($BN$9,$CN23+0,0,1,1),IF(AND($H23&gt;2.4,Z23&lt;&gt;"e",Z23&lt;&gt;"f"),DN23*2.4/$H23,DN23),IF($F23&lt;OFFSET($BN$9,$CN23+1,0,1,1),IF(AND($H23&gt;2.4,Z23&lt;&gt;"e",Z23&lt;&gt;"f"),DN23*2.4/$H23,DN23),IF($F23&lt;OFFSET($BN$9,$CN23+2,0,1,1),IF(AND($H23&gt;2.4,Z23&lt;&gt;"e",Z23&lt;&gt;"f"),DN23*2.4/$H23,DN23),IF($F23&lt;OFFSET($BN$9,$CN23+3,0,1,1),IF(AND($H23&gt;2.4,Z23&lt;&gt;"e",Z23&lt;&gt;"f"),DN23*2.4/$H23,DN23),0)))))*COS(RADIANS($G23)))</f>
        <v>0</v>
      </c>
      <c r="DK23" s="51"/>
      <c r="DL23" s="51">
        <f ca="1">IF(DG23&gt;$CR23,$CR23,DG23)</f>
        <v>0</v>
      </c>
      <c r="DM23" s="51"/>
      <c r="DN23" s="51">
        <f ca="1">IF(DI23&gt;$CR23,$CR23,DI23)</f>
        <v>0</v>
      </c>
      <c r="DO23" s="435">
        <f ca="1">IF(DH23&gt;$CR23,$CR23,DH23)</f>
        <v>0</v>
      </c>
      <c r="DP23" s="435">
        <f ca="1">DO23*F23</f>
        <v>0</v>
      </c>
      <c r="DQ23" s="436">
        <f ca="1">IF(DJ23&gt;$CR23,$CR23,DJ23)</f>
        <v>0</v>
      </c>
      <c r="DR23" s="437">
        <f ca="1">DQ23*F23</f>
        <v>0</v>
      </c>
      <c r="DS23" s="426">
        <f ca="1">OFFSET($CH$9,CL23-1,-15,1,1)</f>
        <v>0</v>
      </c>
      <c r="DT23" s="451">
        <f ca="1">VLOOKUP(DS23,Prodlink,2,0)</f>
        <v>0</v>
      </c>
      <c r="DU23" s="188">
        <f ca="1">IF(F23&lt;OFFSET($BM$9,DT23-1,0,1,1),0,IF(F23&lt;OFFSET($BN$9,DT23-1,0,1,1),((F23-OFFSET($BM$9,DT23-1,0,1,1))*OFFSET($CH$9,DT23-1,0,1,1))+OFFSET($BO$9,DT23-1,CQ23,1,1),IF(F23&lt;OFFSET($BN$9,DT23+0,0,1,1),((F23-OFFSET($BM$9,DT23+0,0,1,1))*OFFSET($CH$9,DT23+0,0,1,1))+OFFSET($BO$9,DT23+0,CQ23,1,1),IF(F23&lt;OFFSET($BN$9,DT23+1,0,1,1),((F23-OFFSET($BM$9,DT23+1,0,1,1))*OFFSET($CH$9,DT23+1,0,1,1))+OFFSET($BO$9,DT23+1,CQ23,1,1),IF(F23&lt;OFFSET($BN$9,DT23+2,0,1,1),((F23-OFFSET($BM$9,DT23+2,0,1,1))*OFFSET($CH$9,DT23+2,0,1,1))+OFFSET($BO$9,DT23+2,CQ23,1,1),IF(F23&lt;OFFSET($BN$9,DT23+3,0,1,1),((F23-OFFSET($BM$9,DT23+3,0,1,1))*OFFSET($CH$9,DT23+3,0,1,1))+OFFSET($BO$9,DT23+3,CQ23,1,1),0))))))</f>
        <v>0</v>
      </c>
      <c r="DV23" s="51">
        <f ca="1">IF($F23&lt;OFFSET($BM$9,$DT23-1,0,1,1),0,IF($F23&lt;OFFSET($BN$9,$DT23-1,0,1,1),IF(AND($H23&gt;2.4,Z23&lt;&gt;"e",Z23&lt;&gt;"f"),DZ23*2.4/$H23,DZ23),IF($F23&lt;OFFSET($BN$9,$DT23+0,0,1,1),IF(AND($H23&gt;2.4,Z23&lt;&gt;"e",Z23&lt;&gt;"f"),DZ23*2.4/$H23,DZ23),IF($F23&lt;OFFSET($BN$9,$DT23+1,0,1,1),IF(AND($H23&gt;2.4,Z23&lt;&gt;"e",Z23&lt;&gt;"f"),DZ23*2.4/$H23,DZ23),IF($F23&lt;OFFSET($BN$9,$DT23+2,0,1,1),IF(AND($H23&gt;2.4,Z23&lt;&gt;"e",Z23&lt;&gt;"f"),DZ23*2.4/$H23,DZ23),IF($F23&lt;OFFSET($BN$9,$DT23+3,0,1,1),IF(AND($H23&gt;2.4,Z23&lt;&gt;"e",Z23&lt;&gt;"f"),DZ23*2.4/$H23,DZ23),0)))))*COS(RADIANS($G23)))</f>
        <v>0</v>
      </c>
      <c r="DW23" s="188">
        <f ca="1">IF(F23&lt;OFFSET($BM$9,DT23-1,0,1,1),0,IF(F23&lt;OFFSET($BN$9,DT23-1,0,1,1),((F23-OFFSET($BM$9,DT23-1,0,1,1))*OFFSET($CI$9,DT23-1,0,1,1))+OFFSET($BP$9,DT23-1,CQ23,1,1),IF(F23&lt;OFFSET($BN$9,DT23+0,0,1,1),((F23-OFFSET($BM$9,DT23+0,0,1,1))*OFFSET($CI$9,DT23+0,0,1,1))+OFFSET($BP$9,DT23+0,CQ23,1,1),IF(F23&lt;OFFSET($BN$9,DT23+1,0,1,1),((F23-OFFSET($BM$9,DT23+1,0,1,1))*OFFSET($CI$9,DT23+1,0,1,1))+OFFSET($BP$9,DT23+1,CQ23,1,1),IF(F23&lt;OFFSET($BN$9,DT23+2,0,1,1),((F23-OFFSET($BM$9,DT23+2,0,1,1))*OFFSET($CI$9,DT23+2,0,1,1))+OFFSET($BP$9,DT23+2,CQ23,1,1),IF(F23&lt;OFFSET($BN$9,DT23+3,0,1,1),((F23-OFFSET($BM$9,DT23+3,0,1,1))*OFFSET($CI$9,DT23+3,0,1,1))+OFFSET($BP$9,DT23+3,CQ23,1,1),0))))))</f>
        <v>0</v>
      </c>
      <c r="DX23" s="51">
        <f ca="1">IF($F23&lt;OFFSET($BM$9,$DT23-1,0,1,1),0,IF($F23&lt;OFFSET($BN$9,$DT23-1,0,1,1),IF(AND($H23&gt;2.4,Z23&lt;&gt;"e",Z23&lt;&gt;"f"),EB23*2.4/$H23,EB23),IF($F23&lt;OFFSET($BN$9,$DT23+0,0,1,1),IF(AND($H23&gt;2.4,Z23&lt;&gt;"e",Z23&lt;&gt;"f"),EB23*2.4/$H23,EB23),IF($F23&lt;OFFSET($BN$9,$DT23+1,0,1,1),IF(AND($H23&gt;2.4,Z23&lt;&gt;"e",Z23&lt;&gt;"f"),EB23*2.4/$H23,EB23),IF($F23&lt;OFFSET($BN$9,$DT23+2,0,1,1),IF(AND($H23&gt;2.4,Z23&lt;&gt;"e",Z23&lt;&gt;"f"),EB23*2.4/$H23,EB23),IF($F23&lt;OFFSET($BN$9,$DT23+3,0,1,1),IF(AND($H23&gt;2.4,Z23&lt;&gt;"e",Z23&lt;&gt;"f"),EB23*2.4/$H23,EB23),0)))))*COS(RADIANS($G23)))</f>
        <v>0</v>
      </c>
      <c r="DY23" s="188"/>
      <c r="DZ23" s="188">
        <f ca="1">IF(DU23&gt;$CR23,$CR23,DU23)</f>
        <v>0</v>
      </c>
      <c r="EA23" s="188"/>
      <c r="EB23" s="188">
        <f ca="1">IF(DW23&gt;$CR23,$CR23,DW23)</f>
        <v>0</v>
      </c>
      <c r="EC23" s="435">
        <f ca="1">IF(DV23&gt;$CR23,$CR23,DV23)</f>
        <v>0</v>
      </c>
      <c r="ED23" s="435">
        <f ca="1">EC23*F23</f>
        <v>0</v>
      </c>
      <c r="EE23" s="436">
        <f ca="1">IF(DX23&gt;$CR23,$CR23,DX23)</f>
        <v>0</v>
      </c>
      <c r="EF23" s="437">
        <f ca="1">EE23*F23</f>
        <v>0</v>
      </c>
      <c r="EG23" s="613" t="str">
        <f>IF(D23=BG$12,BG$12,"")</f>
        <v/>
      </c>
      <c r="EH23" s="614" t="str">
        <f>IF(D23=BG$13,BG$13,"")</f>
        <v/>
      </c>
      <c r="EI23" s="611">
        <f>IF(EG23=BG$12,M23,0)</f>
        <v>0</v>
      </c>
      <c r="EJ23" s="451">
        <f>IF(EG23=BG$12,O23,0)</f>
        <v>0</v>
      </c>
      <c r="EK23" s="451">
        <f>IF(EH23=BG$13,M23,0)</f>
        <v>0</v>
      </c>
      <c r="EL23" s="612">
        <f>IF(EH23=BG$13,O23,0)</f>
        <v>0</v>
      </c>
      <c r="EM23" s="426" t="str">
        <f ca="1">IF(AND(Z23&lt;&gt;"t",Z23&lt;&gt;"f"),"",IF(AND(EN23=$BH$13,K23=$BH$12),"NotOpt",IF(K23&lt;&gt;EN23,"Error","")))</f>
        <v/>
      </c>
      <c r="EN23" s="491" t="str">
        <f>IF(AND($BH$28=1,$BG$28=1),$BH$13,$BH$12)</f>
        <v>120 BU's</v>
      </c>
      <c r="EO23" s="426" t="str">
        <f>K23</f>
        <v xml:space="preserve"> </v>
      </c>
      <c r="EP23" s="497">
        <v>1</v>
      </c>
      <c r="EQ23" s="430" t="str">
        <f ca="1">IF(EP23=1," ",OFFSET(BF$15,EP23-2,0,1,1))</f>
        <v xml:space="preserve"> </v>
      </c>
      <c r="ER23" s="439" t="str">
        <f ca="1">IF(H23=0," ",H23)</f>
        <v xml:space="preserve"> </v>
      </c>
      <c r="ES23" s="440" t="str">
        <f ca="1">IF(ER23&lt;&gt;" ",IF(ER23&lt;&gt;ER$7,"Changed",""),"")</f>
        <v/>
      </c>
      <c r="ET23" s="440">
        <f ca="1">IF(ER23&lt;&gt;" ",IF(ER23&lt;&gt;ER$7,1,0),0)</f>
        <v>0</v>
      </c>
      <c r="EU23" s="957" t="str">
        <f ca="1">IF(I23=" "," ",IF(F23&lt;OFFSET($BM$9,CL23-1,0,1,1),1,""))</f>
        <v xml:space="preserve"> </v>
      </c>
      <c r="EW23" s="427"/>
    </row>
    <row r="24" spans="2:153" ht="17.100000000000001" customHeight="1" thickBot="1">
      <c r="B24" s="689" t="s">
        <v>246</v>
      </c>
      <c r="C24" s="684" t="str">
        <f>IF(OR(F24=0,I24="",I24=" ")," ",$V24)</f>
        <v xml:space="preserve"> </v>
      </c>
      <c r="D24" s="1419"/>
      <c r="E24" s="1034"/>
      <c r="F24" s="202"/>
      <c r="G24" s="1416"/>
      <c r="H24" s="199" t="str">
        <f ca="1">IF(OR(F24=0,Z24="E",Z24="f")," ",'Project Demand'!E$35)</f>
        <v xml:space="preserve"> </v>
      </c>
      <c r="I24" s="631" t="str">
        <f>IF($I$6&lt;&gt;$BG$8," ",AB24)</f>
        <v xml:space="preserve"> </v>
      </c>
      <c r="J24" s="44" t="str">
        <f ca="1">IF(OR(I24=" ",I24="")," ",OFFSET($BO$9,CL24-1,0-4,1,1))</f>
        <v xml:space="preserve"> </v>
      </c>
      <c r="K24" s="55" t="str">
        <f>IF(OR(I24=" ",I24="")," ",IF(OR(Z24="e",Z24="h"),"SD",BG$24))</f>
        <v xml:space="preserve"> </v>
      </c>
      <c r="L24" s="49">
        <f ca="1">CW24</f>
        <v>0</v>
      </c>
      <c r="M24" s="49">
        <f ca="1">CY24</f>
        <v>0</v>
      </c>
      <c r="N24" s="50">
        <f t="shared" ca="1" si="17"/>
        <v>0</v>
      </c>
      <c r="O24" s="126">
        <f t="shared" ca="1" si="17"/>
        <v>0</v>
      </c>
      <c r="P24" s="140"/>
      <c r="Q24" s="752" t="str">
        <f ca="1">IF(AND(OR(Z24="t",Z24="f"),K24=$BH$11),"No Floor!  Change Floor Type",IF(OR(I24=" ",I24="")," ",IF(F24&lt;OFFSET($BM$9,CL24-1,0,1,1),"check L(m)",DE24&amp;IF(AND(DP24&gt;=CY24,DR24&gt;=DB24),IF(AND(ED24&gt;=DP24,EF24&gt;=DR24),CONCATENATE(DS24," will provide same result"),CONCATENATE(CO24," will provide same result")),IF((DP24&gt;=CY24),CONCATENATE(CO24," provides same result in WIND"),IF((DR24&gt;=DB24),CONCATENATE(CO24," provides same result in EQ"),""))))))&amp;IF(ISERROR(FIND("pile",I24,1)),"",IF(INT(F24)&lt;&gt;F24,"Pile!  Use Whole Numbers Only",""))</f>
        <v xml:space="preserve"> </v>
      </c>
      <c r="T24" s="52"/>
      <c r="U24" s="1377"/>
      <c r="V24" s="52" t="str">
        <f ca="1">IF(AND(B$5=$BF$9,OR(I24=BH$16,I24=BH$17))," ",IF(ISNUMBER(B$20),(CONCATENATE(B$20,".",W24)),(CONCATENATE(B$20,W24))))</f>
        <v>C0</v>
      </c>
      <c r="W24" s="9">
        <f ca="1">W23+X24</f>
        <v>0</v>
      </c>
      <c r="X24" s="9">
        <f>IF(AND(B$5=$BF$9,OR($I24=$BH$16,$I24=$BH$17,$I24=" ",$I24="",$F24=0)),0,IF(OR($I24=" ",$I24="",$F24=0),0,1))</f>
        <v>0</v>
      </c>
      <c r="Y24" s="896"/>
      <c r="Z24" s="52" t="str">
        <f ca="1">IF(I24=" "," ",OFFSET($BM$9,$CL24-1,8,1,1))</f>
        <v xml:space="preserve"> </v>
      </c>
      <c r="AA24" s="51" t="str">
        <f>IF(G24&gt;=45,"WA","")</f>
        <v/>
      </c>
      <c r="AB24" s="1364" t="str">
        <f>IF(F24&lt;&gt;"",IF(OR(D24=$BG$12,D24=$BG$13),IF(E24&lt;&gt;$BG$17,$BF$12,$BF$13),IF(E24&lt;&gt;$BG$17,$BF$12,$BF$13))," ")</f>
        <v xml:space="preserve"> </v>
      </c>
      <c r="AC24" s="1"/>
      <c r="AJ24" s="2230"/>
      <c r="AK24" s="2779" t="str">
        <f>'Regular and QuickBrace Systems'!D38</f>
        <v>Internal</v>
      </c>
      <c r="AL24" s="2781" t="str">
        <f>'Regular and QuickBrace Systems'!E38</f>
        <v>ER2</v>
      </c>
      <c r="AM24" s="1176">
        <f>'Regular and QuickBrace Systems'!F38</f>
        <v>0.4</v>
      </c>
      <c r="AN24" s="1272">
        <f>'Regular and QuickBrace Systems'!G38</f>
        <v>56</v>
      </c>
      <c r="AO24" s="1273">
        <f>'Regular and QuickBrace Systems'!H38</f>
        <v>51</v>
      </c>
      <c r="AP24" s="1594"/>
      <c r="AQ24" s="2808" t="str">
        <f>'Regular and QuickBrace Systems'!I38</f>
        <v>Regular Fixing</v>
      </c>
      <c r="AR24" s="2809"/>
      <c r="AS24" s="2030" t="str">
        <f>'Regular and QuickBrace Systems'!K38</f>
        <v>No</v>
      </c>
      <c r="AT24" s="1339"/>
      <c r="AU24" s="2131" t="str">
        <f>'Regular and QuickBrace Systems'!M14</f>
        <v>Any Elephant Plasterboard on Both sides</v>
      </c>
      <c r="AW24" s="1567" t="str">
        <f>'Regular and QuickBrace Systems'!O14</f>
        <v>Yes</v>
      </c>
      <c r="AX24" s="1573" t="str">
        <f>'Regular and QuickBrace Systems'!Q14</f>
        <v>No</v>
      </c>
      <c r="BD24" s="2648"/>
      <c r="BE24" s="51"/>
      <c r="BF24" s="482" t="s">
        <v>8</v>
      </c>
      <c r="BG24" s="655" t="str">
        <f>IF(BG$23=1,BH12,IF(BG$23=2,BH13,IF(BG$23=3,BH14," ")))</f>
        <v>120 BU's</v>
      </c>
      <c r="BH24" s="710">
        <f>IF($BE$3=1,150,7.5)</f>
        <v>150</v>
      </c>
      <c r="BI24" s="759"/>
      <c r="BJ24" s="897">
        <f t="shared" si="3"/>
        <v>16</v>
      </c>
      <c r="BK24" s="769" t="str">
        <f t="shared" si="4"/>
        <v xml:space="preserve">  </v>
      </c>
      <c r="BL24" s="771" t="str">
        <f t="shared" si="5"/>
        <v>Custom13</v>
      </c>
      <c r="BM24" s="455">
        <f t="shared" si="6"/>
        <v>9.9999999999999996E-76</v>
      </c>
      <c r="BN24" s="455">
        <v>999</v>
      </c>
      <c r="BO24" s="455">
        <f t="shared" si="7"/>
        <v>0</v>
      </c>
      <c r="BP24" s="925">
        <f t="shared" si="8"/>
        <v>0</v>
      </c>
      <c r="BR24" s="764"/>
      <c r="BS24" s="455"/>
      <c r="BT24" s="455" t="str">
        <f t="shared" si="9"/>
        <v>B</v>
      </c>
      <c r="BU24" s="925" t="str">
        <f t="shared" si="10"/>
        <v>T</v>
      </c>
      <c r="BV24" s="483" t="str">
        <f t="shared" si="11"/>
        <v>Custom13</v>
      </c>
      <c r="BW24" s="910">
        <f t="shared" si="16"/>
        <v>16</v>
      </c>
      <c r="BX24" s="925" t="str">
        <f t="shared" si="14"/>
        <v>Single</v>
      </c>
      <c r="CG24" s="51" t="s">
        <v>8</v>
      </c>
      <c r="CH24" s="764">
        <f t="shared" si="12"/>
        <v>0</v>
      </c>
      <c r="CI24" s="925">
        <f t="shared" si="13"/>
        <v>0</v>
      </c>
      <c r="CJ24" s="759"/>
      <c r="CK24" s="188"/>
      <c r="CL24" s="979">
        <f>VLOOKUP(I24,Prodlink,2,0)</f>
        <v>0</v>
      </c>
      <c r="CN24" s="497">
        <f ca="1">VLOOKUP(CO24,Prodlink,2,0)</f>
        <v>0</v>
      </c>
      <c r="CO24" s="497">
        <f ca="1">OFFSET($CH$9,CL24-1,-15,1,1)</f>
        <v>0</v>
      </c>
      <c r="CQ24" s="51">
        <v>0</v>
      </c>
      <c r="CR24" s="51">
        <f>IF(K24=$BH$12,$BH$23,IF(K24=$BH$13,$BH$24,10000))</f>
        <v>10000</v>
      </c>
      <c r="CS24" s="51">
        <f ca="1">IF(F24&lt;OFFSET($BM$9,CL24-1,0,1,1),0,IF(F24&lt;OFFSET($BN$9,CL24-1,0,1,1),((F24-OFFSET($BM$9,CL24-1,0,1,1))*OFFSET($CH$9,CL24-1,0,1,1))+OFFSET($BO$9,CL24-1,CQ24,1,1),IF(F24&lt;OFFSET($BN$9,CL24+0,0,1,1),((F24-OFFSET($BM$9,CL24+0,0,1,1))*OFFSET($CH$9,CL24+0,0,1,1))+OFFSET($BO$9,CL24+0,CQ24,1,1),IF(F24&lt;OFFSET($BN$9,CL24+1,0,1,1),((F24-OFFSET($BM$9,CL24+1,0,1,1))*OFFSET($CH$9,CL24+1,0,1,1))+OFFSET($BO$9,CL24+1,CQ24,1,1),IF(F24&lt;OFFSET($BN$9,CL24+2,0,1,1),((F24-OFFSET($BM$9,CL24+2,0,1,1))*OFFSET($CH$9,CL24+2,0,1,1))+OFFSET($BO$9,CL24+2,CQ24,1,1),IF(F24&lt;OFFSET($BN$9,CL24+3,0,1,1),((F24-OFFSET($BM$9,CL24+3,0,1,1))*OFFSET($CH$9,CL24+3,0,1,1))+OFFSET($BO$9,CL24+3,CQ24,1,1),0))))))</f>
        <v>0</v>
      </c>
      <c r="CT24" s="51">
        <f ca="1">IF($F24&lt;OFFSET($BM$9,$CL24-1,0,1,1),0,IF($F24&lt;OFFSET($BN$9,$CL24-1,0,1,1),IF(AND($H24&gt;2.4,Z24&lt;&gt;"e",Z24&lt;&gt;"f"),CX24*2.4/$H24,CX24),IF($F24&lt;OFFSET($BN$9,$CL24+0,0,1,1),IF(AND($H24&gt;2.4,Z24&lt;&gt;"e",Z24&lt;&gt;"f"),CX24*2.4/$H24,CX24),IF($F24&lt;OFFSET($BN$9,$CL24+1,0,1,1),IF(AND($H24&gt;2.4,Z24&lt;&gt;"e",Z24&lt;&gt;"f"),CX24*2.4/$H24,CX24),IF($F24&lt;OFFSET($BN$9,CL24+2,0,1,1),IF(AND($H24&gt;2.4,Z24&lt;&gt;"e",Z24&lt;&gt;"f"),CX24*2.4/$H24,CX24),IF($F24&lt;OFFSET($BN$9,CL24+3,0,1,1),IF(AND($H24&gt;2.4,Z24&lt;&gt;"e",Z24&lt;&gt;"f"),CX24*2.4/$H24,CX24),0)))))*COS(RADIANS($G24)))</f>
        <v>0</v>
      </c>
      <c r="CU24" s="51">
        <f ca="1">IF(F24&lt;OFFSET($BM$9,CL24-1,0,1,1),0,IF(F24&lt;OFFSET($BN$9,CL24-1,0,1,1),((F24-OFFSET($BM$9,CL24-1,0,1,1))*OFFSET($CI$9,CL24-1,0,1,1))+OFFSET($BP$9,CL24-1,CQ24,1,1),IF(F24&lt;OFFSET($BN$9,CL24+0,0,1,1),((F24-OFFSET($BM$9,CL24+0,0,1,1))*OFFSET($CI$9,CL24+0,0,1,1))+OFFSET($BP$9,CL24+0,CQ24,1,1),IF(F24&lt;OFFSET($BN$9,CL24+1,0,1,1),((F24-OFFSET($BM$9,CL24+1,0,1,1))*OFFSET($CI$9,CL24+1,0,1,1))+OFFSET($BP$9,CL24+1,CQ24,1,1),IF(F24&lt;OFFSET($BN$9,CL24+2,0,1,1),((F24-OFFSET($BM$9,CL24+2,0,1,1))*OFFSET($CI$9,CL24+2,0,1,1))+OFFSET($BP$9,CL24+2,CQ24,1,1),IF(F24&lt;OFFSET($BN$9,CL24+3,0,1,1),((F24-OFFSET($BM$9,CL24+3,0,1,1))*OFFSET($CI$9,CL24+3,0,1,1))+OFFSET($BP$9,CL24+3,CQ24,1,1),0))))))</f>
        <v>0</v>
      </c>
      <c r="CV24" s="51">
        <f ca="1">IF($F24&lt;OFFSET($BM$9,$CL24-1,0,1,1),0,IF($F24&lt;OFFSET($BN$9,$CL24-1,0,1,1),IF(AND($H24&gt;2.4,Z24&lt;&gt;"e",Z24&lt;&gt;"f"),CZ24*2.4/$H24,CZ24),IF($F24&lt;OFFSET($BN$9,$CL24+0,0,1,1),IF(AND($H24&gt;2.4,Z24&lt;&gt;"e",Z24&lt;&gt;"f"),CZ24*2.4/$H24,CZ24),IF($F24&lt;OFFSET($BN$9,$CL24+1,0,1,1),IF(AND($H24&gt;2.4,Z24&lt;&gt;"e",Z24&lt;&gt;"f"),CZ24*2.4/$H24,CZ24),IF($F24&lt;OFFSET($BN$9,$CL24+2,0,1,1),IF(AND($H24&gt;2.4,Z24&lt;&gt;"e",Z24&lt;&gt;"f"),CZ24*2.4/$H24,CZ24),IF($F24&lt;OFFSET($BN$9,$CL24+3,0,1,1),IF(AND($H24&gt;2.4,Z24&lt;&gt;"e",Z24&lt;&gt;"f"),CZ24*2.4/$H24,CZ24),0)))))*COS(RADIANS($G24)))</f>
        <v>0</v>
      </c>
      <c r="CW24" s="51">
        <f ca="1">IF(CT24&gt;CR24,CR24,CT24)</f>
        <v>0</v>
      </c>
      <c r="CX24" s="51">
        <f ca="1">IF(CS24&gt;$CR24,$CR24,CS24)</f>
        <v>0</v>
      </c>
      <c r="CY24" s="51">
        <f ca="1">CW24*F24</f>
        <v>0</v>
      </c>
      <c r="CZ24" s="51">
        <f ca="1">IF($CU24&gt;$CR24,$CR24,$CU24)</f>
        <v>0</v>
      </c>
      <c r="DA24" s="51">
        <f ca="1">IF(CV24&gt;CR24,CR24,CV24)</f>
        <v>0</v>
      </c>
      <c r="DB24" s="984">
        <f ca="1">DA24*F24</f>
        <v>0</v>
      </c>
      <c r="DC24" s="993">
        <v>1</v>
      </c>
      <c r="DD24" s="758" t="str">
        <f>IF(OR(D24=BG$12,D24=BG$13),"External",IF(D24=BG$14,"Internal"," "))</f>
        <v xml:space="preserve"> </v>
      </c>
      <c r="DE24" s="51" t="str">
        <f t="shared" ca="1" si="1"/>
        <v/>
      </c>
      <c r="DF24" s="52" t="str">
        <f t="shared" ca="1" si="2"/>
        <v xml:space="preserve"> </v>
      </c>
      <c r="DG24" s="51">
        <f ca="1">IF(F24&lt;OFFSET($BM$9,CN24-1,0,1,1),0,IF(F24&lt;OFFSET($BN$9,CN24-1,0,1,1),((F24-OFFSET($BM$9,CN24-1,0,1,1))*OFFSET($CH$9,CN24-1,0,1,1))+OFFSET($BO$9,CN24-1,CQ24,1,1),IF(F24&lt;OFFSET($BN$9,CN24+0,0,1,1),((F24-OFFSET($BM$9,CN24+0,0,1,1))*OFFSET($CH$9,CN24+0,0,1,1))+OFFSET($BO$9,CN24+0,CQ24,1,1),IF(F24&lt;OFFSET($BN$9,CN24+1,0,1,1),((F24-OFFSET($BM$9,CN24+1,0,1,1))*OFFSET($CH$9,CN24+1,0,1,1))+OFFSET($BO$9,CN24+1,CQ24,1,1),IF(F24&lt;OFFSET($BN$9,CN24+2,0,1,1),((F24-OFFSET($BM$9,CN24+2,0,1,1))*OFFSET($CH$9,CN24+2,0,1,1))+OFFSET($BO$9,CN24+2,CQ24,1,1),IF(F24&lt;OFFSET($BN$9,CN24+3,0,1,1),((F24-OFFSET($BM$9,CN24+3,0,1,1))*OFFSET($CH$9,CN24+3,0,1,1))+OFFSET($BO$9,CN24+3,CQ24,1,1),0))))))</f>
        <v>0</v>
      </c>
      <c r="DH24" s="51">
        <f ca="1">IF($F24&lt;OFFSET($BM$9,$CN24-1,0,1,1),0,IF($F24&lt;OFFSET($BN$9,$CN24-1,0,1,1),IF(AND($H24&gt;2.4,Z24&lt;&gt;"e",Z24&lt;&gt;"f"),DL24*2.4/$H24,DL24),IF($F24&lt;OFFSET($BN$9,$CN24+0,0,1,1),IF(AND($H24&gt;2.4,Z24&lt;&gt;"e",Z24&lt;&gt;"f"),DL24*2.4/$H24,DL24),IF($F24&lt;OFFSET($BN$9,$CN24+1,0,1,1),IF(AND($H24&gt;2.4,Z24&lt;&gt;"e",Z24&lt;&gt;"f"),DL24*2.4/$H24,DL24),IF($F24&lt;OFFSET($BN$9,$CN24+2,0,1,1),IF(AND($H24&gt;2.4,Z24&lt;&gt;"e",Z24&lt;&gt;"f"),DL24*2.4/$H24,DL24),IF($F24&lt;OFFSET($BN$9,$CN24+3,0,1,1),IF(AND($H24&gt;2.4,Z24&lt;&gt;"e",Z24&lt;&gt;"f"),DL24*2.4/$H24,DL24),0)))))*COS(RADIANS($G24)))</f>
        <v>0</v>
      </c>
      <c r="DI24" s="51">
        <f ca="1">IF(F24&lt;OFFSET($BM$9,CN24-1,0,1,1),0,IF(F24&lt;OFFSET($BN$9,CN24-1,0,1,1),((F24-OFFSET($BM$9,CN24-1,0,1,1))*OFFSET($CI$9,CN24-1,0,1,1))+OFFSET($BP$9,CN24-1,CQ24,1,1),IF(F24&lt;OFFSET($BN$9,CN24+0,0,1,1),((F24-OFFSET($BM$9,CN24+0,0,1,1))*OFFSET($CI$9,CN24+0,0,1,1))+OFFSET($BP$9,CN24+0,CQ24,1,1),IF(F24&lt;OFFSET($BN$9,CN24+1,0,1,1),((F24-OFFSET($BM$9,CN24+1,0,1,1))*OFFSET($CI$9,CN24+1,0,1,1))+OFFSET($BP$9,CN24+1,CQ24,1,1),IF(F24&lt;OFFSET($BN$9,CN24+2,0,1,1),((F24-OFFSET($BM$9,CN24+2,0,1,1))*OFFSET($CI$9,CN24+2,0,1,1))+OFFSET($BP$9,CN24+2,CQ24,1,1),IF(F24&lt;OFFSET($BN$9,CN24+3,0,1,1),((F24-OFFSET($BM$9,CN24+3,0,1,1))*OFFSET($CI$9,CN24+3,0,1,1))+OFFSET($BP$9,CN24+3,CQ24,1,1),0))))))</f>
        <v>0</v>
      </c>
      <c r="DJ24" s="51">
        <f ca="1">IF($F24&lt;OFFSET($BM$9,$CN24-1,0,1,1),0,IF($F24&lt;OFFSET($BN$9,$CN24-1,0,1,1),IF(AND($H24&gt;2.4,Z24&lt;&gt;"e",Z24&lt;&gt;"f"),DN24*2.4/$H24,DN24),IF($F24&lt;OFFSET($BN$9,$CN24+0,0,1,1),IF(AND($H24&gt;2.4,Z24&lt;&gt;"e",Z24&lt;&gt;"f"),DN24*2.4/$H24,DN24),IF($F24&lt;OFFSET($BN$9,$CN24+1,0,1,1),IF(AND($H24&gt;2.4,Z24&lt;&gt;"e",Z24&lt;&gt;"f"),DN24*2.4/$H24,DN24),IF($F24&lt;OFFSET($BN$9,$CN24+2,0,1,1),IF(AND($H24&gt;2.4,Z24&lt;&gt;"e",Z24&lt;&gt;"f"),DN24*2.4/$H24,DN24),IF($F24&lt;OFFSET($BN$9,$CN24+3,0,1,1),IF(AND($H24&gt;2.4,Z24&lt;&gt;"e",Z24&lt;&gt;"f"),DN24*2.4/$H24,DN24),0)))))*COS(RADIANS($G24)))</f>
        <v>0</v>
      </c>
      <c r="DK24" s="51"/>
      <c r="DL24" s="51">
        <f ca="1">IF(DG24&gt;$CR24,$CR24,DG24)</f>
        <v>0</v>
      </c>
      <c r="DM24" s="51"/>
      <c r="DN24" s="51">
        <f ca="1">IF(DI24&gt;$CR24,$CR24,DI24)</f>
        <v>0</v>
      </c>
      <c r="DO24" s="435">
        <f ca="1">IF(DH24&gt;$CR24,$CR24,DH24)</f>
        <v>0</v>
      </c>
      <c r="DP24" s="435">
        <f ca="1">DO24*F24</f>
        <v>0</v>
      </c>
      <c r="DQ24" s="436">
        <f ca="1">IF(DJ24&gt;$CR24,$CR24,DJ24)</f>
        <v>0</v>
      </c>
      <c r="DR24" s="437">
        <f ca="1">DQ24*F24</f>
        <v>0</v>
      </c>
      <c r="DS24" s="426">
        <f ca="1">OFFSET($CH$9,CL24-1,-15,1,1)</f>
        <v>0</v>
      </c>
      <c r="DT24" s="451">
        <f ca="1">VLOOKUP(DS24,Prodlink,2,0)</f>
        <v>0</v>
      </c>
      <c r="DU24" s="188">
        <f ca="1">IF(F24&lt;OFFSET($BM$9,DT24-1,0,1,1),0,IF(F24&lt;OFFSET($BN$9,DT24-1,0,1,1),((F24-OFFSET($BM$9,DT24-1,0,1,1))*OFFSET($CH$9,DT24-1,0,1,1))+OFFSET($BO$9,DT24-1,CQ24,1,1),IF(F24&lt;OFFSET($BN$9,DT24+0,0,1,1),((F24-OFFSET($BM$9,DT24+0,0,1,1))*OFFSET($CH$9,DT24+0,0,1,1))+OFFSET($BO$9,DT24+0,CQ24,1,1),IF(F24&lt;OFFSET($BN$9,DT24+1,0,1,1),((F24-OFFSET($BM$9,DT24+1,0,1,1))*OFFSET($CH$9,DT24+1,0,1,1))+OFFSET($BO$9,DT24+1,CQ24,1,1),IF(F24&lt;OFFSET($BN$9,DT24+2,0,1,1),((F24-OFFSET($BM$9,DT24+2,0,1,1))*OFFSET($CH$9,DT24+2,0,1,1))+OFFSET($BO$9,DT24+2,CQ24,1,1),IF(F24&lt;OFFSET($BN$9,DT24+3,0,1,1),((F24-OFFSET($BM$9,DT24+3,0,1,1))*OFFSET($CH$9,DT24+3,0,1,1))+OFFSET($BO$9,DT24+3,CQ24,1,1),0))))))</f>
        <v>0</v>
      </c>
      <c r="DV24" s="51">
        <f ca="1">IF($F24&lt;OFFSET($BM$9,$DT24-1,0,1,1),0,IF($F24&lt;OFFSET($BN$9,$DT24-1,0,1,1),IF(AND($H24&gt;2.4,Z24&lt;&gt;"e",Z24&lt;&gt;"f"),DZ24*2.4/$H24,DZ24),IF($F24&lt;OFFSET($BN$9,$DT24+0,0,1,1),IF(AND($H24&gt;2.4,Z24&lt;&gt;"e",Z24&lt;&gt;"f"),DZ24*2.4/$H24,DZ24),IF($F24&lt;OFFSET($BN$9,$DT24+1,0,1,1),IF(AND($H24&gt;2.4,Z24&lt;&gt;"e",Z24&lt;&gt;"f"),DZ24*2.4/$H24,DZ24),IF($F24&lt;OFFSET($BN$9,$DT24+2,0,1,1),IF(AND($H24&gt;2.4,Z24&lt;&gt;"e",Z24&lt;&gt;"f"),DZ24*2.4/$H24,DZ24),IF($F24&lt;OFFSET($BN$9,$DT24+3,0,1,1),IF(AND($H24&gt;2.4,Z24&lt;&gt;"e",Z24&lt;&gt;"f"),DZ24*2.4/$H24,DZ24),0)))))*COS(RADIANS($G24)))</f>
        <v>0</v>
      </c>
      <c r="DW24" s="188">
        <f ca="1">IF(F24&lt;OFFSET($BM$9,DT24-1,0,1,1),0,IF(F24&lt;OFFSET($BN$9,DT24-1,0,1,1),((F24-OFFSET($BM$9,DT24-1,0,1,1))*OFFSET($CI$9,DT24-1,0,1,1))+OFFSET($BP$9,DT24-1,CQ24,1,1),IF(F24&lt;OFFSET($BN$9,DT24+0,0,1,1),((F24-OFFSET($BM$9,DT24+0,0,1,1))*OFFSET($CI$9,DT24+0,0,1,1))+OFFSET($BP$9,DT24+0,CQ24,1,1),IF(F24&lt;OFFSET($BN$9,DT24+1,0,1,1),((F24-OFFSET($BM$9,DT24+1,0,1,1))*OFFSET($CI$9,DT24+1,0,1,1))+OFFSET($BP$9,DT24+1,CQ24,1,1),IF(F24&lt;OFFSET($BN$9,DT24+2,0,1,1),((F24-OFFSET($BM$9,DT24+2,0,1,1))*OFFSET($CI$9,DT24+2,0,1,1))+OFFSET($BP$9,DT24+2,CQ24,1,1),IF(F24&lt;OFFSET($BN$9,DT24+3,0,1,1),((F24-OFFSET($BM$9,DT24+3,0,1,1))*OFFSET($CI$9,DT24+3,0,1,1))+OFFSET($BP$9,DT24+3,CQ24,1,1),0))))))</f>
        <v>0</v>
      </c>
      <c r="DX24" s="51">
        <f ca="1">IF($F24&lt;OFFSET($BM$9,$DT24-1,0,1,1),0,IF($F24&lt;OFFSET($BN$9,$DT24-1,0,1,1),IF(AND($H24&gt;2.4,Z24&lt;&gt;"e",Z24&lt;&gt;"f"),EB24*2.4/$H24,EB24),IF($F24&lt;OFFSET($BN$9,$DT24+0,0,1,1),IF(AND($H24&gt;2.4,Z24&lt;&gt;"e",Z24&lt;&gt;"f"),EB24*2.4/$H24,EB24),IF($F24&lt;OFFSET($BN$9,$DT24+1,0,1,1),IF(AND($H24&gt;2.4,Z24&lt;&gt;"e",Z24&lt;&gt;"f"),EB24*2.4/$H24,EB24),IF($F24&lt;OFFSET($BN$9,$DT24+2,0,1,1),IF(AND($H24&gt;2.4,Z24&lt;&gt;"e",Z24&lt;&gt;"f"),EB24*2.4/$H24,EB24),IF($F24&lt;OFFSET($BN$9,$DT24+3,0,1,1),IF(AND($H24&gt;2.4,Z24&lt;&gt;"e",Z24&lt;&gt;"f"),EB24*2.4/$H24,EB24),0)))))*COS(RADIANS($G24)))</f>
        <v>0</v>
      </c>
      <c r="DY24" s="188"/>
      <c r="DZ24" s="188">
        <f ca="1">IF(DU24&gt;$CR24,$CR24,DU24)</f>
        <v>0</v>
      </c>
      <c r="EA24" s="188"/>
      <c r="EB24" s="188">
        <f ca="1">IF(DW24&gt;$CR24,$CR24,DW24)</f>
        <v>0</v>
      </c>
      <c r="EC24" s="435">
        <f ca="1">IF(DV24&gt;$CR24,$CR24,DV24)</f>
        <v>0</v>
      </c>
      <c r="ED24" s="435">
        <f ca="1">EC24*F24</f>
        <v>0</v>
      </c>
      <c r="EE24" s="436">
        <f ca="1">IF(DX24&gt;$CR24,$CR24,DX24)</f>
        <v>0</v>
      </c>
      <c r="EF24" s="437">
        <f ca="1">EE24*F24</f>
        <v>0</v>
      </c>
      <c r="EG24" s="613" t="str">
        <f>IF(D24=BG$12,BG$12,"")</f>
        <v/>
      </c>
      <c r="EH24" s="614" t="str">
        <f>IF(D24=BG$13,BG$13,"")</f>
        <v/>
      </c>
      <c r="EI24" s="611">
        <f>IF(EG24=BG$12,M24,0)</f>
        <v>0</v>
      </c>
      <c r="EJ24" s="451">
        <f>IF(EG24=BG$12,O24,0)</f>
        <v>0</v>
      </c>
      <c r="EK24" s="451">
        <f>IF(EH24=BG$13,M24,0)</f>
        <v>0</v>
      </c>
      <c r="EL24" s="612">
        <f>IF(EH24=BG$13,O24,0)</f>
        <v>0</v>
      </c>
      <c r="EM24" s="426" t="str">
        <f ca="1">IF(AND(Z24&lt;&gt;"t",Z24&lt;&gt;"f"),"",IF(AND(EN24=$BH$13,K24=$BH$12),"NotOpt",IF(K24&lt;&gt;EN24,"Error","")))</f>
        <v/>
      </c>
      <c r="EN24" s="491" t="str">
        <f>IF(AND($BH$28=1,$BG$28=1),$BH$13,$BH$12)</f>
        <v>120 BU's</v>
      </c>
      <c r="EO24" s="426" t="str">
        <f>K24</f>
        <v xml:space="preserve"> </v>
      </c>
      <c r="EP24" s="497">
        <v>1</v>
      </c>
      <c r="EQ24" s="430" t="str">
        <f ca="1">IF(EP24=1," ",OFFSET(BF$15,EP24-2,0,1,1))</f>
        <v xml:space="preserve"> </v>
      </c>
      <c r="ER24" s="439" t="str">
        <f ca="1">IF(H24=0," ",H24)</f>
        <v xml:space="preserve"> </v>
      </c>
      <c r="ES24" s="440" t="str">
        <f ca="1">IF(ER24&lt;&gt;" ",IF(ER24&lt;&gt;ER$7,"Changed",""),"")</f>
        <v/>
      </c>
      <c r="ET24" s="440">
        <f ca="1">IF(ER24&lt;&gt;" ",IF(ER24&lt;&gt;ER$7,1,0),0)</f>
        <v>0</v>
      </c>
      <c r="EU24" s="957" t="str">
        <f ca="1">IF(I24=" "," ",IF(F24&lt;OFFSET($BM$9,CL24-1,0,1,1),1,""))</f>
        <v xml:space="preserve"> </v>
      </c>
      <c r="EW24" s="427"/>
    </row>
    <row r="25" spans="2:153" ht="17.100000000000001" customHeight="1" thickBot="1">
      <c r="B25" s="2686" t="s">
        <v>8</v>
      </c>
      <c r="C25" s="2687"/>
      <c r="D25" s="1461" t="s">
        <v>8</v>
      </c>
      <c r="E25" s="659"/>
      <c r="F25" s="659"/>
      <c r="G25" s="659"/>
      <c r="H25" s="659"/>
      <c r="I25" s="1462"/>
      <c r="J25" s="1365" t="str">
        <f ca="1">(CONCATENATE(B20,$BE$54))</f>
        <v>C  Line:  Min. Requirement=</v>
      </c>
      <c r="K25" s="23"/>
      <c r="L25" s="1019">
        <f ca="1">L$5</f>
        <v>0</v>
      </c>
      <c r="M25" s="48">
        <f ca="1">IF(B20=B14,SUM(M20:M24)+M19,SUM(M20:M24))</f>
        <v>0</v>
      </c>
      <c r="N25" s="1019">
        <f ca="1">N$5</f>
        <v>0</v>
      </c>
      <c r="O25" s="125">
        <f ca="1">IF(B20=B14,SUM(O20:O24)+O19,SUM(O20:O24))</f>
        <v>0</v>
      </c>
      <c r="P25" s="139"/>
      <c r="Q25" s="42" t="str">
        <f ca="1">IF(B20=B26,"",IF(AND(M25&gt;0,L25=L$5,OR(M25&lt;$M$105,M25&lt;$BF$3)),"Achieved &lt; Min Req per Line",IF(AND(O25&gt;0,N25=N$5,OR(O25&lt;$O$105,O25&lt;$BF$3)),"Achieved &lt; Min Req per Line",IF(AND(M25&gt;0,L25&gt;M25),"More Required on this line",IF(AND(O25&gt;0,N25&gt;O25),"More Required on this line",IF(AND(L25&gt;0,L25&lt;$BF$3),$BE$59,IF(AND(N25&gt;0,N25&lt;$BF$3),$BE$59,"")))))))</f>
        <v/>
      </c>
      <c r="R25" s="52"/>
      <c r="S25" s="52"/>
      <c r="T25" s="52"/>
      <c r="U25" s="1378"/>
      <c r="V25" s="52"/>
      <c r="W25" s="898"/>
      <c r="X25" s="898"/>
      <c r="Y25" s="896"/>
      <c r="Z25" s="52"/>
      <c r="AA25" s="51"/>
      <c r="AB25" s="1364"/>
      <c r="AC25" s="1"/>
      <c r="AJ25" s="2230"/>
      <c r="AK25" s="2779"/>
      <c r="AL25" s="2782"/>
      <c r="AM25" s="1207">
        <f>'Regular and QuickBrace Systems'!F40</f>
        <v>1.2</v>
      </c>
      <c r="AN25" s="1276">
        <f>'Regular and QuickBrace Systems'!G40</f>
        <v>60</v>
      </c>
      <c r="AO25" s="1277">
        <f>'Regular and QuickBrace Systems'!H40</f>
        <v>55</v>
      </c>
      <c r="AP25" s="1277"/>
      <c r="AQ25" s="2810"/>
      <c r="AR25" s="2811"/>
      <c r="AS25" s="2032"/>
      <c r="AT25" s="1339"/>
      <c r="AU25" s="2132"/>
      <c r="AW25" s="1568" t="str">
        <f>'Regular and QuickBrace Systems'!O16</f>
        <v>Yes</v>
      </c>
      <c r="AX25" s="1577" t="str">
        <f>'Regular and QuickBrace Systems'!Q16</f>
        <v>No</v>
      </c>
      <c r="BD25" s="2648"/>
      <c r="BE25" s="51"/>
      <c r="BF25" s="599" t="str">
        <f>'Custom Elements'!C9</f>
        <v>Custom1</v>
      </c>
      <c r="BI25" s="759"/>
      <c r="BJ25" s="897">
        <f t="shared" si="3"/>
        <v>17</v>
      </c>
      <c r="BK25" s="769" t="str">
        <f t="shared" si="4"/>
        <v xml:space="preserve">  </v>
      </c>
      <c r="BL25" s="771" t="str">
        <f t="shared" si="5"/>
        <v>Custom14</v>
      </c>
      <c r="BM25" s="455">
        <f t="shared" si="6"/>
        <v>9.9999999999999996E-76</v>
      </c>
      <c r="BN25" s="455">
        <v>999</v>
      </c>
      <c r="BO25" s="455">
        <f t="shared" si="7"/>
        <v>0</v>
      </c>
      <c r="BP25" s="925">
        <f t="shared" si="8"/>
        <v>0</v>
      </c>
      <c r="BR25" s="764"/>
      <c r="BS25" s="455"/>
      <c r="BT25" s="455" t="str">
        <f t="shared" si="9"/>
        <v>B</v>
      </c>
      <c r="BU25" s="925" t="str">
        <f t="shared" si="10"/>
        <v>T</v>
      </c>
      <c r="BV25" s="483" t="str">
        <f t="shared" si="11"/>
        <v>Custom14</v>
      </c>
      <c r="BW25" s="910">
        <f t="shared" si="16"/>
        <v>17</v>
      </c>
      <c r="BX25" s="925" t="str">
        <f t="shared" si="14"/>
        <v>Single</v>
      </c>
      <c r="CG25" s="51" t="s">
        <v>8</v>
      </c>
      <c r="CH25" s="764">
        <f t="shared" si="12"/>
        <v>0</v>
      </c>
      <c r="CI25" s="925">
        <f t="shared" si="13"/>
        <v>0</v>
      </c>
      <c r="CJ25" s="759"/>
      <c r="CK25" s="188"/>
      <c r="CL25" s="979"/>
      <c r="CN25" s="497"/>
      <c r="CO25" s="497" t="s">
        <v>8</v>
      </c>
      <c r="CQ25" s="51" t="s">
        <v>8</v>
      </c>
      <c r="CR25" s="51" t="s">
        <v>8</v>
      </c>
      <c r="CS25" s="51" t="s">
        <v>8</v>
      </c>
      <c r="CT25" s="51" t="s">
        <v>8</v>
      </c>
      <c r="CU25" s="51" t="s">
        <v>8</v>
      </c>
      <c r="CV25" s="51" t="s">
        <v>8</v>
      </c>
      <c r="CW25" s="51" t="s">
        <v>8</v>
      </c>
      <c r="CX25" s="51" t="s">
        <v>8</v>
      </c>
      <c r="CY25" s="51" t="s">
        <v>8</v>
      </c>
      <c r="CZ25" s="51" t="s">
        <v>8</v>
      </c>
      <c r="DA25" s="51" t="s">
        <v>8</v>
      </c>
      <c r="DB25" s="984" t="s">
        <v>8</v>
      </c>
      <c r="DD25" s="758"/>
      <c r="DF25" s="52"/>
      <c r="DG25" s="51"/>
      <c r="DH25" s="51"/>
      <c r="DI25" s="51"/>
      <c r="DJ25" s="51"/>
      <c r="DK25" s="51"/>
      <c r="DL25" s="51" t="s">
        <v>8</v>
      </c>
      <c r="DM25" s="51"/>
      <c r="DN25" s="51" t="s">
        <v>8</v>
      </c>
      <c r="DO25" s="435" t="s">
        <v>8</v>
      </c>
      <c r="DP25" s="435" t="s">
        <v>8</v>
      </c>
      <c r="DQ25" s="868" t="s">
        <v>8</v>
      </c>
      <c r="DR25" s="868" t="s">
        <v>8</v>
      </c>
      <c r="DS25" s="426" t="s">
        <v>8</v>
      </c>
      <c r="DT25" s="451" t="s">
        <v>8</v>
      </c>
      <c r="DU25" s="188" t="s">
        <v>8</v>
      </c>
      <c r="DV25" s="188" t="s">
        <v>8</v>
      </c>
      <c r="DW25" s="188" t="s">
        <v>8</v>
      </c>
      <c r="DX25" s="188" t="s">
        <v>8</v>
      </c>
      <c r="DY25" s="188"/>
      <c r="DZ25" s="188" t="s">
        <v>8</v>
      </c>
      <c r="EA25" s="188"/>
      <c r="EB25" s="188" t="s">
        <v>8</v>
      </c>
      <c r="EC25" s="435" t="s">
        <v>8</v>
      </c>
      <c r="ED25" s="435" t="s">
        <v>8</v>
      </c>
      <c r="EE25" s="868" t="s">
        <v>8</v>
      </c>
      <c r="EF25" s="867" t="s">
        <v>8</v>
      </c>
      <c r="EG25" s="613"/>
      <c r="EH25" s="614"/>
      <c r="EI25" s="613"/>
      <c r="EJ25" s="435"/>
      <c r="EK25" s="451"/>
      <c r="EL25" s="612"/>
      <c r="EN25" s="947"/>
      <c r="ER25" s="441"/>
      <c r="ES25" s="440"/>
      <c r="ET25" s="440"/>
      <c r="EU25" s="957"/>
      <c r="EW25" s="427"/>
    </row>
    <row r="26" spans="2:153" ht="17.100000000000001" customHeight="1">
      <c r="B26" s="1369" t="str">
        <f ca="1">S26</f>
        <v>D</v>
      </c>
      <c r="C26" s="684" t="str">
        <f>IF(OR(F26=0,I26="",I26=" ")," ",$V26)</f>
        <v xml:space="preserve"> </v>
      </c>
      <c r="D26" s="1033"/>
      <c r="E26" s="1360"/>
      <c r="F26" s="202"/>
      <c r="G26" s="1416"/>
      <c r="H26" s="199" t="str">
        <f ca="1">IF(OR(F26=0,Z26="E",Z26="f")," ",'Project Demand'!E$35)</f>
        <v xml:space="preserve"> </v>
      </c>
      <c r="I26" s="631" t="str">
        <f>IF($I$6&lt;&gt;$BG$8," ",AB26)</f>
        <v xml:space="preserve"> </v>
      </c>
      <c r="J26" s="43" t="str">
        <f ca="1">IF(OR(I26=" ",I26="")," ",OFFSET($BO$9,CL26-1,0-4,1,1))</f>
        <v xml:space="preserve"> </v>
      </c>
      <c r="K26" s="55" t="str">
        <f>IF(OR(I26=" ",I26="")," ",IF(OR(Z26="e",Z26="h"),"SD",BG$24))</f>
        <v xml:space="preserve"> </v>
      </c>
      <c r="L26" s="49">
        <f ca="1">CW26</f>
        <v>0</v>
      </c>
      <c r="M26" s="49">
        <f ca="1">CY26</f>
        <v>0</v>
      </c>
      <c r="N26" s="50">
        <f t="shared" ref="N26:O30" ca="1" si="18">DA26</f>
        <v>0</v>
      </c>
      <c r="O26" s="126">
        <f t="shared" ca="1" si="18"/>
        <v>0</v>
      </c>
      <c r="P26" s="140"/>
      <c r="Q26" s="752" t="str">
        <f ca="1">IF(AND(OR(Z26="t",Z26="f"),K26=$BH$11),"No Floor!  Change Floor Type",IF(OR(I26=" ",I26="")," ",IF(F26&lt;OFFSET($BM$9,CL26-1,0,1,1),"check L(m)",DE26&amp;IF(AND(DP26&gt;=CY26,DR26&gt;=DB26),IF(AND(ED26&gt;=DP26,EF26&gt;=DR26),CONCATENATE(DS26," will provide same result"),CONCATENATE(CO26," will provide same result")),IF((DP26&gt;=CY26),CONCATENATE(CO26," provides same result in WIND"),IF((DR26&gt;=DB26),CONCATENATE(CO26," provides same result in EQ"),""))))))&amp;IF(ISERROR(FIND("pile",I26,1)),"",IF(INT(F26)&lt;&gt;F26,"Pile!  Use Whole Numbers Only",""))</f>
        <v xml:space="preserve"> </v>
      </c>
      <c r="R26" s="52">
        <f ca="1">IF(T20&lt;&gt;2,(COLUMN(INDIRECT(B20&amp;1))+1),U26)</f>
        <v>4</v>
      </c>
      <c r="S26" s="1372" t="str">
        <f ca="1">SUBSTITUTE(ADDRESS(1,R26,4),"1","")</f>
        <v>D</v>
      </c>
      <c r="T26" s="451">
        <f ca="1">IF(AND(ISTEXT(B26),SUBSTITUTE(SUBSTITUTE(SUBSTITUTE(SUBSTITUTE(SUBSTITUTE(SUBSTITUTE(SUBSTITUTE(SUBSTITUTE(SUBSTITUTE(SUBSTITUTE(SUBSTITUTE(SUBSTITUTE(SUBSTITUTE(SUBSTITUTE(SUBSTITUTE(SUBSTITUTE(SUBSTITUTE(SUBSTITUTE(SUBSTITUTE(SUBSTITUTE(SUBSTITUTE(SUBSTITUTE(SUBSTITUTE(SUBSTITUTE(SUBSTITUTE(SUBSTITUTE(LOWER(B26),"a",),"b",),"c",),"d",),"e",),"f",),"g",),"h",),"i",),"j",),"k",),"l",),"m",),"n",),"o",),"p",),"q",),"r",),"s",),"t",),"u",),"v",),"w",),"x",),"y",),"z",)=""),1,2)</f>
        <v>1</v>
      </c>
      <c r="U26" s="1377">
        <v>4</v>
      </c>
      <c r="V26" s="52" t="str">
        <f ca="1">IF(AND(B$5=$BF$9,OR(I26=BH$16,I26=BH$17))," ",IF(ISNUMBER(B$26),(CONCATENATE(B$26,".",W26)),(CONCATENATE(B$26,W26))))</f>
        <v>D0</v>
      </c>
      <c r="W26" s="9">
        <f ca="1">IF(B20=B26,W24+X26,X26)</f>
        <v>0</v>
      </c>
      <c r="X26" s="9">
        <f>IF(AND(B$5=$BF$9,OR($I26=$BH$16,$I26=$BH$17,$I26=" ",$I26="",$F26=0)),0,IF(OR($I26=" ",$I26="",$F26=0),0,1))</f>
        <v>0</v>
      </c>
      <c r="Y26" s="896">
        <f ca="1">IF(AND(M31&gt;0,B26&lt;&gt;B32),1,0)</f>
        <v>0</v>
      </c>
      <c r="Z26" s="52" t="str">
        <f ca="1">IF(I26=" "," ",OFFSET($BM$9,$CL26-1,8,1,1))</f>
        <v xml:space="preserve"> </v>
      </c>
      <c r="AA26" s="51" t="str">
        <f>IF(G26&gt;=45,"WA","")</f>
        <v/>
      </c>
      <c r="AB26" s="1364" t="str">
        <f>IF(F26&lt;&gt;"",IF(OR(D26=$BG$12,D26=$BG$13),IF(E26&lt;&gt;$BG$17,$BF$12,$BF$13),IF(E26&lt;&gt;$BG$17,$BF$12,$BF$13))," ")</f>
        <v xml:space="preserve"> </v>
      </c>
      <c r="AC26" s="1"/>
      <c r="AJ26" s="2230"/>
      <c r="AK26" s="2779"/>
      <c r="AL26" s="2783" t="str">
        <f>'Regular and QuickBrace Systems'!E41</f>
        <v>ESSN</v>
      </c>
      <c r="AM26" s="1176">
        <f>'Regular and QuickBrace Systems'!F41</f>
        <v>0.4</v>
      </c>
      <c r="AN26" s="1272">
        <f>'Regular and QuickBrace Systems'!G41</f>
        <v>79</v>
      </c>
      <c r="AO26" s="1273">
        <f>'Regular and QuickBrace Systems'!H41</f>
        <v>74</v>
      </c>
      <c r="AP26" s="1594"/>
      <c r="AQ26" s="2661" t="str">
        <f>'Regular and QuickBrace Systems'!I41</f>
        <v>Specialised QuickBrace Pattern</v>
      </c>
      <c r="AR26" s="2662"/>
      <c r="AS26" s="2030" t="str">
        <f>'Regular and QuickBrace Systems'!K41</f>
        <v>No</v>
      </c>
      <c r="AT26" s="1339"/>
      <c r="AU26" s="2131" t="str">
        <f>'Regular and QuickBrace Systems'!M41</f>
        <v xml:space="preserve">Elephant Standard-Plus board Both sides </v>
      </c>
      <c r="AW26" s="1567" t="str">
        <f>'Regular and QuickBrace Systems'!O41</f>
        <v>Yes</v>
      </c>
      <c r="AX26" s="1573" t="str">
        <f>'Regular and QuickBrace Systems'!Q41</f>
        <v>No</v>
      </c>
      <c r="BD26" s="2648"/>
      <c r="BE26" s="51"/>
      <c r="BF26" s="599" t="str">
        <f>'Custom Elements'!C10</f>
        <v>Custom2</v>
      </c>
      <c r="BI26" s="759"/>
      <c r="BJ26" s="897">
        <f t="shared" si="3"/>
        <v>18</v>
      </c>
      <c r="BK26" s="769" t="str">
        <f t="shared" si="4"/>
        <v xml:space="preserve">  </v>
      </c>
      <c r="BL26" s="771" t="str">
        <f t="shared" si="5"/>
        <v>Custom15</v>
      </c>
      <c r="BM26" s="455">
        <f t="shared" si="6"/>
        <v>9.9999999999999996E-76</v>
      </c>
      <c r="BN26" s="455">
        <v>999</v>
      </c>
      <c r="BO26" s="455">
        <f t="shared" si="7"/>
        <v>0</v>
      </c>
      <c r="BP26" s="925">
        <f t="shared" si="8"/>
        <v>0</v>
      </c>
      <c r="BR26" s="764"/>
      <c r="BS26" s="455"/>
      <c r="BT26" s="455" t="str">
        <f t="shared" si="9"/>
        <v>B</v>
      </c>
      <c r="BU26" s="925" t="str">
        <f t="shared" si="10"/>
        <v>T</v>
      </c>
      <c r="BV26" s="483" t="str">
        <f t="shared" si="11"/>
        <v>Custom15</v>
      </c>
      <c r="BW26" s="910">
        <f t="shared" si="16"/>
        <v>18</v>
      </c>
      <c r="BX26" s="925" t="str">
        <f t="shared" si="14"/>
        <v>Single</v>
      </c>
      <c r="CG26" s="51" t="s">
        <v>8</v>
      </c>
      <c r="CH26" s="764">
        <f t="shared" si="12"/>
        <v>0</v>
      </c>
      <c r="CI26" s="925">
        <f t="shared" si="13"/>
        <v>0</v>
      </c>
      <c r="CJ26" s="759"/>
      <c r="CK26" s="188"/>
      <c r="CL26" s="979">
        <f>VLOOKUP(I26,Prodlink,2,0)</f>
        <v>0</v>
      </c>
      <c r="CN26" s="497">
        <f ca="1">VLOOKUP(CO26,Prodlink,2,0)</f>
        <v>0</v>
      </c>
      <c r="CO26" s="497">
        <f ca="1">OFFSET($CH$9,CL26-1,-15,1,1)</f>
        <v>0</v>
      </c>
      <c r="CQ26" s="51">
        <v>0</v>
      </c>
      <c r="CR26" s="51">
        <f>IF(K26=$BH$12,$BH$23,IF(K26=$BH$13,$BH$24,10000))</f>
        <v>10000</v>
      </c>
      <c r="CS26" s="51">
        <f ca="1">IF(F26&lt;OFFSET($BM$9,CL26-1,0,1,1),0,IF(F26&lt;OFFSET($BN$9,CL26-1,0,1,1),((F26-OFFSET($BM$9,CL26-1,0,1,1))*OFFSET($CH$9,CL26-1,0,1,1))+OFFSET($BO$9,CL26-1,CQ26,1,1),IF(F26&lt;OFFSET($BN$9,CL26+0,0,1,1),((F26-OFFSET($BM$9,CL26+0,0,1,1))*OFFSET($CH$9,CL26+0,0,1,1))+OFFSET($BO$9,CL26+0,CQ26,1,1),IF(F26&lt;OFFSET($BN$9,CL26+1,0,1,1),((F26-OFFSET($BM$9,CL26+1,0,1,1))*OFFSET($CH$9,CL26+1,0,1,1))+OFFSET($BO$9,CL26+1,CQ26,1,1),IF(F26&lt;OFFSET($BN$9,CL26+2,0,1,1),((F26-OFFSET($BM$9,CL26+2,0,1,1))*OFFSET($CH$9,CL26+2,0,1,1))+OFFSET($BO$9,CL26+2,CQ26,1,1),IF(F26&lt;OFFSET($BN$9,CL26+3,0,1,1),((F26-OFFSET($BM$9,CL26+3,0,1,1))*OFFSET($CH$9,CL26+3,0,1,1))+OFFSET($BO$9,CL26+3,CQ26,1,1),0))))))</f>
        <v>0</v>
      </c>
      <c r="CT26" s="51">
        <f ca="1">IF($F26&lt;OFFSET($BM$9,$CL26-1,0,1,1),0,IF($F26&lt;OFFSET($BN$9,$CL26-1,0,1,1),IF(AND($H26&gt;2.4,Z26&lt;&gt;"e",Z26&lt;&gt;"f"),CX26*2.4/$H26,CX26),IF($F26&lt;OFFSET($BN$9,$CL26+0,0,1,1),IF(AND($H26&gt;2.4,Z26&lt;&gt;"e",Z26&lt;&gt;"f"),CX26*2.4/$H26,CX26),IF($F26&lt;OFFSET($BN$9,$CL26+1,0,1,1),IF(AND($H26&gt;2.4,Z26&lt;&gt;"e",Z26&lt;&gt;"f"),CX26*2.4/$H26,CX26),IF($F26&lt;OFFSET($BN$9,CL26+2,0,1,1),IF(AND($H26&gt;2.4,Z26&lt;&gt;"e",Z26&lt;&gt;"f"),CX26*2.4/$H26,CX26),IF($F26&lt;OFFSET($BN$9,CL26+3,0,1,1),IF(AND($H26&gt;2.4,Z26&lt;&gt;"e",Z26&lt;&gt;"f"),CX26*2.4/$H26,CX26),0)))))*COS(RADIANS($G26)))</f>
        <v>0</v>
      </c>
      <c r="CU26" s="51">
        <f ca="1">IF(F26&lt;OFFSET($BM$9,CL26-1,0,1,1),0,IF(F26&lt;OFFSET($BN$9,CL26-1,0,1,1),((F26-OFFSET($BM$9,CL26-1,0,1,1))*OFFSET($CI$9,CL26-1,0,1,1))+OFFSET($BP$9,CL26-1,CQ26,1,1),IF(F26&lt;OFFSET($BN$9,CL26+0,0,1,1),((F26-OFFSET($BM$9,CL26+0,0,1,1))*OFFSET($CI$9,CL26+0,0,1,1))+OFFSET($BP$9,CL26+0,CQ26,1,1),IF(F26&lt;OFFSET($BN$9,CL26+1,0,1,1),((F26-OFFSET($BM$9,CL26+1,0,1,1))*OFFSET($CI$9,CL26+1,0,1,1))+OFFSET($BP$9,CL26+1,CQ26,1,1),IF(F26&lt;OFFSET($BN$9,CL26+2,0,1,1),((F26-OFFSET($BM$9,CL26+2,0,1,1))*OFFSET($CI$9,CL26+2,0,1,1))+OFFSET($BP$9,CL26+2,CQ26,1,1),IF(F26&lt;OFFSET($BN$9,CL26+3,0,1,1),((F26-OFFSET($BM$9,CL26+3,0,1,1))*OFFSET($CI$9,CL26+3,0,1,1))+OFFSET($BP$9,CL26+3,CQ26,1,1),0))))))</f>
        <v>0</v>
      </c>
      <c r="CV26" s="51">
        <f ca="1">IF($F26&lt;OFFSET($BM$9,$CL26-1,0,1,1),0,IF($F26&lt;OFFSET($BN$9,$CL26-1,0,1,1),IF(AND($H26&gt;2.4,Z26&lt;&gt;"e",Z26&lt;&gt;"f"),CZ26*2.4/$H26,CZ26),IF($F26&lt;OFFSET($BN$9,$CL26+0,0,1,1),IF(AND($H26&gt;2.4,Z26&lt;&gt;"e",Z26&lt;&gt;"f"),CZ26*2.4/$H26,CZ26),IF($F26&lt;OFFSET($BN$9,$CL26+1,0,1,1),IF(AND($H26&gt;2.4,Z26&lt;&gt;"e",Z26&lt;&gt;"f"),CZ26*2.4/$H26,CZ26),IF($F26&lt;OFFSET($BN$9,$CL26+2,0,1,1),IF(AND($H26&gt;2.4,Z26&lt;&gt;"e",Z26&lt;&gt;"f"),CZ26*2.4/$H26,CZ26),IF($F26&lt;OFFSET($BN$9,$CL26+3,0,1,1),IF(AND($H26&gt;2.4,Z26&lt;&gt;"e",Z26&lt;&gt;"f"),CZ26*2.4/$H26,CZ26),0)))))*COS(RADIANS($G26)))</f>
        <v>0</v>
      </c>
      <c r="CW26" s="51">
        <f ca="1">IF(CT26&gt;CR26,CR26,CT26)</f>
        <v>0</v>
      </c>
      <c r="CX26" s="51">
        <f ca="1">IF(CS26&gt;$CR26,$CR26,CS26)</f>
        <v>0</v>
      </c>
      <c r="CY26" s="51">
        <f ca="1">CW26*F26</f>
        <v>0</v>
      </c>
      <c r="CZ26" s="51">
        <f ca="1">IF($CU26&gt;$CR26,$CR26,$CU26)</f>
        <v>0</v>
      </c>
      <c r="DA26" s="51">
        <f ca="1">IF(CV26&gt;CR26,CR26,CV26)</f>
        <v>0</v>
      </c>
      <c r="DB26" s="984">
        <f ca="1">DA26*F26</f>
        <v>0</v>
      </c>
      <c r="DC26" s="993">
        <v>1</v>
      </c>
      <c r="DD26" s="758" t="str">
        <f>IF(OR(D26=BG$12,D26=BG$13),"External",IF(D26=BG$14,"Internal"," "))</f>
        <v xml:space="preserve"> </v>
      </c>
      <c r="DE26" s="51" t="str">
        <f t="shared" ca="1" si="1"/>
        <v/>
      </c>
      <c r="DF26" s="52" t="str">
        <f t="shared" ca="1" si="2"/>
        <v xml:space="preserve"> </v>
      </c>
      <c r="DG26" s="51">
        <f ca="1">IF(F26&lt;OFFSET($BM$9,CN26-1,0,1,1),0,IF(F26&lt;OFFSET($BN$9,CN26-1,0,1,1),((F26-OFFSET($BM$9,CN26-1,0,1,1))*OFFSET($CH$9,CN26-1,0,1,1))+OFFSET($BO$9,CN26-1,CQ26,1,1),IF(F26&lt;OFFSET($BN$9,CN26+0,0,1,1),((F26-OFFSET($BM$9,CN26+0,0,1,1))*OFFSET($CH$9,CN26+0,0,1,1))+OFFSET($BO$9,CN26+0,CQ26,1,1),IF(F26&lt;OFFSET($BN$9,CN26+1,0,1,1),((F26-OFFSET($BM$9,CN26+1,0,1,1))*OFFSET($CH$9,CN26+1,0,1,1))+OFFSET($BO$9,CN26+1,CQ26,1,1),IF(F26&lt;OFFSET($BN$9,CN26+2,0,1,1),((F26-OFFSET($BM$9,CN26+2,0,1,1))*OFFSET($CH$9,CN26+2,0,1,1))+OFFSET($BO$9,CN26+2,CQ26,1,1),IF(F26&lt;OFFSET($BN$9,CN26+3,0,1,1),((F26-OFFSET($BM$9,CN26+3,0,1,1))*OFFSET($CH$9,CN26+3,0,1,1))+OFFSET($BO$9,CN26+3,CQ26,1,1),0))))))</f>
        <v>0</v>
      </c>
      <c r="DH26" s="51">
        <f ca="1">IF($F26&lt;OFFSET($BM$9,$CN26-1,0,1,1),0,IF($F26&lt;OFFSET($BN$9,$CN26-1,0,1,1),IF(AND($H26&gt;2.4,Z26&lt;&gt;"e",Z26&lt;&gt;"f"),DL26*2.4/$H26,DL26),IF($F26&lt;OFFSET($BN$9,$CN26+0,0,1,1),IF(AND($H26&gt;2.4,Z26&lt;&gt;"e",Z26&lt;&gt;"f"),DL26*2.4/$H26,DL26),IF($F26&lt;OFFSET($BN$9,$CN26+1,0,1,1),IF(AND($H26&gt;2.4,Z26&lt;&gt;"e",Z26&lt;&gt;"f"),DL26*2.4/$H26,DL26),IF($F26&lt;OFFSET($BN$9,$CN26+2,0,1,1),IF(AND($H26&gt;2.4,Z26&lt;&gt;"e",Z26&lt;&gt;"f"),DL26*2.4/$H26,DL26),IF($F26&lt;OFFSET($BN$9,$CN26+3,0,1,1),IF(AND($H26&gt;2.4,Z26&lt;&gt;"e",Z26&lt;&gt;"f"),DL26*2.4/$H26,DL26),0)))))*COS(RADIANS($G26)))</f>
        <v>0</v>
      </c>
      <c r="DI26" s="51">
        <f ca="1">IF(F26&lt;OFFSET($BM$9,CN26-1,0,1,1),0,IF(F26&lt;OFFSET($BN$9,CN26-1,0,1,1),((F26-OFFSET($BM$9,CN26-1,0,1,1))*OFFSET($CI$9,CN26-1,0,1,1))+OFFSET($BP$9,CN26-1,CQ26,1,1),IF(F26&lt;OFFSET($BN$9,CN26+0,0,1,1),((F26-OFFSET($BM$9,CN26+0,0,1,1))*OFFSET($CI$9,CN26+0,0,1,1))+OFFSET($BP$9,CN26+0,CQ26,1,1),IF(F26&lt;OFFSET($BN$9,CN26+1,0,1,1),((F26-OFFSET($BM$9,CN26+1,0,1,1))*OFFSET($CI$9,CN26+1,0,1,1))+OFFSET($BP$9,CN26+1,CQ26,1,1),IF(F26&lt;OFFSET($BN$9,CN26+2,0,1,1),((F26-OFFSET($BM$9,CN26+2,0,1,1))*OFFSET($CI$9,CN26+2,0,1,1))+OFFSET($BP$9,CN26+2,CQ26,1,1),IF(F26&lt;OFFSET($BN$9,CN26+3,0,1,1),((F26-OFFSET($BM$9,CN26+3,0,1,1))*OFFSET($CI$9,CN26+3,0,1,1))+OFFSET($BP$9,CN26+3,CQ26,1,1),0))))))</f>
        <v>0</v>
      </c>
      <c r="DJ26" s="51">
        <f ca="1">IF($F26&lt;OFFSET($BM$9,$CN26-1,0,1,1),0,IF($F26&lt;OFFSET($BN$9,$CN26-1,0,1,1),IF(AND($H26&gt;2.4,Z26&lt;&gt;"e",Z26&lt;&gt;"f"),DN26*2.4/$H26,DN26),IF($F26&lt;OFFSET($BN$9,$CN26+0,0,1,1),IF(AND($H26&gt;2.4,Z26&lt;&gt;"e",Z26&lt;&gt;"f"),DN26*2.4/$H26,DN26),IF($F26&lt;OFFSET($BN$9,$CN26+1,0,1,1),IF(AND($H26&gt;2.4,Z26&lt;&gt;"e",Z26&lt;&gt;"f"),DN26*2.4/$H26,DN26),IF($F26&lt;OFFSET($BN$9,$CN26+2,0,1,1),IF(AND($H26&gt;2.4,Z26&lt;&gt;"e",Z26&lt;&gt;"f"),DN26*2.4/$H26,DN26),IF($F26&lt;OFFSET($BN$9,$CN26+3,0,1,1),IF(AND($H26&gt;2.4,Z26&lt;&gt;"e",Z26&lt;&gt;"f"),DN26*2.4/$H26,DN26),0)))))*COS(RADIANS($G26)))</f>
        <v>0</v>
      </c>
      <c r="DK26" s="51"/>
      <c r="DL26" s="51">
        <f ca="1">IF(DG26&gt;$CR26,$CR26,DG26)</f>
        <v>0</v>
      </c>
      <c r="DM26" s="51"/>
      <c r="DN26" s="51">
        <f ca="1">IF(DI26&gt;$CR26,$CR26,DI26)</f>
        <v>0</v>
      </c>
      <c r="DO26" s="435">
        <f ca="1">IF(DH26&gt;$CR26,$CR26,DH26)</f>
        <v>0</v>
      </c>
      <c r="DP26" s="435">
        <f ca="1">DO26*F26</f>
        <v>0</v>
      </c>
      <c r="DQ26" s="436">
        <f ca="1">IF(DJ26&gt;$CR26,$CR26,DJ26)</f>
        <v>0</v>
      </c>
      <c r="DR26" s="437">
        <f ca="1">DQ26*F26</f>
        <v>0</v>
      </c>
      <c r="DS26" s="426">
        <f ca="1">OFFSET($CH$9,CL26-1,-15,1,1)</f>
        <v>0</v>
      </c>
      <c r="DT26" s="451">
        <f ca="1">VLOOKUP(DS26,Prodlink,2,0)</f>
        <v>0</v>
      </c>
      <c r="DU26" s="188">
        <f ca="1">IF(F26&lt;OFFSET($BM$9,DT26-1,0,1,1),0,IF(F26&lt;OFFSET($BN$9,DT26-1,0,1,1),((F26-OFFSET($BM$9,DT26-1,0,1,1))*OFFSET($CH$9,DT26-1,0,1,1))+OFFSET($BO$9,DT26-1,CQ26,1,1),IF(F26&lt;OFFSET($BN$9,DT26+0,0,1,1),((F26-OFFSET($BM$9,DT26+0,0,1,1))*OFFSET($CH$9,DT26+0,0,1,1))+OFFSET($BO$9,DT26+0,CQ26,1,1),IF(F26&lt;OFFSET($BN$9,DT26+1,0,1,1),((F26-OFFSET($BM$9,DT26+1,0,1,1))*OFFSET($CH$9,DT26+1,0,1,1))+OFFSET($BO$9,DT26+1,CQ26,1,1),IF(F26&lt;OFFSET($BN$9,DT26+2,0,1,1),((F26-OFFSET($BM$9,DT26+2,0,1,1))*OFFSET($CH$9,DT26+2,0,1,1))+OFFSET($BO$9,DT26+2,CQ26,1,1),IF(F26&lt;OFFSET($BN$9,DT26+3,0,1,1),((F26-OFFSET($BM$9,DT26+3,0,1,1))*OFFSET($CH$9,DT26+3,0,1,1))+OFFSET($BO$9,DT26+3,CQ26,1,1),0))))))</f>
        <v>0</v>
      </c>
      <c r="DV26" s="51">
        <f ca="1">IF($F26&lt;OFFSET($BM$9,$DT26-1,0,1,1),0,IF($F26&lt;OFFSET($BN$9,$DT26-1,0,1,1),IF(AND($H26&gt;2.4,Z26&lt;&gt;"e",Z26&lt;&gt;"f"),DZ26*2.4/$H26,DZ26),IF($F26&lt;OFFSET($BN$9,$DT26+0,0,1,1),IF(AND($H26&gt;2.4,Z26&lt;&gt;"e",Z26&lt;&gt;"f"),DZ26*2.4/$H26,DZ26),IF($F26&lt;OFFSET($BN$9,$DT26+1,0,1,1),IF(AND($H26&gt;2.4,Z26&lt;&gt;"e",Z26&lt;&gt;"f"),DZ26*2.4/$H26,DZ26),IF($F26&lt;OFFSET($BN$9,$DT26+2,0,1,1),IF(AND($H26&gt;2.4,Z26&lt;&gt;"e",Z26&lt;&gt;"f"),DZ26*2.4/$H26,DZ26),IF($F26&lt;OFFSET($BN$9,$DT26+3,0,1,1),IF(AND($H26&gt;2.4,Z26&lt;&gt;"e",Z26&lt;&gt;"f"),DZ26*2.4/$H26,DZ26),0)))))*COS(RADIANS($G26)))</f>
        <v>0</v>
      </c>
      <c r="DW26" s="188">
        <f ca="1">IF(F26&lt;OFFSET($BM$9,DT26-1,0,1,1),0,IF(F26&lt;OFFSET($BN$9,DT26-1,0,1,1),((F26-OFFSET($BM$9,DT26-1,0,1,1))*OFFSET($CI$9,DT26-1,0,1,1))+OFFSET($BP$9,DT26-1,CQ26,1,1),IF(F26&lt;OFFSET($BN$9,DT26+0,0,1,1),((F26-OFFSET($BM$9,DT26+0,0,1,1))*OFFSET($CI$9,DT26+0,0,1,1))+OFFSET($BP$9,DT26+0,CQ26,1,1),IF(F26&lt;OFFSET($BN$9,DT26+1,0,1,1),((F26-OFFSET($BM$9,DT26+1,0,1,1))*OFFSET($CI$9,DT26+1,0,1,1))+OFFSET($BP$9,DT26+1,CQ26,1,1),IF(F26&lt;OFFSET($BN$9,DT26+2,0,1,1),((F26-OFFSET($BM$9,DT26+2,0,1,1))*OFFSET($CI$9,DT26+2,0,1,1))+OFFSET($BP$9,DT26+2,CQ26,1,1),IF(F26&lt;OFFSET($BN$9,DT26+3,0,1,1),((F26-OFFSET($BM$9,DT26+3,0,1,1))*OFFSET($CI$9,DT26+3,0,1,1))+OFFSET($BP$9,DT26+3,CQ26,1,1),0))))))</f>
        <v>0</v>
      </c>
      <c r="DX26" s="51">
        <f ca="1">IF($F26&lt;OFFSET($BM$9,$DT26-1,0,1,1),0,IF($F26&lt;OFFSET($BN$9,$DT26-1,0,1,1),IF(AND($H26&gt;2.4,Z26&lt;&gt;"e",Z26&lt;&gt;"f"),EB26*2.4/$H26,EB26),IF($F26&lt;OFFSET($BN$9,$DT26+0,0,1,1),IF(AND($H26&gt;2.4,Z26&lt;&gt;"e",Z26&lt;&gt;"f"),EB26*2.4/$H26,EB26),IF($F26&lt;OFFSET($BN$9,$DT26+1,0,1,1),IF(AND($H26&gt;2.4,Z26&lt;&gt;"e",Z26&lt;&gt;"f"),EB26*2.4/$H26,EB26),IF($F26&lt;OFFSET($BN$9,$DT26+2,0,1,1),IF(AND($H26&gt;2.4,Z26&lt;&gt;"e",Z26&lt;&gt;"f"),EB26*2.4/$H26,EB26),IF($F26&lt;OFFSET($BN$9,$DT26+3,0,1,1),IF(AND($H26&gt;2.4,Z26&lt;&gt;"e",Z26&lt;&gt;"f"),EB26*2.4/$H26,EB26),0)))))*COS(RADIANS($G26)))</f>
        <v>0</v>
      </c>
      <c r="DY26" s="188"/>
      <c r="DZ26" s="188">
        <f ca="1">IF(DU26&gt;$CR26,$CR26,DU26)</f>
        <v>0</v>
      </c>
      <c r="EA26" s="188"/>
      <c r="EB26" s="188">
        <f ca="1">IF(DW26&gt;$CR26,$CR26,DW26)</f>
        <v>0</v>
      </c>
      <c r="EC26" s="435">
        <f ca="1">IF(DV26&gt;$CR26,$CR26,DV26)</f>
        <v>0</v>
      </c>
      <c r="ED26" s="435">
        <f ca="1">EC26*F26</f>
        <v>0</v>
      </c>
      <c r="EE26" s="436">
        <f ca="1">IF(DX26&gt;$CR26,$CR26,DX26)</f>
        <v>0</v>
      </c>
      <c r="EF26" s="437">
        <f ca="1">EE26*F26</f>
        <v>0</v>
      </c>
      <c r="EG26" s="613" t="str">
        <f>IF(D26=BG$12,BG$12,"")</f>
        <v/>
      </c>
      <c r="EH26" s="614" t="str">
        <f>IF(D26=BG$13,BG$13,"")</f>
        <v/>
      </c>
      <c r="EI26" s="611">
        <f>IF(EG26=BG$12,M26,0)</f>
        <v>0</v>
      </c>
      <c r="EJ26" s="451">
        <f>IF(EG26=BG$12,O26,0)</f>
        <v>0</v>
      </c>
      <c r="EK26" s="451">
        <f>IF(EH26=BG$13,M26,0)</f>
        <v>0</v>
      </c>
      <c r="EL26" s="612">
        <f>IF(EH26=BG$13,O26,0)</f>
        <v>0</v>
      </c>
      <c r="EM26" s="426" t="str">
        <f ca="1">IF(AND(Z26&lt;&gt;"t",Z26&lt;&gt;"f"),"",IF(AND(EN26=$BH$13,K26=$BH$12),"NotOpt",IF(K26&lt;&gt;EN26,"Error","")))</f>
        <v/>
      </c>
      <c r="EN26" s="491" t="str">
        <f>IF(AND($BH$28=1,$BG$28=1),$BH$13,$BH$12)</f>
        <v>120 BU's</v>
      </c>
      <c r="EO26" s="426" t="str">
        <f>K26</f>
        <v xml:space="preserve"> </v>
      </c>
      <c r="EP26" s="497">
        <v>1</v>
      </c>
      <c r="EQ26" s="430" t="str">
        <f ca="1">IF(EP26=1," ",OFFSET(BF$15,EP26-2,0,1,1))</f>
        <v xml:space="preserve"> </v>
      </c>
      <c r="ER26" s="439" t="str">
        <f ca="1">IF(H26=0," ",H26)</f>
        <v xml:space="preserve"> </v>
      </c>
      <c r="ES26" s="440" t="str">
        <f ca="1">IF(ER26&lt;&gt;" ",IF(ER26&lt;&gt;ER$7,"Changed",""),"")</f>
        <v/>
      </c>
      <c r="ET26" s="440">
        <f ca="1">IF(ER26&lt;&gt;" ",IF(ER26&lt;&gt;ER$7,1,0),0)</f>
        <v>0</v>
      </c>
      <c r="EU26" s="957" t="str">
        <f ca="1">IF(I26=" "," ",IF(F26&lt;OFFSET($BM$9,CL26-1,0,1,1),1,""))</f>
        <v xml:space="preserve"> </v>
      </c>
      <c r="EW26" s="427"/>
    </row>
    <row r="27" spans="2:153" ht="17.100000000000001" customHeight="1">
      <c r="B27" s="689" t="s">
        <v>246</v>
      </c>
      <c r="C27" s="684" t="str">
        <f>IF(OR(F27=0,I27="",I27=" ")," ",$V27)</f>
        <v xml:space="preserve"> </v>
      </c>
      <c r="D27" s="1033"/>
      <c r="E27" s="1360"/>
      <c r="F27" s="202"/>
      <c r="G27" s="1416"/>
      <c r="H27" s="199" t="str">
        <f ca="1">IF(OR(F27=0,Z27="E",Z27="f")," ",'Project Demand'!E$35)</f>
        <v xml:space="preserve"> </v>
      </c>
      <c r="I27" s="631" t="str">
        <f>IF($I$6&lt;&gt;$BG$8," ",AB27)</f>
        <v xml:space="preserve"> </v>
      </c>
      <c r="J27" s="44" t="str">
        <f ca="1">IF(OR(I27=" ",I27="")," ",OFFSET($BO$9,CL27-1,0-4,1,1))</f>
        <v xml:space="preserve"> </v>
      </c>
      <c r="K27" s="55" t="str">
        <f>IF(OR(I27=" ",I27="")," ",IF(OR(Z27="e",Z27="h"),"SD",BG$24))</f>
        <v xml:space="preserve"> </v>
      </c>
      <c r="L27" s="49">
        <f ca="1">CW27</f>
        <v>0</v>
      </c>
      <c r="M27" s="49">
        <f ca="1">CY27</f>
        <v>0</v>
      </c>
      <c r="N27" s="50">
        <f t="shared" ca="1" si="18"/>
        <v>0</v>
      </c>
      <c r="O27" s="126">
        <f t="shared" ca="1" si="18"/>
        <v>0</v>
      </c>
      <c r="P27" s="140"/>
      <c r="Q27" s="752" t="str">
        <f ca="1">IF(AND(OR(Z27="t",Z27="f"),K27=$BH$11),"No Floor!  Change Floor Type",IF(OR(I27=" ",I27="")," ",IF(F27&lt;OFFSET($BM$9,CL27-1,0,1,1),"check L(m)",DE27&amp;IF(AND(DP27&gt;=CY27,DR27&gt;=DB27),IF(AND(ED27&gt;=DP27,EF27&gt;=DR27),CONCATENATE(DS27," will provide same result"),CONCATENATE(CO27," will provide same result")),IF((DP27&gt;=CY27),CONCATENATE(CO27," provides same result in WIND"),IF((DR27&gt;=DB27),CONCATENATE(CO27," provides same result in EQ"),""))))))&amp;IF(ISERROR(FIND("pile",I27,1)),"",IF(INT(F27)&lt;&gt;F27,"Pile!  Use Whole Numbers Only",""))</f>
        <v xml:space="preserve"> </v>
      </c>
      <c r="R27" s="52"/>
      <c r="S27" s="1372"/>
      <c r="T27" s="1372"/>
      <c r="U27" s="1377"/>
      <c r="V27" s="52" t="str">
        <f ca="1">IF(AND(B$5=$BF$9,OR(I27=BH$16,I27=BH$17))," ",IF(ISNUMBER(B$26),(CONCATENATE(B$26,".",W27)),(CONCATENATE(B$26,W27))))</f>
        <v>D0</v>
      </c>
      <c r="W27" s="9">
        <f ca="1">W26+X27</f>
        <v>0</v>
      </c>
      <c r="X27" s="9">
        <f>IF(AND(B$5=$BF$9,OR($I27=$BH$16,$I27=$BH$17,$I27=" ",$I27="",$F27=0)),0,IF(OR($I27=" ",$I27="",$F27=0),0,1))</f>
        <v>0</v>
      </c>
      <c r="Y27" s="896"/>
      <c r="Z27" s="52" t="str">
        <f ca="1">IF(I27=" "," ",OFFSET($BM$9,$CL27-1,8,1,1))</f>
        <v xml:space="preserve"> </v>
      </c>
      <c r="AA27" s="51" t="str">
        <f>IF(G27&gt;=45,"WA","")</f>
        <v/>
      </c>
      <c r="AB27" s="1364" t="str">
        <f>IF(F27&lt;&gt;"",IF(OR(D27=$BG$12,D27=$BG$13),IF(E27&lt;&gt;$BG$17,$BF$12,$BF$13),IF(E27&lt;&gt;$BG$17,$BF$12,$BF$13))," ")</f>
        <v xml:space="preserve"> </v>
      </c>
      <c r="AC27" s="1"/>
      <c r="AJ27" s="2230"/>
      <c r="AK27" s="2779"/>
      <c r="AL27" s="2784"/>
      <c r="AM27" s="11">
        <f>'Regular and QuickBrace Systems'!F42</f>
        <v>0.8</v>
      </c>
      <c r="AN27" s="1336">
        <f>'Regular and QuickBrace Systems'!G42</f>
        <v>93</v>
      </c>
      <c r="AO27" s="26">
        <f>'Regular and QuickBrace Systems'!H42</f>
        <v>83</v>
      </c>
      <c r="AP27" s="1595"/>
      <c r="AQ27" s="2663"/>
      <c r="AR27" s="2664"/>
      <c r="AS27" s="2031"/>
      <c r="AT27" s="1339"/>
      <c r="AU27" s="2090"/>
      <c r="AW27" s="1569" t="str">
        <f>'Regular and QuickBrace Systems'!O42</f>
        <v>Yes</v>
      </c>
      <c r="AX27" s="442" t="str">
        <f>'Regular and QuickBrace Systems'!Q42</f>
        <v>No</v>
      </c>
      <c r="BD27" s="2648"/>
      <c r="BF27" s="599" t="str">
        <f>'Custom Elements'!C11</f>
        <v>Custom3</v>
      </c>
      <c r="BG27" s="965" t="s">
        <v>13</v>
      </c>
      <c r="BH27" s="964" t="s">
        <v>367</v>
      </c>
      <c r="BI27" s="759"/>
      <c r="BJ27" s="897">
        <f t="shared" si="3"/>
        <v>19</v>
      </c>
      <c r="BK27" s="769" t="str">
        <f t="shared" si="4"/>
        <v xml:space="preserve">  </v>
      </c>
      <c r="BL27" s="771" t="str">
        <f t="shared" si="5"/>
        <v>Custom16</v>
      </c>
      <c r="BM27" s="969">
        <f t="shared" si="6"/>
        <v>9.9999999999999996E-76</v>
      </c>
      <c r="BN27" s="455">
        <v>999</v>
      </c>
      <c r="BO27" s="455">
        <f t="shared" si="7"/>
        <v>0</v>
      </c>
      <c r="BP27" s="925">
        <f t="shared" si="8"/>
        <v>0</v>
      </c>
      <c r="BR27" s="764"/>
      <c r="BS27" s="455"/>
      <c r="BT27" s="455" t="str">
        <f t="shared" si="9"/>
        <v>B</v>
      </c>
      <c r="BU27" s="925" t="str">
        <f t="shared" si="10"/>
        <v>T</v>
      </c>
      <c r="BV27" s="483" t="str">
        <f t="shared" si="11"/>
        <v>Custom16</v>
      </c>
      <c r="BW27" s="910">
        <f t="shared" si="16"/>
        <v>19</v>
      </c>
      <c r="BX27" s="925" t="str">
        <f t="shared" si="14"/>
        <v>Single</v>
      </c>
      <c r="CG27" s="51" t="s">
        <v>8</v>
      </c>
      <c r="CH27" s="764">
        <f t="shared" si="12"/>
        <v>0</v>
      </c>
      <c r="CI27" s="925">
        <f t="shared" si="13"/>
        <v>0</v>
      </c>
      <c r="CJ27" s="759"/>
      <c r="CK27" s="188"/>
      <c r="CL27" s="979">
        <f>VLOOKUP(I27,Prodlink,2,0)</f>
        <v>0</v>
      </c>
      <c r="CN27" s="497">
        <f ca="1">VLOOKUP(CO27,Prodlink,2,0)</f>
        <v>0</v>
      </c>
      <c r="CO27" s="497">
        <f ca="1">OFFSET($CH$9,CL27-1,-15,1,1)</f>
        <v>0</v>
      </c>
      <c r="CQ27" s="51">
        <v>0</v>
      </c>
      <c r="CR27" s="51">
        <f>IF(K27=$BH$12,$BH$23,IF(K27=$BH$13,$BH$24,10000))</f>
        <v>10000</v>
      </c>
      <c r="CS27" s="51">
        <f ca="1">IF(F27&lt;OFFSET($BM$9,CL27-1,0,1,1),0,IF(F27&lt;OFFSET($BN$9,CL27-1,0,1,1),((F27-OFFSET($BM$9,CL27-1,0,1,1))*OFFSET($CH$9,CL27-1,0,1,1))+OFFSET($BO$9,CL27-1,CQ27,1,1),IF(F27&lt;OFFSET($BN$9,CL27+0,0,1,1),((F27-OFFSET($BM$9,CL27+0,0,1,1))*OFFSET($CH$9,CL27+0,0,1,1))+OFFSET($BO$9,CL27+0,CQ27,1,1),IF(F27&lt;OFFSET($BN$9,CL27+1,0,1,1),((F27-OFFSET($BM$9,CL27+1,0,1,1))*OFFSET($CH$9,CL27+1,0,1,1))+OFFSET($BO$9,CL27+1,CQ27,1,1),IF(F27&lt;OFFSET($BN$9,CL27+2,0,1,1),((F27-OFFSET($BM$9,CL27+2,0,1,1))*OFFSET($CH$9,CL27+2,0,1,1))+OFFSET($BO$9,CL27+2,CQ27,1,1),IF(F27&lt;OFFSET($BN$9,CL27+3,0,1,1),((F27-OFFSET($BM$9,CL27+3,0,1,1))*OFFSET($CH$9,CL27+3,0,1,1))+OFFSET($BO$9,CL27+3,CQ27,1,1),0))))))</f>
        <v>0</v>
      </c>
      <c r="CT27" s="51">
        <f ca="1">IF($F27&lt;OFFSET($BM$9,$CL27-1,0,1,1),0,IF($F27&lt;OFFSET($BN$9,$CL27-1,0,1,1),IF(AND($H27&gt;2.4,Z27&lt;&gt;"e",Z27&lt;&gt;"f"),CX27*2.4/$H27,CX27),IF($F27&lt;OFFSET($BN$9,$CL27+0,0,1,1),IF(AND($H27&gt;2.4,Z27&lt;&gt;"e",Z27&lt;&gt;"f"),CX27*2.4/$H27,CX27),IF($F27&lt;OFFSET($BN$9,$CL27+1,0,1,1),IF(AND($H27&gt;2.4,Z27&lt;&gt;"e",Z27&lt;&gt;"f"),CX27*2.4/$H27,CX27),IF($F27&lt;OFFSET($BN$9,CL27+2,0,1,1),IF(AND($H27&gt;2.4,Z27&lt;&gt;"e",Z27&lt;&gt;"f"),CX27*2.4/$H27,CX27),IF($F27&lt;OFFSET($BN$9,CL27+3,0,1,1),IF(AND($H27&gt;2.4,Z27&lt;&gt;"e",Z27&lt;&gt;"f"),CX27*2.4/$H27,CX27),0)))))*COS(RADIANS($G27)))</f>
        <v>0</v>
      </c>
      <c r="CU27" s="51">
        <f ca="1">IF(F27&lt;OFFSET($BM$9,CL27-1,0,1,1),0,IF(F27&lt;OFFSET($BN$9,CL27-1,0,1,1),((F27-OFFSET($BM$9,CL27-1,0,1,1))*OFFSET($CI$9,CL27-1,0,1,1))+OFFSET($BP$9,CL27-1,CQ27,1,1),IF(F27&lt;OFFSET($BN$9,CL27+0,0,1,1),((F27-OFFSET($BM$9,CL27+0,0,1,1))*OFFSET($CI$9,CL27+0,0,1,1))+OFFSET($BP$9,CL27+0,CQ27,1,1),IF(F27&lt;OFFSET($BN$9,CL27+1,0,1,1),((F27-OFFSET($BM$9,CL27+1,0,1,1))*OFFSET($CI$9,CL27+1,0,1,1))+OFFSET($BP$9,CL27+1,CQ27,1,1),IF(F27&lt;OFFSET($BN$9,CL27+2,0,1,1),((F27-OFFSET($BM$9,CL27+2,0,1,1))*OFFSET($CI$9,CL27+2,0,1,1))+OFFSET($BP$9,CL27+2,CQ27,1,1),IF(F27&lt;OFFSET($BN$9,CL27+3,0,1,1),((F27-OFFSET($BM$9,CL27+3,0,1,1))*OFFSET($CI$9,CL27+3,0,1,1))+OFFSET($BP$9,CL27+3,CQ27,1,1),0))))))</f>
        <v>0</v>
      </c>
      <c r="CV27" s="51">
        <f ca="1">IF($F27&lt;OFFSET($BM$9,$CL27-1,0,1,1),0,IF($F27&lt;OFFSET($BN$9,$CL27-1,0,1,1),IF(AND($H27&gt;2.4,Z27&lt;&gt;"e",Z27&lt;&gt;"f"),CZ27*2.4/$H27,CZ27),IF($F27&lt;OFFSET($BN$9,$CL27+0,0,1,1),IF(AND($H27&gt;2.4,Z27&lt;&gt;"e",Z27&lt;&gt;"f"),CZ27*2.4/$H27,CZ27),IF($F27&lt;OFFSET($BN$9,$CL27+1,0,1,1),IF(AND($H27&gt;2.4,Z27&lt;&gt;"e",Z27&lt;&gt;"f"),CZ27*2.4/$H27,CZ27),IF($F27&lt;OFFSET($BN$9,$CL27+2,0,1,1),IF(AND($H27&gt;2.4,Z27&lt;&gt;"e",Z27&lt;&gt;"f"),CZ27*2.4/$H27,CZ27),IF($F27&lt;OFFSET($BN$9,$CL27+3,0,1,1),IF(AND($H27&gt;2.4,Z27&lt;&gt;"e",Z27&lt;&gt;"f"),CZ27*2.4/$H27,CZ27),0)))))*COS(RADIANS($G27)))</f>
        <v>0</v>
      </c>
      <c r="CW27" s="51">
        <f ca="1">IF(CT27&gt;CR27,CR27,CT27)</f>
        <v>0</v>
      </c>
      <c r="CX27" s="51">
        <f ca="1">IF(CS27&gt;$CR27,$CR27,CS27)</f>
        <v>0</v>
      </c>
      <c r="CY27" s="51">
        <f ca="1">CW27*F27</f>
        <v>0</v>
      </c>
      <c r="CZ27" s="51">
        <f ca="1">IF($CU27&gt;$CR27,$CR27,$CU27)</f>
        <v>0</v>
      </c>
      <c r="DA27" s="51">
        <f ca="1">IF(CV27&gt;CR27,CR27,CV27)</f>
        <v>0</v>
      </c>
      <c r="DB27" s="984">
        <f ca="1">DA27*F27</f>
        <v>0</v>
      </c>
      <c r="DC27" s="993">
        <v>1</v>
      </c>
      <c r="DD27" s="758" t="str">
        <f>IF(OR(D27=BG$12,D27=BG$13),"External",IF(D27=BG$14,"Internal"," "))</f>
        <v xml:space="preserve"> </v>
      </c>
      <c r="DE27" s="51" t="str">
        <f t="shared" ca="1" si="1"/>
        <v/>
      </c>
      <c r="DF27" s="52" t="str">
        <f t="shared" ca="1" si="2"/>
        <v xml:space="preserve"> </v>
      </c>
      <c r="DG27" s="51">
        <f ca="1">IF(F27&lt;OFFSET($BM$9,CN27-1,0,1,1),0,IF(F27&lt;OFFSET($BN$9,CN27-1,0,1,1),((F27-OFFSET($BM$9,CN27-1,0,1,1))*OFFSET($CH$9,CN27-1,0,1,1))+OFFSET($BO$9,CN27-1,CQ27,1,1),IF(F27&lt;OFFSET($BN$9,CN27+0,0,1,1),((F27-OFFSET($BM$9,CN27+0,0,1,1))*OFFSET($CH$9,CN27+0,0,1,1))+OFFSET($BO$9,CN27+0,CQ27,1,1),IF(F27&lt;OFFSET($BN$9,CN27+1,0,1,1),((F27-OFFSET($BM$9,CN27+1,0,1,1))*OFFSET($CH$9,CN27+1,0,1,1))+OFFSET($BO$9,CN27+1,CQ27,1,1),IF(F27&lt;OFFSET($BN$9,CN27+2,0,1,1),((F27-OFFSET($BM$9,CN27+2,0,1,1))*OFFSET($CH$9,CN27+2,0,1,1))+OFFSET($BO$9,CN27+2,CQ27,1,1),IF(F27&lt;OFFSET($BN$9,CN27+3,0,1,1),((F27-OFFSET($BM$9,CN27+3,0,1,1))*OFFSET($CH$9,CN27+3,0,1,1))+OFFSET($BO$9,CN27+3,CQ27,1,1),0))))))</f>
        <v>0</v>
      </c>
      <c r="DH27" s="51">
        <f ca="1">IF($F27&lt;OFFSET($BM$9,$CN27-1,0,1,1),0,IF($F27&lt;OFFSET($BN$9,$CN27-1,0,1,1),IF(AND($H27&gt;2.4,Z27&lt;&gt;"e",Z27&lt;&gt;"f"),DL27*2.4/$H27,DL27),IF($F27&lt;OFFSET($BN$9,$CN27+0,0,1,1),IF(AND($H27&gt;2.4,Z27&lt;&gt;"e",Z27&lt;&gt;"f"),DL27*2.4/$H27,DL27),IF($F27&lt;OFFSET($BN$9,$CN27+1,0,1,1),IF(AND($H27&gt;2.4,Z27&lt;&gt;"e",Z27&lt;&gt;"f"),DL27*2.4/$H27,DL27),IF($F27&lt;OFFSET($BN$9,$CN27+2,0,1,1),IF(AND($H27&gt;2.4,Z27&lt;&gt;"e",Z27&lt;&gt;"f"),DL27*2.4/$H27,DL27),IF($F27&lt;OFFSET($BN$9,$CN27+3,0,1,1),IF(AND($H27&gt;2.4,Z27&lt;&gt;"e",Z27&lt;&gt;"f"),DL27*2.4/$H27,DL27),0)))))*COS(RADIANS($G27)))</f>
        <v>0</v>
      </c>
      <c r="DI27" s="51">
        <f ca="1">IF(F27&lt;OFFSET($BM$9,CN27-1,0,1,1),0,IF(F27&lt;OFFSET($BN$9,CN27-1,0,1,1),((F27-OFFSET($BM$9,CN27-1,0,1,1))*OFFSET($CI$9,CN27-1,0,1,1))+OFFSET($BP$9,CN27-1,CQ27,1,1),IF(F27&lt;OFFSET($BN$9,CN27+0,0,1,1),((F27-OFFSET($BM$9,CN27+0,0,1,1))*OFFSET($CI$9,CN27+0,0,1,1))+OFFSET($BP$9,CN27+0,CQ27,1,1),IF(F27&lt;OFFSET($BN$9,CN27+1,0,1,1),((F27-OFFSET($BM$9,CN27+1,0,1,1))*OFFSET($CI$9,CN27+1,0,1,1))+OFFSET($BP$9,CN27+1,CQ27,1,1),IF(F27&lt;OFFSET($BN$9,CN27+2,0,1,1),((F27-OFFSET($BM$9,CN27+2,0,1,1))*OFFSET($CI$9,CN27+2,0,1,1))+OFFSET($BP$9,CN27+2,CQ27,1,1),IF(F27&lt;OFFSET($BN$9,CN27+3,0,1,1),((F27-OFFSET($BM$9,CN27+3,0,1,1))*OFFSET($CI$9,CN27+3,0,1,1))+OFFSET($BP$9,CN27+3,CQ27,1,1),0))))))</f>
        <v>0</v>
      </c>
      <c r="DJ27" s="51">
        <f ca="1">IF($F27&lt;OFFSET($BM$9,$CN27-1,0,1,1),0,IF($F27&lt;OFFSET($BN$9,$CN27-1,0,1,1),IF(AND($H27&gt;2.4,Z27&lt;&gt;"e",Z27&lt;&gt;"f"),DN27*2.4/$H27,DN27),IF($F27&lt;OFFSET($BN$9,$CN27+0,0,1,1),IF(AND($H27&gt;2.4,Z27&lt;&gt;"e",Z27&lt;&gt;"f"),DN27*2.4/$H27,DN27),IF($F27&lt;OFFSET($BN$9,$CN27+1,0,1,1),IF(AND($H27&gt;2.4,Z27&lt;&gt;"e",Z27&lt;&gt;"f"),DN27*2.4/$H27,DN27),IF($F27&lt;OFFSET($BN$9,$CN27+2,0,1,1),IF(AND($H27&gt;2.4,Z27&lt;&gt;"e",Z27&lt;&gt;"f"),DN27*2.4/$H27,DN27),IF($F27&lt;OFFSET($BN$9,$CN27+3,0,1,1),IF(AND($H27&gt;2.4,Z27&lt;&gt;"e",Z27&lt;&gt;"f"),DN27*2.4/$H27,DN27),0)))))*COS(RADIANS($G27)))</f>
        <v>0</v>
      </c>
      <c r="DK27" s="51"/>
      <c r="DL27" s="51">
        <f ca="1">IF(DG27&gt;$CR27,$CR27,DG27)</f>
        <v>0</v>
      </c>
      <c r="DM27" s="51"/>
      <c r="DN27" s="51">
        <f ca="1">IF(DI27&gt;$CR27,$CR27,DI27)</f>
        <v>0</v>
      </c>
      <c r="DO27" s="435">
        <f ca="1">IF(DH27&gt;$CR27,$CR27,DH27)</f>
        <v>0</v>
      </c>
      <c r="DP27" s="435">
        <f ca="1">DO27*F27</f>
        <v>0</v>
      </c>
      <c r="DQ27" s="436">
        <f ca="1">IF(DJ27&gt;$CR27,$CR27,DJ27)</f>
        <v>0</v>
      </c>
      <c r="DR27" s="437">
        <f ca="1">DQ27*F27</f>
        <v>0</v>
      </c>
      <c r="DS27" s="426">
        <f ca="1">OFFSET($CH$9,CL27-1,-15,1,1)</f>
        <v>0</v>
      </c>
      <c r="DT27" s="451">
        <f ca="1">VLOOKUP(DS27,Prodlink,2,0)</f>
        <v>0</v>
      </c>
      <c r="DU27" s="188">
        <f ca="1">IF(F27&lt;OFFSET($BM$9,DT27-1,0,1,1),0,IF(F27&lt;OFFSET($BN$9,DT27-1,0,1,1),((F27-OFFSET($BM$9,DT27-1,0,1,1))*OFFSET($CH$9,DT27-1,0,1,1))+OFFSET($BO$9,DT27-1,CQ27,1,1),IF(F27&lt;OFFSET($BN$9,DT27+0,0,1,1),((F27-OFFSET($BM$9,DT27+0,0,1,1))*OFFSET($CH$9,DT27+0,0,1,1))+OFFSET($BO$9,DT27+0,CQ27,1,1),IF(F27&lt;OFFSET($BN$9,DT27+1,0,1,1),((F27-OFFSET($BM$9,DT27+1,0,1,1))*OFFSET($CH$9,DT27+1,0,1,1))+OFFSET($BO$9,DT27+1,CQ27,1,1),IF(F27&lt;OFFSET($BN$9,DT27+2,0,1,1),((F27-OFFSET($BM$9,DT27+2,0,1,1))*OFFSET($CH$9,DT27+2,0,1,1))+OFFSET($BO$9,DT27+2,CQ27,1,1),IF(F27&lt;OFFSET($BN$9,DT27+3,0,1,1),((F27-OFFSET($BM$9,DT27+3,0,1,1))*OFFSET($CH$9,DT27+3,0,1,1))+OFFSET($BO$9,DT27+3,CQ27,1,1),0))))))</f>
        <v>0</v>
      </c>
      <c r="DV27" s="51">
        <f ca="1">IF($F27&lt;OFFSET($BM$9,$DT27-1,0,1,1),0,IF($F27&lt;OFFSET($BN$9,$DT27-1,0,1,1),IF(AND($H27&gt;2.4,Z27&lt;&gt;"e",Z27&lt;&gt;"f"),DZ27*2.4/$H27,DZ27),IF($F27&lt;OFFSET($BN$9,$DT27+0,0,1,1),IF(AND($H27&gt;2.4,Z27&lt;&gt;"e",Z27&lt;&gt;"f"),DZ27*2.4/$H27,DZ27),IF($F27&lt;OFFSET($BN$9,$DT27+1,0,1,1),IF(AND($H27&gt;2.4,Z27&lt;&gt;"e",Z27&lt;&gt;"f"),DZ27*2.4/$H27,DZ27),IF($F27&lt;OFFSET($BN$9,$DT27+2,0,1,1),IF(AND($H27&gt;2.4,Z27&lt;&gt;"e",Z27&lt;&gt;"f"),DZ27*2.4/$H27,DZ27),IF($F27&lt;OFFSET($BN$9,$DT27+3,0,1,1),IF(AND($H27&gt;2.4,Z27&lt;&gt;"e",Z27&lt;&gt;"f"),DZ27*2.4/$H27,DZ27),0)))))*COS(RADIANS($G27)))</f>
        <v>0</v>
      </c>
      <c r="DW27" s="188">
        <f ca="1">IF(F27&lt;OFFSET($BM$9,DT27-1,0,1,1),0,IF(F27&lt;OFFSET($BN$9,DT27-1,0,1,1),((F27-OFFSET($BM$9,DT27-1,0,1,1))*OFFSET($CI$9,DT27-1,0,1,1))+OFFSET($BP$9,DT27-1,CQ27,1,1),IF(F27&lt;OFFSET($BN$9,DT27+0,0,1,1),((F27-OFFSET($BM$9,DT27+0,0,1,1))*OFFSET($CI$9,DT27+0,0,1,1))+OFFSET($BP$9,DT27+0,CQ27,1,1),IF(F27&lt;OFFSET($BN$9,DT27+1,0,1,1),((F27-OFFSET($BM$9,DT27+1,0,1,1))*OFFSET($CI$9,DT27+1,0,1,1))+OFFSET($BP$9,DT27+1,CQ27,1,1),IF(F27&lt;OFFSET($BN$9,DT27+2,0,1,1),((F27-OFFSET($BM$9,DT27+2,0,1,1))*OFFSET($CI$9,DT27+2,0,1,1))+OFFSET($BP$9,DT27+2,CQ27,1,1),IF(F27&lt;OFFSET($BN$9,DT27+3,0,1,1),((F27-OFFSET($BM$9,DT27+3,0,1,1))*OFFSET($CI$9,DT27+3,0,1,1))+OFFSET($BP$9,DT27+3,CQ27,1,1),0))))))</f>
        <v>0</v>
      </c>
      <c r="DX27" s="51">
        <f ca="1">IF($F27&lt;OFFSET($BM$9,$DT27-1,0,1,1),0,IF($F27&lt;OFFSET($BN$9,$DT27-1,0,1,1),IF(AND($H27&gt;2.4,Z27&lt;&gt;"e",Z27&lt;&gt;"f"),EB27*2.4/$H27,EB27),IF($F27&lt;OFFSET($BN$9,$DT27+0,0,1,1),IF(AND($H27&gt;2.4,Z27&lt;&gt;"e",Z27&lt;&gt;"f"),EB27*2.4/$H27,EB27),IF($F27&lt;OFFSET($BN$9,$DT27+1,0,1,1),IF(AND($H27&gt;2.4,Z27&lt;&gt;"e",Z27&lt;&gt;"f"),EB27*2.4/$H27,EB27),IF($F27&lt;OFFSET($BN$9,$DT27+2,0,1,1),IF(AND($H27&gt;2.4,Z27&lt;&gt;"e",Z27&lt;&gt;"f"),EB27*2.4/$H27,EB27),IF($F27&lt;OFFSET($BN$9,$DT27+3,0,1,1),IF(AND($H27&gt;2.4,Z27&lt;&gt;"e",Z27&lt;&gt;"f"),EB27*2.4/$H27,EB27),0)))))*COS(RADIANS($G27)))</f>
        <v>0</v>
      </c>
      <c r="DY27" s="188"/>
      <c r="DZ27" s="188">
        <f ca="1">IF(DU27&gt;$CR27,$CR27,DU27)</f>
        <v>0</v>
      </c>
      <c r="EA27" s="188"/>
      <c r="EB27" s="188">
        <f ca="1">IF(DW27&gt;$CR27,$CR27,DW27)</f>
        <v>0</v>
      </c>
      <c r="EC27" s="435">
        <f ca="1">IF(DV27&gt;$CR27,$CR27,DV27)</f>
        <v>0</v>
      </c>
      <c r="ED27" s="435">
        <f ca="1">EC27*F27</f>
        <v>0</v>
      </c>
      <c r="EE27" s="436">
        <f ca="1">IF(DX27&gt;$CR27,$CR27,DX27)</f>
        <v>0</v>
      </c>
      <c r="EF27" s="437">
        <f ca="1">EE27*F27</f>
        <v>0</v>
      </c>
      <c r="EG27" s="613" t="str">
        <f>IF(D27=BG$12,BG$12,"")</f>
        <v/>
      </c>
      <c r="EH27" s="614" t="str">
        <f>IF(D27=BG$13,BG$13,"")</f>
        <v/>
      </c>
      <c r="EI27" s="611">
        <f>IF(EG27=BG$12,M27,0)</f>
        <v>0</v>
      </c>
      <c r="EJ27" s="451">
        <f>IF(EG27=BG$12,O27,0)</f>
        <v>0</v>
      </c>
      <c r="EK27" s="451">
        <f>IF(EH27=BG$13,M27,0)</f>
        <v>0</v>
      </c>
      <c r="EL27" s="612">
        <f>IF(EH27=BG$13,O27,0)</f>
        <v>0</v>
      </c>
      <c r="EM27" s="426" t="str">
        <f ca="1">IF(AND(Z27&lt;&gt;"t",Z27&lt;&gt;"f"),"",IF(AND(EN27=$BH$13,K27=$BH$12),"NotOpt",IF(K27&lt;&gt;EN27,"Error","")))</f>
        <v/>
      </c>
      <c r="EN27" s="491" t="str">
        <f>IF(AND($BH$28=1,$BG$28=1),$BH$13,$BH$12)</f>
        <v>120 BU's</v>
      </c>
      <c r="EO27" s="426" t="str">
        <f>K27</f>
        <v xml:space="preserve"> </v>
      </c>
      <c r="EP27" s="497">
        <v>1</v>
      </c>
      <c r="EQ27" s="430" t="str">
        <f ca="1">IF(EP27=1," ",OFFSET(BF$15,EP27-2,0,1,1))</f>
        <v xml:space="preserve"> </v>
      </c>
      <c r="ER27" s="439" t="str">
        <f ca="1">IF(H27=0," ",H27)</f>
        <v xml:space="preserve"> </v>
      </c>
      <c r="ES27" s="440" t="str">
        <f ca="1">IF(ER27&lt;&gt;" ",IF(ER27&lt;&gt;ER$7,"Changed",""),"")</f>
        <v/>
      </c>
      <c r="ET27" s="440">
        <f ca="1">IF(ER27&lt;&gt;" ",IF(ER27&lt;&gt;ER$7,1,0),0)</f>
        <v>0</v>
      </c>
      <c r="EU27" s="957" t="str">
        <f ca="1">IF(I27=" "," ",IF(F27&lt;OFFSET($BM$9,CL27-1,0,1,1),1,""))</f>
        <v xml:space="preserve"> </v>
      </c>
      <c r="EW27" s="427"/>
    </row>
    <row r="28" spans="2:153" ht="17.100000000000001" customHeight="1" thickBot="1">
      <c r="B28" s="689" t="s">
        <v>246</v>
      </c>
      <c r="C28" s="684" t="str">
        <f>IF(OR(F28=0,I28="",I28=" ")," ",$V28)</f>
        <v xml:space="preserve"> </v>
      </c>
      <c r="D28" s="1033"/>
      <c r="E28" s="1360"/>
      <c r="F28" s="202"/>
      <c r="G28" s="1416"/>
      <c r="H28" s="199" t="str">
        <f ca="1">IF(OR(F28=0,Z28="E",Z28="f")," ",'Project Demand'!E$35)</f>
        <v xml:space="preserve"> </v>
      </c>
      <c r="I28" s="631" t="str">
        <f>IF($I$6&lt;&gt;$BG$8," ",AB28)</f>
        <v xml:space="preserve"> </v>
      </c>
      <c r="J28" s="44" t="str">
        <f ca="1">IF(OR(I28=" ",I28="")," ",OFFSET($BO$9,CL28-1,0-4,1,1))</f>
        <v xml:space="preserve"> </v>
      </c>
      <c r="K28" s="55" t="str">
        <f>IF(OR(I28=" ",I28="")," ",IF(OR(Z28="e",Z28="h"),"SD",BG$24))</f>
        <v xml:space="preserve"> </v>
      </c>
      <c r="L28" s="49">
        <f ca="1">CW28</f>
        <v>0</v>
      </c>
      <c r="M28" s="49">
        <f ca="1">CY28</f>
        <v>0</v>
      </c>
      <c r="N28" s="50">
        <f t="shared" ca="1" si="18"/>
        <v>0</v>
      </c>
      <c r="O28" s="126">
        <f t="shared" ca="1" si="18"/>
        <v>0</v>
      </c>
      <c r="P28" s="140"/>
      <c r="Q28" s="752" t="str">
        <f ca="1">IF(AND(OR(Z28="t",Z28="f"),K28=$BH$11),"No Floor!  Change Floor Type",IF(OR(I28=" ",I28="")," ",IF(F28&lt;OFFSET($BM$9,CL28-1,0,1,1),"check L(m)",DE28&amp;IF(AND(DP28&gt;=CY28,DR28&gt;=DB28),IF(AND(ED28&gt;=DP28,EF28&gt;=DR28),CONCATENATE(DS28," will provide same result"),CONCATENATE(CO28," will provide same result")),IF((DP28&gt;=CY28),CONCATENATE(CO28," provides same result in WIND"),IF((DR28&gt;=DB28),CONCATENATE(CO28," provides same result in EQ"),""))))))&amp;IF(ISERROR(FIND("pile",I28,1)),"",IF(INT(F28)&lt;&gt;F28,"Pile!  Use Whole Numbers Only",""))</f>
        <v xml:space="preserve"> </v>
      </c>
      <c r="R28" s="52"/>
      <c r="S28" s="1372"/>
      <c r="T28" s="1372"/>
      <c r="U28" s="1377"/>
      <c r="V28" s="52" t="str">
        <f ca="1">IF(AND(B$5=$BF$9,OR(I28=BH$16,I28=BH$17))," ",IF(ISNUMBER(B$26),(CONCATENATE(B$26,".",W28)),(CONCATENATE(B$26,W28))))</f>
        <v>D0</v>
      </c>
      <c r="W28" s="9">
        <f ca="1">W27+X28</f>
        <v>0</v>
      </c>
      <c r="X28" s="9">
        <f>IF(AND(B$5=$BF$9,OR($I28=$BH$16,$I28=$BH$17,$I28=" ",$I28="",$F28=0)),0,IF(OR($I28=" ",$I28="",$F28=0),0,1))</f>
        <v>0</v>
      </c>
      <c r="Y28" s="896"/>
      <c r="Z28" s="52" t="str">
        <f ca="1">IF(I28=" "," ",OFFSET($BM$9,$CL28-1,8,1,1))</f>
        <v xml:space="preserve"> </v>
      </c>
      <c r="AA28" s="51" t="str">
        <f>IF(G28&gt;=45,"WA","")</f>
        <v/>
      </c>
      <c r="AB28" s="1364" t="str">
        <f>IF(F28&lt;&gt;"",IF(OR(D28=$BG$12,D28=$BG$13),IF(E28&lt;&gt;$BG$17,$BF$12,$BF$13),IF(E28&lt;&gt;$BG$17,$BF$12,$BF$13))," ")</f>
        <v xml:space="preserve"> </v>
      </c>
      <c r="AC28" s="1"/>
      <c r="AJ28" s="2230"/>
      <c r="AK28" s="2779"/>
      <c r="AL28" s="2785"/>
      <c r="AM28" s="1177">
        <f>'Regular and QuickBrace Systems'!F43</f>
        <v>1.2</v>
      </c>
      <c r="AN28" s="1274">
        <f>'Regular and QuickBrace Systems'!G43</f>
        <v>98</v>
      </c>
      <c r="AO28" s="1275">
        <f>'Regular and QuickBrace Systems'!H43</f>
        <v>88</v>
      </c>
      <c r="AP28" s="1277"/>
      <c r="AQ28" s="2665"/>
      <c r="AR28" s="2666"/>
      <c r="AS28" s="2032"/>
      <c r="AT28" s="1339"/>
      <c r="AU28" s="2132"/>
      <c r="AW28" s="1570" t="str">
        <f>'Regular and QuickBrace Systems'!O43</f>
        <v>Yes</v>
      </c>
      <c r="AX28" s="1574" t="str">
        <f>'Regular and QuickBrace Systems'!Q43</f>
        <v>No</v>
      </c>
      <c r="BD28" s="635"/>
      <c r="BF28" s="599" t="str">
        <f>'Custom Elements'!C12</f>
        <v>Custom4</v>
      </c>
      <c r="BG28" s="962">
        <f>'Project Demand'!AQ9</f>
        <v>2</v>
      </c>
      <c r="BH28" s="963">
        <f>'Project Demand'!AQ6</f>
        <v>2</v>
      </c>
      <c r="BI28" s="759"/>
      <c r="BJ28" s="897">
        <f t="shared" si="3"/>
        <v>20</v>
      </c>
      <c r="BK28" s="769" t="str">
        <f t="shared" si="4"/>
        <v xml:space="preserve">  </v>
      </c>
      <c r="BL28" s="960" t="str">
        <f t="shared" si="5"/>
        <v>Custom17</v>
      </c>
      <c r="BM28" s="455">
        <f t="shared" si="6"/>
        <v>9.9999999999999996E-76</v>
      </c>
      <c r="BN28" s="455">
        <v>999</v>
      </c>
      <c r="BO28" s="455">
        <f t="shared" si="7"/>
        <v>0</v>
      </c>
      <c r="BP28" s="925">
        <f t="shared" si="8"/>
        <v>0</v>
      </c>
      <c r="BR28" s="764"/>
      <c r="BS28" s="455"/>
      <c r="BT28" s="455" t="str">
        <f t="shared" si="9"/>
        <v>B</v>
      </c>
      <c r="BU28" s="925" t="str">
        <f t="shared" si="10"/>
        <v>T</v>
      </c>
      <c r="BV28" s="483" t="str">
        <f t="shared" si="11"/>
        <v>Custom17</v>
      </c>
      <c r="BW28" s="910">
        <f t="shared" si="16"/>
        <v>20</v>
      </c>
      <c r="BX28" s="925" t="str">
        <f t="shared" si="14"/>
        <v>Single</v>
      </c>
      <c r="CG28" s="51" t="s">
        <v>8</v>
      </c>
      <c r="CH28" s="764">
        <f t="shared" si="12"/>
        <v>0</v>
      </c>
      <c r="CI28" s="925">
        <f t="shared" si="13"/>
        <v>0</v>
      </c>
      <c r="CJ28" s="759"/>
      <c r="CK28" s="188"/>
      <c r="CL28" s="979">
        <f>VLOOKUP(I28,Prodlink,2,0)</f>
        <v>0</v>
      </c>
      <c r="CN28" s="497">
        <f ca="1">VLOOKUP(CO28,Prodlink,2,0)</f>
        <v>0</v>
      </c>
      <c r="CO28" s="497">
        <f ca="1">OFFSET($CH$9,CL28-1,-15,1,1)</f>
        <v>0</v>
      </c>
      <c r="CQ28" s="51">
        <v>0</v>
      </c>
      <c r="CR28" s="51">
        <f>IF(K28=$BH$12,$BH$23,IF(K28=$BH$13,$BH$24,10000))</f>
        <v>10000</v>
      </c>
      <c r="CS28" s="51">
        <f ca="1">IF(F28&lt;OFFSET($BM$9,CL28-1,0,1,1),0,IF(F28&lt;OFFSET($BN$9,CL28-1,0,1,1),((F28-OFFSET($BM$9,CL28-1,0,1,1))*OFFSET($CH$9,CL28-1,0,1,1))+OFFSET($BO$9,CL28-1,CQ28,1,1),IF(F28&lt;OFFSET($BN$9,CL28+0,0,1,1),((F28-OFFSET($BM$9,CL28+0,0,1,1))*OFFSET($CH$9,CL28+0,0,1,1))+OFFSET($BO$9,CL28+0,CQ28,1,1),IF(F28&lt;OFFSET($BN$9,CL28+1,0,1,1),((F28-OFFSET($BM$9,CL28+1,0,1,1))*OFFSET($CH$9,CL28+1,0,1,1))+OFFSET($BO$9,CL28+1,CQ28,1,1),IF(F28&lt;OFFSET($BN$9,CL28+2,0,1,1),((F28-OFFSET($BM$9,CL28+2,0,1,1))*OFFSET($CH$9,CL28+2,0,1,1))+OFFSET($BO$9,CL28+2,CQ28,1,1),IF(F28&lt;OFFSET($BN$9,CL28+3,0,1,1),((F28-OFFSET($BM$9,CL28+3,0,1,1))*OFFSET($CH$9,CL28+3,0,1,1))+OFFSET($BO$9,CL28+3,CQ28,1,1),0))))))</f>
        <v>0</v>
      </c>
      <c r="CT28" s="51">
        <f ca="1">IF($F28&lt;OFFSET($BM$9,$CL28-1,0,1,1),0,IF($F28&lt;OFFSET($BN$9,$CL28-1,0,1,1),IF(AND($H28&gt;2.4,Z28&lt;&gt;"e",Z28&lt;&gt;"f"),CX28*2.4/$H28,CX28),IF($F28&lt;OFFSET($BN$9,$CL28+0,0,1,1),IF(AND($H28&gt;2.4,Z28&lt;&gt;"e",Z28&lt;&gt;"f"),CX28*2.4/$H28,CX28),IF($F28&lt;OFFSET($BN$9,$CL28+1,0,1,1),IF(AND($H28&gt;2.4,Z28&lt;&gt;"e",Z28&lt;&gt;"f"),CX28*2.4/$H28,CX28),IF($F28&lt;OFFSET($BN$9,CL28+2,0,1,1),IF(AND($H28&gt;2.4,Z28&lt;&gt;"e",Z28&lt;&gt;"f"),CX28*2.4/$H28,CX28),IF($F28&lt;OFFSET($BN$9,CL28+3,0,1,1),IF(AND($H28&gt;2.4,Z28&lt;&gt;"e",Z28&lt;&gt;"f"),CX28*2.4/$H28,CX28),0)))))*COS(RADIANS($G28)))</f>
        <v>0</v>
      </c>
      <c r="CU28" s="51">
        <f ca="1">IF(F28&lt;OFFSET($BM$9,CL28-1,0,1,1),0,IF(F28&lt;OFFSET($BN$9,CL28-1,0,1,1),((F28-OFFSET($BM$9,CL28-1,0,1,1))*OFFSET($CI$9,CL28-1,0,1,1))+OFFSET($BP$9,CL28-1,CQ28,1,1),IF(F28&lt;OFFSET($BN$9,CL28+0,0,1,1),((F28-OFFSET($BM$9,CL28+0,0,1,1))*OFFSET($CI$9,CL28+0,0,1,1))+OFFSET($BP$9,CL28+0,CQ28,1,1),IF(F28&lt;OFFSET($BN$9,CL28+1,0,1,1),((F28-OFFSET($BM$9,CL28+1,0,1,1))*OFFSET($CI$9,CL28+1,0,1,1))+OFFSET($BP$9,CL28+1,CQ28,1,1),IF(F28&lt;OFFSET($BN$9,CL28+2,0,1,1),((F28-OFFSET($BM$9,CL28+2,0,1,1))*OFFSET($CI$9,CL28+2,0,1,1))+OFFSET($BP$9,CL28+2,CQ28,1,1),IF(F28&lt;OFFSET($BN$9,CL28+3,0,1,1),((F28-OFFSET($BM$9,CL28+3,0,1,1))*OFFSET($CI$9,CL28+3,0,1,1))+OFFSET($BP$9,CL28+3,CQ28,1,1),0))))))</f>
        <v>0</v>
      </c>
      <c r="CV28" s="51">
        <f ca="1">IF($F28&lt;OFFSET($BM$9,$CL28-1,0,1,1),0,IF($F28&lt;OFFSET($BN$9,$CL28-1,0,1,1),IF(AND($H28&gt;2.4,Z28&lt;&gt;"e",Z28&lt;&gt;"f"),CZ28*2.4/$H28,CZ28),IF($F28&lt;OFFSET($BN$9,$CL28+0,0,1,1),IF(AND($H28&gt;2.4,Z28&lt;&gt;"e",Z28&lt;&gt;"f"),CZ28*2.4/$H28,CZ28),IF($F28&lt;OFFSET($BN$9,$CL28+1,0,1,1),IF(AND($H28&gt;2.4,Z28&lt;&gt;"e",Z28&lt;&gt;"f"),CZ28*2.4/$H28,CZ28),IF($F28&lt;OFFSET($BN$9,$CL28+2,0,1,1),IF(AND($H28&gt;2.4,Z28&lt;&gt;"e",Z28&lt;&gt;"f"),CZ28*2.4/$H28,CZ28),IF($F28&lt;OFFSET($BN$9,$CL28+3,0,1,1),IF(AND($H28&gt;2.4,Z28&lt;&gt;"e",Z28&lt;&gt;"f"),CZ28*2.4/$H28,CZ28),0)))))*COS(RADIANS($G28)))</f>
        <v>0</v>
      </c>
      <c r="CW28" s="51">
        <f ca="1">IF(CT28&gt;CR28,CR28,CT28)</f>
        <v>0</v>
      </c>
      <c r="CX28" s="51">
        <f ca="1">IF(CS28&gt;$CR28,$CR28,CS28)</f>
        <v>0</v>
      </c>
      <c r="CY28" s="51">
        <f ca="1">CW28*F28</f>
        <v>0</v>
      </c>
      <c r="CZ28" s="51">
        <f ca="1">IF($CU28&gt;$CR28,$CR28,$CU28)</f>
        <v>0</v>
      </c>
      <c r="DA28" s="51">
        <f ca="1">IF(CV28&gt;CR28,CR28,CV28)</f>
        <v>0</v>
      </c>
      <c r="DB28" s="984">
        <f ca="1">DA28*F28</f>
        <v>0</v>
      </c>
      <c r="DC28" s="993">
        <v>1</v>
      </c>
      <c r="DD28" s="758" t="str">
        <f>IF(OR(D28=BG$12,D28=BG$13),"External",IF(D28=BG$14,"Internal"," "))</f>
        <v xml:space="preserve"> </v>
      </c>
      <c r="DE28" s="51" t="str">
        <f t="shared" ca="1" si="1"/>
        <v/>
      </c>
      <c r="DF28" s="52" t="str">
        <f t="shared" ca="1" si="2"/>
        <v xml:space="preserve"> </v>
      </c>
      <c r="DG28" s="51">
        <f ca="1">IF(F28&lt;OFFSET($BM$9,CN28-1,0,1,1),0,IF(F28&lt;OFFSET($BN$9,CN28-1,0,1,1),((F28-OFFSET($BM$9,CN28-1,0,1,1))*OFFSET($CH$9,CN28-1,0,1,1))+OFFSET($BO$9,CN28-1,CQ28,1,1),IF(F28&lt;OFFSET($BN$9,CN28+0,0,1,1),((F28-OFFSET($BM$9,CN28+0,0,1,1))*OFFSET($CH$9,CN28+0,0,1,1))+OFFSET($BO$9,CN28+0,CQ28,1,1),IF(F28&lt;OFFSET($BN$9,CN28+1,0,1,1),((F28-OFFSET($BM$9,CN28+1,0,1,1))*OFFSET($CH$9,CN28+1,0,1,1))+OFFSET($BO$9,CN28+1,CQ28,1,1),IF(F28&lt;OFFSET($BN$9,CN28+2,0,1,1),((F28-OFFSET($BM$9,CN28+2,0,1,1))*OFFSET($CH$9,CN28+2,0,1,1))+OFFSET($BO$9,CN28+2,CQ28,1,1),IF(F28&lt;OFFSET($BN$9,CN28+3,0,1,1),((F28-OFFSET($BM$9,CN28+3,0,1,1))*OFFSET($CH$9,CN28+3,0,1,1))+OFFSET($BO$9,CN28+3,CQ28,1,1),0))))))</f>
        <v>0</v>
      </c>
      <c r="DH28" s="51">
        <f ca="1">IF($F28&lt;OFFSET($BM$9,$CN28-1,0,1,1),0,IF($F28&lt;OFFSET($BN$9,$CN28-1,0,1,1),IF(AND($H28&gt;2.4,Z28&lt;&gt;"e",Z28&lt;&gt;"f"),DL28*2.4/$H28,DL28),IF($F28&lt;OFFSET($BN$9,$CN28+0,0,1,1),IF(AND($H28&gt;2.4,Z28&lt;&gt;"e",Z28&lt;&gt;"f"),DL28*2.4/$H28,DL28),IF($F28&lt;OFFSET($BN$9,$CN28+1,0,1,1),IF(AND($H28&gt;2.4,Z28&lt;&gt;"e",Z28&lt;&gt;"f"),DL28*2.4/$H28,DL28),IF($F28&lt;OFFSET($BN$9,$CN28+2,0,1,1),IF(AND($H28&gt;2.4,Z28&lt;&gt;"e",Z28&lt;&gt;"f"),DL28*2.4/$H28,DL28),IF($F28&lt;OFFSET($BN$9,$CN28+3,0,1,1),IF(AND($H28&gt;2.4,Z28&lt;&gt;"e",Z28&lt;&gt;"f"),DL28*2.4/$H28,DL28),0)))))*COS(RADIANS($G28)))</f>
        <v>0</v>
      </c>
      <c r="DI28" s="51">
        <f ca="1">IF(F28&lt;OFFSET($BM$9,CN28-1,0,1,1),0,IF(F28&lt;OFFSET($BN$9,CN28-1,0,1,1),((F28-OFFSET($BM$9,CN28-1,0,1,1))*OFFSET($CI$9,CN28-1,0,1,1))+OFFSET($BP$9,CN28-1,CQ28,1,1),IF(F28&lt;OFFSET($BN$9,CN28+0,0,1,1),((F28-OFFSET($BM$9,CN28+0,0,1,1))*OFFSET($CI$9,CN28+0,0,1,1))+OFFSET($BP$9,CN28+0,CQ28,1,1),IF(F28&lt;OFFSET($BN$9,CN28+1,0,1,1),((F28-OFFSET($BM$9,CN28+1,0,1,1))*OFFSET($CI$9,CN28+1,0,1,1))+OFFSET($BP$9,CN28+1,CQ28,1,1),IF(F28&lt;OFFSET($BN$9,CN28+2,0,1,1),((F28-OFFSET($BM$9,CN28+2,0,1,1))*OFFSET($CI$9,CN28+2,0,1,1))+OFFSET($BP$9,CN28+2,CQ28,1,1),IF(F28&lt;OFFSET($BN$9,CN28+3,0,1,1),((F28-OFFSET($BM$9,CN28+3,0,1,1))*OFFSET($CI$9,CN28+3,0,1,1))+OFFSET($BP$9,CN28+3,CQ28,1,1),0))))))</f>
        <v>0</v>
      </c>
      <c r="DJ28" s="51">
        <f ca="1">IF($F28&lt;OFFSET($BM$9,$CN28-1,0,1,1),0,IF($F28&lt;OFFSET($BN$9,$CN28-1,0,1,1),IF(AND($H28&gt;2.4,Z28&lt;&gt;"e",Z28&lt;&gt;"f"),DN28*2.4/$H28,DN28),IF($F28&lt;OFFSET($BN$9,$CN28+0,0,1,1),IF(AND($H28&gt;2.4,Z28&lt;&gt;"e",Z28&lt;&gt;"f"),DN28*2.4/$H28,DN28),IF($F28&lt;OFFSET($BN$9,$CN28+1,0,1,1),IF(AND($H28&gt;2.4,Z28&lt;&gt;"e",Z28&lt;&gt;"f"),DN28*2.4/$H28,DN28),IF($F28&lt;OFFSET($BN$9,$CN28+2,0,1,1),IF(AND($H28&gt;2.4,Z28&lt;&gt;"e",Z28&lt;&gt;"f"),DN28*2.4/$H28,DN28),IF($F28&lt;OFFSET($BN$9,$CN28+3,0,1,1),IF(AND($H28&gt;2.4,Z28&lt;&gt;"e",Z28&lt;&gt;"f"),DN28*2.4/$H28,DN28),0)))))*COS(RADIANS($G28)))</f>
        <v>0</v>
      </c>
      <c r="DK28" s="51"/>
      <c r="DL28" s="51">
        <f ca="1">IF(DG28&gt;$CR28,$CR28,DG28)</f>
        <v>0</v>
      </c>
      <c r="DM28" s="51"/>
      <c r="DN28" s="51">
        <f ca="1">IF(DI28&gt;$CR28,$CR28,DI28)</f>
        <v>0</v>
      </c>
      <c r="DO28" s="435">
        <f ca="1">IF(DH28&gt;$CR28,$CR28,DH28)</f>
        <v>0</v>
      </c>
      <c r="DP28" s="435">
        <f ca="1">DO28*F28</f>
        <v>0</v>
      </c>
      <c r="DQ28" s="436">
        <f ca="1">IF(DJ28&gt;$CR28,$CR28,DJ28)</f>
        <v>0</v>
      </c>
      <c r="DR28" s="437">
        <f ca="1">DQ28*F28</f>
        <v>0</v>
      </c>
      <c r="DS28" s="426">
        <f ca="1">OFFSET($CH$9,CL28-1,-15,1,1)</f>
        <v>0</v>
      </c>
      <c r="DT28" s="451">
        <f ca="1">VLOOKUP(DS28,Prodlink,2,0)</f>
        <v>0</v>
      </c>
      <c r="DU28" s="188">
        <f ca="1">IF(F28&lt;OFFSET($BM$9,DT28-1,0,1,1),0,IF(F28&lt;OFFSET($BN$9,DT28-1,0,1,1),((F28-OFFSET($BM$9,DT28-1,0,1,1))*OFFSET($CH$9,DT28-1,0,1,1))+OFFSET($BO$9,DT28-1,CQ28,1,1),IF(F28&lt;OFFSET($BN$9,DT28+0,0,1,1),((F28-OFFSET($BM$9,DT28+0,0,1,1))*OFFSET($CH$9,DT28+0,0,1,1))+OFFSET($BO$9,DT28+0,CQ28,1,1),IF(F28&lt;OFFSET($BN$9,DT28+1,0,1,1),((F28-OFFSET($BM$9,DT28+1,0,1,1))*OFFSET($CH$9,DT28+1,0,1,1))+OFFSET($BO$9,DT28+1,CQ28,1,1),IF(F28&lt;OFFSET($BN$9,DT28+2,0,1,1),((F28-OFFSET($BM$9,DT28+2,0,1,1))*OFFSET($CH$9,DT28+2,0,1,1))+OFFSET($BO$9,DT28+2,CQ28,1,1),IF(F28&lt;OFFSET($BN$9,DT28+3,0,1,1),((F28-OFFSET($BM$9,DT28+3,0,1,1))*OFFSET($CH$9,DT28+3,0,1,1))+OFFSET($BO$9,DT28+3,CQ28,1,1),0))))))</f>
        <v>0</v>
      </c>
      <c r="DV28" s="51">
        <f ca="1">IF($F28&lt;OFFSET($BM$9,$DT28-1,0,1,1),0,IF($F28&lt;OFFSET($BN$9,$DT28-1,0,1,1),IF(AND($H28&gt;2.4,Z28&lt;&gt;"e",Z28&lt;&gt;"f"),DZ28*2.4/$H28,DZ28),IF($F28&lt;OFFSET($BN$9,$DT28+0,0,1,1),IF(AND($H28&gt;2.4,Z28&lt;&gt;"e",Z28&lt;&gt;"f"),DZ28*2.4/$H28,DZ28),IF($F28&lt;OFFSET($BN$9,$DT28+1,0,1,1),IF(AND($H28&gt;2.4,Z28&lt;&gt;"e",Z28&lt;&gt;"f"),DZ28*2.4/$H28,DZ28),IF($F28&lt;OFFSET($BN$9,$DT28+2,0,1,1),IF(AND($H28&gt;2.4,Z28&lt;&gt;"e",Z28&lt;&gt;"f"),DZ28*2.4/$H28,DZ28),IF($F28&lt;OFFSET($BN$9,$DT28+3,0,1,1),IF(AND($H28&gt;2.4,Z28&lt;&gt;"e",Z28&lt;&gt;"f"),DZ28*2.4/$H28,DZ28),0)))))*COS(RADIANS($G28)))</f>
        <v>0</v>
      </c>
      <c r="DW28" s="188">
        <f ca="1">IF(F28&lt;OFFSET($BM$9,DT28-1,0,1,1),0,IF(F28&lt;OFFSET($BN$9,DT28-1,0,1,1),((F28-OFFSET($BM$9,DT28-1,0,1,1))*OFFSET($CI$9,DT28-1,0,1,1))+OFFSET($BP$9,DT28-1,CQ28,1,1),IF(F28&lt;OFFSET($BN$9,DT28+0,0,1,1),((F28-OFFSET($BM$9,DT28+0,0,1,1))*OFFSET($CI$9,DT28+0,0,1,1))+OFFSET($BP$9,DT28+0,CQ28,1,1),IF(F28&lt;OFFSET($BN$9,DT28+1,0,1,1),((F28-OFFSET($BM$9,DT28+1,0,1,1))*OFFSET($CI$9,DT28+1,0,1,1))+OFFSET($BP$9,DT28+1,CQ28,1,1),IF(F28&lt;OFFSET($BN$9,DT28+2,0,1,1),((F28-OFFSET($BM$9,DT28+2,0,1,1))*OFFSET($CI$9,DT28+2,0,1,1))+OFFSET($BP$9,DT28+2,CQ28,1,1),IF(F28&lt;OFFSET($BN$9,DT28+3,0,1,1),((F28-OFFSET($BM$9,DT28+3,0,1,1))*OFFSET($CI$9,DT28+3,0,1,1))+OFFSET($BP$9,DT28+3,CQ28,1,1),0))))))</f>
        <v>0</v>
      </c>
      <c r="DX28" s="51">
        <f ca="1">IF($F28&lt;OFFSET($BM$9,$DT28-1,0,1,1),0,IF($F28&lt;OFFSET($BN$9,$DT28-1,0,1,1),IF(AND($H28&gt;2.4,Z28&lt;&gt;"e",Z28&lt;&gt;"f"),EB28*2.4/$H28,EB28),IF($F28&lt;OFFSET($BN$9,$DT28+0,0,1,1),IF(AND($H28&gt;2.4,Z28&lt;&gt;"e",Z28&lt;&gt;"f"),EB28*2.4/$H28,EB28),IF($F28&lt;OFFSET($BN$9,$DT28+1,0,1,1),IF(AND($H28&gt;2.4,Z28&lt;&gt;"e",Z28&lt;&gt;"f"),EB28*2.4/$H28,EB28),IF($F28&lt;OFFSET($BN$9,$DT28+2,0,1,1),IF(AND($H28&gt;2.4,Z28&lt;&gt;"e",Z28&lt;&gt;"f"),EB28*2.4/$H28,EB28),IF($F28&lt;OFFSET($BN$9,$DT28+3,0,1,1),IF(AND($H28&gt;2.4,Z28&lt;&gt;"e",Z28&lt;&gt;"f"),EB28*2.4/$H28,EB28),0)))))*COS(RADIANS($G28)))</f>
        <v>0</v>
      </c>
      <c r="DY28" s="188"/>
      <c r="DZ28" s="188">
        <f ca="1">IF(DU28&gt;$CR28,$CR28,DU28)</f>
        <v>0</v>
      </c>
      <c r="EA28" s="188"/>
      <c r="EB28" s="188">
        <f ca="1">IF(DW28&gt;$CR28,$CR28,DW28)</f>
        <v>0</v>
      </c>
      <c r="EC28" s="435">
        <f ca="1">IF(DV28&gt;$CR28,$CR28,DV28)</f>
        <v>0</v>
      </c>
      <c r="ED28" s="435">
        <f ca="1">EC28*F28</f>
        <v>0</v>
      </c>
      <c r="EE28" s="436">
        <f ca="1">IF(DX28&gt;$CR28,$CR28,DX28)</f>
        <v>0</v>
      </c>
      <c r="EF28" s="437">
        <f ca="1">EE28*F28</f>
        <v>0</v>
      </c>
      <c r="EG28" s="613" t="str">
        <f>IF(D28=BG$12,BG$12,"")</f>
        <v/>
      </c>
      <c r="EH28" s="614" t="str">
        <f>IF(D28=BG$13,BG$13,"")</f>
        <v/>
      </c>
      <c r="EI28" s="611">
        <f>IF(EG28=BG$12,M28,0)</f>
        <v>0</v>
      </c>
      <c r="EJ28" s="451">
        <f>IF(EG28=BG$12,O28,0)</f>
        <v>0</v>
      </c>
      <c r="EK28" s="451">
        <f>IF(EH28=BG$13,M28,0)</f>
        <v>0</v>
      </c>
      <c r="EL28" s="612">
        <f>IF(EH28=BG$13,O28,0)</f>
        <v>0</v>
      </c>
      <c r="EM28" s="426" t="str">
        <f ca="1">IF(AND(Z28&lt;&gt;"t",Z28&lt;&gt;"f"),"",IF(AND(EN28=$BH$13,K28=$BH$12),"NotOpt",IF(K28&lt;&gt;EN28,"Error","")))</f>
        <v/>
      </c>
      <c r="EN28" s="491" t="str">
        <f>IF(AND($BH$28=1,$BG$28=1),$BH$13,$BH$12)</f>
        <v>120 BU's</v>
      </c>
      <c r="EO28" s="426" t="str">
        <f>K28</f>
        <v xml:space="preserve"> </v>
      </c>
      <c r="EP28" s="497">
        <v>1</v>
      </c>
      <c r="EQ28" s="430" t="str">
        <f ca="1">IF(EP28=1," ",OFFSET(BF$15,EP28-2,0,1,1))</f>
        <v xml:space="preserve"> </v>
      </c>
      <c r="ER28" s="439" t="str">
        <f ca="1">IF(H28=0," ",H28)</f>
        <v xml:space="preserve"> </v>
      </c>
      <c r="ES28" s="440" t="str">
        <f ca="1">IF(ER28&lt;&gt;" ",IF(ER28&lt;&gt;ER$7,"Changed",""),"")</f>
        <v/>
      </c>
      <c r="ET28" s="440">
        <f ca="1">IF(ER28&lt;&gt;" ",IF(ER28&lt;&gt;ER$7,1,0),0)</f>
        <v>0</v>
      </c>
      <c r="EU28" s="957" t="str">
        <f ca="1">IF(I28=" "," ",IF(F28&lt;OFFSET($BM$9,CL28-1,0,1,1),1,""))</f>
        <v xml:space="preserve"> </v>
      </c>
      <c r="EW28" s="427"/>
    </row>
    <row r="29" spans="2:153" ht="17.100000000000001" customHeight="1">
      <c r="B29" s="689" t="s">
        <v>246</v>
      </c>
      <c r="C29" s="684" t="str">
        <f>IF(OR(F29=0,I29="",I29=" ")," ",$V29)</f>
        <v xml:space="preserve"> </v>
      </c>
      <c r="D29" s="1033"/>
      <c r="E29" s="1360"/>
      <c r="F29" s="202"/>
      <c r="G29" s="1416"/>
      <c r="H29" s="199" t="str">
        <f ca="1">IF(OR(F29=0,Z29="E",Z29="f")," ",'Project Demand'!E$35)</f>
        <v xml:space="preserve"> </v>
      </c>
      <c r="I29" s="631" t="str">
        <f>IF($I$6&lt;&gt;$BG$8," ",AB29)</f>
        <v xml:space="preserve"> </v>
      </c>
      <c r="J29" s="44" t="str">
        <f ca="1">IF(OR(I29=" ",I29="")," ",OFFSET($BO$9,CL29-1,0-4,1,1))</f>
        <v xml:space="preserve"> </v>
      </c>
      <c r="K29" s="55" t="str">
        <f>IF(OR(I29=" ",I29="")," ",IF(OR(Z29="e",Z29="h"),"SD",BG$24))</f>
        <v xml:space="preserve"> </v>
      </c>
      <c r="L29" s="49">
        <f ca="1">CW29</f>
        <v>0</v>
      </c>
      <c r="M29" s="49">
        <f ca="1">CY29</f>
        <v>0</v>
      </c>
      <c r="N29" s="50">
        <f t="shared" ca="1" si="18"/>
        <v>0</v>
      </c>
      <c r="O29" s="126">
        <f t="shared" ca="1" si="18"/>
        <v>0</v>
      </c>
      <c r="P29" s="140"/>
      <c r="Q29" s="752" t="str">
        <f ca="1">IF(AND(OR(Z29="t",Z29="f"),K29=$BH$11),"No Floor!  Change Floor Type",IF(OR(I29=" ",I29="")," ",IF(F29&lt;OFFSET($BM$9,CL29-1,0,1,1),"check L(m)",DE29&amp;IF(AND(DP29&gt;=CY29,DR29&gt;=DB29),IF(AND(ED29&gt;=DP29,EF29&gt;=DR29),CONCATENATE(DS29," will provide same result"),CONCATENATE(CO29," will provide same result")),IF((DP29&gt;=CY29),CONCATENATE(CO29," provides same result in WIND"),IF((DR29&gt;=DB29),CONCATENATE(CO29," provides same result in EQ"),""))))))&amp;IF(ISERROR(FIND("pile",I29,1)),"",IF(INT(F29)&lt;&gt;F29,"Pile!  Use Whole Numbers Only",""))</f>
        <v xml:space="preserve"> </v>
      </c>
      <c r="R29" s="52"/>
      <c r="S29" s="1372"/>
      <c r="T29" s="1372"/>
      <c r="U29" s="1377"/>
      <c r="V29" s="52" t="str">
        <f ca="1">IF(AND(B$5=$BF$9,OR(I29=BH$16,I29=BH$17))," ",IF(ISNUMBER(B$26),(CONCATENATE(B$26,".",W29)),(CONCATENATE(B$26,W29))))</f>
        <v>D0</v>
      </c>
      <c r="W29" s="9">
        <f ca="1">W28+X29</f>
        <v>0</v>
      </c>
      <c r="X29" s="9">
        <f>IF(AND(B$5=$BF$9,OR($I29=$BH$16,$I29=$BH$17,$I29=" ",$I29="",$F29=0)),0,IF(OR($I29=" ",$I29="",$F29=0),0,1))</f>
        <v>0</v>
      </c>
      <c r="Y29" s="896"/>
      <c r="Z29" s="52" t="str">
        <f ca="1">IF(I29=" "," ",OFFSET($BM$9,$CL29-1,8,1,1))</f>
        <v xml:space="preserve"> </v>
      </c>
      <c r="AA29" s="51" t="str">
        <f>IF(G29&gt;=45,"WA","")</f>
        <v/>
      </c>
      <c r="AB29" s="1364" t="str">
        <f>IF(F29&lt;&gt;"",IF(OR(D29=$BG$12,D29=$BG$13),IF(E29&lt;&gt;$BG$17,$BF$12,$BF$13),IF(E29&lt;&gt;$BG$17,$BF$12,$BF$13))," ")</f>
        <v xml:space="preserve"> </v>
      </c>
      <c r="AC29" s="1"/>
      <c r="AJ29" s="2230"/>
      <c r="AK29" s="2779"/>
      <c r="AL29" s="2783" t="str">
        <f>'Regular and QuickBrace Systems'!E44</f>
        <v>ESSH</v>
      </c>
      <c r="AM29" s="1176">
        <f>'Regular and QuickBrace Systems'!F44</f>
        <v>0.4</v>
      </c>
      <c r="AN29" s="1272">
        <f>'Regular and QuickBrace Systems'!G44</f>
        <v>95</v>
      </c>
      <c r="AO29" s="1273">
        <f>'Regular and QuickBrace Systems'!H44</f>
        <v>109</v>
      </c>
      <c r="AP29" s="1594"/>
      <c r="AQ29" s="2661" t="str">
        <f>'Regular and QuickBrace Systems'!I41</f>
        <v>Specialised QuickBrace Pattern</v>
      </c>
      <c r="AR29" s="2662"/>
      <c r="AS29" s="2030" t="str">
        <f>'Regular and QuickBrace Systems'!K44</f>
        <v>Yes</v>
      </c>
      <c r="AT29" s="1339"/>
      <c r="AU29" s="2131" t="str">
        <f>'Regular and QuickBrace Systems'!M44</f>
        <v>Elephant Standard-Plus board Both sides</v>
      </c>
      <c r="AW29" s="1567" t="str">
        <f>'Regular and QuickBrace Systems'!O44</f>
        <v>Yes</v>
      </c>
      <c r="AX29" s="1573" t="str">
        <f>'Regular and QuickBrace Systems'!Q44</f>
        <v>No</v>
      </c>
      <c r="BD29" s="2648"/>
      <c r="BF29" s="599" t="str">
        <f>'Custom Elements'!C13</f>
        <v>Custom5</v>
      </c>
      <c r="BI29" s="759"/>
      <c r="BJ29" s="897">
        <f t="shared" si="3"/>
        <v>21</v>
      </c>
      <c r="BK29" s="769" t="str">
        <f t="shared" si="4"/>
        <v xml:space="preserve">  </v>
      </c>
      <c r="BL29" s="771" t="str">
        <f t="shared" si="5"/>
        <v>Custom18</v>
      </c>
      <c r="BM29" s="455">
        <f t="shared" si="6"/>
        <v>9.9999999999999996E-76</v>
      </c>
      <c r="BN29" s="455">
        <v>999</v>
      </c>
      <c r="BO29" s="455">
        <f t="shared" si="7"/>
        <v>0</v>
      </c>
      <c r="BP29" s="925">
        <f t="shared" si="8"/>
        <v>0</v>
      </c>
      <c r="BR29" s="764"/>
      <c r="BS29" s="455"/>
      <c r="BT29" s="455" t="str">
        <f t="shared" si="9"/>
        <v>B</v>
      </c>
      <c r="BU29" s="925" t="str">
        <f t="shared" si="10"/>
        <v>T</v>
      </c>
      <c r="BV29" s="483" t="str">
        <f t="shared" si="11"/>
        <v>Custom18</v>
      </c>
      <c r="BW29" s="910">
        <f t="shared" si="16"/>
        <v>21</v>
      </c>
      <c r="BX29" s="925" t="str">
        <f t="shared" si="14"/>
        <v>Single</v>
      </c>
      <c r="CG29" s="51" t="s">
        <v>8</v>
      </c>
      <c r="CH29" s="764">
        <f t="shared" si="12"/>
        <v>0</v>
      </c>
      <c r="CI29" s="925">
        <f t="shared" si="13"/>
        <v>0</v>
      </c>
      <c r="CJ29" s="759"/>
      <c r="CK29" s="188"/>
      <c r="CL29" s="979">
        <f>VLOOKUP(I29,Prodlink,2,0)</f>
        <v>0</v>
      </c>
      <c r="CN29" s="497">
        <f ca="1">VLOOKUP(CO29,Prodlink,2,0)</f>
        <v>0</v>
      </c>
      <c r="CO29" s="497">
        <f ca="1">OFFSET($CH$9,CL29-1,-15,1,1)</f>
        <v>0</v>
      </c>
      <c r="CQ29" s="51">
        <v>0</v>
      </c>
      <c r="CR29" s="51">
        <f>IF(K29=$BH$12,$BH$23,IF(K29=$BH$13,$BH$24,10000))</f>
        <v>10000</v>
      </c>
      <c r="CS29" s="51">
        <f ca="1">IF(F29&lt;OFFSET($BM$9,CL29-1,0,1,1),0,IF(F29&lt;OFFSET($BN$9,CL29-1,0,1,1),((F29-OFFSET($BM$9,CL29-1,0,1,1))*OFFSET($CH$9,CL29-1,0,1,1))+OFFSET($BO$9,CL29-1,CQ29,1,1),IF(F29&lt;OFFSET($BN$9,CL29+0,0,1,1),((F29-OFFSET($BM$9,CL29+0,0,1,1))*OFFSET($CH$9,CL29+0,0,1,1))+OFFSET($BO$9,CL29+0,CQ29,1,1),IF(F29&lt;OFFSET($BN$9,CL29+1,0,1,1),((F29-OFFSET($BM$9,CL29+1,0,1,1))*OFFSET($CH$9,CL29+1,0,1,1))+OFFSET($BO$9,CL29+1,CQ29,1,1),IF(F29&lt;OFFSET($BN$9,CL29+2,0,1,1),((F29-OFFSET($BM$9,CL29+2,0,1,1))*OFFSET($CH$9,CL29+2,0,1,1))+OFFSET($BO$9,CL29+2,CQ29,1,1),IF(F29&lt;OFFSET($BN$9,CL29+3,0,1,1),((F29-OFFSET($BM$9,CL29+3,0,1,1))*OFFSET($CH$9,CL29+3,0,1,1))+OFFSET($BO$9,CL29+3,CQ29,1,1),0))))))</f>
        <v>0</v>
      </c>
      <c r="CT29" s="51">
        <f ca="1">IF($F29&lt;OFFSET($BM$9,$CL29-1,0,1,1),0,IF($F29&lt;OFFSET($BN$9,$CL29-1,0,1,1),IF(AND($H29&gt;2.4,Z29&lt;&gt;"e",Z29&lt;&gt;"f"),CX29*2.4/$H29,CX29),IF($F29&lt;OFFSET($BN$9,$CL29+0,0,1,1),IF(AND($H29&gt;2.4,Z29&lt;&gt;"e",Z29&lt;&gt;"f"),CX29*2.4/$H29,CX29),IF($F29&lt;OFFSET($BN$9,$CL29+1,0,1,1),IF(AND($H29&gt;2.4,Z29&lt;&gt;"e",Z29&lt;&gt;"f"),CX29*2.4/$H29,CX29),IF($F29&lt;OFFSET($BN$9,CL29+2,0,1,1),IF(AND($H29&gt;2.4,Z29&lt;&gt;"e",Z29&lt;&gt;"f"),CX29*2.4/$H29,CX29),IF($F29&lt;OFFSET($BN$9,CL29+3,0,1,1),IF(AND($H29&gt;2.4,Z29&lt;&gt;"e",Z29&lt;&gt;"f"),CX29*2.4/$H29,CX29),0)))))*COS(RADIANS($G29)))</f>
        <v>0</v>
      </c>
      <c r="CU29" s="51">
        <f ca="1">IF(F29&lt;OFFSET($BM$9,CL29-1,0,1,1),0,IF(F29&lt;OFFSET($BN$9,CL29-1,0,1,1),((F29-OFFSET($BM$9,CL29-1,0,1,1))*OFFSET($CI$9,CL29-1,0,1,1))+OFFSET($BP$9,CL29-1,CQ29,1,1),IF(F29&lt;OFFSET($BN$9,CL29+0,0,1,1),((F29-OFFSET($BM$9,CL29+0,0,1,1))*OFFSET($CI$9,CL29+0,0,1,1))+OFFSET($BP$9,CL29+0,CQ29,1,1),IF(F29&lt;OFFSET($BN$9,CL29+1,0,1,1),((F29-OFFSET($BM$9,CL29+1,0,1,1))*OFFSET($CI$9,CL29+1,0,1,1))+OFFSET($BP$9,CL29+1,CQ29,1,1),IF(F29&lt;OFFSET($BN$9,CL29+2,0,1,1),((F29-OFFSET($BM$9,CL29+2,0,1,1))*OFFSET($CI$9,CL29+2,0,1,1))+OFFSET($BP$9,CL29+2,CQ29,1,1),IF(F29&lt;OFFSET($BN$9,CL29+3,0,1,1),((F29-OFFSET($BM$9,CL29+3,0,1,1))*OFFSET($CI$9,CL29+3,0,1,1))+OFFSET($BP$9,CL29+3,CQ29,1,1),0))))))</f>
        <v>0</v>
      </c>
      <c r="CV29" s="51">
        <f ca="1">IF($F29&lt;OFFSET($BM$9,$CL29-1,0,1,1),0,IF($F29&lt;OFFSET($BN$9,$CL29-1,0,1,1),IF(AND($H29&gt;2.4,Z29&lt;&gt;"e",Z29&lt;&gt;"f"),CZ29*2.4/$H29,CZ29),IF($F29&lt;OFFSET($BN$9,$CL29+0,0,1,1),IF(AND($H29&gt;2.4,Z29&lt;&gt;"e",Z29&lt;&gt;"f"),CZ29*2.4/$H29,CZ29),IF($F29&lt;OFFSET($BN$9,$CL29+1,0,1,1),IF(AND($H29&gt;2.4,Z29&lt;&gt;"e",Z29&lt;&gt;"f"),CZ29*2.4/$H29,CZ29),IF($F29&lt;OFFSET($BN$9,$CL29+2,0,1,1),IF(AND($H29&gt;2.4,Z29&lt;&gt;"e",Z29&lt;&gt;"f"),CZ29*2.4/$H29,CZ29),IF($F29&lt;OFFSET($BN$9,$CL29+3,0,1,1),IF(AND($H29&gt;2.4,Z29&lt;&gt;"e",Z29&lt;&gt;"f"),CZ29*2.4/$H29,CZ29),0)))))*COS(RADIANS($G29)))</f>
        <v>0</v>
      </c>
      <c r="CW29" s="51">
        <f ca="1">IF(CT29&gt;CR29,CR29,CT29)</f>
        <v>0</v>
      </c>
      <c r="CX29" s="51">
        <f ca="1">IF(CS29&gt;$CR29,$CR29,CS29)</f>
        <v>0</v>
      </c>
      <c r="CY29" s="51">
        <f ca="1">CW29*F29</f>
        <v>0</v>
      </c>
      <c r="CZ29" s="51">
        <f ca="1">IF($CU29&gt;$CR29,$CR29,$CU29)</f>
        <v>0</v>
      </c>
      <c r="DA29" s="51">
        <f ca="1">IF(CV29&gt;CR29,CR29,CV29)</f>
        <v>0</v>
      </c>
      <c r="DB29" s="984">
        <f ca="1">DA29*F29</f>
        <v>0</v>
      </c>
      <c r="DC29" s="993">
        <v>1</v>
      </c>
      <c r="DD29" s="758" t="str">
        <f>IF(OR(D29=BG$12,D29=BG$13),"External",IF(D29=BG$14,"Internal"," "))</f>
        <v xml:space="preserve"> </v>
      </c>
      <c r="DE29" s="51" t="str">
        <f t="shared" ca="1" si="1"/>
        <v/>
      </c>
      <c r="DF29" s="52" t="str">
        <f t="shared" ca="1" si="2"/>
        <v xml:space="preserve"> </v>
      </c>
      <c r="DG29" s="51">
        <f ca="1">IF(F29&lt;OFFSET($BM$9,CN29-1,0,1,1),0,IF(F29&lt;OFFSET($BN$9,CN29-1,0,1,1),((F29-OFFSET($BM$9,CN29-1,0,1,1))*OFFSET($CH$9,CN29-1,0,1,1))+OFFSET($BO$9,CN29-1,CQ29,1,1),IF(F29&lt;OFFSET($BN$9,CN29+0,0,1,1),((F29-OFFSET($BM$9,CN29+0,0,1,1))*OFFSET($CH$9,CN29+0,0,1,1))+OFFSET($BO$9,CN29+0,CQ29,1,1),IF(F29&lt;OFFSET($BN$9,CN29+1,0,1,1),((F29-OFFSET($BM$9,CN29+1,0,1,1))*OFFSET($CH$9,CN29+1,0,1,1))+OFFSET($BO$9,CN29+1,CQ29,1,1),IF(F29&lt;OFFSET($BN$9,CN29+2,0,1,1),((F29-OFFSET($BM$9,CN29+2,0,1,1))*OFFSET($CH$9,CN29+2,0,1,1))+OFFSET($BO$9,CN29+2,CQ29,1,1),IF(F29&lt;OFFSET($BN$9,CN29+3,0,1,1),((F29-OFFSET($BM$9,CN29+3,0,1,1))*OFFSET($CH$9,CN29+3,0,1,1))+OFFSET($BO$9,CN29+3,CQ29,1,1),0))))))</f>
        <v>0</v>
      </c>
      <c r="DH29" s="51">
        <f ca="1">IF($F29&lt;OFFSET($BM$9,$CN29-1,0,1,1),0,IF($F29&lt;OFFSET($BN$9,$CN29-1,0,1,1),IF(AND($H29&gt;2.4,Z29&lt;&gt;"e",Z29&lt;&gt;"f"),DL29*2.4/$H29,DL29),IF($F29&lt;OFFSET($BN$9,$CN29+0,0,1,1),IF(AND($H29&gt;2.4,Z29&lt;&gt;"e",Z29&lt;&gt;"f"),DL29*2.4/$H29,DL29),IF($F29&lt;OFFSET($BN$9,$CN29+1,0,1,1),IF(AND($H29&gt;2.4,Z29&lt;&gt;"e",Z29&lt;&gt;"f"),DL29*2.4/$H29,DL29),IF($F29&lt;OFFSET($BN$9,$CN29+2,0,1,1),IF(AND($H29&gt;2.4,Z29&lt;&gt;"e",Z29&lt;&gt;"f"),DL29*2.4/$H29,DL29),IF($F29&lt;OFFSET($BN$9,$CN29+3,0,1,1),IF(AND($H29&gt;2.4,Z29&lt;&gt;"e",Z29&lt;&gt;"f"),DL29*2.4/$H29,DL29),0)))))*COS(RADIANS($G29)))</f>
        <v>0</v>
      </c>
      <c r="DI29" s="51">
        <f ca="1">IF(F29&lt;OFFSET($BM$9,CN29-1,0,1,1),0,IF(F29&lt;OFFSET($BN$9,CN29-1,0,1,1),((F29-OFFSET($BM$9,CN29-1,0,1,1))*OFFSET($CI$9,CN29-1,0,1,1))+OFFSET($BP$9,CN29-1,CQ29,1,1),IF(F29&lt;OFFSET($BN$9,CN29+0,0,1,1),((F29-OFFSET($BM$9,CN29+0,0,1,1))*OFFSET($CI$9,CN29+0,0,1,1))+OFFSET($BP$9,CN29+0,CQ29,1,1),IF(F29&lt;OFFSET($BN$9,CN29+1,0,1,1),((F29-OFFSET($BM$9,CN29+1,0,1,1))*OFFSET($CI$9,CN29+1,0,1,1))+OFFSET($BP$9,CN29+1,CQ29,1,1),IF(F29&lt;OFFSET($BN$9,CN29+2,0,1,1),((F29-OFFSET($BM$9,CN29+2,0,1,1))*OFFSET($CI$9,CN29+2,0,1,1))+OFFSET($BP$9,CN29+2,CQ29,1,1),IF(F29&lt;OFFSET($BN$9,CN29+3,0,1,1),((F29-OFFSET($BM$9,CN29+3,0,1,1))*OFFSET($CI$9,CN29+3,0,1,1))+OFFSET($BP$9,CN29+3,CQ29,1,1),0))))))</f>
        <v>0</v>
      </c>
      <c r="DJ29" s="51">
        <f ca="1">IF($F29&lt;OFFSET($BM$9,$CN29-1,0,1,1),0,IF($F29&lt;OFFSET($BN$9,$CN29-1,0,1,1),IF(AND($H29&gt;2.4,Z29&lt;&gt;"e",Z29&lt;&gt;"f"),DN29*2.4/$H29,DN29),IF($F29&lt;OFFSET($BN$9,$CN29+0,0,1,1),IF(AND($H29&gt;2.4,Z29&lt;&gt;"e",Z29&lt;&gt;"f"),DN29*2.4/$H29,DN29),IF($F29&lt;OFFSET($BN$9,$CN29+1,0,1,1),IF(AND($H29&gt;2.4,Z29&lt;&gt;"e",Z29&lt;&gt;"f"),DN29*2.4/$H29,DN29),IF($F29&lt;OFFSET($BN$9,$CN29+2,0,1,1),IF(AND($H29&gt;2.4,Z29&lt;&gt;"e",Z29&lt;&gt;"f"),DN29*2.4/$H29,DN29),IF($F29&lt;OFFSET($BN$9,$CN29+3,0,1,1),IF(AND($H29&gt;2.4,Z29&lt;&gt;"e",Z29&lt;&gt;"f"),DN29*2.4/$H29,DN29),0)))))*COS(RADIANS($G29)))</f>
        <v>0</v>
      </c>
      <c r="DK29" s="51"/>
      <c r="DL29" s="51">
        <f ca="1">IF(DG29&gt;$CR29,$CR29,DG29)</f>
        <v>0</v>
      </c>
      <c r="DM29" s="51"/>
      <c r="DN29" s="51">
        <f ca="1">IF(DI29&gt;$CR29,$CR29,DI29)</f>
        <v>0</v>
      </c>
      <c r="DO29" s="435">
        <f ca="1">IF(DH29&gt;$CR29,$CR29,DH29)</f>
        <v>0</v>
      </c>
      <c r="DP29" s="435">
        <f ca="1">DO29*F29</f>
        <v>0</v>
      </c>
      <c r="DQ29" s="436">
        <f ca="1">IF(DJ29&gt;$CR29,$CR29,DJ29)</f>
        <v>0</v>
      </c>
      <c r="DR29" s="437">
        <f ca="1">DQ29*F29</f>
        <v>0</v>
      </c>
      <c r="DS29" s="426">
        <f ca="1">OFFSET($CH$9,CL29-1,-15,1,1)</f>
        <v>0</v>
      </c>
      <c r="DT29" s="451">
        <f ca="1">VLOOKUP(DS29,Prodlink,2,0)</f>
        <v>0</v>
      </c>
      <c r="DU29" s="188">
        <f ca="1">IF(F29&lt;OFFSET($BM$9,DT29-1,0,1,1),0,IF(F29&lt;OFFSET($BN$9,DT29-1,0,1,1),((F29-OFFSET($BM$9,DT29-1,0,1,1))*OFFSET($CH$9,DT29-1,0,1,1))+OFFSET($BO$9,DT29-1,CQ29,1,1),IF(F29&lt;OFFSET($BN$9,DT29+0,0,1,1),((F29-OFFSET($BM$9,DT29+0,0,1,1))*OFFSET($CH$9,DT29+0,0,1,1))+OFFSET($BO$9,DT29+0,CQ29,1,1),IF(F29&lt;OFFSET($BN$9,DT29+1,0,1,1),((F29-OFFSET($BM$9,DT29+1,0,1,1))*OFFSET($CH$9,DT29+1,0,1,1))+OFFSET($BO$9,DT29+1,CQ29,1,1),IF(F29&lt;OFFSET($BN$9,DT29+2,0,1,1),((F29-OFFSET($BM$9,DT29+2,0,1,1))*OFFSET($CH$9,DT29+2,0,1,1))+OFFSET($BO$9,DT29+2,CQ29,1,1),IF(F29&lt;OFFSET($BN$9,DT29+3,0,1,1),((F29-OFFSET($BM$9,DT29+3,0,1,1))*OFFSET($CH$9,DT29+3,0,1,1))+OFFSET($BO$9,DT29+3,CQ29,1,1),0))))))</f>
        <v>0</v>
      </c>
      <c r="DV29" s="51">
        <f ca="1">IF($F29&lt;OFFSET($BM$9,$DT29-1,0,1,1),0,IF($F29&lt;OFFSET($BN$9,$DT29-1,0,1,1),IF(AND($H29&gt;2.4,Z29&lt;&gt;"e",Z29&lt;&gt;"f"),DZ29*2.4/$H29,DZ29),IF($F29&lt;OFFSET($BN$9,$DT29+0,0,1,1),IF(AND($H29&gt;2.4,Z29&lt;&gt;"e",Z29&lt;&gt;"f"),DZ29*2.4/$H29,DZ29),IF($F29&lt;OFFSET($BN$9,$DT29+1,0,1,1),IF(AND($H29&gt;2.4,Z29&lt;&gt;"e",Z29&lt;&gt;"f"),DZ29*2.4/$H29,DZ29),IF($F29&lt;OFFSET($BN$9,$DT29+2,0,1,1),IF(AND($H29&gt;2.4,Z29&lt;&gt;"e",Z29&lt;&gt;"f"),DZ29*2.4/$H29,DZ29),IF($F29&lt;OFFSET($BN$9,$DT29+3,0,1,1),IF(AND($H29&gt;2.4,Z29&lt;&gt;"e",Z29&lt;&gt;"f"),DZ29*2.4/$H29,DZ29),0)))))*COS(RADIANS($G29)))</f>
        <v>0</v>
      </c>
      <c r="DW29" s="188">
        <f ca="1">IF(F29&lt;OFFSET($BM$9,DT29-1,0,1,1),0,IF(F29&lt;OFFSET($BN$9,DT29-1,0,1,1),((F29-OFFSET($BM$9,DT29-1,0,1,1))*OFFSET($CI$9,DT29-1,0,1,1))+OFFSET($BP$9,DT29-1,CQ29,1,1),IF(F29&lt;OFFSET($BN$9,DT29+0,0,1,1),((F29-OFFSET($BM$9,DT29+0,0,1,1))*OFFSET($CI$9,DT29+0,0,1,1))+OFFSET($BP$9,DT29+0,CQ29,1,1),IF(F29&lt;OFFSET($BN$9,DT29+1,0,1,1),((F29-OFFSET($BM$9,DT29+1,0,1,1))*OFFSET($CI$9,DT29+1,0,1,1))+OFFSET($BP$9,DT29+1,CQ29,1,1),IF(F29&lt;OFFSET($BN$9,DT29+2,0,1,1),((F29-OFFSET($BM$9,DT29+2,0,1,1))*OFFSET($CI$9,DT29+2,0,1,1))+OFFSET($BP$9,DT29+2,CQ29,1,1),IF(F29&lt;OFFSET($BN$9,DT29+3,0,1,1),((F29-OFFSET($BM$9,DT29+3,0,1,1))*OFFSET($CI$9,DT29+3,0,1,1))+OFFSET($BP$9,DT29+3,CQ29,1,1),0))))))</f>
        <v>0</v>
      </c>
      <c r="DX29" s="51">
        <f ca="1">IF($F29&lt;OFFSET($BM$9,$DT29-1,0,1,1),0,IF($F29&lt;OFFSET($BN$9,$DT29-1,0,1,1),IF(AND($H29&gt;2.4,Z29&lt;&gt;"e",Z29&lt;&gt;"f"),EB29*2.4/$H29,EB29),IF($F29&lt;OFFSET($BN$9,$DT29+0,0,1,1),IF(AND($H29&gt;2.4,Z29&lt;&gt;"e",Z29&lt;&gt;"f"),EB29*2.4/$H29,EB29),IF($F29&lt;OFFSET($BN$9,$DT29+1,0,1,1),IF(AND($H29&gt;2.4,Z29&lt;&gt;"e",Z29&lt;&gt;"f"),EB29*2.4/$H29,EB29),IF($F29&lt;OFFSET($BN$9,$DT29+2,0,1,1),IF(AND($H29&gt;2.4,Z29&lt;&gt;"e",Z29&lt;&gt;"f"),EB29*2.4/$H29,EB29),IF($F29&lt;OFFSET($BN$9,$DT29+3,0,1,1),IF(AND($H29&gt;2.4,Z29&lt;&gt;"e",Z29&lt;&gt;"f"),EB29*2.4/$H29,EB29),0)))))*COS(RADIANS($G29)))</f>
        <v>0</v>
      </c>
      <c r="DY29" s="188"/>
      <c r="DZ29" s="188">
        <f ca="1">IF(DU29&gt;$CR29,$CR29,DU29)</f>
        <v>0</v>
      </c>
      <c r="EA29" s="188"/>
      <c r="EB29" s="188">
        <f ca="1">IF(DW29&gt;$CR29,$CR29,DW29)</f>
        <v>0</v>
      </c>
      <c r="EC29" s="435">
        <f ca="1">IF(DV29&gt;$CR29,$CR29,DV29)</f>
        <v>0</v>
      </c>
      <c r="ED29" s="435">
        <f ca="1">EC29*F29</f>
        <v>0</v>
      </c>
      <c r="EE29" s="436">
        <f ca="1">IF(DX29&gt;$CR29,$CR29,DX29)</f>
        <v>0</v>
      </c>
      <c r="EF29" s="437">
        <f ca="1">EE29*F29</f>
        <v>0</v>
      </c>
      <c r="EG29" s="613" t="str">
        <f>IF(D29=BG$12,BG$12,"")</f>
        <v/>
      </c>
      <c r="EH29" s="614" t="str">
        <f>IF(D29=BG$13,BG$13,"")</f>
        <v/>
      </c>
      <c r="EI29" s="611">
        <f>IF(EG29=BG$12,M29,0)</f>
        <v>0</v>
      </c>
      <c r="EJ29" s="451">
        <f>IF(EG29=BG$12,O29,0)</f>
        <v>0</v>
      </c>
      <c r="EK29" s="451">
        <f>IF(EH29=BG$13,M29,0)</f>
        <v>0</v>
      </c>
      <c r="EL29" s="612">
        <f>IF(EH29=BG$13,O29,0)</f>
        <v>0</v>
      </c>
      <c r="EM29" s="426" t="str">
        <f ca="1">IF(AND(Z29&lt;&gt;"t",Z29&lt;&gt;"f"),"",IF(AND(EN29=$BH$13,K29=$BH$12),"NotOpt",IF(K29&lt;&gt;EN29,"Error","")))</f>
        <v/>
      </c>
      <c r="EN29" s="491" t="str">
        <f>IF(AND($BH$28=1,$BG$28=1),$BH$13,$BH$12)</f>
        <v>120 BU's</v>
      </c>
      <c r="EO29" s="426" t="str">
        <f>K29</f>
        <v xml:space="preserve"> </v>
      </c>
      <c r="EP29" s="497">
        <v>1</v>
      </c>
      <c r="EQ29" s="430" t="str">
        <f ca="1">IF(EP29=1," ",OFFSET(BF$15,EP29-2,0,1,1))</f>
        <v xml:space="preserve"> </v>
      </c>
      <c r="ER29" s="439" t="str">
        <f ca="1">IF(H29=0," ",H29)</f>
        <v xml:space="preserve"> </v>
      </c>
      <c r="ES29" s="440" t="str">
        <f ca="1">IF(ER29&lt;&gt;" ",IF(ER29&lt;&gt;ER$7,"Changed",""),"")</f>
        <v/>
      </c>
      <c r="ET29" s="440">
        <f ca="1">IF(ER29&lt;&gt;" ",IF(ER29&lt;&gt;ER$7,1,0),0)</f>
        <v>0</v>
      </c>
      <c r="EU29" s="957" t="str">
        <f ca="1">IF(I29=" "," ",IF(F29&lt;OFFSET($BM$9,CL29-1,0,1,1),1,""))</f>
        <v xml:space="preserve"> </v>
      </c>
      <c r="EW29" s="427"/>
    </row>
    <row r="30" spans="2:153" ht="17.100000000000001" customHeight="1" thickBot="1">
      <c r="B30" s="689" t="s">
        <v>246</v>
      </c>
      <c r="C30" s="684" t="str">
        <f>IF(OR(F30=0,I30="",I30=" ")," ",$V30)</f>
        <v xml:space="preserve"> </v>
      </c>
      <c r="D30" s="1033"/>
      <c r="E30" s="1034" t="s">
        <v>8</v>
      </c>
      <c r="F30" s="202"/>
      <c r="G30" s="1416"/>
      <c r="H30" s="199" t="str">
        <f ca="1">IF(OR(F30=0,Z30="E",Z30="f")," ",'Project Demand'!E$35)</f>
        <v xml:space="preserve"> </v>
      </c>
      <c r="I30" s="631" t="str">
        <f>IF($I$6&lt;&gt;$BG$8," ",AB30)</f>
        <v xml:space="preserve"> </v>
      </c>
      <c r="J30" s="44" t="str">
        <f ca="1">IF(OR(I30=" ",I30="")," ",OFFSET($BO$9,CL30-1,0-4,1,1))</f>
        <v xml:space="preserve"> </v>
      </c>
      <c r="K30" s="55" t="str">
        <f>IF(OR(I30=" ",I30="")," ",IF(OR(Z30="e",Z30="h"),"SD",BG$24))</f>
        <v xml:space="preserve"> </v>
      </c>
      <c r="L30" s="49">
        <f ca="1">CW30</f>
        <v>0</v>
      </c>
      <c r="M30" s="49">
        <f ca="1">CY30</f>
        <v>0</v>
      </c>
      <c r="N30" s="50">
        <f t="shared" ca="1" si="18"/>
        <v>0</v>
      </c>
      <c r="O30" s="126">
        <f t="shared" ca="1" si="18"/>
        <v>0</v>
      </c>
      <c r="P30" s="140"/>
      <c r="Q30" s="752" t="str">
        <f ca="1">IF(AND(OR(Z30="t",Z30="f"),K30=$BH$11),"No Floor!  Change Floor Type",IF(OR(I30=" ",I30="")," ",IF(F30&lt;OFFSET($BM$9,CL30-1,0,1,1),"check L(m)",DE30&amp;IF(AND(DP30&gt;=CY30,DR30&gt;=DB30),IF(AND(ED30&gt;=DP30,EF30&gt;=DR30),CONCATENATE(DS30," will provide same result"),CONCATENATE(CO30," will provide same result")),IF((DP30&gt;=CY30),CONCATENATE(CO30," provides same result in WIND"),IF((DR30&gt;=DB30),CONCATENATE(CO30," provides same result in EQ"),""))))))&amp;IF(ISERROR(FIND("pile",I30,1)),"",IF(INT(F30)&lt;&gt;F30,"Pile!  Use Whole Numbers Only",""))</f>
        <v xml:space="preserve"> </v>
      </c>
      <c r="U30" s="1377"/>
      <c r="V30" s="52" t="str">
        <f ca="1">IF(AND(B$5=$BF$9,OR(I30=BH$16,I30=BH$17))," ",IF(ISNUMBER(B$26),(CONCATENATE(B$26,".",W30)),(CONCATENATE(B$26,W30))))</f>
        <v>D0</v>
      </c>
      <c r="W30" s="9">
        <f ca="1">W29+X30</f>
        <v>0</v>
      </c>
      <c r="X30" s="9">
        <f>IF(AND(B$5=$BF$9,OR($I30=$BH$16,$I30=$BH$17,$I30=" ",$I30="",$F30=0)),0,IF(OR($I30=" ",$I30="",$F30=0),0,1))</f>
        <v>0</v>
      </c>
      <c r="Y30" s="896"/>
      <c r="Z30" s="52" t="str">
        <f ca="1">IF(I30=" "," ",OFFSET($BM$9,$CL30-1,8,1,1))</f>
        <v xml:space="preserve"> </v>
      </c>
      <c r="AA30" s="51" t="str">
        <f>IF(G30&gt;=45,"WA","")</f>
        <v/>
      </c>
      <c r="AB30" s="1364" t="str">
        <f>IF(F30&lt;&gt;"",IF(OR(D30=$BG$12,D30=$BG$13),IF(E30&lt;&gt;$BG$17,$BF$12,$BF$13),IF(E30&lt;&gt;$BG$17,$BF$12,$BF$13))," ")</f>
        <v xml:space="preserve"> </v>
      </c>
      <c r="AC30" s="1"/>
      <c r="AJ30" s="2230"/>
      <c r="AK30" s="2779"/>
      <c r="AL30" s="2784"/>
      <c r="AM30" s="11">
        <f>'Regular and QuickBrace Systems'!F45</f>
        <v>0.8</v>
      </c>
      <c r="AN30" s="1336">
        <f>'Regular and QuickBrace Systems'!G45</f>
        <v>135</v>
      </c>
      <c r="AO30" s="26">
        <f>'Regular and QuickBrace Systems'!H45</f>
        <v>125</v>
      </c>
      <c r="AP30" s="1595"/>
      <c r="AQ30" s="2663"/>
      <c r="AR30" s="2664"/>
      <c r="AS30" s="2031"/>
      <c r="AT30" s="1339"/>
      <c r="AU30" s="2090"/>
      <c r="AW30" s="1569" t="str">
        <f>'Regular and QuickBrace Systems'!O45</f>
        <v>Yes</v>
      </c>
      <c r="AX30" s="442" t="str">
        <f>'Regular and QuickBrace Systems'!Q45</f>
        <v>Yes</v>
      </c>
      <c r="BD30" s="2648"/>
      <c r="BF30" s="599" t="str">
        <f>'Custom Elements'!C14</f>
        <v>Custom6</v>
      </c>
      <c r="BI30" s="759"/>
      <c r="BJ30" s="897">
        <f t="shared" si="3"/>
        <v>22</v>
      </c>
      <c r="BK30" s="769" t="str">
        <f t="shared" si="4"/>
        <v xml:space="preserve">  </v>
      </c>
      <c r="BL30" s="771" t="str">
        <f t="shared" si="5"/>
        <v>Custom19</v>
      </c>
      <c r="BM30" s="455">
        <f t="shared" si="6"/>
        <v>9.9999999999999996E-76</v>
      </c>
      <c r="BN30" s="455">
        <v>999</v>
      </c>
      <c r="BO30" s="455">
        <f t="shared" si="7"/>
        <v>0</v>
      </c>
      <c r="BP30" s="925">
        <f t="shared" si="8"/>
        <v>0</v>
      </c>
      <c r="BR30" s="764"/>
      <c r="BS30" s="455"/>
      <c r="BT30" s="455" t="str">
        <f t="shared" si="9"/>
        <v>B</v>
      </c>
      <c r="BU30" s="925" t="str">
        <f t="shared" si="10"/>
        <v>T</v>
      </c>
      <c r="BV30" s="483" t="str">
        <f t="shared" si="11"/>
        <v>Custom19</v>
      </c>
      <c r="BW30" s="910">
        <f t="shared" si="16"/>
        <v>22</v>
      </c>
      <c r="BX30" s="925" t="str">
        <f t="shared" si="14"/>
        <v>Single</v>
      </c>
      <c r="CG30" s="51" t="s">
        <v>8</v>
      </c>
      <c r="CH30" s="764">
        <f t="shared" si="12"/>
        <v>0</v>
      </c>
      <c r="CI30" s="925">
        <f t="shared" si="13"/>
        <v>0</v>
      </c>
      <c r="CJ30" s="759"/>
      <c r="CK30" s="188"/>
      <c r="CL30" s="979">
        <f>VLOOKUP(I30,Prodlink,2,0)</f>
        <v>0</v>
      </c>
      <c r="CN30" s="497">
        <f ca="1">VLOOKUP(CO30,Prodlink,2,0)</f>
        <v>0</v>
      </c>
      <c r="CO30" s="497">
        <f ca="1">OFFSET($CH$9,CL30-1,-15,1,1)</f>
        <v>0</v>
      </c>
      <c r="CQ30" s="51">
        <v>0</v>
      </c>
      <c r="CR30" s="51">
        <f>IF(K30=$BH$12,$BH$23,IF(K30=$BH$13,$BH$24,10000))</f>
        <v>10000</v>
      </c>
      <c r="CS30" s="51">
        <f ca="1">IF(F30&lt;OFFSET($BM$9,CL30-1,0,1,1),0,IF(F30&lt;OFFSET($BN$9,CL30-1,0,1,1),((F30-OFFSET($BM$9,CL30-1,0,1,1))*OFFSET($CH$9,CL30-1,0,1,1))+OFFSET($BO$9,CL30-1,CQ30,1,1),IF(F30&lt;OFFSET($BN$9,CL30+0,0,1,1),((F30-OFFSET($BM$9,CL30+0,0,1,1))*OFFSET($CH$9,CL30+0,0,1,1))+OFFSET($BO$9,CL30+0,CQ30,1,1),IF(F30&lt;OFFSET($BN$9,CL30+1,0,1,1),((F30-OFFSET($BM$9,CL30+1,0,1,1))*OFFSET($CH$9,CL30+1,0,1,1))+OFFSET($BO$9,CL30+1,CQ30,1,1),IF(F30&lt;OFFSET($BN$9,CL30+2,0,1,1),((F30-OFFSET($BM$9,CL30+2,0,1,1))*OFFSET($CH$9,CL30+2,0,1,1))+OFFSET($BO$9,CL30+2,CQ30,1,1),IF(F30&lt;OFFSET($BN$9,CL30+3,0,1,1),((F30-OFFSET($BM$9,CL30+3,0,1,1))*OFFSET($CH$9,CL30+3,0,1,1))+OFFSET($BO$9,CL30+3,CQ30,1,1),0))))))</f>
        <v>0</v>
      </c>
      <c r="CT30" s="51">
        <f ca="1">IF($F30&lt;OFFSET($BM$9,$CL30-1,0,1,1),0,IF($F30&lt;OFFSET($BN$9,$CL30-1,0,1,1),IF(AND($H30&gt;2.4,Z30&lt;&gt;"e",Z30&lt;&gt;"f"),CX30*2.4/$H30,CX30),IF($F30&lt;OFFSET($BN$9,$CL30+0,0,1,1),IF(AND($H30&gt;2.4,Z30&lt;&gt;"e",Z30&lt;&gt;"f"),CX30*2.4/$H30,CX30),IF($F30&lt;OFFSET($BN$9,$CL30+1,0,1,1),IF(AND($H30&gt;2.4,Z30&lt;&gt;"e",Z30&lt;&gt;"f"),CX30*2.4/$H30,CX30),IF($F30&lt;OFFSET($BN$9,CL30+2,0,1,1),IF(AND($H30&gt;2.4,Z30&lt;&gt;"e",Z30&lt;&gt;"f"),CX30*2.4/$H30,CX30),IF($F30&lt;OFFSET($BN$9,CL30+3,0,1,1),IF(AND($H30&gt;2.4,Z30&lt;&gt;"e",Z30&lt;&gt;"f"),CX30*2.4/$H30,CX30),0)))))*COS(RADIANS($G30)))</f>
        <v>0</v>
      </c>
      <c r="CU30" s="51">
        <f ca="1">IF(F30&lt;OFFSET($BM$9,CL30-1,0,1,1),0,IF(F30&lt;OFFSET($BN$9,CL30-1,0,1,1),((F30-OFFSET($BM$9,CL30-1,0,1,1))*OFFSET($CI$9,CL30-1,0,1,1))+OFFSET($BP$9,CL30-1,CQ30,1,1),IF(F30&lt;OFFSET($BN$9,CL30+0,0,1,1),((F30-OFFSET($BM$9,CL30+0,0,1,1))*OFFSET($CI$9,CL30+0,0,1,1))+OFFSET($BP$9,CL30+0,CQ30,1,1),IF(F30&lt;OFFSET($BN$9,CL30+1,0,1,1),((F30-OFFSET($BM$9,CL30+1,0,1,1))*OFFSET($CI$9,CL30+1,0,1,1))+OFFSET($BP$9,CL30+1,CQ30,1,1),IF(F30&lt;OFFSET($BN$9,CL30+2,0,1,1),((F30-OFFSET($BM$9,CL30+2,0,1,1))*OFFSET($CI$9,CL30+2,0,1,1))+OFFSET($BP$9,CL30+2,CQ30,1,1),IF(F30&lt;OFFSET($BN$9,CL30+3,0,1,1),((F30-OFFSET($BM$9,CL30+3,0,1,1))*OFFSET($CI$9,CL30+3,0,1,1))+OFFSET($BP$9,CL30+3,CQ30,1,1),0))))))</f>
        <v>0</v>
      </c>
      <c r="CV30" s="51">
        <f ca="1">IF($F30&lt;OFFSET($BM$9,$CL30-1,0,1,1),0,IF($F30&lt;OFFSET($BN$9,$CL30-1,0,1,1),IF(AND($H30&gt;2.4,Z30&lt;&gt;"e",Z30&lt;&gt;"f"),CZ30*2.4/$H30,CZ30),IF($F30&lt;OFFSET($BN$9,$CL30+0,0,1,1),IF(AND($H30&gt;2.4,Z30&lt;&gt;"e",Z30&lt;&gt;"f"),CZ30*2.4/$H30,CZ30),IF($F30&lt;OFFSET($BN$9,$CL30+1,0,1,1),IF(AND($H30&gt;2.4,Z30&lt;&gt;"e",Z30&lt;&gt;"f"),CZ30*2.4/$H30,CZ30),IF($F30&lt;OFFSET($BN$9,$CL30+2,0,1,1),IF(AND($H30&gt;2.4,Z30&lt;&gt;"e",Z30&lt;&gt;"f"),CZ30*2.4/$H30,CZ30),IF($F30&lt;OFFSET($BN$9,$CL30+3,0,1,1),IF(AND($H30&gt;2.4,Z30&lt;&gt;"e",Z30&lt;&gt;"f"),CZ30*2.4/$H30,CZ30),0)))))*COS(RADIANS($G30)))</f>
        <v>0</v>
      </c>
      <c r="CW30" s="51">
        <f ca="1">IF(CT30&gt;CR30,CR30,CT30)</f>
        <v>0</v>
      </c>
      <c r="CX30" s="51">
        <f ca="1">IF(CS30&gt;$CR30,$CR30,CS30)</f>
        <v>0</v>
      </c>
      <c r="CY30" s="51">
        <f ca="1">CW30*F30</f>
        <v>0</v>
      </c>
      <c r="CZ30" s="51">
        <f ca="1">IF($CU30&gt;$CR30,$CR30,$CU30)</f>
        <v>0</v>
      </c>
      <c r="DA30" s="51">
        <f ca="1">IF(CV30&gt;CR30,CR30,CV30)</f>
        <v>0</v>
      </c>
      <c r="DB30" s="984">
        <f ca="1">DA30*F30</f>
        <v>0</v>
      </c>
      <c r="DC30" s="993">
        <v>1</v>
      </c>
      <c r="DD30" s="758" t="str">
        <f>IF(OR(D30=BG$12,D30=BG$13),"External",IF(D30=BG$14,"Internal"," "))</f>
        <v xml:space="preserve"> </v>
      </c>
      <c r="DE30" s="51" t="str">
        <f t="shared" ca="1" si="1"/>
        <v/>
      </c>
      <c r="DF30" s="52" t="str">
        <f t="shared" ca="1" si="2"/>
        <v xml:space="preserve"> </v>
      </c>
      <c r="DG30" s="51">
        <f ca="1">IF(F30&lt;OFFSET($BM$9,CN30-1,0,1,1),0,IF(F30&lt;OFFSET($BN$9,CN30-1,0,1,1),((F30-OFFSET($BM$9,CN30-1,0,1,1))*OFFSET($CH$9,CN30-1,0,1,1))+OFFSET($BO$9,CN30-1,CQ30,1,1),IF(F30&lt;OFFSET($BN$9,CN30+0,0,1,1),((F30-OFFSET($BM$9,CN30+0,0,1,1))*OFFSET($CH$9,CN30+0,0,1,1))+OFFSET($BO$9,CN30+0,CQ30,1,1),IF(F30&lt;OFFSET($BN$9,CN30+1,0,1,1),((F30-OFFSET($BM$9,CN30+1,0,1,1))*OFFSET($CH$9,CN30+1,0,1,1))+OFFSET($BO$9,CN30+1,CQ30,1,1),IF(F30&lt;OFFSET($BN$9,CN30+2,0,1,1),((F30-OFFSET($BM$9,CN30+2,0,1,1))*OFFSET($CH$9,CN30+2,0,1,1))+OFFSET($BO$9,CN30+2,CQ30,1,1),IF(F30&lt;OFFSET($BN$9,CN30+3,0,1,1),((F30-OFFSET($BM$9,CN30+3,0,1,1))*OFFSET($CH$9,CN30+3,0,1,1))+OFFSET($BO$9,CN30+3,CQ30,1,1),0))))))</f>
        <v>0</v>
      </c>
      <c r="DH30" s="51">
        <f ca="1">IF($F30&lt;OFFSET($BM$9,$CN30-1,0,1,1),0,IF($F30&lt;OFFSET($BN$9,$CN30-1,0,1,1),IF(AND($H30&gt;2.4,Z30&lt;&gt;"e",Z30&lt;&gt;"f"),DL30*2.4/$H30,DL30),IF($F30&lt;OFFSET($BN$9,$CN30+0,0,1,1),IF(AND($H30&gt;2.4,Z30&lt;&gt;"e",Z30&lt;&gt;"f"),DL30*2.4/$H30,DL30),IF($F30&lt;OFFSET($BN$9,$CN30+1,0,1,1),IF(AND($H30&gt;2.4,Z30&lt;&gt;"e",Z30&lt;&gt;"f"),DL30*2.4/$H30,DL30),IF($F30&lt;OFFSET($BN$9,$CN30+2,0,1,1),IF(AND($H30&gt;2.4,Z30&lt;&gt;"e",Z30&lt;&gt;"f"),DL30*2.4/$H30,DL30),IF($F30&lt;OFFSET($BN$9,$CN30+3,0,1,1),IF(AND($H30&gt;2.4,Z30&lt;&gt;"e",Z30&lt;&gt;"f"),DL30*2.4/$H30,DL30),0)))))*COS(RADIANS($G30)))</f>
        <v>0</v>
      </c>
      <c r="DI30" s="51">
        <f ca="1">IF(F30&lt;OFFSET($BM$9,CN30-1,0,1,1),0,IF(F30&lt;OFFSET($BN$9,CN30-1,0,1,1),((F30-OFFSET($BM$9,CN30-1,0,1,1))*OFFSET($CI$9,CN30-1,0,1,1))+OFFSET($BP$9,CN30-1,CQ30,1,1),IF(F30&lt;OFFSET($BN$9,CN30+0,0,1,1),((F30-OFFSET($BM$9,CN30+0,0,1,1))*OFFSET($CI$9,CN30+0,0,1,1))+OFFSET($BP$9,CN30+0,CQ30,1,1),IF(F30&lt;OFFSET($BN$9,CN30+1,0,1,1),((F30-OFFSET($BM$9,CN30+1,0,1,1))*OFFSET($CI$9,CN30+1,0,1,1))+OFFSET($BP$9,CN30+1,CQ30,1,1),IF(F30&lt;OFFSET($BN$9,CN30+2,0,1,1),((F30-OFFSET($BM$9,CN30+2,0,1,1))*OFFSET($CI$9,CN30+2,0,1,1))+OFFSET($BP$9,CN30+2,CQ30,1,1),IF(F30&lt;OFFSET($BN$9,CN30+3,0,1,1),((F30-OFFSET($BM$9,CN30+3,0,1,1))*OFFSET($CI$9,CN30+3,0,1,1))+OFFSET($BP$9,CN30+3,CQ30,1,1),0))))))</f>
        <v>0</v>
      </c>
      <c r="DJ30" s="51">
        <f ca="1">IF($F30&lt;OFFSET($BM$9,$CN30-1,0,1,1),0,IF($F30&lt;OFFSET($BN$9,$CN30-1,0,1,1),IF(AND($H30&gt;2.4,Z30&lt;&gt;"e",Z30&lt;&gt;"f"),DN30*2.4/$H30,DN30),IF($F30&lt;OFFSET($BN$9,$CN30+0,0,1,1),IF(AND($H30&gt;2.4,Z30&lt;&gt;"e",Z30&lt;&gt;"f"),DN30*2.4/$H30,DN30),IF($F30&lt;OFFSET($BN$9,$CN30+1,0,1,1),IF(AND($H30&gt;2.4,Z30&lt;&gt;"e",Z30&lt;&gt;"f"),DN30*2.4/$H30,DN30),IF($F30&lt;OFFSET($BN$9,$CN30+2,0,1,1),IF(AND($H30&gt;2.4,Z30&lt;&gt;"e",Z30&lt;&gt;"f"),DN30*2.4/$H30,DN30),IF($F30&lt;OFFSET($BN$9,$CN30+3,0,1,1),IF(AND($H30&gt;2.4,Z30&lt;&gt;"e",Z30&lt;&gt;"f"),DN30*2.4/$H30,DN30),0)))))*COS(RADIANS($G30)))</f>
        <v>0</v>
      </c>
      <c r="DK30" s="51"/>
      <c r="DL30" s="51">
        <f ca="1">IF(DG30&gt;$CR30,$CR30,DG30)</f>
        <v>0</v>
      </c>
      <c r="DM30" s="51"/>
      <c r="DN30" s="51">
        <f ca="1">IF(DI30&gt;$CR30,$CR30,DI30)</f>
        <v>0</v>
      </c>
      <c r="DO30" s="435">
        <f ca="1">IF(DH30&gt;$CR30,$CR30,DH30)</f>
        <v>0</v>
      </c>
      <c r="DP30" s="435">
        <f ca="1">DO30*F30</f>
        <v>0</v>
      </c>
      <c r="DQ30" s="436">
        <f ca="1">IF(DJ30&gt;$CR30,$CR30,DJ30)</f>
        <v>0</v>
      </c>
      <c r="DR30" s="437">
        <f ca="1">DQ30*F30</f>
        <v>0</v>
      </c>
      <c r="DS30" s="426">
        <f ca="1">OFFSET($CH$9,CL30-1,-15,1,1)</f>
        <v>0</v>
      </c>
      <c r="DT30" s="451">
        <f ca="1">VLOOKUP(DS30,Prodlink,2,0)</f>
        <v>0</v>
      </c>
      <c r="DU30" s="188">
        <f ca="1">IF(F30&lt;OFFSET($BM$9,DT30-1,0,1,1),0,IF(F30&lt;OFFSET($BN$9,DT30-1,0,1,1),((F30-OFFSET($BM$9,DT30-1,0,1,1))*OFFSET($CH$9,DT30-1,0,1,1))+OFFSET($BO$9,DT30-1,CQ30,1,1),IF(F30&lt;OFFSET($BN$9,DT30+0,0,1,1),((F30-OFFSET($BM$9,DT30+0,0,1,1))*OFFSET($CH$9,DT30+0,0,1,1))+OFFSET($BO$9,DT30+0,CQ30,1,1),IF(F30&lt;OFFSET($BN$9,DT30+1,0,1,1),((F30-OFFSET($BM$9,DT30+1,0,1,1))*OFFSET($CH$9,DT30+1,0,1,1))+OFFSET($BO$9,DT30+1,CQ30,1,1),IF(F30&lt;OFFSET($BN$9,DT30+2,0,1,1),((F30-OFFSET($BM$9,DT30+2,0,1,1))*OFFSET($CH$9,DT30+2,0,1,1))+OFFSET($BO$9,DT30+2,CQ30,1,1),IF(F30&lt;OFFSET($BN$9,DT30+3,0,1,1),((F30-OFFSET($BM$9,DT30+3,0,1,1))*OFFSET($CH$9,DT30+3,0,1,1))+OFFSET($BO$9,DT30+3,CQ30,1,1),0))))))</f>
        <v>0</v>
      </c>
      <c r="DV30" s="51">
        <f ca="1">IF($F30&lt;OFFSET($BM$9,$DT30-1,0,1,1),0,IF($F30&lt;OFFSET($BN$9,$DT30-1,0,1,1),IF(AND($H30&gt;2.4,Z30&lt;&gt;"e",Z30&lt;&gt;"f"),DZ30*2.4/$H30,DZ30),IF($F30&lt;OFFSET($BN$9,$DT30+0,0,1,1),IF(AND($H30&gt;2.4,Z30&lt;&gt;"e",Z30&lt;&gt;"f"),DZ30*2.4/$H30,DZ30),IF($F30&lt;OFFSET($BN$9,$DT30+1,0,1,1),IF(AND($H30&gt;2.4,Z30&lt;&gt;"e",Z30&lt;&gt;"f"),DZ30*2.4/$H30,DZ30),IF($F30&lt;OFFSET($BN$9,$DT30+2,0,1,1),IF(AND($H30&gt;2.4,Z30&lt;&gt;"e",Z30&lt;&gt;"f"),DZ30*2.4/$H30,DZ30),IF($F30&lt;OFFSET($BN$9,$DT30+3,0,1,1),IF(AND($H30&gt;2.4,Z30&lt;&gt;"e",Z30&lt;&gt;"f"),DZ30*2.4/$H30,DZ30),0)))))*COS(RADIANS($G30)))</f>
        <v>0</v>
      </c>
      <c r="DW30" s="188">
        <f ca="1">IF(F30&lt;OFFSET($BM$9,DT30-1,0,1,1),0,IF(F30&lt;OFFSET($BN$9,DT30-1,0,1,1),((F30-OFFSET($BM$9,DT30-1,0,1,1))*OFFSET($CI$9,DT30-1,0,1,1))+OFFSET($BP$9,DT30-1,CQ30,1,1),IF(F30&lt;OFFSET($BN$9,DT30+0,0,1,1),((F30-OFFSET($BM$9,DT30+0,0,1,1))*OFFSET($CI$9,DT30+0,0,1,1))+OFFSET($BP$9,DT30+0,CQ30,1,1),IF(F30&lt;OFFSET($BN$9,DT30+1,0,1,1),((F30-OFFSET($BM$9,DT30+1,0,1,1))*OFFSET($CI$9,DT30+1,0,1,1))+OFFSET($BP$9,DT30+1,CQ30,1,1),IF(F30&lt;OFFSET($BN$9,DT30+2,0,1,1),((F30-OFFSET($BM$9,DT30+2,0,1,1))*OFFSET($CI$9,DT30+2,0,1,1))+OFFSET($BP$9,DT30+2,CQ30,1,1),IF(F30&lt;OFFSET($BN$9,DT30+3,0,1,1),((F30-OFFSET($BM$9,DT30+3,0,1,1))*OFFSET($CI$9,DT30+3,0,1,1))+OFFSET($BP$9,DT30+3,CQ30,1,1),0))))))</f>
        <v>0</v>
      </c>
      <c r="DX30" s="51">
        <f ca="1">IF($F30&lt;OFFSET($BM$9,$DT30-1,0,1,1),0,IF($F30&lt;OFFSET($BN$9,$DT30-1,0,1,1),IF(AND($H30&gt;2.4,Z30&lt;&gt;"e",Z30&lt;&gt;"f"),EB30*2.4/$H30,EB30),IF($F30&lt;OFFSET($BN$9,$DT30+0,0,1,1),IF(AND($H30&gt;2.4,Z30&lt;&gt;"e",Z30&lt;&gt;"f"),EB30*2.4/$H30,EB30),IF($F30&lt;OFFSET($BN$9,$DT30+1,0,1,1),IF(AND($H30&gt;2.4,Z30&lt;&gt;"e",Z30&lt;&gt;"f"),EB30*2.4/$H30,EB30),IF($F30&lt;OFFSET($BN$9,$DT30+2,0,1,1),IF(AND($H30&gt;2.4,Z30&lt;&gt;"e",Z30&lt;&gt;"f"),EB30*2.4/$H30,EB30),IF($F30&lt;OFFSET($BN$9,$DT30+3,0,1,1),IF(AND($H30&gt;2.4,Z30&lt;&gt;"e",Z30&lt;&gt;"f"),EB30*2.4/$H30,EB30),0)))))*COS(RADIANS($G30)))</f>
        <v>0</v>
      </c>
      <c r="DY30" s="188"/>
      <c r="DZ30" s="188">
        <f ca="1">IF(DU30&gt;$CR30,$CR30,DU30)</f>
        <v>0</v>
      </c>
      <c r="EA30" s="188"/>
      <c r="EB30" s="188">
        <f ca="1">IF(DW30&gt;$CR30,$CR30,DW30)</f>
        <v>0</v>
      </c>
      <c r="EC30" s="435">
        <f ca="1">IF(DV30&gt;$CR30,$CR30,DV30)</f>
        <v>0</v>
      </c>
      <c r="ED30" s="435">
        <f ca="1">EC30*F30</f>
        <v>0</v>
      </c>
      <c r="EE30" s="436">
        <f ca="1">IF(DX30&gt;$CR30,$CR30,DX30)</f>
        <v>0</v>
      </c>
      <c r="EF30" s="437">
        <f ca="1">EE30*F30</f>
        <v>0</v>
      </c>
      <c r="EG30" s="613" t="str">
        <f>IF(D30=BG$12,BG$12,"")</f>
        <v/>
      </c>
      <c r="EH30" s="614" t="str">
        <f>IF(D30=BG$13,BG$13,"")</f>
        <v/>
      </c>
      <c r="EI30" s="611">
        <f>IF(EG30=BG$12,M30,0)</f>
        <v>0</v>
      </c>
      <c r="EJ30" s="451">
        <f>IF(EG30=BG$12,O30,0)</f>
        <v>0</v>
      </c>
      <c r="EK30" s="451">
        <f>IF(EH30=BG$13,M30,0)</f>
        <v>0</v>
      </c>
      <c r="EL30" s="612">
        <f>IF(EH30=BG$13,O30,0)</f>
        <v>0</v>
      </c>
      <c r="EM30" s="426" t="str">
        <f ca="1">IF(AND(Z30&lt;&gt;"t",Z30&lt;&gt;"f"),"",IF(AND(EN30=$BH$13,K30=$BH$12),"NotOpt",IF(K30&lt;&gt;EN30,"Error","")))</f>
        <v/>
      </c>
      <c r="EN30" s="491" t="str">
        <f>IF(AND($BH$28=1,$BG$28=1),$BH$13,$BH$12)</f>
        <v>120 BU's</v>
      </c>
      <c r="EO30" s="426" t="str">
        <f>K30</f>
        <v xml:space="preserve"> </v>
      </c>
      <c r="EP30" s="497">
        <v>1</v>
      </c>
      <c r="EQ30" s="430" t="str">
        <f ca="1">IF(EP30=1," ",OFFSET(BF$15,EP30-2,0,1,1))</f>
        <v xml:space="preserve"> </v>
      </c>
      <c r="ER30" s="439" t="str">
        <f ca="1">IF(H30=0," ",H30)</f>
        <v xml:space="preserve"> </v>
      </c>
      <c r="ES30" s="440" t="str">
        <f ca="1">IF(ER30&lt;&gt;" ",IF(ER30&lt;&gt;ER$7,"Changed",""),"")</f>
        <v/>
      </c>
      <c r="ET30" s="440">
        <f ca="1">IF(ER30&lt;&gt;" ",IF(ER30&lt;&gt;ER$7,1,0),0)</f>
        <v>0</v>
      </c>
      <c r="EU30" s="957" t="str">
        <f ca="1">IF(I30=" "," ",IF(F30&lt;OFFSET($BM$9,CL30-1,0,1,1),1,""))</f>
        <v xml:space="preserve"> </v>
      </c>
      <c r="EW30" s="427"/>
    </row>
    <row r="31" spans="2:153" ht="17.100000000000001" customHeight="1" thickBot="1">
      <c r="B31" s="2686" t="s">
        <v>8</v>
      </c>
      <c r="C31" s="2687"/>
      <c r="D31" s="1461" t="s">
        <v>8</v>
      </c>
      <c r="E31" s="659"/>
      <c r="F31" s="659"/>
      <c r="G31" s="659"/>
      <c r="H31" s="659"/>
      <c r="I31" s="1462"/>
      <c r="J31" s="1365" t="str">
        <f ca="1">(CONCATENATE(B26,$BE$54))</f>
        <v>D  Line:  Min. Requirement=</v>
      </c>
      <c r="K31" s="23"/>
      <c r="L31" s="1019">
        <f ca="1">L$5</f>
        <v>0</v>
      </c>
      <c r="M31" s="48">
        <f ca="1">IF(B26=B20,SUM(M26:M30)+M25,SUM(M26:M30))</f>
        <v>0</v>
      </c>
      <c r="N31" s="1019">
        <f ca="1">N$5</f>
        <v>0</v>
      </c>
      <c r="O31" s="125">
        <f ca="1">IF(B26=B20,SUM(O26:O30)+O25,SUM(O26:O30))</f>
        <v>0</v>
      </c>
      <c r="P31" s="139"/>
      <c r="Q31" s="42" t="str">
        <f ca="1">IF(B26=B32,"",IF(AND(M31&gt;0,L31=L$5,OR(M31&lt;$M$105,M31&lt;$BF$3)),"Achieved &lt; Min Req per Line",IF(AND(O31&gt;0,N31=N$5,OR(O31&lt;$O$105,O31&lt;$BF$3)),"Achieved &lt; Min Req per Line",IF(AND(M31&gt;0,L31&gt;M31),"More Required on this line",IF(AND(O31&gt;0,N31&gt;O31),"More Required on this line",IF(AND(L31&gt;0,L31&lt;$BF$3),$BE$59,IF(AND(N31&gt;0,N31&lt;$BF$3),$BE$59,"")))))))</f>
        <v/>
      </c>
      <c r="R31" s="52"/>
      <c r="S31" s="52"/>
      <c r="T31" s="52"/>
      <c r="U31" s="1378"/>
      <c r="V31" s="52"/>
      <c r="W31" s="999"/>
      <c r="X31" s="999"/>
      <c r="Y31" s="896"/>
      <c r="Z31" s="52"/>
      <c r="AA31" s="51"/>
      <c r="AB31" s="1364"/>
      <c r="AC31" s="1"/>
      <c r="AJ31" s="2230"/>
      <c r="AK31" s="2779"/>
      <c r="AL31" s="2785"/>
      <c r="AM31" s="1177">
        <f>'Regular and QuickBrace Systems'!F46</f>
        <v>1.2</v>
      </c>
      <c r="AN31" s="1274">
        <f>'Regular and QuickBrace Systems'!G46</f>
        <v>150</v>
      </c>
      <c r="AO31" s="1275">
        <f>'Regular and QuickBrace Systems'!H46</f>
        <v>135</v>
      </c>
      <c r="AP31" s="1277"/>
      <c r="AQ31" s="2665"/>
      <c r="AR31" s="2666"/>
      <c r="AS31" s="2032"/>
      <c r="AT31" s="1339"/>
      <c r="AU31" s="2132"/>
      <c r="AW31" s="1570" t="str">
        <f>'Regular and QuickBrace Systems'!O46</f>
        <v>Yes</v>
      </c>
      <c r="AX31" s="1574" t="str">
        <f>'Regular and QuickBrace Systems'!Q46</f>
        <v>Yes</v>
      </c>
      <c r="BD31" s="2648"/>
      <c r="BF31" s="599" t="str">
        <f>'Custom Elements'!C15</f>
        <v>Custom7</v>
      </c>
      <c r="BG31" s="430" t="s">
        <v>8</v>
      </c>
      <c r="BI31" s="759"/>
      <c r="BJ31" s="897">
        <f t="shared" si="3"/>
        <v>23</v>
      </c>
      <c r="BK31" s="775" t="str">
        <f t="shared" si="4"/>
        <v xml:space="preserve"> </v>
      </c>
      <c r="BL31" s="1180" t="str">
        <f t="shared" si="5"/>
        <v>Custom20</v>
      </c>
      <c r="BM31" s="455">
        <f t="shared" si="6"/>
        <v>9.9999999999999996E-76</v>
      </c>
      <c r="BN31" s="455">
        <v>999</v>
      </c>
      <c r="BO31" s="455">
        <f t="shared" si="7"/>
        <v>0</v>
      </c>
      <c r="BP31" s="925">
        <f t="shared" si="8"/>
        <v>0</v>
      </c>
      <c r="BR31" s="764"/>
      <c r="BS31" s="455"/>
      <c r="BT31" s="455" t="str">
        <f t="shared" si="9"/>
        <v>B</v>
      </c>
      <c r="BU31" s="925" t="str">
        <f t="shared" si="10"/>
        <v>T</v>
      </c>
      <c r="BV31" s="483" t="str">
        <f t="shared" si="11"/>
        <v>Custom20</v>
      </c>
      <c r="BW31" s="910">
        <f t="shared" si="16"/>
        <v>23</v>
      </c>
      <c r="BX31" s="925" t="str">
        <f t="shared" si="14"/>
        <v>Single</v>
      </c>
      <c r="CG31" s="51" t="s">
        <v>8</v>
      </c>
      <c r="CH31" s="908">
        <f>IF(BN31=999,0,(#REF!-BO31)/(BN31-BM31))</f>
        <v>0</v>
      </c>
      <c r="CI31" s="926">
        <f>IF(BN31=999,0,(#REF!-BP31)/(BN31-BM31))</f>
        <v>0</v>
      </c>
      <c r="CJ31" s="759"/>
      <c r="CK31" s="188"/>
      <c r="CL31" s="979"/>
      <c r="CN31" s="497"/>
      <c r="CO31" s="497" t="s">
        <v>8</v>
      </c>
      <c r="CQ31" s="51" t="s">
        <v>8</v>
      </c>
      <c r="CR31" s="51" t="s">
        <v>8</v>
      </c>
      <c r="CS31" s="51" t="s">
        <v>8</v>
      </c>
      <c r="CT31" s="51" t="s">
        <v>8</v>
      </c>
      <c r="CU31" s="51" t="s">
        <v>8</v>
      </c>
      <c r="CV31" s="51" t="s">
        <v>8</v>
      </c>
      <c r="CW31" s="51" t="s">
        <v>8</v>
      </c>
      <c r="CX31" s="51" t="s">
        <v>8</v>
      </c>
      <c r="CY31" s="51" t="s">
        <v>8</v>
      </c>
      <c r="CZ31" s="51" t="s">
        <v>8</v>
      </c>
      <c r="DA31" s="51" t="s">
        <v>8</v>
      </c>
      <c r="DB31" s="984" t="s">
        <v>8</v>
      </c>
      <c r="DD31" s="758"/>
      <c r="DF31" s="52"/>
      <c r="DG31" s="51"/>
      <c r="DH31" s="51"/>
      <c r="DI31" s="51"/>
      <c r="DJ31" s="51"/>
      <c r="DK31" s="51"/>
      <c r="DL31" s="51" t="s">
        <v>8</v>
      </c>
      <c r="DM31" s="51"/>
      <c r="DN31" s="51" t="s">
        <v>8</v>
      </c>
      <c r="DO31" s="435" t="s">
        <v>8</v>
      </c>
      <c r="DP31" s="435" t="s">
        <v>8</v>
      </c>
      <c r="DQ31" s="868" t="s">
        <v>8</v>
      </c>
      <c r="DR31" s="868" t="s">
        <v>8</v>
      </c>
      <c r="DS31" s="426" t="s">
        <v>8</v>
      </c>
      <c r="DT31" s="451" t="s">
        <v>8</v>
      </c>
      <c r="DU31" s="188" t="s">
        <v>8</v>
      </c>
      <c r="DV31" s="188" t="s">
        <v>8</v>
      </c>
      <c r="DW31" s="188" t="s">
        <v>8</v>
      </c>
      <c r="DX31" s="188" t="s">
        <v>8</v>
      </c>
      <c r="DY31" s="188"/>
      <c r="DZ31" s="188" t="s">
        <v>8</v>
      </c>
      <c r="EA31" s="188"/>
      <c r="EB31" s="188" t="s">
        <v>8</v>
      </c>
      <c r="EC31" s="435" t="s">
        <v>8</v>
      </c>
      <c r="ED31" s="435" t="s">
        <v>8</v>
      </c>
      <c r="EE31" s="868" t="s">
        <v>8</v>
      </c>
      <c r="EF31" s="867" t="s">
        <v>8</v>
      </c>
      <c r="EG31" s="613"/>
      <c r="EH31" s="614"/>
      <c r="EI31" s="613"/>
      <c r="EJ31" s="435"/>
      <c r="EK31" s="451"/>
      <c r="EL31" s="612"/>
      <c r="EN31" s="947"/>
      <c r="ER31" s="441"/>
      <c r="ES31" s="440"/>
      <c r="ET31" s="440"/>
      <c r="EU31" s="957"/>
      <c r="EW31" s="427"/>
    </row>
    <row r="32" spans="2:153" ht="17.100000000000001" customHeight="1" thickBot="1">
      <c r="B32" s="1369" t="str">
        <f ca="1">S32</f>
        <v>E</v>
      </c>
      <c r="C32" s="684" t="str">
        <f>IF(OR(F32=0,I32="",I32=" ")," ",$V32)</f>
        <v xml:space="preserve"> </v>
      </c>
      <c r="D32" s="1033"/>
      <c r="E32" s="1034" t="s">
        <v>8</v>
      </c>
      <c r="F32" s="202"/>
      <c r="G32" s="1416"/>
      <c r="H32" s="199" t="str">
        <f ca="1">IF(OR(F32=0,Z32="E",Z32="f")," ",'Project Demand'!E$35)</f>
        <v xml:space="preserve"> </v>
      </c>
      <c r="I32" s="631" t="str">
        <f>IF($I$6&lt;&gt;$BG$8," ",AB32)</f>
        <v xml:space="preserve"> </v>
      </c>
      <c r="J32" s="43" t="str">
        <f ca="1">IF(OR(I32=" ",I32="")," ",OFFSET($BO$9,CL32-1,0-4,1,1))</f>
        <v xml:space="preserve"> </v>
      </c>
      <c r="K32" s="55" t="str">
        <f>IF(OR(I32=" ",I32="")," ",IF(OR(Z32="e",Z32="h"),"SD",BG$24))</f>
        <v xml:space="preserve"> </v>
      </c>
      <c r="L32" s="49">
        <f ca="1">CW32</f>
        <v>0</v>
      </c>
      <c r="M32" s="49">
        <f ca="1">CY32</f>
        <v>0</v>
      </c>
      <c r="N32" s="50">
        <f t="shared" ref="N32:O36" ca="1" si="19">DA32</f>
        <v>0</v>
      </c>
      <c r="O32" s="126">
        <f t="shared" ca="1" si="19"/>
        <v>0</v>
      </c>
      <c r="P32" s="140"/>
      <c r="Q32" s="752" t="str">
        <f ca="1">IF(AND(OR(Z32="t",Z32="f"),K32=$BH$11),"No Floor!  Change Floor Type",IF(OR(I32=" ",I32="")," ",IF(F32&lt;OFFSET($BM$9,CL32-1,0,1,1),"check L(m)",DE32&amp;IF(AND(DP32&gt;=CY32,DR32&gt;=DB32),IF(AND(ED32&gt;=DP32,EF32&gt;=DR32),CONCATENATE(DS32," will provide same result"),CONCATENATE(CO32," will provide same result")),IF((DP32&gt;=CY32),CONCATENATE(CO32," provides same result in WIND"),IF((DR32&gt;=DB32),CONCATENATE(CO32," provides same result in EQ"),""))))))&amp;IF(ISERROR(FIND("pile",I32,1)),"",IF(INT(F32)&lt;&gt;F32,"Pile!  Use Whole Numbers Only",""))</f>
        <v xml:space="preserve"> </v>
      </c>
      <c r="R32" s="52">
        <f ca="1">IF(T26&lt;&gt;2,(COLUMN(INDIRECT(B26&amp;1))+1),U32)</f>
        <v>5</v>
      </c>
      <c r="S32" s="1372" t="str">
        <f ca="1">SUBSTITUTE(ADDRESS(1,R32,4),"1","")</f>
        <v>E</v>
      </c>
      <c r="T32" s="451">
        <f ca="1">IF(AND(ISTEXT(B32),SUBSTITUTE(SUBSTITUTE(SUBSTITUTE(SUBSTITUTE(SUBSTITUTE(SUBSTITUTE(SUBSTITUTE(SUBSTITUTE(SUBSTITUTE(SUBSTITUTE(SUBSTITUTE(SUBSTITUTE(SUBSTITUTE(SUBSTITUTE(SUBSTITUTE(SUBSTITUTE(SUBSTITUTE(SUBSTITUTE(SUBSTITUTE(SUBSTITUTE(SUBSTITUTE(SUBSTITUTE(SUBSTITUTE(SUBSTITUTE(SUBSTITUTE(SUBSTITUTE(LOWER(B32),"a",),"b",),"c",),"d",),"e",),"f",),"g",),"h",),"i",),"j",),"k",),"l",),"m",),"n",),"o",),"p",),"q",),"r",),"s",),"t",),"u",),"v",),"w",),"x",),"y",),"z",)=""),1,2)</f>
        <v>1</v>
      </c>
      <c r="U32" s="1377">
        <v>5</v>
      </c>
      <c r="V32" s="52" t="str">
        <f ca="1">IF(AND(B$5=$BF$9,OR(I32=BH$16,I32=BH$17))," ",IF(ISNUMBER(B$32),(CONCATENATE(B$32,".",W32)),(CONCATENATE(B$32,W32))))</f>
        <v>E0</v>
      </c>
      <c r="W32" s="9">
        <f ca="1">IF(B26=B32,W30+X32,X32)</f>
        <v>0</v>
      </c>
      <c r="X32" s="9">
        <f>IF(AND(B$5=$BF$9,OR($I32=$BH$16,$I32=$BH$17,$I32=" ",$I32="",$F32=0)),0,IF(OR($I32=" ",$I32="",$F32=0),0,1))</f>
        <v>0</v>
      </c>
      <c r="Y32" s="896">
        <f ca="1">IF(AND(M37&gt;0,B32&lt;&gt;B38),1,0)</f>
        <v>0</v>
      </c>
      <c r="Z32" s="52" t="str">
        <f ca="1">IF(I32=" "," ",OFFSET($BM$9,$CL32-1,8,1,1))</f>
        <v xml:space="preserve"> </v>
      </c>
      <c r="AA32" s="51" t="str">
        <f>IF(G32&gt;=45,"WA","")</f>
        <v/>
      </c>
      <c r="AB32" s="1364" t="str">
        <f>IF(F32&lt;&gt;"",IF(OR(D32=$BG$12,D32=$BG$13),IF(E32&lt;&gt;$BG$17,$BF$12,$BF$13),IF(E32&lt;&gt;$BG$17,$BF$12,$BF$13))," ")</f>
        <v xml:space="preserve"> </v>
      </c>
      <c r="AC32" s="1"/>
      <c r="AJ32" s="2230"/>
      <c r="AK32" s="2779"/>
      <c r="AL32" s="2783" t="str">
        <f>'Regular and QuickBrace Systems'!E47</f>
        <v>EMSH</v>
      </c>
      <c r="AM32" s="1176">
        <f>'Regular and QuickBrace Systems'!F47</f>
        <v>0.4</v>
      </c>
      <c r="AN32" s="1272">
        <f>'Regular and QuickBrace Systems'!G47</f>
        <v>110</v>
      </c>
      <c r="AO32" s="1273">
        <f>'Regular and QuickBrace Systems'!H47</f>
        <v>115</v>
      </c>
      <c r="AP32" s="1594"/>
      <c r="AQ32" s="2661" t="str">
        <f>'Regular and QuickBrace Systems'!I41</f>
        <v>Specialised QuickBrace Pattern</v>
      </c>
      <c r="AR32" s="2662"/>
      <c r="AS32" s="2030" t="str">
        <f>'Regular and QuickBrace Systems'!K44</f>
        <v>Yes</v>
      </c>
      <c r="AT32" s="1339"/>
      <c r="AU32" s="2133" t="str">
        <f>'Regular and QuickBrace Systems'!M47</f>
        <v>Elephant Multiboard One side,           Elephant Standard-Plus board the Other</v>
      </c>
      <c r="AW32" s="1567" t="str">
        <f>'Regular and QuickBrace Systems'!O47</f>
        <v>Yes</v>
      </c>
      <c r="AX32" s="1573" t="str">
        <f>'Regular and QuickBrace Systems'!Q47</f>
        <v>No</v>
      </c>
      <c r="BD32" s="2648"/>
      <c r="BF32" s="599" t="str">
        <f>'Custom Elements'!C16</f>
        <v>Custom8</v>
      </c>
      <c r="BG32" s="948" t="s">
        <v>775</v>
      </c>
      <c r="BI32" s="759"/>
      <c r="BJ32" s="897">
        <f t="shared" si="3"/>
        <v>24</v>
      </c>
      <c r="BW32" s="896"/>
      <c r="CG32" s="51" t="s">
        <v>8</v>
      </c>
      <c r="CH32" s="970"/>
      <c r="CI32" s="971"/>
      <c r="CJ32" s="759"/>
      <c r="CK32" s="188"/>
      <c r="CL32" s="979">
        <f>VLOOKUP(I32,Prodlink,2,0)</f>
        <v>0</v>
      </c>
      <c r="CN32" s="497">
        <f ca="1">VLOOKUP(CO32,Prodlink,2,0)</f>
        <v>0</v>
      </c>
      <c r="CO32" s="497">
        <f ca="1">OFFSET($CH$9,CL32-1,-15,1,1)</f>
        <v>0</v>
      </c>
      <c r="CQ32" s="51">
        <v>0</v>
      </c>
      <c r="CR32" s="51">
        <f>IF(K32=$BH$12,$BH$23,IF(K32=$BH$13,$BH$24,10000))</f>
        <v>10000</v>
      </c>
      <c r="CS32" s="51">
        <f ca="1">IF(F32&lt;OFFSET($BM$9,CL32-1,0,1,1),0,IF(F32&lt;OFFSET($BN$9,CL32-1,0,1,1),((F32-OFFSET($BM$9,CL32-1,0,1,1))*OFFSET($CH$9,CL32-1,0,1,1))+OFFSET($BO$9,CL32-1,CQ32,1,1),IF(F32&lt;OFFSET($BN$9,CL32+0,0,1,1),((F32-OFFSET($BM$9,CL32+0,0,1,1))*OFFSET($CH$9,CL32+0,0,1,1))+OFFSET($BO$9,CL32+0,CQ32,1,1),IF(F32&lt;OFFSET($BN$9,CL32+1,0,1,1),((F32-OFFSET($BM$9,CL32+1,0,1,1))*OFFSET($CH$9,CL32+1,0,1,1))+OFFSET($BO$9,CL32+1,CQ32,1,1),IF(F32&lt;OFFSET($BN$9,CL32+2,0,1,1),((F32-OFFSET($BM$9,CL32+2,0,1,1))*OFFSET($CH$9,CL32+2,0,1,1))+OFFSET($BO$9,CL32+2,CQ32,1,1),IF(F32&lt;OFFSET($BN$9,CL32+3,0,1,1),((F32-OFFSET($BM$9,CL32+3,0,1,1))*OFFSET($CH$9,CL32+3,0,1,1))+OFFSET($BO$9,CL32+3,CQ32,1,1),0))))))</f>
        <v>0</v>
      </c>
      <c r="CT32" s="51">
        <f ca="1">IF($F32&lt;OFFSET($BM$9,$CL32-1,0,1,1),0,IF($F32&lt;OFFSET($BN$9,$CL32-1,0,1,1),IF(AND($H32&gt;2.4,Z32&lt;&gt;"e",Z32&lt;&gt;"f"),CX32*2.4/$H32,CX32),IF($F32&lt;OFFSET($BN$9,$CL32+0,0,1,1),IF(AND($H32&gt;2.4,Z32&lt;&gt;"e",Z32&lt;&gt;"f"),CX32*2.4/$H32,CX32),IF($F32&lt;OFFSET($BN$9,$CL32+1,0,1,1),IF(AND($H32&gt;2.4,Z32&lt;&gt;"e",Z32&lt;&gt;"f"),CX32*2.4/$H32,CX32),IF($F32&lt;OFFSET($BN$9,CL32+2,0,1,1),IF(AND($H32&gt;2.4,Z32&lt;&gt;"e",Z32&lt;&gt;"f"),CX32*2.4/$H32,CX32),IF($F32&lt;OFFSET($BN$9,CL32+3,0,1,1),IF(AND($H32&gt;2.4,Z32&lt;&gt;"e",Z32&lt;&gt;"f"),CX32*2.4/$H32,CX32),0)))))*COS(RADIANS($G32)))</f>
        <v>0</v>
      </c>
      <c r="CU32" s="51">
        <f ca="1">IF(F32&lt;OFFSET($BM$9,CL32-1,0,1,1),0,IF(F32&lt;OFFSET($BN$9,CL32-1,0,1,1),((F32-OFFSET($BM$9,CL32-1,0,1,1))*OFFSET($CI$9,CL32-1,0,1,1))+OFFSET($BP$9,CL32-1,CQ32,1,1),IF(F32&lt;OFFSET($BN$9,CL32+0,0,1,1),((F32-OFFSET($BM$9,CL32+0,0,1,1))*OFFSET($CI$9,CL32+0,0,1,1))+OFFSET($BP$9,CL32+0,CQ32,1,1),IF(F32&lt;OFFSET($BN$9,CL32+1,0,1,1),((F32-OFFSET($BM$9,CL32+1,0,1,1))*OFFSET($CI$9,CL32+1,0,1,1))+OFFSET($BP$9,CL32+1,CQ32,1,1),IF(F32&lt;OFFSET($BN$9,CL32+2,0,1,1),((F32-OFFSET($BM$9,CL32+2,0,1,1))*OFFSET($CI$9,CL32+2,0,1,1))+OFFSET($BP$9,CL32+2,CQ32,1,1),IF(F32&lt;OFFSET($BN$9,CL32+3,0,1,1),((F32-OFFSET($BM$9,CL32+3,0,1,1))*OFFSET($CI$9,CL32+3,0,1,1))+OFFSET($BP$9,CL32+3,CQ32,1,1),0))))))</f>
        <v>0</v>
      </c>
      <c r="CV32" s="51">
        <f ca="1">IF($F32&lt;OFFSET($BM$9,$CL32-1,0,1,1),0,IF($F32&lt;OFFSET($BN$9,$CL32-1,0,1,1),IF(AND($H32&gt;2.4,Z32&lt;&gt;"e",Z32&lt;&gt;"f"),CZ32*2.4/$H32,CZ32),IF($F32&lt;OFFSET($BN$9,$CL32+0,0,1,1),IF(AND($H32&gt;2.4,Z32&lt;&gt;"e",Z32&lt;&gt;"f"),CZ32*2.4/$H32,CZ32),IF($F32&lt;OFFSET($BN$9,$CL32+1,0,1,1),IF(AND($H32&gt;2.4,Z32&lt;&gt;"e",Z32&lt;&gt;"f"),CZ32*2.4/$H32,CZ32),IF($F32&lt;OFFSET($BN$9,$CL32+2,0,1,1),IF(AND($H32&gt;2.4,Z32&lt;&gt;"e",Z32&lt;&gt;"f"),CZ32*2.4/$H32,CZ32),IF($F32&lt;OFFSET($BN$9,$CL32+3,0,1,1),IF(AND($H32&gt;2.4,Z32&lt;&gt;"e",Z32&lt;&gt;"f"),CZ32*2.4/$H32,CZ32),0)))))*COS(RADIANS($G32)))</f>
        <v>0</v>
      </c>
      <c r="CW32" s="51">
        <f ca="1">IF(CT32&gt;CR32,CR32,CT32)</f>
        <v>0</v>
      </c>
      <c r="CX32" s="51">
        <f ca="1">IF(CS32&gt;$CR32,$CR32,CS32)</f>
        <v>0</v>
      </c>
      <c r="CY32" s="51">
        <f ca="1">CW32*F32</f>
        <v>0</v>
      </c>
      <c r="CZ32" s="51">
        <f ca="1">IF($CU32&gt;$CR32,$CR32,$CU32)</f>
        <v>0</v>
      </c>
      <c r="DA32" s="51">
        <f ca="1">IF(CV32&gt;CR32,CR32,CV32)</f>
        <v>0</v>
      </c>
      <c r="DB32" s="984">
        <f ca="1">DA32*F32</f>
        <v>0</v>
      </c>
      <c r="DC32" s="993">
        <v>1</v>
      </c>
      <c r="DD32" s="758" t="str">
        <f>IF(OR(D32=BG$12,D32=BG$13),"External",IF(D32=BG$14,"Internal"," "))</f>
        <v xml:space="preserve"> </v>
      </c>
      <c r="DE32" s="51" t="str">
        <f t="shared" ca="1" si="1"/>
        <v/>
      </c>
      <c r="DF32" s="52" t="str">
        <f t="shared" ca="1" si="2"/>
        <v xml:space="preserve"> </v>
      </c>
      <c r="DG32" s="51">
        <f ca="1">IF(F32&lt;OFFSET($BM$9,CN32-1,0,1,1),0,IF(F32&lt;OFFSET($BN$9,CN32-1,0,1,1),((F32-OFFSET($BM$9,CN32-1,0,1,1))*OFFSET($CH$9,CN32-1,0,1,1))+OFFSET($BO$9,CN32-1,CQ32,1,1),IF(F32&lt;OFFSET($BN$9,CN32+0,0,1,1),((F32-OFFSET($BM$9,CN32+0,0,1,1))*OFFSET($CH$9,CN32+0,0,1,1))+OFFSET($BO$9,CN32+0,CQ32,1,1),IF(F32&lt;OFFSET($BN$9,CN32+1,0,1,1),((F32-OFFSET($BM$9,CN32+1,0,1,1))*OFFSET($CH$9,CN32+1,0,1,1))+OFFSET($BO$9,CN32+1,CQ32,1,1),IF(F32&lt;OFFSET($BN$9,CN32+2,0,1,1),((F32-OFFSET($BM$9,CN32+2,0,1,1))*OFFSET($CH$9,CN32+2,0,1,1))+OFFSET($BO$9,CN32+2,CQ32,1,1),IF(F32&lt;OFFSET($BN$9,CN32+3,0,1,1),((F32-OFFSET($BM$9,CN32+3,0,1,1))*OFFSET($CH$9,CN32+3,0,1,1))+OFFSET($BO$9,CN32+3,CQ32,1,1),0))))))</f>
        <v>0</v>
      </c>
      <c r="DH32" s="51">
        <f ca="1">IF($F32&lt;OFFSET($BM$9,$CN32-1,0,1,1),0,IF($F32&lt;OFFSET($BN$9,$CN32-1,0,1,1),IF(AND($H32&gt;2.4,Z32&lt;&gt;"e",Z32&lt;&gt;"f"),DL32*2.4/$H32,DL32),IF($F32&lt;OFFSET($BN$9,$CN32+0,0,1,1),IF(AND($H32&gt;2.4,Z32&lt;&gt;"e",Z32&lt;&gt;"f"),DL32*2.4/$H32,DL32),IF($F32&lt;OFFSET($BN$9,$CN32+1,0,1,1),IF(AND($H32&gt;2.4,Z32&lt;&gt;"e",Z32&lt;&gt;"f"),DL32*2.4/$H32,DL32),IF($F32&lt;OFFSET($BN$9,$CN32+2,0,1,1),IF(AND($H32&gt;2.4,Z32&lt;&gt;"e",Z32&lt;&gt;"f"),DL32*2.4/$H32,DL32),IF($F32&lt;OFFSET($BN$9,$CN32+3,0,1,1),IF(AND($H32&gt;2.4,Z32&lt;&gt;"e",Z32&lt;&gt;"f"),DL32*2.4/$H32,DL32),0)))))*COS(RADIANS($G32)))</f>
        <v>0</v>
      </c>
      <c r="DI32" s="51">
        <f ca="1">IF(F32&lt;OFFSET($BM$9,CN32-1,0,1,1),0,IF(F32&lt;OFFSET($BN$9,CN32-1,0,1,1),((F32-OFFSET($BM$9,CN32-1,0,1,1))*OFFSET($CI$9,CN32-1,0,1,1))+OFFSET($BP$9,CN32-1,CQ32,1,1),IF(F32&lt;OFFSET($BN$9,CN32+0,0,1,1),((F32-OFFSET($BM$9,CN32+0,0,1,1))*OFFSET($CI$9,CN32+0,0,1,1))+OFFSET($BP$9,CN32+0,CQ32,1,1),IF(F32&lt;OFFSET($BN$9,CN32+1,0,1,1),((F32-OFFSET($BM$9,CN32+1,0,1,1))*OFFSET($CI$9,CN32+1,0,1,1))+OFFSET($BP$9,CN32+1,CQ32,1,1),IF(F32&lt;OFFSET($BN$9,CN32+2,0,1,1),((F32-OFFSET($BM$9,CN32+2,0,1,1))*OFFSET($CI$9,CN32+2,0,1,1))+OFFSET($BP$9,CN32+2,CQ32,1,1),IF(F32&lt;OFFSET($BN$9,CN32+3,0,1,1),((F32-OFFSET($BM$9,CN32+3,0,1,1))*OFFSET($CI$9,CN32+3,0,1,1))+OFFSET($BP$9,CN32+3,CQ32,1,1),0))))))</f>
        <v>0</v>
      </c>
      <c r="DJ32" s="51">
        <f ca="1">IF($F32&lt;OFFSET($BM$9,$CN32-1,0,1,1),0,IF($F32&lt;OFFSET($BN$9,$CN32-1,0,1,1),IF(AND($H32&gt;2.4,Z32&lt;&gt;"e",Z32&lt;&gt;"f"),DN32*2.4/$H32,DN32),IF($F32&lt;OFFSET($BN$9,$CN32+0,0,1,1),IF(AND($H32&gt;2.4,Z32&lt;&gt;"e",Z32&lt;&gt;"f"),DN32*2.4/$H32,DN32),IF($F32&lt;OFFSET($BN$9,$CN32+1,0,1,1),IF(AND($H32&gt;2.4,Z32&lt;&gt;"e",Z32&lt;&gt;"f"),DN32*2.4/$H32,DN32),IF($F32&lt;OFFSET($BN$9,$CN32+2,0,1,1),IF(AND($H32&gt;2.4,Z32&lt;&gt;"e",Z32&lt;&gt;"f"),DN32*2.4/$H32,DN32),IF($F32&lt;OFFSET($BN$9,$CN32+3,0,1,1),IF(AND($H32&gt;2.4,Z32&lt;&gt;"e",Z32&lt;&gt;"f"),DN32*2.4/$H32,DN32),0)))))*COS(RADIANS($G32)))</f>
        <v>0</v>
      </c>
      <c r="DK32" s="51"/>
      <c r="DL32" s="51">
        <f ca="1">IF(DG32&gt;$CR32,$CR32,DG32)</f>
        <v>0</v>
      </c>
      <c r="DM32" s="51"/>
      <c r="DN32" s="51">
        <f ca="1">IF(DI32&gt;$CR32,$CR32,DI32)</f>
        <v>0</v>
      </c>
      <c r="DO32" s="435">
        <f ca="1">IF(DH32&gt;$CR32,$CR32,DH32)</f>
        <v>0</v>
      </c>
      <c r="DP32" s="435">
        <f ca="1">DO32*F32</f>
        <v>0</v>
      </c>
      <c r="DQ32" s="436">
        <f ca="1">IF(DJ32&gt;$CR32,$CR32,DJ32)</f>
        <v>0</v>
      </c>
      <c r="DR32" s="437">
        <f ca="1">DQ32*F32</f>
        <v>0</v>
      </c>
      <c r="DS32" s="426">
        <f ca="1">OFFSET($CH$9,CL32-1,-15,1,1)</f>
        <v>0</v>
      </c>
      <c r="DT32" s="451">
        <f ca="1">VLOOKUP(DS32,Prodlink,2,0)</f>
        <v>0</v>
      </c>
      <c r="DU32" s="188">
        <f ca="1">IF(F32&lt;OFFSET($BM$9,DT32-1,0,1,1),0,IF(F32&lt;OFFSET($BN$9,DT32-1,0,1,1),((F32-OFFSET($BM$9,DT32-1,0,1,1))*OFFSET($CH$9,DT32-1,0,1,1))+OFFSET($BO$9,DT32-1,CQ32,1,1),IF(F32&lt;OFFSET($BN$9,DT32+0,0,1,1),((F32-OFFSET($BM$9,DT32+0,0,1,1))*OFFSET($CH$9,DT32+0,0,1,1))+OFFSET($BO$9,DT32+0,CQ32,1,1),IF(F32&lt;OFFSET($BN$9,DT32+1,0,1,1),((F32-OFFSET($BM$9,DT32+1,0,1,1))*OFFSET($CH$9,DT32+1,0,1,1))+OFFSET($BO$9,DT32+1,CQ32,1,1),IF(F32&lt;OFFSET($BN$9,DT32+2,0,1,1),((F32-OFFSET($BM$9,DT32+2,0,1,1))*OFFSET($CH$9,DT32+2,0,1,1))+OFFSET($BO$9,DT32+2,CQ32,1,1),IF(F32&lt;OFFSET($BN$9,DT32+3,0,1,1),((F32-OFFSET($BM$9,DT32+3,0,1,1))*OFFSET($CH$9,DT32+3,0,1,1))+OFFSET($BO$9,DT32+3,CQ32,1,1),0))))))</f>
        <v>0</v>
      </c>
      <c r="DV32" s="51">
        <f ca="1">IF($F32&lt;OFFSET($BM$9,$DT32-1,0,1,1),0,IF($F32&lt;OFFSET($BN$9,$DT32-1,0,1,1),IF(AND($H32&gt;2.4,Z32&lt;&gt;"e",Z32&lt;&gt;"f"),DZ32*2.4/$H32,DZ32),IF($F32&lt;OFFSET($BN$9,$DT32+0,0,1,1),IF(AND($H32&gt;2.4,Z32&lt;&gt;"e",Z32&lt;&gt;"f"),DZ32*2.4/$H32,DZ32),IF($F32&lt;OFFSET($BN$9,$DT32+1,0,1,1),IF(AND($H32&gt;2.4,Z32&lt;&gt;"e",Z32&lt;&gt;"f"),DZ32*2.4/$H32,DZ32),IF($F32&lt;OFFSET($BN$9,$DT32+2,0,1,1),IF(AND($H32&gt;2.4,Z32&lt;&gt;"e",Z32&lt;&gt;"f"),DZ32*2.4/$H32,DZ32),IF($F32&lt;OFFSET($BN$9,$DT32+3,0,1,1),IF(AND($H32&gt;2.4,Z32&lt;&gt;"e",Z32&lt;&gt;"f"),DZ32*2.4/$H32,DZ32),0)))))*COS(RADIANS($G32)))</f>
        <v>0</v>
      </c>
      <c r="DW32" s="188">
        <f ca="1">IF(F32&lt;OFFSET($BM$9,DT32-1,0,1,1),0,IF(F32&lt;OFFSET($BN$9,DT32-1,0,1,1),((F32-OFFSET($BM$9,DT32-1,0,1,1))*OFFSET($CI$9,DT32-1,0,1,1))+OFFSET($BP$9,DT32-1,CQ32,1,1),IF(F32&lt;OFFSET($BN$9,DT32+0,0,1,1),((F32-OFFSET($BM$9,DT32+0,0,1,1))*OFFSET($CI$9,DT32+0,0,1,1))+OFFSET($BP$9,DT32+0,CQ32,1,1),IF(F32&lt;OFFSET($BN$9,DT32+1,0,1,1),((F32-OFFSET($BM$9,DT32+1,0,1,1))*OFFSET($CI$9,DT32+1,0,1,1))+OFFSET($BP$9,DT32+1,CQ32,1,1),IF(F32&lt;OFFSET($BN$9,DT32+2,0,1,1),((F32-OFFSET($BM$9,DT32+2,0,1,1))*OFFSET($CI$9,DT32+2,0,1,1))+OFFSET($BP$9,DT32+2,CQ32,1,1),IF(F32&lt;OFFSET($BN$9,DT32+3,0,1,1),((F32-OFFSET($BM$9,DT32+3,0,1,1))*OFFSET($CI$9,DT32+3,0,1,1))+OFFSET($BP$9,DT32+3,CQ32,1,1),0))))))</f>
        <v>0</v>
      </c>
      <c r="DX32" s="51">
        <f ca="1">IF($F32&lt;OFFSET($BM$9,$DT32-1,0,1,1),0,IF($F32&lt;OFFSET($BN$9,$DT32-1,0,1,1),IF(AND($H32&gt;2.4,Z32&lt;&gt;"e",Z32&lt;&gt;"f"),EB32*2.4/$H32,EB32),IF($F32&lt;OFFSET($BN$9,$DT32+0,0,1,1),IF(AND($H32&gt;2.4,Z32&lt;&gt;"e",Z32&lt;&gt;"f"),EB32*2.4/$H32,EB32),IF($F32&lt;OFFSET($BN$9,$DT32+1,0,1,1),IF(AND($H32&gt;2.4,Z32&lt;&gt;"e",Z32&lt;&gt;"f"),EB32*2.4/$H32,EB32),IF($F32&lt;OFFSET($BN$9,$DT32+2,0,1,1),IF(AND($H32&gt;2.4,Z32&lt;&gt;"e",Z32&lt;&gt;"f"),EB32*2.4/$H32,EB32),IF($F32&lt;OFFSET($BN$9,$DT32+3,0,1,1),IF(AND($H32&gt;2.4,Z32&lt;&gt;"e",Z32&lt;&gt;"f"),EB32*2.4/$H32,EB32),0)))))*COS(RADIANS($G32)))</f>
        <v>0</v>
      </c>
      <c r="DY32" s="188"/>
      <c r="DZ32" s="188">
        <f ca="1">IF(DU32&gt;$CR32,$CR32,DU32)</f>
        <v>0</v>
      </c>
      <c r="EA32" s="188"/>
      <c r="EB32" s="188">
        <f ca="1">IF(DW32&gt;$CR32,$CR32,DW32)</f>
        <v>0</v>
      </c>
      <c r="EC32" s="435">
        <f ca="1">IF(DV32&gt;$CR32,$CR32,DV32)</f>
        <v>0</v>
      </c>
      <c r="ED32" s="435">
        <f ca="1">EC32*F32</f>
        <v>0</v>
      </c>
      <c r="EE32" s="436">
        <f ca="1">IF(DX32&gt;$CR32,$CR32,DX32)</f>
        <v>0</v>
      </c>
      <c r="EF32" s="437">
        <f ca="1">EE32*F32</f>
        <v>0</v>
      </c>
      <c r="EG32" s="613" t="str">
        <f>IF(D32=BG$12,BG$12,"")</f>
        <v/>
      </c>
      <c r="EH32" s="614" t="str">
        <f>IF(D32=BG$13,BG$13,"")</f>
        <v/>
      </c>
      <c r="EI32" s="611">
        <f>IF(EG32=BG$12,M32,0)</f>
        <v>0</v>
      </c>
      <c r="EJ32" s="451">
        <f>IF(EG32=BG$12,O32,0)</f>
        <v>0</v>
      </c>
      <c r="EK32" s="451">
        <f>IF(EH32=BG$13,M32,0)</f>
        <v>0</v>
      </c>
      <c r="EL32" s="612">
        <f>IF(EH32=BG$13,O32,0)</f>
        <v>0</v>
      </c>
      <c r="EM32" s="426" t="str">
        <f ca="1">IF(AND(Z32&lt;&gt;"t",Z32&lt;&gt;"f"),"",IF(AND(EN32=$BH$13,K32=$BH$12),"NotOpt",IF(K32&lt;&gt;EN32,"Error","")))</f>
        <v/>
      </c>
      <c r="EN32" s="491" t="str">
        <f>IF(AND($BH$28=1,$BG$28=1),$BH$13,$BH$12)</f>
        <v>120 BU's</v>
      </c>
      <c r="EO32" s="426" t="str">
        <f>K32</f>
        <v xml:space="preserve"> </v>
      </c>
      <c r="EP32" s="497">
        <v>1</v>
      </c>
      <c r="EQ32" s="430" t="str">
        <f ca="1">IF(EP32=1," ",OFFSET(BF$15,EP32-2,0,1,1))</f>
        <v xml:space="preserve"> </v>
      </c>
      <c r="ER32" s="439" t="str">
        <f ca="1">IF(H32=0," ",H32)</f>
        <v xml:space="preserve"> </v>
      </c>
      <c r="ES32" s="440" t="str">
        <f ca="1">IF(ER32&lt;&gt;" ",IF(ER32&lt;&gt;ER$7,"Changed",""),"")</f>
        <v/>
      </c>
      <c r="ET32" s="440">
        <f ca="1">IF(ER32&lt;&gt;" ",IF(ER32&lt;&gt;ER$7,1,0),0)</f>
        <v>0</v>
      </c>
      <c r="EU32" s="957" t="str">
        <f ca="1">IF(I32=" "," ",IF(F32&lt;OFFSET($BM$9,CL32-1,0,1,1),1,""))</f>
        <v xml:space="preserve"> </v>
      </c>
      <c r="EW32" s="427"/>
    </row>
    <row r="33" spans="1:153" ht="17.100000000000001" customHeight="1">
      <c r="B33" s="689" t="s">
        <v>246</v>
      </c>
      <c r="C33" s="684" t="str">
        <f>IF(OR(F33=0,I33="",I33=" ")," ",$V33)</f>
        <v xml:space="preserve"> </v>
      </c>
      <c r="D33" s="1033"/>
      <c r="E33" s="1034" t="s">
        <v>8</v>
      </c>
      <c r="F33" s="202"/>
      <c r="G33" s="1416"/>
      <c r="H33" s="199" t="str">
        <f ca="1">IF(OR(F33=0,Z33="E",Z33="f")," ",'Project Demand'!E$35)</f>
        <v xml:space="preserve"> </v>
      </c>
      <c r="I33" s="631" t="str">
        <f>IF($I$6&lt;&gt;$BG$8," ",AB33)</f>
        <v xml:space="preserve"> </v>
      </c>
      <c r="J33" s="44" t="str">
        <f ca="1">IF(OR(I33=" ",I33="")," ",OFFSET($BO$9,CL33-1,0-4,1,1))</f>
        <v xml:space="preserve"> </v>
      </c>
      <c r="K33" s="55" t="str">
        <f>IF(OR(I33=" ",I33="")," ",IF(OR(Z33="e",Z33="h"),"SD",BG$24))</f>
        <v xml:space="preserve"> </v>
      </c>
      <c r="L33" s="49">
        <f ca="1">CW33</f>
        <v>0</v>
      </c>
      <c r="M33" s="49">
        <f ca="1">CY33</f>
        <v>0</v>
      </c>
      <c r="N33" s="50">
        <f t="shared" ca="1" si="19"/>
        <v>0</v>
      </c>
      <c r="O33" s="126">
        <f t="shared" ca="1" si="19"/>
        <v>0</v>
      </c>
      <c r="P33" s="140"/>
      <c r="Q33" s="752" t="str">
        <f ca="1">IF(AND(OR(Z33="t",Z33="f"),K33=$BH$11),"No Floor!  Change Floor Type",IF(OR(I33=" ",I33="")," ",IF(F33&lt;OFFSET($BM$9,CL33-1,0,1,1),"check L(m)",DE33&amp;IF(AND(DP33&gt;=CY33,DR33&gt;=DB33),IF(AND(ED33&gt;=DP33,EF33&gt;=DR33),CONCATENATE(DS33," will provide same result"),CONCATENATE(CO33," will provide same result")),IF((DP33&gt;=CY33),CONCATENATE(CO33," provides same result in WIND"),IF((DR33&gt;=DB33),CONCATENATE(CO33," provides same result in EQ"),""))))))&amp;IF(ISERROR(FIND("pile",I33,1)),"",IF(INT(F33)&lt;&gt;F33,"Pile!  Use Whole Numbers Only",""))</f>
        <v xml:space="preserve"> </v>
      </c>
      <c r="R33" s="52"/>
      <c r="S33" s="1372"/>
      <c r="T33" s="1372"/>
      <c r="U33" s="1377"/>
      <c r="V33" s="52" t="str">
        <f ca="1">IF(AND(B$5=$BF$9,OR(I33=BH$16,I33=BH$17))," ",IF(ISNUMBER(B$32),(CONCATENATE(B$32,".",W33)),(CONCATENATE(B$32,W33))))</f>
        <v>E0</v>
      </c>
      <c r="W33" s="9">
        <f ca="1">W32+X33</f>
        <v>0</v>
      </c>
      <c r="X33" s="9">
        <f>IF(AND(B$5=$BF$9,OR($I33=$BH$16,$I33=$BH$17,$I33=" ",$I33="",$F33=0)),0,IF(OR($I33=" ",$I33="",$F33=0),0,1))</f>
        <v>0</v>
      </c>
      <c r="Y33" s="896"/>
      <c r="Z33" s="52" t="str">
        <f ca="1">IF(I33=" "," ",OFFSET($BM$9,$CL33-1,8,1,1))</f>
        <v xml:space="preserve"> </v>
      </c>
      <c r="AA33" s="51" t="str">
        <f>IF(G33&gt;=45,"WA","")</f>
        <v/>
      </c>
      <c r="AB33" s="1364" t="str">
        <f>IF(F33&lt;&gt;"",IF(OR(D33=$BG$12,D33=$BG$13),IF(E33&lt;&gt;$BG$17,$BF$12,$BF$13),IF(E33&lt;&gt;$BG$17,$BF$12,$BF$13))," ")</f>
        <v xml:space="preserve"> </v>
      </c>
      <c r="AC33" s="1"/>
      <c r="AJ33" s="2230"/>
      <c r="AK33" s="2779"/>
      <c r="AL33" s="2784"/>
      <c r="AM33" s="116">
        <f>'Regular and QuickBrace Systems'!F48</f>
        <v>0.8</v>
      </c>
      <c r="AN33" s="1336">
        <f>'Regular and QuickBrace Systems'!G48</f>
        <v>143</v>
      </c>
      <c r="AO33" s="26">
        <f>'Regular and QuickBrace Systems'!H48</f>
        <v>134</v>
      </c>
      <c r="AP33" s="1595"/>
      <c r="AQ33" s="2663"/>
      <c r="AR33" s="2664"/>
      <c r="AS33" s="2031"/>
      <c r="AT33" s="1339"/>
      <c r="AU33" s="2123"/>
      <c r="AW33" s="1586" t="str">
        <f>'Regular and QuickBrace Systems'!O48</f>
        <v>Yes</v>
      </c>
      <c r="AX33" s="1578" t="str">
        <f>'Regular and QuickBrace Systems'!Q48</f>
        <v>Yes</v>
      </c>
      <c r="BD33" s="2648"/>
      <c r="BF33" s="599" t="str">
        <f>'Custom Elements'!C17</f>
        <v>Custom9</v>
      </c>
      <c r="BG33" s="948" t="s">
        <v>774</v>
      </c>
      <c r="BI33" s="759"/>
      <c r="BJ33" s="897">
        <f t="shared" si="3"/>
        <v>25</v>
      </c>
      <c r="BK33" s="1247" t="str">
        <f>'Custom Elements'!O9</f>
        <v>NZS 3604</v>
      </c>
      <c r="BL33" s="770" t="str">
        <f>'Custom Elements'!P9</f>
        <v>Masonry 0.75</v>
      </c>
      <c r="BM33" s="454">
        <f>'Custom Elements'!Q9</f>
        <v>1.5</v>
      </c>
      <c r="BN33" s="454">
        <v>999</v>
      </c>
      <c r="BO33" s="454">
        <f>'Custom Elements'!R9</f>
        <v>42</v>
      </c>
      <c r="BP33" s="924">
        <f>'Custom Elements'!S9</f>
        <v>42</v>
      </c>
      <c r="BQ33" s="920"/>
      <c r="BR33" s="768"/>
      <c r="BS33" s="454"/>
      <c r="BT33" s="454" t="s">
        <v>7</v>
      </c>
      <c r="BU33" s="925" t="s">
        <v>34</v>
      </c>
      <c r="BV33" s="1248" t="str">
        <f>BL33</f>
        <v>Masonry 0.75</v>
      </c>
      <c r="BW33" s="1182">
        <f t="shared" ref="BW33:BW39" si="20">BJ33</f>
        <v>25</v>
      </c>
      <c r="BX33" s="925" t="str">
        <f>'Custom Elements'!U9</f>
        <v>Single</v>
      </c>
      <c r="CH33" s="768">
        <f t="shared" ref="CH33:CH38" si="21">IF(BN33=999,0,(BO34-BO33)/(BN33-BM33))</f>
        <v>0</v>
      </c>
      <c r="CI33" s="924">
        <f t="shared" ref="CI33:CI38" si="22">IF(BN33=999,0,(BP34-BP33)/(BN33-BM33))</f>
        <v>0</v>
      </c>
      <c r="CJ33" s="759"/>
      <c r="CK33" s="188"/>
      <c r="CL33" s="979">
        <f>VLOOKUP(I33,Prodlink,2,0)</f>
        <v>0</v>
      </c>
      <c r="CN33" s="497">
        <f ca="1">VLOOKUP(CO33,Prodlink,2,0)</f>
        <v>0</v>
      </c>
      <c r="CO33" s="497">
        <f ca="1">OFFSET($CH$9,CL33-1,-15,1,1)</f>
        <v>0</v>
      </c>
      <c r="CQ33" s="51">
        <v>0</v>
      </c>
      <c r="CR33" s="51">
        <f>IF(K33=$BH$12,$BH$23,IF(K33=$BH$13,$BH$24,10000))</f>
        <v>10000</v>
      </c>
      <c r="CS33" s="51">
        <f ca="1">IF(F33&lt;OFFSET($BM$9,CL33-1,0,1,1),0,IF(F33&lt;OFFSET($BN$9,CL33-1,0,1,1),((F33-OFFSET($BM$9,CL33-1,0,1,1))*OFFSET($CH$9,CL33-1,0,1,1))+OFFSET($BO$9,CL33-1,CQ33,1,1),IF(F33&lt;OFFSET($BN$9,CL33+0,0,1,1),((F33-OFFSET($BM$9,CL33+0,0,1,1))*OFFSET($CH$9,CL33+0,0,1,1))+OFFSET($BO$9,CL33+0,CQ33,1,1),IF(F33&lt;OFFSET($BN$9,CL33+1,0,1,1),((F33-OFFSET($BM$9,CL33+1,0,1,1))*OFFSET($CH$9,CL33+1,0,1,1))+OFFSET($BO$9,CL33+1,CQ33,1,1),IF(F33&lt;OFFSET($BN$9,CL33+2,0,1,1),((F33-OFFSET($BM$9,CL33+2,0,1,1))*OFFSET($CH$9,CL33+2,0,1,1))+OFFSET($BO$9,CL33+2,CQ33,1,1),IF(F33&lt;OFFSET($BN$9,CL33+3,0,1,1),((F33-OFFSET($BM$9,CL33+3,0,1,1))*OFFSET($CH$9,CL33+3,0,1,1))+OFFSET($BO$9,CL33+3,CQ33,1,1),0))))))</f>
        <v>0</v>
      </c>
      <c r="CT33" s="51">
        <f ca="1">IF($F33&lt;OFFSET($BM$9,$CL33-1,0,1,1),0,IF($F33&lt;OFFSET($BN$9,$CL33-1,0,1,1),IF(AND($H33&gt;2.4,Z33&lt;&gt;"e",Z33&lt;&gt;"f"),CX33*2.4/$H33,CX33),IF($F33&lt;OFFSET($BN$9,$CL33+0,0,1,1),IF(AND($H33&gt;2.4,Z33&lt;&gt;"e",Z33&lt;&gt;"f"),CX33*2.4/$H33,CX33),IF($F33&lt;OFFSET($BN$9,$CL33+1,0,1,1),IF(AND($H33&gt;2.4,Z33&lt;&gt;"e",Z33&lt;&gt;"f"),CX33*2.4/$H33,CX33),IF($F33&lt;OFFSET($BN$9,CL33+2,0,1,1),IF(AND($H33&gt;2.4,Z33&lt;&gt;"e",Z33&lt;&gt;"f"),CX33*2.4/$H33,CX33),IF($F33&lt;OFFSET($BN$9,CL33+3,0,1,1),IF(AND($H33&gt;2.4,Z33&lt;&gt;"e",Z33&lt;&gt;"f"),CX33*2.4/$H33,CX33),0)))))*COS(RADIANS($G33)))</f>
        <v>0</v>
      </c>
      <c r="CU33" s="51">
        <f ca="1">IF(F33&lt;OFFSET($BM$9,CL33-1,0,1,1),0,IF(F33&lt;OFFSET($BN$9,CL33-1,0,1,1),((F33-OFFSET($BM$9,CL33-1,0,1,1))*OFFSET($CI$9,CL33-1,0,1,1))+OFFSET($BP$9,CL33-1,CQ33,1,1),IF(F33&lt;OFFSET($BN$9,CL33+0,0,1,1),((F33-OFFSET($BM$9,CL33+0,0,1,1))*OFFSET($CI$9,CL33+0,0,1,1))+OFFSET($BP$9,CL33+0,CQ33,1,1),IF(F33&lt;OFFSET($BN$9,CL33+1,0,1,1),((F33-OFFSET($BM$9,CL33+1,0,1,1))*OFFSET($CI$9,CL33+1,0,1,1))+OFFSET($BP$9,CL33+1,CQ33,1,1),IF(F33&lt;OFFSET($BN$9,CL33+2,0,1,1),((F33-OFFSET($BM$9,CL33+2,0,1,1))*OFFSET($CI$9,CL33+2,0,1,1))+OFFSET($BP$9,CL33+2,CQ33,1,1),IF(F33&lt;OFFSET($BN$9,CL33+3,0,1,1),((F33-OFFSET($BM$9,CL33+3,0,1,1))*OFFSET($CI$9,CL33+3,0,1,1))+OFFSET($BP$9,CL33+3,CQ33,1,1),0))))))</f>
        <v>0</v>
      </c>
      <c r="CV33" s="51">
        <f ca="1">IF($F33&lt;OFFSET($BM$9,$CL33-1,0,1,1),0,IF($F33&lt;OFFSET($BN$9,$CL33-1,0,1,1),IF(AND($H33&gt;2.4,Z33&lt;&gt;"e",Z33&lt;&gt;"f"),CZ33*2.4/$H33,CZ33),IF($F33&lt;OFFSET($BN$9,$CL33+0,0,1,1),IF(AND($H33&gt;2.4,Z33&lt;&gt;"e",Z33&lt;&gt;"f"),CZ33*2.4/$H33,CZ33),IF($F33&lt;OFFSET($BN$9,$CL33+1,0,1,1),IF(AND($H33&gt;2.4,Z33&lt;&gt;"e",Z33&lt;&gt;"f"),CZ33*2.4/$H33,CZ33),IF($F33&lt;OFFSET($BN$9,$CL33+2,0,1,1),IF(AND($H33&gt;2.4,Z33&lt;&gt;"e",Z33&lt;&gt;"f"),CZ33*2.4/$H33,CZ33),IF($F33&lt;OFFSET($BN$9,$CL33+3,0,1,1),IF(AND($H33&gt;2.4,Z33&lt;&gt;"e",Z33&lt;&gt;"f"),CZ33*2.4/$H33,CZ33),0)))))*COS(RADIANS($G33)))</f>
        <v>0</v>
      </c>
      <c r="CW33" s="51">
        <f ca="1">IF(CT33&gt;CR33,CR33,CT33)</f>
        <v>0</v>
      </c>
      <c r="CX33" s="51">
        <f ca="1">IF(CS33&gt;$CR33,$CR33,CS33)</f>
        <v>0</v>
      </c>
      <c r="CY33" s="51">
        <f ca="1">CW33*F33</f>
        <v>0</v>
      </c>
      <c r="CZ33" s="51">
        <f ca="1">IF($CU33&gt;$CR33,$CR33,$CU33)</f>
        <v>0</v>
      </c>
      <c r="DA33" s="51">
        <f ca="1">IF(CV33&gt;CR33,CR33,CV33)</f>
        <v>0</v>
      </c>
      <c r="DB33" s="984">
        <f ca="1">DA33*F33</f>
        <v>0</v>
      </c>
      <c r="DC33" s="993">
        <v>1</v>
      </c>
      <c r="DD33" s="758" t="str">
        <f>IF(OR(D33=BG$12,D33=BG$13),"External",IF(D33=BG$14,"Internal"," "))</f>
        <v xml:space="preserve"> </v>
      </c>
      <c r="DE33" s="51" t="str">
        <f t="shared" ca="1" si="1"/>
        <v/>
      </c>
      <c r="DF33" s="52" t="str">
        <f t="shared" ca="1" si="2"/>
        <v xml:space="preserve"> </v>
      </c>
      <c r="DG33" s="51">
        <f ca="1">IF(F33&lt;OFFSET($BM$9,CN33-1,0,1,1),0,IF(F33&lt;OFFSET($BN$9,CN33-1,0,1,1),((F33-OFFSET($BM$9,CN33-1,0,1,1))*OFFSET($CH$9,CN33-1,0,1,1))+OFFSET($BO$9,CN33-1,CQ33,1,1),IF(F33&lt;OFFSET($BN$9,CN33+0,0,1,1),((F33-OFFSET($BM$9,CN33+0,0,1,1))*OFFSET($CH$9,CN33+0,0,1,1))+OFFSET($BO$9,CN33+0,CQ33,1,1),IF(F33&lt;OFFSET($BN$9,CN33+1,0,1,1),((F33-OFFSET($BM$9,CN33+1,0,1,1))*OFFSET($CH$9,CN33+1,0,1,1))+OFFSET($BO$9,CN33+1,CQ33,1,1),IF(F33&lt;OFFSET($BN$9,CN33+2,0,1,1),((F33-OFFSET($BM$9,CN33+2,0,1,1))*OFFSET($CH$9,CN33+2,0,1,1))+OFFSET($BO$9,CN33+2,CQ33,1,1),IF(F33&lt;OFFSET($BN$9,CN33+3,0,1,1),((F33-OFFSET($BM$9,CN33+3,0,1,1))*OFFSET($CH$9,CN33+3,0,1,1))+OFFSET($BO$9,CN33+3,CQ33,1,1),0))))))</f>
        <v>0</v>
      </c>
      <c r="DH33" s="51">
        <f ca="1">IF($F33&lt;OFFSET($BM$9,$CN33-1,0,1,1),0,IF($F33&lt;OFFSET($BN$9,$CN33-1,0,1,1),IF(AND($H33&gt;2.4,Z33&lt;&gt;"e",Z33&lt;&gt;"f"),DL33*2.4/$H33,DL33),IF($F33&lt;OFFSET($BN$9,$CN33+0,0,1,1),IF(AND($H33&gt;2.4,Z33&lt;&gt;"e",Z33&lt;&gt;"f"),DL33*2.4/$H33,DL33),IF($F33&lt;OFFSET($BN$9,$CN33+1,0,1,1),IF(AND($H33&gt;2.4,Z33&lt;&gt;"e",Z33&lt;&gt;"f"),DL33*2.4/$H33,DL33),IF($F33&lt;OFFSET($BN$9,$CN33+2,0,1,1),IF(AND($H33&gt;2.4,Z33&lt;&gt;"e",Z33&lt;&gt;"f"),DL33*2.4/$H33,DL33),IF($F33&lt;OFFSET($BN$9,$CN33+3,0,1,1),IF(AND($H33&gt;2.4,Z33&lt;&gt;"e",Z33&lt;&gt;"f"),DL33*2.4/$H33,DL33),0)))))*COS(RADIANS($G33)))</f>
        <v>0</v>
      </c>
      <c r="DI33" s="51">
        <f ca="1">IF(F33&lt;OFFSET($BM$9,CN33-1,0,1,1),0,IF(F33&lt;OFFSET($BN$9,CN33-1,0,1,1),((F33-OFFSET($BM$9,CN33-1,0,1,1))*OFFSET($CI$9,CN33-1,0,1,1))+OFFSET($BP$9,CN33-1,CQ33,1,1),IF(F33&lt;OFFSET($BN$9,CN33+0,0,1,1),((F33-OFFSET($BM$9,CN33+0,0,1,1))*OFFSET($CI$9,CN33+0,0,1,1))+OFFSET($BP$9,CN33+0,CQ33,1,1),IF(F33&lt;OFFSET($BN$9,CN33+1,0,1,1),((F33-OFFSET($BM$9,CN33+1,0,1,1))*OFFSET($CI$9,CN33+1,0,1,1))+OFFSET($BP$9,CN33+1,CQ33,1,1),IF(F33&lt;OFFSET($BN$9,CN33+2,0,1,1),((F33-OFFSET($BM$9,CN33+2,0,1,1))*OFFSET($CI$9,CN33+2,0,1,1))+OFFSET($BP$9,CN33+2,CQ33,1,1),IF(F33&lt;OFFSET($BN$9,CN33+3,0,1,1),((F33-OFFSET($BM$9,CN33+3,0,1,1))*OFFSET($CI$9,CN33+3,0,1,1))+OFFSET($BP$9,CN33+3,CQ33,1,1),0))))))</f>
        <v>0</v>
      </c>
      <c r="DJ33" s="51">
        <f ca="1">IF($F33&lt;OFFSET($BM$9,$CN33-1,0,1,1),0,IF($F33&lt;OFFSET($BN$9,$CN33-1,0,1,1),IF(AND($H33&gt;2.4,Z33&lt;&gt;"e",Z33&lt;&gt;"f"),DN33*2.4/$H33,DN33),IF($F33&lt;OFFSET($BN$9,$CN33+0,0,1,1),IF(AND($H33&gt;2.4,Z33&lt;&gt;"e",Z33&lt;&gt;"f"),DN33*2.4/$H33,DN33),IF($F33&lt;OFFSET($BN$9,$CN33+1,0,1,1),IF(AND($H33&gt;2.4,Z33&lt;&gt;"e",Z33&lt;&gt;"f"),DN33*2.4/$H33,DN33),IF($F33&lt;OFFSET($BN$9,$CN33+2,0,1,1),IF(AND($H33&gt;2.4,Z33&lt;&gt;"e",Z33&lt;&gt;"f"),DN33*2.4/$H33,DN33),IF($F33&lt;OFFSET($BN$9,$CN33+3,0,1,1),IF(AND($H33&gt;2.4,Z33&lt;&gt;"e",Z33&lt;&gt;"f"),DN33*2.4/$H33,DN33),0)))))*COS(RADIANS($G33)))</f>
        <v>0</v>
      </c>
      <c r="DK33" s="51"/>
      <c r="DL33" s="51">
        <f ca="1">IF(DG33&gt;$CR33,$CR33,DG33)</f>
        <v>0</v>
      </c>
      <c r="DM33" s="51"/>
      <c r="DN33" s="51">
        <f ca="1">IF(DI33&gt;$CR33,$CR33,DI33)</f>
        <v>0</v>
      </c>
      <c r="DO33" s="435">
        <f ca="1">IF(DH33&gt;$CR33,$CR33,DH33)</f>
        <v>0</v>
      </c>
      <c r="DP33" s="435">
        <f ca="1">DO33*F33</f>
        <v>0</v>
      </c>
      <c r="DQ33" s="436">
        <f ca="1">IF(DJ33&gt;$CR33,$CR33,DJ33)</f>
        <v>0</v>
      </c>
      <c r="DR33" s="437">
        <f ca="1">DQ33*F33</f>
        <v>0</v>
      </c>
      <c r="DS33" s="426">
        <f ca="1">OFFSET($CH$9,CL33-1,-15,1,1)</f>
        <v>0</v>
      </c>
      <c r="DT33" s="451">
        <f ca="1">VLOOKUP(DS33,Prodlink,2,0)</f>
        <v>0</v>
      </c>
      <c r="DU33" s="188">
        <f ca="1">IF(F33&lt;OFFSET($BM$9,DT33-1,0,1,1),0,IF(F33&lt;OFFSET($BN$9,DT33-1,0,1,1),((F33-OFFSET($BM$9,DT33-1,0,1,1))*OFFSET($CH$9,DT33-1,0,1,1))+OFFSET($BO$9,DT33-1,CQ33,1,1),IF(F33&lt;OFFSET($BN$9,DT33+0,0,1,1),((F33-OFFSET($BM$9,DT33+0,0,1,1))*OFFSET($CH$9,DT33+0,0,1,1))+OFFSET($BO$9,DT33+0,CQ33,1,1),IF(F33&lt;OFFSET($BN$9,DT33+1,0,1,1),((F33-OFFSET($BM$9,DT33+1,0,1,1))*OFFSET($CH$9,DT33+1,0,1,1))+OFFSET($BO$9,DT33+1,CQ33,1,1),IF(F33&lt;OFFSET($BN$9,DT33+2,0,1,1),((F33-OFFSET($BM$9,DT33+2,0,1,1))*OFFSET($CH$9,DT33+2,0,1,1))+OFFSET($BO$9,DT33+2,CQ33,1,1),IF(F33&lt;OFFSET($BN$9,DT33+3,0,1,1),((F33-OFFSET($BM$9,DT33+3,0,1,1))*OFFSET($CH$9,DT33+3,0,1,1))+OFFSET($BO$9,DT33+3,CQ33,1,1),0))))))</f>
        <v>0</v>
      </c>
      <c r="DV33" s="51">
        <f ca="1">IF($F33&lt;OFFSET($BM$9,$DT33-1,0,1,1),0,IF($F33&lt;OFFSET($BN$9,$DT33-1,0,1,1),IF(AND($H33&gt;2.4,Z33&lt;&gt;"e",Z33&lt;&gt;"f"),DZ33*2.4/$H33,DZ33),IF($F33&lt;OFFSET($BN$9,$DT33+0,0,1,1),IF(AND($H33&gt;2.4,Z33&lt;&gt;"e",Z33&lt;&gt;"f"),DZ33*2.4/$H33,DZ33),IF($F33&lt;OFFSET($BN$9,$DT33+1,0,1,1),IF(AND($H33&gt;2.4,Z33&lt;&gt;"e",Z33&lt;&gt;"f"),DZ33*2.4/$H33,DZ33),IF($F33&lt;OFFSET($BN$9,$DT33+2,0,1,1),IF(AND($H33&gt;2.4,Z33&lt;&gt;"e",Z33&lt;&gt;"f"),DZ33*2.4/$H33,DZ33),IF($F33&lt;OFFSET($BN$9,$DT33+3,0,1,1),IF(AND($H33&gt;2.4,Z33&lt;&gt;"e",Z33&lt;&gt;"f"),DZ33*2.4/$H33,DZ33),0)))))*COS(RADIANS($G33)))</f>
        <v>0</v>
      </c>
      <c r="DW33" s="188">
        <f ca="1">IF(F33&lt;OFFSET($BM$9,DT33-1,0,1,1),0,IF(F33&lt;OFFSET($BN$9,DT33-1,0,1,1),((F33-OFFSET($BM$9,DT33-1,0,1,1))*OFFSET($CI$9,DT33-1,0,1,1))+OFFSET($BP$9,DT33-1,CQ33,1,1),IF(F33&lt;OFFSET($BN$9,DT33+0,0,1,1),((F33-OFFSET($BM$9,DT33+0,0,1,1))*OFFSET($CI$9,DT33+0,0,1,1))+OFFSET($BP$9,DT33+0,CQ33,1,1),IF(F33&lt;OFFSET($BN$9,DT33+1,0,1,1),((F33-OFFSET($BM$9,DT33+1,0,1,1))*OFFSET($CI$9,DT33+1,0,1,1))+OFFSET($BP$9,DT33+1,CQ33,1,1),IF(F33&lt;OFFSET($BN$9,DT33+2,0,1,1),((F33-OFFSET($BM$9,DT33+2,0,1,1))*OFFSET($CI$9,DT33+2,0,1,1))+OFFSET($BP$9,DT33+2,CQ33,1,1),IF(F33&lt;OFFSET($BN$9,DT33+3,0,1,1),((F33-OFFSET($BM$9,DT33+3,0,1,1))*OFFSET($CI$9,DT33+3,0,1,1))+OFFSET($BP$9,DT33+3,CQ33,1,1),0))))))</f>
        <v>0</v>
      </c>
      <c r="DX33" s="51">
        <f ca="1">IF($F33&lt;OFFSET($BM$9,$DT33-1,0,1,1),0,IF($F33&lt;OFFSET($BN$9,$DT33-1,0,1,1),IF(AND($H33&gt;2.4,Z33&lt;&gt;"e",Z33&lt;&gt;"f"),EB33*2.4/$H33,EB33),IF($F33&lt;OFFSET($BN$9,$DT33+0,0,1,1),IF(AND($H33&gt;2.4,Z33&lt;&gt;"e",Z33&lt;&gt;"f"),EB33*2.4/$H33,EB33),IF($F33&lt;OFFSET($BN$9,$DT33+1,0,1,1),IF(AND($H33&gt;2.4,Z33&lt;&gt;"e",Z33&lt;&gt;"f"),EB33*2.4/$H33,EB33),IF($F33&lt;OFFSET($BN$9,$DT33+2,0,1,1),IF(AND($H33&gt;2.4,Z33&lt;&gt;"e",Z33&lt;&gt;"f"),EB33*2.4/$H33,EB33),IF($F33&lt;OFFSET($BN$9,$DT33+3,0,1,1),IF(AND($H33&gt;2.4,Z33&lt;&gt;"e",Z33&lt;&gt;"f"),EB33*2.4/$H33,EB33),0)))))*COS(RADIANS($G33)))</f>
        <v>0</v>
      </c>
      <c r="DY33" s="188"/>
      <c r="DZ33" s="188">
        <f ca="1">IF(DU33&gt;$CR33,$CR33,DU33)</f>
        <v>0</v>
      </c>
      <c r="EA33" s="188"/>
      <c r="EB33" s="188">
        <f ca="1">IF(DW33&gt;$CR33,$CR33,DW33)</f>
        <v>0</v>
      </c>
      <c r="EC33" s="435">
        <f ca="1">IF(DV33&gt;$CR33,$CR33,DV33)</f>
        <v>0</v>
      </c>
      <c r="ED33" s="435">
        <f ca="1">EC33*F33</f>
        <v>0</v>
      </c>
      <c r="EE33" s="436">
        <f ca="1">IF(DX33&gt;$CR33,$CR33,DX33)</f>
        <v>0</v>
      </c>
      <c r="EF33" s="437">
        <f ca="1">EE33*F33</f>
        <v>0</v>
      </c>
      <c r="EG33" s="613" t="str">
        <f>IF(D33=BG$12,BG$12,"")</f>
        <v/>
      </c>
      <c r="EH33" s="614" t="str">
        <f>IF(D33=BG$13,BG$13,"")</f>
        <v/>
      </c>
      <c r="EI33" s="611">
        <f>IF(EG33=BG$12,M33,0)</f>
        <v>0</v>
      </c>
      <c r="EJ33" s="451">
        <f>IF(EG33=BG$12,O33,0)</f>
        <v>0</v>
      </c>
      <c r="EK33" s="451">
        <f>IF(EH33=BG$13,M33,0)</f>
        <v>0</v>
      </c>
      <c r="EL33" s="612">
        <f>IF(EH33=BG$13,O33,0)</f>
        <v>0</v>
      </c>
      <c r="EM33" s="426" t="str">
        <f ca="1">IF(AND(Z33&lt;&gt;"t",Z33&lt;&gt;"f"),"",IF(AND(EN33=$BH$13,K33=$BH$12),"NotOpt",IF(K33&lt;&gt;EN33,"Error","")))</f>
        <v/>
      </c>
      <c r="EN33" s="491" t="str">
        <f>IF(AND($BH$28=1,$BG$28=1),$BH$13,$BH$12)</f>
        <v>120 BU's</v>
      </c>
      <c r="EO33" s="426" t="str">
        <f>K33</f>
        <v xml:space="preserve"> </v>
      </c>
      <c r="EP33" s="497">
        <v>1</v>
      </c>
      <c r="EQ33" s="430" t="str">
        <f ca="1">IF(EP33=1," ",OFFSET(BF$15,EP33-2,0,1,1))</f>
        <v xml:space="preserve"> </v>
      </c>
      <c r="ER33" s="439" t="str">
        <f ca="1">IF(H33=0," ",H33)</f>
        <v xml:space="preserve"> </v>
      </c>
      <c r="ES33" s="440" t="str">
        <f ca="1">IF(ER33&lt;&gt;" ",IF(ER33&lt;&gt;ER$7,"Changed",""),"")</f>
        <v/>
      </c>
      <c r="ET33" s="440">
        <f ca="1">IF(ER33&lt;&gt;" ",IF(ER33&lt;&gt;ER$7,1,0),0)</f>
        <v>0</v>
      </c>
      <c r="EU33" s="957" t="str">
        <f ca="1">IF(I33=" "," ",IF(F33&lt;OFFSET($BM$9,CL33-1,0,1,1),1,""))</f>
        <v xml:space="preserve"> </v>
      </c>
      <c r="EW33" s="427"/>
    </row>
    <row r="34" spans="1:153" ht="17.100000000000001" customHeight="1" thickBot="1">
      <c r="B34" s="689" t="s">
        <v>246</v>
      </c>
      <c r="C34" s="684" t="str">
        <f>IF(OR(F34=0,I34="",I34=" ")," ",$V34)</f>
        <v xml:space="preserve"> </v>
      </c>
      <c r="D34" s="1033"/>
      <c r="E34" s="1360"/>
      <c r="F34" s="202"/>
      <c r="G34" s="1416"/>
      <c r="H34" s="199" t="str">
        <f ca="1">IF(OR(F34=0,Z34="E",Z34="f")," ",'Project Demand'!E$35)</f>
        <v xml:space="preserve"> </v>
      </c>
      <c r="I34" s="631" t="str">
        <f>IF($I$6&lt;&gt;$BG$8," ",AB34)</f>
        <v xml:space="preserve"> </v>
      </c>
      <c r="J34" s="44" t="str">
        <f ca="1">IF(OR(I34=" ",I34="")," ",OFFSET($BO$9,CL34-1,0-4,1,1))</f>
        <v xml:space="preserve"> </v>
      </c>
      <c r="K34" s="55" t="str">
        <f>IF(OR(I34=" ",I34="")," ",IF(OR(Z34="e",Z34="h"),"SD",BG$24))</f>
        <v xml:space="preserve"> </v>
      </c>
      <c r="L34" s="49">
        <f ca="1">CW34</f>
        <v>0</v>
      </c>
      <c r="M34" s="49">
        <f ca="1">CY34</f>
        <v>0</v>
      </c>
      <c r="N34" s="50">
        <f t="shared" ca="1" si="19"/>
        <v>0</v>
      </c>
      <c r="O34" s="126">
        <f t="shared" ca="1" si="19"/>
        <v>0</v>
      </c>
      <c r="P34" s="140"/>
      <c r="Q34" s="752" t="str">
        <f ca="1">IF(AND(OR(Z34="t",Z34="f"),K34=$BH$11),"No Floor!  Change Floor Type",IF(OR(I34=" ",I34="")," ",IF(F34&lt;OFFSET($BM$9,CL34-1,0,1,1),"check L(m)",DE34&amp;IF(AND(DP34&gt;=CY34,DR34&gt;=DB34),IF(AND(ED34&gt;=DP34,EF34&gt;=DR34),CONCATENATE(DS34," will provide same result"),CONCATENATE(CO34," will provide same result")),IF((DP34&gt;=CY34),CONCATENATE(CO34," provides same result in WIND"),IF((DR34&gt;=DB34),CONCATENATE(CO34," provides same result in EQ"),""))))))&amp;IF(ISERROR(FIND("pile",I34,1)),"",IF(INT(F34)&lt;&gt;F34,"Pile!  Use Whole Numbers Only",""))</f>
        <v xml:space="preserve"> </v>
      </c>
      <c r="R34" s="52"/>
      <c r="S34" s="1372"/>
      <c r="T34" s="1372"/>
      <c r="U34" s="1377"/>
      <c r="V34" s="52" t="str">
        <f ca="1">IF(AND(B$5=$BF$9,OR(I34=BH$16,I34=BH$17))," ",IF(ISNUMBER(B$32),(CONCATENATE(B$32,".",W34)),(CONCATENATE(B$32,W34))))</f>
        <v>E0</v>
      </c>
      <c r="W34" s="9">
        <f ca="1">W33+X34</f>
        <v>0</v>
      </c>
      <c r="X34" s="9">
        <f>IF(AND(B$5=$BF$9,OR($I34=$BH$16,$I34=$BH$17,$I34=" ",$I34="",$F34=0)),0,IF(OR($I34=" ",$I34="",$F34=0),0,1))</f>
        <v>0</v>
      </c>
      <c r="Y34" s="896"/>
      <c r="Z34" s="52" t="str">
        <f ca="1">IF(I34=" "," ",OFFSET($BM$9,$CL34-1,8,1,1))</f>
        <v xml:space="preserve"> </v>
      </c>
      <c r="AA34" s="51" t="str">
        <f>IF(G34&gt;=45,"WA","")</f>
        <v/>
      </c>
      <c r="AB34" s="1364" t="str">
        <f>IF(F34&lt;&gt;"",IF(OR(D34=$BG$12,D34=$BG$13),IF(E34&lt;&gt;$BG$17,$BF$12,$BF$13),IF(E34&lt;&gt;$BG$17,$BF$12,$BF$13))," ")</f>
        <v xml:space="preserve"> </v>
      </c>
      <c r="AC34" s="1"/>
      <c r="AJ34" s="2230"/>
      <c r="AK34" s="2780"/>
      <c r="AL34" s="2785"/>
      <c r="AM34" s="1177">
        <f>'Regular and QuickBrace Systems'!F49</f>
        <v>1.2</v>
      </c>
      <c r="AN34" s="1274">
        <f>'Regular and QuickBrace Systems'!G49</f>
        <v>150</v>
      </c>
      <c r="AO34" s="1275">
        <f>'Regular and QuickBrace Systems'!H49</f>
        <v>148</v>
      </c>
      <c r="AP34" s="1277"/>
      <c r="AQ34" s="2665"/>
      <c r="AR34" s="2666"/>
      <c r="AS34" s="2032"/>
      <c r="AT34" s="1339"/>
      <c r="AU34" s="2124"/>
      <c r="AW34" s="1570" t="str">
        <f>'Regular and QuickBrace Systems'!O49</f>
        <v>Yes</v>
      </c>
      <c r="AX34" s="1574" t="str">
        <f>'Regular and QuickBrace Systems'!Q49</f>
        <v>Yes</v>
      </c>
      <c r="BD34" s="2648"/>
      <c r="BF34" s="599" t="str">
        <f>'Custom Elements'!C18</f>
        <v>Custom10</v>
      </c>
      <c r="BI34" s="759"/>
      <c r="BJ34" s="897">
        <f t="shared" si="3"/>
        <v>26</v>
      </c>
      <c r="BK34" s="769" t="str">
        <f>'Custom Elements'!O10</f>
        <v>NZS 3604</v>
      </c>
      <c r="BL34" s="771" t="str">
        <f>'Custom Elements'!P10</f>
        <v>Masonry 1.5</v>
      </c>
      <c r="BM34" s="455">
        <f>'Custom Elements'!Q10</f>
        <v>1.5</v>
      </c>
      <c r="BN34" s="455">
        <v>999</v>
      </c>
      <c r="BO34" s="455">
        <f>'Custom Elements'!R10</f>
        <v>100</v>
      </c>
      <c r="BP34" s="925">
        <f>'Custom Elements'!S10</f>
        <v>100</v>
      </c>
      <c r="BR34" s="764"/>
      <c r="BS34" s="455"/>
      <c r="BT34" s="455" t="s">
        <v>7</v>
      </c>
      <c r="BU34" s="925" t="s">
        <v>34</v>
      </c>
      <c r="BV34" s="483" t="str">
        <f t="shared" ref="BV34:BV39" si="23">BL34</f>
        <v>Masonry 1.5</v>
      </c>
      <c r="BW34" s="910">
        <f t="shared" si="20"/>
        <v>26</v>
      </c>
      <c r="BX34" s="925" t="str">
        <f>'Custom Elements'!U10</f>
        <v>Single</v>
      </c>
      <c r="CH34" s="764">
        <f t="shared" si="21"/>
        <v>0</v>
      </c>
      <c r="CI34" s="925">
        <f t="shared" si="22"/>
        <v>0</v>
      </c>
      <c r="CJ34" s="759"/>
      <c r="CK34" s="188"/>
      <c r="CL34" s="979">
        <f>VLOOKUP(I34,Prodlink,2,0)</f>
        <v>0</v>
      </c>
      <c r="CN34" s="497">
        <f ca="1">VLOOKUP(CO34,Prodlink,2,0)</f>
        <v>0</v>
      </c>
      <c r="CO34" s="497">
        <f ca="1">OFFSET($CH$9,CL34-1,-15,1,1)</f>
        <v>0</v>
      </c>
      <c r="CQ34" s="51">
        <v>0</v>
      </c>
      <c r="CR34" s="51">
        <f>IF(K34=$BH$12,$BH$23,IF(K34=$BH$13,$BH$24,10000))</f>
        <v>10000</v>
      </c>
      <c r="CS34" s="51">
        <f ca="1">IF(F34&lt;OFFSET($BM$9,CL34-1,0,1,1),0,IF(F34&lt;OFFSET($BN$9,CL34-1,0,1,1),((F34-OFFSET($BM$9,CL34-1,0,1,1))*OFFSET($CH$9,CL34-1,0,1,1))+OFFSET($BO$9,CL34-1,CQ34,1,1),IF(F34&lt;OFFSET($BN$9,CL34+0,0,1,1),((F34-OFFSET($BM$9,CL34+0,0,1,1))*OFFSET($CH$9,CL34+0,0,1,1))+OFFSET($BO$9,CL34+0,CQ34,1,1),IF(F34&lt;OFFSET($BN$9,CL34+1,0,1,1),((F34-OFFSET($BM$9,CL34+1,0,1,1))*OFFSET($CH$9,CL34+1,0,1,1))+OFFSET($BO$9,CL34+1,CQ34,1,1),IF(F34&lt;OFFSET($BN$9,CL34+2,0,1,1),((F34-OFFSET($BM$9,CL34+2,0,1,1))*OFFSET($CH$9,CL34+2,0,1,1))+OFFSET($BO$9,CL34+2,CQ34,1,1),IF(F34&lt;OFFSET($BN$9,CL34+3,0,1,1),((F34-OFFSET($BM$9,CL34+3,0,1,1))*OFFSET($CH$9,CL34+3,0,1,1))+OFFSET($BO$9,CL34+3,CQ34,1,1),0))))))</f>
        <v>0</v>
      </c>
      <c r="CT34" s="51">
        <f ca="1">IF($F34&lt;OFFSET($BM$9,$CL34-1,0,1,1),0,IF($F34&lt;OFFSET($BN$9,$CL34-1,0,1,1),IF(AND($H34&gt;2.4,Z34&lt;&gt;"e",Z34&lt;&gt;"f"),CX34*2.4/$H34,CX34),IF($F34&lt;OFFSET($BN$9,$CL34+0,0,1,1),IF(AND($H34&gt;2.4,Z34&lt;&gt;"e",Z34&lt;&gt;"f"),CX34*2.4/$H34,CX34),IF($F34&lt;OFFSET($BN$9,$CL34+1,0,1,1),IF(AND($H34&gt;2.4,Z34&lt;&gt;"e",Z34&lt;&gt;"f"),CX34*2.4/$H34,CX34),IF($F34&lt;OFFSET($BN$9,CL34+2,0,1,1),IF(AND($H34&gt;2.4,Z34&lt;&gt;"e",Z34&lt;&gt;"f"),CX34*2.4/$H34,CX34),IF($F34&lt;OFFSET($BN$9,CL34+3,0,1,1),IF(AND($H34&gt;2.4,Z34&lt;&gt;"e",Z34&lt;&gt;"f"),CX34*2.4/$H34,CX34),0)))))*COS(RADIANS($G34)))</f>
        <v>0</v>
      </c>
      <c r="CU34" s="51">
        <f ca="1">IF(F34&lt;OFFSET($BM$9,CL34-1,0,1,1),0,IF(F34&lt;OFFSET($BN$9,CL34-1,0,1,1),((F34-OFFSET($BM$9,CL34-1,0,1,1))*OFFSET($CI$9,CL34-1,0,1,1))+OFFSET($BP$9,CL34-1,CQ34,1,1),IF(F34&lt;OFFSET($BN$9,CL34+0,0,1,1),((F34-OFFSET($BM$9,CL34+0,0,1,1))*OFFSET($CI$9,CL34+0,0,1,1))+OFFSET($BP$9,CL34+0,CQ34,1,1),IF(F34&lt;OFFSET($BN$9,CL34+1,0,1,1),((F34-OFFSET($BM$9,CL34+1,0,1,1))*OFFSET($CI$9,CL34+1,0,1,1))+OFFSET($BP$9,CL34+1,CQ34,1,1),IF(F34&lt;OFFSET($BN$9,CL34+2,0,1,1),((F34-OFFSET($BM$9,CL34+2,0,1,1))*OFFSET($CI$9,CL34+2,0,1,1))+OFFSET($BP$9,CL34+2,CQ34,1,1),IF(F34&lt;OFFSET($BN$9,CL34+3,0,1,1),((F34-OFFSET($BM$9,CL34+3,0,1,1))*OFFSET($CI$9,CL34+3,0,1,1))+OFFSET($BP$9,CL34+3,CQ34,1,1),0))))))</f>
        <v>0</v>
      </c>
      <c r="CV34" s="51">
        <f ca="1">IF($F34&lt;OFFSET($BM$9,$CL34-1,0,1,1),0,IF($F34&lt;OFFSET($BN$9,$CL34-1,0,1,1),IF(AND($H34&gt;2.4,Z34&lt;&gt;"e",Z34&lt;&gt;"f"),CZ34*2.4/$H34,CZ34),IF($F34&lt;OFFSET($BN$9,$CL34+0,0,1,1),IF(AND($H34&gt;2.4,Z34&lt;&gt;"e",Z34&lt;&gt;"f"),CZ34*2.4/$H34,CZ34),IF($F34&lt;OFFSET($BN$9,$CL34+1,0,1,1),IF(AND($H34&gt;2.4,Z34&lt;&gt;"e",Z34&lt;&gt;"f"),CZ34*2.4/$H34,CZ34),IF($F34&lt;OFFSET($BN$9,$CL34+2,0,1,1),IF(AND($H34&gt;2.4,Z34&lt;&gt;"e",Z34&lt;&gt;"f"),CZ34*2.4/$H34,CZ34),IF($F34&lt;OFFSET($BN$9,$CL34+3,0,1,1),IF(AND($H34&gt;2.4,Z34&lt;&gt;"e",Z34&lt;&gt;"f"),CZ34*2.4/$H34,CZ34),0)))))*COS(RADIANS($G34)))</f>
        <v>0</v>
      </c>
      <c r="CW34" s="51">
        <f ca="1">IF(CT34&gt;CR34,CR34,CT34)</f>
        <v>0</v>
      </c>
      <c r="CX34" s="51">
        <f ca="1">IF(CS34&gt;$CR34,$CR34,CS34)</f>
        <v>0</v>
      </c>
      <c r="CY34" s="51">
        <f ca="1">CW34*F34</f>
        <v>0</v>
      </c>
      <c r="CZ34" s="51">
        <f ca="1">IF($CU34&gt;$CR34,$CR34,$CU34)</f>
        <v>0</v>
      </c>
      <c r="DA34" s="51">
        <f ca="1">IF(CV34&gt;CR34,CR34,CV34)</f>
        <v>0</v>
      </c>
      <c r="DB34" s="984">
        <f ca="1">DA34*F34</f>
        <v>0</v>
      </c>
      <c r="DC34" s="993">
        <v>1</v>
      </c>
      <c r="DD34" s="758" t="str">
        <f>IF(OR(D34=BG$12,D34=BG$13),"External",IF(D34=BG$14,"Internal"," "))</f>
        <v xml:space="preserve"> </v>
      </c>
      <c r="DE34" s="51" t="str">
        <f t="shared" ca="1" si="1"/>
        <v/>
      </c>
      <c r="DF34" s="52" t="str">
        <f t="shared" ca="1" si="2"/>
        <v xml:space="preserve"> </v>
      </c>
      <c r="DG34" s="51">
        <f ca="1">IF(F34&lt;OFFSET($BM$9,CN34-1,0,1,1),0,IF(F34&lt;OFFSET($BN$9,CN34-1,0,1,1),((F34-OFFSET($BM$9,CN34-1,0,1,1))*OFFSET($CH$9,CN34-1,0,1,1))+OFFSET($BO$9,CN34-1,CQ34,1,1),IF(F34&lt;OFFSET($BN$9,CN34+0,0,1,1),((F34-OFFSET($BM$9,CN34+0,0,1,1))*OFFSET($CH$9,CN34+0,0,1,1))+OFFSET($BO$9,CN34+0,CQ34,1,1),IF(F34&lt;OFFSET($BN$9,CN34+1,0,1,1),((F34-OFFSET($BM$9,CN34+1,0,1,1))*OFFSET($CH$9,CN34+1,0,1,1))+OFFSET($BO$9,CN34+1,CQ34,1,1),IF(F34&lt;OFFSET($BN$9,CN34+2,0,1,1),((F34-OFFSET($BM$9,CN34+2,0,1,1))*OFFSET($CH$9,CN34+2,0,1,1))+OFFSET($BO$9,CN34+2,CQ34,1,1),IF(F34&lt;OFFSET($BN$9,CN34+3,0,1,1),((F34-OFFSET($BM$9,CN34+3,0,1,1))*OFFSET($CH$9,CN34+3,0,1,1))+OFFSET($BO$9,CN34+3,CQ34,1,1),0))))))</f>
        <v>0</v>
      </c>
      <c r="DH34" s="51">
        <f ca="1">IF($F34&lt;OFFSET($BM$9,$CN34-1,0,1,1),0,IF($F34&lt;OFFSET($BN$9,$CN34-1,0,1,1),IF(AND($H34&gt;2.4,Z34&lt;&gt;"e",Z34&lt;&gt;"f"),DL34*2.4/$H34,DL34),IF($F34&lt;OFFSET($BN$9,$CN34+0,0,1,1),IF(AND($H34&gt;2.4,Z34&lt;&gt;"e",Z34&lt;&gt;"f"),DL34*2.4/$H34,DL34),IF($F34&lt;OFFSET($BN$9,$CN34+1,0,1,1),IF(AND($H34&gt;2.4,Z34&lt;&gt;"e",Z34&lt;&gt;"f"),DL34*2.4/$H34,DL34),IF($F34&lt;OFFSET($BN$9,$CN34+2,0,1,1),IF(AND($H34&gt;2.4,Z34&lt;&gt;"e",Z34&lt;&gt;"f"),DL34*2.4/$H34,DL34),IF($F34&lt;OFFSET($BN$9,$CN34+3,0,1,1),IF(AND($H34&gt;2.4,Z34&lt;&gt;"e",Z34&lt;&gt;"f"),DL34*2.4/$H34,DL34),0)))))*COS(RADIANS($G34)))</f>
        <v>0</v>
      </c>
      <c r="DI34" s="51">
        <f ca="1">IF(F34&lt;OFFSET($BM$9,CN34-1,0,1,1),0,IF(F34&lt;OFFSET($BN$9,CN34-1,0,1,1),((F34-OFFSET($BM$9,CN34-1,0,1,1))*OFFSET($CI$9,CN34-1,0,1,1))+OFFSET($BP$9,CN34-1,CQ34,1,1),IF(F34&lt;OFFSET($BN$9,CN34+0,0,1,1),((F34-OFFSET($BM$9,CN34+0,0,1,1))*OFFSET($CI$9,CN34+0,0,1,1))+OFFSET($BP$9,CN34+0,CQ34,1,1),IF(F34&lt;OFFSET($BN$9,CN34+1,0,1,1),((F34-OFFSET($BM$9,CN34+1,0,1,1))*OFFSET($CI$9,CN34+1,0,1,1))+OFFSET($BP$9,CN34+1,CQ34,1,1),IF(F34&lt;OFFSET($BN$9,CN34+2,0,1,1),((F34-OFFSET($BM$9,CN34+2,0,1,1))*OFFSET($CI$9,CN34+2,0,1,1))+OFFSET($BP$9,CN34+2,CQ34,1,1),IF(F34&lt;OFFSET($BN$9,CN34+3,0,1,1),((F34-OFFSET($BM$9,CN34+3,0,1,1))*OFFSET($CI$9,CN34+3,0,1,1))+OFFSET($BP$9,CN34+3,CQ34,1,1),0))))))</f>
        <v>0</v>
      </c>
      <c r="DJ34" s="51">
        <f ca="1">IF($F34&lt;OFFSET($BM$9,$CN34-1,0,1,1),0,IF($F34&lt;OFFSET($BN$9,$CN34-1,0,1,1),IF(AND($H34&gt;2.4,Z34&lt;&gt;"e",Z34&lt;&gt;"f"),DN34*2.4/$H34,DN34),IF($F34&lt;OFFSET($BN$9,$CN34+0,0,1,1),IF(AND($H34&gt;2.4,Z34&lt;&gt;"e",Z34&lt;&gt;"f"),DN34*2.4/$H34,DN34),IF($F34&lt;OFFSET($BN$9,$CN34+1,0,1,1),IF(AND($H34&gt;2.4,Z34&lt;&gt;"e",Z34&lt;&gt;"f"),DN34*2.4/$H34,DN34),IF($F34&lt;OFFSET($BN$9,$CN34+2,0,1,1),IF(AND($H34&gt;2.4,Z34&lt;&gt;"e",Z34&lt;&gt;"f"),DN34*2.4/$H34,DN34),IF($F34&lt;OFFSET($BN$9,$CN34+3,0,1,1),IF(AND($H34&gt;2.4,Z34&lt;&gt;"e",Z34&lt;&gt;"f"),DN34*2.4/$H34,DN34),0)))))*COS(RADIANS($G34)))</f>
        <v>0</v>
      </c>
      <c r="DK34" s="51"/>
      <c r="DL34" s="51">
        <f ca="1">IF(DG34&gt;$CR34,$CR34,DG34)</f>
        <v>0</v>
      </c>
      <c r="DM34" s="51"/>
      <c r="DN34" s="51">
        <f ca="1">IF(DI34&gt;$CR34,$CR34,DI34)</f>
        <v>0</v>
      </c>
      <c r="DO34" s="435">
        <f ca="1">IF(DH34&gt;$CR34,$CR34,DH34)</f>
        <v>0</v>
      </c>
      <c r="DP34" s="435">
        <f ca="1">DO34*F34</f>
        <v>0</v>
      </c>
      <c r="DQ34" s="436">
        <f ca="1">IF(DJ34&gt;$CR34,$CR34,DJ34)</f>
        <v>0</v>
      </c>
      <c r="DR34" s="437">
        <f ca="1">DQ34*F34</f>
        <v>0</v>
      </c>
      <c r="DS34" s="426">
        <f ca="1">OFFSET($CH$9,CL34-1,-15,1,1)</f>
        <v>0</v>
      </c>
      <c r="DT34" s="451">
        <f ca="1">VLOOKUP(DS34,Prodlink,2,0)</f>
        <v>0</v>
      </c>
      <c r="DU34" s="188">
        <f ca="1">IF(F34&lt;OFFSET($BM$9,DT34-1,0,1,1),0,IF(F34&lt;OFFSET($BN$9,DT34-1,0,1,1),((F34-OFFSET($BM$9,DT34-1,0,1,1))*OFFSET($CH$9,DT34-1,0,1,1))+OFFSET($BO$9,DT34-1,CQ34,1,1),IF(F34&lt;OFFSET($BN$9,DT34+0,0,1,1),((F34-OFFSET($BM$9,DT34+0,0,1,1))*OFFSET($CH$9,DT34+0,0,1,1))+OFFSET($BO$9,DT34+0,CQ34,1,1),IF(F34&lt;OFFSET($BN$9,DT34+1,0,1,1),((F34-OFFSET($BM$9,DT34+1,0,1,1))*OFFSET($CH$9,DT34+1,0,1,1))+OFFSET($BO$9,DT34+1,CQ34,1,1),IF(F34&lt;OFFSET($BN$9,DT34+2,0,1,1),((F34-OFFSET($BM$9,DT34+2,0,1,1))*OFFSET($CH$9,DT34+2,0,1,1))+OFFSET($BO$9,DT34+2,CQ34,1,1),IF(F34&lt;OFFSET($BN$9,DT34+3,0,1,1),((F34-OFFSET($BM$9,DT34+3,0,1,1))*OFFSET($CH$9,DT34+3,0,1,1))+OFFSET($BO$9,DT34+3,CQ34,1,1),0))))))</f>
        <v>0</v>
      </c>
      <c r="DV34" s="51">
        <f ca="1">IF($F34&lt;OFFSET($BM$9,$DT34-1,0,1,1),0,IF($F34&lt;OFFSET($BN$9,$DT34-1,0,1,1),IF(AND($H34&gt;2.4,Z34&lt;&gt;"e",Z34&lt;&gt;"f"),DZ34*2.4/$H34,DZ34),IF($F34&lt;OFFSET($BN$9,$DT34+0,0,1,1),IF(AND($H34&gt;2.4,Z34&lt;&gt;"e",Z34&lt;&gt;"f"),DZ34*2.4/$H34,DZ34),IF($F34&lt;OFFSET($BN$9,$DT34+1,0,1,1),IF(AND($H34&gt;2.4,Z34&lt;&gt;"e",Z34&lt;&gt;"f"),DZ34*2.4/$H34,DZ34),IF($F34&lt;OFFSET($BN$9,$DT34+2,0,1,1),IF(AND($H34&gt;2.4,Z34&lt;&gt;"e",Z34&lt;&gt;"f"),DZ34*2.4/$H34,DZ34),IF($F34&lt;OFFSET($BN$9,$DT34+3,0,1,1),IF(AND($H34&gt;2.4,Z34&lt;&gt;"e",Z34&lt;&gt;"f"),DZ34*2.4/$H34,DZ34),0)))))*COS(RADIANS($G34)))</f>
        <v>0</v>
      </c>
      <c r="DW34" s="188">
        <f ca="1">IF(F34&lt;OFFSET($BM$9,DT34-1,0,1,1),0,IF(F34&lt;OFFSET($BN$9,DT34-1,0,1,1),((F34-OFFSET($BM$9,DT34-1,0,1,1))*OFFSET($CI$9,DT34-1,0,1,1))+OFFSET($BP$9,DT34-1,CQ34,1,1),IF(F34&lt;OFFSET($BN$9,DT34+0,0,1,1),((F34-OFFSET($BM$9,DT34+0,0,1,1))*OFFSET($CI$9,DT34+0,0,1,1))+OFFSET($BP$9,DT34+0,CQ34,1,1),IF(F34&lt;OFFSET($BN$9,DT34+1,0,1,1),((F34-OFFSET($BM$9,DT34+1,0,1,1))*OFFSET($CI$9,DT34+1,0,1,1))+OFFSET($BP$9,DT34+1,CQ34,1,1),IF(F34&lt;OFFSET($BN$9,DT34+2,0,1,1),((F34-OFFSET($BM$9,DT34+2,0,1,1))*OFFSET($CI$9,DT34+2,0,1,1))+OFFSET($BP$9,DT34+2,CQ34,1,1),IF(F34&lt;OFFSET($BN$9,DT34+3,0,1,1),((F34-OFFSET($BM$9,DT34+3,0,1,1))*OFFSET($CI$9,DT34+3,0,1,1))+OFFSET($BP$9,DT34+3,CQ34,1,1),0))))))</f>
        <v>0</v>
      </c>
      <c r="DX34" s="51">
        <f ca="1">IF($F34&lt;OFFSET($BM$9,$DT34-1,0,1,1),0,IF($F34&lt;OFFSET($BN$9,$DT34-1,0,1,1),IF(AND($H34&gt;2.4,Z34&lt;&gt;"e",Z34&lt;&gt;"f"),EB34*2.4/$H34,EB34),IF($F34&lt;OFFSET($BN$9,$DT34+0,0,1,1),IF(AND($H34&gt;2.4,Z34&lt;&gt;"e",Z34&lt;&gt;"f"),EB34*2.4/$H34,EB34),IF($F34&lt;OFFSET($BN$9,$DT34+1,0,1,1),IF(AND($H34&gt;2.4,Z34&lt;&gt;"e",Z34&lt;&gt;"f"),EB34*2.4/$H34,EB34),IF($F34&lt;OFFSET($BN$9,$DT34+2,0,1,1),IF(AND($H34&gt;2.4,Z34&lt;&gt;"e",Z34&lt;&gt;"f"),EB34*2.4/$H34,EB34),IF($F34&lt;OFFSET($BN$9,$DT34+3,0,1,1),IF(AND($H34&gt;2.4,Z34&lt;&gt;"e",Z34&lt;&gt;"f"),EB34*2.4/$H34,EB34),0)))))*COS(RADIANS($G34)))</f>
        <v>0</v>
      </c>
      <c r="DY34" s="188"/>
      <c r="DZ34" s="188">
        <f ca="1">IF(DU34&gt;$CR34,$CR34,DU34)</f>
        <v>0</v>
      </c>
      <c r="EA34" s="188"/>
      <c r="EB34" s="188">
        <f ca="1">IF(DW34&gt;$CR34,$CR34,DW34)</f>
        <v>0</v>
      </c>
      <c r="EC34" s="435">
        <f ca="1">IF(DV34&gt;$CR34,$CR34,DV34)</f>
        <v>0</v>
      </c>
      <c r="ED34" s="435">
        <f ca="1">EC34*F34</f>
        <v>0</v>
      </c>
      <c r="EE34" s="436">
        <f ca="1">IF(DX34&gt;$CR34,$CR34,DX34)</f>
        <v>0</v>
      </c>
      <c r="EF34" s="437">
        <f ca="1">EE34*F34</f>
        <v>0</v>
      </c>
      <c r="EG34" s="613" t="str">
        <f>IF(D34=BG$12,BG$12,"")</f>
        <v/>
      </c>
      <c r="EH34" s="614" t="str">
        <f>IF(D34=BG$13,BG$13,"")</f>
        <v/>
      </c>
      <c r="EI34" s="611">
        <f>IF(EG34=BG$12,M34,0)</f>
        <v>0</v>
      </c>
      <c r="EJ34" s="451">
        <f>IF(EG34=BG$12,O34,0)</f>
        <v>0</v>
      </c>
      <c r="EK34" s="451">
        <f>IF(EH34=BG$13,M34,0)</f>
        <v>0</v>
      </c>
      <c r="EL34" s="612">
        <f>IF(EH34=BG$13,O34,0)</f>
        <v>0</v>
      </c>
      <c r="EM34" s="426" t="str">
        <f ca="1">IF(AND(Z34&lt;&gt;"t",Z34&lt;&gt;"f"),"",IF(AND(EN34=$BH$13,K34=$BH$12),"NotOpt",IF(K34&lt;&gt;EN34,"Error","")))</f>
        <v/>
      </c>
      <c r="EN34" s="491" t="str">
        <f>IF(AND($BH$28=1,$BG$28=1),$BH$13,$BH$12)</f>
        <v>120 BU's</v>
      </c>
      <c r="EO34" s="426" t="str">
        <f>K34</f>
        <v xml:space="preserve"> </v>
      </c>
      <c r="EP34" s="497">
        <v>1</v>
      </c>
      <c r="EQ34" s="430" t="str">
        <f ca="1">IF(EP34=1," ",OFFSET(BF$15,EP34-2,0,1,1))</f>
        <v xml:space="preserve"> </v>
      </c>
      <c r="ER34" s="439" t="str">
        <f ca="1">IF(H34=0," ",H34)</f>
        <v xml:space="preserve"> </v>
      </c>
      <c r="ES34" s="440" t="str">
        <f ca="1">IF(ER34&lt;&gt;" ",IF(ER34&lt;&gt;ER$7,"Changed",""),"")</f>
        <v/>
      </c>
      <c r="ET34" s="440">
        <f ca="1">IF(ER34&lt;&gt;" ",IF(ER34&lt;&gt;ER$7,1,0),0)</f>
        <v>0</v>
      </c>
      <c r="EU34" s="957" t="str">
        <f ca="1">IF(I34=" "," ",IF(F34&lt;OFFSET($BM$9,CL34-1,0,1,1),1,""))</f>
        <v xml:space="preserve"> </v>
      </c>
      <c r="EW34" s="427"/>
    </row>
    <row r="35" spans="1:153" ht="17.100000000000001" customHeight="1" thickBot="1">
      <c r="B35" s="689" t="s">
        <v>246</v>
      </c>
      <c r="C35" s="684" t="str">
        <f>IF(OR(F35=0,I35="",I35=" ")," ",$V35)</f>
        <v xml:space="preserve"> </v>
      </c>
      <c r="D35" s="1033"/>
      <c r="E35" s="1360"/>
      <c r="F35" s="202"/>
      <c r="G35" s="1416"/>
      <c r="H35" s="199" t="str">
        <f ca="1">IF(OR(F35=0,Z35="E",Z35="f")," ",'Project Demand'!E$35)</f>
        <v xml:space="preserve"> </v>
      </c>
      <c r="I35" s="631" t="str">
        <f>IF($I$6&lt;&gt;$BG$8," ",AB35)</f>
        <v xml:space="preserve"> </v>
      </c>
      <c r="J35" s="44" t="str">
        <f ca="1">IF(OR(I35=" ",I35="")," ",OFFSET($BO$9,CL35-1,0-4,1,1))</f>
        <v xml:space="preserve"> </v>
      </c>
      <c r="K35" s="55" t="str">
        <f>IF(OR(I35=" ",I35="")," ",IF(OR(Z35="e",Z35="h"),"SD",BG$24))</f>
        <v xml:space="preserve"> </v>
      </c>
      <c r="L35" s="49">
        <f ca="1">CW35</f>
        <v>0</v>
      </c>
      <c r="M35" s="49">
        <f ca="1">CY35</f>
        <v>0</v>
      </c>
      <c r="N35" s="50">
        <f t="shared" ca="1" si="19"/>
        <v>0</v>
      </c>
      <c r="O35" s="126">
        <f t="shared" ca="1" si="19"/>
        <v>0</v>
      </c>
      <c r="P35" s="140"/>
      <c r="Q35" s="752" t="str">
        <f ca="1">IF(AND(OR(Z35="t",Z35="f"),K35=$BH$11),"No Floor!  Change Floor Type",IF(OR(I35=" ",I35="")," ",IF(F35&lt;OFFSET($BM$9,CL35-1,0,1,1),"check L(m)",DE35&amp;IF(AND(DP35&gt;=CY35,DR35&gt;=DB35),IF(AND(ED35&gt;=DP35,EF35&gt;=DR35),CONCATENATE(DS35," will provide same result"),CONCATENATE(CO35," will provide same result")),IF((DP35&gt;=CY35),CONCATENATE(CO35," provides same result in WIND"),IF((DR35&gt;=DB35),CONCATENATE(CO35," provides same result in EQ"),""))))))&amp;IF(ISERROR(FIND("pile",I35,1)),"",IF(INT(F35)&lt;&gt;F35,"Pile!  Use Whole Numbers Only",""))</f>
        <v xml:space="preserve"> </v>
      </c>
      <c r="R35" s="52"/>
      <c r="S35" s="1372"/>
      <c r="T35" s="1372"/>
      <c r="U35" s="1377"/>
      <c r="V35" s="52" t="str">
        <f ca="1">IF(AND(B$5=$BF$9,OR(I35=BH$16,I35=BH$17))," ",IF(ISNUMBER(B$32),(CONCATENATE(B$32,".",W35)),(CONCATENATE(B$32,W35))))</f>
        <v>E0</v>
      </c>
      <c r="W35" s="9">
        <f ca="1">W34+X35</f>
        <v>0</v>
      </c>
      <c r="X35" s="9">
        <f>IF(AND(B$5=$BF$9,OR($I35=$BH$16,$I35=$BH$17,$I35=" ",$I35="",$F35=0)),0,IF(OR($I35=" ",$I35="",$F35=0),0,1))</f>
        <v>0</v>
      </c>
      <c r="Y35" s="896"/>
      <c r="Z35" s="52" t="str">
        <f ca="1">IF(I35=" "," ",OFFSET($BM$9,$CL35-1,8,1,1))</f>
        <v xml:space="preserve"> </v>
      </c>
      <c r="AA35" s="51" t="str">
        <f>IF(G35&gt;=45,"WA","")</f>
        <v/>
      </c>
      <c r="AB35" s="1364" t="str">
        <f>IF(F35&lt;&gt;"",IF(OR(D35=$BG$12,D35=$BG$13),IF(E35&lt;&gt;$BG$17,$BF$12,$BF$13),IF(E35&lt;&gt;$BG$17,$BF$12,$BF$13))," ")</f>
        <v xml:space="preserve"> </v>
      </c>
      <c r="AC35" s="1"/>
      <c r="AJ35" s="2230"/>
      <c r="AK35" s="2799" t="str">
        <f>'Regular and QuickBrace Systems'!D50</f>
        <v>Plasterboard One Side, Plywood the Other</v>
      </c>
      <c r="AL35" s="2800"/>
      <c r="AM35" s="2800"/>
      <c r="AN35" s="2800"/>
      <c r="AO35" s="2800"/>
      <c r="AP35" s="1551"/>
      <c r="AQ35" s="1306"/>
      <c r="AR35" s="1551"/>
      <c r="AS35" s="1338"/>
      <c r="AT35" s="1188"/>
      <c r="AU35" s="1333"/>
      <c r="AW35" s="1587"/>
      <c r="AX35" s="1579"/>
      <c r="BD35" s="2648"/>
      <c r="BF35" s="599" t="str">
        <f>'Custom Elements'!C19</f>
        <v>Custom11</v>
      </c>
      <c r="BG35" s="948" t="s">
        <v>640</v>
      </c>
      <c r="BI35" s="759"/>
      <c r="BJ35" s="897">
        <f t="shared" si="3"/>
        <v>27</v>
      </c>
      <c r="BK35" s="769" t="str">
        <f>'Custom Elements'!O11</f>
        <v>NZS 3604</v>
      </c>
      <c r="BL35" s="771" t="str">
        <f>'Custom Elements'!P11</f>
        <v>Masonry 3.0</v>
      </c>
      <c r="BM35" s="455">
        <f>'Custom Elements'!Q11</f>
        <v>1.5</v>
      </c>
      <c r="BN35" s="455">
        <v>999</v>
      </c>
      <c r="BO35" s="455">
        <f>'Custom Elements'!R11</f>
        <v>200</v>
      </c>
      <c r="BP35" s="925">
        <f>'Custom Elements'!S11</f>
        <v>200</v>
      </c>
      <c r="BR35" s="764"/>
      <c r="BS35" s="455"/>
      <c r="BT35" s="455" t="s">
        <v>7</v>
      </c>
      <c r="BU35" s="925" t="s">
        <v>34</v>
      </c>
      <c r="BV35" s="483" t="str">
        <f t="shared" si="23"/>
        <v>Masonry 3.0</v>
      </c>
      <c r="BW35" s="910">
        <f t="shared" si="20"/>
        <v>27</v>
      </c>
      <c r="BX35" s="925" t="str">
        <f>'Custom Elements'!U11</f>
        <v>Single</v>
      </c>
      <c r="CH35" s="764">
        <f t="shared" si="21"/>
        <v>0</v>
      </c>
      <c r="CI35" s="925">
        <f t="shared" si="22"/>
        <v>0</v>
      </c>
      <c r="CJ35" s="759"/>
      <c r="CK35" s="188"/>
      <c r="CL35" s="979">
        <f>VLOOKUP(I35,Prodlink,2,0)</f>
        <v>0</v>
      </c>
      <c r="CN35" s="497">
        <f ca="1">VLOOKUP(CO35,Prodlink,2,0)</f>
        <v>0</v>
      </c>
      <c r="CO35" s="497">
        <f ca="1">OFFSET($CH$9,CL35-1,-15,1,1)</f>
        <v>0</v>
      </c>
      <c r="CQ35" s="51">
        <v>0</v>
      </c>
      <c r="CR35" s="51">
        <f>IF(K35=$BH$12,$BH$23,IF(K35=$BH$13,$BH$24,10000))</f>
        <v>10000</v>
      </c>
      <c r="CS35" s="51">
        <f ca="1">IF(F35&lt;OFFSET($BM$9,CL35-1,0,1,1),0,IF(F35&lt;OFFSET($BN$9,CL35-1,0,1,1),((F35-OFFSET($BM$9,CL35-1,0,1,1))*OFFSET($CH$9,CL35-1,0,1,1))+OFFSET($BO$9,CL35-1,CQ35,1,1),IF(F35&lt;OFFSET($BN$9,CL35+0,0,1,1),((F35-OFFSET($BM$9,CL35+0,0,1,1))*OFFSET($CH$9,CL35+0,0,1,1))+OFFSET($BO$9,CL35+0,CQ35,1,1),IF(F35&lt;OFFSET($BN$9,CL35+1,0,1,1),((F35-OFFSET($BM$9,CL35+1,0,1,1))*OFFSET($CH$9,CL35+1,0,1,1))+OFFSET($BO$9,CL35+1,CQ35,1,1),IF(F35&lt;OFFSET($BN$9,CL35+2,0,1,1),((F35-OFFSET($BM$9,CL35+2,0,1,1))*OFFSET($CH$9,CL35+2,0,1,1))+OFFSET($BO$9,CL35+2,CQ35,1,1),IF(F35&lt;OFFSET($BN$9,CL35+3,0,1,1),((F35-OFFSET($BM$9,CL35+3,0,1,1))*OFFSET($CH$9,CL35+3,0,1,1))+OFFSET($BO$9,CL35+3,CQ35,1,1),0))))))</f>
        <v>0</v>
      </c>
      <c r="CT35" s="51">
        <f ca="1">IF($F35&lt;OFFSET($BM$9,$CL35-1,0,1,1),0,IF($F35&lt;OFFSET($BN$9,$CL35-1,0,1,1),IF(AND($H35&gt;2.4,Z35&lt;&gt;"e",Z35&lt;&gt;"f"),CX35*2.4/$H35,CX35),IF($F35&lt;OFFSET($BN$9,$CL35+0,0,1,1),IF(AND($H35&gt;2.4,Z35&lt;&gt;"e",Z35&lt;&gt;"f"),CX35*2.4/$H35,CX35),IF($F35&lt;OFFSET($BN$9,$CL35+1,0,1,1),IF(AND($H35&gt;2.4,Z35&lt;&gt;"e",Z35&lt;&gt;"f"),CX35*2.4/$H35,CX35),IF($F35&lt;OFFSET($BN$9,CL35+2,0,1,1),IF(AND($H35&gt;2.4,Z35&lt;&gt;"e",Z35&lt;&gt;"f"),CX35*2.4/$H35,CX35),IF($F35&lt;OFFSET($BN$9,CL35+3,0,1,1),IF(AND($H35&gt;2.4,Z35&lt;&gt;"e",Z35&lt;&gt;"f"),CX35*2.4/$H35,CX35),0)))))*COS(RADIANS($G35)))</f>
        <v>0</v>
      </c>
      <c r="CU35" s="51">
        <f ca="1">IF(F35&lt;OFFSET($BM$9,CL35-1,0,1,1),0,IF(F35&lt;OFFSET($BN$9,CL35-1,0,1,1),((F35-OFFSET($BM$9,CL35-1,0,1,1))*OFFSET($CI$9,CL35-1,0,1,1))+OFFSET($BP$9,CL35-1,CQ35,1,1),IF(F35&lt;OFFSET($BN$9,CL35+0,0,1,1),((F35-OFFSET($BM$9,CL35+0,0,1,1))*OFFSET($CI$9,CL35+0,0,1,1))+OFFSET($BP$9,CL35+0,CQ35,1,1),IF(F35&lt;OFFSET($BN$9,CL35+1,0,1,1),((F35-OFFSET($BM$9,CL35+1,0,1,1))*OFFSET($CI$9,CL35+1,0,1,1))+OFFSET($BP$9,CL35+1,CQ35,1,1),IF(F35&lt;OFFSET($BN$9,CL35+2,0,1,1),((F35-OFFSET($BM$9,CL35+2,0,1,1))*OFFSET($CI$9,CL35+2,0,1,1))+OFFSET($BP$9,CL35+2,CQ35,1,1),IF(F35&lt;OFFSET($BN$9,CL35+3,0,1,1),((F35-OFFSET($BM$9,CL35+3,0,1,1))*OFFSET($CI$9,CL35+3,0,1,1))+OFFSET($BP$9,CL35+3,CQ35,1,1),0))))))</f>
        <v>0</v>
      </c>
      <c r="CV35" s="51">
        <f ca="1">IF($F35&lt;OFFSET($BM$9,$CL35-1,0,1,1),0,IF($F35&lt;OFFSET($BN$9,$CL35-1,0,1,1),IF(AND($H35&gt;2.4,Z35&lt;&gt;"e",Z35&lt;&gt;"f"),CZ35*2.4/$H35,CZ35),IF($F35&lt;OFFSET($BN$9,$CL35+0,0,1,1),IF(AND($H35&gt;2.4,Z35&lt;&gt;"e",Z35&lt;&gt;"f"),CZ35*2.4/$H35,CZ35),IF($F35&lt;OFFSET($BN$9,$CL35+1,0,1,1),IF(AND($H35&gt;2.4,Z35&lt;&gt;"e",Z35&lt;&gt;"f"),CZ35*2.4/$H35,CZ35),IF($F35&lt;OFFSET($BN$9,$CL35+2,0,1,1),IF(AND($H35&gt;2.4,Z35&lt;&gt;"e",Z35&lt;&gt;"f"),CZ35*2.4/$H35,CZ35),IF($F35&lt;OFFSET($BN$9,$CL35+3,0,1,1),IF(AND($H35&gt;2.4,Z35&lt;&gt;"e",Z35&lt;&gt;"f"),CZ35*2.4/$H35,CZ35),0)))))*COS(RADIANS($G35)))</f>
        <v>0</v>
      </c>
      <c r="CW35" s="51">
        <f ca="1">IF(CT35&gt;CR35,CR35,CT35)</f>
        <v>0</v>
      </c>
      <c r="CX35" s="51">
        <f ca="1">IF(CS35&gt;$CR35,$CR35,CS35)</f>
        <v>0</v>
      </c>
      <c r="CY35" s="51">
        <f ca="1">CW35*F35</f>
        <v>0</v>
      </c>
      <c r="CZ35" s="51">
        <f ca="1">IF($CU35&gt;$CR35,$CR35,$CU35)</f>
        <v>0</v>
      </c>
      <c r="DA35" s="51">
        <f ca="1">IF(CV35&gt;CR35,CR35,CV35)</f>
        <v>0</v>
      </c>
      <c r="DB35" s="984">
        <f ca="1">DA35*F35</f>
        <v>0</v>
      </c>
      <c r="DC35" s="993">
        <v>1</v>
      </c>
      <c r="DD35" s="758" t="str">
        <f>IF(OR(D35=BG$12,D35=BG$13),"External",IF(D35=BG$14,"Internal"," "))</f>
        <v xml:space="preserve"> </v>
      </c>
      <c r="DE35" s="51" t="str">
        <f t="shared" ca="1" si="1"/>
        <v/>
      </c>
      <c r="DF35" s="52" t="str">
        <f t="shared" ca="1" si="2"/>
        <v xml:space="preserve"> </v>
      </c>
      <c r="DG35" s="51">
        <f ca="1">IF(F35&lt;OFFSET($BM$9,CN35-1,0,1,1),0,IF(F35&lt;OFFSET($BN$9,CN35-1,0,1,1),((F35-OFFSET($BM$9,CN35-1,0,1,1))*OFFSET($CH$9,CN35-1,0,1,1))+OFFSET($BO$9,CN35-1,CQ35,1,1),IF(F35&lt;OFFSET($BN$9,CN35+0,0,1,1),((F35-OFFSET($BM$9,CN35+0,0,1,1))*OFFSET($CH$9,CN35+0,0,1,1))+OFFSET($BO$9,CN35+0,CQ35,1,1),IF(F35&lt;OFFSET($BN$9,CN35+1,0,1,1),((F35-OFFSET($BM$9,CN35+1,0,1,1))*OFFSET($CH$9,CN35+1,0,1,1))+OFFSET($BO$9,CN35+1,CQ35,1,1),IF(F35&lt;OFFSET($BN$9,CN35+2,0,1,1),((F35-OFFSET($BM$9,CN35+2,0,1,1))*OFFSET($CH$9,CN35+2,0,1,1))+OFFSET($BO$9,CN35+2,CQ35,1,1),IF(F35&lt;OFFSET($BN$9,CN35+3,0,1,1),((F35-OFFSET($BM$9,CN35+3,0,1,1))*OFFSET($CH$9,CN35+3,0,1,1))+OFFSET($BO$9,CN35+3,CQ35,1,1),0))))))</f>
        <v>0</v>
      </c>
      <c r="DH35" s="51">
        <f ca="1">IF($F35&lt;OFFSET($BM$9,$CN35-1,0,1,1),0,IF($F35&lt;OFFSET($BN$9,$CN35-1,0,1,1),IF(AND($H35&gt;2.4,Z35&lt;&gt;"e",Z35&lt;&gt;"f"),DL35*2.4/$H35,DL35),IF($F35&lt;OFFSET($BN$9,$CN35+0,0,1,1),IF(AND($H35&gt;2.4,Z35&lt;&gt;"e",Z35&lt;&gt;"f"),DL35*2.4/$H35,DL35),IF($F35&lt;OFFSET($BN$9,$CN35+1,0,1,1),IF(AND($H35&gt;2.4,Z35&lt;&gt;"e",Z35&lt;&gt;"f"),DL35*2.4/$H35,DL35),IF($F35&lt;OFFSET($BN$9,$CN35+2,0,1,1),IF(AND($H35&gt;2.4,Z35&lt;&gt;"e",Z35&lt;&gt;"f"),DL35*2.4/$H35,DL35),IF($F35&lt;OFFSET($BN$9,$CN35+3,0,1,1),IF(AND($H35&gt;2.4,Z35&lt;&gt;"e",Z35&lt;&gt;"f"),DL35*2.4/$H35,DL35),0)))))*COS(RADIANS($G35)))</f>
        <v>0</v>
      </c>
      <c r="DI35" s="51">
        <f ca="1">IF(F35&lt;OFFSET($BM$9,CN35-1,0,1,1),0,IF(F35&lt;OFFSET($BN$9,CN35-1,0,1,1),((F35-OFFSET($BM$9,CN35-1,0,1,1))*OFFSET($CI$9,CN35-1,0,1,1))+OFFSET($BP$9,CN35-1,CQ35,1,1),IF(F35&lt;OFFSET($BN$9,CN35+0,0,1,1),((F35-OFFSET($BM$9,CN35+0,0,1,1))*OFFSET($CI$9,CN35+0,0,1,1))+OFFSET($BP$9,CN35+0,CQ35,1,1),IF(F35&lt;OFFSET($BN$9,CN35+1,0,1,1),((F35-OFFSET($BM$9,CN35+1,0,1,1))*OFFSET($CI$9,CN35+1,0,1,1))+OFFSET($BP$9,CN35+1,CQ35,1,1),IF(F35&lt;OFFSET($BN$9,CN35+2,0,1,1),((F35-OFFSET($BM$9,CN35+2,0,1,1))*OFFSET($CI$9,CN35+2,0,1,1))+OFFSET($BP$9,CN35+2,CQ35,1,1),IF(F35&lt;OFFSET($BN$9,CN35+3,0,1,1),((F35-OFFSET($BM$9,CN35+3,0,1,1))*OFFSET($CI$9,CN35+3,0,1,1))+OFFSET($BP$9,CN35+3,CQ35,1,1),0))))))</f>
        <v>0</v>
      </c>
      <c r="DJ35" s="51">
        <f ca="1">IF($F35&lt;OFFSET($BM$9,$CN35-1,0,1,1),0,IF($F35&lt;OFFSET($BN$9,$CN35-1,0,1,1),IF(AND($H35&gt;2.4,Z35&lt;&gt;"e",Z35&lt;&gt;"f"),DN35*2.4/$H35,DN35),IF($F35&lt;OFFSET($BN$9,$CN35+0,0,1,1),IF(AND($H35&gt;2.4,Z35&lt;&gt;"e",Z35&lt;&gt;"f"),DN35*2.4/$H35,DN35),IF($F35&lt;OFFSET($BN$9,$CN35+1,0,1,1),IF(AND($H35&gt;2.4,Z35&lt;&gt;"e",Z35&lt;&gt;"f"),DN35*2.4/$H35,DN35),IF($F35&lt;OFFSET($BN$9,$CN35+2,0,1,1),IF(AND($H35&gt;2.4,Z35&lt;&gt;"e",Z35&lt;&gt;"f"),DN35*2.4/$H35,DN35),IF($F35&lt;OFFSET($BN$9,$CN35+3,0,1,1),IF(AND($H35&gt;2.4,Z35&lt;&gt;"e",Z35&lt;&gt;"f"),DN35*2.4/$H35,DN35),0)))))*COS(RADIANS($G35)))</f>
        <v>0</v>
      </c>
      <c r="DK35" s="51"/>
      <c r="DL35" s="51">
        <f ca="1">IF(DG35&gt;$CR35,$CR35,DG35)</f>
        <v>0</v>
      </c>
      <c r="DM35" s="51"/>
      <c r="DN35" s="51">
        <f ca="1">IF(DI35&gt;$CR35,$CR35,DI35)</f>
        <v>0</v>
      </c>
      <c r="DO35" s="435">
        <f ca="1">IF(DH35&gt;$CR35,$CR35,DH35)</f>
        <v>0</v>
      </c>
      <c r="DP35" s="435">
        <f ca="1">DO35*F35</f>
        <v>0</v>
      </c>
      <c r="DQ35" s="436">
        <f ca="1">IF(DJ35&gt;$CR35,$CR35,DJ35)</f>
        <v>0</v>
      </c>
      <c r="DR35" s="437">
        <f ca="1">DQ35*F35</f>
        <v>0</v>
      </c>
      <c r="DS35" s="426">
        <f ca="1">OFFSET($CH$9,CL35-1,-15,1,1)</f>
        <v>0</v>
      </c>
      <c r="DT35" s="451">
        <f ca="1">VLOOKUP(DS35,Prodlink,2,0)</f>
        <v>0</v>
      </c>
      <c r="DU35" s="188">
        <f ca="1">IF(F35&lt;OFFSET($BM$9,DT35-1,0,1,1),0,IF(F35&lt;OFFSET($BN$9,DT35-1,0,1,1),((F35-OFFSET($BM$9,DT35-1,0,1,1))*OFFSET($CH$9,DT35-1,0,1,1))+OFFSET($BO$9,DT35-1,CQ35,1,1),IF(F35&lt;OFFSET($BN$9,DT35+0,0,1,1),((F35-OFFSET($BM$9,DT35+0,0,1,1))*OFFSET($CH$9,DT35+0,0,1,1))+OFFSET($BO$9,DT35+0,CQ35,1,1),IF(F35&lt;OFFSET($BN$9,DT35+1,0,1,1),((F35-OFFSET($BM$9,DT35+1,0,1,1))*OFFSET($CH$9,DT35+1,0,1,1))+OFFSET($BO$9,DT35+1,CQ35,1,1),IF(F35&lt;OFFSET($BN$9,DT35+2,0,1,1),((F35-OFFSET($BM$9,DT35+2,0,1,1))*OFFSET($CH$9,DT35+2,0,1,1))+OFFSET($BO$9,DT35+2,CQ35,1,1),IF(F35&lt;OFFSET($BN$9,DT35+3,0,1,1),((F35-OFFSET($BM$9,DT35+3,0,1,1))*OFFSET($CH$9,DT35+3,0,1,1))+OFFSET($BO$9,DT35+3,CQ35,1,1),0))))))</f>
        <v>0</v>
      </c>
      <c r="DV35" s="51">
        <f ca="1">IF($F35&lt;OFFSET($BM$9,$DT35-1,0,1,1),0,IF($F35&lt;OFFSET($BN$9,$DT35-1,0,1,1),IF(AND($H35&gt;2.4,Z35&lt;&gt;"e",Z35&lt;&gt;"f"),DZ35*2.4/$H35,DZ35),IF($F35&lt;OFFSET($BN$9,$DT35+0,0,1,1),IF(AND($H35&gt;2.4,Z35&lt;&gt;"e",Z35&lt;&gt;"f"),DZ35*2.4/$H35,DZ35),IF($F35&lt;OFFSET($BN$9,$DT35+1,0,1,1),IF(AND($H35&gt;2.4,Z35&lt;&gt;"e",Z35&lt;&gt;"f"),DZ35*2.4/$H35,DZ35),IF($F35&lt;OFFSET($BN$9,$DT35+2,0,1,1),IF(AND($H35&gt;2.4,Z35&lt;&gt;"e",Z35&lt;&gt;"f"),DZ35*2.4/$H35,DZ35),IF($F35&lt;OFFSET($BN$9,$DT35+3,0,1,1),IF(AND($H35&gt;2.4,Z35&lt;&gt;"e",Z35&lt;&gt;"f"),DZ35*2.4/$H35,DZ35),0)))))*COS(RADIANS($G35)))</f>
        <v>0</v>
      </c>
      <c r="DW35" s="188">
        <f ca="1">IF(F35&lt;OFFSET($BM$9,DT35-1,0,1,1),0,IF(F35&lt;OFFSET($BN$9,DT35-1,0,1,1),((F35-OFFSET($BM$9,DT35-1,0,1,1))*OFFSET($CI$9,DT35-1,0,1,1))+OFFSET($BP$9,DT35-1,CQ35,1,1),IF(F35&lt;OFFSET($BN$9,DT35+0,0,1,1),((F35-OFFSET($BM$9,DT35+0,0,1,1))*OFFSET($CI$9,DT35+0,0,1,1))+OFFSET($BP$9,DT35+0,CQ35,1,1),IF(F35&lt;OFFSET($BN$9,DT35+1,0,1,1),((F35-OFFSET($BM$9,DT35+1,0,1,1))*OFFSET($CI$9,DT35+1,0,1,1))+OFFSET($BP$9,DT35+1,CQ35,1,1),IF(F35&lt;OFFSET($BN$9,DT35+2,0,1,1),((F35-OFFSET($BM$9,DT35+2,0,1,1))*OFFSET($CI$9,DT35+2,0,1,1))+OFFSET($BP$9,DT35+2,CQ35,1,1),IF(F35&lt;OFFSET($BN$9,DT35+3,0,1,1),((F35-OFFSET($BM$9,DT35+3,0,1,1))*OFFSET($CI$9,DT35+3,0,1,1))+OFFSET($BP$9,DT35+3,CQ35,1,1),0))))))</f>
        <v>0</v>
      </c>
      <c r="DX35" s="51">
        <f ca="1">IF($F35&lt;OFFSET($BM$9,$DT35-1,0,1,1),0,IF($F35&lt;OFFSET($BN$9,$DT35-1,0,1,1),IF(AND($H35&gt;2.4,Z35&lt;&gt;"e",Z35&lt;&gt;"f"),EB35*2.4/$H35,EB35),IF($F35&lt;OFFSET($BN$9,$DT35+0,0,1,1),IF(AND($H35&gt;2.4,Z35&lt;&gt;"e",Z35&lt;&gt;"f"),EB35*2.4/$H35,EB35),IF($F35&lt;OFFSET($BN$9,$DT35+1,0,1,1),IF(AND($H35&gt;2.4,Z35&lt;&gt;"e",Z35&lt;&gt;"f"),EB35*2.4/$H35,EB35),IF($F35&lt;OFFSET($BN$9,$DT35+2,0,1,1),IF(AND($H35&gt;2.4,Z35&lt;&gt;"e",Z35&lt;&gt;"f"),EB35*2.4/$H35,EB35),IF($F35&lt;OFFSET($BN$9,$DT35+3,0,1,1),IF(AND($H35&gt;2.4,Z35&lt;&gt;"e",Z35&lt;&gt;"f"),EB35*2.4/$H35,EB35),0)))))*COS(RADIANS($G35)))</f>
        <v>0</v>
      </c>
      <c r="DY35" s="188"/>
      <c r="DZ35" s="188">
        <f ca="1">IF(DU35&gt;$CR35,$CR35,DU35)</f>
        <v>0</v>
      </c>
      <c r="EA35" s="188"/>
      <c r="EB35" s="188">
        <f ca="1">IF(DW35&gt;$CR35,$CR35,DW35)</f>
        <v>0</v>
      </c>
      <c r="EC35" s="435">
        <f ca="1">IF(DV35&gt;$CR35,$CR35,DV35)</f>
        <v>0</v>
      </c>
      <c r="ED35" s="435">
        <f ca="1">EC35*F35</f>
        <v>0</v>
      </c>
      <c r="EE35" s="436">
        <f ca="1">IF(DX35&gt;$CR35,$CR35,DX35)</f>
        <v>0</v>
      </c>
      <c r="EF35" s="437">
        <f ca="1">EE35*F35</f>
        <v>0</v>
      </c>
      <c r="EG35" s="613" t="str">
        <f>IF(D35=BG$12,BG$12,"")</f>
        <v/>
      </c>
      <c r="EH35" s="614" t="str">
        <f>IF(D35=BG$13,BG$13,"")</f>
        <v/>
      </c>
      <c r="EI35" s="611">
        <f>IF(EG35=BG$12,M35,0)</f>
        <v>0</v>
      </c>
      <c r="EJ35" s="451">
        <f>IF(EG35=BG$12,O35,0)</f>
        <v>0</v>
      </c>
      <c r="EK35" s="451">
        <f>IF(EH35=BG$13,M35,0)</f>
        <v>0</v>
      </c>
      <c r="EL35" s="612">
        <f>IF(EH35=BG$13,O35,0)</f>
        <v>0</v>
      </c>
      <c r="EM35" s="426" t="str">
        <f ca="1">IF(AND(Z35&lt;&gt;"t",Z35&lt;&gt;"f"),"",IF(AND(EN35=$BH$13,K35=$BH$12),"NotOpt",IF(K35&lt;&gt;EN35,"Error","")))</f>
        <v/>
      </c>
      <c r="EN35" s="491" t="str">
        <f>IF(AND($BH$28=1,$BG$28=1),$BH$13,$BH$12)</f>
        <v>120 BU's</v>
      </c>
      <c r="EO35" s="426" t="str">
        <f>K35</f>
        <v xml:space="preserve"> </v>
      </c>
      <c r="EP35" s="497">
        <v>1</v>
      </c>
      <c r="EQ35" s="430" t="str">
        <f ca="1">IF(EP35=1," ",OFFSET(BF$15,EP35-2,0,1,1))</f>
        <v xml:space="preserve"> </v>
      </c>
      <c r="ER35" s="439" t="str">
        <f ca="1">IF(H35=0," ",H35)</f>
        <v xml:space="preserve"> </v>
      </c>
      <c r="ES35" s="440" t="str">
        <f ca="1">IF(ER35&lt;&gt;" ",IF(ER35&lt;&gt;ER$7,"Changed",""),"")</f>
        <v/>
      </c>
      <c r="ET35" s="440">
        <f ca="1">IF(ER35&lt;&gt;" ",IF(ER35&lt;&gt;ER$7,1,0),0)</f>
        <v>0</v>
      </c>
      <c r="EU35" s="957" t="str">
        <f ca="1">IF(I35=" "," ",IF(F35&lt;OFFSET($BM$9,CL35-1,0,1,1),1,""))</f>
        <v xml:space="preserve"> </v>
      </c>
      <c r="EW35" s="427"/>
    </row>
    <row r="36" spans="1:153" ht="17.100000000000001" customHeight="1" thickBot="1">
      <c r="B36" s="689" t="s">
        <v>246</v>
      </c>
      <c r="C36" s="684" t="str">
        <f>IF(OR(F36=0,I36="",I36=" ")," ",$V36)</f>
        <v xml:space="preserve"> </v>
      </c>
      <c r="D36" s="1033"/>
      <c r="E36" s="1360"/>
      <c r="F36" s="202"/>
      <c r="G36" s="1416"/>
      <c r="H36" s="199" t="str">
        <f ca="1">IF(OR(F36=0,Z36="E",Z36="f")," ",'Project Demand'!E$35)</f>
        <v xml:space="preserve"> </v>
      </c>
      <c r="I36" s="631" t="str">
        <f>IF($I$6&lt;&gt;$BG$8," ",AB36)</f>
        <v xml:space="preserve"> </v>
      </c>
      <c r="J36" s="44" t="str">
        <f ca="1">IF(OR(I36=" ",I36="")," ",OFFSET($BO$9,CL36-1,0-4,1,1))</f>
        <v xml:space="preserve"> </v>
      </c>
      <c r="K36" s="55" t="str">
        <f>IF(OR(I36=" ",I36="")," ",IF(OR(Z36="e",Z36="h"),"SD",BG$24))</f>
        <v xml:space="preserve"> </v>
      </c>
      <c r="L36" s="49">
        <f ca="1">CW36</f>
        <v>0</v>
      </c>
      <c r="M36" s="49">
        <f ca="1">CY36</f>
        <v>0</v>
      </c>
      <c r="N36" s="50">
        <f t="shared" ca="1" si="19"/>
        <v>0</v>
      </c>
      <c r="O36" s="126">
        <f t="shared" ca="1" si="19"/>
        <v>0</v>
      </c>
      <c r="P36" s="140"/>
      <c r="Q36" s="752" t="str">
        <f ca="1">IF(AND(OR(Z36="t",Z36="f"),K36=$BH$11),"No Floor!  Change Floor Type",IF(OR(I36=" ",I36="")," ",IF(F36&lt;OFFSET($BM$9,CL36-1,0,1,1),"check L(m)",DE36&amp;IF(AND(DP36&gt;=CY36,DR36&gt;=DB36),IF(AND(ED36&gt;=DP36,EF36&gt;=DR36),CONCATENATE(DS36," will provide same result"),CONCATENATE(CO36," will provide same result")),IF((DP36&gt;=CY36),CONCATENATE(CO36," provides same result in WIND"),IF((DR36&gt;=DB36),CONCATENATE(CO36," provides same result in EQ"),""))))))&amp;IF(ISERROR(FIND("pile",I36,1)),"",IF(INT(F36)&lt;&gt;F36,"Pile!  Use Whole Numbers Only",""))</f>
        <v xml:space="preserve"> </v>
      </c>
      <c r="U36" s="1377"/>
      <c r="V36" s="52" t="str">
        <f ca="1">IF(AND(B$5=$BF$9,OR(I36=BH$16,I36=BH$17))," ",IF(ISNUMBER(B$32),(CONCATENATE(B$32,".",W36)),(CONCATENATE(B$32,W36))))</f>
        <v>E0</v>
      </c>
      <c r="W36" s="9">
        <f ca="1">W35+X36</f>
        <v>0</v>
      </c>
      <c r="X36" s="9">
        <f>IF(AND(B$5=$BF$9,OR($I36=$BH$16,$I36=$BH$17,$I36=" ",$I36="",$F36=0)),0,IF(OR($I36=" ",$I36="",$F36=0),0,1))</f>
        <v>0</v>
      </c>
      <c r="Y36" s="896"/>
      <c r="Z36" s="52" t="str">
        <f ca="1">IF(I36=" "," ",OFFSET($BM$9,$CL36-1,8,1,1))</f>
        <v xml:space="preserve"> </v>
      </c>
      <c r="AA36" s="51" t="str">
        <f>IF(G36&gt;=45,"WA","")</f>
        <v/>
      </c>
      <c r="AB36" s="1364" t="str">
        <f>IF(F36&lt;&gt;"",IF(OR(D36=$BG$12,D36=$BG$13),IF(E36&lt;&gt;$BG$17,$BF$12,$BF$13),IF(E36&lt;&gt;$BG$17,$BF$12,$BF$13))," ")</f>
        <v xml:space="preserve"> </v>
      </c>
      <c r="AC36" s="1"/>
      <c r="AJ36" s="2230"/>
      <c r="AK36" s="2797" t="str">
        <f>'Regular and QuickBrace Systems'!D54</f>
        <v>External</v>
      </c>
      <c r="AL36" s="2783" t="str">
        <f>'Regular and QuickBrace Systems'!E54</f>
        <v>ESPH</v>
      </c>
      <c r="AM36" s="1176">
        <f>'Regular and QuickBrace Systems'!F54</f>
        <v>0.4</v>
      </c>
      <c r="AN36" s="1272">
        <f>'Regular and QuickBrace Systems'!G54</f>
        <v>102</v>
      </c>
      <c r="AO36" s="1273">
        <f>'Regular and QuickBrace Systems'!H54</f>
        <v>114</v>
      </c>
      <c r="AP36" s="1594"/>
      <c r="AQ36" s="2661" t="str">
        <f>'Regular and QuickBrace Systems'!I54</f>
        <v>Specialised QuickBrace Pattern</v>
      </c>
      <c r="AR36" s="2662"/>
      <c r="AS36" s="2826" t="str">
        <f>'Regular and QuickBrace Systems'!K54</f>
        <v>Yes</v>
      </c>
      <c r="AT36" s="1340"/>
      <c r="AU36" s="2131" t="str">
        <f>'Regular and QuickBrace Systems'!M54</f>
        <v>Elephant Standard-Plus board One side,       Plywood the Other</v>
      </c>
      <c r="AW36" s="1567" t="str">
        <f>'Regular and QuickBrace Systems'!O54</f>
        <v>Yes</v>
      </c>
      <c r="AX36" s="1573" t="str">
        <f>'Regular and QuickBrace Systems'!Q54</f>
        <v>No</v>
      </c>
      <c r="BD36" s="2648"/>
      <c r="BF36" s="599" t="str">
        <f>'Custom Elements'!C20</f>
        <v>Custom12</v>
      </c>
      <c r="BG36" s="948" t="s">
        <v>641</v>
      </c>
      <c r="BI36" s="759"/>
      <c r="BJ36" s="897">
        <f t="shared" si="3"/>
        <v>28</v>
      </c>
      <c r="BK36" s="769" t="str">
        <f>'Custom Elements'!O12</f>
        <v>NZS 3604</v>
      </c>
      <c r="BL36" s="771" t="str">
        <f>'Custom Elements'!P12</f>
        <v>Masonry 4.5</v>
      </c>
      <c r="BM36" s="455">
        <f>'Custom Elements'!Q12</f>
        <v>1.5</v>
      </c>
      <c r="BN36" s="455">
        <v>999</v>
      </c>
      <c r="BO36" s="455">
        <f>'Custom Elements'!R12</f>
        <v>300</v>
      </c>
      <c r="BP36" s="925">
        <f>'Custom Elements'!S12</f>
        <v>300</v>
      </c>
      <c r="BR36" s="764"/>
      <c r="BS36" s="455"/>
      <c r="BT36" s="455" t="s">
        <v>7</v>
      </c>
      <c r="BU36" s="925" t="s">
        <v>34</v>
      </c>
      <c r="BV36" s="483" t="str">
        <f t="shared" si="23"/>
        <v>Masonry 4.5</v>
      </c>
      <c r="BW36" s="910">
        <f t="shared" si="20"/>
        <v>28</v>
      </c>
      <c r="BX36" s="925" t="str">
        <f>'Custom Elements'!U12</f>
        <v>Single</v>
      </c>
      <c r="CH36" s="764">
        <f t="shared" si="21"/>
        <v>0</v>
      </c>
      <c r="CI36" s="925">
        <f t="shared" si="22"/>
        <v>0</v>
      </c>
      <c r="CJ36" s="759"/>
      <c r="CK36" s="188"/>
      <c r="CL36" s="979">
        <f>VLOOKUP(I36,Prodlink,2,0)</f>
        <v>0</v>
      </c>
      <c r="CN36" s="497">
        <f ca="1">VLOOKUP(CO36,Prodlink,2,0)</f>
        <v>0</v>
      </c>
      <c r="CO36" s="497">
        <f ca="1">OFFSET($CH$9,CL36-1,-15,1,1)</f>
        <v>0</v>
      </c>
      <c r="CQ36" s="51">
        <v>0</v>
      </c>
      <c r="CR36" s="51">
        <f>IF(K36=$BH$12,$BH$23,IF(K36=$BH$13,$BH$24,10000))</f>
        <v>10000</v>
      </c>
      <c r="CS36" s="51">
        <f ca="1">IF(F36&lt;OFFSET($BM$9,CL36-1,0,1,1),0,IF(F36&lt;OFFSET($BN$9,CL36-1,0,1,1),((F36-OFFSET($BM$9,CL36-1,0,1,1))*OFFSET($CH$9,CL36-1,0,1,1))+OFFSET($BO$9,CL36-1,CQ36,1,1),IF(F36&lt;OFFSET($BN$9,CL36+0,0,1,1),((F36-OFFSET($BM$9,CL36+0,0,1,1))*OFFSET($CH$9,CL36+0,0,1,1))+OFFSET($BO$9,CL36+0,CQ36,1,1),IF(F36&lt;OFFSET($BN$9,CL36+1,0,1,1),((F36-OFFSET($BM$9,CL36+1,0,1,1))*OFFSET($CH$9,CL36+1,0,1,1))+OFFSET($BO$9,CL36+1,CQ36,1,1),IF(F36&lt;OFFSET($BN$9,CL36+2,0,1,1),((F36-OFFSET($BM$9,CL36+2,0,1,1))*OFFSET($CH$9,CL36+2,0,1,1))+OFFSET($BO$9,CL36+2,CQ36,1,1),IF(F36&lt;OFFSET($BN$9,CL36+3,0,1,1),((F36-OFFSET($BM$9,CL36+3,0,1,1))*OFFSET($CH$9,CL36+3,0,1,1))+OFFSET($BO$9,CL36+3,CQ36,1,1),0))))))</f>
        <v>0</v>
      </c>
      <c r="CT36" s="51">
        <f ca="1">IF($F36&lt;OFFSET($BM$9,$CL36-1,0,1,1),0,IF($F36&lt;OFFSET($BN$9,$CL36-1,0,1,1),IF(AND($H36&gt;2.4,Z36&lt;&gt;"e",Z36&lt;&gt;"f"),CX36*2.4/$H36,CX36),IF($F36&lt;OFFSET($BN$9,$CL36+0,0,1,1),IF(AND($H36&gt;2.4,Z36&lt;&gt;"e",Z36&lt;&gt;"f"),CX36*2.4/$H36,CX36),IF($F36&lt;OFFSET($BN$9,$CL36+1,0,1,1),IF(AND($H36&gt;2.4,Z36&lt;&gt;"e",Z36&lt;&gt;"f"),CX36*2.4/$H36,CX36),IF($F36&lt;OFFSET($BN$9,CL36+2,0,1,1),IF(AND($H36&gt;2.4,Z36&lt;&gt;"e",Z36&lt;&gt;"f"),CX36*2.4/$H36,CX36),IF($F36&lt;OFFSET($BN$9,CL36+3,0,1,1),IF(AND($H36&gt;2.4,Z36&lt;&gt;"e",Z36&lt;&gt;"f"),CX36*2.4/$H36,CX36),0)))))*COS(RADIANS($G36)))</f>
        <v>0</v>
      </c>
      <c r="CU36" s="51">
        <f ca="1">IF(F36&lt;OFFSET($BM$9,CL36-1,0,1,1),0,IF(F36&lt;OFFSET($BN$9,CL36-1,0,1,1),((F36-OFFSET($BM$9,CL36-1,0,1,1))*OFFSET($CI$9,CL36-1,0,1,1))+OFFSET($BP$9,CL36-1,CQ36,1,1),IF(F36&lt;OFFSET($BN$9,CL36+0,0,1,1),((F36-OFFSET($BM$9,CL36+0,0,1,1))*OFFSET($CI$9,CL36+0,0,1,1))+OFFSET($BP$9,CL36+0,CQ36,1,1),IF(F36&lt;OFFSET($BN$9,CL36+1,0,1,1),((F36-OFFSET($BM$9,CL36+1,0,1,1))*OFFSET($CI$9,CL36+1,0,1,1))+OFFSET($BP$9,CL36+1,CQ36,1,1),IF(F36&lt;OFFSET($BN$9,CL36+2,0,1,1),((F36-OFFSET($BM$9,CL36+2,0,1,1))*OFFSET($CI$9,CL36+2,0,1,1))+OFFSET($BP$9,CL36+2,CQ36,1,1),IF(F36&lt;OFFSET($BN$9,CL36+3,0,1,1),((F36-OFFSET($BM$9,CL36+3,0,1,1))*OFFSET($CI$9,CL36+3,0,1,1))+OFFSET($BP$9,CL36+3,CQ36,1,1),0))))))</f>
        <v>0</v>
      </c>
      <c r="CV36" s="51">
        <f ca="1">IF($F36&lt;OFFSET($BM$9,$CL36-1,0,1,1),0,IF($F36&lt;OFFSET($BN$9,$CL36-1,0,1,1),IF(AND($H36&gt;2.4,Z36&lt;&gt;"e",Z36&lt;&gt;"f"),CZ36*2.4/$H36,CZ36),IF($F36&lt;OFFSET($BN$9,$CL36+0,0,1,1),IF(AND($H36&gt;2.4,Z36&lt;&gt;"e",Z36&lt;&gt;"f"),CZ36*2.4/$H36,CZ36),IF($F36&lt;OFFSET($BN$9,$CL36+1,0,1,1),IF(AND($H36&gt;2.4,Z36&lt;&gt;"e",Z36&lt;&gt;"f"),CZ36*2.4/$H36,CZ36),IF($F36&lt;OFFSET($BN$9,$CL36+2,0,1,1),IF(AND($H36&gt;2.4,Z36&lt;&gt;"e",Z36&lt;&gt;"f"),CZ36*2.4/$H36,CZ36),IF($F36&lt;OFFSET($BN$9,$CL36+3,0,1,1),IF(AND($H36&gt;2.4,Z36&lt;&gt;"e",Z36&lt;&gt;"f"),CZ36*2.4/$H36,CZ36),0)))))*COS(RADIANS($G36)))</f>
        <v>0</v>
      </c>
      <c r="CW36" s="51">
        <f ca="1">IF(CT36&gt;CR36,CR36,CT36)</f>
        <v>0</v>
      </c>
      <c r="CX36" s="51">
        <f ca="1">IF(CS36&gt;$CR36,$CR36,CS36)</f>
        <v>0</v>
      </c>
      <c r="CY36" s="51">
        <f ca="1">CW36*F36</f>
        <v>0</v>
      </c>
      <c r="CZ36" s="51">
        <f ca="1">IF($CU36&gt;$CR36,$CR36,$CU36)</f>
        <v>0</v>
      </c>
      <c r="DA36" s="51">
        <f ca="1">IF(CV36&gt;CR36,CR36,CV36)</f>
        <v>0</v>
      </c>
      <c r="DB36" s="984">
        <f ca="1">DA36*F36</f>
        <v>0</v>
      </c>
      <c r="DC36" s="993">
        <v>1</v>
      </c>
      <c r="DD36" s="758" t="str">
        <f>IF(OR(D36=BG$12,D36=BG$13),"External",IF(D36=BG$14,"Internal"," "))</f>
        <v xml:space="preserve"> </v>
      </c>
      <c r="DE36" s="51" t="str">
        <f t="shared" ca="1" si="1"/>
        <v/>
      </c>
      <c r="DF36" s="52" t="str">
        <f t="shared" ca="1" si="2"/>
        <v xml:space="preserve"> </v>
      </c>
      <c r="DG36" s="51">
        <f ca="1">IF(F36&lt;OFFSET($BM$9,CN36-1,0,1,1),0,IF(F36&lt;OFFSET($BN$9,CN36-1,0,1,1),((F36-OFFSET($BM$9,CN36-1,0,1,1))*OFFSET($CH$9,CN36-1,0,1,1))+OFFSET($BO$9,CN36-1,CQ36,1,1),IF(F36&lt;OFFSET($BN$9,CN36+0,0,1,1),((F36-OFFSET($BM$9,CN36+0,0,1,1))*OFFSET($CH$9,CN36+0,0,1,1))+OFFSET($BO$9,CN36+0,CQ36,1,1),IF(F36&lt;OFFSET($BN$9,CN36+1,0,1,1),((F36-OFFSET($BM$9,CN36+1,0,1,1))*OFFSET($CH$9,CN36+1,0,1,1))+OFFSET($BO$9,CN36+1,CQ36,1,1),IF(F36&lt;OFFSET($BN$9,CN36+2,0,1,1),((F36-OFFSET($BM$9,CN36+2,0,1,1))*OFFSET($CH$9,CN36+2,0,1,1))+OFFSET($BO$9,CN36+2,CQ36,1,1),IF(F36&lt;OFFSET($BN$9,CN36+3,0,1,1),((F36-OFFSET($BM$9,CN36+3,0,1,1))*OFFSET($CH$9,CN36+3,0,1,1))+OFFSET($BO$9,CN36+3,CQ36,1,1),0))))))</f>
        <v>0</v>
      </c>
      <c r="DH36" s="51">
        <f ca="1">IF($F36&lt;OFFSET($BM$9,$CN36-1,0,1,1),0,IF($F36&lt;OFFSET($BN$9,$CN36-1,0,1,1),IF(AND($H36&gt;2.4,Z36&lt;&gt;"e",Z36&lt;&gt;"f"),DL36*2.4/$H36,DL36),IF($F36&lt;OFFSET($BN$9,$CN36+0,0,1,1),IF(AND($H36&gt;2.4,Z36&lt;&gt;"e",Z36&lt;&gt;"f"),DL36*2.4/$H36,DL36),IF($F36&lt;OFFSET($BN$9,$CN36+1,0,1,1),IF(AND($H36&gt;2.4,Z36&lt;&gt;"e",Z36&lt;&gt;"f"),DL36*2.4/$H36,DL36),IF($F36&lt;OFFSET($BN$9,$CN36+2,0,1,1),IF(AND($H36&gt;2.4,Z36&lt;&gt;"e",Z36&lt;&gt;"f"),DL36*2.4/$H36,DL36),IF($F36&lt;OFFSET($BN$9,$CN36+3,0,1,1),IF(AND($H36&gt;2.4,Z36&lt;&gt;"e",Z36&lt;&gt;"f"),DL36*2.4/$H36,DL36),0)))))*COS(RADIANS($G36)))</f>
        <v>0</v>
      </c>
      <c r="DI36" s="51">
        <f ca="1">IF(F36&lt;OFFSET($BM$9,CN36-1,0,1,1),0,IF(F36&lt;OFFSET($BN$9,CN36-1,0,1,1),((F36-OFFSET($BM$9,CN36-1,0,1,1))*OFFSET($CI$9,CN36-1,0,1,1))+OFFSET($BP$9,CN36-1,CQ36,1,1),IF(F36&lt;OFFSET($BN$9,CN36+0,0,1,1),((F36-OFFSET($BM$9,CN36+0,0,1,1))*OFFSET($CI$9,CN36+0,0,1,1))+OFFSET($BP$9,CN36+0,CQ36,1,1),IF(F36&lt;OFFSET($BN$9,CN36+1,0,1,1),((F36-OFFSET($BM$9,CN36+1,0,1,1))*OFFSET($CI$9,CN36+1,0,1,1))+OFFSET($BP$9,CN36+1,CQ36,1,1),IF(F36&lt;OFFSET($BN$9,CN36+2,0,1,1),((F36-OFFSET($BM$9,CN36+2,0,1,1))*OFFSET($CI$9,CN36+2,0,1,1))+OFFSET($BP$9,CN36+2,CQ36,1,1),IF(F36&lt;OFFSET($BN$9,CN36+3,0,1,1),((F36-OFFSET($BM$9,CN36+3,0,1,1))*OFFSET($CI$9,CN36+3,0,1,1))+OFFSET($BP$9,CN36+3,CQ36,1,1),0))))))</f>
        <v>0</v>
      </c>
      <c r="DJ36" s="51">
        <f ca="1">IF($F36&lt;OFFSET($BM$9,$CN36-1,0,1,1),0,IF($F36&lt;OFFSET($BN$9,$CN36-1,0,1,1),IF(AND($H36&gt;2.4,Z36&lt;&gt;"e",Z36&lt;&gt;"f"),DN36*2.4/$H36,DN36),IF($F36&lt;OFFSET($BN$9,$CN36+0,0,1,1),IF(AND($H36&gt;2.4,Z36&lt;&gt;"e",Z36&lt;&gt;"f"),DN36*2.4/$H36,DN36),IF($F36&lt;OFFSET($BN$9,$CN36+1,0,1,1),IF(AND($H36&gt;2.4,Z36&lt;&gt;"e",Z36&lt;&gt;"f"),DN36*2.4/$H36,DN36),IF($F36&lt;OFFSET($BN$9,$CN36+2,0,1,1),IF(AND($H36&gt;2.4,Z36&lt;&gt;"e",Z36&lt;&gt;"f"),DN36*2.4/$H36,DN36),IF($F36&lt;OFFSET($BN$9,$CN36+3,0,1,1),IF(AND($H36&gt;2.4,Z36&lt;&gt;"e",Z36&lt;&gt;"f"),DN36*2.4/$H36,DN36),0)))))*COS(RADIANS($G36)))</f>
        <v>0</v>
      </c>
      <c r="DK36" s="51"/>
      <c r="DL36" s="51">
        <f ca="1">IF(DG36&gt;$CR36,$CR36,DG36)</f>
        <v>0</v>
      </c>
      <c r="DM36" s="51"/>
      <c r="DN36" s="51">
        <f ca="1">IF(DI36&gt;$CR36,$CR36,DI36)</f>
        <v>0</v>
      </c>
      <c r="DO36" s="435">
        <f ca="1">IF(DH36&gt;$CR36,$CR36,DH36)</f>
        <v>0</v>
      </c>
      <c r="DP36" s="435">
        <f ca="1">DO36*F36</f>
        <v>0</v>
      </c>
      <c r="DQ36" s="436">
        <f ca="1">IF(DJ36&gt;$CR36,$CR36,DJ36)</f>
        <v>0</v>
      </c>
      <c r="DR36" s="437">
        <f ca="1">DQ36*F36</f>
        <v>0</v>
      </c>
      <c r="DS36" s="426">
        <f ca="1">OFFSET($CH$9,CL36-1,-15,1,1)</f>
        <v>0</v>
      </c>
      <c r="DT36" s="451">
        <f ca="1">VLOOKUP(DS36,Prodlink,2,0)</f>
        <v>0</v>
      </c>
      <c r="DU36" s="188">
        <f ca="1">IF(F36&lt;OFFSET($BM$9,DT36-1,0,1,1),0,IF(F36&lt;OFFSET($BN$9,DT36-1,0,1,1),((F36-OFFSET($BM$9,DT36-1,0,1,1))*OFFSET($CH$9,DT36-1,0,1,1))+OFFSET($BO$9,DT36-1,CQ36,1,1),IF(F36&lt;OFFSET($BN$9,DT36+0,0,1,1),((F36-OFFSET($BM$9,DT36+0,0,1,1))*OFFSET($CH$9,DT36+0,0,1,1))+OFFSET($BO$9,DT36+0,CQ36,1,1),IF(F36&lt;OFFSET($BN$9,DT36+1,0,1,1),((F36-OFFSET($BM$9,DT36+1,0,1,1))*OFFSET($CH$9,DT36+1,0,1,1))+OFFSET($BO$9,DT36+1,CQ36,1,1),IF(F36&lt;OFFSET($BN$9,DT36+2,0,1,1),((F36-OFFSET($BM$9,DT36+2,0,1,1))*OFFSET($CH$9,DT36+2,0,1,1))+OFFSET($BO$9,DT36+2,CQ36,1,1),IF(F36&lt;OFFSET($BN$9,DT36+3,0,1,1),((F36-OFFSET($BM$9,DT36+3,0,1,1))*OFFSET($CH$9,DT36+3,0,1,1))+OFFSET($BO$9,DT36+3,CQ36,1,1),0))))))</f>
        <v>0</v>
      </c>
      <c r="DV36" s="51">
        <f ca="1">IF($F36&lt;OFFSET($BM$9,$DT36-1,0,1,1),0,IF($F36&lt;OFFSET($BN$9,$DT36-1,0,1,1),IF(AND($H36&gt;2.4,Z36&lt;&gt;"e",Z36&lt;&gt;"f"),DZ36*2.4/$H36,DZ36),IF($F36&lt;OFFSET($BN$9,$DT36+0,0,1,1),IF(AND($H36&gt;2.4,Z36&lt;&gt;"e",Z36&lt;&gt;"f"),DZ36*2.4/$H36,DZ36),IF($F36&lt;OFFSET($BN$9,$DT36+1,0,1,1),IF(AND($H36&gt;2.4,Z36&lt;&gt;"e",Z36&lt;&gt;"f"),DZ36*2.4/$H36,DZ36),IF($F36&lt;OFFSET($BN$9,$DT36+2,0,1,1),IF(AND($H36&gt;2.4,Z36&lt;&gt;"e",Z36&lt;&gt;"f"),DZ36*2.4/$H36,DZ36),IF($F36&lt;OFFSET($BN$9,$DT36+3,0,1,1),IF(AND($H36&gt;2.4,Z36&lt;&gt;"e",Z36&lt;&gt;"f"),DZ36*2.4/$H36,DZ36),0)))))*COS(RADIANS($G36)))</f>
        <v>0</v>
      </c>
      <c r="DW36" s="188">
        <f ca="1">IF(F36&lt;OFFSET($BM$9,DT36-1,0,1,1),0,IF(F36&lt;OFFSET($BN$9,DT36-1,0,1,1),((F36-OFFSET($BM$9,DT36-1,0,1,1))*OFFSET($CI$9,DT36-1,0,1,1))+OFFSET($BP$9,DT36-1,CQ36,1,1),IF(F36&lt;OFFSET($BN$9,DT36+0,0,1,1),((F36-OFFSET($BM$9,DT36+0,0,1,1))*OFFSET($CI$9,DT36+0,0,1,1))+OFFSET($BP$9,DT36+0,CQ36,1,1),IF(F36&lt;OFFSET($BN$9,DT36+1,0,1,1),((F36-OFFSET($BM$9,DT36+1,0,1,1))*OFFSET($CI$9,DT36+1,0,1,1))+OFFSET($BP$9,DT36+1,CQ36,1,1),IF(F36&lt;OFFSET($BN$9,DT36+2,0,1,1),((F36-OFFSET($BM$9,DT36+2,0,1,1))*OFFSET($CI$9,DT36+2,0,1,1))+OFFSET($BP$9,DT36+2,CQ36,1,1),IF(F36&lt;OFFSET($BN$9,DT36+3,0,1,1),((F36-OFFSET($BM$9,DT36+3,0,1,1))*OFFSET($CI$9,DT36+3,0,1,1))+OFFSET($BP$9,DT36+3,CQ36,1,1),0))))))</f>
        <v>0</v>
      </c>
      <c r="DX36" s="51">
        <f ca="1">IF($F36&lt;OFFSET($BM$9,$DT36-1,0,1,1),0,IF($F36&lt;OFFSET($BN$9,$DT36-1,0,1,1),IF(AND($H36&gt;2.4,Z36&lt;&gt;"e",Z36&lt;&gt;"f"),EB36*2.4/$H36,EB36),IF($F36&lt;OFFSET($BN$9,$DT36+0,0,1,1),IF(AND($H36&gt;2.4,Z36&lt;&gt;"e",Z36&lt;&gt;"f"),EB36*2.4/$H36,EB36),IF($F36&lt;OFFSET($BN$9,$DT36+1,0,1,1),IF(AND($H36&gt;2.4,Z36&lt;&gt;"e",Z36&lt;&gt;"f"),EB36*2.4/$H36,EB36),IF($F36&lt;OFFSET($BN$9,$DT36+2,0,1,1),IF(AND($H36&gt;2.4,Z36&lt;&gt;"e",Z36&lt;&gt;"f"),EB36*2.4/$H36,EB36),IF($F36&lt;OFFSET($BN$9,$DT36+3,0,1,1),IF(AND($H36&gt;2.4,Z36&lt;&gt;"e",Z36&lt;&gt;"f"),EB36*2.4/$H36,EB36),0)))))*COS(RADIANS($G36)))</f>
        <v>0</v>
      </c>
      <c r="DY36" s="188"/>
      <c r="DZ36" s="188">
        <f ca="1">IF(DU36&gt;$CR36,$CR36,DU36)</f>
        <v>0</v>
      </c>
      <c r="EA36" s="188"/>
      <c r="EB36" s="188">
        <f ca="1">IF(DW36&gt;$CR36,$CR36,DW36)</f>
        <v>0</v>
      </c>
      <c r="EC36" s="435">
        <f ca="1">IF(DV36&gt;$CR36,$CR36,DV36)</f>
        <v>0</v>
      </c>
      <c r="ED36" s="435">
        <f ca="1">EC36*F36</f>
        <v>0</v>
      </c>
      <c r="EE36" s="436">
        <f ca="1">IF(DX36&gt;$CR36,$CR36,DX36)</f>
        <v>0</v>
      </c>
      <c r="EF36" s="437">
        <f ca="1">EE36*F36</f>
        <v>0</v>
      </c>
      <c r="EG36" s="613" t="str">
        <f>IF(D36=BG$12,BG$12,"")</f>
        <v/>
      </c>
      <c r="EH36" s="614" t="str">
        <f>IF(D36=BG$13,BG$13,"")</f>
        <v/>
      </c>
      <c r="EI36" s="611">
        <f>IF(EG36=BG$12,M36,0)</f>
        <v>0</v>
      </c>
      <c r="EJ36" s="451">
        <f>IF(EG36=BG$12,O36,0)</f>
        <v>0</v>
      </c>
      <c r="EK36" s="451">
        <f>IF(EH36=BG$13,M36,0)</f>
        <v>0</v>
      </c>
      <c r="EL36" s="612">
        <f>IF(EH36=BG$13,O36,0)</f>
        <v>0</v>
      </c>
      <c r="EM36" s="426" t="str">
        <f ca="1">IF(AND(Z36&lt;&gt;"t",Z36&lt;&gt;"f"),"",IF(AND(EN36=$BH$13,K36=$BH$12),"NotOpt",IF(K36&lt;&gt;EN36,"Error","")))</f>
        <v/>
      </c>
      <c r="EN36" s="491" t="str">
        <f>IF(AND($BH$28=1,$BG$28=1),$BH$13,$BH$12)</f>
        <v>120 BU's</v>
      </c>
      <c r="EO36" s="426" t="str">
        <f>K36</f>
        <v xml:space="preserve"> </v>
      </c>
      <c r="EP36" s="497">
        <v>1</v>
      </c>
      <c r="EQ36" s="430" t="str">
        <f ca="1">IF(EP36=1," ",OFFSET(BF$15,EP36-2,0,1,1))</f>
        <v xml:space="preserve"> </v>
      </c>
      <c r="ER36" s="439" t="str">
        <f ca="1">IF(H36=0," ",H36)</f>
        <v xml:space="preserve"> </v>
      </c>
      <c r="ES36" s="440" t="str">
        <f ca="1">IF(ER36&lt;&gt;" ",IF(ER36&lt;&gt;ER$7,"Changed",""),"")</f>
        <v/>
      </c>
      <c r="ET36" s="440">
        <f ca="1">IF(ER36&lt;&gt;" ",IF(ER36&lt;&gt;ER$7,1,0),0)</f>
        <v>0</v>
      </c>
      <c r="EU36" s="957" t="str">
        <f ca="1">IF(I36=" "," ",IF(F36&lt;OFFSET($BM$9,CL36-1,0,1,1),1,""))</f>
        <v xml:space="preserve"> </v>
      </c>
      <c r="EW36" s="427"/>
    </row>
    <row r="37" spans="1:153" ht="17.100000000000001" customHeight="1" thickBot="1">
      <c r="B37" s="2686" t="s">
        <v>8</v>
      </c>
      <c r="C37" s="2687"/>
      <c r="D37" s="1461" t="s">
        <v>8</v>
      </c>
      <c r="E37" s="659"/>
      <c r="F37" s="659"/>
      <c r="G37" s="659"/>
      <c r="H37" s="659"/>
      <c r="I37" s="1462"/>
      <c r="J37" s="1365" t="str">
        <f ca="1">(CONCATENATE(B32,$BE$54))</f>
        <v>E  Line:  Min. Requirement=</v>
      </c>
      <c r="K37" s="23"/>
      <c r="L37" s="1019">
        <f ca="1">L$5</f>
        <v>0</v>
      </c>
      <c r="M37" s="48">
        <f ca="1">IF(B32=B26,SUM(M32:M36)+M31,SUM(M32:M36))</f>
        <v>0</v>
      </c>
      <c r="N37" s="1019">
        <f ca="1">N$5</f>
        <v>0</v>
      </c>
      <c r="O37" s="125">
        <f ca="1">IF(B32=B26,SUM(O32:O36)+O31,SUM(O32:O36))</f>
        <v>0</v>
      </c>
      <c r="P37" s="139"/>
      <c r="Q37" s="42" t="str">
        <f ca="1">IF(B32=B38,"",IF(AND(M37&gt;0,L37=L$5,OR(M37&lt;$M$105,M37&lt;$BF$3)),"Achieved &lt; Min Req per Line",IF(AND(O37&gt;0,N37=N$5,OR(O37&lt;$O$105,O37&lt;$BF$3)),"Achieved &lt; Min Req per Line",IF(AND(M37&gt;0,L37&gt;M37),"More Required on this line",IF(AND(O37&gt;0,N37&gt;O37),"More Required on this line",IF(AND(L37&gt;0,L37&lt;$BF$3),$BE$59,IF(AND(N37&gt;0,N37&lt;$BF$3),$BE$59,"")))))))</f>
        <v/>
      </c>
      <c r="R37" s="52"/>
      <c r="S37" s="52"/>
      <c r="T37" s="52"/>
      <c r="U37" s="1378"/>
      <c r="V37" s="52"/>
      <c r="W37" s="999"/>
      <c r="X37" s="999"/>
      <c r="Y37" s="896"/>
      <c r="Z37" s="52"/>
      <c r="AA37" s="51"/>
      <c r="AB37" s="1364"/>
      <c r="AJ37" s="2230"/>
      <c r="AK37" s="2797"/>
      <c r="AL37" s="2784"/>
      <c r="AM37" s="191">
        <f>'Regular and QuickBrace Systems'!F55</f>
        <v>0.8</v>
      </c>
      <c r="AN37" s="1336">
        <f>'Regular and QuickBrace Systems'!G55</f>
        <v>140</v>
      </c>
      <c r="AO37" s="26">
        <f>'Regular and QuickBrace Systems'!H55</f>
        <v>140</v>
      </c>
      <c r="AP37" s="1595"/>
      <c r="AQ37" s="2663"/>
      <c r="AR37" s="2664"/>
      <c r="AS37" s="2827"/>
      <c r="AT37" s="1340"/>
      <c r="AU37" s="2090"/>
      <c r="AW37" s="1588" t="str">
        <f>'Regular and QuickBrace Systems'!O55</f>
        <v>Yes</v>
      </c>
      <c r="AX37" s="1580" t="str">
        <f>'Regular and QuickBrace Systems'!Q55</f>
        <v>Yes</v>
      </c>
      <c r="BD37" s="2648"/>
      <c r="BF37" s="599" t="str">
        <f>'Custom Elements'!C21</f>
        <v>Custom13</v>
      </c>
      <c r="BI37" s="759"/>
      <c r="BJ37" s="897">
        <f t="shared" si="3"/>
        <v>29</v>
      </c>
      <c r="BK37" s="769" t="str">
        <f>'Custom Elements'!O13</f>
        <v>NZS 3604</v>
      </c>
      <c r="BL37" s="771" t="str">
        <f>'Custom Elements'!P13</f>
        <v>Braced pile</v>
      </c>
      <c r="BM37" s="455">
        <f>'Custom Elements'!Q13</f>
        <v>1</v>
      </c>
      <c r="BN37" s="455">
        <v>999</v>
      </c>
      <c r="BO37" s="455">
        <f>'Custom Elements'!R13</f>
        <v>160</v>
      </c>
      <c r="BP37" s="925">
        <f>'Custom Elements'!S13</f>
        <v>120</v>
      </c>
      <c r="BR37" s="764"/>
      <c r="BS37" s="455"/>
      <c r="BT37" s="455" t="s">
        <v>3</v>
      </c>
      <c r="BU37" s="925" t="s">
        <v>34</v>
      </c>
      <c r="BV37" s="483" t="str">
        <f t="shared" si="23"/>
        <v>Braced pile</v>
      </c>
      <c r="BW37" s="910">
        <f t="shared" si="20"/>
        <v>29</v>
      </c>
      <c r="BX37" s="925" t="str">
        <f>'Custom Elements'!U13</f>
        <v>Single</v>
      </c>
      <c r="CH37" s="764">
        <f t="shared" si="21"/>
        <v>0</v>
      </c>
      <c r="CI37" s="925">
        <f t="shared" si="22"/>
        <v>0</v>
      </c>
      <c r="CJ37" s="759"/>
      <c r="CK37" s="188"/>
      <c r="CL37" s="979"/>
      <c r="CN37" s="497"/>
      <c r="CO37" s="497" t="s">
        <v>8</v>
      </c>
      <c r="CQ37" s="51" t="s">
        <v>8</v>
      </c>
      <c r="CR37" s="51" t="s">
        <v>8</v>
      </c>
      <c r="CS37" s="51" t="s">
        <v>8</v>
      </c>
      <c r="CT37" s="51" t="s">
        <v>8</v>
      </c>
      <c r="CU37" s="51" t="s">
        <v>8</v>
      </c>
      <c r="CV37" s="51" t="s">
        <v>8</v>
      </c>
      <c r="CW37" s="51" t="s">
        <v>8</v>
      </c>
      <c r="CX37" s="51" t="s">
        <v>8</v>
      </c>
      <c r="CY37" s="51" t="s">
        <v>8</v>
      </c>
      <c r="CZ37" s="51" t="s">
        <v>8</v>
      </c>
      <c r="DA37" s="51" t="s">
        <v>8</v>
      </c>
      <c r="DB37" s="984" t="s">
        <v>8</v>
      </c>
      <c r="DD37" s="758"/>
      <c r="DF37" s="52"/>
      <c r="DG37" s="51"/>
      <c r="DH37" s="51"/>
      <c r="DI37" s="51"/>
      <c r="DJ37" s="51"/>
      <c r="DK37" s="51"/>
      <c r="DL37" s="51" t="s">
        <v>8</v>
      </c>
      <c r="DM37" s="51"/>
      <c r="DN37" s="51" t="s">
        <v>8</v>
      </c>
      <c r="DO37" s="435" t="s">
        <v>8</v>
      </c>
      <c r="DP37" s="435" t="s">
        <v>8</v>
      </c>
      <c r="DQ37" s="868" t="s">
        <v>8</v>
      </c>
      <c r="DR37" s="868" t="s">
        <v>8</v>
      </c>
      <c r="DS37" s="426" t="s">
        <v>8</v>
      </c>
      <c r="DT37" s="451" t="s">
        <v>8</v>
      </c>
      <c r="DU37" s="188" t="s">
        <v>8</v>
      </c>
      <c r="DV37" s="188" t="s">
        <v>8</v>
      </c>
      <c r="DW37" s="188" t="s">
        <v>8</v>
      </c>
      <c r="DX37" s="188" t="s">
        <v>8</v>
      </c>
      <c r="DY37" s="188"/>
      <c r="DZ37" s="188" t="s">
        <v>8</v>
      </c>
      <c r="EA37" s="188"/>
      <c r="EB37" s="188" t="s">
        <v>8</v>
      </c>
      <c r="EC37" s="435" t="s">
        <v>8</v>
      </c>
      <c r="ED37" s="435" t="s">
        <v>8</v>
      </c>
      <c r="EE37" s="868" t="s">
        <v>8</v>
      </c>
      <c r="EF37" s="867" t="s">
        <v>8</v>
      </c>
      <c r="EG37" s="613"/>
      <c r="EH37" s="614"/>
      <c r="EI37" s="613"/>
      <c r="EJ37" s="435"/>
      <c r="EK37" s="451"/>
      <c r="EL37" s="612"/>
      <c r="EN37" s="947"/>
      <c r="ER37" s="441"/>
      <c r="ES37" s="440"/>
      <c r="ET37" s="440"/>
      <c r="EU37" s="957"/>
      <c r="EW37" s="427"/>
    </row>
    <row r="38" spans="1:153" ht="17.100000000000001" customHeight="1" thickBot="1">
      <c r="B38" s="1369" t="str">
        <f ca="1">S38</f>
        <v>F</v>
      </c>
      <c r="C38" s="684" t="str">
        <f>IF(OR(F38=0,I38="",I38=" ")," ",$V38)</f>
        <v xml:space="preserve"> </v>
      </c>
      <c r="D38" s="1033"/>
      <c r="E38" s="1360"/>
      <c r="F38" s="202"/>
      <c r="G38" s="1416"/>
      <c r="H38" s="199" t="str">
        <f ca="1">IF(OR(F38=0,Z38="E",Z38="f")," ",'Project Demand'!E$35)</f>
        <v xml:space="preserve"> </v>
      </c>
      <c r="I38" s="631" t="str">
        <f>IF($I$6&lt;&gt;$BG$8," ",AB38)</f>
        <v xml:space="preserve"> </v>
      </c>
      <c r="J38" s="43" t="str">
        <f ca="1">IF(OR(I38=" ",I38="")," ",OFFSET($BO$9,CL38-1,0-4,1,1))</f>
        <v xml:space="preserve"> </v>
      </c>
      <c r="K38" s="55" t="str">
        <f>IF(OR(I38=" ",I38="")," ",IF(OR(Z38="e",Z38="h"),"SD",BG$24))</f>
        <v xml:space="preserve"> </v>
      </c>
      <c r="L38" s="49">
        <f ca="1">CW38</f>
        <v>0</v>
      </c>
      <c r="M38" s="49">
        <f ca="1">CY38</f>
        <v>0</v>
      </c>
      <c r="N38" s="50">
        <f t="shared" ref="N38:O42" ca="1" si="24">DA38</f>
        <v>0</v>
      </c>
      <c r="O38" s="126">
        <f t="shared" ca="1" si="24"/>
        <v>0</v>
      </c>
      <c r="P38" s="140"/>
      <c r="Q38" s="752" t="str">
        <f ca="1">IF(AND(OR(Z38="t",Z38="f"),K38=$BH$11),"No Floor!  Change Floor Type",IF(OR(I38=" ",I38="")," ",IF(F38&lt;OFFSET($BM$9,CL38-1,0,1,1),"check L(m)",DE38&amp;IF(AND(DP38&gt;=CY38,DR38&gt;=DB38),IF(AND(ED38&gt;=DP38,EF38&gt;=DR38),CONCATENATE(DS38," will provide same result"),CONCATENATE(CO38," will provide same result")),IF((DP38&gt;=CY38),CONCATENATE(CO38," provides same result in WIND"),IF((DR38&gt;=DB38),CONCATENATE(CO38," provides same result in EQ"),""))))))&amp;IF(ISERROR(FIND("pile",I38,1)),"",IF(INT(F38)&lt;&gt;F38,"Pile!  Use Whole Numbers Only",""))</f>
        <v xml:space="preserve"> </v>
      </c>
      <c r="R38" s="52">
        <f ca="1">IF(T32&lt;&gt;2,(COLUMN(INDIRECT(B32&amp;1))+1),U38)</f>
        <v>6</v>
      </c>
      <c r="S38" s="1372" t="str">
        <f ca="1">SUBSTITUTE(ADDRESS(1,R38,4),"1","")</f>
        <v>F</v>
      </c>
      <c r="T38" s="451">
        <f ca="1">IF(AND(ISTEXT(B38),SUBSTITUTE(SUBSTITUTE(SUBSTITUTE(SUBSTITUTE(SUBSTITUTE(SUBSTITUTE(SUBSTITUTE(SUBSTITUTE(SUBSTITUTE(SUBSTITUTE(SUBSTITUTE(SUBSTITUTE(SUBSTITUTE(SUBSTITUTE(SUBSTITUTE(SUBSTITUTE(SUBSTITUTE(SUBSTITUTE(SUBSTITUTE(SUBSTITUTE(SUBSTITUTE(SUBSTITUTE(SUBSTITUTE(SUBSTITUTE(SUBSTITUTE(SUBSTITUTE(LOWER(B38),"a",),"b",),"c",),"d",),"e",),"f",),"g",),"h",),"i",),"j",),"k",),"l",),"m",),"n",),"o",),"p",),"q",),"r",),"s",),"t",),"u",),"v",),"w",),"x",),"y",),"z",)=""),1,2)</f>
        <v>1</v>
      </c>
      <c r="U38" s="1377">
        <v>6</v>
      </c>
      <c r="V38" s="52" t="str">
        <f ca="1">IF(AND(B$5=$BF$9,OR(I38=BH$16,I38=BH$17))," ",IF(ISNUMBER(B$38),(CONCATENATE(B$38,".",W38)),(CONCATENATE(B$38,W38))))</f>
        <v>F0</v>
      </c>
      <c r="W38" s="9">
        <f ca="1">IF(B32=B38,W36+X38,X38)</f>
        <v>0</v>
      </c>
      <c r="X38" s="9">
        <f>IF(AND(B$5=$BF$9,OR($I38=$BH$16,$I38=$BH$17,$I38=" ",$I38="",$F38=0)),0,IF(OR($I38=" ",$I38="",$F38=0),0,1))</f>
        <v>0</v>
      </c>
      <c r="Y38" s="896">
        <f ca="1">IF(AND(M43&gt;0,B38&lt;&gt;B44),1,0)</f>
        <v>0</v>
      </c>
      <c r="Z38" s="52" t="str">
        <f ca="1">IF(I38=" "," ",OFFSET($BM$9,$CL38-1,8,1,1))</f>
        <v xml:space="preserve"> </v>
      </c>
      <c r="AA38" s="51" t="str">
        <f>IF(G38&gt;=45,"WA","")</f>
        <v/>
      </c>
      <c r="AB38" s="1364" t="str">
        <f>IF(F38&lt;&gt;"",IF(OR(D38=$BG$12,D38=$BG$13),IF(E38&lt;&gt;$BG$17,$BF$12,$BF$13),IF(E38&lt;&gt;$BG$17,$BF$12,$BF$13))," ")</f>
        <v xml:space="preserve"> </v>
      </c>
      <c r="AC38" s="1"/>
      <c r="AJ38" s="2230"/>
      <c r="AK38" s="2797"/>
      <c r="AL38" s="2785"/>
      <c r="AM38" s="1179">
        <f>'Regular and QuickBrace Systems'!F56</f>
        <v>1.2</v>
      </c>
      <c r="AN38" s="1274">
        <f>'Regular and QuickBrace Systems'!G56</f>
        <v>150</v>
      </c>
      <c r="AO38" s="1275">
        <f>'Regular and QuickBrace Systems'!H56</f>
        <v>150</v>
      </c>
      <c r="AP38" s="1277"/>
      <c r="AQ38" s="2665"/>
      <c r="AR38" s="2666"/>
      <c r="AS38" s="2828"/>
      <c r="AT38" s="1340"/>
      <c r="AU38" s="2132"/>
      <c r="AW38" s="1589" t="str">
        <f>'Regular and QuickBrace Systems'!O56</f>
        <v>Yes</v>
      </c>
      <c r="AX38" s="1581" t="str">
        <f>'Regular and QuickBrace Systems'!Q56</f>
        <v>Yes</v>
      </c>
      <c r="BD38" s="635"/>
      <c r="BF38" s="599" t="str">
        <f>'Custom Elements'!C22</f>
        <v>Custom14</v>
      </c>
      <c r="BI38" s="759"/>
      <c r="BJ38" s="897">
        <f t="shared" si="3"/>
        <v>30</v>
      </c>
      <c r="BK38" s="769" t="str">
        <f>'Custom Elements'!O14</f>
        <v>NZS 3604</v>
      </c>
      <c r="BL38" s="771" t="str">
        <f>'Custom Elements'!P14</f>
        <v>Cantilever pile</v>
      </c>
      <c r="BM38" s="455">
        <f>'Custom Elements'!Q14</f>
        <v>1</v>
      </c>
      <c r="BN38" s="455">
        <v>999</v>
      </c>
      <c r="BO38" s="455">
        <f>'Custom Elements'!R14</f>
        <v>70</v>
      </c>
      <c r="BP38" s="925">
        <f>'Custom Elements'!S14</f>
        <v>30</v>
      </c>
      <c r="BR38" s="764"/>
      <c r="BS38" s="455"/>
      <c r="BT38" s="455" t="s">
        <v>3</v>
      </c>
      <c r="BU38" s="925" t="s">
        <v>44</v>
      </c>
      <c r="BV38" s="483" t="str">
        <f t="shared" si="23"/>
        <v>Cantilever pile</v>
      </c>
      <c r="BW38" s="910">
        <f t="shared" si="20"/>
        <v>30</v>
      </c>
      <c r="BX38" s="925" t="str">
        <f>'Custom Elements'!U14</f>
        <v>Single</v>
      </c>
      <c r="CH38" s="764">
        <f t="shared" si="21"/>
        <v>0</v>
      </c>
      <c r="CI38" s="925">
        <f t="shared" si="22"/>
        <v>0</v>
      </c>
      <c r="CJ38" s="759"/>
      <c r="CK38" s="188"/>
      <c r="CL38" s="979">
        <f>VLOOKUP(I38,Prodlink,2,0)</f>
        <v>0</v>
      </c>
      <c r="CN38" s="497">
        <f ca="1">VLOOKUP(CO38,Prodlink,2,0)</f>
        <v>0</v>
      </c>
      <c r="CO38" s="497">
        <f ca="1">OFFSET($CH$9,CL38-1,-15,1,1)</f>
        <v>0</v>
      </c>
      <c r="CQ38" s="51">
        <v>0</v>
      </c>
      <c r="CR38" s="51">
        <f>IF(K38=$BH$12,$BH$23,IF(K38=$BH$13,$BH$24,10000))</f>
        <v>10000</v>
      </c>
      <c r="CS38" s="51">
        <f ca="1">IF(F38&lt;OFFSET($BM$9,CL38-1,0,1,1),0,IF(F38&lt;OFFSET($BN$9,CL38-1,0,1,1),((F38-OFFSET($BM$9,CL38-1,0,1,1))*OFFSET($CH$9,CL38-1,0,1,1))+OFFSET($BO$9,CL38-1,CQ38,1,1),IF(F38&lt;OFFSET($BN$9,CL38+0,0,1,1),((F38-OFFSET($BM$9,CL38+0,0,1,1))*OFFSET($CH$9,CL38+0,0,1,1))+OFFSET($BO$9,CL38+0,CQ38,1,1),IF(F38&lt;OFFSET($BN$9,CL38+1,0,1,1),((F38-OFFSET($BM$9,CL38+1,0,1,1))*OFFSET($CH$9,CL38+1,0,1,1))+OFFSET($BO$9,CL38+1,CQ38,1,1),IF(F38&lt;OFFSET($BN$9,CL38+2,0,1,1),((F38-OFFSET($BM$9,CL38+2,0,1,1))*OFFSET($CH$9,CL38+2,0,1,1))+OFFSET($BO$9,CL38+2,CQ38,1,1),IF(F38&lt;OFFSET($BN$9,CL38+3,0,1,1),((F38-OFFSET($BM$9,CL38+3,0,1,1))*OFFSET($CH$9,CL38+3,0,1,1))+OFFSET($BO$9,CL38+3,CQ38,1,1),0))))))</f>
        <v>0</v>
      </c>
      <c r="CT38" s="51">
        <f ca="1">IF($F38&lt;OFFSET($BM$9,$CL38-1,0,1,1),0,IF($F38&lt;OFFSET($BN$9,$CL38-1,0,1,1),IF(AND($H38&gt;2.4,Z38&lt;&gt;"e",Z38&lt;&gt;"f"),CX38*2.4/$H38,CX38),IF($F38&lt;OFFSET($BN$9,$CL38+0,0,1,1),IF(AND($H38&gt;2.4,Z38&lt;&gt;"e",Z38&lt;&gt;"f"),CX38*2.4/$H38,CX38),IF($F38&lt;OFFSET($BN$9,$CL38+1,0,1,1),IF(AND($H38&gt;2.4,Z38&lt;&gt;"e",Z38&lt;&gt;"f"),CX38*2.4/$H38,CX38),IF($F38&lt;OFFSET($BN$9,CL38+2,0,1,1),IF(AND($H38&gt;2.4,Z38&lt;&gt;"e",Z38&lt;&gt;"f"),CX38*2.4/$H38,CX38),IF($F38&lt;OFFSET($BN$9,CL38+3,0,1,1),IF(AND($H38&gt;2.4,Z38&lt;&gt;"e",Z38&lt;&gt;"f"),CX38*2.4/$H38,CX38),0)))))*COS(RADIANS($G38)))</f>
        <v>0</v>
      </c>
      <c r="CU38" s="51">
        <f ca="1">IF(F38&lt;OFFSET($BM$9,CL38-1,0,1,1),0,IF(F38&lt;OFFSET($BN$9,CL38-1,0,1,1),((F38-OFFSET($BM$9,CL38-1,0,1,1))*OFFSET($CI$9,CL38-1,0,1,1))+OFFSET($BP$9,CL38-1,CQ38,1,1),IF(F38&lt;OFFSET($BN$9,CL38+0,0,1,1),((F38-OFFSET($BM$9,CL38+0,0,1,1))*OFFSET($CI$9,CL38+0,0,1,1))+OFFSET($BP$9,CL38+0,CQ38,1,1),IF(F38&lt;OFFSET($BN$9,CL38+1,0,1,1),((F38-OFFSET($BM$9,CL38+1,0,1,1))*OFFSET($CI$9,CL38+1,0,1,1))+OFFSET($BP$9,CL38+1,CQ38,1,1),IF(F38&lt;OFFSET($BN$9,CL38+2,0,1,1),((F38-OFFSET($BM$9,CL38+2,0,1,1))*OFFSET($CI$9,CL38+2,0,1,1))+OFFSET($BP$9,CL38+2,CQ38,1,1),IF(F38&lt;OFFSET($BN$9,CL38+3,0,1,1),((F38-OFFSET($BM$9,CL38+3,0,1,1))*OFFSET($CI$9,CL38+3,0,1,1))+OFFSET($BP$9,CL38+3,CQ38,1,1),0))))))</f>
        <v>0</v>
      </c>
      <c r="CV38" s="51">
        <f ca="1">IF($F38&lt;OFFSET($BM$9,$CL38-1,0,1,1),0,IF($F38&lt;OFFSET($BN$9,$CL38-1,0,1,1),IF(AND($H38&gt;2.4,Z38&lt;&gt;"e",Z38&lt;&gt;"f"),CZ38*2.4/$H38,CZ38),IF($F38&lt;OFFSET($BN$9,$CL38+0,0,1,1),IF(AND($H38&gt;2.4,Z38&lt;&gt;"e",Z38&lt;&gt;"f"),CZ38*2.4/$H38,CZ38),IF($F38&lt;OFFSET($BN$9,$CL38+1,0,1,1),IF(AND($H38&gt;2.4,Z38&lt;&gt;"e",Z38&lt;&gt;"f"),CZ38*2.4/$H38,CZ38),IF($F38&lt;OFFSET($BN$9,$CL38+2,0,1,1),IF(AND($H38&gt;2.4,Z38&lt;&gt;"e",Z38&lt;&gt;"f"),CZ38*2.4/$H38,CZ38),IF($F38&lt;OFFSET($BN$9,$CL38+3,0,1,1),IF(AND($H38&gt;2.4,Z38&lt;&gt;"e",Z38&lt;&gt;"f"),CZ38*2.4/$H38,CZ38),0)))))*COS(RADIANS($G38)))</f>
        <v>0</v>
      </c>
      <c r="CW38" s="51">
        <f ca="1">IF(CT38&gt;CR38,CR38,CT38)</f>
        <v>0</v>
      </c>
      <c r="CX38" s="51">
        <f ca="1">IF(CS38&gt;$CR38,$CR38,CS38)</f>
        <v>0</v>
      </c>
      <c r="CY38" s="51">
        <f ca="1">CW38*F38</f>
        <v>0</v>
      </c>
      <c r="CZ38" s="51">
        <f ca="1">IF($CU38&gt;$CR38,$CR38,$CU38)</f>
        <v>0</v>
      </c>
      <c r="DA38" s="51">
        <f ca="1">IF(CV38&gt;CR38,CR38,CV38)</f>
        <v>0</v>
      </c>
      <c r="DB38" s="984">
        <f ca="1">DA38*F38</f>
        <v>0</v>
      </c>
      <c r="DC38" s="993">
        <v>1</v>
      </c>
      <c r="DD38" s="758" t="str">
        <f>IF(OR(D38=BG$12,D38=BG$13),"External",IF(D38=BG$14,"Internal"," "))</f>
        <v xml:space="preserve"> </v>
      </c>
      <c r="DE38" s="51" t="str">
        <f t="shared" ca="1" si="1"/>
        <v/>
      </c>
      <c r="DF38" s="52" t="str">
        <f t="shared" ca="1" si="2"/>
        <v xml:space="preserve"> </v>
      </c>
      <c r="DG38" s="51">
        <f ca="1">IF(F38&lt;OFFSET($BM$9,CN38-1,0,1,1),0,IF(F38&lt;OFFSET($BN$9,CN38-1,0,1,1),((F38-OFFSET($BM$9,CN38-1,0,1,1))*OFFSET($CH$9,CN38-1,0,1,1))+OFFSET($BO$9,CN38-1,CQ38,1,1),IF(F38&lt;OFFSET($BN$9,CN38+0,0,1,1),((F38-OFFSET($BM$9,CN38+0,0,1,1))*OFFSET($CH$9,CN38+0,0,1,1))+OFFSET($BO$9,CN38+0,CQ38,1,1),IF(F38&lt;OFFSET($BN$9,CN38+1,0,1,1),((F38-OFFSET($BM$9,CN38+1,0,1,1))*OFFSET($CH$9,CN38+1,0,1,1))+OFFSET($BO$9,CN38+1,CQ38,1,1),IF(F38&lt;OFFSET($BN$9,CN38+2,0,1,1),((F38-OFFSET($BM$9,CN38+2,0,1,1))*OFFSET($CH$9,CN38+2,0,1,1))+OFFSET($BO$9,CN38+2,CQ38,1,1),IF(F38&lt;OFFSET($BN$9,CN38+3,0,1,1),((F38-OFFSET($BM$9,CN38+3,0,1,1))*OFFSET($CH$9,CN38+3,0,1,1))+OFFSET($BO$9,CN38+3,CQ38,1,1),0))))))</f>
        <v>0</v>
      </c>
      <c r="DH38" s="51">
        <f ca="1">IF($F38&lt;OFFSET($BM$9,$CN38-1,0,1,1),0,IF($F38&lt;OFFSET($BN$9,$CN38-1,0,1,1),IF(AND($H38&gt;2.4,Z38&lt;&gt;"e",Z38&lt;&gt;"f"),DL38*2.4/$H38,DL38),IF($F38&lt;OFFSET($BN$9,$CN38+0,0,1,1),IF(AND($H38&gt;2.4,Z38&lt;&gt;"e",Z38&lt;&gt;"f"),DL38*2.4/$H38,DL38),IF($F38&lt;OFFSET($BN$9,$CN38+1,0,1,1),IF(AND($H38&gt;2.4,Z38&lt;&gt;"e",Z38&lt;&gt;"f"),DL38*2.4/$H38,DL38),IF($F38&lt;OFFSET($BN$9,$CN38+2,0,1,1),IF(AND($H38&gt;2.4,Z38&lt;&gt;"e",Z38&lt;&gt;"f"),DL38*2.4/$H38,DL38),IF($F38&lt;OFFSET($BN$9,$CN38+3,0,1,1),IF(AND($H38&gt;2.4,Z38&lt;&gt;"e",Z38&lt;&gt;"f"),DL38*2.4/$H38,DL38),0)))))*COS(RADIANS($G38)))</f>
        <v>0</v>
      </c>
      <c r="DI38" s="51">
        <f ca="1">IF(F38&lt;OFFSET($BM$9,CN38-1,0,1,1),0,IF(F38&lt;OFFSET($BN$9,CN38-1,0,1,1),((F38-OFFSET($BM$9,CN38-1,0,1,1))*OFFSET($CI$9,CN38-1,0,1,1))+OFFSET($BP$9,CN38-1,CQ38,1,1),IF(F38&lt;OFFSET($BN$9,CN38+0,0,1,1),((F38-OFFSET($BM$9,CN38+0,0,1,1))*OFFSET($CI$9,CN38+0,0,1,1))+OFFSET($BP$9,CN38+0,CQ38,1,1),IF(F38&lt;OFFSET($BN$9,CN38+1,0,1,1),((F38-OFFSET($BM$9,CN38+1,0,1,1))*OFFSET($CI$9,CN38+1,0,1,1))+OFFSET($BP$9,CN38+1,CQ38,1,1),IF(F38&lt;OFFSET($BN$9,CN38+2,0,1,1),((F38-OFFSET($BM$9,CN38+2,0,1,1))*OFFSET($CI$9,CN38+2,0,1,1))+OFFSET($BP$9,CN38+2,CQ38,1,1),IF(F38&lt;OFFSET($BN$9,CN38+3,0,1,1),((F38-OFFSET($BM$9,CN38+3,0,1,1))*OFFSET($CI$9,CN38+3,0,1,1))+OFFSET($BP$9,CN38+3,CQ38,1,1),0))))))</f>
        <v>0</v>
      </c>
      <c r="DJ38" s="51">
        <f ca="1">IF($F38&lt;OFFSET($BM$9,$CN38-1,0,1,1),0,IF($F38&lt;OFFSET($BN$9,$CN38-1,0,1,1),IF(AND($H38&gt;2.4,Z38&lt;&gt;"e",Z38&lt;&gt;"f"),DN38*2.4/$H38,DN38),IF($F38&lt;OFFSET($BN$9,$CN38+0,0,1,1),IF(AND($H38&gt;2.4,Z38&lt;&gt;"e",Z38&lt;&gt;"f"),DN38*2.4/$H38,DN38),IF($F38&lt;OFFSET($BN$9,$CN38+1,0,1,1),IF(AND($H38&gt;2.4,Z38&lt;&gt;"e",Z38&lt;&gt;"f"),DN38*2.4/$H38,DN38),IF($F38&lt;OFFSET($BN$9,$CN38+2,0,1,1),IF(AND($H38&gt;2.4,Z38&lt;&gt;"e",Z38&lt;&gt;"f"),DN38*2.4/$H38,DN38),IF($F38&lt;OFFSET($BN$9,$CN38+3,0,1,1),IF(AND($H38&gt;2.4,Z38&lt;&gt;"e",Z38&lt;&gt;"f"),DN38*2.4/$H38,DN38),0)))))*COS(RADIANS($G38)))</f>
        <v>0</v>
      </c>
      <c r="DK38" s="51"/>
      <c r="DL38" s="51">
        <f ca="1">IF(DG38&gt;$CR38,$CR38,DG38)</f>
        <v>0</v>
      </c>
      <c r="DM38" s="51"/>
      <c r="DN38" s="51">
        <f ca="1">IF(DI38&gt;$CR38,$CR38,DI38)</f>
        <v>0</v>
      </c>
      <c r="DO38" s="435">
        <f ca="1">IF(DH38&gt;$CR38,$CR38,DH38)</f>
        <v>0</v>
      </c>
      <c r="DP38" s="435">
        <f ca="1">DO38*F38</f>
        <v>0</v>
      </c>
      <c r="DQ38" s="436">
        <f ca="1">IF(DJ38&gt;$CR38,$CR38,DJ38)</f>
        <v>0</v>
      </c>
      <c r="DR38" s="437">
        <f ca="1">DQ38*F38</f>
        <v>0</v>
      </c>
      <c r="DS38" s="426">
        <f ca="1">OFFSET($CH$9,CL38-1,-15,1,1)</f>
        <v>0</v>
      </c>
      <c r="DT38" s="451">
        <f ca="1">VLOOKUP(DS38,Prodlink,2,0)</f>
        <v>0</v>
      </c>
      <c r="DU38" s="188">
        <f ca="1">IF(F38&lt;OFFSET($BM$9,DT38-1,0,1,1),0,IF(F38&lt;OFFSET($BN$9,DT38-1,0,1,1),((F38-OFFSET($BM$9,DT38-1,0,1,1))*OFFSET($CH$9,DT38-1,0,1,1))+OFFSET($BO$9,DT38-1,CQ38,1,1),IF(F38&lt;OFFSET($BN$9,DT38+0,0,1,1),((F38-OFFSET($BM$9,DT38+0,0,1,1))*OFFSET($CH$9,DT38+0,0,1,1))+OFFSET($BO$9,DT38+0,CQ38,1,1),IF(F38&lt;OFFSET($BN$9,DT38+1,0,1,1),((F38-OFFSET($BM$9,DT38+1,0,1,1))*OFFSET($CH$9,DT38+1,0,1,1))+OFFSET($BO$9,DT38+1,CQ38,1,1),IF(F38&lt;OFFSET($BN$9,DT38+2,0,1,1),((F38-OFFSET($BM$9,DT38+2,0,1,1))*OFFSET($CH$9,DT38+2,0,1,1))+OFFSET($BO$9,DT38+2,CQ38,1,1),IF(F38&lt;OFFSET($BN$9,DT38+3,0,1,1),((F38-OFFSET($BM$9,DT38+3,0,1,1))*OFFSET($CH$9,DT38+3,0,1,1))+OFFSET($BO$9,DT38+3,CQ38,1,1),0))))))</f>
        <v>0</v>
      </c>
      <c r="DV38" s="51">
        <f ca="1">IF($F38&lt;OFFSET($BM$9,$DT38-1,0,1,1),0,IF($F38&lt;OFFSET($BN$9,$DT38-1,0,1,1),IF(AND($H38&gt;2.4,Z38&lt;&gt;"e",Z38&lt;&gt;"f"),DZ38*2.4/$H38,DZ38),IF($F38&lt;OFFSET($BN$9,$DT38+0,0,1,1),IF(AND($H38&gt;2.4,Z38&lt;&gt;"e",Z38&lt;&gt;"f"),DZ38*2.4/$H38,DZ38),IF($F38&lt;OFFSET($BN$9,$DT38+1,0,1,1),IF(AND($H38&gt;2.4,Z38&lt;&gt;"e",Z38&lt;&gt;"f"),DZ38*2.4/$H38,DZ38),IF($F38&lt;OFFSET($BN$9,$DT38+2,0,1,1),IF(AND($H38&gt;2.4,Z38&lt;&gt;"e",Z38&lt;&gt;"f"),DZ38*2.4/$H38,DZ38),IF($F38&lt;OFFSET($BN$9,$DT38+3,0,1,1),IF(AND($H38&gt;2.4,Z38&lt;&gt;"e",Z38&lt;&gt;"f"),DZ38*2.4/$H38,DZ38),0)))))*COS(RADIANS($G38)))</f>
        <v>0</v>
      </c>
      <c r="DW38" s="188">
        <f ca="1">IF(F38&lt;OFFSET($BM$9,DT38-1,0,1,1),0,IF(F38&lt;OFFSET($BN$9,DT38-1,0,1,1),((F38-OFFSET($BM$9,DT38-1,0,1,1))*OFFSET($CI$9,DT38-1,0,1,1))+OFFSET($BP$9,DT38-1,CQ38,1,1),IF(F38&lt;OFFSET($BN$9,DT38+0,0,1,1),((F38-OFFSET($BM$9,DT38+0,0,1,1))*OFFSET($CI$9,DT38+0,0,1,1))+OFFSET($BP$9,DT38+0,CQ38,1,1),IF(F38&lt;OFFSET($BN$9,DT38+1,0,1,1),((F38-OFFSET($BM$9,DT38+1,0,1,1))*OFFSET($CI$9,DT38+1,0,1,1))+OFFSET($BP$9,DT38+1,CQ38,1,1),IF(F38&lt;OFFSET($BN$9,DT38+2,0,1,1),((F38-OFFSET($BM$9,DT38+2,0,1,1))*OFFSET($CI$9,DT38+2,0,1,1))+OFFSET($BP$9,DT38+2,CQ38,1,1),IF(F38&lt;OFFSET($BN$9,DT38+3,0,1,1),((F38-OFFSET($BM$9,DT38+3,0,1,1))*OFFSET($CI$9,DT38+3,0,1,1))+OFFSET($BP$9,DT38+3,CQ38,1,1),0))))))</f>
        <v>0</v>
      </c>
      <c r="DX38" s="51">
        <f ca="1">IF($F38&lt;OFFSET($BM$9,$DT38-1,0,1,1),0,IF($F38&lt;OFFSET($BN$9,$DT38-1,0,1,1),IF(AND($H38&gt;2.4,Z38&lt;&gt;"e",Z38&lt;&gt;"f"),EB38*2.4/$H38,EB38),IF($F38&lt;OFFSET($BN$9,$DT38+0,0,1,1),IF(AND($H38&gt;2.4,Z38&lt;&gt;"e",Z38&lt;&gt;"f"),EB38*2.4/$H38,EB38),IF($F38&lt;OFFSET($BN$9,$DT38+1,0,1,1),IF(AND($H38&gt;2.4,Z38&lt;&gt;"e",Z38&lt;&gt;"f"),EB38*2.4/$H38,EB38),IF($F38&lt;OFFSET($BN$9,$DT38+2,0,1,1),IF(AND($H38&gt;2.4,Z38&lt;&gt;"e",Z38&lt;&gt;"f"),EB38*2.4/$H38,EB38),IF($F38&lt;OFFSET($BN$9,$DT38+3,0,1,1),IF(AND($H38&gt;2.4,Z38&lt;&gt;"e",Z38&lt;&gt;"f"),EB38*2.4/$H38,EB38),0)))))*COS(RADIANS($G38)))</f>
        <v>0</v>
      </c>
      <c r="DY38" s="188"/>
      <c r="DZ38" s="188">
        <f ca="1">IF(DU38&gt;$CR38,$CR38,DU38)</f>
        <v>0</v>
      </c>
      <c r="EA38" s="188"/>
      <c r="EB38" s="188">
        <f ca="1">IF(DW38&gt;$CR38,$CR38,DW38)</f>
        <v>0</v>
      </c>
      <c r="EC38" s="435">
        <f ca="1">IF(DV38&gt;$CR38,$CR38,DV38)</f>
        <v>0</v>
      </c>
      <c r="ED38" s="435">
        <f ca="1">EC38*F38</f>
        <v>0</v>
      </c>
      <c r="EE38" s="436">
        <f ca="1">IF(DX38&gt;$CR38,$CR38,DX38)</f>
        <v>0</v>
      </c>
      <c r="EF38" s="437">
        <f ca="1">EE38*F38</f>
        <v>0</v>
      </c>
      <c r="EG38" s="613" t="str">
        <f>IF(D38=BG$12,BG$12,"")</f>
        <v/>
      </c>
      <c r="EH38" s="614" t="str">
        <f>IF(D38=BG$13,BG$13,"")</f>
        <v/>
      </c>
      <c r="EI38" s="611">
        <f>IF(EG38=BG$12,M38,0)</f>
        <v>0</v>
      </c>
      <c r="EJ38" s="451">
        <f>IF(EG38=BG$12,O38,0)</f>
        <v>0</v>
      </c>
      <c r="EK38" s="451">
        <f>IF(EH38=BG$13,M38,0)</f>
        <v>0</v>
      </c>
      <c r="EL38" s="612">
        <f>IF(EH38=BG$13,O38,0)</f>
        <v>0</v>
      </c>
      <c r="EM38" s="426" t="str">
        <f ca="1">IF(AND(Z38&lt;&gt;"t",Z38&lt;&gt;"f"),"",IF(AND(EN38=$BH$13,K38=$BH$12),"NotOpt",IF(K38&lt;&gt;EN38,"Error","")))</f>
        <v/>
      </c>
      <c r="EN38" s="491" t="str">
        <f>IF(AND($BH$28=1,$BG$28=1),$BH$13,$BH$12)</f>
        <v>120 BU's</v>
      </c>
      <c r="EO38" s="426" t="str">
        <f>K38</f>
        <v xml:space="preserve"> </v>
      </c>
      <c r="EP38" s="497">
        <v>1</v>
      </c>
      <c r="EQ38" s="430" t="str">
        <f ca="1">IF(EP38=1," ",OFFSET(BF$15,EP38-2,0,1,1))</f>
        <v xml:space="preserve"> </v>
      </c>
      <c r="ER38" s="439" t="str">
        <f ca="1">IF(H38=0," ",H38)</f>
        <v xml:space="preserve"> </v>
      </c>
      <c r="ES38" s="440" t="str">
        <f ca="1">IF(ER38&lt;&gt;" ",IF(ER38&lt;&gt;ER$7,"Changed",""),"")</f>
        <v/>
      </c>
      <c r="ET38" s="440">
        <f ca="1">IF(ER38&lt;&gt;" ",IF(ER38&lt;&gt;ER$7,1,0),0)</f>
        <v>0</v>
      </c>
      <c r="EU38" s="957" t="str">
        <f ca="1">IF(I38=" "," ",IF(F38&lt;OFFSET($BM$9,CL38-1,0,1,1),1,""))</f>
        <v xml:space="preserve"> </v>
      </c>
      <c r="EW38" s="427"/>
    </row>
    <row r="39" spans="1:153" ht="17.100000000000001" customHeight="1" thickBot="1">
      <c r="B39" s="689" t="s">
        <v>246</v>
      </c>
      <c r="C39" s="684" t="str">
        <f>IF(OR(F39=0,I39="",I39=" ")," ",$V39)</f>
        <v xml:space="preserve"> </v>
      </c>
      <c r="D39" s="1033"/>
      <c r="E39" s="1360" t="s">
        <v>8</v>
      </c>
      <c r="F39" s="202"/>
      <c r="G39" s="1416"/>
      <c r="H39" s="199" t="str">
        <f ca="1">IF(OR(F39=0,Z39="E",Z39="f")," ",'Project Demand'!E$35)</f>
        <v xml:space="preserve"> </v>
      </c>
      <c r="I39" s="631" t="str">
        <f>IF($I$6&lt;&gt;$BG$8," ",AB39)</f>
        <v xml:space="preserve"> </v>
      </c>
      <c r="J39" s="44" t="str">
        <f ca="1">IF(OR(I39=" ",I39="")," ",OFFSET($BO$9,CL39-1,0-4,1,1))</f>
        <v xml:space="preserve"> </v>
      </c>
      <c r="K39" s="55" t="str">
        <f>IF(OR(I39=" ",I39="")," ",IF(OR(Z39="e",Z39="h"),"SD",BG$24))</f>
        <v xml:space="preserve"> </v>
      </c>
      <c r="L39" s="49">
        <f ca="1">CW39</f>
        <v>0</v>
      </c>
      <c r="M39" s="49">
        <f ca="1">CY39</f>
        <v>0</v>
      </c>
      <c r="N39" s="50">
        <f t="shared" ca="1" si="24"/>
        <v>0</v>
      </c>
      <c r="O39" s="126">
        <f t="shared" ca="1" si="24"/>
        <v>0</v>
      </c>
      <c r="P39" s="140"/>
      <c r="Q39" s="752" t="str">
        <f ca="1">IF(AND(OR(Z39="t",Z39="f"),K39=$BH$11),"No Floor!  Change Floor Type",IF(OR(I39=" ",I39="")," ",IF(F39&lt;OFFSET($BM$9,CL39-1,0,1,1),"check L(m)",DE39&amp;IF(AND(DP39&gt;=CY39,DR39&gt;=DB39),IF(AND(ED39&gt;=DP39,EF39&gt;=DR39),CONCATENATE(DS39," will provide same result"),CONCATENATE(CO39," will provide same result")),IF((DP39&gt;=CY39),CONCATENATE(CO39," provides same result in WIND"),IF((DR39&gt;=DB39),CONCATENATE(CO39," provides same result in EQ"),""))))))&amp;IF(ISERROR(FIND("pile",I39,1)),"",IF(INT(F39)&lt;&gt;F39,"Pile!  Use Whole Numbers Only",""))</f>
        <v xml:space="preserve"> </v>
      </c>
      <c r="R39" s="52"/>
      <c r="S39" s="1372"/>
      <c r="T39" s="1372"/>
      <c r="U39" s="1377"/>
      <c r="V39" s="52" t="str">
        <f ca="1">IF(AND(B$5=$BF$9,OR(I39=BH$16,I39=BH$17))," ",IF(ISNUMBER(B$38),(CONCATENATE(B$38,".",W39)),(CONCATENATE(B$38,W39))))</f>
        <v>F0</v>
      </c>
      <c r="W39" s="9">
        <f ca="1">W38+X39</f>
        <v>0</v>
      </c>
      <c r="X39" s="9">
        <f>IF(AND(B$5=$BF$9,OR($I39=$BH$16,$I39=$BH$17,$I39=" ",$I39="",$F39=0)),0,IF(OR($I39=" ",$I39="",$F39=0),0,1))</f>
        <v>0</v>
      </c>
      <c r="Y39" s="896"/>
      <c r="Z39" s="52" t="str">
        <f ca="1">IF(I39=" "," ",OFFSET($BM$9,$CL39-1,8,1,1))</f>
        <v xml:space="preserve"> </v>
      </c>
      <c r="AA39" s="51" t="str">
        <f>IF(G39&gt;=45,"WA","")</f>
        <v/>
      </c>
      <c r="AB39" s="1364" t="str">
        <f>IF(F39&lt;&gt;"",IF(OR(D39=$BG$12,D39=$BG$13),IF(E39&lt;&gt;$BG$17,$BF$12,$BF$13),IF(E39&lt;&gt;$BG$17,$BF$12,$BF$13))," ")</f>
        <v xml:space="preserve"> </v>
      </c>
      <c r="AC39" s="1"/>
      <c r="AJ39" s="2230"/>
      <c r="AK39" s="2797"/>
      <c r="AL39" s="2783" t="str">
        <f>'Regular and QuickBrace Systems'!E57</f>
        <v>EMPH</v>
      </c>
      <c r="AM39" s="116">
        <f>'Regular and QuickBrace Systems'!F57</f>
        <v>0.4</v>
      </c>
      <c r="AN39" s="1278">
        <f>'Regular and QuickBrace Systems'!G57</f>
        <v>121</v>
      </c>
      <c r="AO39" s="1279">
        <f>'Regular and QuickBrace Systems'!H57</f>
        <v>138</v>
      </c>
      <c r="AP39" s="1595"/>
      <c r="AQ39" s="2661" t="str">
        <f>'Regular and QuickBrace Systems'!I54</f>
        <v>Specialised QuickBrace Pattern</v>
      </c>
      <c r="AR39" s="2662"/>
      <c r="AS39" s="2826" t="str">
        <f>'Regular and QuickBrace Systems'!K54</f>
        <v>Yes</v>
      </c>
      <c r="AT39" s="1340"/>
      <c r="AU39" s="2133" t="str">
        <f>'Regular and QuickBrace Systems'!M57</f>
        <v>Elephant Multiboard One side,               Plywood the Other</v>
      </c>
      <c r="AW39" s="1586" t="str">
        <f>'Regular and QuickBrace Systems'!O57</f>
        <v>Yes</v>
      </c>
      <c r="AX39" s="1578" t="str">
        <f>'Regular and QuickBrace Systems'!Q57</f>
        <v>Yes</v>
      </c>
      <c r="BD39" s="635"/>
      <c r="BF39" s="599" t="str">
        <f>'Custom Elements'!C23</f>
        <v>Custom15</v>
      </c>
      <c r="BG39" s="1005" t="s">
        <v>776</v>
      </c>
      <c r="BH39" s="1006"/>
      <c r="BI39" s="759"/>
      <c r="BJ39" s="897">
        <f t="shared" si="3"/>
        <v>31</v>
      </c>
      <c r="BK39" s="775" t="str">
        <f>'Custom Elements'!O15</f>
        <v>NZS 3604</v>
      </c>
      <c r="BL39" s="772" t="str">
        <f>'Custom Elements'!P15</f>
        <v>Anchor pile</v>
      </c>
      <c r="BM39" s="776">
        <f>'Custom Elements'!Q15</f>
        <v>1</v>
      </c>
      <c r="BN39" s="776">
        <v>999</v>
      </c>
      <c r="BO39" s="776">
        <f>'Custom Elements'!R15</f>
        <v>160</v>
      </c>
      <c r="BP39" s="926">
        <f>'Custom Elements'!S15</f>
        <v>120</v>
      </c>
      <c r="BQ39" s="1183"/>
      <c r="BR39" s="908"/>
      <c r="BS39" s="776"/>
      <c r="BT39" s="776" t="s">
        <v>3</v>
      </c>
      <c r="BU39" s="926" t="s">
        <v>44</v>
      </c>
      <c r="BV39" s="484" t="str">
        <f t="shared" si="23"/>
        <v>Anchor pile</v>
      </c>
      <c r="BW39" s="911">
        <f t="shared" si="20"/>
        <v>31</v>
      </c>
      <c r="BX39" s="925" t="str">
        <f>'Custom Elements'!U15</f>
        <v>Single</v>
      </c>
      <c r="CH39" s="908">
        <f>IF(BN39=999,0,(#REF!-BO39)/(BN39-BM39))</f>
        <v>0</v>
      </c>
      <c r="CI39" s="926">
        <f>IF(BN39=999,0,(#REF!-BP39)/(BN39-BM39))</f>
        <v>0</v>
      </c>
      <c r="CJ39" s="759"/>
      <c r="CK39" s="188"/>
      <c r="CL39" s="979">
        <f>VLOOKUP(I39,Prodlink,2,0)</f>
        <v>0</v>
      </c>
      <c r="CN39" s="497">
        <f ca="1">VLOOKUP(CO39,Prodlink,2,0)</f>
        <v>0</v>
      </c>
      <c r="CO39" s="497">
        <f ca="1">OFFSET($CH$9,CL39-1,-15,1,1)</f>
        <v>0</v>
      </c>
      <c r="CQ39" s="51">
        <v>0</v>
      </c>
      <c r="CR39" s="51">
        <f>IF(K39=$BH$12,$BH$23,IF(K39=$BH$13,$BH$24,10000))</f>
        <v>10000</v>
      </c>
      <c r="CS39" s="51">
        <f ca="1">IF(F39&lt;OFFSET($BM$9,CL39-1,0,1,1),0,IF(F39&lt;OFFSET($BN$9,CL39-1,0,1,1),((F39-OFFSET($BM$9,CL39-1,0,1,1))*OFFSET($CH$9,CL39-1,0,1,1))+OFFSET($BO$9,CL39-1,CQ39,1,1),IF(F39&lt;OFFSET($BN$9,CL39+0,0,1,1),((F39-OFFSET($BM$9,CL39+0,0,1,1))*OFFSET($CH$9,CL39+0,0,1,1))+OFFSET($BO$9,CL39+0,CQ39,1,1),IF(F39&lt;OFFSET($BN$9,CL39+1,0,1,1),((F39-OFFSET($BM$9,CL39+1,0,1,1))*OFFSET($CH$9,CL39+1,0,1,1))+OFFSET($BO$9,CL39+1,CQ39,1,1),IF(F39&lt;OFFSET($BN$9,CL39+2,0,1,1),((F39-OFFSET($BM$9,CL39+2,0,1,1))*OFFSET($CH$9,CL39+2,0,1,1))+OFFSET($BO$9,CL39+2,CQ39,1,1),IF(F39&lt;OFFSET($BN$9,CL39+3,0,1,1),((F39-OFFSET($BM$9,CL39+3,0,1,1))*OFFSET($CH$9,CL39+3,0,1,1))+OFFSET($BO$9,CL39+3,CQ39,1,1),0))))))</f>
        <v>0</v>
      </c>
      <c r="CT39" s="51">
        <f ca="1">IF($F39&lt;OFFSET($BM$9,$CL39-1,0,1,1),0,IF($F39&lt;OFFSET($BN$9,$CL39-1,0,1,1),IF(AND($H39&gt;2.4,Z39&lt;&gt;"e",Z39&lt;&gt;"f"),CX39*2.4/$H39,CX39),IF($F39&lt;OFFSET($BN$9,$CL39+0,0,1,1),IF(AND($H39&gt;2.4,Z39&lt;&gt;"e",Z39&lt;&gt;"f"),CX39*2.4/$H39,CX39),IF($F39&lt;OFFSET($BN$9,$CL39+1,0,1,1),IF(AND($H39&gt;2.4,Z39&lt;&gt;"e",Z39&lt;&gt;"f"),CX39*2.4/$H39,CX39),IF($F39&lt;OFFSET($BN$9,CL39+2,0,1,1),IF(AND($H39&gt;2.4,Z39&lt;&gt;"e",Z39&lt;&gt;"f"),CX39*2.4/$H39,CX39),IF($F39&lt;OFFSET($BN$9,CL39+3,0,1,1),IF(AND($H39&gt;2.4,Z39&lt;&gt;"e",Z39&lt;&gt;"f"),CX39*2.4/$H39,CX39),0)))))*COS(RADIANS($G39)))</f>
        <v>0</v>
      </c>
      <c r="CU39" s="51">
        <f ca="1">IF(F39&lt;OFFSET($BM$9,CL39-1,0,1,1),0,IF(F39&lt;OFFSET($BN$9,CL39-1,0,1,1),((F39-OFFSET($BM$9,CL39-1,0,1,1))*OFFSET($CI$9,CL39-1,0,1,1))+OFFSET($BP$9,CL39-1,CQ39,1,1),IF(F39&lt;OFFSET($BN$9,CL39+0,0,1,1),((F39-OFFSET($BM$9,CL39+0,0,1,1))*OFFSET($CI$9,CL39+0,0,1,1))+OFFSET($BP$9,CL39+0,CQ39,1,1),IF(F39&lt;OFFSET($BN$9,CL39+1,0,1,1),((F39-OFFSET($BM$9,CL39+1,0,1,1))*OFFSET($CI$9,CL39+1,0,1,1))+OFFSET($BP$9,CL39+1,CQ39,1,1),IF(F39&lt;OFFSET($BN$9,CL39+2,0,1,1),((F39-OFFSET($BM$9,CL39+2,0,1,1))*OFFSET($CI$9,CL39+2,0,1,1))+OFFSET($BP$9,CL39+2,CQ39,1,1),IF(F39&lt;OFFSET($BN$9,CL39+3,0,1,1),((F39-OFFSET($BM$9,CL39+3,0,1,1))*OFFSET($CI$9,CL39+3,0,1,1))+OFFSET($BP$9,CL39+3,CQ39,1,1),0))))))</f>
        <v>0</v>
      </c>
      <c r="CV39" s="51">
        <f ca="1">IF($F39&lt;OFFSET($BM$9,$CL39-1,0,1,1),0,IF($F39&lt;OFFSET($BN$9,$CL39-1,0,1,1),IF(AND($H39&gt;2.4,Z39&lt;&gt;"e",Z39&lt;&gt;"f"),CZ39*2.4/$H39,CZ39),IF($F39&lt;OFFSET($BN$9,$CL39+0,0,1,1),IF(AND($H39&gt;2.4,Z39&lt;&gt;"e",Z39&lt;&gt;"f"),CZ39*2.4/$H39,CZ39),IF($F39&lt;OFFSET($BN$9,$CL39+1,0,1,1),IF(AND($H39&gt;2.4,Z39&lt;&gt;"e",Z39&lt;&gt;"f"),CZ39*2.4/$H39,CZ39),IF($F39&lt;OFFSET($BN$9,$CL39+2,0,1,1),IF(AND($H39&gt;2.4,Z39&lt;&gt;"e",Z39&lt;&gt;"f"),CZ39*2.4/$H39,CZ39),IF($F39&lt;OFFSET($BN$9,$CL39+3,0,1,1),IF(AND($H39&gt;2.4,Z39&lt;&gt;"e",Z39&lt;&gt;"f"),CZ39*2.4/$H39,CZ39),0)))))*COS(RADIANS($G39)))</f>
        <v>0</v>
      </c>
      <c r="CW39" s="51">
        <f ca="1">IF(CT39&gt;CR39,CR39,CT39)</f>
        <v>0</v>
      </c>
      <c r="CX39" s="51">
        <f ca="1">IF(CS39&gt;$CR39,$CR39,CS39)</f>
        <v>0</v>
      </c>
      <c r="CY39" s="51">
        <f ca="1">CW39*F39</f>
        <v>0</v>
      </c>
      <c r="CZ39" s="51">
        <f ca="1">IF($CU39&gt;$CR39,$CR39,$CU39)</f>
        <v>0</v>
      </c>
      <c r="DA39" s="51">
        <f ca="1">IF(CV39&gt;CR39,CR39,CV39)</f>
        <v>0</v>
      </c>
      <c r="DB39" s="984">
        <f ca="1">DA39*F39</f>
        <v>0</v>
      </c>
      <c r="DC39" s="993">
        <v>1</v>
      </c>
      <c r="DD39" s="758" t="str">
        <f>IF(OR(D39=BG$12,D39=BG$13),"External",IF(D39=BG$14,"Internal"," "))</f>
        <v xml:space="preserve"> </v>
      </c>
      <c r="DE39" s="51" t="str">
        <f t="shared" ca="1" si="1"/>
        <v/>
      </c>
      <c r="DF39" s="52" t="str">
        <f t="shared" ca="1" si="2"/>
        <v xml:space="preserve"> </v>
      </c>
      <c r="DG39" s="51">
        <f ca="1">IF(F39&lt;OFFSET($BM$9,CN39-1,0,1,1),0,IF(F39&lt;OFFSET($BN$9,CN39-1,0,1,1),((F39-OFFSET($BM$9,CN39-1,0,1,1))*OFFSET($CH$9,CN39-1,0,1,1))+OFFSET($BO$9,CN39-1,CQ39,1,1),IF(F39&lt;OFFSET($BN$9,CN39+0,0,1,1),((F39-OFFSET($BM$9,CN39+0,0,1,1))*OFFSET($CH$9,CN39+0,0,1,1))+OFFSET($BO$9,CN39+0,CQ39,1,1),IF(F39&lt;OFFSET($BN$9,CN39+1,0,1,1),((F39-OFFSET($BM$9,CN39+1,0,1,1))*OFFSET($CH$9,CN39+1,0,1,1))+OFFSET($BO$9,CN39+1,CQ39,1,1),IF(F39&lt;OFFSET($BN$9,CN39+2,0,1,1),((F39-OFFSET($BM$9,CN39+2,0,1,1))*OFFSET($CH$9,CN39+2,0,1,1))+OFFSET($BO$9,CN39+2,CQ39,1,1),IF(F39&lt;OFFSET($BN$9,CN39+3,0,1,1),((F39-OFFSET($BM$9,CN39+3,0,1,1))*OFFSET($CH$9,CN39+3,0,1,1))+OFFSET($BO$9,CN39+3,CQ39,1,1),0))))))</f>
        <v>0</v>
      </c>
      <c r="DH39" s="51">
        <f ca="1">IF($F39&lt;OFFSET($BM$9,$CN39-1,0,1,1),0,IF($F39&lt;OFFSET($BN$9,$CN39-1,0,1,1),IF(AND($H39&gt;2.4,Z39&lt;&gt;"e",Z39&lt;&gt;"f"),DL39*2.4/$H39,DL39),IF($F39&lt;OFFSET($BN$9,$CN39+0,0,1,1),IF(AND($H39&gt;2.4,Z39&lt;&gt;"e",Z39&lt;&gt;"f"),DL39*2.4/$H39,DL39),IF($F39&lt;OFFSET($BN$9,$CN39+1,0,1,1),IF(AND($H39&gt;2.4,Z39&lt;&gt;"e",Z39&lt;&gt;"f"),DL39*2.4/$H39,DL39),IF($F39&lt;OFFSET($BN$9,$CN39+2,0,1,1),IF(AND($H39&gt;2.4,Z39&lt;&gt;"e",Z39&lt;&gt;"f"),DL39*2.4/$H39,DL39),IF($F39&lt;OFFSET($BN$9,$CN39+3,0,1,1),IF(AND($H39&gt;2.4,Z39&lt;&gt;"e",Z39&lt;&gt;"f"),DL39*2.4/$H39,DL39),0)))))*COS(RADIANS($G39)))</f>
        <v>0</v>
      </c>
      <c r="DI39" s="51">
        <f ca="1">IF(F39&lt;OFFSET($BM$9,CN39-1,0,1,1),0,IF(F39&lt;OFFSET($BN$9,CN39-1,0,1,1),((F39-OFFSET($BM$9,CN39-1,0,1,1))*OFFSET($CI$9,CN39-1,0,1,1))+OFFSET($BP$9,CN39-1,CQ39,1,1),IF(F39&lt;OFFSET($BN$9,CN39+0,0,1,1),((F39-OFFSET($BM$9,CN39+0,0,1,1))*OFFSET($CI$9,CN39+0,0,1,1))+OFFSET($BP$9,CN39+0,CQ39,1,1),IF(F39&lt;OFFSET($BN$9,CN39+1,0,1,1),((F39-OFFSET($BM$9,CN39+1,0,1,1))*OFFSET($CI$9,CN39+1,0,1,1))+OFFSET($BP$9,CN39+1,CQ39,1,1),IF(F39&lt;OFFSET($BN$9,CN39+2,0,1,1),((F39-OFFSET($BM$9,CN39+2,0,1,1))*OFFSET($CI$9,CN39+2,0,1,1))+OFFSET($BP$9,CN39+2,CQ39,1,1),IF(F39&lt;OFFSET($BN$9,CN39+3,0,1,1),((F39-OFFSET($BM$9,CN39+3,0,1,1))*OFFSET($CI$9,CN39+3,0,1,1))+OFFSET($BP$9,CN39+3,CQ39,1,1),0))))))</f>
        <v>0</v>
      </c>
      <c r="DJ39" s="51">
        <f ca="1">IF($F39&lt;OFFSET($BM$9,$CN39-1,0,1,1),0,IF($F39&lt;OFFSET($BN$9,$CN39-1,0,1,1),IF(AND($H39&gt;2.4,Z39&lt;&gt;"e",Z39&lt;&gt;"f"),DN39*2.4/$H39,DN39),IF($F39&lt;OFFSET($BN$9,$CN39+0,0,1,1),IF(AND($H39&gt;2.4,Z39&lt;&gt;"e",Z39&lt;&gt;"f"),DN39*2.4/$H39,DN39),IF($F39&lt;OFFSET($BN$9,$CN39+1,0,1,1),IF(AND($H39&gt;2.4,Z39&lt;&gt;"e",Z39&lt;&gt;"f"),DN39*2.4/$H39,DN39),IF($F39&lt;OFFSET($BN$9,$CN39+2,0,1,1),IF(AND($H39&gt;2.4,Z39&lt;&gt;"e",Z39&lt;&gt;"f"),DN39*2.4/$H39,DN39),IF($F39&lt;OFFSET($BN$9,$CN39+3,0,1,1),IF(AND($H39&gt;2.4,Z39&lt;&gt;"e",Z39&lt;&gt;"f"),DN39*2.4/$H39,DN39),0)))))*COS(RADIANS($G39)))</f>
        <v>0</v>
      </c>
      <c r="DK39" s="51"/>
      <c r="DL39" s="51">
        <f ca="1">IF(DG39&gt;$CR39,$CR39,DG39)</f>
        <v>0</v>
      </c>
      <c r="DM39" s="51"/>
      <c r="DN39" s="51">
        <f ca="1">IF(DI39&gt;$CR39,$CR39,DI39)</f>
        <v>0</v>
      </c>
      <c r="DO39" s="435">
        <f ca="1">IF(DH39&gt;$CR39,$CR39,DH39)</f>
        <v>0</v>
      </c>
      <c r="DP39" s="435">
        <f ca="1">DO39*F39</f>
        <v>0</v>
      </c>
      <c r="DQ39" s="436">
        <f ca="1">IF(DJ39&gt;$CR39,$CR39,DJ39)</f>
        <v>0</v>
      </c>
      <c r="DR39" s="437">
        <f ca="1">DQ39*F39</f>
        <v>0</v>
      </c>
      <c r="DS39" s="426">
        <f ca="1">OFFSET($CH$9,CL39-1,-15,1,1)</f>
        <v>0</v>
      </c>
      <c r="DT39" s="451">
        <f ca="1">VLOOKUP(DS39,Prodlink,2,0)</f>
        <v>0</v>
      </c>
      <c r="DU39" s="188">
        <f ca="1">IF(F39&lt;OFFSET($BM$9,DT39-1,0,1,1),0,IF(F39&lt;OFFSET($BN$9,DT39-1,0,1,1),((F39-OFFSET($BM$9,DT39-1,0,1,1))*OFFSET($CH$9,DT39-1,0,1,1))+OFFSET($BO$9,DT39-1,CQ39,1,1),IF(F39&lt;OFFSET($BN$9,DT39+0,0,1,1),((F39-OFFSET($BM$9,DT39+0,0,1,1))*OFFSET($CH$9,DT39+0,0,1,1))+OFFSET($BO$9,DT39+0,CQ39,1,1),IF(F39&lt;OFFSET($BN$9,DT39+1,0,1,1),((F39-OFFSET($BM$9,DT39+1,0,1,1))*OFFSET($CH$9,DT39+1,0,1,1))+OFFSET($BO$9,DT39+1,CQ39,1,1),IF(F39&lt;OFFSET($BN$9,DT39+2,0,1,1),((F39-OFFSET($BM$9,DT39+2,0,1,1))*OFFSET($CH$9,DT39+2,0,1,1))+OFFSET($BO$9,DT39+2,CQ39,1,1),IF(F39&lt;OFFSET($BN$9,DT39+3,0,1,1),((F39-OFFSET($BM$9,DT39+3,0,1,1))*OFFSET($CH$9,DT39+3,0,1,1))+OFFSET($BO$9,DT39+3,CQ39,1,1),0))))))</f>
        <v>0</v>
      </c>
      <c r="DV39" s="51">
        <f ca="1">IF($F39&lt;OFFSET($BM$9,$DT39-1,0,1,1),0,IF($F39&lt;OFFSET($BN$9,$DT39-1,0,1,1),IF(AND($H39&gt;2.4,Z39&lt;&gt;"e",Z39&lt;&gt;"f"),DZ39*2.4/$H39,DZ39),IF($F39&lt;OFFSET($BN$9,$DT39+0,0,1,1),IF(AND($H39&gt;2.4,Z39&lt;&gt;"e",Z39&lt;&gt;"f"),DZ39*2.4/$H39,DZ39),IF($F39&lt;OFFSET($BN$9,$DT39+1,0,1,1),IF(AND($H39&gt;2.4,Z39&lt;&gt;"e",Z39&lt;&gt;"f"),DZ39*2.4/$H39,DZ39),IF($F39&lt;OFFSET($BN$9,$DT39+2,0,1,1),IF(AND($H39&gt;2.4,Z39&lt;&gt;"e",Z39&lt;&gt;"f"),DZ39*2.4/$H39,DZ39),IF($F39&lt;OFFSET($BN$9,$DT39+3,0,1,1),IF(AND($H39&gt;2.4,Z39&lt;&gt;"e",Z39&lt;&gt;"f"),DZ39*2.4/$H39,DZ39),0)))))*COS(RADIANS($G39)))</f>
        <v>0</v>
      </c>
      <c r="DW39" s="188">
        <f ca="1">IF(F39&lt;OFFSET($BM$9,DT39-1,0,1,1),0,IF(F39&lt;OFFSET($BN$9,DT39-1,0,1,1),((F39-OFFSET($BM$9,DT39-1,0,1,1))*OFFSET($CI$9,DT39-1,0,1,1))+OFFSET($BP$9,DT39-1,CQ39,1,1),IF(F39&lt;OFFSET($BN$9,DT39+0,0,1,1),((F39-OFFSET($BM$9,DT39+0,0,1,1))*OFFSET($CI$9,DT39+0,0,1,1))+OFFSET($BP$9,DT39+0,CQ39,1,1),IF(F39&lt;OFFSET($BN$9,DT39+1,0,1,1),((F39-OFFSET($BM$9,DT39+1,0,1,1))*OFFSET($CI$9,DT39+1,0,1,1))+OFFSET($BP$9,DT39+1,CQ39,1,1),IF(F39&lt;OFFSET($BN$9,DT39+2,0,1,1),((F39-OFFSET($BM$9,DT39+2,0,1,1))*OFFSET($CI$9,DT39+2,0,1,1))+OFFSET($BP$9,DT39+2,CQ39,1,1),IF(F39&lt;OFFSET($BN$9,DT39+3,0,1,1),((F39-OFFSET($BM$9,DT39+3,0,1,1))*OFFSET($CI$9,DT39+3,0,1,1))+OFFSET($BP$9,DT39+3,CQ39,1,1),0))))))</f>
        <v>0</v>
      </c>
      <c r="DX39" s="51">
        <f ca="1">IF($F39&lt;OFFSET($BM$9,$DT39-1,0,1,1),0,IF($F39&lt;OFFSET($BN$9,$DT39-1,0,1,1),IF(AND($H39&gt;2.4,Z39&lt;&gt;"e",Z39&lt;&gt;"f"),EB39*2.4/$H39,EB39),IF($F39&lt;OFFSET($BN$9,$DT39+0,0,1,1),IF(AND($H39&gt;2.4,Z39&lt;&gt;"e",Z39&lt;&gt;"f"),EB39*2.4/$H39,EB39),IF($F39&lt;OFFSET($BN$9,$DT39+1,0,1,1),IF(AND($H39&gt;2.4,Z39&lt;&gt;"e",Z39&lt;&gt;"f"),EB39*2.4/$H39,EB39),IF($F39&lt;OFFSET($BN$9,$DT39+2,0,1,1),IF(AND($H39&gt;2.4,Z39&lt;&gt;"e",Z39&lt;&gt;"f"),EB39*2.4/$H39,EB39),IF($F39&lt;OFFSET($BN$9,$DT39+3,0,1,1),IF(AND($H39&gt;2.4,Z39&lt;&gt;"e",Z39&lt;&gt;"f"),EB39*2.4/$H39,EB39),0)))))*COS(RADIANS($G39)))</f>
        <v>0</v>
      </c>
      <c r="DY39" s="188"/>
      <c r="DZ39" s="188">
        <f ca="1">IF(DU39&gt;$CR39,$CR39,DU39)</f>
        <v>0</v>
      </c>
      <c r="EA39" s="188"/>
      <c r="EB39" s="188">
        <f ca="1">IF(DW39&gt;$CR39,$CR39,DW39)</f>
        <v>0</v>
      </c>
      <c r="EC39" s="435">
        <f ca="1">IF(DV39&gt;$CR39,$CR39,DV39)</f>
        <v>0</v>
      </c>
      <c r="ED39" s="435">
        <f ca="1">EC39*F39</f>
        <v>0</v>
      </c>
      <c r="EE39" s="436">
        <f ca="1">IF(DX39&gt;$CR39,$CR39,DX39)</f>
        <v>0</v>
      </c>
      <c r="EF39" s="437">
        <f ca="1">EE39*F39</f>
        <v>0</v>
      </c>
      <c r="EG39" s="613" t="str">
        <f>IF(D39=BG$12,BG$12,"")</f>
        <v/>
      </c>
      <c r="EH39" s="614" t="str">
        <f>IF(D39=BG$13,BG$13,"")</f>
        <v/>
      </c>
      <c r="EI39" s="611">
        <f>IF(EG39=BG$12,M39,0)</f>
        <v>0</v>
      </c>
      <c r="EJ39" s="451">
        <f>IF(EG39=BG$12,O39,0)</f>
        <v>0</v>
      </c>
      <c r="EK39" s="451">
        <f>IF(EH39=BG$13,M39,0)</f>
        <v>0</v>
      </c>
      <c r="EL39" s="612">
        <f>IF(EH39=BG$13,O39,0)</f>
        <v>0</v>
      </c>
      <c r="EM39" s="426" t="str">
        <f ca="1">IF(AND(Z39&lt;&gt;"t",Z39&lt;&gt;"f"),"",IF(AND(EN39=$BH$13,K39=$BH$12),"NotOpt",IF(K39&lt;&gt;EN39,"Error","")))</f>
        <v/>
      </c>
      <c r="EN39" s="491" t="str">
        <f>IF(AND($BH$28=1,$BG$28=1),$BH$13,$BH$12)</f>
        <v>120 BU's</v>
      </c>
      <c r="EO39" s="426" t="str">
        <f>K39</f>
        <v xml:space="preserve"> </v>
      </c>
      <c r="EP39" s="497">
        <v>1</v>
      </c>
      <c r="EQ39" s="430" t="str">
        <f ca="1">IF(EP39=1," ",OFFSET(BF$15,EP39-2,0,1,1))</f>
        <v xml:space="preserve"> </v>
      </c>
      <c r="ER39" s="439" t="str">
        <f ca="1">IF(H39=0," ",H39)</f>
        <v xml:space="preserve"> </v>
      </c>
      <c r="ES39" s="440" t="str">
        <f ca="1">IF(ER39&lt;&gt;" ",IF(ER39&lt;&gt;ER$7,"Changed",""),"")</f>
        <v/>
      </c>
      <c r="ET39" s="440">
        <f ca="1">IF(ER39&lt;&gt;" ",IF(ER39&lt;&gt;ER$7,1,0),0)</f>
        <v>0</v>
      </c>
      <c r="EU39" s="957" t="str">
        <f ca="1">IF(I39=" "," ",IF(F39&lt;OFFSET($BM$9,CL39-1,0,1,1),1,""))</f>
        <v xml:space="preserve"> </v>
      </c>
      <c r="EW39" s="427"/>
    </row>
    <row r="40" spans="1:153" ht="17.100000000000001" customHeight="1" thickBot="1">
      <c r="B40" s="689" t="s">
        <v>246</v>
      </c>
      <c r="C40" s="684" t="str">
        <f>IF(OR(F40=0,I40="",I40=" ")," ",$V40)</f>
        <v xml:space="preserve"> </v>
      </c>
      <c r="D40" s="1033"/>
      <c r="E40" s="1360"/>
      <c r="F40" s="202"/>
      <c r="G40" s="1416"/>
      <c r="H40" s="199" t="str">
        <f ca="1">IF(OR(F40=0,Z40="E",Z40="f")," ",'Project Demand'!E$35)</f>
        <v xml:space="preserve"> </v>
      </c>
      <c r="I40" s="631" t="str">
        <f>IF($I$6&lt;&gt;$BG$8," ",AB40)</f>
        <v xml:space="preserve"> </v>
      </c>
      <c r="J40" s="44" t="str">
        <f ca="1">IF(OR(I40=" ",I40="")," ",OFFSET($BO$9,CL40-1,0-4,1,1))</f>
        <v xml:space="preserve"> </v>
      </c>
      <c r="K40" s="55" t="str">
        <f>IF(OR(I40=" ",I40="")," ",IF(OR(Z40="e",Z40="h"),"SD",BG$24))</f>
        <v xml:space="preserve"> </v>
      </c>
      <c r="L40" s="49">
        <f ca="1">CW40</f>
        <v>0</v>
      </c>
      <c r="M40" s="49">
        <f ca="1">CY40</f>
        <v>0</v>
      </c>
      <c r="N40" s="50">
        <f t="shared" ca="1" si="24"/>
        <v>0</v>
      </c>
      <c r="O40" s="126">
        <f t="shared" ca="1" si="24"/>
        <v>0</v>
      </c>
      <c r="P40" s="140"/>
      <c r="Q40" s="752" t="str">
        <f ca="1">IF(AND(OR(Z40="t",Z40="f"),K40=$BH$11),"No Floor!  Change Floor Type",IF(OR(I40=" ",I40="")," ",IF(F40&lt;OFFSET($BM$9,CL40-1,0,1,1),"check L(m)",DE40&amp;IF(AND(DP40&gt;=CY40,DR40&gt;=DB40),IF(AND(ED40&gt;=DP40,EF40&gt;=DR40),CONCATENATE(DS40," will provide same result"),CONCATENATE(CO40," will provide same result")),IF((DP40&gt;=CY40),CONCATENATE(CO40," provides same result in WIND"),IF((DR40&gt;=DB40),CONCATENATE(CO40," provides same result in EQ"),""))))))&amp;IF(ISERROR(FIND("pile",I40,1)),"",IF(INT(F40)&lt;&gt;F40,"Pile!  Use Whole Numbers Only",""))</f>
        <v xml:space="preserve"> </v>
      </c>
      <c r="R40" s="52"/>
      <c r="S40" s="1372"/>
      <c r="T40" s="1372"/>
      <c r="U40" s="1377"/>
      <c r="V40" s="52" t="str">
        <f ca="1">IF(AND(B$5=$BF$9,OR(I40=BH$16,I40=BH$17))," ",IF(ISNUMBER(B$38),(CONCATENATE(B$38,".",W40)),(CONCATENATE(B$38,W40))))</f>
        <v>F0</v>
      </c>
      <c r="W40" s="9">
        <f ca="1">W39+X40</f>
        <v>0</v>
      </c>
      <c r="X40" s="9">
        <f>IF(AND(B$5=$BF$9,OR($I40=$BH$16,$I40=$BH$17,$I40=" ",$I40="",$F40=0)),0,IF(OR($I40=" ",$I40="",$F40=0),0,1))</f>
        <v>0</v>
      </c>
      <c r="Y40" s="896"/>
      <c r="Z40" s="52" t="str">
        <f ca="1">IF(I40=" "," ",OFFSET($BM$9,$CL40-1,8,1,1))</f>
        <v xml:space="preserve"> </v>
      </c>
      <c r="AA40" s="51" t="str">
        <f>IF(G40&gt;=45,"WA","")</f>
        <v/>
      </c>
      <c r="AB40" s="1364" t="str">
        <f>IF(F40&lt;&gt;"",IF(OR(D40=$BG$12,D40=$BG$13),IF(E40&lt;&gt;$BG$17,$BF$12,$BF$13),IF(E40&lt;&gt;$BG$17,$BF$12,$BF$13))," ")</f>
        <v xml:space="preserve"> </v>
      </c>
      <c r="AC40" s="1"/>
      <c r="AJ40" s="2230"/>
      <c r="AK40" s="2797"/>
      <c r="AL40" s="2784"/>
      <c r="AM40" s="11">
        <f>'Regular and QuickBrace Systems'!F58</f>
        <v>0.8</v>
      </c>
      <c r="AN40" s="1336">
        <f>'Regular and QuickBrace Systems'!G58</f>
        <v>148</v>
      </c>
      <c r="AO40" s="26">
        <f>'Regular and QuickBrace Systems'!H58</f>
        <v>150</v>
      </c>
      <c r="AP40" s="1595"/>
      <c r="AQ40" s="2663"/>
      <c r="AR40" s="2664"/>
      <c r="AS40" s="2827"/>
      <c r="AT40" s="1340"/>
      <c r="AU40" s="2123"/>
      <c r="AW40" s="1569" t="str">
        <f>'Regular and QuickBrace Systems'!O58</f>
        <v>Yes</v>
      </c>
      <c r="AX40" s="442" t="str">
        <f>'Regular and QuickBrace Systems'!Q58</f>
        <v>Yes</v>
      </c>
      <c r="BD40" s="641"/>
      <c r="BF40" s="599" t="str">
        <f>'Custom Elements'!C24</f>
        <v>Custom16</v>
      </c>
      <c r="BG40" s="1005" t="s">
        <v>933</v>
      </c>
      <c r="BH40" s="1006"/>
      <c r="BI40" s="759"/>
      <c r="BJ40" s="897">
        <f t="shared" si="3"/>
        <v>32</v>
      </c>
      <c r="CJ40" s="759"/>
      <c r="CK40" s="188"/>
      <c r="CL40" s="979">
        <f>VLOOKUP(I40,Prodlink,2,0)</f>
        <v>0</v>
      </c>
      <c r="CN40" s="497">
        <f ca="1">VLOOKUP(CO40,Prodlink,2,0)</f>
        <v>0</v>
      </c>
      <c r="CO40" s="497">
        <f ca="1">OFFSET($CH$9,CL40-1,-15,1,1)</f>
        <v>0</v>
      </c>
      <c r="CQ40" s="51">
        <v>0</v>
      </c>
      <c r="CR40" s="51">
        <f>IF(K40=$BH$12,$BH$23,IF(K40=$BH$13,$BH$24,10000))</f>
        <v>10000</v>
      </c>
      <c r="CS40" s="51">
        <f ca="1">IF(F40&lt;OFFSET($BM$9,CL40-1,0,1,1),0,IF(F40&lt;OFFSET($BN$9,CL40-1,0,1,1),((F40-OFFSET($BM$9,CL40-1,0,1,1))*OFFSET($CH$9,CL40-1,0,1,1))+OFFSET($BO$9,CL40-1,CQ40,1,1),IF(F40&lt;OFFSET($BN$9,CL40+0,0,1,1),((F40-OFFSET($BM$9,CL40+0,0,1,1))*OFFSET($CH$9,CL40+0,0,1,1))+OFFSET($BO$9,CL40+0,CQ40,1,1),IF(F40&lt;OFFSET($BN$9,CL40+1,0,1,1),((F40-OFFSET($BM$9,CL40+1,0,1,1))*OFFSET($CH$9,CL40+1,0,1,1))+OFFSET($BO$9,CL40+1,CQ40,1,1),IF(F40&lt;OFFSET($BN$9,CL40+2,0,1,1),((F40-OFFSET($BM$9,CL40+2,0,1,1))*OFFSET($CH$9,CL40+2,0,1,1))+OFFSET($BO$9,CL40+2,CQ40,1,1),IF(F40&lt;OFFSET($BN$9,CL40+3,0,1,1),((F40-OFFSET($BM$9,CL40+3,0,1,1))*OFFSET($CH$9,CL40+3,0,1,1))+OFFSET($BO$9,CL40+3,CQ40,1,1),0))))))</f>
        <v>0</v>
      </c>
      <c r="CT40" s="51">
        <f ca="1">IF($F40&lt;OFFSET($BM$9,$CL40-1,0,1,1),0,IF($F40&lt;OFFSET($BN$9,$CL40-1,0,1,1),IF(AND($H40&gt;2.4,Z40&lt;&gt;"e",Z40&lt;&gt;"f"),CX40*2.4/$H40,CX40),IF($F40&lt;OFFSET($BN$9,$CL40+0,0,1,1),IF(AND($H40&gt;2.4,Z40&lt;&gt;"e",Z40&lt;&gt;"f"),CX40*2.4/$H40,CX40),IF($F40&lt;OFFSET($BN$9,$CL40+1,0,1,1),IF(AND($H40&gt;2.4,Z40&lt;&gt;"e",Z40&lt;&gt;"f"),CX40*2.4/$H40,CX40),IF($F40&lt;OFFSET($BN$9,CL40+2,0,1,1),IF(AND($H40&gt;2.4,Z40&lt;&gt;"e",Z40&lt;&gt;"f"),CX40*2.4/$H40,CX40),IF($F40&lt;OFFSET($BN$9,CL40+3,0,1,1),IF(AND($H40&gt;2.4,Z40&lt;&gt;"e",Z40&lt;&gt;"f"),CX40*2.4/$H40,CX40),0)))))*COS(RADIANS($G40)))</f>
        <v>0</v>
      </c>
      <c r="CU40" s="51">
        <f ca="1">IF(F40&lt;OFFSET($BM$9,CL40-1,0,1,1),0,IF(F40&lt;OFFSET($BN$9,CL40-1,0,1,1),((F40-OFFSET($BM$9,CL40-1,0,1,1))*OFFSET($CI$9,CL40-1,0,1,1))+OFFSET($BP$9,CL40-1,CQ40,1,1),IF(F40&lt;OFFSET($BN$9,CL40+0,0,1,1),((F40-OFFSET($BM$9,CL40+0,0,1,1))*OFFSET($CI$9,CL40+0,0,1,1))+OFFSET($BP$9,CL40+0,CQ40,1,1),IF(F40&lt;OFFSET($BN$9,CL40+1,0,1,1),((F40-OFFSET($BM$9,CL40+1,0,1,1))*OFFSET($CI$9,CL40+1,0,1,1))+OFFSET($BP$9,CL40+1,CQ40,1,1),IF(F40&lt;OFFSET($BN$9,CL40+2,0,1,1),((F40-OFFSET($BM$9,CL40+2,0,1,1))*OFFSET($CI$9,CL40+2,0,1,1))+OFFSET($BP$9,CL40+2,CQ40,1,1),IF(F40&lt;OFFSET($BN$9,CL40+3,0,1,1),((F40-OFFSET($BM$9,CL40+3,0,1,1))*OFFSET($CI$9,CL40+3,0,1,1))+OFFSET($BP$9,CL40+3,CQ40,1,1),0))))))</f>
        <v>0</v>
      </c>
      <c r="CV40" s="51">
        <f ca="1">IF($F40&lt;OFFSET($BM$9,$CL40-1,0,1,1),0,IF($F40&lt;OFFSET($BN$9,$CL40-1,0,1,1),IF(AND($H40&gt;2.4,Z40&lt;&gt;"e",Z40&lt;&gt;"f"),CZ40*2.4/$H40,CZ40),IF($F40&lt;OFFSET($BN$9,$CL40+0,0,1,1),IF(AND($H40&gt;2.4,Z40&lt;&gt;"e",Z40&lt;&gt;"f"),CZ40*2.4/$H40,CZ40),IF($F40&lt;OFFSET($BN$9,$CL40+1,0,1,1),IF(AND($H40&gt;2.4,Z40&lt;&gt;"e",Z40&lt;&gt;"f"),CZ40*2.4/$H40,CZ40),IF($F40&lt;OFFSET($BN$9,$CL40+2,0,1,1),IF(AND($H40&gt;2.4,Z40&lt;&gt;"e",Z40&lt;&gt;"f"),CZ40*2.4/$H40,CZ40),IF($F40&lt;OFFSET($BN$9,$CL40+3,0,1,1),IF(AND($H40&gt;2.4,Z40&lt;&gt;"e",Z40&lt;&gt;"f"),CZ40*2.4/$H40,CZ40),0)))))*COS(RADIANS($G40)))</f>
        <v>0</v>
      </c>
      <c r="CW40" s="51">
        <f ca="1">IF(CT40&gt;CR40,CR40,CT40)</f>
        <v>0</v>
      </c>
      <c r="CX40" s="51">
        <f ca="1">IF(CS40&gt;$CR40,$CR40,CS40)</f>
        <v>0</v>
      </c>
      <c r="CY40" s="51">
        <f ca="1">CW40*F40</f>
        <v>0</v>
      </c>
      <c r="CZ40" s="51">
        <f ca="1">IF($CU40&gt;$CR40,$CR40,$CU40)</f>
        <v>0</v>
      </c>
      <c r="DA40" s="51">
        <f ca="1">IF(CV40&gt;CR40,CR40,CV40)</f>
        <v>0</v>
      </c>
      <c r="DB40" s="984">
        <f ca="1">DA40*F40</f>
        <v>0</v>
      </c>
      <c r="DC40" s="993">
        <v>1</v>
      </c>
      <c r="DD40" s="758" t="str">
        <f>IF(OR(D40=BG$12,D40=BG$13),"External",IF(D40=BG$14,"Internal"," "))</f>
        <v xml:space="preserve"> </v>
      </c>
      <c r="DE40" s="51" t="str">
        <f t="shared" ca="1" si="1"/>
        <v/>
      </c>
      <c r="DF40" s="52" t="str">
        <f t="shared" ca="1" si="2"/>
        <v xml:space="preserve"> </v>
      </c>
      <c r="DG40" s="51">
        <f ca="1">IF(F40&lt;OFFSET($BM$9,CN40-1,0,1,1),0,IF(F40&lt;OFFSET($BN$9,CN40-1,0,1,1),((F40-OFFSET($BM$9,CN40-1,0,1,1))*OFFSET($CH$9,CN40-1,0,1,1))+OFFSET($BO$9,CN40-1,CQ40,1,1),IF(F40&lt;OFFSET($BN$9,CN40+0,0,1,1),((F40-OFFSET($BM$9,CN40+0,0,1,1))*OFFSET($CH$9,CN40+0,0,1,1))+OFFSET($BO$9,CN40+0,CQ40,1,1),IF(F40&lt;OFFSET($BN$9,CN40+1,0,1,1),((F40-OFFSET($BM$9,CN40+1,0,1,1))*OFFSET($CH$9,CN40+1,0,1,1))+OFFSET($BO$9,CN40+1,CQ40,1,1),IF(F40&lt;OFFSET($BN$9,CN40+2,0,1,1),((F40-OFFSET($BM$9,CN40+2,0,1,1))*OFFSET($CH$9,CN40+2,0,1,1))+OFFSET($BO$9,CN40+2,CQ40,1,1),IF(F40&lt;OFFSET($BN$9,CN40+3,0,1,1),((F40-OFFSET($BM$9,CN40+3,0,1,1))*OFFSET($CH$9,CN40+3,0,1,1))+OFFSET($BO$9,CN40+3,CQ40,1,1),0))))))</f>
        <v>0</v>
      </c>
      <c r="DH40" s="51">
        <f ca="1">IF($F40&lt;OFFSET($BM$9,$CN40-1,0,1,1),0,IF($F40&lt;OFFSET($BN$9,$CN40-1,0,1,1),IF(AND($H40&gt;2.4,Z40&lt;&gt;"e",Z40&lt;&gt;"f"),DL40*2.4/$H40,DL40),IF($F40&lt;OFFSET($BN$9,$CN40+0,0,1,1),IF(AND($H40&gt;2.4,Z40&lt;&gt;"e",Z40&lt;&gt;"f"),DL40*2.4/$H40,DL40),IF($F40&lt;OFFSET($BN$9,$CN40+1,0,1,1),IF(AND($H40&gt;2.4,Z40&lt;&gt;"e",Z40&lt;&gt;"f"),DL40*2.4/$H40,DL40),IF($F40&lt;OFFSET($BN$9,$CN40+2,0,1,1),IF(AND($H40&gt;2.4,Z40&lt;&gt;"e",Z40&lt;&gt;"f"),DL40*2.4/$H40,DL40),IF($F40&lt;OFFSET($BN$9,$CN40+3,0,1,1),IF(AND($H40&gt;2.4,Z40&lt;&gt;"e",Z40&lt;&gt;"f"),DL40*2.4/$H40,DL40),0)))))*COS(RADIANS($G40)))</f>
        <v>0</v>
      </c>
      <c r="DI40" s="51">
        <f ca="1">IF(F40&lt;OFFSET($BM$9,CN40-1,0,1,1),0,IF(F40&lt;OFFSET($BN$9,CN40-1,0,1,1),((F40-OFFSET($BM$9,CN40-1,0,1,1))*OFFSET($CI$9,CN40-1,0,1,1))+OFFSET($BP$9,CN40-1,CQ40,1,1),IF(F40&lt;OFFSET($BN$9,CN40+0,0,1,1),((F40-OFFSET($BM$9,CN40+0,0,1,1))*OFFSET($CI$9,CN40+0,0,1,1))+OFFSET($BP$9,CN40+0,CQ40,1,1),IF(F40&lt;OFFSET($BN$9,CN40+1,0,1,1),((F40-OFFSET($BM$9,CN40+1,0,1,1))*OFFSET($CI$9,CN40+1,0,1,1))+OFFSET($BP$9,CN40+1,CQ40,1,1),IF(F40&lt;OFFSET($BN$9,CN40+2,0,1,1),((F40-OFFSET($BM$9,CN40+2,0,1,1))*OFFSET($CI$9,CN40+2,0,1,1))+OFFSET($BP$9,CN40+2,CQ40,1,1),IF(F40&lt;OFFSET($BN$9,CN40+3,0,1,1),((F40-OFFSET($BM$9,CN40+3,0,1,1))*OFFSET($CI$9,CN40+3,0,1,1))+OFFSET($BP$9,CN40+3,CQ40,1,1),0))))))</f>
        <v>0</v>
      </c>
      <c r="DJ40" s="51">
        <f ca="1">IF($F40&lt;OFFSET($BM$9,$CN40-1,0,1,1),0,IF($F40&lt;OFFSET($BN$9,$CN40-1,0,1,1),IF(AND($H40&gt;2.4,Z40&lt;&gt;"e",Z40&lt;&gt;"f"),DN40*2.4/$H40,DN40),IF($F40&lt;OFFSET($BN$9,$CN40+0,0,1,1),IF(AND($H40&gt;2.4,Z40&lt;&gt;"e",Z40&lt;&gt;"f"),DN40*2.4/$H40,DN40),IF($F40&lt;OFFSET($BN$9,$CN40+1,0,1,1),IF(AND($H40&gt;2.4,Z40&lt;&gt;"e",Z40&lt;&gt;"f"),DN40*2.4/$H40,DN40),IF($F40&lt;OFFSET($BN$9,$CN40+2,0,1,1),IF(AND($H40&gt;2.4,Z40&lt;&gt;"e",Z40&lt;&gt;"f"),DN40*2.4/$H40,DN40),IF($F40&lt;OFFSET($BN$9,$CN40+3,0,1,1),IF(AND($H40&gt;2.4,Z40&lt;&gt;"e",Z40&lt;&gt;"f"),DN40*2.4/$H40,DN40),0)))))*COS(RADIANS($G40)))</f>
        <v>0</v>
      </c>
      <c r="DK40" s="51"/>
      <c r="DL40" s="51">
        <f ca="1">IF(DG40&gt;$CR40,$CR40,DG40)</f>
        <v>0</v>
      </c>
      <c r="DM40" s="51"/>
      <c r="DN40" s="51">
        <f ca="1">IF(DI40&gt;$CR40,$CR40,DI40)</f>
        <v>0</v>
      </c>
      <c r="DO40" s="435">
        <f ca="1">IF(DH40&gt;$CR40,$CR40,DH40)</f>
        <v>0</v>
      </c>
      <c r="DP40" s="435">
        <f ca="1">DO40*F40</f>
        <v>0</v>
      </c>
      <c r="DQ40" s="436">
        <f ca="1">IF(DJ40&gt;$CR40,$CR40,DJ40)</f>
        <v>0</v>
      </c>
      <c r="DR40" s="437">
        <f ca="1">DQ40*F40</f>
        <v>0</v>
      </c>
      <c r="DS40" s="426">
        <f ca="1">OFFSET($CH$9,CL40-1,-15,1,1)</f>
        <v>0</v>
      </c>
      <c r="DT40" s="451">
        <f ca="1">VLOOKUP(DS40,Prodlink,2,0)</f>
        <v>0</v>
      </c>
      <c r="DU40" s="188">
        <f ca="1">IF(F40&lt;OFFSET($BM$9,DT40-1,0,1,1),0,IF(F40&lt;OFFSET($BN$9,DT40-1,0,1,1),((F40-OFFSET($BM$9,DT40-1,0,1,1))*OFFSET($CH$9,DT40-1,0,1,1))+OFFSET($BO$9,DT40-1,CQ40,1,1),IF(F40&lt;OFFSET($BN$9,DT40+0,0,1,1),((F40-OFFSET($BM$9,DT40+0,0,1,1))*OFFSET($CH$9,DT40+0,0,1,1))+OFFSET($BO$9,DT40+0,CQ40,1,1),IF(F40&lt;OFFSET($BN$9,DT40+1,0,1,1),((F40-OFFSET($BM$9,DT40+1,0,1,1))*OFFSET($CH$9,DT40+1,0,1,1))+OFFSET($BO$9,DT40+1,CQ40,1,1),IF(F40&lt;OFFSET($BN$9,DT40+2,0,1,1),((F40-OFFSET($BM$9,DT40+2,0,1,1))*OFFSET($CH$9,DT40+2,0,1,1))+OFFSET($BO$9,DT40+2,CQ40,1,1),IF(F40&lt;OFFSET($BN$9,DT40+3,0,1,1),((F40-OFFSET($BM$9,DT40+3,0,1,1))*OFFSET($CH$9,DT40+3,0,1,1))+OFFSET($BO$9,DT40+3,CQ40,1,1),0))))))</f>
        <v>0</v>
      </c>
      <c r="DV40" s="51">
        <f ca="1">IF($F40&lt;OFFSET($BM$9,$DT40-1,0,1,1),0,IF($F40&lt;OFFSET($BN$9,$DT40-1,0,1,1),IF(AND($H40&gt;2.4,Z40&lt;&gt;"e",Z40&lt;&gt;"f"),DZ40*2.4/$H40,DZ40),IF($F40&lt;OFFSET($BN$9,$DT40+0,0,1,1),IF(AND($H40&gt;2.4,Z40&lt;&gt;"e",Z40&lt;&gt;"f"),DZ40*2.4/$H40,DZ40),IF($F40&lt;OFFSET($BN$9,$DT40+1,0,1,1),IF(AND($H40&gt;2.4,Z40&lt;&gt;"e",Z40&lt;&gt;"f"),DZ40*2.4/$H40,DZ40),IF($F40&lt;OFFSET($BN$9,$DT40+2,0,1,1),IF(AND($H40&gt;2.4,Z40&lt;&gt;"e",Z40&lt;&gt;"f"),DZ40*2.4/$H40,DZ40),IF($F40&lt;OFFSET($BN$9,$DT40+3,0,1,1),IF(AND($H40&gt;2.4,Z40&lt;&gt;"e",Z40&lt;&gt;"f"),DZ40*2.4/$H40,DZ40),0)))))*COS(RADIANS($G40)))</f>
        <v>0</v>
      </c>
      <c r="DW40" s="188">
        <f ca="1">IF(F40&lt;OFFSET($BM$9,DT40-1,0,1,1),0,IF(F40&lt;OFFSET($BN$9,DT40-1,0,1,1),((F40-OFFSET($BM$9,DT40-1,0,1,1))*OFFSET($CI$9,DT40-1,0,1,1))+OFFSET($BP$9,DT40-1,CQ40,1,1),IF(F40&lt;OFFSET($BN$9,DT40+0,0,1,1),((F40-OFFSET($BM$9,DT40+0,0,1,1))*OFFSET($CI$9,DT40+0,0,1,1))+OFFSET($BP$9,DT40+0,CQ40,1,1),IF(F40&lt;OFFSET($BN$9,DT40+1,0,1,1),((F40-OFFSET($BM$9,DT40+1,0,1,1))*OFFSET($CI$9,DT40+1,0,1,1))+OFFSET($BP$9,DT40+1,CQ40,1,1),IF(F40&lt;OFFSET($BN$9,DT40+2,0,1,1),((F40-OFFSET($BM$9,DT40+2,0,1,1))*OFFSET($CI$9,DT40+2,0,1,1))+OFFSET($BP$9,DT40+2,CQ40,1,1),IF(F40&lt;OFFSET($BN$9,DT40+3,0,1,1),((F40-OFFSET($BM$9,DT40+3,0,1,1))*OFFSET($CI$9,DT40+3,0,1,1))+OFFSET($BP$9,DT40+3,CQ40,1,1),0))))))</f>
        <v>0</v>
      </c>
      <c r="DX40" s="51">
        <f ca="1">IF($F40&lt;OFFSET($BM$9,$DT40-1,0,1,1),0,IF($F40&lt;OFFSET($BN$9,$DT40-1,0,1,1),IF(AND($H40&gt;2.4,Z40&lt;&gt;"e",Z40&lt;&gt;"f"),EB40*2.4/$H40,EB40),IF($F40&lt;OFFSET($BN$9,$DT40+0,0,1,1),IF(AND($H40&gt;2.4,Z40&lt;&gt;"e",Z40&lt;&gt;"f"),EB40*2.4/$H40,EB40),IF($F40&lt;OFFSET($BN$9,$DT40+1,0,1,1),IF(AND($H40&gt;2.4,Z40&lt;&gt;"e",Z40&lt;&gt;"f"),EB40*2.4/$H40,EB40),IF($F40&lt;OFFSET($BN$9,$DT40+2,0,1,1),IF(AND($H40&gt;2.4,Z40&lt;&gt;"e",Z40&lt;&gt;"f"),EB40*2.4/$H40,EB40),IF($F40&lt;OFFSET($BN$9,$DT40+3,0,1,1),IF(AND($H40&gt;2.4,Z40&lt;&gt;"e",Z40&lt;&gt;"f"),EB40*2.4/$H40,EB40),0)))))*COS(RADIANS($G40)))</f>
        <v>0</v>
      </c>
      <c r="DY40" s="188"/>
      <c r="DZ40" s="188">
        <f ca="1">IF(DU40&gt;$CR40,$CR40,DU40)</f>
        <v>0</v>
      </c>
      <c r="EA40" s="188"/>
      <c r="EB40" s="188">
        <f ca="1">IF(DW40&gt;$CR40,$CR40,DW40)</f>
        <v>0</v>
      </c>
      <c r="EC40" s="435">
        <f ca="1">IF(DV40&gt;$CR40,$CR40,DV40)</f>
        <v>0</v>
      </c>
      <c r="ED40" s="435">
        <f ca="1">EC40*F40</f>
        <v>0</v>
      </c>
      <c r="EE40" s="436">
        <f ca="1">IF(DX40&gt;$CR40,$CR40,DX40)</f>
        <v>0</v>
      </c>
      <c r="EF40" s="437">
        <f ca="1">EE40*F40</f>
        <v>0</v>
      </c>
      <c r="EG40" s="613" t="str">
        <f>IF(D40=BG$12,BG$12,"")</f>
        <v/>
      </c>
      <c r="EH40" s="614" t="str">
        <f>IF(D40=BG$13,BG$13,"")</f>
        <v/>
      </c>
      <c r="EI40" s="611">
        <f>IF(EG40=BG$12,M40,0)</f>
        <v>0</v>
      </c>
      <c r="EJ40" s="451">
        <f>IF(EG40=BG$12,O40,0)</f>
        <v>0</v>
      </c>
      <c r="EK40" s="451">
        <f>IF(EH40=BG$13,M40,0)</f>
        <v>0</v>
      </c>
      <c r="EL40" s="612">
        <f>IF(EH40=BG$13,O40,0)</f>
        <v>0</v>
      </c>
      <c r="EM40" s="426" t="str">
        <f ca="1">IF(AND(Z40&lt;&gt;"t",Z40&lt;&gt;"f"),"",IF(AND(EN40=$BH$13,K40=$BH$12),"NotOpt",IF(K40&lt;&gt;EN40,"Error","")))</f>
        <v/>
      </c>
      <c r="EN40" s="491" t="str">
        <f>IF(AND($BH$28=1,$BG$28=1),$BH$13,$BH$12)</f>
        <v>120 BU's</v>
      </c>
      <c r="EO40" s="426" t="str">
        <f>K40</f>
        <v xml:space="preserve"> </v>
      </c>
      <c r="EP40" s="497">
        <v>1</v>
      </c>
      <c r="EQ40" s="430" t="str">
        <f ca="1">IF(EP40=1," ",OFFSET(BF$15,EP40-2,0,1,1))</f>
        <v xml:space="preserve"> </v>
      </c>
      <c r="ER40" s="439" t="str">
        <f ca="1">IF(H40=0," ",H40)</f>
        <v xml:space="preserve"> </v>
      </c>
      <c r="ES40" s="440" t="str">
        <f ca="1">IF(ER40&lt;&gt;" ",IF(ER40&lt;&gt;ER$7,"Changed",""),"")</f>
        <v/>
      </c>
      <c r="ET40" s="440">
        <f ca="1">IF(ER40&lt;&gt;" ",IF(ER40&lt;&gt;ER$7,1,0),0)</f>
        <v>0</v>
      </c>
      <c r="EU40" s="957" t="str">
        <f ca="1">IF(I40=" "," ",IF(F40&lt;OFFSET($BM$9,CL40-1,0,1,1),1,""))</f>
        <v xml:space="preserve"> </v>
      </c>
      <c r="EW40" s="427"/>
    </row>
    <row r="41" spans="1:153" ht="17.100000000000001" customHeight="1" thickBot="1">
      <c r="B41" s="689" t="s">
        <v>246</v>
      </c>
      <c r="C41" s="684" t="str">
        <f>IF(OR(F41=0,I41="",I41=" ")," ",$V41)</f>
        <v xml:space="preserve"> </v>
      </c>
      <c r="D41" s="1033"/>
      <c r="E41" s="1360"/>
      <c r="F41" s="202"/>
      <c r="G41" s="1416"/>
      <c r="H41" s="199" t="str">
        <f ca="1">IF(OR(F41=0,Z41="E",Z41="f")," ",'Project Demand'!E$35)</f>
        <v xml:space="preserve"> </v>
      </c>
      <c r="I41" s="631" t="str">
        <f>IF($I$6&lt;&gt;$BG$8," ",AB41)</f>
        <v xml:space="preserve"> </v>
      </c>
      <c r="J41" s="44" t="str">
        <f ca="1">IF(OR(I41=" ",I41="")," ",OFFSET($BO$9,CL41-1,0-4,1,1))</f>
        <v xml:space="preserve"> </v>
      </c>
      <c r="K41" s="55" t="str">
        <f>IF(OR(I41=" ",I41="")," ",IF(OR(Z41="e",Z41="h"),"SD",BG$24))</f>
        <v xml:space="preserve"> </v>
      </c>
      <c r="L41" s="49">
        <f ca="1">CW41</f>
        <v>0</v>
      </c>
      <c r="M41" s="49">
        <f ca="1">CY41</f>
        <v>0</v>
      </c>
      <c r="N41" s="50">
        <f t="shared" ca="1" si="24"/>
        <v>0</v>
      </c>
      <c r="O41" s="126">
        <f t="shared" ca="1" si="24"/>
        <v>0</v>
      </c>
      <c r="P41" s="140"/>
      <c r="Q41" s="752" t="str">
        <f ca="1">IF(AND(OR(Z41="t",Z41="f"),K41=$BH$11),"No Floor!  Change Floor Type",IF(OR(I41=" ",I41="")," ",IF(F41&lt;OFFSET($BM$9,CL41-1,0,1,1),"check L(m)",DE41&amp;IF(AND(DP41&gt;=CY41,DR41&gt;=DB41),IF(AND(ED41&gt;=DP41,EF41&gt;=DR41),CONCATENATE(DS41," will provide same result"),CONCATENATE(CO41," will provide same result")),IF((DP41&gt;=CY41),CONCATENATE(CO41," provides same result in WIND"),IF((DR41&gt;=DB41),CONCATENATE(CO41," provides same result in EQ"),""))))))&amp;IF(ISERROR(FIND("pile",I41,1)),"",IF(INT(F41)&lt;&gt;F41,"Pile!  Use Whole Numbers Only",""))</f>
        <v xml:space="preserve"> </v>
      </c>
      <c r="R41" s="52"/>
      <c r="S41" s="1372"/>
      <c r="T41" s="1372"/>
      <c r="U41" s="1377"/>
      <c r="V41" s="52" t="str">
        <f ca="1">IF(AND(B$5=$BF$9,OR(I41=BH$16,I41=BH$17))," ",IF(ISNUMBER(B$38),(CONCATENATE(B$38,".",W41)),(CONCATENATE(B$38,W41))))</f>
        <v>F0</v>
      </c>
      <c r="W41" s="9">
        <f ca="1">W40+X41</f>
        <v>0</v>
      </c>
      <c r="X41" s="9">
        <f>IF(AND(B$5=$BF$9,OR($I41=$BH$16,$I41=$BH$17,$I41=" ",$I41="",$F41=0)),0,IF(OR($I41=" ",$I41="",$F41=0),0,1))</f>
        <v>0</v>
      </c>
      <c r="Y41" s="896"/>
      <c r="Z41" s="52" t="str">
        <f ca="1">IF(I41=" "," ",OFFSET($BM$9,$CL41-1,8,1,1))</f>
        <v xml:space="preserve"> </v>
      </c>
      <c r="AA41" s="51" t="str">
        <f>IF(G41&gt;=45,"WA","")</f>
        <v/>
      </c>
      <c r="AB41" s="1364" t="str">
        <f>IF(F41&lt;&gt;"",IF(OR(D41=$BG$12,D41=$BG$13),IF(E41&lt;&gt;$BG$17,$BF$12,$BF$13),IF(E41&lt;&gt;$BG$17,$BF$12,$BF$13))," ")</f>
        <v xml:space="preserve"> </v>
      </c>
      <c r="AC41" s="1"/>
      <c r="AJ41" s="2231"/>
      <c r="AK41" s="2798"/>
      <c r="AL41" s="2829"/>
      <c r="AM41" s="117">
        <f>'Regular and QuickBrace Systems'!F59</f>
        <v>1.2</v>
      </c>
      <c r="AN41" s="1280">
        <f>'Regular and QuickBrace Systems'!G59</f>
        <v>150</v>
      </c>
      <c r="AO41" s="61">
        <f>'Regular and QuickBrace Systems'!H59</f>
        <v>150</v>
      </c>
      <c r="AP41" s="1596"/>
      <c r="AQ41" s="2801"/>
      <c r="AR41" s="2802"/>
      <c r="AS41" s="2830"/>
      <c r="AT41" s="1341"/>
      <c r="AU41" s="2204"/>
      <c r="AW41" s="1590" t="str">
        <f>'Regular and QuickBrace Systems'!O59</f>
        <v>Yes</v>
      </c>
      <c r="AX41" s="443" t="str">
        <f>'Regular and QuickBrace Systems'!Q59</f>
        <v>Yes</v>
      </c>
      <c r="BD41" s="641"/>
      <c r="BF41" s="599" t="str">
        <f>'Custom Elements'!C25</f>
        <v>Custom17</v>
      </c>
      <c r="BI41" s="759"/>
      <c r="BJ41" s="897">
        <f t="shared" ref="BJ41:BJ81" si="25">BJ40+1</f>
        <v>33</v>
      </c>
      <c r="BK41" s="1222" t="str">
        <f>BK50</f>
        <v xml:space="preserve">EPB </v>
      </c>
      <c r="BL41" s="1181" t="str">
        <f>Table!I4</f>
        <v>ER1</v>
      </c>
      <c r="BM41" s="454">
        <f>Table!J4</f>
        <v>0.4</v>
      </c>
      <c r="BN41" s="454">
        <f>BM42</f>
        <v>1</v>
      </c>
      <c r="BO41" s="454">
        <f>Table!K4</f>
        <v>40</v>
      </c>
      <c r="BP41" s="924">
        <f>Table!L4</f>
        <v>30</v>
      </c>
      <c r="BQ41" s="920"/>
      <c r="BR41" s="768" t="str">
        <f>Table!M4</f>
        <v xml:space="preserve"> </v>
      </c>
      <c r="BS41" s="454" t="str">
        <f>Table!M5</f>
        <v xml:space="preserve"> </v>
      </c>
      <c r="BT41" s="454" t="str">
        <f>Table!N4</f>
        <v>B</v>
      </c>
      <c r="BU41" s="924" t="s">
        <v>242</v>
      </c>
      <c r="BV41" s="1230" t="str">
        <f>Table!AI72</f>
        <v>ER1</v>
      </c>
      <c r="BW41" s="1229">
        <f>BJ41</f>
        <v>33</v>
      </c>
      <c r="BX41" s="924" t="str">
        <f>Table!N5</f>
        <v>Single</v>
      </c>
      <c r="CH41" s="768">
        <f>IF(BN41=999,0,(BO42-BO41)/(BN41-BM41))</f>
        <v>0</v>
      </c>
      <c r="CI41" s="924">
        <f>IF(BN41=999,0,(BP42-BP41)/(BN41-BM41))</f>
        <v>0</v>
      </c>
      <c r="CJ41" s="759"/>
      <c r="CK41" s="188"/>
      <c r="CL41" s="979">
        <f>VLOOKUP(I41,Prodlink,2,0)</f>
        <v>0</v>
      </c>
      <c r="CN41" s="497">
        <f ca="1">VLOOKUP(CO41,Prodlink,2,0)</f>
        <v>0</v>
      </c>
      <c r="CO41" s="497">
        <f ca="1">OFFSET($CH$9,CL41-1,-15,1,1)</f>
        <v>0</v>
      </c>
      <c r="CQ41" s="51">
        <v>0</v>
      </c>
      <c r="CR41" s="51">
        <f>IF(K41=$BH$12,$BH$23,IF(K41=$BH$13,$BH$24,10000))</f>
        <v>10000</v>
      </c>
      <c r="CS41" s="51">
        <f ca="1">IF(F41&lt;OFFSET($BM$9,CL41-1,0,1,1),0,IF(F41&lt;OFFSET($BN$9,CL41-1,0,1,1),((F41-OFFSET($BM$9,CL41-1,0,1,1))*OFFSET($CH$9,CL41-1,0,1,1))+OFFSET($BO$9,CL41-1,CQ41,1,1),IF(F41&lt;OFFSET($BN$9,CL41+0,0,1,1),((F41-OFFSET($BM$9,CL41+0,0,1,1))*OFFSET($CH$9,CL41+0,0,1,1))+OFFSET($BO$9,CL41+0,CQ41,1,1),IF(F41&lt;OFFSET($BN$9,CL41+1,0,1,1),((F41-OFFSET($BM$9,CL41+1,0,1,1))*OFFSET($CH$9,CL41+1,0,1,1))+OFFSET($BO$9,CL41+1,CQ41,1,1),IF(F41&lt;OFFSET($BN$9,CL41+2,0,1,1),((F41-OFFSET($BM$9,CL41+2,0,1,1))*OFFSET($CH$9,CL41+2,0,1,1))+OFFSET($BO$9,CL41+2,CQ41,1,1),IF(F41&lt;OFFSET($BN$9,CL41+3,0,1,1),((F41-OFFSET($BM$9,CL41+3,0,1,1))*OFFSET($CH$9,CL41+3,0,1,1))+OFFSET($BO$9,CL41+3,CQ41,1,1),0))))))</f>
        <v>0</v>
      </c>
      <c r="CT41" s="51">
        <f ca="1">IF($F41&lt;OFFSET($BM$9,$CL41-1,0,1,1),0,IF($F41&lt;OFFSET($BN$9,$CL41-1,0,1,1),IF(AND($H41&gt;2.4,Z41&lt;&gt;"e",Z41&lt;&gt;"f"),CX41*2.4/$H41,CX41),IF($F41&lt;OFFSET($BN$9,$CL41+0,0,1,1),IF(AND($H41&gt;2.4,Z41&lt;&gt;"e",Z41&lt;&gt;"f"),CX41*2.4/$H41,CX41),IF($F41&lt;OFFSET($BN$9,$CL41+1,0,1,1),IF(AND($H41&gt;2.4,Z41&lt;&gt;"e",Z41&lt;&gt;"f"),CX41*2.4/$H41,CX41),IF($F41&lt;OFFSET($BN$9,CL41+2,0,1,1),IF(AND($H41&gt;2.4,Z41&lt;&gt;"e",Z41&lt;&gt;"f"),CX41*2.4/$H41,CX41),IF($F41&lt;OFFSET($BN$9,CL41+3,0,1,1),IF(AND($H41&gt;2.4,Z41&lt;&gt;"e",Z41&lt;&gt;"f"),CX41*2.4/$H41,CX41),0)))))*COS(RADIANS($G41)))</f>
        <v>0</v>
      </c>
      <c r="CU41" s="51">
        <f ca="1">IF(F41&lt;OFFSET($BM$9,CL41-1,0,1,1),0,IF(F41&lt;OFFSET($BN$9,CL41-1,0,1,1),((F41-OFFSET($BM$9,CL41-1,0,1,1))*OFFSET($CI$9,CL41-1,0,1,1))+OFFSET($BP$9,CL41-1,CQ41,1,1),IF(F41&lt;OFFSET($BN$9,CL41+0,0,1,1),((F41-OFFSET($BM$9,CL41+0,0,1,1))*OFFSET($CI$9,CL41+0,0,1,1))+OFFSET($BP$9,CL41+0,CQ41,1,1),IF(F41&lt;OFFSET($BN$9,CL41+1,0,1,1),((F41-OFFSET($BM$9,CL41+1,0,1,1))*OFFSET($CI$9,CL41+1,0,1,1))+OFFSET($BP$9,CL41+1,CQ41,1,1),IF(F41&lt;OFFSET($BN$9,CL41+2,0,1,1),((F41-OFFSET($BM$9,CL41+2,0,1,1))*OFFSET($CI$9,CL41+2,0,1,1))+OFFSET($BP$9,CL41+2,CQ41,1,1),IF(F41&lt;OFFSET($BN$9,CL41+3,0,1,1),((F41-OFFSET($BM$9,CL41+3,0,1,1))*OFFSET($CI$9,CL41+3,0,1,1))+OFFSET($BP$9,CL41+3,CQ41,1,1),0))))))</f>
        <v>0</v>
      </c>
      <c r="CV41" s="51">
        <f ca="1">IF($F41&lt;OFFSET($BM$9,$CL41-1,0,1,1),0,IF($F41&lt;OFFSET($BN$9,$CL41-1,0,1,1),IF(AND($H41&gt;2.4,Z41&lt;&gt;"e",Z41&lt;&gt;"f"),CZ41*2.4/$H41,CZ41),IF($F41&lt;OFFSET($BN$9,$CL41+0,0,1,1),IF(AND($H41&gt;2.4,Z41&lt;&gt;"e",Z41&lt;&gt;"f"),CZ41*2.4/$H41,CZ41),IF($F41&lt;OFFSET($BN$9,$CL41+1,0,1,1),IF(AND($H41&gt;2.4,Z41&lt;&gt;"e",Z41&lt;&gt;"f"),CZ41*2.4/$H41,CZ41),IF($F41&lt;OFFSET($BN$9,$CL41+2,0,1,1),IF(AND($H41&gt;2.4,Z41&lt;&gt;"e",Z41&lt;&gt;"f"),CZ41*2.4/$H41,CZ41),IF($F41&lt;OFFSET($BN$9,$CL41+3,0,1,1),IF(AND($H41&gt;2.4,Z41&lt;&gt;"e",Z41&lt;&gt;"f"),CZ41*2.4/$H41,CZ41),0)))))*COS(RADIANS($G41)))</f>
        <v>0</v>
      </c>
      <c r="CW41" s="51">
        <f ca="1">IF(CT41&gt;CR41,CR41,CT41)</f>
        <v>0</v>
      </c>
      <c r="CX41" s="51">
        <f ca="1">IF(CS41&gt;$CR41,$CR41,CS41)</f>
        <v>0</v>
      </c>
      <c r="CY41" s="51">
        <f ca="1">CW41*F41</f>
        <v>0</v>
      </c>
      <c r="CZ41" s="51">
        <f ca="1">IF($CU41&gt;$CR41,$CR41,$CU41)</f>
        <v>0</v>
      </c>
      <c r="DA41" s="51">
        <f ca="1">IF(CV41&gt;CR41,CR41,CV41)</f>
        <v>0</v>
      </c>
      <c r="DB41" s="984">
        <f ca="1">DA41*F41</f>
        <v>0</v>
      </c>
      <c r="DC41" s="993">
        <v>1</v>
      </c>
      <c r="DD41" s="758" t="str">
        <f>IF(OR(D41=BG$12,D41=BG$13),"External",IF(D41=BG$14,"Internal"," "))</f>
        <v xml:space="preserve"> </v>
      </c>
      <c r="DE41" s="51" t="str">
        <f t="shared" ca="1" si="1"/>
        <v/>
      </c>
      <c r="DF41" s="52" t="str">
        <f t="shared" ca="1" si="2"/>
        <v xml:space="preserve"> </v>
      </c>
      <c r="DG41" s="51">
        <f ca="1">IF(F41&lt;OFFSET($BM$9,CN41-1,0,1,1),0,IF(F41&lt;OFFSET($BN$9,CN41-1,0,1,1),((F41-OFFSET($BM$9,CN41-1,0,1,1))*OFFSET($CH$9,CN41-1,0,1,1))+OFFSET($BO$9,CN41-1,CQ41,1,1),IF(F41&lt;OFFSET($BN$9,CN41+0,0,1,1),((F41-OFFSET($BM$9,CN41+0,0,1,1))*OFFSET($CH$9,CN41+0,0,1,1))+OFFSET($BO$9,CN41+0,CQ41,1,1),IF(F41&lt;OFFSET($BN$9,CN41+1,0,1,1),((F41-OFFSET($BM$9,CN41+1,0,1,1))*OFFSET($CH$9,CN41+1,0,1,1))+OFFSET($BO$9,CN41+1,CQ41,1,1),IF(F41&lt;OFFSET($BN$9,CN41+2,0,1,1),((F41-OFFSET($BM$9,CN41+2,0,1,1))*OFFSET($CH$9,CN41+2,0,1,1))+OFFSET($BO$9,CN41+2,CQ41,1,1),IF(F41&lt;OFFSET($BN$9,CN41+3,0,1,1),((F41-OFFSET($BM$9,CN41+3,0,1,1))*OFFSET($CH$9,CN41+3,0,1,1))+OFFSET($BO$9,CN41+3,CQ41,1,1),0))))))</f>
        <v>0</v>
      </c>
      <c r="DH41" s="51">
        <f ca="1">IF($F41&lt;OFFSET($BM$9,$CN41-1,0,1,1),0,IF($F41&lt;OFFSET($BN$9,$CN41-1,0,1,1),IF(AND($H41&gt;2.4,Z41&lt;&gt;"e",Z41&lt;&gt;"f"),DL41*2.4/$H41,DL41),IF($F41&lt;OFFSET($BN$9,$CN41+0,0,1,1),IF(AND($H41&gt;2.4,Z41&lt;&gt;"e",Z41&lt;&gt;"f"),DL41*2.4/$H41,DL41),IF($F41&lt;OFFSET($BN$9,$CN41+1,0,1,1),IF(AND($H41&gt;2.4,Z41&lt;&gt;"e",Z41&lt;&gt;"f"),DL41*2.4/$H41,DL41),IF($F41&lt;OFFSET($BN$9,$CN41+2,0,1,1),IF(AND($H41&gt;2.4,Z41&lt;&gt;"e",Z41&lt;&gt;"f"),DL41*2.4/$H41,DL41),IF($F41&lt;OFFSET($BN$9,$CN41+3,0,1,1),IF(AND($H41&gt;2.4,Z41&lt;&gt;"e",Z41&lt;&gt;"f"),DL41*2.4/$H41,DL41),0)))))*COS(RADIANS($G41)))</f>
        <v>0</v>
      </c>
      <c r="DI41" s="51">
        <f ca="1">IF(F41&lt;OFFSET($BM$9,CN41-1,0,1,1),0,IF(F41&lt;OFFSET($BN$9,CN41-1,0,1,1),((F41-OFFSET($BM$9,CN41-1,0,1,1))*OFFSET($CI$9,CN41-1,0,1,1))+OFFSET($BP$9,CN41-1,CQ41,1,1),IF(F41&lt;OFFSET($BN$9,CN41+0,0,1,1),((F41-OFFSET($BM$9,CN41+0,0,1,1))*OFFSET($CI$9,CN41+0,0,1,1))+OFFSET($BP$9,CN41+0,CQ41,1,1),IF(F41&lt;OFFSET($BN$9,CN41+1,0,1,1),((F41-OFFSET($BM$9,CN41+1,0,1,1))*OFFSET($CI$9,CN41+1,0,1,1))+OFFSET($BP$9,CN41+1,CQ41,1,1),IF(F41&lt;OFFSET($BN$9,CN41+2,0,1,1),((F41-OFFSET($BM$9,CN41+2,0,1,1))*OFFSET($CI$9,CN41+2,0,1,1))+OFFSET($BP$9,CN41+2,CQ41,1,1),IF(F41&lt;OFFSET($BN$9,CN41+3,0,1,1),((F41-OFFSET($BM$9,CN41+3,0,1,1))*OFFSET($CI$9,CN41+3,0,1,1))+OFFSET($BP$9,CN41+3,CQ41,1,1),0))))))</f>
        <v>0</v>
      </c>
      <c r="DJ41" s="51">
        <f ca="1">IF($F41&lt;OFFSET($BM$9,$CN41-1,0,1,1),0,IF($F41&lt;OFFSET($BN$9,$CN41-1,0,1,1),IF(AND($H41&gt;2.4,Z41&lt;&gt;"e",Z41&lt;&gt;"f"),DN41*2.4/$H41,DN41),IF($F41&lt;OFFSET($BN$9,$CN41+0,0,1,1),IF(AND($H41&gt;2.4,Z41&lt;&gt;"e",Z41&lt;&gt;"f"),DN41*2.4/$H41,DN41),IF($F41&lt;OFFSET($BN$9,$CN41+1,0,1,1),IF(AND($H41&gt;2.4,Z41&lt;&gt;"e",Z41&lt;&gt;"f"),DN41*2.4/$H41,DN41),IF($F41&lt;OFFSET($BN$9,$CN41+2,0,1,1),IF(AND($H41&gt;2.4,Z41&lt;&gt;"e",Z41&lt;&gt;"f"),DN41*2.4/$H41,DN41),IF($F41&lt;OFFSET($BN$9,$CN41+3,0,1,1),IF(AND($H41&gt;2.4,Z41&lt;&gt;"e",Z41&lt;&gt;"f"),DN41*2.4/$H41,DN41),0)))))*COS(RADIANS($G41)))</f>
        <v>0</v>
      </c>
      <c r="DK41" s="51"/>
      <c r="DL41" s="51">
        <f ca="1">IF(DG41&gt;$CR41,$CR41,DG41)</f>
        <v>0</v>
      </c>
      <c r="DM41" s="51"/>
      <c r="DN41" s="51">
        <f ca="1">IF(DI41&gt;$CR41,$CR41,DI41)</f>
        <v>0</v>
      </c>
      <c r="DO41" s="435">
        <f ca="1">IF(DH41&gt;$CR41,$CR41,DH41)</f>
        <v>0</v>
      </c>
      <c r="DP41" s="435">
        <f ca="1">DO41*F41</f>
        <v>0</v>
      </c>
      <c r="DQ41" s="436">
        <f ca="1">IF(DJ41&gt;$CR41,$CR41,DJ41)</f>
        <v>0</v>
      </c>
      <c r="DR41" s="437">
        <f ca="1">DQ41*F41</f>
        <v>0</v>
      </c>
      <c r="DS41" s="426">
        <f ca="1">OFFSET($CH$9,CL41-1,-15,1,1)</f>
        <v>0</v>
      </c>
      <c r="DT41" s="451">
        <f ca="1">VLOOKUP(DS41,Prodlink,2,0)</f>
        <v>0</v>
      </c>
      <c r="DU41" s="188">
        <f ca="1">IF(F41&lt;OFFSET($BM$9,DT41-1,0,1,1),0,IF(F41&lt;OFFSET($BN$9,DT41-1,0,1,1),((F41-OFFSET($BM$9,DT41-1,0,1,1))*OFFSET($CH$9,DT41-1,0,1,1))+OFFSET($BO$9,DT41-1,CQ41,1,1),IF(F41&lt;OFFSET($BN$9,DT41+0,0,1,1),((F41-OFFSET($BM$9,DT41+0,0,1,1))*OFFSET($CH$9,DT41+0,0,1,1))+OFFSET($BO$9,DT41+0,CQ41,1,1),IF(F41&lt;OFFSET($BN$9,DT41+1,0,1,1),((F41-OFFSET($BM$9,DT41+1,0,1,1))*OFFSET($CH$9,DT41+1,0,1,1))+OFFSET($BO$9,DT41+1,CQ41,1,1),IF(F41&lt;OFFSET($BN$9,DT41+2,0,1,1),((F41-OFFSET($BM$9,DT41+2,0,1,1))*OFFSET($CH$9,DT41+2,0,1,1))+OFFSET($BO$9,DT41+2,CQ41,1,1),IF(F41&lt;OFFSET($BN$9,DT41+3,0,1,1),((F41-OFFSET($BM$9,DT41+3,0,1,1))*OFFSET($CH$9,DT41+3,0,1,1))+OFFSET($BO$9,DT41+3,CQ41,1,1),0))))))</f>
        <v>0</v>
      </c>
      <c r="DV41" s="51">
        <f ca="1">IF($F41&lt;OFFSET($BM$9,$DT41-1,0,1,1),0,IF($F41&lt;OFFSET($BN$9,$DT41-1,0,1,1),IF(AND($H41&gt;2.4,Z41&lt;&gt;"e",Z41&lt;&gt;"f"),DZ41*2.4/$H41,DZ41),IF($F41&lt;OFFSET($BN$9,$DT41+0,0,1,1),IF(AND($H41&gt;2.4,Z41&lt;&gt;"e",Z41&lt;&gt;"f"),DZ41*2.4/$H41,DZ41),IF($F41&lt;OFFSET($BN$9,$DT41+1,0,1,1),IF(AND($H41&gt;2.4,Z41&lt;&gt;"e",Z41&lt;&gt;"f"),DZ41*2.4/$H41,DZ41),IF($F41&lt;OFFSET($BN$9,$DT41+2,0,1,1),IF(AND($H41&gt;2.4,Z41&lt;&gt;"e",Z41&lt;&gt;"f"),DZ41*2.4/$H41,DZ41),IF($F41&lt;OFFSET($BN$9,$DT41+3,0,1,1),IF(AND($H41&gt;2.4,Z41&lt;&gt;"e",Z41&lt;&gt;"f"),DZ41*2.4/$H41,DZ41),0)))))*COS(RADIANS($G41)))</f>
        <v>0</v>
      </c>
      <c r="DW41" s="188">
        <f ca="1">IF(F41&lt;OFFSET($BM$9,DT41-1,0,1,1),0,IF(F41&lt;OFFSET($BN$9,DT41-1,0,1,1),((F41-OFFSET($BM$9,DT41-1,0,1,1))*OFFSET($CI$9,DT41-1,0,1,1))+OFFSET($BP$9,DT41-1,CQ41,1,1),IF(F41&lt;OFFSET($BN$9,DT41+0,0,1,1),((F41-OFFSET($BM$9,DT41+0,0,1,1))*OFFSET($CI$9,DT41+0,0,1,1))+OFFSET($BP$9,DT41+0,CQ41,1,1),IF(F41&lt;OFFSET($BN$9,DT41+1,0,1,1),((F41-OFFSET($BM$9,DT41+1,0,1,1))*OFFSET($CI$9,DT41+1,0,1,1))+OFFSET($BP$9,DT41+1,CQ41,1,1),IF(F41&lt;OFFSET($BN$9,DT41+2,0,1,1),((F41-OFFSET($BM$9,DT41+2,0,1,1))*OFFSET($CI$9,DT41+2,0,1,1))+OFFSET($BP$9,DT41+2,CQ41,1,1),IF(F41&lt;OFFSET($BN$9,DT41+3,0,1,1),((F41-OFFSET($BM$9,DT41+3,0,1,1))*OFFSET($CI$9,DT41+3,0,1,1))+OFFSET($BP$9,DT41+3,CQ41,1,1),0))))))</f>
        <v>0</v>
      </c>
      <c r="DX41" s="51">
        <f ca="1">IF($F41&lt;OFFSET($BM$9,$DT41-1,0,1,1),0,IF($F41&lt;OFFSET($BN$9,$DT41-1,0,1,1),IF(AND($H41&gt;2.4,Z41&lt;&gt;"e",Z41&lt;&gt;"f"),EB41*2.4/$H41,EB41),IF($F41&lt;OFFSET($BN$9,$DT41+0,0,1,1),IF(AND($H41&gt;2.4,Z41&lt;&gt;"e",Z41&lt;&gt;"f"),EB41*2.4/$H41,EB41),IF($F41&lt;OFFSET($BN$9,$DT41+1,0,1,1),IF(AND($H41&gt;2.4,Z41&lt;&gt;"e",Z41&lt;&gt;"f"),EB41*2.4/$H41,EB41),IF($F41&lt;OFFSET($BN$9,$DT41+2,0,1,1),IF(AND($H41&gt;2.4,Z41&lt;&gt;"e",Z41&lt;&gt;"f"),EB41*2.4/$H41,EB41),IF($F41&lt;OFFSET($BN$9,$DT41+3,0,1,1),IF(AND($H41&gt;2.4,Z41&lt;&gt;"e",Z41&lt;&gt;"f"),EB41*2.4/$H41,EB41),0)))))*COS(RADIANS($G41)))</f>
        <v>0</v>
      </c>
      <c r="DY41" s="188"/>
      <c r="DZ41" s="188">
        <f ca="1">IF(DU41&gt;$CR41,$CR41,DU41)</f>
        <v>0</v>
      </c>
      <c r="EA41" s="188"/>
      <c r="EB41" s="188">
        <f ca="1">IF(DW41&gt;$CR41,$CR41,DW41)</f>
        <v>0</v>
      </c>
      <c r="EC41" s="435">
        <f ca="1">IF(DV41&gt;$CR41,$CR41,DV41)</f>
        <v>0</v>
      </c>
      <c r="ED41" s="435">
        <f ca="1">EC41*F41</f>
        <v>0</v>
      </c>
      <c r="EE41" s="436">
        <f ca="1">IF(DX41&gt;$CR41,$CR41,DX41)</f>
        <v>0</v>
      </c>
      <c r="EF41" s="437">
        <f ca="1">EE41*F41</f>
        <v>0</v>
      </c>
      <c r="EG41" s="613" t="str">
        <f>IF(D41=BG$12,BG$12,"")</f>
        <v/>
      </c>
      <c r="EH41" s="614" t="str">
        <f>IF(D41=BG$13,BG$13,"")</f>
        <v/>
      </c>
      <c r="EI41" s="611">
        <f>IF(EG41=BG$12,M41,0)</f>
        <v>0</v>
      </c>
      <c r="EJ41" s="451">
        <f>IF(EG41=BG$12,O41,0)</f>
        <v>0</v>
      </c>
      <c r="EK41" s="451">
        <f>IF(EH41=BG$13,M41,0)</f>
        <v>0</v>
      </c>
      <c r="EL41" s="612">
        <f>IF(EH41=BG$13,O41,0)</f>
        <v>0</v>
      </c>
      <c r="EM41" s="426" t="str">
        <f ca="1">IF(AND(Z41&lt;&gt;"t",Z41&lt;&gt;"f"),"",IF(AND(EN41=$BH$13,K41=$BH$12),"NotOpt",IF(K41&lt;&gt;EN41,"Error","")))</f>
        <v/>
      </c>
      <c r="EN41" s="491" t="str">
        <f>IF(AND($BH$28=1,$BG$28=1),$BH$13,$BH$12)</f>
        <v>120 BU's</v>
      </c>
      <c r="EO41" s="426" t="str">
        <f>K41</f>
        <v xml:space="preserve"> </v>
      </c>
      <c r="EP41" s="497">
        <v>1</v>
      </c>
      <c r="EQ41" s="430" t="str">
        <f ca="1">IF(EP41=1," ",OFFSET(BF$15,EP41-2,0,1,1))</f>
        <v xml:space="preserve"> </v>
      </c>
      <c r="ER41" s="439" t="str">
        <f ca="1">IF(H41=0," ",H41)</f>
        <v xml:space="preserve"> </v>
      </c>
      <c r="ES41" s="440" t="str">
        <f ca="1">IF(ER41&lt;&gt;" ",IF(ER41&lt;&gt;ER$7,"Changed",""),"")</f>
        <v/>
      </c>
      <c r="ET41" s="440">
        <f ca="1">IF(ER41&lt;&gt;" ",IF(ER41&lt;&gt;ER$7,1,0),0)</f>
        <v>0</v>
      </c>
      <c r="EU41" s="957" t="str">
        <f ca="1">IF(I41=" "," ",IF(F41&lt;OFFSET($BM$9,CL41-1,0,1,1),1,""))</f>
        <v xml:space="preserve"> </v>
      </c>
      <c r="EW41" s="427"/>
    </row>
    <row r="42" spans="1:153" ht="17.100000000000001" customHeight="1" thickBot="1">
      <c r="A42" s="2685" t="s">
        <v>929</v>
      </c>
      <c r="B42" s="689" t="s">
        <v>246</v>
      </c>
      <c r="C42" s="684" t="str">
        <f>IF(OR(F42=0,I42="",I42=" ")," ",$V42)</f>
        <v xml:space="preserve"> </v>
      </c>
      <c r="D42" s="1033"/>
      <c r="E42" s="1360"/>
      <c r="F42" s="202"/>
      <c r="G42" s="1416"/>
      <c r="H42" s="199" t="str">
        <f ca="1">IF(OR(F42=0,Z42="E",Z42="f")," ",'Project Demand'!E$35)</f>
        <v xml:space="preserve"> </v>
      </c>
      <c r="I42" s="631" t="str">
        <f>IF($I$6&lt;&gt;$BG$8," ",AB42)</f>
        <v xml:space="preserve"> </v>
      </c>
      <c r="J42" s="44" t="str">
        <f ca="1">IF(OR(I42=" ",I42="")," ",OFFSET($BO$9,CL42-1,0-4,1,1))</f>
        <v xml:space="preserve"> </v>
      </c>
      <c r="K42" s="55" t="str">
        <f>IF(OR(I42=" ",I42="")," ",IF(OR(Z42="e",Z42="h"),"SD",BG$24))</f>
        <v xml:space="preserve"> </v>
      </c>
      <c r="L42" s="49">
        <f ca="1">CW42</f>
        <v>0</v>
      </c>
      <c r="M42" s="49">
        <f ca="1">CY42</f>
        <v>0</v>
      </c>
      <c r="N42" s="50">
        <f t="shared" ca="1" si="24"/>
        <v>0</v>
      </c>
      <c r="O42" s="126">
        <f t="shared" ca="1" si="24"/>
        <v>0</v>
      </c>
      <c r="P42" s="140"/>
      <c r="Q42" s="752" t="str">
        <f ca="1">IF(AND(OR(Z42="t",Z42="f"),K42=$BH$11),"No Floor!  Change Floor Type",IF(OR(I42=" ",I42="")," ",IF(F42&lt;OFFSET($BM$9,CL42-1,0,1,1),"check L(m)",DE42&amp;IF(AND(DP42&gt;=CY42,DR42&gt;=DB42),IF(AND(ED42&gt;=DP42,EF42&gt;=DR42),CONCATENATE(DS42," will provide same result"),CONCATENATE(CO42," will provide same result")),IF((DP42&gt;=CY42),CONCATENATE(CO42," provides same result in WIND"),IF((DR42&gt;=DB42),CONCATENATE(CO42," provides same result in EQ"),""))))))&amp;IF(ISERROR(FIND("pile",I42,1)),"",IF(INT(F42)&lt;&gt;F42,"Pile!  Use Whole Numbers Only",""))</f>
        <v xml:space="preserve"> </v>
      </c>
      <c r="U42" s="1377"/>
      <c r="V42" s="52" t="str">
        <f ca="1">IF(AND(B$5=$BF$9,OR(I42=BH$16,I42=BH$17))," ",IF(ISNUMBER(B$38),(CONCATENATE(B$38,".",W42)),(CONCATENATE(B$38,W42))))</f>
        <v>F0</v>
      </c>
      <c r="W42" s="9">
        <f ca="1">W41+X42</f>
        <v>0</v>
      </c>
      <c r="X42" s="9">
        <f>IF(AND(B$5=$BF$9,OR($I42=$BH$16,$I42=$BH$17,$I42=" ",$I42="",$F42=0)),0,IF(OR($I42=" ",$I42="",$F42=0),0,1))</f>
        <v>0</v>
      </c>
      <c r="Y42" s="896"/>
      <c r="Z42" s="52" t="str">
        <f ca="1">IF(I42=" "," ",OFFSET($BM$9,$CL42-1,8,1,1))</f>
        <v xml:space="preserve"> </v>
      </c>
      <c r="AA42" s="51" t="str">
        <f>IF(G42&gt;=45,"WA","")</f>
        <v/>
      </c>
      <c r="AB42" s="1364" t="str">
        <f>IF(F42&lt;&gt;"",IF(OR(D42=$BG$12,D42=$BG$13),IF(E42&lt;&gt;$BG$17,$BF$12,$BF$13),IF(E42&lt;&gt;$BG$17,$BF$12,$BF$13))," ")</f>
        <v xml:space="preserve"> </v>
      </c>
      <c r="AC42" s="1"/>
      <c r="AJ42" s="955" t="str">
        <f>'Regular and QuickBrace Systems'!C61</f>
        <v>NB: The Elephant Regular Fixing Code &amp; the Elephant QuickBrace© Numbering System (and the sub-components thereof), are protected by copyright.</v>
      </c>
      <c r="AK42" s="955"/>
      <c r="AL42" s="955"/>
      <c r="AM42" s="955"/>
      <c r="AN42" s="955"/>
      <c r="AO42" s="955"/>
      <c r="AP42" s="955"/>
      <c r="AQ42" s="955"/>
      <c r="AR42" s="955"/>
      <c r="AS42" s="955"/>
      <c r="AT42" s="426"/>
      <c r="AU42" s="955"/>
      <c r="AW42" s="426"/>
      <c r="BD42" s="641"/>
      <c r="BF42" s="599" t="str">
        <f>'Custom Elements'!C26</f>
        <v>Custom18</v>
      </c>
      <c r="BG42" s="995" t="s">
        <v>901</v>
      </c>
      <c r="BH42" s="989" t="s">
        <v>934</v>
      </c>
      <c r="BI42" s="759"/>
      <c r="BJ42" s="897">
        <f t="shared" si="25"/>
        <v>34</v>
      </c>
      <c r="BK42" s="1223"/>
      <c r="BL42" s="767"/>
      <c r="BM42" s="776">
        <f>Table!J7</f>
        <v>1</v>
      </c>
      <c r="BN42" s="776">
        <v>999</v>
      </c>
      <c r="BO42" s="776">
        <f>Table!K7</f>
        <v>40</v>
      </c>
      <c r="BP42" s="926">
        <f>Table!L7</f>
        <v>30</v>
      </c>
      <c r="BQ42" s="1183"/>
      <c r="BR42" s="908"/>
      <c r="BS42" s="776"/>
      <c r="BT42" s="776"/>
      <c r="BU42" s="926" t="s">
        <v>242</v>
      </c>
      <c r="BV42" s="1183"/>
      <c r="BW42" s="602"/>
      <c r="BX42" s="926" t="str">
        <f>Table!N5</f>
        <v>Single</v>
      </c>
      <c r="CH42" s="908">
        <f>IF(BN42=999,0,(BO44-BO42)/(BN42-BM42))</f>
        <v>0</v>
      </c>
      <c r="CI42" s="926">
        <f>IF(BN42=999,0,(BP44-BP42)/(BN42-BM42))</f>
        <v>0</v>
      </c>
      <c r="CJ42" s="759"/>
      <c r="CK42" s="188"/>
      <c r="CL42" s="979">
        <f>VLOOKUP(I42,Prodlink,2,0)</f>
        <v>0</v>
      </c>
      <c r="CN42" s="497">
        <f ca="1">VLOOKUP(CO42,Prodlink,2,0)</f>
        <v>0</v>
      </c>
      <c r="CO42" s="497">
        <f ca="1">OFFSET($CH$9,CL42-1,-15,1,1)</f>
        <v>0</v>
      </c>
      <c r="CQ42" s="51">
        <v>0</v>
      </c>
      <c r="CR42" s="51">
        <f>IF(K42=$BH$12,$BH$23,IF(K42=$BH$13,$BH$24,10000))</f>
        <v>10000</v>
      </c>
      <c r="CS42" s="51">
        <f ca="1">IF(F42&lt;OFFSET($BM$9,CL42-1,0,1,1),0,IF(F42&lt;OFFSET($BN$9,CL42-1,0,1,1),((F42-OFFSET($BM$9,CL42-1,0,1,1))*OFFSET($CH$9,CL42-1,0,1,1))+OFFSET($BO$9,CL42-1,CQ42,1,1),IF(F42&lt;OFFSET($BN$9,CL42+0,0,1,1),((F42-OFFSET($BM$9,CL42+0,0,1,1))*OFFSET($CH$9,CL42+0,0,1,1))+OFFSET($BO$9,CL42+0,CQ42,1,1),IF(F42&lt;OFFSET($BN$9,CL42+1,0,1,1),((F42-OFFSET($BM$9,CL42+1,0,1,1))*OFFSET($CH$9,CL42+1,0,1,1))+OFFSET($BO$9,CL42+1,CQ42,1,1),IF(F42&lt;OFFSET($BN$9,CL42+2,0,1,1),((F42-OFFSET($BM$9,CL42+2,0,1,1))*OFFSET($CH$9,CL42+2,0,1,1))+OFFSET($BO$9,CL42+2,CQ42,1,1),IF(F42&lt;OFFSET($BN$9,CL42+3,0,1,1),((F42-OFFSET($BM$9,CL42+3,0,1,1))*OFFSET($CH$9,CL42+3,0,1,1))+OFFSET($BO$9,CL42+3,CQ42,1,1),0))))))</f>
        <v>0</v>
      </c>
      <c r="CT42" s="51">
        <f ca="1">IF($F42&lt;OFFSET($BM$9,$CL42-1,0,1,1),0,IF($F42&lt;OFFSET($BN$9,$CL42-1,0,1,1),IF(AND($H42&gt;2.4,Z42&lt;&gt;"e",Z42&lt;&gt;"f"),CX42*2.4/$H42,CX42),IF($F42&lt;OFFSET($BN$9,$CL42+0,0,1,1),IF(AND($H42&gt;2.4,Z42&lt;&gt;"e",Z42&lt;&gt;"f"),CX42*2.4/$H42,CX42),IF($F42&lt;OFFSET($BN$9,$CL42+1,0,1,1),IF(AND($H42&gt;2.4,Z42&lt;&gt;"e",Z42&lt;&gt;"f"),CX42*2.4/$H42,CX42),IF($F42&lt;OFFSET($BN$9,CL42+2,0,1,1),IF(AND($H42&gt;2.4,Z42&lt;&gt;"e",Z42&lt;&gt;"f"),CX42*2.4/$H42,CX42),IF($F42&lt;OFFSET($BN$9,CL42+3,0,1,1),IF(AND($H42&gt;2.4,Z42&lt;&gt;"e",Z42&lt;&gt;"f"),CX42*2.4/$H42,CX42),0)))))*COS(RADIANS($G42)))</f>
        <v>0</v>
      </c>
      <c r="CU42" s="51">
        <f ca="1">IF(F42&lt;OFFSET($BM$9,CL42-1,0,1,1),0,IF(F42&lt;OFFSET($BN$9,CL42-1,0,1,1),((F42-OFFSET($BM$9,CL42-1,0,1,1))*OFFSET($CI$9,CL42-1,0,1,1))+OFFSET($BP$9,CL42-1,CQ42,1,1),IF(F42&lt;OFFSET($BN$9,CL42+0,0,1,1),((F42-OFFSET($BM$9,CL42+0,0,1,1))*OFFSET($CI$9,CL42+0,0,1,1))+OFFSET($BP$9,CL42+0,CQ42,1,1),IF(F42&lt;OFFSET($BN$9,CL42+1,0,1,1),((F42-OFFSET($BM$9,CL42+1,0,1,1))*OFFSET($CI$9,CL42+1,0,1,1))+OFFSET($BP$9,CL42+1,CQ42,1,1),IF(F42&lt;OFFSET($BN$9,CL42+2,0,1,1),((F42-OFFSET($BM$9,CL42+2,0,1,1))*OFFSET($CI$9,CL42+2,0,1,1))+OFFSET($BP$9,CL42+2,CQ42,1,1),IF(F42&lt;OFFSET($BN$9,CL42+3,0,1,1),((F42-OFFSET($BM$9,CL42+3,0,1,1))*OFFSET($CI$9,CL42+3,0,1,1))+OFFSET($BP$9,CL42+3,CQ42,1,1),0))))))</f>
        <v>0</v>
      </c>
      <c r="CV42" s="51">
        <f ca="1">IF($F42&lt;OFFSET($BM$9,$CL42-1,0,1,1),0,IF($F42&lt;OFFSET($BN$9,$CL42-1,0,1,1),IF(AND($H42&gt;2.4,Z42&lt;&gt;"e",Z42&lt;&gt;"f"),CZ42*2.4/$H42,CZ42),IF($F42&lt;OFFSET($BN$9,$CL42+0,0,1,1),IF(AND($H42&gt;2.4,Z42&lt;&gt;"e",Z42&lt;&gt;"f"),CZ42*2.4/$H42,CZ42),IF($F42&lt;OFFSET($BN$9,$CL42+1,0,1,1),IF(AND($H42&gt;2.4,Z42&lt;&gt;"e",Z42&lt;&gt;"f"),CZ42*2.4/$H42,CZ42),IF($F42&lt;OFFSET($BN$9,$CL42+2,0,1,1),IF(AND($H42&gt;2.4,Z42&lt;&gt;"e",Z42&lt;&gt;"f"),CZ42*2.4/$H42,CZ42),IF($F42&lt;OFFSET($BN$9,$CL42+3,0,1,1),IF(AND($H42&gt;2.4,Z42&lt;&gt;"e",Z42&lt;&gt;"f"),CZ42*2.4/$H42,CZ42),0)))))*COS(RADIANS($G42)))</f>
        <v>0</v>
      </c>
      <c r="CW42" s="51">
        <f ca="1">IF(CT42&gt;CR42,CR42,CT42)</f>
        <v>0</v>
      </c>
      <c r="CX42" s="51">
        <f ca="1">IF(CS42&gt;$CR42,$CR42,CS42)</f>
        <v>0</v>
      </c>
      <c r="CY42" s="51">
        <f ca="1">CW42*F42</f>
        <v>0</v>
      </c>
      <c r="CZ42" s="51">
        <f ca="1">IF($CU42&gt;$CR42,$CR42,$CU42)</f>
        <v>0</v>
      </c>
      <c r="DA42" s="51">
        <f ca="1">IF(CV42&gt;CR42,CR42,CV42)</f>
        <v>0</v>
      </c>
      <c r="DB42" s="984">
        <f ca="1">DA42*F42</f>
        <v>0</v>
      </c>
      <c r="DC42" s="993">
        <v>1</v>
      </c>
      <c r="DD42" s="758" t="str">
        <f>IF(OR(D42=BG$12,D42=BG$13),"External",IF(D42=BG$14,"Internal"," "))</f>
        <v xml:space="preserve"> </v>
      </c>
      <c r="DE42" s="51" t="str">
        <f t="shared" ca="1" si="1"/>
        <v/>
      </c>
      <c r="DF42" s="52" t="str">
        <f t="shared" ca="1" si="2"/>
        <v xml:space="preserve"> </v>
      </c>
      <c r="DG42" s="51">
        <f ca="1">IF(F42&lt;OFFSET($BM$9,CN42-1,0,1,1),0,IF(F42&lt;OFFSET($BN$9,CN42-1,0,1,1),((F42-OFFSET($BM$9,CN42-1,0,1,1))*OFFSET($CH$9,CN42-1,0,1,1))+OFFSET($BO$9,CN42-1,CQ42,1,1),IF(F42&lt;OFFSET($BN$9,CN42+0,0,1,1),((F42-OFFSET($BM$9,CN42+0,0,1,1))*OFFSET($CH$9,CN42+0,0,1,1))+OFFSET($BO$9,CN42+0,CQ42,1,1),IF(F42&lt;OFFSET($BN$9,CN42+1,0,1,1),((F42-OFFSET($BM$9,CN42+1,0,1,1))*OFFSET($CH$9,CN42+1,0,1,1))+OFFSET($BO$9,CN42+1,CQ42,1,1),IF(F42&lt;OFFSET($BN$9,CN42+2,0,1,1),((F42-OFFSET($BM$9,CN42+2,0,1,1))*OFFSET($CH$9,CN42+2,0,1,1))+OFFSET($BO$9,CN42+2,CQ42,1,1),IF(F42&lt;OFFSET($BN$9,CN42+3,0,1,1),((F42-OFFSET($BM$9,CN42+3,0,1,1))*OFFSET($CH$9,CN42+3,0,1,1))+OFFSET($BO$9,CN42+3,CQ42,1,1),0))))))</f>
        <v>0</v>
      </c>
      <c r="DH42" s="51">
        <f ca="1">IF($F42&lt;OFFSET($BM$9,$CN42-1,0,1,1),0,IF($F42&lt;OFFSET($BN$9,$CN42-1,0,1,1),IF(AND($H42&gt;2.4,Z42&lt;&gt;"e",Z42&lt;&gt;"f"),DL42*2.4/$H42,DL42),IF($F42&lt;OFFSET($BN$9,$CN42+0,0,1,1),IF(AND($H42&gt;2.4,Z42&lt;&gt;"e",Z42&lt;&gt;"f"),DL42*2.4/$H42,DL42),IF($F42&lt;OFFSET($BN$9,$CN42+1,0,1,1),IF(AND($H42&gt;2.4,Z42&lt;&gt;"e",Z42&lt;&gt;"f"),DL42*2.4/$H42,DL42),IF($F42&lt;OFFSET($BN$9,$CN42+2,0,1,1),IF(AND($H42&gt;2.4,Z42&lt;&gt;"e",Z42&lt;&gt;"f"),DL42*2.4/$H42,DL42),IF($F42&lt;OFFSET($BN$9,$CN42+3,0,1,1),IF(AND($H42&gt;2.4,Z42&lt;&gt;"e",Z42&lt;&gt;"f"),DL42*2.4/$H42,DL42),0)))))*COS(RADIANS($G42)))</f>
        <v>0</v>
      </c>
      <c r="DI42" s="51">
        <f ca="1">IF(F42&lt;OFFSET($BM$9,CN42-1,0,1,1),0,IF(F42&lt;OFFSET($BN$9,CN42-1,0,1,1),((F42-OFFSET($BM$9,CN42-1,0,1,1))*OFFSET($CI$9,CN42-1,0,1,1))+OFFSET($BP$9,CN42-1,CQ42,1,1),IF(F42&lt;OFFSET($BN$9,CN42+0,0,1,1),((F42-OFFSET($BM$9,CN42+0,0,1,1))*OFFSET($CI$9,CN42+0,0,1,1))+OFFSET($BP$9,CN42+0,CQ42,1,1),IF(F42&lt;OFFSET($BN$9,CN42+1,0,1,1),((F42-OFFSET($BM$9,CN42+1,0,1,1))*OFFSET($CI$9,CN42+1,0,1,1))+OFFSET($BP$9,CN42+1,CQ42,1,1),IF(F42&lt;OFFSET($BN$9,CN42+2,0,1,1),((F42-OFFSET($BM$9,CN42+2,0,1,1))*OFFSET($CI$9,CN42+2,0,1,1))+OFFSET($BP$9,CN42+2,CQ42,1,1),IF(F42&lt;OFFSET($BN$9,CN42+3,0,1,1),((F42-OFFSET($BM$9,CN42+3,0,1,1))*OFFSET($CI$9,CN42+3,0,1,1))+OFFSET($BP$9,CN42+3,CQ42,1,1),0))))))</f>
        <v>0</v>
      </c>
      <c r="DJ42" s="51">
        <f ca="1">IF($F42&lt;OFFSET($BM$9,$CN42-1,0,1,1),0,IF($F42&lt;OFFSET($BN$9,$CN42-1,0,1,1),IF(AND($H42&gt;2.4,Z42&lt;&gt;"e",Z42&lt;&gt;"f"),DN42*2.4/$H42,DN42),IF($F42&lt;OFFSET($BN$9,$CN42+0,0,1,1),IF(AND($H42&gt;2.4,Z42&lt;&gt;"e",Z42&lt;&gt;"f"),DN42*2.4/$H42,DN42),IF($F42&lt;OFFSET($BN$9,$CN42+1,0,1,1),IF(AND($H42&gt;2.4,Z42&lt;&gt;"e",Z42&lt;&gt;"f"),DN42*2.4/$H42,DN42),IF($F42&lt;OFFSET($BN$9,$CN42+2,0,1,1),IF(AND($H42&gt;2.4,Z42&lt;&gt;"e",Z42&lt;&gt;"f"),DN42*2.4/$H42,DN42),IF($F42&lt;OFFSET($BN$9,$CN42+3,0,1,1),IF(AND($H42&gt;2.4,Z42&lt;&gt;"e",Z42&lt;&gt;"f"),DN42*2.4/$H42,DN42),0)))))*COS(RADIANS($G42)))</f>
        <v>0</v>
      </c>
      <c r="DK42" s="51"/>
      <c r="DL42" s="51">
        <f ca="1">IF(DG42&gt;$CR42,$CR42,DG42)</f>
        <v>0</v>
      </c>
      <c r="DM42" s="51"/>
      <c r="DN42" s="51">
        <f ca="1">IF(DI42&gt;$CR42,$CR42,DI42)</f>
        <v>0</v>
      </c>
      <c r="DO42" s="435">
        <f ca="1">IF(DH42&gt;$CR42,$CR42,DH42)</f>
        <v>0</v>
      </c>
      <c r="DP42" s="435">
        <f ca="1">DO42*F42</f>
        <v>0</v>
      </c>
      <c r="DQ42" s="436">
        <f ca="1">IF(DJ42&gt;$CR42,$CR42,DJ42)</f>
        <v>0</v>
      </c>
      <c r="DR42" s="437">
        <f ca="1">DQ42*F42</f>
        <v>0</v>
      </c>
      <c r="DS42" s="426">
        <f ca="1">OFFSET($CH$9,CL42-1,-15,1,1)</f>
        <v>0</v>
      </c>
      <c r="DT42" s="451">
        <f ca="1">VLOOKUP(DS42,Prodlink,2,0)</f>
        <v>0</v>
      </c>
      <c r="DU42" s="188">
        <f ca="1">IF(F42&lt;OFFSET($BM$9,DT42-1,0,1,1),0,IF(F42&lt;OFFSET($BN$9,DT42-1,0,1,1),((F42-OFFSET($BM$9,DT42-1,0,1,1))*OFFSET($CH$9,DT42-1,0,1,1))+OFFSET($BO$9,DT42-1,CQ42,1,1),IF(F42&lt;OFFSET($BN$9,DT42+0,0,1,1),((F42-OFFSET($BM$9,DT42+0,0,1,1))*OFFSET($CH$9,DT42+0,0,1,1))+OFFSET($BO$9,DT42+0,CQ42,1,1),IF(F42&lt;OFFSET($BN$9,DT42+1,0,1,1),((F42-OFFSET($BM$9,DT42+1,0,1,1))*OFFSET($CH$9,DT42+1,0,1,1))+OFFSET($BO$9,DT42+1,CQ42,1,1),IF(F42&lt;OFFSET($BN$9,DT42+2,0,1,1),((F42-OFFSET($BM$9,DT42+2,0,1,1))*OFFSET($CH$9,DT42+2,0,1,1))+OFFSET($BO$9,DT42+2,CQ42,1,1),IF(F42&lt;OFFSET($BN$9,DT42+3,0,1,1),((F42-OFFSET($BM$9,DT42+3,0,1,1))*OFFSET($CH$9,DT42+3,0,1,1))+OFFSET($BO$9,DT42+3,CQ42,1,1),0))))))</f>
        <v>0</v>
      </c>
      <c r="DV42" s="51">
        <f ca="1">IF($F42&lt;OFFSET($BM$9,$DT42-1,0,1,1),0,IF($F42&lt;OFFSET($BN$9,$DT42-1,0,1,1),IF(AND($H42&gt;2.4,Z42&lt;&gt;"e",Z42&lt;&gt;"f"),DZ42*2.4/$H42,DZ42),IF($F42&lt;OFFSET($BN$9,$DT42+0,0,1,1),IF(AND($H42&gt;2.4,Z42&lt;&gt;"e",Z42&lt;&gt;"f"),DZ42*2.4/$H42,DZ42),IF($F42&lt;OFFSET($BN$9,$DT42+1,0,1,1),IF(AND($H42&gt;2.4,Z42&lt;&gt;"e",Z42&lt;&gt;"f"),DZ42*2.4/$H42,DZ42),IF($F42&lt;OFFSET($BN$9,$DT42+2,0,1,1),IF(AND($H42&gt;2.4,Z42&lt;&gt;"e",Z42&lt;&gt;"f"),DZ42*2.4/$H42,DZ42),IF($F42&lt;OFFSET($BN$9,$DT42+3,0,1,1),IF(AND($H42&gt;2.4,Z42&lt;&gt;"e",Z42&lt;&gt;"f"),DZ42*2.4/$H42,DZ42),0)))))*COS(RADIANS($G42)))</f>
        <v>0</v>
      </c>
      <c r="DW42" s="188">
        <f ca="1">IF(F42&lt;OFFSET($BM$9,DT42-1,0,1,1),0,IF(F42&lt;OFFSET($BN$9,DT42-1,0,1,1),((F42-OFFSET($BM$9,DT42-1,0,1,1))*OFFSET($CI$9,DT42-1,0,1,1))+OFFSET($BP$9,DT42-1,CQ42,1,1),IF(F42&lt;OFFSET($BN$9,DT42+0,0,1,1),((F42-OFFSET($BM$9,DT42+0,0,1,1))*OFFSET($CI$9,DT42+0,0,1,1))+OFFSET($BP$9,DT42+0,CQ42,1,1),IF(F42&lt;OFFSET($BN$9,DT42+1,0,1,1),((F42-OFFSET($BM$9,DT42+1,0,1,1))*OFFSET($CI$9,DT42+1,0,1,1))+OFFSET($BP$9,DT42+1,CQ42,1,1),IF(F42&lt;OFFSET($BN$9,DT42+2,0,1,1),((F42-OFFSET($BM$9,DT42+2,0,1,1))*OFFSET($CI$9,DT42+2,0,1,1))+OFFSET($BP$9,DT42+2,CQ42,1,1),IF(F42&lt;OFFSET($BN$9,DT42+3,0,1,1),((F42-OFFSET($BM$9,DT42+3,0,1,1))*OFFSET($CI$9,DT42+3,0,1,1))+OFFSET($BP$9,DT42+3,CQ42,1,1),0))))))</f>
        <v>0</v>
      </c>
      <c r="DX42" s="51">
        <f ca="1">IF($F42&lt;OFFSET($BM$9,$DT42-1,0,1,1),0,IF($F42&lt;OFFSET($BN$9,$DT42-1,0,1,1),IF(AND($H42&gt;2.4,Z42&lt;&gt;"e",Z42&lt;&gt;"f"),EB42*2.4/$H42,EB42),IF($F42&lt;OFFSET($BN$9,$DT42+0,0,1,1),IF(AND($H42&gt;2.4,Z42&lt;&gt;"e",Z42&lt;&gt;"f"),EB42*2.4/$H42,EB42),IF($F42&lt;OFFSET($BN$9,$DT42+1,0,1,1),IF(AND($H42&gt;2.4,Z42&lt;&gt;"e",Z42&lt;&gt;"f"),EB42*2.4/$H42,EB42),IF($F42&lt;OFFSET($BN$9,$DT42+2,0,1,1),IF(AND($H42&gt;2.4,Z42&lt;&gt;"e",Z42&lt;&gt;"f"),EB42*2.4/$H42,EB42),IF($F42&lt;OFFSET($BN$9,$DT42+3,0,1,1),IF(AND($H42&gt;2.4,Z42&lt;&gt;"e",Z42&lt;&gt;"f"),EB42*2.4/$H42,EB42),0)))))*COS(RADIANS($G42)))</f>
        <v>0</v>
      </c>
      <c r="DY42" s="188"/>
      <c r="DZ42" s="188">
        <f ca="1">IF(DU42&gt;$CR42,$CR42,DU42)</f>
        <v>0</v>
      </c>
      <c r="EA42" s="188"/>
      <c r="EB42" s="188">
        <f ca="1">IF(DW42&gt;$CR42,$CR42,DW42)</f>
        <v>0</v>
      </c>
      <c r="EC42" s="435">
        <f ca="1">IF(DV42&gt;$CR42,$CR42,DV42)</f>
        <v>0</v>
      </c>
      <c r="ED42" s="435">
        <f ca="1">EC42*F42</f>
        <v>0</v>
      </c>
      <c r="EE42" s="436">
        <f ca="1">IF(DX42&gt;$CR42,$CR42,DX42)</f>
        <v>0</v>
      </c>
      <c r="EF42" s="437">
        <f ca="1">EE42*F42</f>
        <v>0</v>
      </c>
      <c r="EG42" s="613" t="str">
        <f>IF(D42=BG$12,BG$12,"")</f>
        <v/>
      </c>
      <c r="EH42" s="614" t="str">
        <f>IF(D42=BG$13,BG$13,"")</f>
        <v/>
      </c>
      <c r="EI42" s="611">
        <f>IF(EG42=BG$12,M42,0)</f>
        <v>0</v>
      </c>
      <c r="EJ42" s="451">
        <f>IF(EG42=BG$12,O42,0)</f>
        <v>0</v>
      </c>
      <c r="EK42" s="451">
        <f>IF(EH42=BG$13,M42,0)</f>
        <v>0</v>
      </c>
      <c r="EL42" s="612">
        <f>IF(EH42=BG$13,O42,0)</f>
        <v>0</v>
      </c>
      <c r="EM42" s="426" t="str">
        <f ca="1">IF(AND(Z42&lt;&gt;"t",Z42&lt;&gt;"f"),"",IF(AND(EN42=$BH$13,K42=$BH$12),"NotOpt",IF(K42&lt;&gt;EN42,"Error","")))</f>
        <v/>
      </c>
      <c r="EN42" s="491" t="str">
        <f>IF(AND($BH$28=1,$BG$28=1),$BH$13,$BH$12)</f>
        <v>120 BU's</v>
      </c>
      <c r="EO42" s="426" t="str">
        <f>K42</f>
        <v xml:space="preserve"> </v>
      </c>
      <c r="EP42" s="497">
        <v>1</v>
      </c>
      <c r="EQ42" s="430" t="str">
        <f ca="1">IF(EP42=1," ",OFFSET(BF$15,EP42-2,0,1,1))</f>
        <v xml:space="preserve"> </v>
      </c>
      <c r="ER42" s="439" t="str">
        <f ca="1">IF(H42=0," ",H42)</f>
        <v xml:space="preserve"> </v>
      </c>
      <c r="ES42" s="440" t="str">
        <f ca="1">IF(ER42&lt;&gt;" ",IF(ER42&lt;&gt;ER$7,"Changed",""),"")</f>
        <v/>
      </c>
      <c r="ET42" s="440">
        <f ca="1">IF(ER42&lt;&gt;" ",IF(ER42&lt;&gt;ER$7,1,0),0)</f>
        <v>0</v>
      </c>
      <c r="EU42" s="957" t="str">
        <f ca="1">IF(I42=" "," ",IF(F42&lt;OFFSET($BM$9,CL42-1,0,1,1),1,""))</f>
        <v xml:space="preserve"> </v>
      </c>
      <c r="EW42" s="427"/>
    </row>
    <row r="43" spans="1:153" ht="17.100000000000001" customHeight="1" thickBot="1">
      <c r="A43" s="2685"/>
      <c r="B43" s="2686" t="s">
        <v>8</v>
      </c>
      <c r="C43" s="2687"/>
      <c r="D43" s="1461" t="s">
        <v>8</v>
      </c>
      <c r="E43" s="659"/>
      <c r="F43" s="659"/>
      <c r="G43" s="659"/>
      <c r="H43" s="659"/>
      <c r="I43" s="1462"/>
      <c r="J43" s="1365" t="str">
        <f ca="1">(CONCATENATE(B38,$BE$54))</f>
        <v>F  Line:  Min. Requirement=</v>
      </c>
      <c r="K43" s="23"/>
      <c r="L43" s="1019">
        <f ca="1">L$5</f>
        <v>0</v>
      </c>
      <c r="M43" s="48">
        <f ca="1">IF(B38=B32,SUM(M38:M42)+M37,SUM(M38:M42))</f>
        <v>0</v>
      </c>
      <c r="N43" s="1019">
        <f ca="1">N$5</f>
        <v>0</v>
      </c>
      <c r="O43" s="125">
        <f ca="1">IF(B38=B32,SUM(O38:O42)+O37,SUM(O38:O42))</f>
        <v>0</v>
      </c>
      <c r="P43" s="139"/>
      <c r="Q43" s="42" t="str">
        <f ca="1">IF(B38=B44,"",IF(AND(M43&gt;0,L43=L$5,OR(M43&lt;$M$105,M43&lt;$BF$3)),"Achieved &lt; Min Req per Line",IF(AND(O43&gt;0,N43=N$5,OR(O43&lt;$O$105,O43&lt;$BF$3)),"Achieved &lt; Min Req per Line",IF(AND(M43&gt;0,L43&gt;M43),"More Required on this line",IF(AND(O43&gt;0,N43&gt;O43),"More Required on this line",IF(AND(L43&gt;0,L43&lt;$BF$3),$BE$59,IF(AND(N43&gt;0,N43&lt;$BF$3),$BE$59,"")))))))</f>
        <v/>
      </c>
      <c r="R43" s="52"/>
      <c r="S43" s="52"/>
      <c r="T43" s="52"/>
      <c r="U43" s="1378"/>
      <c r="V43" s="52"/>
      <c r="W43" s="9"/>
      <c r="X43" s="9"/>
      <c r="Y43" s="896"/>
      <c r="Z43" s="52"/>
      <c r="AA43" s="51"/>
      <c r="AB43" s="1364"/>
      <c r="AC43"/>
      <c r="AJ43" s="13"/>
      <c r="AK43" s="13"/>
      <c r="AL43" s="1"/>
      <c r="AM43" s="1"/>
      <c r="AN43" s="1"/>
      <c r="AO43" s="1"/>
      <c r="AP43" s="1"/>
      <c r="AQ43" s="1"/>
      <c r="AR43" s="1"/>
      <c r="AS43" s="6"/>
      <c r="AT43" s="6"/>
      <c r="AW43" s="1"/>
      <c r="BD43" s="636"/>
      <c r="BF43" s="599" t="str">
        <f>'Custom Elements'!C27</f>
        <v>Custom19</v>
      </c>
      <c r="BG43" s="996" t="s">
        <v>902</v>
      </c>
      <c r="BH43" s="485" t="s">
        <v>935</v>
      </c>
      <c r="BI43" s="759"/>
      <c r="BJ43" s="897">
        <f t="shared" si="25"/>
        <v>35</v>
      </c>
      <c r="BX43" s="52"/>
      <c r="CJ43" s="759"/>
      <c r="CK43" s="188"/>
      <c r="CL43" s="979"/>
      <c r="CN43" s="497"/>
      <c r="CO43" s="497" t="s">
        <v>8</v>
      </c>
      <c r="CQ43" s="51" t="s">
        <v>8</v>
      </c>
      <c r="CR43" s="51" t="s">
        <v>8</v>
      </c>
      <c r="CS43" s="51" t="s">
        <v>8</v>
      </c>
      <c r="CT43" s="51"/>
      <c r="CU43" s="51" t="s">
        <v>8</v>
      </c>
      <c r="CV43" s="51" t="s">
        <v>8</v>
      </c>
      <c r="CW43" s="51" t="s">
        <v>8</v>
      </c>
      <c r="CX43" s="51" t="s">
        <v>8</v>
      </c>
      <c r="CY43" s="51" t="s">
        <v>8</v>
      </c>
      <c r="CZ43" s="51" t="s">
        <v>8</v>
      </c>
      <c r="DA43" s="51" t="s">
        <v>8</v>
      </c>
      <c r="DB43" s="984" t="s">
        <v>8</v>
      </c>
      <c r="DD43" s="758"/>
      <c r="DF43" s="52"/>
      <c r="DG43" s="51"/>
      <c r="DH43" s="51"/>
      <c r="DI43" s="51"/>
      <c r="DJ43" s="51"/>
      <c r="DK43" s="51"/>
      <c r="DL43" s="51" t="s">
        <v>8</v>
      </c>
      <c r="DM43" s="51"/>
      <c r="DN43" s="51" t="s">
        <v>8</v>
      </c>
      <c r="DO43" s="435" t="s">
        <v>8</v>
      </c>
      <c r="DP43" s="435" t="s">
        <v>8</v>
      </c>
      <c r="DQ43" s="868" t="s">
        <v>8</v>
      </c>
      <c r="DR43" s="868" t="s">
        <v>8</v>
      </c>
      <c r="DS43" s="426" t="s">
        <v>8</v>
      </c>
      <c r="DT43" s="451" t="s">
        <v>8</v>
      </c>
      <c r="DU43" s="188" t="s">
        <v>8</v>
      </c>
      <c r="DV43" s="188" t="s">
        <v>8</v>
      </c>
      <c r="DW43" s="188" t="s">
        <v>8</v>
      </c>
      <c r="DX43" s="188" t="s">
        <v>8</v>
      </c>
      <c r="DY43" s="188"/>
      <c r="DZ43" s="188" t="s">
        <v>8</v>
      </c>
      <c r="EA43" s="188"/>
      <c r="EB43" s="188" t="s">
        <v>8</v>
      </c>
      <c r="EC43" s="435" t="s">
        <v>8</v>
      </c>
      <c r="ED43" s="435" t="s">
        <v>8</v>
      </c>
      <c r="EE43" s="868" t="s">
        <v>8</v>
      </c>
      <c r="EF43" s="867" t="s">
        <v>8</v>
      </c>
      <c r="EG43" s="613"/>
      <c r="EH43" s="614"/>
      <c r="EI43" s="613"/>
      <c r="EJ43" s="435"/>
      <c r="EK43" s="451"/>
      <c r="EL43" s="612"/>
      <c r="EN43" s="947"/>
      <c r="ER43" s="441"/>
      <c r="ES43" s="440"/>
      <c r="ET43" s="440"/>
      <c r="EU43" s="957"/>
      <c r="EW43" s="427"/>
    </row>
    <row r="44" spans="1:153" ht="17.100000000000001" customHeight="1" thickBot="1">
      <c r="A44" s="2685"/>
      <c r="B44" s="1369" t="str">
        <f ca="1">S44</f>
        <v>G</v>
      </c>
      <c r="C44" s="684" t="str">
        <f>IF(OR(F44=0,I44="",I44=" ")," ",$V44)</f>
        <v xml:space="preserve"> </v>
      </c>
      <c r="D44" s="1033"/>
      <c r="E44" s="1360"/>
      <c r="F44" s="202"/>
      <c r="G44" s="1416"/>
      <c r="H44" s="199" t="str">
        <f ca="1">IF(OR(F44=0,Z44="E",Z44="f")," ",'Project Demand'!E$35)</f>
        <v xml:space="preserve"> </v>
      </c>
      <c r="I44" s="631" t="str">
        <f>IF($I$6&lt;&gt;$BG$8," ",AB44)</f>
        <v xml:space="preserve"> </v>
      </c>
      <c r="J44" s="43" t="str">
        <f ca="1">IF(OR(I44=" ",I44="")," ",OFFSET($BO$9,CL44-1,0-4,1,1))</f>
        <v xml:space="preserve"> </v>
      </c>
      <c r="K44" s="55" t="str">
        <f>IF(OR(I44=" ",I44="")," ",IF(OR(Z44="e",Z44="h"),"SD",BG$24))</f>
        <v xml:space="preserve"> </v>
      </c>
      <c r="L44" s="49">
        <f ca="1">CW44</f>
        <v>0</v>
      </c>
      <c r="M44" s="49">
        <f ca="1">CY44</f>
        <v>0</v>
      </c>
      <c r="N44" s="50">
        <f t="shared" ref="N44:O48" ca="1" si="26">DA44</f>
        <v>0</v>
      </c>
      <c r="O44" s="126">
        <f t="shared" ca="1" si="26"/>
        <v>0</v>
      </c>
      <c r="P44" s="140"/>
      <c r="Q44" s="752" t="str">
        <f ca="1">IF(AND(OR(Z44="t",Z44="f"),K44=$BH$11),"No Floor!  Change Floor Type",IF(OR(I44=" ",I44="")," ",IF(F44&lt;OFFSET($BM$9,CL44-1,0,1,1),"check L(m)",DE44&amp;IF(AND(DP44&gt;=CY44,DR44&gt;=DB44),IF(AND(ED44&gt;=DP44,EF44&gt;=DR44),CONCATENATE(DS44," will provide same result"),CONCATENATE(CO44," will provide same result")),IF((DP44&gt;=CY44),CONCATENATE(CO44," provides same result in WIND"),IF((DR44&gt;=DB44),CONCATENATE(CO44," provides same result in EQ"),""))))))&amp;IF(ISERROR(FIND("pile",I44,1)),"",IF(INT(F44)&lt;&gt;F44,"Pile!  Use Whole Numbers Only",""))</f>
        <v xml:space="preserve"> </v>
      </c>
      <c r="R44" s="52">
        <f ca="1">IF(T38&lt;&gt;2,(COLUMN(INDIRECT(B38&amp;1))+1),U44)</f>
        <v>7</v>
      </c>
      <c r="S44" s="1372" t="str">
        <f ca="1">SUBSTITUTE(ADDRESS(1,R44,4),"1","")</f>
        <v>G</v>
      </c>
      <c r="T44" s="451">
        <f ca="1">IF(AND(ISTEXT(B44),SUBSTITUTE(SUBSTITUTE(SUBSTITUTE(SUBSTITUTE(SUBSTITUTE(SUBSTITUTE(SUBSTITUTE(SUBSTITUTE(SUBSTITUTE(SUBSTITUTE(SUBSTITUTE(SUBSTITUTE(SUBSTITUTE(SUBSTITUTE(SUBSTITUTE(SUBSTITUTE(SUBSTITUTE(SUBSTITUTE(SUBSTITUTE(SUBSTITUTE(SUBSTITUTE(SUBSTITUTE(SUBSTITUTE(SUBSTITUTE(SUBSTITUTE(SUBSTITUTE(LOWER(B44),"a",),"b",),"c",),"d",),"e",),"f",),"g",),"h",),"i",),"j",),"k",),"l",),"m",),"n",),"o",),"p",),"q",),"r",),"s",),"t",),"u",),"v",),"w",),"x",),"y",),"z",)=""),1,2)</f>
        <v>1</v>
      </c>
      <c r="U44" s="1377">
        <v>7</v>
      </c>
      <c r="V44" s="52" t="str">
        <f ca="1">IF(AND(B$5=$BF$9,OR(I44=BH$16,I44=BH$17))," ",IF(ISNUMBER(B$44),(CONCATENATE(B$44,".",W44)),(CONCATENATE(B$44,W44))))</f>
        <v>G0</v>
      </c>
      <c r="W44" s="9">
        <f ca="1">IF(B38=B44,W42+X44,X44)</f>
        <v>0</v>
      </c>
      <c r="X44" s="9">
        <f>IF(AND(B$5=$BF$9,OR($I44=$BH$16,$I44=$BH$17,$I44=" ",$I44="",$F44=0)),0,IF(OR($I44=" ",$I44="",$F44=0),0,1))</f>
        <v>0</v>
      </c>
      <c r="Y44" s="896">
        <f ca="1">IF(AND(M49&gt;0,B44&lt;&gt;B50),1,0)</f>
        <v>0</v>
      </c>
      <c r="Z44" s="52" t="str">
        <f ca="1">IF(I44=" "," ",OFFSET($BM$9,$CL44-1,8,1,1))</f>
        <v xml:space="preserve"> </v>
      </c>
      <c r="AA44" s="51" t="str">
        <f>IF(G44&gt;=45,"WA","")</f>
        <v/>
      </c>
      <c r="AB44" s="1364" t="str">
        <f>IF(F44&lt;&gt;"",IF(OR(D44=$BG$12,D44=$BG$13),IF(E44&lt;&gt;$BG$17,$BF$12,$BF$13),IF(E44&lt;&gt;$BG$17,$BF$12,$BF$13))," ")</f>
        <v xml:space="preserve"> </v>
      </c>
      <c r="AC44" s="1"/>
      <c r="AJ44" s="1690" t="s">
        <v>1115</v>
      </c>
      <c r="AK44" s="12"/>
      <c r="AL44" s="1"/>
      <c r="AM44" s="47"/>
      <c r="AN44" s="1"/>
      <c r="AO44" s="1"/>
      <c r="AP44" s="1"/>
      <c r="AQ44" s="33"/>
      <c r="AR44" s="33"/>
      <c r="AS44" s="1"/>
      <c r="AT44" s="1"/>
      <c r="AU44" s="1"/>
      <c r="AW44" s="33"/>
      <c r="BD44" s="637"/>
      <c r="BF44" s="599" t="str">
        <f>'Custom Elements'!C28</f>
        <v>Custom20</v>
      </c>
      <c r="BI44" s="759"/>
      <c r="BJ44" s="897">
        <f t="shared" si="25"/>
        <v>36</v>
      </c>
      <c r="BK44" s="1222" t="str">
        <f>BK50</f>
        <v xml:space="preserve">EPB </v>
      </c>
      <c r="BL44" s="1181" t="str">
        <f>Table!I10</f>
        <v>ER2</v>
      </c>
      <c r="BM44" s="1210">
        <f>Table!J10</f>
        <v>0.4</v>
      </c>
      <c r="BN44" s="454">
        <f>BM45</f>
        <v>0.6</v>
      </c>
      <c r="BO44" s="454">
        <f>Table!K10</f>
        <v>56</v>
      </c>
      <c r="BP44" s="924">
        <f>Table!L10</f>
        <v>51</v>
      </c>
      <c r="BQ44" s="920"/>
      <c r="BR44" s="768">
        <f>Table!M10</f>
        <v>0</v>
      </c>
      <c r="BS44" s="454">
        <f>Table!M11</f>
        <v>0</v>
      </c>
      <c r="BT44" s="454" t="str">
        <f>Table!N10</f>
        <v>I</v>
      </c>
      <c r="BU44" s="924" t="s">
        <v>242</v>
      </c>
      <c r="BV44" s="1230" t="str">
        <f>Table!AI77</f>
        <v>ER2</v>
      </c>
      <c r="BW44" s="1229">
        <f>BJ44</f>
        <v>36</v>
      </c>
      <c r="BX44" s="924" t="str">
        <f>Table!N11</f>
        <v>Double</v>
      </c>
      <c r="CH44" s="768">
        <f>IF(BN44=999,0,(BO45-BO44)/(BN44-BM44))</f>
        <v>5.0000000000000009</v>
      </c>
      <c r="CI44" s="924">
        <f>IF(BN44=999,0,(BP45-BP44)/(BN44-BM44))</f>
        <v>5.0000000000000009</v>
      </c>
      <c r="CJ44" s="759"/>
      <c r="CK44" s="188"/>
      <c r="CL44" s="979">
        <f>VLOOKUP(I44,Prodlink,2,0)</f>
        <v>0</v>
      </c>
      <c r="CN44" s="497">
        <f ca="1">VLOOKUP(CO44,Prodlink,2,0)</f>
        <v>0</v>
      </c>
      <c r="CO44" s="497">
        <f ca="1">OFFSET($CH$9,CL44-1,-15,1,1)</f>
        <v>0</v>
      </c>
      <c r="CQ44" s="51">
        <v>0</v>
      </c>
      <c r="CR44" s="51">
        <f>IF(K44=$BH$12,$BH$23,IF(K44=$BH$13,$BH$24,10000))</f>
        <v>10000</v>
      </c>
      <c r="CS44" s="51">
        <f ca="1">IF(F44&lt;OFFSET($BM$9,CL44-1,0,1,1),0,IF(F44&lt;OFFSET($BN$9,CL44-1,0,1,1),((F44-OFFSET($BM$9,CL44-1,0,1,1))*OFFSET($CH$9,CL44-1,0,1,1))+OFFSET($BO$9,CL44-1,CQ44,1,1),IF(F44&lt;OFFSET($BN$9,CL44+0,0,1,1),((F44-OFFSET($BM$9,CL44+0,0,1,1))*OFFSET($CH$9,CL44+0,0,1,1))+OFFSET($BO$9,CL44+0,CQ44,1,1),IF(F44&lt;OFFSET($BN$9,CL44+1,0,1,1),((F44-OFFSET($BM$9,CL44+1,0,1,1))*OFFSET($CH$9,CL44+1,0,1,1))+OFFSET($BO$9,CL44+1,CQ44,1,1),IF(F44&lt;OFFSET($BN$9,CL44+2,0,1,1),((F44-OFFSET($BM$9,CL44+2,0,1,1))*OFFSET($CH$9,CL44+2,0,1,1))+OFFSET($BO$9,CL44+2,CQ44,1,1),IF(F44&lt;OFFSET($BN$9,CL44+3,0,1,1),((F44-OFFSET($BM$9,CL44+3,0,1,1))*OFFSET($CH$9,CL44+3,0,1,1))+OFFSET($BO$9,CL44+3,CQ44,1,1),0))))))</f>
        <v>0</v>
      </c>
      <c r="CT44" s="1552">
        <f ca="1">IF($F44&lt;OFFSET($BM$9,$CL44-1,0,1,1),0,IF($F44&lt;OFFSET($BN$9,$CL44-1,0,1,1),IF(AND($H44&gt;2.4,Z44&lt;&gt;"e",Z44&lt;&gt;"f"),CX44*2.4/$H44,CX44),IF($F44&lt;OFFSET($BN$9,$CL44+0,0,1,1),IF(AND($H44&gt;2.4,Z44&lt;&gt;"e",Z44&lt;&gt;"f"),CX44*2.4/$H44,CX44),IF($F44&lt;OFFSET($BN$9,$CL44+1,0,1,1),IF(AND($H44&gt;2.4,Z44&lt;&gt;"e",Z44&lt;&gt;"f"),CX44*2.4/$H44,CX44),IF($F44&lt;OFFSET($BN$9,CL44+2,0,1,1),IF(AND($H44&gt;2.4,Z44&lt;&gt;"e",Z44&lt;&gt;"f"),CX44*2.4/$H44,CX44),IF($F44&lt;OFFSET($BN$9,CL44+3,0,1,1),IF(AND($H44&gt;2.4,Z44&lt;&gt;"e",Z44&lt;&gt;"f"),CX44*2.4/$H44,CX44),0)))))*COS(RADIANS($G44)))</f>
        <v>0</v>
      </c>
      <c r="CU44" s="51">
        <f ca="1">IF(F44&lt;OFFSET($BM$9,CL44-1,0,1,1),0,IF(F44&lt;OFFSET($BN$9,CL44-1,0,1,1),((F44-OFFSET($BM$9,CL44-1,0,1,1))*OFFSET($CI$9,CL44-1,0,1,1))+OFFSET($BP$9,CL44-1,CQ44,1,1),IF(F44&lt;OFFSET($BN$9,CL44+0,0,1,1),((F44-OFFSET($BM$9,CL44+0,0,1,1))*OFFSET($CI$9,CL44+0,0,1,1))+OFFSET($BP$9,CL44+0,CQ44,1,1),IF(F44&lt;OFFSET($BN$9,CL44+1,0,1,1),((F44-OFFSET($BM$9,CL44+1,0,1,1))*OFFSET($CI$9,CL44+1,0,1,1))+OFFSET($BP$9,CL44+1,CQ44,1,1),IF(F44&lt;OFFSET($BN$9,CL44+2,0,1,1),((F44-OFFSET($BM$9,CL44+2,0,1,1))*OFFSET($CI$9,CL44+2,0,1,1))+OFFSET($BP$9,CL44+2,CQ44,1,1),IF(F44&lt;OFFSET($BN$9,CL44+3,0,1,1),((F44-OFFSET($BM$9,CL44+3,0,1,1))*OFFSET($CI$9,CL44+3,0,1,1))+OFFSET($BP$9,CL44+3,CQ44,1,1),0))))))</f>
        <v>0</v>
      </c>
      <c r="CV44" s="1552">
        <f ca="1">IF($F44&lt;OFFSET($BM$9,$CL44-1,0,1,1),0,IF($F44&lt;OFFSET($BN$9,$CL44-1,0,1,1),IF(AND($H44&gt;2.4,Z44&lt;&gt;"e",Z44&lt;&gt;"f"),CZ44*2.4/$H44,CZ44),IF($F44&lt;OFFSET($BN$9,$CL44+0,0,1,1),IF(AND($H44&gt;2.4,Z44&lt;&gt;"e",Z44&lt;&gt;"f"),CZ44*2.4/$H44,CZ44),IF($F44&lt;OFFSET($BN$9,$CL44+1,0,1,1),IF(AND($H44&gt;2.4,Z44&lt;&gt;"e",Z44&lt;&gt;"f"),CZ44*2.4/$H44,CZ44),IF($F44&lt;OFFSET($BN$9,$CL44+2,0,1,1),IF(AND($H44&gt;2.4,Z44&lt;&gt;"e",Z44&lt;&gt;"f"),CZ44*2.4/$H44,CZ44),IF($F44&lt;OFFSET($BN$9,$CL44+3,0,1,1),IF(AND($H44&gt;2.4,Z44&lt;&gt;"e",Z44&lt;&gt;"f"),CZ44*2.4/$H44,CZ44),0)))))*COS(RADIANS($G44)))</f>
        <v>0</v>
      </c>
      <c r="CW44" s="51">
        <f ca="1">IF(CT44&gt;CR44,CR44,CT44)</f>
        <v>0</v>
      </c>
      <c r="CX44" s="51">
        <f ca="1">IF(CS44&gt;$CR44,$CR44,CS44)</f>
        <v>0</v>
      </c>
      <c r="CY44" s="51">
        <f ca="1">CW44*F44</f>
        <v>0</v>
      </c>
      <c r="CZ44" s="51">
        <f ca="1">IF($CU44&gt;$CR44,$CR44,$CU44)</f>
        <v>0</v>
      </c>
      <c r="DA44" s="51">
        <f ca="1">IF(CV44&gt;CR44,CR44,CV44)</f>
        <v>0</v>
      </c>
      <c r="DB44" s="984">
        <f ca="1">DA44*F44</f>
        <v>0</v>
      </c>
      <c r="DC44" s="993">
        <v>1</v>
      </c>
      <c r="DD44" s="758" t="str">
        <f>IF(OR(D44=BG$12,D44=BG$13),"External",IF(D44=BG$14,"Internal"," "))</f>
        <v xml:space="preserve"> </v>
      </c>
      <c r="DE44" s="51" t="str">
        <f t="shared" ca="1" si="1"/>
        <v/>
      </c>
      <c r="DF44" s="52" t="str">
        <f t="shared" ca="1" si="2"/>
        <v xml:space="preserve"> </v>
      </c>
      <c r="DG44" s="51">
        <f ca="1">IF(F44&lt;OFFSET($BM$9,CN44-1,0,1,1),0,IF(F44&lt;OFFSET($BN$9,CN44-1,0,1,1),((F44-OFFSET($BM$9,CN44-1,0,1,1))*OFFSET($CH$9,CN44-1,0,1,1))+OFFSET($BO$9,CN44-1,CQ44,1,1),IF(F44&lt;OFFSET($BN$9,CN44+0,0,1,1),((F44-OFFSET($BM$9,CN44+0,0,1,1))*OFFSET($CH$9,CN44+0,0,1,1))+OFFSET($BO$9,CN44+0,CQ44,1,1),IF(F44&lt;OFFSET($BN$9,CN44+1,0,1,1),((F44-OFFSET($BM$9,CN44+1,0,1,1))*OFFSET($CH$9,CN44+1,0,1,1))+OFFSET($BO$9,CN44+1,CQ44,1,1),IF(F44&lt;OFFSET($BN$9,CN44+2,0,1,1),((F44-OFFSET($BM$9,CN44+2,0,1,1))*OFFSET($CH$9,CN44+2,0,1,1))+OFFSET($BO$9,CN44+2,CQ44,1,1),IF(F44&lt;OFFSET($BN$9,CN44+3,0,1,1),((F44-OFFSET($BM$9,CN44+3,0,1,1))*OFFSET($CH$9,CN44+3,0,1,1))+OFFSET($BO$9,CN44+3,CQ44,1,1),0))))))</f>
        <v>0</v>
      </c>
      <c r="DH44" s="1552">
        <f ca="1">IF($F44&lt;OFFSET($BM$9,$CN44-1,0,1,1),0,IF($F44&lt;OFFSET($BN$9,$CN44-1,0,1,1),IF(AND($H44&gt;2.4,Z44&lt;&gt;"e",Z44&lt;&gt;"f"),DL44*2.4/$H44,DL44),IF($F44&lt;OFFSET($BN$9,$CN44+0,0,1,1),IF(AND($H44&gt;2.4,Z44&lt;&gt;"e",Z44&lt;&gt;"f"),DL44*2.4/$H44,DL44),IF($F44&lt;OFFSET($BN$9,$CN44+1,0,1,1),IF(AND($H44&gt;2.4,Z44&lt;&gt;"e",Z44&lt;&gt;"f"),DL44*2.4/$H44,DL44),IF($F44&lt;OFFSET($BN$9,$CN44+2,0,1,1),IF(AND($H44&gt;2.4,Z44&lt;&gt;"e",Z44&lt;&gt;"f"),DL44*2.4/$H44,DL44),IF($F44&lt;OFFSET($BN$9,$CN44+3,0,1,1),IF(AND($H44&gt;2.4,Z44&lt;&gt;"e",Z44&lt;&gt;"f"),DL44*2.4/$H44,DL44),0)))))*COS(RADIANS($G44)))</f>
        <v>0</v>
      </c>
      <c r="DI44" s="51">
        <f ca="1">IF(F44&lt;OFFSET($BM$9,CN44-1,0,1,1),0,IF(F44&lt;OFFSET($BN$9,CN44-1,0,1,1),((F44-OFFSET($BM$9,CN44-1,0,1,1))*OFFSET($CI$9,CN44-1,0,1,1))+OFFSET($BP$9,CN44-1,CQ44,1,1),IF(F44&lt;OFFSET($BN$9,CN44+0,0,1,1),((F44-OFFSET($BM$9,CN44+0,0,1,1))*OFFSET($CI$9,CN44+0,0,1,1))+OFFSET($BP$9,CN44+0,CQ44,1,1),IF(F44&lt;OFFSET($BN$9,CN44+1,0,1,1),((F44-OFFSET($BM$9,CN44+1,0,1,1))*OFFSET($CI$9,CN44+1,0,1,1))+OFFSET($BP$9,CN44+1,CQ44,1,1),IF(F44&lt;OFFSET($BN$9,CN44+2,0,1,1),((F44-OFFSET($BM$9,CN44+2,0,1,1))*OFFSET($CI$9,CN44+2,0,1,1))+OFFSET($BP$9,CN44+2,CQ44,1,1),IF(F44&lt;OFFSET($BN$9,CN44+3,0,1,1),((F44-OFFSET($BM$9,CN44+3,0,1,1))*OFFSET($CI$9,CN44+3,0,1,1))+OFFSET($BP$9,CN44+3,CQ44,1,1),0))))))</f>
        <v>0</v>
      </c>
      <c r="DJ44" s="1552">
        <f ca="1">IF($F44&lt;OFFSET($BM$9,$CN44-1,0,1,1),0,IF($F44&lt;OFFSET($BN$9,$CN44-1,0,1,1),IF(AND($H44&gt;2.4,Z44&lt;&gt;"e",Z44&lt;&gt;"f"),DN44*2.4/$H44,DN44),IF($F44&lt;OFFSET($BN$9,$CN44+0,0,1,1),IF(AND($H44&gt;2.4,Z44&lt;&gt;"e",Z44&lt;&gt;"f"),DN44*2.4/$H44,DN44),IF($F44&lt;OFFSET($BN$9,$CN44+1,0,1,1),IF(AND($H44&gt;2.4,Z44&lt;&gt;"e",Z44&lt;&gt;"f"),DN44*2.4/$H44,DN44),IF($F44&lt;OFFSET($BN$9,$CN44+2,0,1,1),IF(AND($H44&gt;2.4,Z44&lt;&gt;"e",Z44&lt;&gt;"f"),DN44*2.4/$H44,DN44),IF($F44&lt;OFFSET($BN$9,$CN44+3,0,1,1),IF(AND($H44&gt;2.4,Z44&lt;&gt;"e",Z44&lt;&gt;"f"),DN44*2.4/$H44,DN44),0)))))*COS(RADIANS($G44)))</f>
        <v>0</v>
      </c>
      <c r="DK44" s="51"/>
      <c r="DL44" s="51">
        <f ca="1">IF(DG44&gt;$CR44,$CR44,DG44)</f>
        <v>0</v>
      </c>
      <c r="DM44" s="51"/>
      <c r="DN44" s="51">
        <f ca="1">IF(DI44&gt;$CR44,$CR44,DI44)</f>
        <v>0</v>
      </c>
      <c r="DO44" s="435">
        <f ca="1">IF(DH44&gt;$CR44,$CR44,DH44)</f>
        <v>0</v>
      </c>
      <c r="DP44" s="435">
        <f ca="1">DO44*F44</f>
        <v>0</v>
      </c>
      <c r="DQ44" s="436">
        <f ca="1">IF(DJ44&gt;$CR44,$CR44,DJ44)</f>
        <v>0</v>
      </c>
      <c r="DR44" s="437">
        <f ca="1">DQ44*F44</f>
        <v>0</v>
      </c>
      <c r="DS44" s="426">
        <f ca="1">OFFSET($CH$9,CL44-1,-15,1,1)</f>
        <v>0</v>
      </c>
      <c r="DT44" s="451">
        <f ca="1">VLOOKUP(DS44,Prodlink,2,0)</f>
        <v>0</v>
      </c>
      <c r="DU44" s="188">
        <f ca="1">IF(F44&lt;OFFSET($BM$9,DT44-1,0,1,1),0,IF(F44&lt;OFFSET($BN$9,DT44-1,0,1,1),((F44-OFFSET($BM$9,DT44-1,0,1,1))*OFFSET($CH$9,DT44-1,0,1,1))+OFFSET($BO$9,DT44-1,CQ44,1,1),IF(F44&lt;OFFSET($BN$9,DT44+0,0,1,1),((F44-OFFSET($BM$9,DT44+0,0,1,1))*OFFSET($CH$9,DT44+0,0,1,1))+OFFSET($BO$9,DT44+0,CQ44,1,1),IF(F44&lt;OFFSET($BN$9,DT44+1,0,1,1),((F44-OFFSET($BM$9,DT44+1,0,1,1))*OFFSET($CH$9,DT44+1,0,1,1))+OFFSET($BO$9,DT44+1,CQ44,1,1),IF(F44&lt;OFFSET($BN$9,DT44+2,0,1,1),((F44-OFFSET($BM$9,DT44+2,0,1,1))*OFFSET($CH$9,DT44+2,0,1,1))+OFFSET($BO$9,DT44+2,CQ44,1,1),IF(F44&lt;OFFSET($BN$9,DT44+3,0,1,1),((F44-OFFSET($BM$9,DT44+3,0,1,1))*OFFSET($CH$9,DT44+3,0,1,1))+OFFSET($BO$9,DT44+3,CQ44,1,1),0))))))</f>
        <v>0</v>
      </c>
      <c r="DV44" s="1552">
        <f ca="1">IF($F44&lt;OFFSET($BM$9,$DT44-1,0,1,1),0,IF($F44&lt;OFFSET($BN$9,$DT44-1,0,1,1),IF(AND($H44&gt;2.4,Z44&lt;&gt;"e",Z44&lt;&gt;"f"),DZ44*2.4/$H44,DZ44),IF($F44&lt;OFFSET($BN$9,$DT44+0,0,1,1),IF(AND($H44&gt;2.4,Z44&lt;&gt;"e",Z44&lt;&gt;"f"),DZ44*2.4/$H44,DZ44),IF($F44&lt;OFFSET($BN$9,$DT44+1,0,1,1),IF(AND($H44&gt;2.4,Z44&lt;&gt;"e",Z44&lt;&gt;"f"),DZ44*2.4/$H44,DZ44),IF($F44&lt;OFFSET($BN$9,$DT44+2,0,1,1),IF(AND($H44&gt;2.4,Z44&lt;&gt;"e",Z44&lt;&gt;"f"),DZ44*2.4/$H44,DZ44),IF($F44&lt;OFFSET($BN$9,$DT44+3,0,1,1),IF(AND($H44&gt;2.4,Z44&lt;&gt;"e",Z44&lt;&gt;"f"),DZ44*2.4/$H44,DZ44),0)))))*COS(RADIANS($G44)))</f>
        <v>0</v>
      </c>
      <c r="DW44" s="188">
        <f ca="1">IF(F44&lt;OFFSET($BM$9,DT44-1,0,1,1),0,IF(F44&lt;OFFSET($BN$9,DT44-1,0,1,1),((F44-OFFSET($BM$9,DT44-1,0,1,1))*OFFSET($CI$9,DT44-1,0,1,1))+OFFSET($BP$9,DT44-1,CQ44,1,1),IF(F44&lt;OFFSET($BN$9,DT44+0,0,1,1),((F44-OFFSET($BM$9,DT44+0,0,1,1))*OFFSET($CI$9,DT44+0,0,1,1))+OFFSET($BP$9,DT44+0,CQ44,1,1),IF(F44&lt;OFFSET($BN$9,DT44+1,0,1,1),((F44-OFFSET($BM$9,DT44+1,0,1,1))*OFFSET($CI$9,DT44+1,0,1,1))+OFFSET($BP$9,DT44+1,CQ44,1,1),IF(F44&lt;OFFSET($BN$9,DT44+2,0,1,1),((F44-OFFSET($BM$9,DT44+2,0,1,1))*OFFSET($CI$9,DT44+2,0,1,1))+OFFSET($BP$9,DT44+2,CQ44,1,1),IF(F44&lt;OFFSET($BN$9,DT44+3,0,1,1),((F44-OFFSET($BM$9,DT44+3,0,1,1))*OFFSET($CI$9,DT44+3,0,1,1))+OFFSET($BP$9,DT44+3,CQ44,1,1),0))))))</f>
        <v>0</v>
      </c>
      <c r="DX44" s="1552">
        <f ca="1">IF($F44&lt;OFFSET($BM$9,$DT44-1,0,1,1),0,IF($F44&lt;OFFSET($BN$9,$DT44-1,0,1,1),IF(AND($H44&gt;2.4,Z44&lt;&gt;"e",Z44&lt;&gt;"f"),EB44*2.4/$H44,EB44),IF($F44&lt;OFFSET($BN$9,$DT44+0,0,1,1),IF(AND($H44&gt;2.4,Z44&lt;&gt;"e",Z44&lt;&gt;"f"),EB44*2.4/$H44,EB44),IF($F44&lt;OFFSET($BN$9,$DT44+1,0,1,1),IF(AND($H44&gt;2.4,Z44&lt;&gt;"e",Z44&lt;&gt;"f"),EB44*2.4/$H44,EB44),IF($F44&lt;OFFSET($BN$9,$DT44+2,0,1,1),IF(AND($H44&gt;2.4,Z44&lt;&gt;"e",Z44&lt;&gt;"f"),EB44*2.4/$H44,EB44),IF($F44&lt;OFFSET($BN$9,$DT44+3,0,1,1),IF(AND($H44&gt;2.4,Z44&lt;&gt;"e",Z44&lt;&gt;"f"),EB44*2.4/$H44,EB44),0)))))*COS(RADIANS($G44)))</f>
        <v>0</v>
      </c>
      <c r="DY44" s="188"/>
      <c r="DZ44" s="188">
        <f ca="1">IF(DU44&gt;$CR44,$CR44,DU44)</f>
        <v>0</v>
      </c>
      <c r="EA44" s="188"/>
      <c r="EB44" s="188">
        <f ca="1">IF(DW44&gt;$CR44,$CR44,DW44)</f>
        <v>0</v>
      </c>
      <c r="EC44" s="435">
        <f ca="1">IF(DV44&gt;$CR44,$CR44,DV44)</f>
        <v>0</v>
      </c>
      <c r="ED44" s="435">
        <f ca="1">EC44*F44</f>
        <v>0</v>
      </c>
      <c r="EE44" s="436">
        <f ca="1">IF(DX44&gt;$CR44,$CR44,DX44)</f>
        <v>0</v>
      </c>
      <c r="EF44" s="437">
        <f ca="1">EE44*F44</f>
        <v>0</v>
      </c>
      <c r="EG44" s="613" t="str">
        <f>IF(D44=BG$12,BG$12,"")</f>
        <v/>
      </c>
      <c r="EH44" s="614" t="str">
        <f>IF(D44=BG$13,BG$13,"")</f>
        <v/>
      </c>
      <c r="EI44" s="611">
        <f>IF(EG44=BG$12,M44,0)</f>
        <v>0</v>
      </c>
      <c r="EJ44" s="451">
        <f>IF(EG44=BG$12,O44,0)</f>
        <v>0</v>
      </c>
      <c r="EK44" s="451">
        <f>IF(EH44=BG$13,M44,0)</f>
        <v>0</v>
      </c>
      <c r="EL44" s="612">
        <f>IF(EH44=BG$13,O44,0)</f>
        <v>0</v>
      </c>
      <c r="EM44" s="426" t="str">
        <f ca="1">IF(AND(Z44&lt;&gt;"t",Z44&lt;&gt;"f"),"",IF(AND(EN44=$BH$13,K44=$BH$12),"NotOpt",IF(K44&lt;&gt;EN44,"Error","")))</f>
        <v/>
      </c>
      <c r="EN44" s="491" t="str">
        <f>IF(AND($BH$28=1,$BG$28=1),$BH$13,$BH$12)</f>
        <v>120 BU's</v>
      </c>
      <c r="EO44" s="426" t="str">
        <f>K44</f>
        <v xml:space="preserve"> </v>
      </c>
      <c r="EP44" s="497">
        <v>1</v>
      </c>
      <c r="EQ44" s="430" t="str">
        <f ca="1">IF(EP44=1," ",OFFSET(BF$15,EP44-2,0,1,1))</f>
        <v xml:space="preserve"> </v>
      </c>
      <c r="ER44" s="439" t="str">
        <f ca="1">IF(H44=0," ",H44)</f>
        <v xml:space="preserve"> </v>
      </c>
      <c r="ES44" s="440" t="str">
        <f ca="1">IF(ER44&lt;&gt;" ",IF(ER44&lt;&gt;ER$7,"Changed",""),"")</f>
        <v/>
      </c>
      <c r="ET44" s="440">
        <f ca="1">IF(ER44&lt;&gt;" ",IF(ER44&lt;&gt;ER$7,1,0),0)</f>
        <v>0</v>
      </c>
      <c r="EU44" s="957" t="str">
        <f ca="1">IF(I44=" "," ",IF(F44&lt;OFFSET($BM$9,CL44-1,0,1,1),1,""))</f>
        <v xml:space="preserve"> </v>
      </c>
      <c r="EW44" s="427"/>
    </row>
    <row r="45" spans="1:153" ht="17.100000000000001" customHeight="1">
      <c r="A45" s="2685"/>
      <c r="B45" s="1369"/>
      <c r="C45" s="684" t="str">
        <f>IF(OR(F45=0,I45="",I45=" ")," ",$V45)</f>
        <v xml:space="preserve"> </v>
      </c>
      <c r="D45" s="1033"/>
      <c r="E45" s="1360" t="s">
        <v>8</v>
      </c>
      <c r="F45" s="202"/>
      <c r="G45" s="1416"/>
      <c r="H45" s="199" t="str">
        <f ca="1">IF(OR(F45=0,Z45="E",Z45="f")," ",'Project Demand'!E$35)</f>
        <v xml:space="preserve"> </v>
      </c>
      <c r="I45" s="631" t="str">
        <f>IF($I$6&lt;&gt;$BG$8," ",AB45)</f>
        <v xml:space="preserve"> </v>
      </c>
      <c r="J45" s="44" t="str">
        <f ca="1">IF(OR(I45=" ",I45="")," ",OFFSET($BO$9,CL45-1,0-4,1,1))</f>
        <v xml:space="preserve"> </v>
      </c>
      <c r="K45" s="55" t="str">
        <f>IF(OR(I45=" ",I45="")," ",IF(OR(Z45="e",Z45="h"),"SD",BG$24))</f>
        <v xml:space="preserve"> </v>
      </c>
      <c r="L45" s="49">
        <f ca="1">CW45</f>
        <v>0</v>
      </c>
      <c r="M45" s="49">
        <f ca="1">CY45</f>
        <v>0</v>
      </c>
      <c r="N45" s="50">
        <f t="shared" ca="1" si="26"/>
        <v>0</v>
      </c>
      <c r="O45" s="126">
        <f t="shared" ca="1" si="26"/>
        <v>0</v>
      </c>
      <c r="P45" s="140"/>
      <c r="Q45" s="752" t="str">
        <f ca="1">IF(AND(OR(Z45="t",Z45="f"),K45=$BH$11),"No Floor!  Change Floor Type",IF(OR(I45=" ",I45="")," ",IF(F45&lt;OFFSET($BM$9,CL45-1,0,1,1),"check L(m)",DE45&amp;IF(AND(DP45&gt;=CY45,DR45&gt;=DB45),IF(AND(ED45&gt;=DP45,EF45&gt;=DR45),CONCATENATE(DS45," will provide same result"),CONCATENATE(CO45," will provide same result")),IF((DP45&gt;=CY45),CONCATENATE(CO45," provides same result in WIND"),IF((DR45&gt;=DB45),CONCATENATE(CO45," provides same result in EQ"),""))))))&amp;IF(ISERROR(FIND("pile",I45,1)),"",IF(INT(F45)&lt;&gt;F45,"Pile!  Use Whole Numbers Only",""))</f>
        <v xml:space="preserve"> </v>
      </c>
      <c r="R45" s="52"/>
      <c r="S45" s="1372"/>
      <c r="T45" s="1372"/>
      <c r="U45" s="1377"/>
      <c r="V45" s="52" t="str">
        <f ca="1">IF(AND(B$5=$BF$9,OR(I45=BH$16,I45=BH$17))," ",IF(ISNUMBER(B$44),(CONCATENATE(B$44,".",W45)),(CONCATENATE(B$44,W45))))</f>
        <v>G0</v>
      </c>
      <c r="W45" s="9">
        <f ca="1">W44+X45</f>
        <v>0</v>
      </c>
      <c r="X45" s="9">
        <f>IF(AND(B$5=$BF$9,OR($I45=$BH$16,$I45=$BH$17,$I45=" ",$I45="",$F45=0)),0,IF(OR($I45=" ",$I45="",$F45=0),0,1))</f>
        <v>0</v>
      </c>
      <c r="Y45" s="896"/>
      <c r="Z45" s="52" t="str">
        <f ca="1">IF(I45=" "," ",OFFSET($BM$9,$CL45-1,8,1,1))</f>
        <v xml:space="preserve"> </v>
      </c>
      <c r="AA45" s="51" t="str">
        <f>IF(G45&gt;=45,"WA","")</f>
        <v/>
      </c>
      <c r="AB45" s="1364" t="str">
        <f>IF(F45&lt;&gt;"",IF(OR(D45=$BG$12,D45=$BG$13),IF(E45&lt;&gt;$BG$17,$BF$12,$BF$13),IF(E45&lt;&gt;$BG$17,$BF$12,$BF$13))," ")</f>
        <v xml:space="preserve"> </v>
      </c>
      <c r="AC45" s="1"/>
      <c r="AK45" s="2184" t="str">
        <f>'Custom Elements'!B6</f>
        <v>Supplier or Type</v>
      </c>
      <c r="AL45" s="2823" t="str">
        <f>'Custom Elements'!C6</f>
        <v xml:space="preserve"> Custom System Number</v>
      </c>
      <c r="AM45" s="1862" t="str">
        <f>'Custom Elements'!D6</f>
        <v>Min Length (m) or #</v>
      </c>
      <c r="AN45" s="2565" t="str">
        <f>'Custom Elements'!E6</f>
        <v>BU's/m   Wind</v>
      </c>
      <c r="AO45" s="2565" t="str">
        <f>'Custom Elements'!F6</f>
        <v>BU's/m   EQ</v>
      </c>
      <c r="AP45" s="1244"/>
      <c r="AQ45" s="1862" t="str">
        <f>'Custom Elements'!H6</f>
        <v>Single or Double Sided System</v>
      </c>
      <c r="AR45" s="1866" t="str">
        <f>'Custom Elements'!I6</f>
        <v>Height Dependant</v>
      </c>
      <c r="AS45" s="2232" t="str">
        <f>'Custom Elements'!J6</f>
        <v>Foundation Dependant</v>
      </c>
      <c r="AT45" s="1164"/>
      <c r="AU45" s="1164"/>
      <c r="AZ45" s="2232" t="s">
        <v>1102</v>
      </c>
      <c r="BD45" s="637"/>
      <c r="BF45" s="599" t="s">
        <v>8</v>
      </c>
      <c r="BI45" s="759"/>
      <c r="BJ45" s="897">
        <f t="shared" si="25"/>
        <v>37</v>
      </c>
      <c r="BK45" s="1224"/>
      <c r="BL45" s="1209"/>
      <c r="BM45" s="969">
        <f>Table!J11</f>
        <v>0.6</v>
      </c>
      <c r="BN45" s="455">
        <f t="shared" ref="BN45:BN47" si="27">BM46</f>
        <v>0.8</v>
      </c>
      <c r="BO45" s="455">
        <f>Table!K11</f>
        <v>57</v>
      </c>
      <c r="BP45" s="925">
        <f>Table!L11</f>
        <v>52</v>
      </c>
      <c r="BR45" s="1225"/>
      <c r="BS45" s="1212"/>
      <c r="BT45" s="1212"/>
      <c r="BU45" s="1226" t="s">
        <v>242</v>
      </c>
      <c r="BV45" s="895"/>
      <c r="BW45" s="603"/>
      <c r="BX45" s="1226" t="str">
        <f>Table!N11</f>
        <v>Double</v>
      </c>
      <c r="CH45" s="764">
        <f>IF(BN45=999,0,(BO46-BO45)/(BN45-BM45))</f>
        <v>4.9999999999999982</v>
      </c>
      <c r="CI45" s="925">
        <f>IF(BN45=999,0,(BP46-BP45)/(BN45-BM45))</f>
        <v>4.9999999999999982</v>
      </c>
      <c r="CJ45" s="759"/>
      <c r="CK45" s="188"/>
      <c r="CL45" s="979">
        <f>VLOOKUP(I45,Prodlink,2,0)</f>
        <v>0</v>
      </c>
      <c r="CN45" s="497">
        <f ca="1">VLOOKUP(CO45,Prodlink,2,0)</f>
        <v>0</v>
      </c>
      <c r="CO45" s="497">
        <f ca="1">OFFSET($CH$9,CL45-1,-15,1,1)</f>
        <v>0</v>
      </c>
      <c r="CQ45" s="51">
        <v>0</v>
      </c>
      <c r="CR45" s="51">
        <f>IF(K45=$BH$12,$BH$23,IF(K45=$BH$13,$BH$24,10000))</f>
        <v>10000</v>
      </c>
      <c r="CS45" s="51">
        <f ca="1">IF(F45&lt;OFFSET($BM$9,CL45-1,0,1,1),0,IF(F45&lt;OFFSET($BN$9,CL45-1,0,1,1),((F45-OFFSET($BM$9,CL45-1,0,1,1))*OFFSET($CH$9,CL45-1,0,1,1))+OFFSET($BO$9,CL45-1,CQ45,1,1),IF(F45&lt;OFFSET($BN$9,CL45+0,0,1,1),((F45-OFFSET($BM$9,CL45+0,0,1,1))*OFFSET($CH$9,CL45+0,0,1,1))+OFFSET($BO$9,CL45+0,CQ45,1,1),IF(F45&lt;OFFSET($BN$9,CL45+1,0,1,1),((F45-OFFSET($BM$9,CL45+1,0,1,1))*OFFSET($CH$9,CL45+1,0,1,1))+OFFSET($BO$9,CL45+1,CQ45,1,1),IF(F45&lt;OFFSET($BN$9,CL45+2,0,1,1),((F45-OFFSET($BM$9,CL45+2,0,1,1))*OFFSET($CH$9,CL45+2,0,1,1))+OFFSET($BO$9,CL45+2,CQ45,1,1),IF(F45&lt;OFFSET($BN$9,CL45+3,0,1,1),((F45-OFFSET($BM$9,CL45+3,0,1,1))*OFFSET($CH$9,CL45+3,0,1,1))+OFFSET($BO$9,CL45+3,CQ45,1,1),0))))))</f>
        <v>0</v>
      </c>
      <c r="CT45" s="51">
        <f ca="1">IF($F45&lt;OFFSET($BM$9,$CL45-1,0,1,1),0,IF($F45&lt;OFFSET($BN$9,$CL45-1,0,1,1),IF(AND($H45&gt;2.4,Z45&lt;&gt;"e",Z45&lt;&gt;"f"),CX45*2.4/$H45,CX45),IF($F45&lt;OFFSET($BN$9,$CL45+0,0,1,1),IF(AND($H45&gt;2.4,Z45&lt;&gt;"e",Z45&lt;&gt;"f"),CX45*2.4/$H45,CX45),IF($F45&lt;OFFSET($BN$9,$CL45+1,0,1,1),IF(AND($H45&gt;2.4,Z45&lt;&gt;"e",Z45&lt;&gt;"f"),CX45*2.4/$H45,CX45),IF($F45&lt;OFFSET($BN$9,CL45+2,0,1,1),IF(AND($H45&gt;2.4,Z45&lt;&gt;"e",Z45&lt;&gt;"f"),CX45*2.4/$H45,CX45),IF($F45&lt;OFFSET($BN$9,CL45+3,0,1,1),IF(AND($H45&gt;2.4,Z45&lt;&gt;"e",Z45&lt;&gt;"f"),CX45*2.4/$H45,CX45),0)))))*COS(RADIANS($G45)))</f>
        <v>0</v>
      </c>
      <c r="CU45" s="51">
        <f ca="1">IF(F45&lt;OFFSET($BM$9,CL45-1,0,1,1),0,IF(F45&lt;OFFSET($BN$9,CL45-1,0,1,1),((F45-OFFSET($BM$9,CL45-1,0,1,1))*OFFSET($CI$9,CL45-1,0,1,1))+OFFSET($BP$9,CL45-1,CQ45,1,1),IF(F45&lt;OFFSET($BN$9,CL45+0,0,1,1),((F45-OFFSET($BM$9,CL45+0,0,1,1))*OFFSET($CI$9,CL45+0,0,1,1))+OFFSET($BP$9,CL45+0,CQ45,1,1),IF(F45&lt;OFFSET($BN$9,CL45+1,0,1,1),((F45-OFFSET($BM$9,CL45+1,0,1,1))*OFFSET($CI$9,CL45+1,0,1,1))+OFFSET($BP$9,CL45+1,CQ45,1,1),IF(F45&lt;OFFSET($BN$9,CL45+2,0,1,1),((F45-OFFSET($BM$9,CL45+2,0,1,1))*OFFSET($CI$9,CL45+2,0,1,1))+OFFSET($BP$9,CL45+2,CQ45,1,1),IF(F45&lt;OFFSET($BN$9,CL45+3,0,1,1),((F45-OFFSET($BM$9,CL45+3,0,1,1))*OFFSET($CI$9,CL45+3,0,1,1))+OFFSET($BP$9,CL45+3,CQ45,1,1),0))))))</f>
        <v>0</v>
      </c>
      <c r="CV45" s="51">
        <f ca="1">IF($F45&lt;OFFSET($BM$9,$CL45-1,0,1,1),0,IF($F45&lt;OFFSET($BN$9,$CL45-1,0,1,1),IF(AND($H45&gt;2.4,Z45&lt;&gt;"e",Z45&lt;&gt;"f"),CZ45*2.4/$H45,CZ45),IF($F45&lt;OFFSET($BN$9,$CL45+0,0,1,1),IF(AND($H45&gt;2.4,Z45&lt;&gt;"e",Z45&lt;&gt;"f"),CZ45*2.4/$H45,CZ45),IF($F45&lt;OFFSET($BN$9,$CL45+1,0,1,1),IF(AND($H45&gt;2.4,Z45&lt;&gt;"e",Z45&lt;&gt;"f"),CZ45*2.4/$H45,CZ45),IF($F45&lt;OFFSET($BN$9,$CL45+2,0,1,1),IF(AND($H45&gt;2.4,Z45&lt;&gt;"e",Z45&lt;&gt;"f"),CZ45*2.4/$H45,CZ45),IF($F45&lt;OFFSET($BN$9,$CL45+3,0,1,1),IF(AND($H45&gt;2.4,Z45&lt;&gt;"e",Z45&lt;&gt;"f"),CZ45*2.4/$H45,CZ45),0)))))*COS(RADIANS($G45)))</f>
        <v>0</v>
      </c>
      <c r="CW45" s="51">
        <f ca="1">IF(CT45&gt;CR45,CR45,CT45)</f>
        <v>0</v>
      </c>
      <c r="CX45" s="51">
        <f ca="1">IF(CS45&gt;$CR45,$CR45,CS45)</f>
        <v>0</v>
      </c>
      <c r="CY45" s="51">
        <f ca="1">CW45*F45</f>
        <v>0</v>
      </c>
      <c r="CZ45" s="51">
        <f ca="1">IF($CU45&gt;$CR45,$CR45,$CU45)</f>
        <v>0</v>
      </c>
      <c r="DA45" s="51">
        <f ca="1">IF(CV45&gt;CR45,CR45,CV45)</f>
        <v>0</v>
      </c>
      <c r="DB45" s="984">
        <f ca="1">DA45*F45</f>
        <v>0</v>
      </c>
      <c r="DC45" s="993">
        <v>1</v>
      </c>
      <c r="DD45" s="758" t="str">
        <f>IF(OR(D45=BG$12,D45=BG$13),"External",IF(D45=BG$14,"Internal"," "))</f>
        <v xml:space="preserve"> </v>
      </c>
      <c r="DE45" s="51" t="str">
        <f t="shared" ca="1" si="1"/>
        <v/>
      </c>
      <c r="DF45" s="52" t="str">
        <f t="shared" ca="1" si="2"/>
        <v xml:space="preserve"> </v>
      </c>
      <c r="DG45" s="51">
        <f ca="1">IF(F45&lt;OFFSET($BM$9,CN45-1,0,1,1),0,IF(F45&lt;OFFSET($BN$9,CN45-1,0,1,1),((F45-OFFSET($BM$9,CN45-1,0,1,1))*OFFSET($CH$9,CN45-1,0,1,1))+OFFSET($BO$9,CN45-1,CQ45,1,1),IF(F45&lt;OFFSET($BN$9,CN45+0,0,1,1),((F45-OFFSET($BM$9,CN45+0,0,1,1))*OFFSET($CH$9,CN45+0,0,1,1))+OFFSET($BO$9,CN45+0,CQ45,1,1),IF(F45&lt;OFFSET($BN$9,CN45+1,0,1,1),((F45-OFFSET($BM$9,CN45+1,0,1,1))*OFFSET($CH$9,CN45+1,0,1,1))+OFFSET($BO$9,CN45+1,CQ45,1,1),IF(F45&lt;OFFSET($BN$9,CN45+2,0,1,1),((F45-OFFSET($BM$9,CN45+2,0,1,1))*OFFSET($CH$9,CN45+2,0,1,1))+OFFSET($BO$9,CN45+2,CQ45,1,1),IF(F45&lt;OFFSET($BN$9,CN45+3,0,1,1),((F45-OFFSET($BM$9,CN45+3,0,1,1))*OFFSET($CH$9,CN45+3,0,1,1))+OFFSET($BO$9,CN45+3,CQ45,1,1),0))))))</f>
        <v>0</v>
      </c>
      <c r="DH45" s="51">
        <f ca="1">IF($F45&lt;OFFSET($BM$9,$CN45-1,0,1,1),0,IF($F45&lt;OFFSET($BN$9,$CN45-1,0,1,1),IF(AND($H45&gt;2.4,Z45&lt;&gt;"e",Z45&lt;&gt;"f"),DL45*2.4/$H45,DL45),IF($F45&lt;OFFSET($BN$9,$CN45+0,0,1,1),IF(AND($H45&gt;2.4,Z45&lt;&gt;"e",Z45&lt;&gt;"f"),DL45*2.4/$H45,DL45),IF($F45&lt;OFFSET($BN$9,$CN45+1,0,1,1),IF(AND($H45&gt;2.4,Z45&lt;&gt;"e",Z45&lt;&gt;"f"),DL45*2.4/$H45,DL45),IF($F45&lt;OFFSET($BN$9,$CN45+2,0,1,1),IF(AND($H45&gt;2.4,Z45&lt;&gt;"e",Z45&lt;&gt;"f"),DL45*2.4/$H45,DL45),IF($F45&lt;OFFSET($BN$9,$CN45+3,0,1,1),IF(AND($H45&gt;2.4,Z45&lt;&gt;"e",Z45&lt;&gt;"f"),DL45*2.4/$H45,DL45),0)))))*COS(RADIANS($G45)))</f>
        <v>0</v>
      </c>
      <c r="DI45" s="51">
        <f ca="1">IF(F45&lt;OFFSET($BM$9,CN45-1,0,1,1),0,IF(F45&lt;OFFSET($BN$9,CN45-1,0,1,1),((F45-OFFSET($BM$9,CN45-1,0,1,1))*OFFSET($CI$9,CN45-1,0,1,1))+OFFSET($BP$9,CN45-1,CQ45,1,1),IF(F45&lt;OFFSET($BN$9,CN45+0,0,1,1),((F45-OFFSET($BM$9,CN45+0,0,1,1))*OFFSET($CI$9,CN45+0,0,1,1))+OFFSET($BP$9,CN45+0,CQ45,1,1),IF(F45&lt;OFFSET($BN$9,CN45+1,0,1,1),((F45-OFFSET($BM$9,CN45+1,0,1,1))*OFFSET($CI$9,CN45+1,0,1,1))+OFFSET($BP$9,CN45+1,CQ45,1,1),IF(F45&lt;OFFSET($BN$9,CN45+2,0,1,1),((F45-OFFSET($BM$9,CN45+2,0,1,1))*OFFSET($CI$9,CN45+2,0,1,1))+OFFSET($BP$9,CN45+2,CQ45,1,1),IF(F45&lt;OFFSET($BN$9,CN45+3,0,1,1),((F45-OFFSET($BM$9,CN45+3,0,1,1))*OFFSET($CI$9,CN45+3,0,1,1))+OFFSET($BP$9,CN45+3,CQ45,1,1),0))))))</f>
        <v>0</v>
      </c>
      <c r="DJ45" s="51">
        <f ca="1">IF($F45&lt;OFFSET($BM$9,$CN45-1,0,1,1),0,IF($F45&lt;OFFSET($BN$9,$CN45-1,0,1,1),IF(AND($H45&gt;2.4,Z45&lt;&gt;"e",Z45&lt;&gt;"f"),DN45*2.4/$H45,DN45),IF($F45&lt;OFFSET($BN$9,$CN45+0,0,1,1),IF(AND($H45&gt;2.4,Z45&lt;&gt;"e",Z45&lt;&gt;"f"),DN45*2.4/$H45,DN45),IF($F45&lt;OFFSET($BN$9,$CN45+1,0,1,1),IF(AND($H45&gt;2.4,Z45&lt;&gt;"e",Z45&lt;&gt;"f"),DN45*2.4/$H45,DN45),IF($F45&lt;OFFSET($BN$9,$CN45+2,0,1,1),IF(AND($H45&gt;2.4,Z45&lt;&gt;"e",Z45&lt;&gt;"f"),DN45*2.4/$H45,DN45),IF($F45&lt;OFFSET($BN$9,$CN45+3,0,1,1),IF(AND($H45&gt;2.4,Z45&lt;&gt;"e",Z45&lt;&gt;"f"),DN45*2.4/$H45,DN45),0)))))*COS(RADIANS($G45)))</f>
        <v>0</v>
      </c>
      <c r="DK45" s="51"/>
      <c r="DL45" s="51">
        <f ca="1">IF(DG45&gt;$CR45,$CR45,DG45)</f>
        <v>0</v>
      </c>
      <c r="DM45" s="51"/>
      <c r="DN45" s="51">
        <f ca="1">IF(DI45&gt;$CR45,$CR45,DI45)</f>
        <v>0</v>
      </c>
      <c r="DO45" s="435">
        <f ca="1">IF(DH45&gt;$CR45,$CR45,DH45)</f>
        <v>0</v>
      </c>
      <c r="DP45" s="435">
        <f ca="1">DO45*F45</f>
        <v>0</v>
      </c>
      <c r="DQ45" s="436">
        <f ca="1">IF(DJ45&gt;$CR45,$CR45,DJ45)</f>
        <v>0</v>
      </c>
      <c r="DR45" s="437">
        <f ca="1">DQ45*F45</f>
        <v>0</v>
      </c>
      <c r="DS45" s="426">
        <f ca="1">OFFSET($CH$9,CL45-1,-15,1,1)</f>
        <v>0</v>
      </c>
      <c r="DT45" s="451">
        <f ca="1">VLOOKUP(DS45,Prodlink,2,0)</f>
        <v>0</v>
      </c>
      <c r="DU45" s="188">
        <f ca="1">IF(F45&lt;OFFSET($BM$9,DT45-1,0,1,1),0,IF(F45&lt;OFFSET($BN$9,DT45-1,0,1,1),((F45-OFFSET($BM$9,DT45-1,0,1,1))*OFFSET($CH$9,DT45-1,0,1,1))+OFFSET($BO$9,DT45-1,CQ45,1,1),IF(F45&lt;OFFSET($BN$9,DT45+0,0,1,1),((F45-OFFSET($BM$9,DT45+0,0,1,1))*OFFSET($CH$9,DT45+0,0,1,1))+OFFSET($BO$9,DT45+0,CQ45,1,1),IF(F45&lt;OFFSET($BN$9,DT45+1,0,1,1),((F45-OFFSET($BM$9,DT45+1,0,1,1))*OFFSET($CH$9,DT45+1,0,1,1))+OFFSET($BO$9,DT45+1,CQ45,1,1),IF(F45&lt;OFFSET($BN$9,DT45+2,0,1,1),((F45-OFFSET($BM$9,DT45+2,0,1,1))*OFFSET($CH$9,DT45+2,0,1,1))+OFFSET($BO$9,DT45+2,CQ45,1,1),IF(F45&lt;OFFSET($BN$9,DT45+3,0,1,1),((F45-OFFSET($BM$9,DT45+3,0,1,1))*OFFSET($CH$9,DT45+3,0,1,1))+OFFSET($BO$9,DT45+3,CQ45,1,1),0))))))</f>
        <v>0</v>
      </c>
      <c r="DV45" s="51">
        <f ca="1">IF($F45&lt;OFFSET($BM$9,$DT45-1,0,1,1),0,IF($F45&lt;OFFSET($BN$9,$DT45-1,0,1,1),IF(AND($H45&gt;2.4,Z45&lt;&gt;"e",Z45&lt;&gt;"f"),DZ45*2.4/$H45,DZ45),IF($F45&lt;OFFSET($BN$9,$DT45+0,0,1,1),IF(AND($H45&gt;2.4,Z45&lt;&gt;"e",Z45&lt;&gt;"f"),DZ45*2.4/$H45,DZ45),IF($F45&lt;OFFSET($BN$9,$DT45+1,0,1,1),IF(AND($H45&gt;2.4,Z45&lt;&gt;"e",Z45&lt;&gt;"f"),DZ45*2.4/$H45,DZ45),IF($F45&lt;OFFSET($BN$9,$DT45+2,0,1,1),IF(AND($H45&gt;2.4,Z45&lt;&gt;"e",Z45&lt;&gt;"f"),DZ45*2.4/$H45,DZ45),IF($F45&lt;OFFSET($BN$9,$DT45+3,0,1,1),IF(AND($H45&gt;2.4,Z45&lt;&gt;"e",Z45&lt;&gt;"f"),DZ45*2.4/$H45,DZ45),0)))))*COS(RADIANS($G45)))</f>
        <v>0</v>
      </c>
      <c r="DW45" s="51">
        <f ca="1">IF(F45&lt;OFFSET($BM$9,DT45-1,0,1,1),0,IF(F45&lt;OFFSET($BN$9,DT45-1,0,1,1),((F45-OFFSET($BM$9,DT45-1,0,1,1))*OFFSET($CI$9,DT45-1,0,1,1))+OFFSET($BP$9,DT45-1,CQ45,1,1),IF(F45&lt;OFFSET($BN$9,DT45+0,0,1,1),((F45-OFFSET($BM$9,DT45+0,0,1,1))*OFFSET($CI$9,DT45+0,0,1,1))+OFFSET($BP$9,DT45+0,CQ45,1,1),IF(F45&lt;OFFSET($BN$9,DT45+1,0,1,1),((F45-OFFSET($BM$9,DT45+1,0,1,1))*OFFSET($CI$9,DT45+1,0,1,1))+OFFSET($BP$9,DT45+1,CQ45,1,1),IF(F45&lt;OFFSET($BN$9,DT45+2,0,1,1),((F45-OFFSET($BM$9,DT45+2,0,1,1))*OFFSET($CI$9,DT45+2,0,1,1))+OFFSET($BP$9,DT45+2,CQ45,1,1),IF(F45&lt;OFFSET($BN$9,DT45+3,0,1,1),((F45-OFFSET($BM$9,DT45+3,0,1,1))*OFFSET($CI$9,DT45+3,0,1,1))+OFFSET($BP$9,DT45+3,CQ45,1,1),0))))))</f>
        <v>0</v>
      </c>
      <c r="DX45" s="51">
        <f ca="1">IF($F45&lt;OFFSET($BM$9,$DT45-1,0,1,1),0,IF($F45&lt;OFFSET($BN$9,$DT45-1,0,1,1),IF(AND($H45&gt;2.4,Z45&lt;&gt;"e",Z45&lt;&gt;"f"),EB45*2.4/$H45,EB45),IF($F45&lt;OFFSET($BN$9,$DT45+0,0,1,1),IF(AND($H45&gt;2.4,Z45&lt;&gt;"e",Z45&lt;&gt;"f"),EB45*2.4/$H45,EB45),IF($F45&lt;OFFSET($BN$9,$DT45+1,0,1,1),IF(AND($H45&gt;2.4,Z45&lt;&gt;"e",Z45&lt;&gt;"f"),EB45*2.4/$H45,EB45),IF($F45&lt;OFFSET($BN$9,$DT45+2,0,1,1),IF(AND($H45&gt;2.4,Z45&lt;&gt;"e",Z45&lt;&gt;"f"),EB45*2.4/$H45,EB45),IF($F45&lt;OFFSET($BN$9,$DT45+3,0,1,1),IF(AND($H45&gt;2.4,Z45&lt;&gt;"e",Z45&lt;&gt;"f"),EB45*2.4/$H45,EB45),0)))))*COS(RADIANS($G45)))</f>
        <v>0</v>
      </c>
      <c r="DY45" s="188"/>
      <c r="DZ45" s="188">
        <f ca="1">IF(DU45&gt;$CR45,$CR45,DU45)</f>
        <v>0</v>
      </c>
      <c r="EA45" s="188"/>
      <c r="EB45" s="188">
        <f ca="1">IF(DW45&gt;$CR45,$CR45,DW45)</f>
        <v>0</v>
      </c>
      <c r="EC45" s="435">
        <f ca="1">IF(DV45&gt;$CR45,$CR45,DV45)</f>
        <v>0</v>
      </c>
      <c r="ED45" s="435">
        <f ca="1">EC45*F45</f>
        <v>0</v>
      </c>
      <c r="EE45" s="436">
        <f ca="1">IF(DX45&gt;$CR45,$CR45,DX45)</f>
        <v>0</v>
      </c>
      <c r="EF45" s="437">
        <f ca="1">EE45*F45</f>
        <v>0</v>
      </c>
      <c r="EG45" s="613" t="str">
        <f>IF(D45=BG$12,BG$12,"")</f>
        <v/>
      </c>
      <c r="EH45" s="614" t="str">
        <f>IF(D45=BG$13,BG$13,"")</f>
        <v/>
      </c>
      <c r="EI45" s="611">
        <f>IF(EG45=BG$12,M45,0)</f>
        <v>0</v>
      </c>
      <c r="EJ45" s="451">
        <f>IF(EG45=BG$12,O45,0)</f>
        <v>0</v>
      </c>
      <c r="EK45" s="451">
        <f>IF(EH45=BG$13,M45,0)</f>
        <v>0</v>
      </c>
      <c r="EL45" s="612">
        <f>IF(EH45=BG$13,O45,0)</f>
        <v>0</v>
      </c>
      <c r="EM45" s="426" t="str">
        <f ca="1">IF(AND(Z45&lt;&gt;"t",Z45&lt;&gt;"f"),"",IF(AND(EN45=$BH$13,K45=$BH$12),"NotOpt",IF(K45&lt;&gt;EN45,"Error","")))</f>
        <v/>
      </c>
      <c r="EN45" s="491" t="str">
        <f>IF(AND($BH$28=1,$BG$28=1),$BH$13,$BH$12)</f>
        <v>120 BU's</v>
      </c>
      <c r="EO45" s="426" t="str">
        <f>K45</f>
        <v xml:space="preserve"> </v>
      </c>
      <c r="EP45" s="497">
        <v>1</v>
      </c>
      <c r="EQ45" s="430" t="str">
        <f ca="1">IF(EP45=1," ",OFFSET(BF$15,EP45-2,0,1,1))</f>
        <v xml:space="preserve"> </v>
      </c>
      <c r="ER45" s="439" t="str">
        <f ca="1">IF(H45=0," ",H45)</f>
        <v xml:space="preserve"> </v>
      </c>
      <c r="ES45" s="440" t="str">
        <f ca="1">IF(ER45&lt;&gt;" ",IF(ER45&lt;&gt;ER$7,"Changed",""),"")</f>
        <v/>
      </c>
      <c r="ET45" s="440">
        <f ca="1">IF(ER45&lt;&gt;" ",IF(ER45&lt;&gt;ER$7,1,0),0)</f>
        <v>0</v>
      </c>
      <c r="EU45" s="957" t="str">
        <f ca="1">IF(I45=" "," ",IF(F45&lt;OFFSET($BM$9,CL45-1,0,1,1),1,""))</f>
        <v xml:space="preserve"> </v>
      </c>
      <c r="EW45" s="427"/>
    </row>
    <row r="46" spans="1:153" ht="17.100000000000001" customHeight="1">
      <c r="A46" s="2685"/>
      <c r="B46" s="689" t="s">
        <v>246</v>
      </c>
      <c r="C46" s="684" t="str">
        <f>IF(OR(F46=0,I46="",I46=" ")," ",$V46)</f>
        <v xml:space="preserve"> </v>
      </c>
      <c r="D46" s="1033"/>
      <c r="E46" s="1360"/>
      <c r="F46" s="202"/>
      <c r="G46" s="1416"/>
      <c r="H46" s="199" t="str">
        <f ca="1">IF(OR(F46=0,Z46="E",Z46="f")," ",'Project Demand'!E$35)</f>
        <v xml:space="preserve"> </v>
      </c>
      <c r="I46" s="631" t="str">
        <f>IF($I$6&lt;&gt;$BG$8," ",AB46)</f>
        <v xml:space="preserve"> </v>
      </c>
      <c r="J46" s="44" t="str">
        <f ca="1">IF(OR(I46=" ",I46="")," ",OFFSET($BO$9,CL46-1,0-4,1,1))</f>
        <v xml:space="preserve"> </v>
      </c>
      <c r="K46" s="55" t="str">
        <f>IF(OR(I46=" ",I46="")," ",IF(OR(Z46="e",Z46="h"),"SD",BG$24))</f>
        <v xml:space="preserve"> </v>
      </c>
      <c r="L46" s="49">
        <f ca="1">CW46</f>
        <v>0</v>
      </c>
      <c r="M46" s="49">
        <f ca="1">CY46</f>
        <v>0</v>
      </c>
      <c r="N46" s="50">
        <f t="shared" ca="1" si="26"/>
        <v>0</v>
      </c>
      <c r="O46" s="126">
        <f t="shared" ca="1" si="26"/>
        <v>0</v>
      </c>
      <c r="P46" s="140"/>
      <c r="Q46" s="752" t="str">
        <f ca="1">IF(AND(OR(Z46="t",Z46="f"),K46=$BH$11),"No Floor!  Change Floor Type",IF(OR(I46=" ",I46="")," ",IF(F46&lt;OFFSET($BM$9,CL46-1,0,1,1),"check L(m)",DE46&amp;IF(AND(DP46&gt;=CY46,DR46&gt;=DB46),IF(AND(ED46&gt;=DP46,EF46&gt;=DR46),CONCATENATE(DS46," will provide same result"),CONCATENATE(CO46," will provide same result")),IF((DP46&gt;=CY46),CONCATENATE(CO46," provides same result in WIND"),IF((DR46&gt;=DB46),CONCATENATE(CO46," provides same result in EQ"),""))))))&amp;IF(ISERROR(FIND("pile",I46,1)),"",IF(INT(F46)&lt;&gt;F46,"Pile!  Use Whole Numbers Only",""))</f>
        <v xml:space="preserve"> </v>
      </c>
      <c r="R46" s="52"/>
      <c r="S46" s="1372"/>
      <c r="T46" s="1372"/>
      <c r="U46" s="1377"/>
      <c r="V46" s="52" t="str">
        <f ca="1">IF(AND(B$5=$BF$9,OR(I46=BH$16,I46=BH$17))," ",IF(ISNUMBER(B$44),(CONCATENATE(B$44,".",W46)),(CONCATENATE(B$44,W46))))</f>
        <v>G0</v>
      </c>
      <c r="W46" s="9">
        <f ca="1">W45+X46</f>
        <v>0</v>
      </c>
      <c r="X46" s="9">
        <f>IF(AND(B$5=$BF$9,OR($I46=$BH$16,$I46=$BH$17,$I46=" ",$I46="",$F46=0)),0,IF(OR($I46=" ",$I46="",$F46=0),0,1))</f>
        <v>0</v>
      </c>
      <c r="Y46" s="896"/>
      <c r="Z46" s="52" t="str">
        <f ca="1">IF(I46=" "," ",OFFSET($BM$9,$CL46-1,8,1,1))</f>
        <v xml:space="preserve"> </v>
      </c>
      <c r="AA46" s="51" t="str">
        <f>IF(G46&gt;=45,"WA","")</f>
        <v/>
      </c>
      <c r="AB46" s="1364" t="str">
        <f>IF(F46&lt;&gt;"",IF(OR(D46=$BG$12,D46=$BG$13),IF(E46&lt;&gt;$BG$17,$BF$12,$BF$13),IF(E46&lt;&gt;$BG$17,$BF$12,$BF$13))," ")</f>
        <v xml:space="preserve"> </v>
      </c>
      <c r="AC46" s="1"/>
      <c r="AK46" s="2185"/>
      <c r="AL46" s="2246"/>
      <c r="AM46" s="1863"/>
      <c r="AN46" s="2252"/>
      <c r="AO46" s="2252"/>
      <c r="AP46" s="1244"/>
      <c r="AQ46" s="1863"/>
      <c r="AR46" s="2218"/>
      <c r="AS46" s="2233"/>
      <c r="AT46" s="1164"/>
      <c r="AU46" s="1164"/>
      <c r="AZ46" s="2233"/>
      <c r="BD46" s="637"/>
      <c r="BI46" s="759"/>
      <c r="BJ46" s="897">
        <f t="shared" si="25"/>
        <v>38</v>
      </c>
      <c r="BK46" s="1224"/>
      <c r="BL46" s="1209"/>
      <c r="BM46" s="969">
        <f>Table!J12</f>
        <v>0.8</v>
      </c>
      <c r="BN46" s="455">
        <f t="shared" si="27"/>
        <v>1</v>
      </c>
      <c r="BO46" s="455">
        <f>Table!K12</f>
        <v>58</v>
      </c>
      <c r="BP46" s="925">
        <f>Table!L12</f>
        <v>53</v>
      </c>
      <c r="BR46" s="1225"/>
      <c r="BS46" s="1212"/>
      <c r="BT46" s="1212"/>
      <c r="BU46" s="1226" t="s">
        <v>242</v>
      </c>
      <c r="BV46" s="895"/>
      <c r="BW46" s="603"/>
      <c r="BX46" s="1226" t="str">
        <f>Table!N11</f>
        <v>Double</v>
      </c>
      <c r="CH46" s="764">
        <f>IF(BN46=999,0,(BO47-BO46)/(BN46-BM46))</f>
        <v>5.0000000000000009</v>
      </c>
      <c r="CI46" s="925">
        <f>IF(BN46=999,0,(BP47-BP46)/(BN46-BM46))</f>
        <v>5.0000000000000009</v>
      </c>
      <c r="CJ46" s="759"/>
      <c r="CK46" s="188"/>
      <c r="CL46" s="979">
        <f>VLOOKUP(I46,Prodlink,2,0)</f>
        <v>0</v>
      </c>
      <c r="CN46" s="497">
        <f ca="1">VLOOKUP(CO46,Prodlink,2,0)</f>
        <v>0</v>
      </c>
      <c r="CO46" s="497">
        <f ca="1">OFFSET($CH$9,CL46-1,-15,1,1)</f>
        <v>0</v>
      </c>
      <c r="CQ46" s="51">
        <v>0</v>
      </c>
      <c r="CR46" s="51">
        <f>IF(K46=$BH$12,$BH$23,IF(K46=$BH$13,$BH$24,10000))</f>
        <v>10000</v>
      </c>
      <c r="CS46" s="51">
        <f ca="1">IF(F46&lt;OFFSET($BM$9,CL46-1,0,1,1),0,IF(F46&lt;OFFSET($BN$9,CL46-1,0,1,1),((F46-OFFSET($BM$9,CL46-1,0,1,1))*OFFSET($CH$9,CL46-1,0,1,1))+OFFSET($BO$9,CL46-1,CQ46,1,1),IF(F46&lt;OFFSET($BN$9,CL46+0,0,1,1),((F46-OFFSET($BM$9,CL46+0,0,1,1))*OFFSET($CH$9,CL46+0,0,1,1))+OFFSET($BO$9,CL46+0,CQ46,1,1),IF(F46&lt;OFFSET($BN$9,CL46+1,0,1,1),((F46-OFFSET($BM$9,CL46+1,0,1,1))*OFFSET($CH$9,CL46+1,0,1,1))+OFFSET($BO$9,CL46+1,CQ46,1,1),IF(F46&lt;OFFSET($BN$9,CL46+2,0,1,1),((F46-OFFSET($BM$9,CL46+2,0,1,1))*OFFSET($CH$9,CL46+2,0,1,1))+OFFSET($BO$9,CL46+2,CQ46,1,1),IF(F46&lt;OFFSET($BN$9,CL46+3,0,1,1),((F46-OFFSET($BM$9,CL46+3,0,1,1))*OFFSET($CH$9,CL46+3,0,1,1))+OFFSET($BO$9,CL46+3,CQ46,1,1),0))))))</f>
        <v>0</v>
      </c>
      <c r="CT46" s="51">
        <f ca="1">IF($F46&lt;OFFSET($BM$9,$CL46-1,0,1,1),0,IF($F46&lt;OFFSET($BN$9,$CL46-1,0,1,1),IF(AND($H46&gt;2.4,Z46&lt;&gt;"e",Z46&lt;&gt;"f"),CX46*2.4/$H46,CX46),IF($F46&lt;OFFSET($BN$9,$CL46+0,0,1,1),IF(AND($H46&gt;2.4,Z46&lt;&gt;"e",Z46&lt;&gt;"f"),CX46*2.4/$H46,CX46),IF($F46&lt;OFFSET($BN$9,$CL46+1,0,1,1),IF(AND($H46&gt;2.4,Z46&lt;&gt;"e",Z46&lt;&gt;"f"),CX46*2.4/$H46,CX46),IF($F46&lt;OFFSET($BN$9,CL46+2,0,1,1),IF(AND($H46&gt;2.4,Z46&lt;&gt;"e",Z46&lt;&gt;"f"),CX46*2.4/$H46,CX46),IF($F46&lt;OFFSET($BN$9,CL46+3,0,1,1),IF(AND($H46&gt;2.4,Z46&lt;&gt;"e",Z46&lt;&gt;"f"),CX46*2.4/$H46,CX46),0)))))*COS(RADIANS($G46)))</f>
        <v>0</v>
      </c>
      <c r="CU46" s="51">
        <f ca="1">IF(F46&lt;OFFSET($BM$9,CL46-1,0,1,1),0,IF(F46&lt;OFFSET($BN$9,CL46-1,0,1,1),((F46-OFFSET($BM$9,CL46-1,0,1,1))*OFFSET($CI$9,CL46-1,0,1,1))+OFFSET($BP$9,CL46-1,CQ46,1,1),IF(F46&lt;OFFSET($BN$9,CL46+0,0,1,1),((F46-OFFSET($BM$9,CL46+0,0,1,1))*OFFSET($CI$9,CL46+0,0,1,1))+OFFSET($BP$9,CL46+0,CQ46,1,1),IF(F46&lt;OFFSET($BN$9,CL46+1,0,1,1),((F46-OFFSET($BM$9,CL46+1,0,1,1))*OFFSET($CI$9,CL46+1,0,1,1))+OFFSET($BP$9,CL46+1,CQ46,1,1),IF(F46&lt;OFFSET($BN$9,CL46+2,0,1,1),((F46-OFFSET($BM$9,CL46+2,0,1,1))*OFFSET($CI$9,CL46+2,0,1,1))+OFFSET($BP$9,CL46+2,CQ46,1,1),IF(F46&lt;OFFSET($BN$9,CL46+3,0,1,1),((F46-OFFSET($BM$9,CL46+3,0,1,1))*OFFSET($CI$9,CL46+3,0,1,1))+OFFSET($BP$9,CL46+3,CQ46,1,1),0))))))</f>
        <v>0</v>
      </c>
      <c r="CV46" s="51">
        <f ca="1">IF($F46&lt;OFFSET($BM$9,$CL46-1,0,1,1),0,IF($F46&lt;OFFSET($BN$9,$CL46-1,0,1,1),IF(AND($H46&gt;2.4,Z46&lt;&gt;"e",Z46&lt;&gt;"f"),CZ46*2.4/$H46,CZ46),IF($F46&lt;OFFSET($BN$9,$CL46+0,0,1,1),IF(AND($H46&gt;2.4,Z46&lt;&gt;"e",Z46&lt;&gt;"f"),CZ46*2.4/$H46,CZ46),IF($F46&lt;OFFSET($BN$9,$CL46+1,0,1,1),IF(AND($H46&gt;2.4,Z46&lt;&gt;"e",Z46&lt;&gt;"f"),CZ46*2.4/$H46,CZ46),IF($F46&lt;OFFSET($BN$9,$CL46+2,0,1,1),IF(AND($H46&gt;2.4,Z46&lt;&gt;"e",Z46&lt;&gt;"f"),CZ46*2.4/$H46,CZ46),IF($F46&lt;OFFSET($BN$9,$CL46+3,0,1,1),IF(AND($H46&gt;2.4,Z46&lt;&gt;"e",Z46&lt;&gt;"f"),CZ46*2.4/$H46,CZ46),0)))))*COS(RADIANS($G46)))</f>
        <v>0</v>
      </c>
      <c r="CW46" s="51">
        <f ca="1">IF(CT46&gt;CR46,CR46,CT46)</f>
        <v>0</v>
      </c>
      <c r="CX46" s="51">
        <f ca="1">IF(CS46&gt;$CR46,$CR46,CS46)</f>
        <v>0</v>
      </c>
      <c r="CY46" s="51">
        <f ca="1">CW46*F46</f>
        <v>0</v>
      </c>
      <c r="CZ46" s="51">
        <f ca="1">IF($CU46&gt;$CR46,$CR46,$CU46)</f>
        <v>0</v>
      </c>
      <c r="DA46" s="51">
        <f ca="1">IF(CV46&gt;CR46,CR46,CV46)</f>
        <v>0</v>
      </c>
      <c r="DB46" s="984">
        <f ca="1">DA46*F46</f>
        <v>0</v>
      </c>
      <c r="DC46" s="993">
        <v>1</v>
      </c>
      <c r="DD46" s="758" t="str">
        <f>IF(OR(D46=BG$12,D46=BG$13),"External",IF(D46=BG$14,"Internal"," "))</f>
        <v xml:space="preserve"> </v>
      </c>
      <c r="DE46" s="51" t="str">
        <f t="shared" ca="1" si="1"/>
        <v/>
      </c>
      <c r="DF46" s="52" t="str">
        <f t="shared" ca="1" si="2"/>
        <v xml:space="preserve"> </v>
      </c>
      <c r="DG46" s="51">
        <f ca="1">IF(F46&lt;OFFSET($BM$9,CN46-1,0,1,1),0,IF(F46&lt;OFFSET($BN$9,CN46-1,0,1,1),((F46-OFFSET($BM$9,CN46-1,0,1,1))*OFFSET($CH$9,CN46-1,0,1,1))+OFFSET($BO$9,CN46-1,CQ46,1,1),IF(F46&lt;OFFSET($BN$9,CN46+0,0,1,1),((F46-OFFSET($BM$9,CN46+0,0,1,1))*OFFSET($CH$9,CN46+0,0,1,1))+OFFSET($BO$9,CN46+0,CQ46,1,1),IF(F46&lt;OFFSET($BN$9,CN46+1,0,1,1),((F46-OFFSET($BM$9,CN46+1,0,1,1))*OFFSET($CH$9,CN46+1,0,1,1))+OFFSET($BO$9,CN46+1,CQ46,1,1),IF(F46&lt;OFFSET($BN$9,CN46+2,0,1,1),((F46-OFFSET($BM$9,CN46+2,0,1,1))*OFFSET($CH$9,CN46+2,0,1,1))+OFFSET($BO$9,CN46+2,CQ46,1,1),IF(F46&lt;OFFSET($BN$9,CN46+3,0,1,1),((F46-OFFSET($BM$9,CN46+3,0,1,1))*OFFSET($CH$9,CN46+3,0,1,1))+OFFSET($BO$9,CN46+3,CQ46,1,1),0))))))</f>
        <v>0</v>
      </c>
      <c r="DH46" s="51">
        <f ca="1">IF($F46&lt;OFFSET($BM$9,$CN46-1,0,1,1),0,IF($F46&lt;OFFSET($BN$9,$CN46-1,0,1,1),IF(AND($H46&gt;2.4,Z46&lt;&gt;"e",Z46&lt;&gt;"f"),DL46*2.4/$H46,DL46),IF($F46&lt;OFFSET($BN$9,$CN46+0,0,1,1),IF(AND($H46&gt;2.4,Z46&lt;&gt;"e",Z46&lt;&gt;"f"),DL46*2.4/$H46,DL46),IF($F46&lt;OFFSET($BN$9,$CN46+1,0,1,1),IF(AND($H46&gt;2.4,Z46&lt;&gt;"e",Z46&lt;&gt;"f"),DL46*2.4/$H46,DL46),IF($F46&lt;OFFSET($BN$9,$CN46+2,0,1,1),IF(AND($H46&gt;2.4,Z46&lt;&gt;"e",Z46&lt;&gt;"f"),DL46*2.4/$H46,DL46),IF($F46&lt;OFFSET($BN$9,$CN46+3,0,1,1),IF(AND($H46&gt;2.4,Z46&lt;&gt;"e",Z46&lt;&gt;"f"),DL46*2.4/$H46,DL46),0)))))*COS(RADIANS($G46)))</f>
        <v>0</v>
      </c>
      <c r="DI46" s="51">
        <f ca="1">IF(F46&lt;OFFSET($BM$9,CN46-1,0,1,1),0,IF(F46&lt;OFFSET($BN$9,CN46-1,0,1,1),((F46-OFFSET($BM$9,CN46-1,0,1,1))*OFFSET($CI$9,CN46-1,0,1,1))+OFFSET($BP$9,CN46-1,CQ46,1,1),IF(F46&lt;OFFSET($BN$9,CN46+0,0,1,1),((F46-OFFSET($BM$9,CN46+0,0,1,1))*OFFSET($CI$9,CN46+0,0,1,1))+OFFSET($BP$9,CN46+0,CQ46,1,1),IF(F46&lt;OFFSET($BN$9,CN46+1,0,1,1),((F46-OFFSET($BM$9,CN46+1,0,1,1))*OFFSET($CI$9,CN46+1,0,1,1))+OFFSET($BP$9,CN46+1,CQ46,1,1),IF(F46&lt;OFFSET($BN$9,CN46+2,0,1,1),((F46-OFFSET($BM$9,CN46+2,0,1,1))*OFFSET($CI$9,CN46+2,0,1,1))+OFFSET($BP$9,CN46+2,CQ46,1,1),IF(F46&lt;OFFSET($BN$9,CN46+3,0,1,1),((F46-OFFSET($BM$9,CN46+3,0,1,1))*OFFSET($CI$9,CN46+3,0,1,1))+OFFSET($BP$9,CN46+3,CQ46,1,1),0))))))</f>
        <v>0</v>
      </c>
      <c r="DJ46" s="51">
        <f ca="1">IF($F46&lt;OFFSET($BM$9,$CN46-1,0,1,1),0,IF($F46&lt;OFFSET($BN$9,$CN46-1,0,1,1),IF(AND($H46&gt;2.4,Z46&lt;&gt;"e",Z46&lt;&gt;"f"),DN46*2.4/$H46,DN46),IF($F46&lt;OFFSET($BN$9,$CN46+0,0,1,1),IF(AND($H46&gt;2.4,Z46&lt;&gt;"e",Z46&lt;&gt;"f"),DN46*2.4/$H46,DN46),IF($F46&lt;OFFSET($BN$9,$CN46+1,0,1,1),IF(AND($H46&gt;2.4,Z46&lt;&gt;"e",Z46&lt;&gt;"f"),DN46*2.4/$H46,DN46),IF($F46&lt;OFFSET($BN$9,$CN46+2,0,1,1),IF(AND($H46&gt;2.4,Z46&lt;&gt;"e",Z46&lt;&gt;"f"),DN46*2.4/$H46,DN46),IF($F46&lt;OFFSET($BN$9,$CN46+3,0,1,1),IF(AND($H46&gt;2.4,Z46&lt;&gt;"e",Z46&lt;&gt;"f"),DN46*2.4/$H46,DN46),0)))))*COS(RADIANS($G46)))</f>
        <v>0</v>
      </c>
      <c r="DK46" s="51"/>
      <c r="DL46" s="51">
        <f ca="1">IF(DG46&gt;$CR46,$CR46,DG46)</f>
        <v>0</v>
      </c>
      <c r="DM46" s="51"/>
      <c r="DN46" s="51">
        <f ca="1">IF(DI46&gt;$CR46,$CR46,DI46)</f>
        <v>0</v>
      </c>
      <c r="DO46" s="435">
        <f ca="1">IF(DH46&gt;$CR46,$CR46,DH46)</f>
        <v>0</v>
      </c>
      <c r="DP46" s="435">
        <f ca="1">DO46*F46</f>
        <v>0</v>
      </c>
      <c r="DQ46" s="436">
        <f ca="1">IF(DJ46&gt;$CR46,$CR46,DJ46)</f>
        <v>0</v>
      </c>
      <c r="DR46" s="437">
        <f ca="1">DQ46*F46</f>
        <v>0</v>
      </c>
      <c r="DS46" s="426">
        <f ca="1">OFFSET($CH$9,CL46-1,-15,1,1)</f>
        <v>0</v>
      </c>
      <c r="DT46" s="451">
        <f ca="1">VLOOKUP(DS46,Prodlink,2,0)</f>
        <v>0</v>
      </c>
      <c r="DU46" s="188">
        <f ca="1">IF(F46&lt;OFFSET($BM$9,DT46-1,0,1,1),0,IF(F46&lt;OFFSET($BN$9,DT46-1,0,1,1),((F46-OFFSET($BM$9,DT46-1,0,1,1))*OFFSET($CH$9,DT46-1,0,1,1))+OFFSET($BO$9,DT46-1,CQ46,1,1),IF(F46&lt;OFFSET($BN$9,DT46+0,0,1,1),((F46-OFFSET($BM$9,DT46+0,0,1,1))*OFFSET($CH$9,DT46+0,0,1,1))+OFFSET($BO$9,DT46+0,CQ46,1,1),IF(F46&lt;OFFSET($BN$9,DT46+1,0,1,1),((F46-OFFSET($BM$9,DT46+1,0,1,1))*OFFSET($CH$9,DT46+1,0,1,1))+OFFSET($BO$9,DT46+1,CQ46,1,1),IF(F46&lt;OFFSET($BN$9,DT46+2,0,1,1),((F46-OFFSET($BM$9,DT46+2,0,1,1))*OFFSET($CH$9,DT46+2,0,1,1))+OFFSET($BO$9,DT46+2,CQ46,1,1),IF(F46&lt;OFFSET($BN$9,DT46+3,0,1,1),((F46-OFFSET($BM$9,DT46+3,0,1,1))*OFFSET($CH$9,DT46+3,0,1,1))+OFFSET($BO$9,DT46+3,CQ46,1,1),0))))))</f>
        <v>0</v>
      </c>
      <c r="DV46" s="51">
        <f ca="1">IF($F46&lt;OFFSET($BM$9,$DT46-1,0,1,1),0,IF($F46&lt;OFFSET($BN$9,$DT46-1,0,1,1),IF(AND($H46&gt;2.4,Z46&lt;&gt;"e",Z46&lt;&gt;"f"),DZ46*2.4/$H46,DZ46),IF($F46&lt;OFFSET($BN$9,$DT46+0,0,1,1),IF(AND($H46&gt;2.4,Z46&lt;&gt;"e",Z46&lt;&gt;"f"),DZ46*2.4/$H46,DZ46),IF($F46&lt;OFFSET($BN$9,$DT46+1,0,1,1),IF(AND($H46&gt;2.4,Z46&lt;&gt;"e",Z46&lt;&gt;"f"),DZ46*2.4/$H46,DZ46),IF($F46&lt;OFFSET($BN$9,$DT46+2,0,1,1),IF(AND($H46&gt;2.4,Z46&lt;&gt;"e",Z46&lt;&gt;"f"),DZ46*2.4/$H46,DZ46),IF($F46&lt;OFFSET($BN$9,$DT46+3,0,1,1),IF(AND($H46&gt;2.4,Z46&lt;&gt;"e",Z46&lt;&gt;"f"),DZ46*2.4/$H46,DZ46),0)))))*COS(RADIANS($G46)))</f>
        <v>0</v>
      </c>
      <c r="DW46" s="188">
        <f ca="1">IF(F46&lt;OFFSET($BM$9,DT46-1,0,1,1),0,IF(F46&lt;OFFSET($BN$9,DT46-1,0,1,1),((F46-OFFSET($BM$9,DT46-1,0,1,1))*OFFSET($CI$9,DT46-1,0,1,1))+OFFSET($BP$9,DT46-1,CQ46,1,1),IF(F46&lt;OFFSET($BN$9,DT46+0,0,1,1),((F46-OFFSET($BM$9,DT46+0,0,1,1))*OFFSET($CI$9,DT46+0,0,1,1))+OFFSET($BP$9,DT46+0,CQ46,1,1),IF(F46&lt;OFFSET($BN$9,DT46+1,0,1,1),((F46-OFFSET($BM$9,DT46+1,0,1,1))*OFFSET($CI$9,DT46+1,0,1,1))+OFFSET($BP$9,DT46+1,CQ46,1,1),IF(F46&lt;OFFSET($BN$9,DT46+2,0,1,1),((F46-OFFSET($BM$9,DT46+2,0,1,1))*OFFSET($CI$9,DT46+2,0,1,1))+OFFSET($BP$9,DT46+2,CQ46,1,1),IF(F46&lt;OFFSET($BN$9,DT46+3,0,1,1),((F46-OFFSET($BM$9,DT46+3,0,1,1))*OFFSET($CI$9,DT46+3,0,1,1))+OFFSET($BP$9,DT46+3,CQ46,1,1),0))))))</f>
        <v>0</v>
      </c>
      <c r="DX46" s="51">
        <f ca="1">IF($F46&lt;OFFSET($BM$9,$DT46-1,0,1,1),0,IF($F46&lt;OFFSET($BN$9,$DT46-1,0,1,1),IF(AND($H46&gt;2.4,Z46&lt;&gt;"e",Z46&lt;&gt;"f"),EB46*2.4/$H46,EB46),IF($F46&lt;OFFSET($BN$9,$DT46+0,0,1,1),IF(AND($H46&gt;2.4,Z46&lt;&gt;"e",Z46&lt;&gt;"f"),EB46*2.4/$H46,EB46),IF($F46&lt;OFFSET($BN$9,$DT46+1,0,1,1),IF(AND($H46&gt;2.4,Z46&lt;&gt;"e",Z46&lt;&gt;"f"),EB46*2.4/$H46,EB46),IF($F46&lt;OFFSET($BN$9,$DT46+2,0,1,1),IF(AND($H46&gt;2.4,Z46&lt;&gt;"e",Z46&lt;&gt;"f"),EB46*2.4/$H46,EB46),IF($F46&lt;OFFSET($BN$9,$DT46+3,0,1,1),IF(AND($H46&gt;2.4,Z46&lt;&gt;"e",Z46&lt;&gt;"f"),EB46*2.4/$H46,EB46),0)))))*COS(RADIANS($G46)))</f>
        <v>0</v>
      </c>
      <c r="DY46" s="188"/>
      <c r="DZ46" s="188">
        <f ca="1">IF(DU46&gt;$CR46,$CR46,DU46)</f>
        <v>0</v>
      </c>
      <c r="EA46" s="188"/>
      <c r="EB46" s="188">
        <f ca="1">IF(DW46&gt;$CR46,$CR46,DW46)</f>
        <v>0</v>
      </c>
      <c r="EC46" s="435">
        <f ca="1">IF(DV46&gt;$CR46,$CR46,DV46)</f>
        <v>0</v>
      </c>
      <c r="ED46" s="435">
        <f ca="1">EC46*F46</f>
        <v>0</v>
      </c>
      <c r="EE46" s="436">
        <f ca="1">IF(DX46&gt;$CR46,$CR46,DX46)</f>
        <v>0</v>
      </c>
      <c r="EF46" s="437">
        <f ca="1">EE46*F46</f>
        <v>0</v>
      </c>
      <c r="EG46" s="613" t="str">
        <f>IF(D46=BG$12,BG$12,"")</f>
        <v/>
      </c>
      <c r="EH46" s="614" t="str">
        <f>IF(D46=BG$13,BG$13,"")</f>
        <v/>
      </c>
      <c r="EI46" s="611">
        <f>IF(EG46=BG$12,M46,0)</f>
        <v>0</v>
      </c>
      <c r="EJ46" s="451">
        <f>IF(EG46=BG$12,O46,0)</f>
        <v>0</v>
      </c>
      <c r="EK46" s="451">
        <f>IF(EH46=BG$13,M46,0)</f>
        <v>0</v>
      </c>
      <c r="EL46" s="612">
        <f>IF(EH46=BG$13,O46,0)</f>
        <v>0</v>
      </c>
      <c r="EM46" s="426" t="str">
        <f ca="1">IF(AND(Z46&lt;&gt;"t",Z46&lt;&gt;"f"),"",IF(AND(EN46=$BH$13,K46=$BH$12),"NotOpt",IF(K46&lt;&gt;EN46,"Error","")))</f>
        <v/>
      </c>
      <c r="EN46" s="491" t="str">
        <f>IF(AND($BH$28=1,$BG$28=1),$BH$13,$BH$12)</f>
        <v>120 BU's</v>
      </c>
      <c r="EO46" s="426" t="str">
        <f>K46</f>
        <v xml:space="preserve"> </v>
      </c>
      <c r="EP46" s="497">
        <v>1</v>
      </c>
      <c r="EQ46" s="430" t="str">
        <f ca="1">IF(EP46=1," ",OFFSET(BF$15,EP46-2,0,1,1))</f>
        <v xml:space="preserve"> </v>
      </c>
      <c r="ER46" s="439" t="str">
        <f ca="1">IF(H46=0," ",H46)</f>
        <v xml:space="preserve"> </v>
      </c>
      <c r="ES46" s="440" t="str">
        <f ca="1">IF(ER46&lt;&gt;" ",IF(ER46&lt;&gt;ER$7,"Changed",""),"")</f>
        <v/>
      </c>
      <c r="ET46" s="440">
        <f ca="1">IF(ER46&lt;&gt;" ",IF(ER46&lt;&gt;ER$7,1,0),0)</f>
        <v>0</v>
      </c>
      <c r="EU46" s="957" t="str">
        <f ca="1">IF(I46=" "," ",IF(F46&lt;OFFSET($BM$9,CL46-1,0,1,1),1,""))</f>
        <v xml:space="preserve"> </v>
      </c>
      <c r="EW46" s="427"/>
    </row>
    <row r="47" spans="1:153" ht="17.100000000000001" customHeight="1">
      <c r="A47" s="2685"/>
      <c r="B47" s="689" t="s">
        <v>246</v>
      </c>
      <c r="C47" s="684" t="str">
        <f>IF(OR(F47=0,I47="",I47=" ")," ",$V47)</f>
        <v xml:space="preserve"> </v>
      </c>
      <c r="D47" s="1033"/>
      <c r="E47" s="1360"/>
      <c r="F47" s="202"/>
      <c r="G47" s="1416"/>
      <c r="H47" s="199" t="str">
        <f ca="1">IF(OR(F47=0,Z47="E",Z47="f")," ",'Project Demand'!E$35)</f>
        <v xml:space="preserve"> </v>
      </c>
      <c r="I47" s="631" t="str">
        <f>IF($I$6&lt;&gt;$BG$8," ",AB47)</f>
        <v xml:space="preserve"> </v>
      </c>
      <c r="J47" s="44" t="str">
        <f ca="1">IF(OR(I47=" ",I47="")," ",OFFSET($BO$9,CL47-1,0-4,1,1))</f>
        <v xml:space="preserve"> </v>
      </c>
      <c r="K47" s="55" t="str">
        <f>IF(OR(I47=" ",I47="")," ",IF(OR(Z47="e",Z47="h"),"SD",BG$24))</f>
        <v xml:space="preserve"> </v>
      </c>
      <c r="L47" s="49">
        <f ca="1">CW47</f>
        <v>0</v>
      </c>
      <c r="M47" s="49">
        <f ca="1">CY47</f>
        <v>0</v>
      </c>
      <c r="N47" s="50">
        <f t="shared" ca="1" si="26"/>
        <v>0</v>
      </c>
      <c r="O47" s="126">
        <f t="shared" ca="1" si="26"/>
        <v>0</v>
      </c>
      <c r="P47" s="140"/>
      <c r="Q47" s="752" t="str">
        <f ca="1">IF(AND(OR(Z47="t",Z47="f"),K47=$BH$11),"No Floor!  Change Floor Type",IF(OR(I47=" ",I47="")," ",IF(F47&lt;OFFSET($BM$9,CL47-1,0,1,1),"check L(m)",DE47&amp;IF(AND(DP47&gt;=CY47,DR47&gt;=DB47),IF(AND(ED47&gt;=DP47,EF47&gt;=DR47),CONCATENATE(DS47," will provide same result"),CONCATENATE(CO47," will provide same result")),IF((DP47&gt;=CY47),CONCATENATE(CO47," provides same result in WIND"),IF((DR47&gt;=DB47),CONCATENATE(CO47," provides same result in EQ"),""))))))&amp;IF(ISERROR(FIND("pile",I47,1)),"",IF(INT(F47)&lt;&gt;F47,"Pile!  Use Whole Numbers Only",""))</f>
        <v xml:space="preserve"> </v>
      </c>
      <c r="R47" s="52"/>
      <c r="S47" s="1372"/>
      <c r="T47" s="1372"/>
      <c r="U47" s="1377"/>
      <c r="V47" s="52" t="str">
        <f ca="1">IF(AND(B$5=$BF$9,OR(I47=BH$16,I47=BH$17))," ",IF(ISNUMBER(B$44),(CONCATENATE(B$44,".",W47)),(CONCATENATE(B$44,W47))))</f>
        <v>G0</v>
      </c>
      <c r="W47" s="9">
        <f ca="1">W46+X47</f>
        <v>0</v>
      </c>
      <c r="X47" s="9">
        <f>IF(AND(B$5=$BF$9,OR($I47=$BH$16,$I47=$BH$17,$I47=" ",$I47="",$F47=0)),0,IF(OR($I47=" ",$I47="",$F47=0),0,1))</f>
        <v>0</v>
      </c>
      <c r="Y47" s="896"/>
      <c r="Z47" s="52" t="str">
        <f ca="1">IF(I47=" "," ",OFFSET($BM$9,$CL47-1,8,1,1))</f>
        <v xml:space="preserve"> </v>
      </c>
      <c r="AA47" s="51" t="str">
        <f>IF(G47&gt;=45,"WA","")</f>
        <v/>
      </c>
      <c r="AB47" s="1364" t="str">
        <f>IF(F47&lt;&gt;"",IF(OR(D47=$BG$12,D47=$BG$13),IF(E47&lt;&gt;$BG$17,$BF$12,$BF$13),IF(E47&lt;&gt;$BG$17,$BF$12,$BF$13))," ")</f>
        <v xml:space="preserve"> </v>
      </c>
      <c r="AC47" s="1"/>
      <c r="AK47" s="2822"/>
      <c r="AL47" s="2824"/>
      <c r="AM47" s="2144"/>
      <c r="AN47" s="2825"/>
      <c r="AO47" s="2825"/>
      <c r="AP47" s="1244"/>
      <c r="AQ47" s="2812"/>
      <c r="AR47" s="2807"/>
      <c r="AS47" s="2796"/>
      <c r="AT47" s="1164"/>
      <c r="AU47" s="1164"/>
      <c r="AZ47" s="2778"/>
      <c r="BD47" s="638"/>
      <c r="BG47" s="1021"/>
      <c r="BI47" s="759"/>
      <c r="BJ47" s="897">
        <f t="shared" si="25"/>
        <v>39</v>
      </c>
      <c r="BK47" s="1224"/>
      <c r="BL47" s="1209"/>
      <c r="BM47" s="969">
        <f>Table!J13</f>
        <v>1</v>
      </c>
      <c r="BN47" s="455">
        <f t="shared" si="27"/>
        <v>1.2</v>
      </c>
      <c r="BO47" s="455">
        <f>Table!K13</f>
        <v>59</v>
      </c>
      <c r="BP47" s="925">
        <f>Table!L13</f>
        <v>54</v>
      </c>
      <c r="BR47" s="1225"/>
      <c r="BS47" s="1212"/>
      <c r="BT47" s="1212"/>
      <c r="BU47" s="1226" t="s">
        <v>242</v>
      </c>
      <c r="BV47" s="895"/>
      <c r="BW47" s="603"/>
      <c r="BX47" s="1226" t="str">
        <f>Table!N11</f>
        <v>Double</v>
      </c>
      <c r="CH47" s="764">
        <f>IF(BN47=999,0,(BO48-BO47)/(BN47-BM47))</f>
        <v>5.0000000000000009</v>
      </c>
      <c r="CI47" s="925">
        <f>IF(BN47=999,0,(BP48-BP47)/(BN47-BM47))</f>
        <v>5.0000000000000009</v>
      </c>
      <c r="CJ47" s="759"/>
      <c r="CK47" s="188"/>
      <c r="CL47" s="979">
        <f>VLOOKUP(I47,Prodlink,2,0)</f>
        <v>0</v>
      </c>
      <c r="CN47" s="497">
        <f ca="1">VLOOKUP(CO47,Prodlink,2,0)</f>
        <v>0</v>
      </c>
      <c r="CO47" s="497">
        <f ca="1">OFFSET($CH$9,CL47-1,-15,1,1)</f>
        <v>0</v>
      </c>
      <c r="CQ47" s="51">
        <v>0</v>
      </c>
      <c r="CR47" s="51">
        <f>IF(K47=$BH$12,$BH$23,IF(K47=$BH$13,$BH$24,10000))</f>
        <v>10000</v>
      </c>
      <c r="CS47" s="51">
        <f ca="1">IF(F47&lt;OFFSET($BM$9,CL47-1,0,1,1),0,IF(F47&lt;OFFSET($BN$9,CL47-1,0,1,1),((F47-OFFSET($BM$9,CL47-1,0,1,1))*OFFSET($CH$9,CL47-1,0,1,1))+OFFSET($BO$9,CL47-1,CQ47,1,1),IF(F47&lt;OFFSET($BN$9,CL47+0,0,1,1),((F47-OFFSET($BM$9,CL47+0,0,1,1))*OFFSET($CH$9,CL47+0,0,1,1))+OFFSET($BO$9,CL47+0,CQ47,1,1),IF(F47&lt;OFFSET($BN$9,CL47+1,0,1,1),((F47-OFFSET($BM$9,CL47+1,0,1,1))*OFFSET($CH$9,CL47+1,0,1,1))+OFFSET($BO$9,CL47+1,CQ47,1,1),IF(F47&lt;OFFSET($BN$9,CL47+2,0,1,1),((F47-OFFSET($BM$9,CL47+2,0,1,1))*OFFSET($CH$9,CL47+2,0,1,1))+OFFSET($BO$9,CL47+2,CQ47,1,1),IF(F47&lt;OFFSET($BN$9,CL47+3,0,1,1),((F47-OFFSET($BM$9,CL47+3,0,1,1))*OFFSET($CH$9,CL47+3,0,1,1))+OFFSET($BO$9,CL47+3,CQ47,1,1),0))))))</f>
        <v>0</v>
      </c>
      <c r="CT47" s="51">
        <f ca="1">IF($F47&lt;OFFSET($BM$9,$CL47-1,0,1,1),0,IF($F47&lt;OFFSET($BN$9,$CL47-1,0,1,1),IF(AND($H47&gt;2.4,Z47&lt;&gt;"e",Z47&lt;&gt;"f"),CX47*2.4/$H47,CX47),IF($F47&lt;OFFSET($BN$9,$CL47+0,0,1,1),IF(AND($H47&gt;2.4,Z47&lt;&gt;"e",Z47&lt;&gt;"f"),CX47*2.4/$H47,CX47),IF($F47&lt;OFFSET($BN$9,$CL47+1,0,1,1),IF(AND($H47&gt;2.4,Z47&lt;&gt;"e",Z47&lt;&gt;"f"),CX47*2.4/$H47,CX47),IF($F47&lt;OFFSET($BN$9,CL47+2,0,1,1),IF(AND($H47&gt;2.4,Z47&lt;&gt;"e",Z47&lt;&gt;"f"),CX47*2.4/$H47,CX47),IF($F47&lt;OFFSET($BN$9,CL47+3,0,1,1),IF(AND($H47&gt;2.4,Z47&lt;&gt;"e",Z47&lt;&gt;"f"),CX47*2.4/$H47,CX47),0)))))*COS(RADIANS($G47)))</f>
        <v>0</v>
      </c>
      <c r="CU47" s="51">
        <f ca="1">IF(F47&lt;OFFSET($BM$9,CL47-1,0,1,1),0,IF(F47&lt;OFFSET($BN$9,CL47-1,0,1,1),((F47-OFFSET($BM$9,CL47-1,0,1,1))*OFFSET($CI$9,CL47-1,0,1,1))+OFFSET($BP$9,CL47-1,CQ47,1,1),IF(F47&lt;OFFSET($BN$9,CL47+0,0,1,1),((F47-OFFSET($BM$9,CL47+0,0,1,1))*OFFSET($CI$9,CL47+0,0,1,1))+OFFSET($BP$9,CL47+0,CQ47,1,1),IF(F47&lt;OFFSET($BN$9,CL47+1,0,1,1),((F47-OFFSET($BM$9,CL47+1,0,1,1))*OFFSET($CI$9,CL47+1,0,1,1))+OFFSET($BP$9,CL47+1,CQ47,1,1),IF(F47&lt;OFFSET($BN$9,CL47+2,0,1,1),((F47-OFFSET($BM$9,CL47+2,0,1,1))*OFFSET($CI$9,CL47+2,0,1,1))+OFFSET($BP$9,CL47+2,CQ47,1,1),IF(F47&lt;OFFSET($BN$9,CL47+3,0,1,1),((F47-OFFSET($BM$9,CL47+3,0,1,1))*OFFSET($CI$9,CL47+3,0,1,1))+OFFSET($BP$9,CL47+3,CQ47,1,1),0))))))</f>
        <v>0</v>
      </c>
      <c r="CV47" s="51">
        <f ca="1">IF($F47&lt;OFFSET($BM$9,$CL47-1,0,1,1),0,IF($F47&lt;OFFSET($BN$9,$CL47-1,0,1,1),IF(AND($H47&gt;2.4,Z47&lt;&gt;"e",Z47&lt;&gt;"f"),CZ47*2.4/$H47,CZ47),IF($F47&lt;OFFSET($BN$9,$CL47+0,0,1,1),IF(AND($H47&gt;2.4,Z47&lt;&gt;"e",Z47&lt;&gt;"f"),CZ47*2.4/$H47,CZ47),IF($F47&lt;OFFSET($BN$9,$CL47+1,0,1,1),IF(AND($H47&gt;2.4,Z47&lt;&gt;"e",Z47&lt;&gt;"f"),CZ47*2.4/$H47,CZ47),IF($F47&lt;OFFSET($BN$9,$CL47+2,0,1,1),IF(AND($H47&gt;2.4,Z47&lt;&gt;"e",Z47&lt;&gt;"f"),CZ47*2.4/$H47,CZ47),IF($F47&lt;OFFSET($BN$9,$CL47+3,0,1,1),IF(AND($H47&gt;2.4,Z47&lt;&gt;"e",Z47&lt;&gt;"f"),CZ47*2.4/$H47,CZ47),0)))))*COS(RADIANS($G47)))</f>
        <v>0</v>
      </c>
      <c r="CW47" s="51">
        <f ca="1">IF(CT47&gt;CR47,CR47,CT47)</f>
        <v>0</v>
      </c>
      <c r="CX47" s="51">
        <f ca="1">IF(CS47&gt;$CR47,$CR47,CS47)</f>
        <v>0</v>
      </c>
      <c r="CY47" s="51">
        <f ca="1">CW47*F47</f>
        <v>0</v>
      </c>
      <c r="CZ47" s="51">
        <f ca="1">IF($CU47&gt;$CR47,$CR47,$CU47)</f>
        <v>0</v>
      </c>
      <c r="DA47" s="51">
        <f ca="1">IF(CV47&gt;CR47,CR47,CV47)</f>
        <v>0</v>
      </c>
      <c r="DB47" s="984">
        <f ca="1">DA47*F47</f>
        <v>0</v>
      </c>
      <c r="DC47" s="993">
        <v>1</v>
      </c>
      <c r="DD47" s="758" t="str">
        <f>IF(OR(D47=BG$12,D47=BG$13),"External",IF(D47=BG$14,"Internal"," "))</f>
        <v xml:space="preserve"> </v>
      </c>
      <c r="DE47" s="51" t="str">
        <f t="shared" ca="1" si="1"/>
        <v/>
      </c>
      <c r="DF47" s="52" t="str">
        <f t="shared" ca="1" si="2"/>
        <v xml:space="preserve"> </v>
      </c>
      <c r="DG47" s="51">
        <f ca="1">IF(F47&lt;OFFSET($BM$9,CN47-1,0,1,1),0,IF(F47&lt;OFFSET($BN$9,CN47-1,0,1,1),((F47-OFFSET($BM$9,CN47-1,0,1,1))*OFFSET($CH$9,CN47-1,0,1,1))+OFFSET($BO$9,CN47-1,CQ47,1,1),IF(F47&lt;OFFSET($BN$9,CN47+0,0,1,1),((F47-OFFSET($BM$9,CN47+0,0,1,1))*OFFSET($CH$9,CN47+0,0,1,1))+OFFSET($BO$9,CN47+0,CQ47,1,1),IF(F47&lt;OFFSET($BN$9,CN47+1,0,1,1),((F47-OFFSET($BM$9,CN47+1,0,1,1))*OFFSET($CH$9,CN47+1,0,1,1))+OFFSET($BO$9,CN47+1,CQ47,1,1),IF(F47&lt;OFFSET($BN$9,CN47+2,0,1,1),((F47-OFFSET($BM$9,CN47+2,0,1,1))*OFFSET($CH$9,CN47+2,0,1,1))+OFFSET($BO$9,CN47+2,CQ47,1,1),IF(F47&lt;OFFSET($BN$9,CN47+3,0,1,1),((F47-OFFSET($BM$9,CN47+3,0,1,1))*OFFSET($CH$9,CN47+3,0,1,1))+OFFSET($BO$9,CN47+3,CQ47,1,1),0))))))</f>
        <v>0</v>
      </c>
      <c r="DH47" s="51">
        <f ca="1">IF($F47&lt;OFFSET($BM$9,$CN47-1,0,1,1),0,IF($F47&lt;OFFSET($BN$9,$CN47-1,0,1,1),IF(AND($H47&gt;2.4,Z47&lt;&gt;"e",Z47&lt;&gt;"f"),DL47*2.4/$H47,DL47),IF($F47&lt;OFFSET($BN$9,$CN47+0,0,1,1),IF(AND($H47&gt;2.4,Z47&lt;&gt;"e",Z47&lt;&gt;"f"),DL47*2.4/$H47,DL47),IF($F47&lt;OFFSET($BN$9,$CN47+1,0,1,1),IF(AND($H47&gt;2.4,Z47&lt;&gt;"e",Z47&lt;&gt;"f"),DL47*2.4/$H47,DL47),IF($F47&lt;OFFSET($BN$9,$CN47+2,0,1,1),IF(AND($H47&gt;2.4,Z47&lt;&gt;"e",Z47&lt;&gt;"f"),DL47*2.4/$H47,DL47),IF($F47&lt;OFFSET($BN$9,$CN47+3,0,1,1),IF(AND($H47&gt;2.4,Z47&lt;&gt;"e",Z47&lt;&gt;"f"),DL47*2.4/$H47,DL47),0)))))*COS(RADIANS($G47)))</f>
        <v>0</v>
      </c>
      <c r="DI47" s="51">
        <f ca="1">IF(F47&lt;OFFSET($BM$9,CN47-1,0,1,1),0,IF(F47&lt;OFFSET($BN$9,CN47-1,0,1,1),((F47-OFFSET($BM$9,CN47-1,0,1,1))*OFFSET($CI$9,CN47-1,0,1,1))+OFFSET($BP$9,CN47-1,CQ47,1,1),IF(F47&lt;OFFSET($BN$9,CN47+0,0,1,1),((F47-OFFSET($BM$9,CN47+0,0,1,1))*OFFSET($CI$9,CN47+0,0,1,1))+OFFSET($BP$9,CN47+0,CQ47,1,1),IF(F47&lt;OFFSET($BN$9,CN47+1,0,1,1),((F47-OFFSET($BM$9,CN47+1,0,1,1))*OFFSET($CI$9,CN47+1,0,1,1))+OFFSET($BP$9,CN47+1,CQ47,1,1),IF(F47&lt;OFFSET($BN$9,CN47+2,0,1,1),((F47-OFFSET($BM$9,CN47+2,0,1,1))*OFFSET($CI$9,CN47+2,0,1,1))+OFFSET($BP$9,CN47+2,CQ47,1,1),IF(F47&lt;OFFSET($BN$9,CN47+3,0,1,1),((F47-OFFSET($BM$9,CN47+3,0,1,1))*OFFSET($CI$9,CN47+3,0,1,1))+OFFSET($BP$9,CN47+3,CQ47,1,1),0))))))</f>
        <v>0</v>
      </c>
      <c r="DJ47" s="51">
        <f ca="1">IF($F47&lt;OFFSET($BM$9,$CN47-1,0,1,1),0,IF($F47&lt;OFFSET($BN$9,$CN47-1,0,1,1),IF(AND($H47&gt;2.4,Z47&lt;&gt;"e",Z47&lt;&gt;"f"),DN47*2.4/$H47,DN47),IF($F47&lt;OFFSET($BN$9,$CN47+0,0,1,1),IF(AND($H47&gt;2.4,Z47&lt;&gt;"e",Z47&lt;&gt;"f"),DN47*2.4/$H47,DN47),IF($F47&lt;OFFSET($BN$9,$CN47+1,0,1,1),IF(AND($H47&gt;2.4,Z47&lt;&gt;"e",Z47&lt;&gt;"f"),DN47*2.4/$H47,DN47),IF($F47&lt;OFFSET($BN$9,$CN47+2,0,1,1),IF(AND($H47&gt;2.4,Z47&lt;&gt;"e",Z47&lt;&gt;"f"),DN47*2.4/$H47,DN47),IF($F47&lt;OFFSET($BN$9,$CN47+3,0,1,1),IF(AND($H47&gt;2.4,Z47&lt;&gt;"e",Z47&lt;&gt;"f"),DN47*2.4/$H47,DN47),0)))))*COS(RADIANS($G47)))</f>
        <v>0</v>
      </c>
      <c r="DK47" s="51"/>
      <c r="DL47" s="51">
        <f ca="1">IF(DG47&gt;$CR47,$CR47,DG47)</f>
        <v>0</v>
      </c>
      <c r="DM47" s="51"/>
      <c r="DN47" s="51">
        <f ca="1">IF(DI47&gt;$CR47,$CR47,DI47)</f>
        <v>0</v>
      </c>
      <c r="DO47" s="435">
        <f ca="1">IF(DH47&gt;$CR47,$CR47,DH47)</f>
        <v>0</v>
      </c>
      <c r="DP47" s="435">
        <f ca="1">DO47*F47</f>
        <v>0</v>
      </c>
      <c r="DQ47" s="436">
        <f ca="1">IF(DJ47&gt;$CR47,$CR47,DJ47)</f>
        <v>0</v>
      </c>
      <c r="DR47" s="437">
        <f ca="1">DQ47*F47</f>
        <v>0</v>
      </c>
      <c r="DS47" s="426">
        <f ca="1">OFFSET($CH$9,CL47-1,-15,1,1)</f>
        <v>0</v>
      </c>
      <c r="DT47" s="451">
        <f ca="1">VLOOKUP(DS47,Prodlink,2,0)</f>
        <v>0</v>
      </c>
      <c r="DU47" s="188">
        <f ca="1">IF(F47&lt;OFFSET($BM$9,DT47-1,0,1,1),0,IF(F47&lt;OFFSET($BN$9,DT47-1,0,1,1),((F47-OFFSET($BM$9,DT47-1,0,1,1))*OFFSET($CH$9,DT47-1,0,1,1))+OFFSET($BO$9,DT47-1,CQ47,1,1),IF(F47&lt;OFFSET($BN$9,DT47+0,0,1,1),((F47-OFFSET($BM$9,DT47+0,0,1,1))*OFFSET($CH$9,DT47+0,0,1,1))+OFFSET($BO$9,DT47+0,CQ47,1,1),IF(F47&lt;OFFSET($BN$9,DT47+1,0,1,1),((F47-OFFSET($BM$9,DT47+1,0,1,1))*OFFSET($CH$9,DT47+1,0,1,1))+OFFSET($BO$9,DT47+1,CQ47,1,1),IF(F47&lt;OFFSET($BN$9,DT47+2,0,1,1),((F47-OFFSET($BM$9,DT47+2,0,1,1))*OFFSET($CH$9,DT47+2,0,1,1))+OFFSET($BO$9,DT47+2,CQ47,1,1),IF(F47&lt;OFFSET($BN$9,DT47+3,0,1,1),((F47-OFFSET($BM$9,DT47+3,0,1,1))*OFFSET($CH$9,DT47+3,0,1,1))+OFFSET($BO$9,DT47+3,CQ47,1,1),0))))))</f>
        <v>0</v>
      </c>
      <c r="DV47" s="51">
        <f ca="1">IF($F47&lt;OFFSET($BM$9,$DT47-1,0,1,1),0,IF($F47&lt;OFFSET($BN$9,$DT47-1,0,1,1),IF(AND($H47&gt;2.4,Z47&lt;&gt;"e",Z47&lt;&gt;"f"),DZ47*2.4/$H47,DZ47),IF($F47&lt;OFFSET($BN$9,$DT47+0,0,1,1),IF(AND($H47&gt;2.4,Z47&lt;&gt;"e",Z47&lt;&gt;"f"),DZ47*2.4/$H47,DZ47),IF($F47&lt;OFFSET($BN$9,$DT47+1,0,1,1),IF(AND($H47&gt;2.4,Z47&lt;&gt;"e",Z47&lt;&gt;"f"),DZ47*2.4/$H47,DZ47),IF($F47&lt;OFFSET($BN$9,$DT47+2,0,1,1),IF(AND($H47&gt;2.4,Z47&lt;&gt;"e",Z47&lt;&gt;"f"),DZ47*2.4/$H47,DZ47),IF($F47&lt;OFFSET($BN$9,$DT47+3,0,1,1),IF(AND($H47&gt;2.4,Z47&lt;&gt;"e",Z47&lt;&gt;"f"),DZ47*2.4/$H47,DZ47),0)))))*COS(RADIANS($G47)))</f>
        <v>0</v>
      </c>
      <c r="DW47" s="188">
        <f ca="1">IF(F47&lt;OFFSET($BM$9,DT47-1,0,1,1),0,IF(F47&lt;OFFSET($BN$9,DT47-1,0,1,1),((F47-OFFSET($BM$9,DT47-1,0,1,1))*OFFSET($CI$9,DT47-1,0,1,1))+OFFSET($BP$9,DT47-1,CQ47,1,1),IF(F47&lt;OFFSET($BN$9,DT47+0,0,1,1),((F47-OFFSET($BM$9,DT47+0,0,1,1))*OFFSET($CI$9,DT47+0,0,1,1))+OFFSET($BP$9,DT47+0,CQ47,1,1),IF(F47&lt;OFFSET($BN$9,DT47+1,0,1,1),((F47-OFFSET($BM$9,DT47+1,0,1,1))*OFFSET($CI$9,DT47+1,0,1,1))+OFFSET($BP$9,DT47+1,CQ47,1,1),IF(F47&lt;OFFSET($BN$9,DT47+2,0,1,1),((F47-OFFSET($BM$9,DT47+2,0,1,1))*OFFSET($CI$9,DT47+2,0,1,1))+OFFSET($BP$9,DT47+2,CQ47,1,1),IF(F47&lt;OFFSET($BN$9,DT47+3,0,1,1),((F47-OFFSET($BM$9,DT47+3,0,1,1))*OFFSET($CI$9,DT47+3,0,1,1))+OFFSET($BP$9,DT47+3,CQ47,1,1),0))))))</f>
        <v>0</v>
      </c>
      <c r="DX47" s="51">
        <f ca="1">IF($F47&lt;OFFSET($BM$9,$DT47-1,0,1,1),0,IF($F47&lt;OFFSET($BN$9,$DT47-1,0,1,1),IF(AND($H47&gt;2.4,Z47&lt;&gt;"e",Z47&lt;&gt;"f"),EB47*2.4/$H47,EB47),IF($F47&lt;OFFSET($BN$9,$DT47+0,0,1,1),IF(AND($H47&gt;2.4,Z47&lt;&gt;"e",Z47&lt;&gt;"f"),EB47*2.4/$H47,EB47),IF($F47&lt;OFFSET($BN$9,$DT47+1,0,1,1),IF(AND($H47&gt;2.4,Z47&lt;&gt;"e",Z47&lt;&gt;"f"),EB47*2.4/$H47,EB47),IF($F47&lt;OFFSET($BN$9,$DT47+2,0,1,1),IF(AND($H47&gt;2.4,Z47&lt;&gt;"e",Z47&lt;&gt;"f"),EB47*2.4/$H47,EB47),IF($F47&lt;OFFSET($BN$9,$DT47+3,0,1,1),IF(AND($H47&gt;2.4,Z47&lt;&gt;"e",Z47&lt;&gt;"f"),EB47*2.4/$H47,EB47),0)))))*COS(RADIANS($G47)))</f>
        <v>0</v>
      </c>
      <c r="DY47" s="188"/>
      <c r="DZ47" s="188">
        <f ca="1">IF(DU47&gt;$CR47,$CR47,DU47)</f>
        <v>0</v>
      </c>
      <c r="EA47" s="188"/>
      <c r="EB47" s="188">
        <f ca="1">IF(DW47&gt;$CR47,$CR47,DW47)</f>
        <v>0</v>
      </c>
      <c r="EC47" s="435">
        <f ca="1">IF(DV47&gt;$CR47,$CR47,DV47)</f>
        <v>0</v>
      </c>
      <c r="ED47" s="435">
        <f ca="1">EC47*F47</f>
        <v>0</v>
      </c>
      <c r="EE47" s="436">
        <f ca="1">IF(DX47&gt;$CR47,$CR47,DX47)</f>
        <v>0</v>
      </c>
      <c r="EF47" s="437">
        <f ca="1">EE47*F47</f>
        <v>0</v>
      </c>
      <c r="EG47" s="613" t="str">
        <f>IF(D47=BG$12,BG$12,"")</f>
        <v/>
      </c>
      <c r="EH47" s="614" t="str">
        <f>IF(D47=BG$13,BG$13,"")</f>
        <v/>
      </c>
      <c r="EI47" s="611">
        <f>IF(EG47=BG$12,M47,0)</f>
        <v>0</v>
      </c>
      <c r="EJ47" s="451">
        <f>IF(EG47=BG$12,O47,0)</f>
        <v>0</v>
      </c>
      <c r="EK47" s="451">
        <f>IF(EH47=BG$13,M47,0)</f>
        <v>0</v>
      </c>
      <c r="EL47" s="612">
        <f>IF(EH47=BG$13,O47,0)</f>
        <v>0</v>
      </c>
      <c r="EM47" s="426" t="str">
        <f ca="1">IF(AND(Z47&lt;&gt;"t",Z47&lt;&gt;"f"),"",IF(AND(EN47=$BH$13,K47=$BH$12),"NotOpt",IF(K47&lt;&gt;EN47,"Error","")))</f>
        <v/>
      </c>
      <c r="EN47" s="491" t="str">
        <f>IF(AND($BH$28=1,$BG$28=1),$BH$13,$BH$12)</f>
        <v>120 BU's</v>
      </c>
      <c r="EO47" s="426" t="str">
        <f>K47</f>
        <v xml:space="preserve"> </v>
      </c>
      <c r="EP47" s="497">
        <v>1</v>
      </c>
      <c r="EQ47" s="430" t="str">
        <f ca="1">IF(EP47=1," ",OFFSET(BF$15,EP47-2,0,1,1))</f>
        <v xml:space="preserve"> </v>
      </c>
      <c r="ER47" s="439" t="str">
        <f ca="1">IF(H47=0," ",H47)</f>
        <v xml:space="preserve"> </v>
      </c>
      <c r="ES47" s="440" t="str">
        <f ca="1">IF(ER47&lt;&gt;" ",IF(ER47&lt;&gt;ER$7,"Changed",""),"")</f>
        <v/>
      </c>
      <c r="ET47" s="440">
        <f ca="1">IF(ER47&lt;&gt;" ",IF(ER47&lt;&gt;ER$7,1,0),0)</f>
        <v>0</v>
      </c>
      <c r="EU47" s="957" t="str">
        <f ca="1">IF(I47=" "," ",IF(F47&lt;OFFSET($BM$9,CL47-1,0,1,1),1,""))</f>
        <v xml:space="preserve"> </v>
      </c>
      <c r="EW47" s="427"/>
    </row>
    <row r="48" spans="1:153" ht="17.100000000000001" customHeight="1" thickBot="1">
      <c r="A48" s="2685"/>
      <c r="B48" s="689" t="s">
        <v>246</v>
      </c>
      <c r="C48" s="684" t="str">
        <f>IF(OR(F48=0,I48="",I48=" ")," ",$V48)</f>
        <v xml:space="preserve"> </v>
      </c>
      <c r="D48" s="1033"/>
      <c r="E48" s="1360"/>
      <c r="F48" s="202"/>
      <c r="G48" s="1416"/>
      <c r="H48" s="199" t="str">
        <f ca="1">IF(OR(F48=0,Z48="E",Z48="f")," ",'Project Demand'!E$35)</f>
        <v xml:space="preserve"> </v>
      </c>
      <c r="I48" s="631" t="str">
        <f>IF($I$6&lt;&gt;$BG$8," ",AB48)</f>
        <v xml:space="preserve"> </v>
      </c>
      <c r="J48" s="44" t="str">
        <f ca="1">IF(OR(I48=" ",I48="")," ",OFFSET($BO$9,CL48-1,0-4,1,1))</f>
        <v xml:space="preserve"> </v>
      </c>
      <c r="K48" s="55" t="str">
        <f>IF(OR(I48=" ",I48="")," ",IF(OR(Z48="e",Z48="h"),"SD",BG$24))</f>
        <v xml:space="preserve"> </v>
      </c>
      <c r="L48" s="49">
        <f ca="1">CW48</f>
        <v>0</v>
      </c>
      <c r="M48" s="49">
        <f ca="1">CY48</f>
        <v>0</v>
      </c>
      <c r="N48" s="50">
        <f t="shared" ca="1" si="26"/>
        <v>0</v>
      </c>
      <c r="O48" s="126">
        <f t="shared" ca="1" si="26"/>
        <v>0</v>
      </c>
      <c r="P48" s="140"/>
      <c r="Q48" s="752" t="str">
        <f ca="1">IF(AND(OR(Z48="t",Z48="f"),K48=$BH$11),"No Floor!  Change Floor Type",IF(OR(I48=" ",I48="")," ",IF(F48&lt;OFFSET($BM$9,CL48-1,0,1,1),"check L(m)",DE48&amp;IF(AND(DP48&gt;=CY48,DR48&gt;=DB48),IF(AND(ED48&gt;=DP48,EF48&gt;=DR48),CONCATENATE(DS48," will provide same result"),CONCATENATE(CO48," will provide same result")),IF((DP48&gt;=CY48),CONCATENATE(CO48," provides same result in WIND"),IF((DR48&gt;=DB48),CONCATENATE(CO48," provides same result in EQ"),""))))))&amp;IF(ISERROR(FIND("pile",I48,1)),"",IF(INT(F48)&lt;&gt;F48,"Pile!  Use Whole Numbers Only",""))</f>
        <v xml:space="preserve"> </v>
      </c>
      <c r="R48" s="52"/>
      <c r="S48" s="1372"/>
      <c r="T48" s="1372"/>
      <c r="U48" s="1377"/>
      <c r="V48" s="52" t="str">
        <f ca="1">IF(AND(B$5=$BF$9,OR(I48=BH$16,I48=BH$17))," ",IF(ISNUMBER(B$44),(CONCATENATE(B$44,".",W48)),(CONCATENATE(B$44,W48))))</f>
        <v>G0</v>
      </c>
      <c r="W48" s="9">
        <f ca="1">W47+X48</f>
        <v>0</v>
      </c>
      <c r="X48" s="9">
        <f>IF(AND(B$5=$BF$9,OR($I48=$BH$16,$I48=$BH$17,$I48=" ",$I48="",$F48=0)),0,IF(OR($I48=" ",$I48="",$F48=0),0,1))</f>
        <v>0</v>
      </c>
      <c r="Y48" s="896"/>
      <c r="Z48" s="52" t="str">
        <f ca="1">IF(I48=" "," ",OFFSET($BM$9,$CL48-1,8,1,1))</f>
        <v xml:space="preserve"> </v>
      </c>
      <c r="AA48" s="51" t="str">
        <f>IF(G48&gt;=45,"WA","")</f>
        <v/>
      </c>
      <c r="AB48" s="1364" t="str">
        <f>IF(F48&lt;&gt;"",IF(OR(D48=$BG$12,D48=$BG$13),IF(E48&lt;&gt;$BG$17,$BF$12,$BF$13),IF(E48&lt;&gt;$BG$17,$BF$12,$BF$13))," ")</f>
        <v xml:space="preserve"> </v>
      </c>
      <c r="AC48" s="1"/>
      <c r="AK48" s="63" t="str">
        <f>'Custom Elements'!B9</f>
        <v xml:space="preserve">  </v>
      </c>
      <c r="AL48" s="860" t="str">
        <f>'Custom Elements'!C9</f>
        <v>Custom1</v>
      </c>
      <c r="AM48" s="11">
        <f>'Custom Elements'!D9</f>
        <v>9.9999999999999996E-76</v>
      </c>
      <c r="AN48" s="7">
        <f>'Custom Elements'!E9</f>
        <v>0</v>
      </c>
      <c r="AO48" s="7">
        <f>'Custom Elements'!F9</f>
        <v>0</v>
      </c>
      <c r="AP48" s="1693" t="str">
        <f>'Custom Elements'!G9</f>
        <v>B</v>
      </c>
      <c r="AQ48" s="1777" t="str">
        <f>'Custom Elements'!H9</f>
        <v>Single</v>
      </c>
      <c r="AR48" s="1775" t="str">
        <f>'Custom Elements'!I9</f>
        <v>Yes</v>
      </c>
      <c r="AS48" s="442" t="str">
        <f>'Custom Elements'!J9</f>
        <v>Yes</v>
      </c>
      <c r="AT48" s="1150"/>
      <c r="AU48" s="1150"/>
      <c r="AZ48" s="442" t="str">
        <f>IF(AND('Custom Elements'!J9="Yes",'Custom Elements'!I9="Yes"),"T",IF('Custom Elements'!J9="Yes","F",IF('Custom Elements'!I9="Yes","H","E")))</f>
        <v>T</v>
      </c>
      <c r="BD48" s="638"/>
      <c r="BG48" s="519"/>
      <c r="BI48" s="759"/>
      <c r="BJ48" s="897">
        <f t="shared" si="25"/>
        <v>40</v>
      </c>
      <c r="BK48" s="1223"/>
      <c r="BL48" s="1208"/>
      <c r="BM48" s="1211">
        <f>Table!J14</f>
        <v>1.2</v>
      </c>
      <c r="BN48" s="776">
        <v>999</v>
      </c>
      <c r="BO48" s="776">
        <f>Table!K14</f>
        <v>60</v>
      </c>
      <c r="BP48" s="926">
        <f>Table!L14</f>
        <v>55</v>
      </c>
      <c r="BQ48" s="1183"/>
      <c r="BR48" s="908"/>
      <c r="BS48" s="776"/>
      <c r="BT48" s="776"/>
      <c r="BU48" s="926" t="s">
        <v>242</v>
      </c>
      <c r="BV48" s="433"/>
      <c r="BW48" s="1184"/>
      <c r="BX48" s="926" t="str">
        <f>Table!N11</f>
        <v>Double</v>
      </c>
      <c r="CH48" s="908">
        <f>IF(BN48=999,0,(BO49-BO48)/(BN48-BM48))</f>
        <v>0</v>
      </c>
      <c r="CI48" s="926">
        <f>IF(BN48=999,0,(BP49-BP48)/(BN48-BM48))</f>
        <v>0</v>
      </c>
      <c r="CJ48" s="759"/>
      <c r="CK48" s="188"/>
      <c r="CL48" s="979">
        <f>VLOOKUP(I48,Prodlink,2,0)</f>
        <v>0</v>
      </c>
      <c r="CN48" s="497">
        <f ca="1">VLOOKUP(CO48,Prodlink,2,0)</f>
        <v>0</v>
      </c>
      <c r="CO48" s="497">
        <f ca="1">OFFSET($CH$9,CL48-1,-15,1,1)</f>
        <v>0</v>
      </c>
      <c r="CQ48" s="51">
        <v>0</v>
      </c>
      <c r="CR48" s="51">
        <f>IF(K48=$BH$12,$BH$23,IF(K48=$BH$13,$BH$24,10000))</f>
        <v>10000</v>
      </c>
      <c r="CS48" s="51">
        <f ca="1">IF(F48&lt;OFFSET($BM$9,CL48-1,0,1,1),0,IF(F48&lt;OFFSET($BN$9,CL48-1,0,1,1),((F48-OFFSET($BM$9,CL48-1,0,1,1))*OFFSET($CH$9,CL48-1,0,1,1))+OFFSET($BO$9,CL48-1,CQ48,1,1),IF(F48&lt;OFFSET($BN$9,CL48+0,0,1,1),((F48-OFFSET($BM$9,CL48+0,0,1,1))*OFFSET($CH$9,CL48+0,0,1,1))+OFFSET($BO$9,CL48+0,CQ48,1,1),IF(F48&lt;OFFSET($BN$9,CL48+1,0,1,1),((F48-OFFSET($BM$9,CL48+1,0,1,1))*OFFSET($CH$9,CL48+1,0,1,1))+OFFSET($BO$9,CL48+1,CQ48,1,1),IF(F48&lt;OFFSET($BN$9,CL48+2,0,1,1),((F48-OFFSET($BM$9,CL48+2,0,1,1))*OFFSET($CH$9,CL48+2,0,1,1))+OFFSET($BO$9,CL48+2,CQ48,1,1),IF(F48&lt;OFFSET($BN$9,CL48+3,0,1,1),((F48-OFFSET($BM$9,CL48+3,0,1,1))*OFFSET($CH$9,CL48+3,0,1,1))+OFFSET($BO$9,CL48+3,CQ48,1,1),0))))))</f>
        <v>0</v>
      </c>
      <c r="CT48" s="51">
        <f ca="1">IF($F48&lt;OFFSET($BM$9,$CL48-1,0,1,1),0,IF($F48&lt;OFFSET($BN$9,$CL48-1,0,1,1),IF(AND($H48&gt;2.4,Z48&lt;&gt;"e",Z48&lt;&gt;"f"),CX48*2.4/$H48,CX48),IF($F48&lt;OFFSET($BN$9,$CL48+0,0,1,1),IF(AND($H48&gt;2.4,Z48&lt;&gt;"e",Z48&lt;&gt;"f"),CX48*2.4/$H48,CX48),IF($F48&lt;OFFSET($BN$9,$CL48+1,0,1,1),IF(AND($H48&gt;2.4,Z48&lt;&gt;"e",Z48&lt;&gt;"f"),CX48*2.4/$H48,CX48),IF($F48&lt;OFFSET($BN$9,CL48+2,0,1,1),IF(AND($H48&gt;2.4,Z48&lt;&gt;"e",Z48&lt;&gt;"f"),CX48*2.4/$H48,CX48),IF($F48&lt;OFFSET($BN$9,CL48+3,0,1,1),IF(AND($H48&gt;2.4,Z48&lt;&gt;"e",Z48&lt;&gt;"f"),CX48*2.4/$H48,CX48),0)))))*COS(RADIANS($G48)))</f>
        <v>0</v>
      </c>
      <c r="CU48" s="51">
        <f ca="1">IF(F48&lt;OFFSET($BM$9,CL48-1,0,1,1),0,IF(F48&lt;OFFSET($BN$9,CL48-1,0,1,1),((F48-OFFSET($BM$9,CL48-1,0,1,1))*OFFSET($CI$9,CL48-1,0,1,1))+OFFSET($BP$9,CL48-1,CQ48,1,1),IF(F48&lt;OFFSET($BN$9,CL48+0,0,1,1),((F48-OFFSET($BM$9,CL48+0,0,1,1))*OFFSET($CI$9,CL48+0,0,1,1))+OFFSET($BP$9,CL48+0,CQ48,1,1),IF(F48&lt;OFFSET($BN$9,CL48+1,0,1,1),((F48-OFFSET($BM$9,CL48+1,0,1,1))*OFFSET($CI$9,CL48+1,0,1,1))+OFFSET($BP$9,CL48+1,CQ48,1,1),IF(F48&lt;OFFSET($BN$9,CL48+2,0,1,1),((F48-OFFSET($BM$9,CL48+2,0,1,1))*OFFSET($CI$9,CL48+2,0,1,1))+OFFSET($BP$9,CL48+2,CQ48,1,1),IF(F48&lt;OFFSET($BN$9,CL48+3,0,1,1),((F48-OFFSET($BM$9,CL48+3,0,1,1))*OFFSET($CI$9,CL48+3,0,1,1))+OFFSET($BP$9,CL48+3,CQ48,1,1),0))))))</f>
        <v>0</v>
      </c>
      <c r="CV48" s="51">
        <f ca="1">IF($F48&lt;OFFSET($BM$9,$CL48-1,0,1,1),0,IF($F48&lt;OFFSET($BN$9,$CL48-1,0,1,1),IF(AND($H48&gt;2.4,Z48&lt;&gt;"e",Z48&lt;&gt;"f"),CZ48*2.4/$H48,CZ48),IF($F48&lt;OFFSET($BN$9,$CL48+0,0,1,1),IF(AND($H48&gt;2.4,Z48&lt;&gt;"e",Z48&lt;&gt;"f"),CZ48*2.4/$H48,CZ48),IF($F48&lt;OFFSET($BN$9,$CL48+1,0,1,1),IF(AND($H48&gt;2.4,Z48&lt;&gt;"e",Z48&lt;&gt;"f"),CZ48*2.4/$H48,CZ48),IF($F48&lt;OFFSET($BN$9,$CL48+2,0,1,1),IF(AND($H48&gt;2.4,Z48&lt;&gt;"e",Z48&lt;&gt;"f"),CZ48*2.4/$H48,CZ48),IF($F48&lt;OFFSET($BN$9,$CL48+3,0,1,1),IF(AND($H48&gt;2.4,Z48&lt;&gt;"e",Z48&lt;&gt;"f"),CZ48*2.4/$H48,CZ48),0)))))*COS(RADIANS($G48)))</f>
        <v>0</v>
      </c>
      <c r="CW48" s="51">
        <f ca="1">IF(CT48&gt;CR48,CR48,CT48)</f>
        <v>0</v>
      </c>
      <c r="CX48" s="51">
        <f ca="1">IF(CS48&gt;$CR48,$CR48,CS48)</f>
        <v>0</v>
      </c>
      <c r="CY48" s="51">
        <f ca="1">CW48*F48</f>
        <v>0</v>
      </c>
      <c r="CZ48" s="51">
        <f ca="1">IF($CU48&gt;$CR48,$CR48,$CU48)</f>
        <v>0</v>
      </c>
      <c r="DA48" s="51">
        <f ca="1">IF(CV48&gt;CR48,CR48,CV48)</f>
        <v>0</v>
      </c>
      <c r="DB48" s="984">
        <f ca="1">DA48*F48</f>
        <v>0</v>
      </c>
      <c r="DC48" s="993">
        <v>1</v>
      </c>
      <c r="DD48" s="758" t="str">
        <f>IF(OR(D48=BG$12,D48=BG$13),"External",IF(D48=BG$14,"Internal"," "))</f>
        <v xml:space="preserve"> </v>
      </c>
      <c r="DE48" s="51" t="str">
        <f t="shared" ca="1" si="1"/>
        <v/>
      </c>
      <c r="DF48" s="52" t="str">
        <f t="shared" ca="1" si="2"/>
        <v xml:space="preserve"> </v>
      </c>
      <c r="DG48" s="51">
        <f ca="1">IF(F48&lt;OFFSET($BM$9,CN48-1,0,1,1),0,IF(F48&lt;OFFSET($BN$9,CN48-1,0,1,1),((F48-OFFSET($BM$9,CN48-1,0,1,1))*OFFSET($CH$9,CN48-1,0,1,1))+OFFSET($BO$9,CN48-1,CQ48,1,1),IF(F48&lt;OFFSET($BN$9,CN48+0,0,1,1),((F48-OFFSET($BM$9,CN48+0,0,1,1))*OFFSET($CH$9,CN48+0,0,1,1))+OFFSET($BO$9,CN48+0,CQ48,1,1),IF(F48&lt;OFFSET($BN$9,CN48+1,0,1,1),((F48-OFFSET($BM$9,CN48+1,0,1,1))*OFFSET($CH$9,CN48+1,0,1,1))+OFFSET($BO$9,CN48+1,CQ48,1,1),IF(F48&lt;OFFSET($BN$9,CN48+2,0,1,1),((F48-OFFSET($BM$9,CN48+2,0,1,1))*OFFSET($CH$9,CN48+2,0,1,1))+OFFSET($BO$9,CN48+2,CQ48,1,1),IF(F48&lt;OFFSET($BN$9,CN48+3,0,1,1),((F48-OFFSET($BM$9,CN48+3,0,1,1))*OFFSET($CH$9,CN48+3,0,1,1))+OFFSET($BO$9,CN48+3,CQ48,1,1),0))))))</f>
        <v>0</v>
      </c>
      <c r="DH48" s="51">
        <f ca="1">IF($F48&lt;OFFSET($BM$9,$CN48-1,0,1,1),0,IF($F48&lt;OFFSET($BN$9,$CN48-1,0,1,1),IF(AND($H48&gt;2.4,Z48&lt;&gt;"e",Z48&lt;&gt;"f"),DL48*2.4/$H48,DL48),IF($F48&lt;OFFSET($BN$9,$CN48+0,0,1,1),IF(AND($H48&gt;2.4,Z48&lt;&gt;"e",Z48&lt;&gt;"f"),DL48*2.4/$H48,DL48),IF($F48&lt;OFFSET($BN$9,$CN48+1,0,1,1),IF(AND($H48&gt;2.4,Z48&lt;&gt;"e",Z48&lt;&gt;"f"),DL48*2.4/$H48,DL48),IF($F48&lt;OFFSET($BN$9,$CN48+2,0,1,1),IF(AND($H48&gt;2.4,Z48&lt;&gt;"e",Z48&lt;&gt;"f"),DL48*2.4/$H48,DL48),IF($F48&lt;OFFSET($BN$9,$CN48+3,0,1,1),IF(AND($H48&gt;2.4,Z48&lt;&gt;"e",Z48&lt;&gt;"f"),DL48*2.4/$H48,DL48),0)))))*COS(RADIANS($G48)))</f>
        <v>0</v>
      </c>
      <c r="DI48" s="51">
        <f ca="1">IF(F48&lt;OFFSET($BM$9,CN48-1,0,1,1),0,IF(F48&lt;OFFSET($BN$9,CN48-1,0,1,1),((F48-OFFSET($BM$9,CN48-1,0,1,1))*OFFSET($CI$9,CN48-1,0,1,1))+OFFSET($BP$9,CN48-1,CQ48,1,1),IF(F48&lt;OFFSET($BN$9,CN48+0,0,1,1),((F48-OFFSET($BM$9,CN48+0,0,1,1))*OFFSET($CI$9,CN48+0,0,1,1))+OFFSET($BP$9,CN48+0,CQ48,1,1),IF(F48&lt;OFFSET($BN$9,CN48+1,0,1,1),((F48-OFFSET($BM$9,CN48+1,0,1,1))*OFFSET($CI$9,CN48+1,0,1,1))+OFFSET($BP$9,CN48+1,CQ48,1,1),IF(F48&lt;OFFSET($BN$9,CN48+2,0,1,1),((F48-OFFSET($BM$9,CN48+2,0,1,1))*OFFSET($CI$9,CN48+2,0,1,1))+OFFSET($BP$9,CN48+2,CQ48,1,1),IF(F48&lt;OFFSET($BN$9,CN48+3,0,1,1),((F48-OFFSET($BM$9,CN48+3,0,1,1))*OFFSET($CI$9,CN48+3,0,1,1))+OFFSET($BP$9,CN48+3,CQ48,1,1),0))))))</f>
        <v>0</v>
      </c>
      <c r="DJ48" s="51">
        <f ca="1">IF($F48&lt;OFFSET($BM$9,$CN48-1,0,1,1),0,IF($F48&lt;OFFSET($BN$9,$CN48-1,0,1,1),IF(AND($H48&gt;2.4,Z48&lt;&gt;"e",Z48&lt;&gt;"f"),DN48*2.4/$H48,DN48),IF($F48&lt;OFFSET($BN$9,$CN48+0,0,1,1),IF(AND($H48&gt;2.4,Z48&lt;&gt;"e",Z48&lt;&gt;"f"),DN48*2.4/$H48,DN48),IF($F48&lt;OFFSET($BN$9,$CN48+1,0,1,1),IF(AND($H48&gt;2.4,Z48&lt;&gt;"e",Z48&lt;&gt;"f"),DN48*2.4/$H48,DN48),IF($F48&lt;OFFSET($BN$9,$CN48+2,0,1,1),IF(AND($H48&gt;2.4,Z48&lt;&gt;"e",Z48&lt;&gt;"f"),DN48*2.4/$H48,DN48),IF($F48&lt;OFFSET($BN$9,$CN48+3,0,1,1),IF(AND($H48&gt;2.4,Z48&lt;&gt;"e",Z48&lt;&gt;"f"),DN48*2.4/$H48,DN48),0)))))*COS(RADIANS($G48)))</f>
        <v>0</v>
      </c>
      <c r="DK48" s="51"/>
      <c r="DL48" s="51">
        <f ca="1">IF(DG48&gt;$CR48,$CR48,DG48)</f>
        <v>0</v>
      </c>
      <c r="DM48" s="51"/>
      <c r="DN48" s="51">
        <f ca="1">IF(DI48&gt;$CR48,$CR48,DI48)</f>
        <v>0</v>
      </c>
      <c r="DO48" s="435">
        <f ca="1">IF(DH48&gt;$CR48,$CR48,DH48)</f>
        <v>0</v>
      </c>
      <c r="DP48" s="435">
        <f ca="1">DO48*F48</f>
        <v>0</v>
      </c>
      <c r="DQ48" s="436">
        <f ca="1">IF(DJ48&gt;$CR48,$CR48,DJ48)</f>
        <v>0</v>
      </c>
      <c r="DR48" s="437">
        <f ca="1">DQ48*F48</f>
        <v>0</v>
      </c>
      <c r="DS48" s="426">
        <f ca="1">OFFSET($CH$9,CL48-1,-15,1,1)</f>
        <v>0</v>
      </c>
      <c r="DT48" s="451">
        <f ca="1">VLOOKUP(DS48,Prodlink,2,0)</f>
        <v>0</v>
      </c>
      <c r="DU48" s="188">
        <f ca="1">IF(F48&lt;OFFSET($BM$9,DT48-1,0,1,1),0,IF(F48&lt;OFFSET($BN$9,DT48-1,0,1,1),((F48-OFFSET($BM$9,DT48-1,0,1,1))*OFFSET($CH$9,DT48-1,0,1,1))+OFFSET($BO$9,DT48-1,CQ48,1,1),IF(F48&lt;OFFSET($BN$9,DT48+0,0,1,1),((F48-OFFSET($BM$9,DT48+0,0,1,1))*OFFSET($CH$9,DT48+0,0,1,1))+OFFSET($BO$9,DT48+0,CQ48,1,1),IF(F48&lt;OFFSET($BN$9,DT48+1,0,1,1),((F48-OFFSET($BM$9,DT48+1,0,1,1))*OFFSET($CH$9,DT48+1,0,1,1))+OFFSET($BO$9,DT48+1,CQ48,1,1),IF(F48&lt;OFFSET($BN$9,DT48+2,0,1,1),((F48-OFFSET($BM$9,DT48+2,0,1,1))*OFFSET($CH$9,DT48+2,0,1,1))+OFFSET($BO$9,DT48+2,CQ48,1,1),IF(F48&lt;OFFSET($BN$9,DT48+3,0,1,1),((F48-OFFSET($BM$9,DT48+3,0,1,1))*OFFSET($CH$9,DT48+3,0,1,1))+OFFSET($BO$9,DT48+3,CQ48,1,1),0))))))</f>
        <v>0</v>
      </c>
      <c r="DV48" s="51">
        <f ca="1">IF($F48&lt;OFFSET($BM$9,$DT48-1,0,1,1),0,IF($F48&lt;OFFSET($BN$9,$DT48-1,0,1,1),IF(AND($H48&gt;2.4,Z48&lt;&gt;"e",Z48&lt;&gt;"f"),DZ48*2.4/$H48,DZ48),IF($F48&lt;OFFSET($BN$9,$DT48+0,0,1,1),IF(AND($H48&gt;2.4,Z48&lt;&gt;"e",Z48&lt;&gt;"f"),DZ48*2.4/$H48,DZ48),IF($F48&lt;OFFSET($BN$9,$DT48+1,0,1,1),IF(AND($H48&gt;2.4,Z48&lt;&gt;"e",Z48&lt;&gt;"f"),DZ48*2.4/$H48,DZ48),IF($F48&lt;OFFSET($BN$9,$DT48+2,0,1,1),IF(AND($H48&gt;2.4,Z48&lt;&gt;"e",Z48&lt;&gt;"f"),DZ48*2.4/$H48,DZ48),IF($F48&lt;OFFSET($BN$9,$DT48+3,0,1,1),IF(AND($H48&gt;2.4,Z48&lt;&gt;"e",Z48&lt;&gt;"f"),DZ48*2.4/$H48,DZ48),0)))))*COS(RADIANS($G48)))</f>
        <v>0</v>
      </c>
      <c r="DW48" s="188">
        <f ca="1">IF(F48&lt;OFFSET($BM$9,DT48-1,0,1,1),0,IF(F48&lt;OFFSET($BN$9,DT48-1,0,1,1),((F48-OFFSET($BM$9,DT48-1,0,1,1))*OFFSET($CI$9,DT48-1,0,1,1))+OFFSET($BP$9,DT48-1,CQ48,1,1),IF(F48&lt;OFFSET($BN$9,DT48+0,0,1,1),((F48-OFFSET($BM$9,DT48+0,0,1,1))*OFFSET($CI$9,DT48+0,0,1,1))+OFFSET($BP$9,DT48+0,CQ48,1,1),IF(F48&lt;OFFSET($BN$9,DT48+1,0,1,1),((F48-OFFSET($BM$9,DT48+1,0,1,1))*OFFSET($CI$9,DT48+1,0,1,1))+OFFSET($BP$9,DT48+1,CQ48,1,1),IF(F48&lt;OFFSET($BN$9,DT48+2,0,1,1),((F48-OFFSET($BM$9,DT48+2,0,1,1))*OFFSET($CI$9,DT48+2,0,1,1))+OFFSET($BP$9,DT48+2,CQ48,1,1),IF(F48&lt;OFFSET($BN$9,DT48+3,0,1,1),((F48-OFFSET($BM$9,DT48+3,0,1,1))*OFFSET($CI$9,DT48+3,0,1,1))+OFFSET($BP$9,DT48+3,CQ48,1,1),0))))))</f>
        <v>0</v>
      </c>
      <c r="DX48" s="51">
        <f ca="1">IF($F48&lt;OFFSET($BM$9,$DT48-1,0,1,1),0,IF($F48&lt;OFFSET($BN$9,$DT48-1,0,1,1),IF(AND($H48&gt;2.4,Z48&lt;&gt;"e",Z48&lt;&gt;"f"),EB48*2.4/$H48,EB48),IF($F48&lt;OFFSET($BN$9,$DT48+0,0,1,1),IF(AND($H48&gt;2.4,Z48&lt;&gt;"e",Z48&lt;&gt;"f"),EB48*2.4/$H48,EB48),IF($F48&lt;OFFSET($BN$9,$DT48+1,0,1,1),IF(AND($H48&gt;2.4,Z48&lt;&gt;"e",Z48&lt;&gt;"f"),EB48*2.4/$H48,EB48),IF($F48&lt;OFFSET($BN$9,$DT48+2,0,1,1),IF(AND($H48&gt;2.4,Z48&lt;&gt;"e",Z48&lt;&gt;"f"),EB48*2.4/$H48,EB48),IF($F48&lt;OFFSET($BN$9,$DT48+3,0,1,1),IF(AND($H48&gt;2.4,Z48&lt;&gt;"e",Z48&lt;&gt;"f"),EB48*2.4/$H48,EB48),0)))))*COS(RADIANS($G48)))</f>
        <v>0</v>
      </c>
      <c r="DY48" s="188"/>
      <c r="DZ48" s="188">
        <f ca="1">IF(DU48&gt;$CR48,$CR48,DU48)</f>
        <v>0</v>
      </c>
      <c r="EA48" s="188"/>
      <c r="EB48" s="188">
        <f ca="1">IF(DW48&gt;$CR48,$CR48,DW48)</f>
        <v>0</v>
      </c>
      <c r="EC48" s="435">
        <f ca="1">IF(DV48&gt;$CR48,$CR48,DV48)</f>
        <v>0</v>
      </c>
      <c r="ED48" s="435">
        <f ca="1">EC48*F48</f>
        <v>0</v>
      </c>
      <c r="EE48" s="436">
        <f ca="1">IF(DX48&gt;$CR48,$CR48,DX48)</f>
        <v>0</v>
      </c>
      <c r="EF48" s="437">
        <f ca="1">EE48*F48</f>
        <v>0</v>
      </c>
      <c r="EG48" s="613" t="str">
        <f>IF(D48=BG$12,BG$12,"")</f>
        <v/>
      </c>
      <c r="EH48" s="614" t="str">
        <f>IF(D48=BG$13,BG$13,"")</f>
        <v/>
      </c>
      <c r="EI48" s="611">
        <f>IF(EG48=BG$12,M48,0)</f>
        <v>0</v>
      </c>
      <c r="EJ48" s="451">
        <f>IF(EG48=BG$12,O48,0)</f>
        <v>0</v>
      </c>
      <c r="EK48" s="451">
        <f>IF(EH48=BG$13,M48,0)</f>
        <v>0</v>
      </c>
      <c r="EL48" s="612">
        <f>IF(EH48=BG$13,O48,0)</f>
        <v>0</v>
      </c>
      <c r="EM48" s="426" t="str">
        <f ca="1">IF(AND(Z48&lt;&gt;"t",Z48&lt;&gt;"f"),"",IF(AND(EN48=$BH$13,K48=$BH$12),"NotOpt",IF(K48&lt;&gt;EN48,"Error","")))</f>
        <v/>
      </c>
      <c r="EN48" s="491" t="str">
        <f>IF(AND($BH$28=1,$BG$28=1),$BH$13,$BH$12)</f>
        <v>120 BU's</v>
      </c>
      <c r="EO48" s="426" t="str">
        <f>K48</f>
        <v xml:space="preserve"> </v>
      </c>
      <c r="EP48" s="497">
        <v>1</v>
      </c>
      <c r="EQ48" s="430" t="str">
        <f ca="1">IF(EP48=1," ",OFFSET(BF$15,EP48-2,0,1,1))</f>
        <v xml:space="preserve"> </v>
      </c>
      <c r="ER48" s="439" t="str">
        <f ca="1">IF(H48=0," ",H48)</f>
        <v xml:space="preserve"> </v>
      </c>
      <c r="ES48" s="440" t="str">
        <f ca="1">IF(ER48&lt;&gt;" ",IF(ER48&lt;&gt;ER$7,"Changed",""),"")</f>
        <v/>
      </c>
      <c r="ET48" s="440">
        <f ca="1">IF(ER48&lt;&gt;" ",IF(ER48&lt;&gt;ER$7,1,0),0)</f>
        <v>0</v>
      </c>
      <c r="EU48" s="957" t="str">
        <f ca="1">IF(I48=" "," ",IF(F48&lt;OFFSET($BM$9,CL48-1,0,1,1),1,""))</f>
        <v xml:space="preserve"> </v>
      </c>
      <c r="EW48" s="427"/>
    </row>
    <row r="49" spans="1:153" ht="17.100000000000001" customHeight="1" thickBot="1">
      <c r="A49" s="2685"/>
      <c r="B49" s="2686" t="s">
        <v>8</v>
      </c>
      <c r="C49" s="2687"/>
      <c r="D49" s="1461" t="s">
        <v>8</v>
      </c>
      <c r="E49" s="659"/>
      <c r="F49" s="659"/>
      <c r="G49" s="659"/>
      <c r="H49" s="659"/>
      <c r="I49" s="1462"/>
      <c r="J49" s="1365" t="str">
        <f ca="1">(CONCATENATE(B44,$BE$54))</f>
        <v>G  Line:  Min. Requirement=</v>
      </c>
      <c r="K49" s="23"/>
      <c r="L49" s="1019">
        <f ca="1">L$5</f>
        <v>0</v>
      </c>
      <c r="M49" s="48">
        <f ca="1">IF(B44=B38,SUM(M44:M48)+M43,SUM(M44:M48))</f>
        <v>0</v>
      </c>
      <c r="N49" s="1019">
        <f ca="1">N$5</f>
        <v>0</v>
      </c>
      <c r="O49" s="125">
        <f ca="1">IF(B44=B38,SUM(O44:O48)+O43,SUM(O44:O48))</f>
        <v>0</v>
      </c>
      <c r="P49" s="139"/>
      <c r="Q49" s="42" t="str">
        <f ca="1">IF(B44=B50,"",IF(AND(M49&gt;0,L49&gt;M49),"More Required on this line",IF(AND(O49&gt;0,N49&gt;O49),"More Required on this line",IF(AND(M49&gt;0,L49=0,OR(M49&lt;$M$105,M49&lt;$BF$3)),"Achieved &lt; Min Req per Line",IF(AND(O49&gt;0,N49=0,OR(O49&lt;$O$105,O49&lt;$BF$3)),"Achieved &lt; Min Req per Line",IF(AND(L49&gt;0,L49&lt;$BF$3),$BE$59,IF(AND(N49&gt;0,N49&lt;$BF$3),$BE$59,"")))))))</f>
        <v/>
      </c>
      <c r="R49" s="52"/>
      <c r="S49" s="52"/>
      <c r="T49" s="52"/>
      <c r="U49" s="1378"/>
      <c r="V49" s="52"/>
      <c r="W49" s="898"/>
      <c r="X49" s="898"/>
      <c r="Y49" s="896"/>
      <c r="Z49" s="52"/>
      <c r="AA49" s="51"/>
      <c r="AB49" s="1364"/>
      <c r="AC49"/>
      <c r="AK49" s="63" t="str">
        <f>'Custom Elements'!B10</f>
        <v xml:space="preserve">  </v>
      </c>
      <c r="AL49" s="860" t="str">
        <f>'Custom Elements'!C10</f>
        <v>Custom2</v>
      </c>
      <c r="AM49" s="11">
        <f>'Custom Elements'!D10</f>
        <v>9.9999999999999996E-76</v>
      </c>
      <c r="AN49" s="7">
        <f>'Custom Elements'!E10</f>
        <v>0</v>
      </c>
      <c r="AO49" s="7">
        <f>'Custom Elements'!F10</f>
        <v>0</v>
      </c>
      <c r="AP49" s="1693" t="str">
        <f>'Custom Elements'!G10</f>
        <v>B</v>
      </c>
      <c r="AQ49" s="1777" t="str">
        <f>'Custom Elements'!H10</f>
        <v>Single</v>
      </c>
      <c r="AR49" s="1775" t="str">
        <f>'Custom Elements'!I10</f>
        <v>Yes</v>
      </c>
      <c r="AS49" s="442" t="str">
        <f>'Custom Elements'!J10</f>
        <v>Yes</v>
      </c>
      <c r="AT49" s="1150"/>
      <c r="AU49" s="1150"/>
      <c r="AZ49" s="442" t="str">
        <f>IF(AND('Custom Elements'!J10="Yes",'Custom Elements'!I10="Yes"),"T",IF('Custom Elements'!J10="Yes","F",IF('Custom Elements'!I10="Yes","H","E")))</f>
        <v>T</v>
      </c>
      <c r="BD49" s="638"/>
      <c r="BG49" s="1021"/>
      <c r="BI49" s="759"/>
      <c r="BJ49" s="897">
        <f t="shared" si="25"/>
        <v>41</v>
      </c>
      <c r="BX49" s="52"/>
      <c r="CH49" s="970"/>
      <c r="CI49" s="971"/>
      <c r="CJ49" s="759"/>
      <c r="CK49" s="188"/>
      <c r="CL49" s="979"/>
      <c r="CN49" s="497"/>
      <c r="CO49" s="497" t="s">
        <v>8</v>
      </c>
      <c r="CQ49" s="51" t="s">
        <v>8</v>
      </c>
      <c r="CR49" s="51" t="s">
        <v>8</v>
      </c>
      <c r="CS49" s="51" t="s">
        <v>8</v>
      </c>
      <c r="CT49" s="51" t="s">
        <v>8</v>
      </c>
      <c r="CU49" s="51" t="s">
        <v>8</v>
      </c>
      <c r="CV49" s="51" t="s">
        <v>8</v>
      </c>
      <c r="CW49" s="51" t="s">
        <v>8</v>
      </c>
      <c r="CX49" s="51" t="s">
        <v>8</v>
      </c>
      <c r="CY49" s="51" t="s">
        <v>8</v>
      </c>
      <c r="CZ49" s="51" t="s">
        <v>8</v>
      </c>
      <c r="DA49" s="51" t="s">
        <v>8</v>
      </c>
      <c r="DB49" s="984" t="s">
        <v>8</v>
      </c>
      <c r="DD49" s="758"/>
      <c r="DF49" s="52"/>
      <c r="DG49" s="51"/>
      <c r="DH49" s="51"/>
      <c r="DI49" s="51"/>
      <c r="DJ49" s="51"/>
      <c r="DK49" s="51"/>
      <c r="DL49" s="51" t="s">
        <v>8</v>
      </c>
      <c r="DM49" s="51"/>
      <c r="DN49" s="51" t="s">
        <v>8</v>
      </c>
      <c r="DO49" s="435" t="s">
        <v>8</v>
      </c>
      <c r="DP49" s="435" t="s">
        <v>8</v>
      </c>
      <c r="DQ49" s="868" t="s">
        <v>8</v>
      </c>
      <c r="DR49" s="868" t="s">
        <v>8</v>
      </c>
      <c r="DS49" s="426" t="s">
        <v>8</v>
      </c>
      <c r="DT49" s="451" t="s">
        <v>8</v>
      </c>
      <c r="DU49" s="188" t="s">
        <v>8</v>
      </c>
      <c r="DV49" s="188" t="s">
        <v>8</v>
      </c>
      <c r="DW49" s="188" t="s">
        <v>8</v>
      </c>
      <c r="DX49" s="188" t="s">
        <v>8</v>
      </c>
      <c r="DY49" s="188"/>
      <c r="DZ49" s="188" t="s">
        <v>8</v>
      </c>
      <c r="EA49" s="188"/>
      <c r="EB49" s="188" t="s">
        <v>8</v>
      </c>
      <c r="EC49" s="435" t="s">
        <v>8</v>
      </c>
      <c r="ED49" s="435" t="s">
        <v>8</v>
      </c>
      <c r="EE49" s="868" t="s">
        <v>8</v>
      </c>
      <c r="EF49" s="867" t="s">
        <v>8</v>
      </c>
      <c r="EG49" s="613"/>
      <c r="EH49" s="614"/>
      <c r="EI49" s="613"/>
      <c r="EJ49" s="435"/>
      <c r="EK49" s="451"/>
      <c r="EL49" s="612"/>
      <c r="EN49" s="947"/>
      <c r="ER49" s="441"/>
      <c r="ES49" s="440"/>
      <c r="ET49" s="440"/>
      <c r="EU49" s="957"/>
      <c r="EW49" s="427"/>
    </row>
    <row r="50" spans="1:153" ht="17.100000000000001" customHeight="1" thickBot="1">
      <c r="A50" s="2685"/>
      <c r="B50" s="1369" t="str">
        <f ca="1">S50</f>
        <v>H</v>
      </c>
      <c r="C50" s="684" t="str">
        <f>IF(OR(F50=0,I50="",I50=" ")," ",$V50)</f>
        <v xml:space="preserve"> </v>
      </c>
      <c r="D50" s="1033"/>
      <c r="E50" s="1360"/>
      <c r="F50" s="202"/>
      <c r="G50" s="1416"/>
      <c r="H50" s="199" t="str">
        <f ca="1">IF(OR(F50=0,Z50="E",Z50="f")," ",'Project Demand'!E$35)</f>
        <v xml:space="preserve"> </v>
      </c>
      <c r="I50" s="631" t="str">
        <f>IF($I$6&lt;&gt;$BG$8," ",AB50)</f>
        <v xml:space="preserve"> </v>
      </c>
      <c r="J50" s="43" t="str">
        <f ca="1">IF(OR(I50=" ",I50="")," ",OFFSET($BO$9,CL50-1,0-4,1,1))</f>
        <v xml:space="preserve"> </v>
      </c>
      <c r="K50" s="55" t="str">
        <f>IF(OR(I50=" ",I50="")," ",IF(OR(Z50="e",Z50="h"),"SD",BG$24))</f>
        <v xml:space="preserve"> </v>
      </c>
      <c r="L50" s="49">
        <f ca="1">CW50</f>
        <v>0</v>
      </c>
      <c r="M50" s="49">
        <f ca="1">CY50</f>
        <v>0</v>
      </c>
      <c r="N50" s="50">
        <f t="shared" ref="N50:O54" ca="1" si="28">DA50</f>
        <v>0</v>
      </c>
      <c r="O50" s="126">
        <f t="shared" ca="1" si="28"/>
        <v>0</v>
      </c>
      <c r="P50" s="140"/>
      <c r="Q50" s="752" t="str">
        <f ca="1">IF(AND(OR(Z50="t",Z50="f"),K50=$BH$11),"No Floor!  Change Floor Type",IF(OR(I50=" ",I50="")," ",IF(F50&lt;OFFSET($BM$9,CL50-1,0,1,1),"check L(m)",DE50&amp;IF(AND(DP50&gt;=CY50,DR50&gt;=DB50),IF(AND(ED50&gt;=DP50,EF50&gt;=DR50),CONCATENATE(DS50," will provide same result"),CONCATENATE(CO50," will provide same result")),IF((DP50&gt;=CY50),CONCATENATE(CO50," provides same result in WIND"),IF((DR50&gt;=DB50),CONCATENATE(CO50," provides same result in EQ"),""))))))&amp;IF(ISERROR(FIND("pile",I50,1)),"",IF(INT(F50)&lt;&gt;F50,"Pile!  Use Whole Numbers Only",""))</f>
        <v xml:space="preserve"> </v>
      </c>
      <c r="R50" s="52">
        <f ca="1">IF(T44&lt;&gt;2,(COLUMN(INDIRECT(B44&amp;1))+1),U50)</f>
        <v>8</v>
      </c>
      <c r="S50" s="1372" t="str">
        <f ca="1">SUBSTITUTE(ADDRESS(1,R50,4),"1","")</f>
        <v>H</v>
      </c>
      <c r="T50" s="451">
        <f ca="1">IF(AND(ISTEXT(B50),SUBSTITUTE(SUBSTITUTE(SUBSTITUTE(SUBSTITUTE(SUBSTITUTE(SUBSTITUTE(SUBSTITUTE(SUBSTITUTE(SUBSTITUTE(SUBSTITUTE(SUBSTITUTE(SUBSTITUTE(SUBSTITUTE(SUBSTITUTE(SUBSTITUTE(SUBSTITUTE(SUBSTITUTE(SUBSTITUTE(SUBSTITUTE(SUBSTITUTE(SUBSTITUTE(SUBSTITUTE(SUBSTITUTE(SUBSTITUTE(SUBSTITUTE(SUBSTITUTE(LOWER(B50),"a",),"b",),"c",),"d",),"e",),"f",),"g",),"h",),"i",),"j",),"k",),"l",),"m",),"n",),"o",),"p",),"q",),"r",),"s",),"t",),"u",),"v",),"w",),"x",),"y",),"z",)=""),1,2)</f>
        <v>1</v>
      </c>
      <c r="U50" s="1377">
        <v>8</v>
      </c>
      <c r="V50" s="52" t="str">
        <f ca="1">IF(AND(B$5=$BF$9,OR(I50=BH$16,I50=BH$17))," ",IF(ISNUMBER(B$50),(CONCATENATE(B$50,".",W50)),(CONCATENATE(B$50,W50))))</f>
        <v>H0</v>
      </c>
      <c r="W50" s="9">
        <f ca="1">IF(B44=B50,W48+X50,X50)</f>
        <v>0</v>
      </c>
      <c r="X50" s="9">
        <f>IF(AND(B$5=$BF$9,OR($I50=$BH$16,$I50=$BH$17,$I50=" ",$I50="",$F50=0)),0,IF(OR($I50=" ",$I50="",$F50=0),0,1))</f>
        <v>0</v>
      </c>
      <c r="Y50" s="896">
        <f ca="1">IF(AND(M55&gt;0,B50&lt;&gt;B56),1,0)</f>
        <v>0</v>
      </c>
      <c r="Z50" s="52" t="str">
        <f ca="1">IF(I50=" "," ",OFFSET($BM$9,$CL50-1,8,1,1))</f>
        <v xml:space="preserve"> </v>
      </c>
      <c r="AA50" s="51" t="str">
        <f>IF(G50&gt;=45,"WA","")</f>
        <v/>
      </c>
      <c r="AB50" s="1364" t="str">
        <f>IF(F50&lt;&gt;"",IF(OR(D50=$BG$12,D50=$BG$13),IF(E50&lt;&gt;$BG$17,$BF$12,$BF$13),IF(E50&lt;&gt;$BG$17,$BF$12,$BF$13))," ")</f>
        <v xml:space="preserve"> </v>
      </c>
      <c r="AC50" s="1"/>
      <c r="AK50" s="63" t="str">
        <f>'Custom Elements'!B11</f>
        <v xml:space="preserve">  </v>
      </c>
      <c r="AL50" s="860" t="str">
        <f>'Custom Elements'!C11</f>
        <v>Custom3</v>
      </c>
      <c r="AM50" s="11">
        <f>'Custom Elements'!D11</f>
        <v>9.9999999999999996E-76</v>
      </c>
      <c r="AN50" s="7">
        <f>'Custom Elements'!E11</f>
        <v>0</v>
      </c>
      <c r="AO50" s="7">
        <f>'Custom Elements'!F11</f>
        <v>0</v>
      </c>
      <c r="AP50" s="1693" t="str">
        <f>'Custom Elements'!G11</f>
        <v>B</v>
      </c>
      <c r="AQ50" s="1777" t="str">
        <f>'Custom Elements'!H11</f>
        <v>Single</v>
      </c>
      <c r="AR50" s="1775" t="str">
        <f>'Custom Elements'!I11</f>
        <v>Yes</v>
      </c>
      <c r="AS50" s="442" t="str">
        <f>'Custom Elements'!J11</f>
        <v>Yes</v>
      </c>
      <c r="AT50" s="1150"/>
      <c r="AU50" s="1150"/>
      <c r="AZ50" s="442" t="str">
        <f>IF(AND('Custom Elements'!J11="Yes",'Custom Elements'!I11="Yes"),"T",IF('Custom Elements'!J11="Yes","F",IF('Custom Elements'!I11="Yes","H","E")))</f>
        <v>T</v>
      </c>
      <c r="BD50" s="638"/>
      <c r="BF50" s="1021"/>
      <c r="BG50" s="1021"/>
      <c r="BI50" s="759"/>
      <c r="BJ50" s="897">
        <f t="shared" si="25"/>
        <v>42</v>
      </c>
      <c r="BK50" s="1252" t="str">
        <f>Table!AH71</f>
        <v xml:space="preserve">EPB </v>
      </c>
      <c r="BL50" s="765" t="str">
        <f>Table!C4</f>
        <v>ES-N</v>
      </c>
      <c r="BM50" s="454">
        <f>Table!D4</f>
        <v>0.4</v>
      </c>
      <c r="BN50" s="454">
        <f>BM51</f>
        <v>0.6</v>
      </c>
      <c r="BO50" s="454">
        <f>Table!E4</f>
        <v>66</v>
      </c>
      <c r="BP50" s="924">
        <f>Table!F4</f>
        <v>61</v>
      </c>
      <c r="BQ50" s="920"/>
      <c r="BR50" s="768">
        <f>Table!G4</f>
        <v>0</v>
      </c>
      <c r="BS50" s="454">
        <f>Table!G5</f>
        <v>0</v>
      </c>
      <c r="BT50" s="454" t="str">
        <f>Table!H4</f>
        <v>B</v>
      </c>
      <c r="BU50" s="924" t="s">
        <v>242</v>
      </c>
      <c r="BV50" s="1230" t="str">
        <f>Table!AI73</f>
        <v>ES-N</v>
      </c>
      <c r="BW50" s="1229">
        <f>BJ50</f>
        <v>42</v>
      </c>
      <c r="BX50" s="924" t="str">
        <f>Table!H5</f>
        <v>Single</v>
      </c>
      <c r="CH50" s="768">
        <f>IF(BN50=999,0,(BO51-BO50)/(BN50-BM50))</f>
        <v>15.000000000000004</v>
      </c>
      <c r="CI50" s="924">
        <f>IF(BN50=999,0,(BP51-BP50)/(BN50-BM50))</f>
        <v>0</v>
      </c>
      <c r="CJ50" s="759"/>
      <c r="CK50" s="188"/>
      <c r="CL50" s="979">
        <f>VLOOKUP(I50,Prodlink,2,0)</f>
        <v>0</v>
      </c>
      <c r="CN50" s="497">
        <f ca="1">VLOOKUP(CO50,Prodlink,2,0)</f>
        <v>0</v>
      </c>
      <c r="CO50" s="497">
        <f ca="1">OFFSET($CH$9,CL50-1,-15,1,1)</f>
        <v>0</v>
      </c>
      <c r="CQ50" s="51">
        <v>0</v>
      </c>
      <c r="CR50" s="51">
        <f>IF(K50=$BH$12,$BH$23,IF(K50=$BH$13,$BH$24,10000))</f>
        <v>10000</v>
      </c>
      <c r="CS50" s="51">
        <f ca="1">IF(F50&lt;OFFSET($BM$9,CL50-1,0,1,1),0,IF(F50&lt;OFFSET($BN$9,CL50-1,0,1,1),((F50-OFFSET($BM$9,CL50-1,0,1,1))*OFFSET($CH$9,CL50-1,0,1,1))+OFFSET($BO$9,CL50-1,CQ50,1,1),IF(F50&lt;OFFSET($BN$9,CL50+0,0,1,1),((F50-OFFSET($BM$9,CL50+0,0,1,1))*OFFSET($CH$9,CL50+0,0,1,1))+OFFSET($BO$9,CL50+0,CQ50,1,1),IF(F50&lt;OFFSET($BN$9,CL50+1,0,1,1),((F50-OFFSET($BM$9,CL50+1,0,1,1))*OFFSET($CH$9,CL50+1,0,1,1))+OFFSET($BO$9,CL50+1,CQ50,1,1),IF(F50&lt;OFFSET($BN$9,CL50+2,0,1,1),((F50-OFFSET($BM$9,CL50+2,0,1,1))*OFFSET($CH$9,CL50+2,0,1,1))+OFFSET($BO$9,CL50+2,CQ50,1,1),IF(F50&lt;OFFSET($BN$9,CL50+3,0,1,1),((F50-OFFSET($BM$9,CL50+3,0,1,1))*OFFSET($CH$9,CL50+3,0,1,1))+OFFSET($BO$9,CL50+3,CQ50,1,1),0))))))</f>
        <v>0</v>
      </c>
      <c r="CT50" s="51">
        <f ca="1">IF($F50&lt;OFFSET($BM$9,$CL50-1,0,1,1),0,IF($F50&lt;OFFSET($BN$9,$CL50-1,0,1,1),IF(AND($H50&gt;2.4,Z50&lt;&gt;"e",Z50&lt;&gt;"f"),CX50*2.4/$H50,CX50),IF($F50&lt;OFFSET($BN$9,$CL50+0,0,1,1),IF(AND($H50&gt;2.4,Z50&lt;&gt;"e",Z50&lt;&gt;"f"),CX50*2.4/$H50,CX50),IF($F50&lt;OFFSET($BN$9,$CL50+1,0,1,1),IF(AND($H50&gt;2.4,Z50&lt;&gt;"e",Z50&lt;&gt;"f"),CX50*2.4/$H50,CX50),IF($F50&lt;OFFSET($BN$9,CL50+2,0,1,1),IF(AND($H50&gt;2.4,Z50&lt;&gt;"e",Z50&lt;&gt;"f"),CX50*2.4/$H50,CX50),IF($F50&lt;OFFSET($BN$9,CL50+3,0,1,1),IF(AND($H50&gt;2.4,Z50&lt;&gt;"e",Z50&lt;&gt;"f"),CX50*2.4/$H50,CX50),0)))))*COS(RADIANS($G50)))</f>
        <v>0</v>
      </c>
      <c r="CU50" s="51">
        <f ca="1">IF(F50&lt;OFFSET($BM$9,CL50-1,0,1,1),0,IF(F50&lt;OFFSET($BN$9,CL50-1,0,1,1),((F50-OFFSET($BM$9,CL50-1,0,1,1))*OFFSET($CI$9,CL50-1,0,1,1))+OFFSET($BP$9,CL50-1,CQ50,1,1),IF(F50&lt;OFFSET($BN$9,CL50+0,0,1,1),((F50-OFFSET($BM$9,CL50+0,0,1,1))*OFFSET($CI$9,CL50+0,0,1,1))+OFFSET($BP$9,CL50+0,CQ50,1,1),IF(F50&lt;OFFSET($BN$9,CL50+1,0,1,1),((F50-OFFSET($BM$9,CL50+1,0,1,1))*OFFSET($CI$9,CL50+1,0,1,1))+OFFSET($BP$9,CL50+1,CQ50,1,1),IF(F50&lt;OFFSET($BN$9,CL50+2,0,1,1),((F50-OFFSET($BM$9,CL50+2,0,1,1))*OFFSET($CI$9,CL50+2,0,1,1))+OFFSET($BP$9,CL50+2,CQ50,1,1),IF(F50&lt;OFFSET($BN$9,CL50+3,0,1,1),((F50-OFFSET($BM$9,CL50+3,0,1,1))*OFFSET($CI$9,CL50+3,0,1,1))+OFFSET($BP$9,CL50+3,CQ50,1,1),0))))))</f>
        <v>0</v>
      </c>
      <c r="CV50" s="51">
        <f ca="1">IF($F50&lt;OFFSET($BM$9,$CL50-1,0,1,1),0,IF($F50&lt;OFFSET($BN$9,$CL50-1,0,1,1),IF(AND($H50&gt;2.4,Z50&lt;&gt;"e",Z50&lt;&gt;"f"),CZ50*2.4/$H50,CZ50),IF($F50&lt;OFFSET($BN$9,$CL50+0,0,1,1),IF(AND($H50&gt;2.4,Z50&lt;&gt;"e",Z50&lt;&gt;"f"),CZ50*2.4/$H50,CZ50),IF($F50&lt;OFFSET($BN$9,$CL50+1,0,1,1),IF(AND($H50&gt;2.4,Z50&lt;&gt;"e",Z50&lt;&gt;"f"),CZ50*2.4/$H50,CZ50),IF($F50&lt;OFFSET($BN$9,$CL50+2,0,1,1),IF(AND($H50&gt;2.4,Z50&lt;&gt;"e",Z50&lt;&gt;"f"),CZ50*2.4/$H50,CZ50),IF($F50&lt;OFFSET($BN$9,$CL50+3,0,1,1),IF(AND($H50&gt;2.4,Z50&lt;&gt;"e",Z50&lt;&gt;"f"),CZ50*2.4/$H50,CZ50),0)))))*COS(RADIANS($G50)))</f>
        <v>0</v>
      </c>
      <c r="CW50" s="51">
        <f ca="1">IF(CT50&gt;CR50,CR50,CT50)</f>
        <v>0</v>
      </c>
      <c r="CX50" s="51">
        <f ca="1">IF(CS50&gt;$CR50,$CR50,CS50)</f>
        <v>0</v>
      </c>
      <c r="CY50" s="51">
        <f ca="1">CW50*F50</f>
        <v>0</v>
      </c>
      <c r="CZ50" s="51">
        <f ca="1">IF($CU50&gt;$CR50,$CR50,$CU50)</f>
        <v>0</v>
      </c>
      <c r="DA50" s="51">
        <f ca="1">IF(CV50&gt;CR50,CR50,CV50)</f>
        <v>0</v>
      </c>
      <c r="DB50" s="984">
        <f ca="1">DA50*F50</f>
        <v>0</v>
      </c>
      <c r="DC50" s="993">
        <v>1</v>
      </c>
      <c r="DD50" s="758" t="str">
        <f>IF(OR(D50=BG$12,D50=BG$13),"External",IF(D50=BG$14,"Internal"," "))</f>
        <v xml:space="preserve"> </v>
      </c>
      <c r="DE50" s="51" t="str">
        <f t="shared" ca="1" si="1"/>
        <v/>
      </c>
      <c r="DF50" s="52" t="str">
        <f t="shared" ca="1" si="2"/>
        <v xml:space="preserve"> </v>
      </c>
      <c r="DG50" s="51">
        <f ca="1">IF(F50&lt;OFFSET($BM$9,CN50-1,0,1,1),0,IF(F50&lt;OFFSET($BN$9,CN50-1,0,1,1),((F50-OFFSET($BM$9,CN50-1,0,1,1))*OFFSET($CH$9,CN50-1,0,1,1))+OFFSET($BO$9,CN50-1,CQ50,1,1),IF(F50&lt;OFFSET($BN$9,CN50+0,0,1,1),((F50-OFFSET($BM$9,CN50+0,0,1,1))*OFFSET($CH$9,CN50+0,0,1,1))+OFFSET($BO$9,CN50+0,CQ50,1,1),IF(F50&lt;OFFSET($BN$9,CN50+1,0,1,1),((F50-OFFSET($BM$9,CN50+1,0,1,1))*OFFSET($CH$9,CN50+1,0,1,1))+OFFSET($BO$9,CN50+1,CQ50,1,1),IF(F50&lt;OFFSET($BN$9,CN50+2,0,1,1),((F50-OFFSET($BM$9,CN50+2,0,1,1))*OFFSET($CH$9,CN50+2,0,1,1))+OFFSET($BO$9,CN50+2,CQ50,1,1),IF(F50&lt;OFFSET($BN$9,CN50+3,0,1,1),((F50-OFFSET($BM$9,CN50+3,0,1,1))*OFFSET($CH$9,CN50+3,0,1,1))+OFFSET($BO$9,CN50+3,CQ50,1,1),0))))))</f>
        <v>0</v>
      </c>
      <c r="DH50" s="51">
        <f ca="1">IF($F50&lt;OFFSET($BM$9,$CN50-1,0,1,1),0,IF($F50&lt;OFFSET($BN$9,$CN50-1,0,1,1),IF(AND($H50&gt;2.4,Z50&lt;&gt;"e",Z50&lt;&gt;"f"),DL50*2.4/$H50,DL50),IF($F50&lt;OFFSET($BN$9,$CN50+0,0,1,1),IF(AND($H50&gt;2.4,Z50&lt;&gt;"e",Z50&lt;&gt;"f"),DL50*2.4/$H50,DL50),IF($F50&lt;OFFSET($BN$9,$CN50+1,0,1,1),IF(AND($H50&gt;2.4,Z50&lt;&gt;"e",Z50&lt;&gt;"f"),DL50*2.4/$H50,DL50),IF($F50&lt;OFFSET($BN$9,$CN50+2,0,1,1),IF(AND($H50&gt;2.4,Z50&lt;&gt;"e",Z50&lt;&gt;"f"),DL50*2.4/$H50,DL50),IF($F50&lt;OFFSET($BN$9,$CN50+3,0,1,1),IF(AND($H50&gt;2.4,Z50&lt;&gt;"e",Z50&lt;&gt;"f"),DL50*2.4/$H50,DL50),0)))))*COS(RADIANS($G50)))</f>
        <v>0</v>
      </c>
      <c r="DI50" s="51">
        <f ca="1">IF(F50&lt;OFFSET($BM$9,CN50-1,0,1,1),0,IF(F50&lt;OFFSET($BN$9,CN50-1,0,1,1),((F50-OFFSET($BM$9,CN50-1,0,1,1))*OFFSET($CI$9,CN50-1,0,1,1))+OFFSET($BP$9,CN50-1,CQ50,1,1),IF(F50&lt;OFFSET($BN$9,CN50+0,0,1,1),((F50-OFFSET($BM$9,CN50+0,0,1,1))*OFFSET($CI$9,CN50+0,0,1,1))+OFFSET($BP$9,CN50+0,CQ50,1,1),IF(F50&lt;OFFSET($BN$9,CN50+1,0,1,1),((F50-OFFSET($BM$9,CN50+1,0,1,1))*OFFSET($CI$9,CN50+1,0,1,1))+OFFSET($BP$9,CN50+1,CQ50,1,1),IF(F50&lt;OFFSET($BN$9,CN50+2,0,1,1),((F50-OFFSET($BM$9,CN50+2,0,1,1))*OFFSET($CI$9,CN50+2,0,1,1))+OFFSET($BP$9,CN50+2,CQ50,1,1),IF(F50&lt;OFFSET($BN$9,CN50+3,0,1,1),((F50-OFFSET($BM$9,CN50+3,0,1,1))*OFFSET($CI$9,CN50+3,0,1,1))+OFFSET($BP$9,CN50+3,CQ50,1,1),0))))))</f>
        <v>0</v>
      </c>
      <c r="DJ50" s="51">
        <f ca="1">IF($F50&lt;OFFSET($BM$9,$CN50-1,0,1,1),0,IF($F50&lt;OFFSET($BN$9,$CN50-1,0,1,1),IF(AND($H50&gt;2.4,Z50&lt;&gt;"e",Z50&lt;&gt;"f"),DN50*2.4/$H50,DN50),IF($F50&lt;OFFSET($BN$9,$CN50+0,0,1,1),IF(AND($H50&gt;2.4,Z50&lt;&gt;"e",Z50&lt;&gt;"f"),DN50*2.4/$H50,DN50),IF($F50&lt;OFFSET($BN$9,$CN50+1,0,1,1),IF(AND($H50&gt;2.4,Z50&lt;&gt;"e",Z50&lt;&gt;"f"),DN50*2.4/$H50,DN50),IF($F50&lt;OFFSET($BN$9,$CN50+2,0,1,1),IF(AND($H50&gt;2.4,Z50&lt;&gt;"e",Z50&lt;&gt;"f"),DN50*2.4/$H50,DN50),IF($F50&lt;OFFSET($BN$9,$CN50+3,0,1,1),IF(AND($H50&gt;2.4,Z50&lt;&gt;"e",Z50&lt;&gt;"f"),DN50*2.4/$H50,DN50),0)))))*COS(RADIANS($G50)))</f>
        <v>0</v>
      </c>
      <c r="DK50" s="51"/>
      <c r="DL50" s="51">
        <f ca="1">IF(DG50&gt;$CR50,$CR50,DG50)</f>
        <v>0</v>
      </c>
      <c r="DM50" s="51"/>
      <c r="DN50" s="51">
        <f ca="1">IF(DI50&gt;$CR50,$CR50,DI50)</f>
        <v>0</v>
      </c>
      <c r="DO50" s="435">
        <f ca="1">IF(DH50&gt;$CR50,$CR50,DH50)</f>
        <v>0</v>
      </c>
      <c r="DP50" s="435">
        <f ca="1">DO50*F50</f>
        <v>0</v>
      </c>
      <c r="DQ50" s="436">
        <f ca="1">IF(DJ50&gt;$CR50,$CR50,DJ50)</f>
        <v>0</v>
      </c>
      <c r="DR50" s="437">
        <f ca="1">DQ50*F50</f>
        <v>0</v>
      </c>
      <c r="DS50" s="426">
        <f ca="1">OFFSET($CH$9,CL50-1,-15,1,1)</f>
        <v>0</v>
      </c>
      <c r="DT50" s="451">
        <f ca="1">VLOOKUP(DS50,Prodlink,2,0)</f>
        <v>0</v>
      </c>
      <c r="DU50" s="188">
        <f ca="1">IF(F50&lt;OFFSET($BM$9,DT50-1,0,1,1),0,IF(F50&lt;OFFSET($BN$9,DT50-1,0,1,1),((F50-OFFSET($BM$9,DT50-1,0,1,1))*OFFSET($CH$9,DT50-1,0,1,1))+OFFSET($BO$9,DT50-1,CQ50,1,1),IF(F50&lt;OFFSET($BN$9,DT50+0,0,1,1),((F50-OFFSET($BM$9,DT50+0,0,1,1))*OFFSET($CH$9,DT50+0,0,1,1))+OFFSET($BO$9,DT50+0,CQ50,1,1),IF(F50&lt;OFFSET($BN$9,DT50+1,0,1,1),((F50-OFFSET($BM$9,DT50+1,0,1,1))*OFFSET($CH$9,DT50+1,0,1,1))+OFFSET($BO$9,DT50+1,CQ50,1,1),IF(F50&lt;OFFSET($BN$9,DT50+2,0,1,1),((F50-OFFSET($BM$9,DT50+2,0,1,1))*OFFSET($CH$9,DT50+2,0,1,1))+OFFSET($BO$9,DT50+2,CQ50,1,1),IF(F50&lt;OFFSET($BN$9,DT50+3,0,1,1),((F50-OFFSET($BM$9,DT50+3,0,1,1))*OFFSET($CH$9,DT50+3,0,1,1))+OFFSET($BO$9,DT50+3,CQ50,1,1),0))))))</f>
        <v>0</v>
      </c>
      <c r="DV50" s="51">
        <f ca="1">IF($F50&lt;OFFSET($BM$9,$DT50-1,0,1,1),0,IF($F50&lt;OFFSET($BN$9,$DT50-1,0,1,1),IF(AND($H50&gt;2.4,Z50&lt;&gt;"e",Z50&lt;&gt;"f"),DZ50*2.4/$H50,DZ50),IF($F50&lt;OFFSET($BN$9,$DT50+0,0,1,1),IF(AND($H50&gt;2.4,Z50&lt;&gt;"e",Z50&lt;&gt;"f"),DZ50*2.4/$H50,DZ50),IF($F50&lt;OFFSET($BN$9,$DT50+1,0,1,1),IF(AND($H50&gt;2.4,Z50&lt;&gt;"e",Z50&lt;&gt;"f"),DZ50*2.4/$H50,DZ50),IF($F50&lt;OFFSET($BN$9,$DT50+2,0,1,1),IF(AND($H50&gt;2.4,Z50&lt;&gt;"e",Z50&lt;&gt;"f"),DZ50*2.4/$H50,DZ50),IF($F50&lt;OFFSET($BN$9,$DT50+3,0,1,1),IF(AND($H50&gt;2.4,Z50&lt;&gt;"e",Z50&lt;&gt;"f"),DZ50*2.4/$H50,DZ50),0)))))*COS(RADIANS($G50)))</f>
        <v>0</v>
      </c>
      <c r="DW50" s="188">
        <f ca="1">IF(F50&lt;OFFSET($BM$9,DT50-1,0,1,1),0,IF(F50&lt;OFFSET($BN$9,DT50-1,0,1,1),((F50-OFFSET($BM$9,DT50-1,0,1,1))*OFFSET($CI$9,DT50-1,0,1,1))+OFFSET($BP$9,DT50-1,CQ50,1,1),IF(F50&lt;OFFSET($BN$9,DT50+0,0,1,1),((F50-OFFSET($BM$9,DT50+0,0,1,1))*OFFSET($CI$9,DT50+0,0,1,1))+OFFSET($BP$9,DT50+0,CQ50,1,1),IF(F50&lt;OFFSET($BN$9,DT50+1,0,1,1),((F50-OFFSET($BM$9,DT50+1,0,1,1))*OFFSET($CI$9,DT50+1,0,1,1))+OFFSET($BP$9,DT50+1,CQ50,1,1),IF(F50&lt;OFFSET($BN$9,DT50+2,0,1,1),((F50-OFFSET($BM$9,DT50+2,0,1,1))*OFFSET($CI$9,DT50+2,0,1,1))+OFFSET($BP$9,DT50+2,CQ50,1,1),IF(F50&lt;OFFSET($BN$9,DT50+3,0,1,1),((F50-OFFSET($BM$9,DT50+3,0,1,1))*OFFSET($CI$9,DT50+3,0,1,1))+OFFSET($BP$9,DT50+3,CQ50,1,1),0))))))</f>
        <v>0</v>
      </c>
      <c r="DX50" s="51">
        <f ca="1">IF($F50&lt;OFFSET($BM$9,$DT50-1,0,1,1),0,IF($F50&lt;OFFSET($BN$9,$DT50-1,0,1,1),IF(AND($H50&gt;2.4,Z50&lt;&gt;"e",Z50&lt;&gt;"f"),EB50*2.4/$H50,EB50),IF($F50&lt;OFFSET($BN$9,$DT50+0,0,1,1),IF(AND($H50&gt;2.4,Z50&lt;&gt;"e",Z50&lt;&gt;"f"),EB50*2.4/$H50,EB50),IF($F50&lt;OFFSET($BN$9,$DT50+1,0,1,1),IF(AND($H50&gt;2.4,Z50&lt;&gt;"e",Z50&lt;&gt;"f"),EB50*2.4/$H50,EB50),IF($F50&lt;OFFSET($BN$9,$DT50+2,0,1,1),IF(AND($H50&gt;2.4,Z50&lt;&gt;"e",Z50&lt;&gt;"f"),EB50*2.4/$H50,EB50),IF($F50&lt;OFFSET($BN$9,$DT50+3,0,1,1),IF(AND($H50&gt;2.4,Z50&lt;&gt;"e",Z50&lt;&gt;"f"),EB50*2.4/$H50,EB50),0)))))*COS(RADIANS($G50)))</f>
        <v>0</v>
      </c>
      <c r="DY50" s="188"/>
      <c r="DZ50" s="188">
        <f ca="1">IF(DU50&gt;$CR50,$CR50,DU50)</f>
        <v>0</v>
      </c>
      <c r="EA50" s="188"/>
      <c r="EB50" s="188">
        <f ca="1">IF(DW50&gt;$CR50,$CR50,DW50)</f>
        <v>0</v>
      </c>
      <c r="EC50" s="435">
        <f ca="1">IF(DV50&gt;$CR50,$CR50,DV50)</f>
        <v>0</v>
      </c>
      <c r="ED50" s="435">
        <f ca="1">EC50*F50</f>
        <v>0</v>
      </c>
      <c r="EE50" s="436">
        <f ca="1">IF(DX50&gt;$CR50,$CR50,DX50)</f>
        <v>0</v>
      </c>
      <c r="EF50" s="437">
        <f ca="1">EE50*F50</f>
        <v>0</v>
      </c>
      <c r="EG50" s="613" t="str">
        <f>IF(D50=BG$12,BG$12,"")</f>
        <v/>
      </c>
      <c r="EH50" s="614" t="str">
        <f>IF(D50=BG$13,BG$13,"")</f>
        <v/>
      </c>
      <c r="EI50" s="611">
        <f>IF(EG50=BG$12,M50,0)</f>
        <v>0</v>
      </c>
      <c r="EJ50" s="451">
        <f>IF(EG50=BG$12,O50,0)</f>
        <v>0</v>
      </c>
      <c r="EK50" s="451">
        <f>IF(EH50=BG$13,M50,0)</f>
        <v>0</v>
      </c>
      <c r="EL50" s="612">
        <f>IF(EH50=BG$13,O50,0)</f>
        <v>0</v>
      </c>
      <c r="EM50" s="426" t="str">
        <f ca="1">IF(AND(Z50&lt;&gt;"t",Z50&lt;&gt;"f"),"",IF(AND(EN50=$BH$13,K50=$BH$12),"NotOpt",IF(K50&lt;&gt;EN50,"Error","")))</f>
        <v/>
      </c>
      <c r="EN50" s="491" t="str">
        <f>IF(AND($BH$28=1,$BG$28=1),$BH$13,$BH$12)</f>
        <v>120 BU's</v>
      </c>
      <c r="EO50" s="426" t="str">
        <f>K50</f>
        <v xml:space="preserve"> </v>
      </c>
      <c r="EP50" s="497">
        <v>1</v>
      </c>
      <c r="EQ50" s="430" t="str">
        <f ca="1">IF(EP50=1," ",OFFSET(BF$15,EP50-2,0,1,1))</f>
        <v xml:space="preserve"> </v>
      </c>
      <c r="ER50" s="439" t="str">
        <f ca="1">IF(H50=0," ",H50)</f>
        <v xml:space="preserve"> </v>
      </c>
      <c r="ES50" s="440" t="str">
        <f ca="1">IF(ER50&lt;&gt;" ",IF(ER50&lt;&gt;ER$7,"Changed",""),"")</f>
        <v/>
      </c>
      <c r="ET50" s="440">
        <f ca="1">IF(ER50&lt;&gt;" ",IF(ER50&lt;&gt;ER$7,1,0),0)</f>
        <v>0</v>
      </c>
      <c r="EU50" s="957" t="str">
        <f ca="1">IF(I50=" "," ",IF(F50&lt;OFFSET($BM$9,CL50-1,0,1,1),1,""))</f>
        <v xml:space="preserve"> </v>
      </c>
      <c r="EW50" s="427"/>
    </row>
    <row r="51" spans="1:153" ht="17.100000000000001" customHeight="1">
      <c r="A51" s="2685"/>
      <c r="B51" s="689" t="s">
        <v>246</v>
      </c>
      <c r="C51" s="684" t="str">
        <f>IF(OR(F51=0,I51="",I51=" ")," ",$V51)</f>
        <v xml:space="preserve"> </v>
      </c>
      <c r="D51" s="1033"/>
      <c r="E51" s="1360" t="s">
        <v>8</v>
      </c>
      <c r="F51" s="202"/>
      <c r="G51" s="1416"/>
      <c r="H51" s="199" t="str">
        <f ca="1">IF(OR(F51=0,Z51="E",Z51="f")," ",'Project Demand'!E$35)</f>
        <v xml:space="preserve"> </v>
      </c>
      <c r="I51" s="631" t="str">
        <f>IF($I$6&lt;&gt;$BG$8," ",AB51)</f>
        <v xml:space="preserve"> </v>
      </c>
      <c r="J51" s="44" t="str">
        <f ca="1">IF(OR(I51=" ",I51="")," ",OFFSET($BO$9,CL51-1,0-4,1,1))</f>
        <v xml:space="preserve"> </v>
      </c>
      <c r="K51" s="55" t="str">
        <f>IF(OR(I51=" ",I51="")," ",IF(OR(Z51="e",Z51="h"),"SD",BG$24))</f>
        <v xml:space="preserve"> </v>
      </c>
      <c r="L51" s="49">
        <f ca="1">CW51</f>
        <v>0</v>
      </c>
      <c r="M51" s="49">
        <f ca="1">CY51</f>
        <v>0</v>
      </c>
      <c r="N51" s="50">
        <f t="shared" ca="1" si="28"/>
        <v>0</v>
      </c>
      <c r="O51" s="126">
        <f t="shared" ca="1" si="28"/>
        <v>0</v>
      </c>
      <c r="P51" s="140"/>
      <c r="Q51" s="752" t="str">
        <f ca="1">IF(AND(OR(Z51="t",Z51="f"),K51=$BH$11),"No Floor!  Change Floor Type",IF(OR(I51=" ",I51="")," ",IF(F51&lt;OFFSET($BM$9,CL51-1,0,1,1),"check L(m)",DE51&amp;IF(AND(DP51&gt;=CY51,DR51&gt;=DB51),IF(AND(ED51&gt;=DP51,EF51&gt;=DR51),CONCATENATE(DS51," will provide same result"),CONCATENATE(CO51," will provide same result")),IF((DP51&gt;=CY51),CONCATENATE(CO51," provides same result in WIND"),IF((DR51&gt;=DB51),CONCATENATE(CO51," provides same result in EQ"),""))))))&amp;IF(ISERROR(FIND("pile",I51,1)),"",IF(INT(F51)&lt;&gt;F51,"Pile!  Use Whole Numbers Only",""))</f>
        <v xml:space="preserve"> </v>
      </c>
      <c r="R51" s="52"/>
      <c r="S51" s="1372"/>
      <c r="T51" s="1372"/>
      <c r="U51" s="1377"/>
      <c r="V51" s="52" t="str">
        <f ca="1">IF(AND(B$5=$BF$9,OR(I51=BH$16,I51=BH$17))," ",IF(ISNUMBER(B$50),(CONCATENATE(B$50,".",W51)),(CONCATENATE(B$50,W51))))</f>
        <v>H0</v>
      </c>
      <c r="W51" s="9">
        <f ca="1">W50+X51</f>
        <v>0</v>
      </c>
      <c r="X51" s="9">
        <f>IF(AND(B$5=$BF$9,OR($I51=$BH$16,$I51=$BH$17,$I51=" ",$I51="",$F51=0)),0,IF(OR($I51=" ",$I51="",$F51=0),0,1))</f>
        <v>0</v>
      </c>
      <c r="Y51" s="896"/>
      <c r="Z51" s="52" t="str">
        <f ca="1">IF(I51=" "," ",OFFSET($BM$9,$CL51-1,8,1,1))</f>
        <v xml:space="preserve"> </v>
      </c>
      <c r="AA51" s="51" t="str">
        <f>IF(G51&gt;=45,"WA","")</f>
        <v/>
      </c>
      <c r="AB51" s="1364" t="str">
        <f>IF(F51&lt;&gt;"",IF(OR(D51=$BG$12,D51=$BG$13),IF(E51&lt;&gt;$BG$17,$BF$12,$BF$13),IF(E51&lt;&gt;$BG$17,$BF$12,$BF$13))," ")</f>
        <v xml:space="preserve"> </v>
      </c>
      <c r="AC51" s="1"/>
      <c r="AK51" s="63" t="str">
        <f>'Custom Elements'!B12</f>
        <v xml:space="preserve">  </v>
      </c>
      <c r="AL51" s="860" t="str">
        <f>'Custom Elements'!C12</f>
        <v>Custom4</v>
      </c>
      <c r="AM51" s="11">
        <f>'Custom Elements'!D12</f>
        <v>9.9999999999999996E-76</v>
      </c>
      <c r="AN51" s="7">
        <f>'Custom Elements'!E12</f>
        <v>0</v>
      </c>
      <c r="AO51" s="7">
        <f>'Custom Elements'!F12</f>
        <v>0</v>
      </c>
      <c r="AP51" s="1693" t="str">
        <f>'Custom Elements'!G12</f>
        <v>B</v>
      </c>
      <c r="AQ51" s="1777" t="str">
        <f>'Custom Elements'!H12</f>
        <v>Single</v>
      </c>
      <c r="AR51" s="1775" t="str">
        <f>'Custom Elements'!I12</f>
        <v>Yes</v>
      </c>
      <c r="AS51" s="442" t="str">
        <f>'Custom Elements'!J12</f>
        <v>Yes</v>
      </c>
      <c r="AT51" s="1150"/>
      <c r="AU51" s="1150"/>
      <c r="AZ51" s="442" t="str">
        <f>IF(AND('Custom Elements'!J12="Yes",'Custom Elements'!I12="Yes"),"T",IF('Custom Elements'!J12="Yes","F",IF('Custom Elements'!I12="Yes","H","E")))</f>
        <v>T</v>
      </c>
      <c r="BD51" s="638"/>
      <c r="BF51" s="73"/>
      <c r="BG51" s="73"/>
      <c r="BI51" s="759"/>
      <c r="BJ51" s="897">
        <f t="shared" si="25"/>
        <v>43</v>
      </c>
      <c r="BK51" s="1220"/>
      <c r="BL51" s="766"/>
      <c r="BM51" s="455">
        <f>Table!D5</f>
        <v>0.6</v>
      </c>
      <c r="BN51" s="455">
        <f>BM52</f>
        <v>0.8</v>
      </c>
      <c r="BO51" s="455">
        <f>Table!E5</f>
        <v>69</v>
      </c>
      <c r="BP51" s="925">
        <f>Table!F5</f>
        <v>61</v>
      </c>
      <c r="BR51" s="764"/>
      <c r="BS51" s="455"/>
      <c r="BT51" s="455"/>
      <c r="BU51" s="925" t="s">
        <v>242</v>
      </c>
      <c r="BV51" s="895"/>
      <c r="BW51" s="912"/>
      <c r="BX51" s="925" t="str">
        <f>Table!H5</f>
        <v>Single</v>
      </c>
      <c r="CH51" s="764">
        <f>IF(BN51=999,0,(BO52-BO51)/(BN51-BM51))</f>
        <v>14.999999999999995</v>
      </c>
      <c r="CI51" s="925">
        <f>IF(BN51=999,0,(BP52-BP51)/(BN51-BM51))</f>
        <v>0</v>
      </c>
      <c r="CJ51" s="759"/>
      <c r="CK51" s="188"/>
      <c r="CL51" s="979">
        <f>VLOOKUP(I51,Prodlink,2,0)</f>
        <v>0</v>
      </c>
      <c r="CN51" s="497">
        <f ca="1">VLOOKUP(CO51,Prodlink,2,0)</f>
        <v>0</v>
      </c>
      <c r="CO51" s="497">
        <f ca="1">OFFSET($CH$9,CL51-1,-15,1,1)</f>
        <v>0</v>
      </c>
      <c r="CQ51" s="51">
        <v>0</v>
      </c>
      <c r="CR51" s="51">
        <f>IF(K51=$BH$12,$BH$23,IF(K51=$BH$13,$BH$24,10000))</f>
        <v>10000</v>
      </c>
      <c r="CS51" s="51">
        <f ca="1">IF(F51&lt;OFFSET($BM$9,CL51-1,0,1,1),0,IF(F51&lt;OFFSET($BN$9,CL51-1,0,1,1),((F51-OFFSET($BM$9,CL51-1,0,1,1))*OFFSET($CH$9,CL51-1,0,1,1))+OFFSET($BO$9,CL51-1,CQ51,1,1),IF(F51&lt;OFFSET($BN$9,CL51+0,0,1,1),((F51-OFFSET($BM$9,CL51+0,0,1,1))*OFFSET($CH$9,CL51+0,0,1,1))+OFFSET($BO$9,CL51+0,CQ51,1,1),IF(F51&lt;OFFSET($BN$9,CL51+1,0,1,1),((F51-OFFSET($BM$9,CL51+1,0,1,1))*OFFSET($CH$9,CL51+1,0,1,1))+OFFSET($BO$9,CL51+1,CQ51,1,1),IF(F51&lt;OFFSET($BN$9,CL51+2,0,1,1),((F51-OFFSET($BM$9,CL51+2,0,1,1))*OFFSET($CH$9,CL51+2,0,1,1))+OFFSET($BO$9,CL51+2,CQ51,1,1),IF(F51&lt;OFFSET($BN$9,CL51+3,0,1,1),((F51-OFFSET($BM$9,CL51+3,0,1,1))*OFFSET($CH$9,CL51+3,0,1,1))+OFFSET($BO$9,CL51+3,CQ51,1,1),0))))))</f>
        <v>0</v>
      </c>
      <c r="CT51" s="51">
        <f ca="1">IF($F51&lt;OFFSET($BM$9,$CL51-1,0,1,1),0,IF($F51&lt;OFFSET($BN$9,$CL51-1,0,1,1),IF(AND($H51&gt;2.4,Z51&lt;&gt;"e",Z51&lt;&gt;"f"),CX51*2.4/$H51,CX51),IF($F51&lt;OFFSET($BN$9,$CL51+0,0,1,1),IF(AND($H51&gt;2.4,Z51&lt;&gt;"e",Z51&lt;&gt;"f"),CX51*2.4/$H51,CX51),IF($F51&lt;OFFSET($BN$9,$CL51+1,0,1,1),IF(AND($H51&gt;2.4,Z51&lt;&gt;"e",Z51&lt;&gt;"f"),CX51*2.4/$H51,CX51),IF($F51&lt;OFFSET($BN$9,CL51+2,0,1,1),IF(AND($H51&gt;2.4,Z51&lt;&gt;"e",Z51&lt;&gt;"f"),CX51*2.4/$H51,CX51),IF($F51&lt;OFFSET($BN$9,CL51+3,0,1,1),IF(AND($H51&gt;2.4,Z51&lt;&gt;"e",Z51&lt;&gt;"f"),CX51*2.4/$H51,CX51),0)))))*COS(RADIANS($G51)))</f>
        <v>0</v>
      </c>
      <c r="CU51" s="51">
        <f ca="1">IF(F51&lt;OFFSET($BM$9,CL51-1,0,1,1),0,IF(F51&lt;OFFSET($BN$9,CL51-1,0,1,1),((F51-OFFSET($BM$9,CL51-1,0,1,1))*OFFSET($CI$9,CL51-1,0,1,1))+OFFSET($BP$9,CL51-1,CQ51,1,1),IF(F51&lt;OFFSET($BN$9,CL51+0,0,1,1),((F51-OFFSET($BM$9,CL51+0,0,1,1))*OFFSET($CI$9,CL51+0,0,1,1))+OFFSET($BP$9,CL51+0,CQ51,1,1),IF(F51&lt;OFFSET($BN$9,CL51+1,0,1,1),((F51-OFFSET($BM$9,CL51+1,0,1,1))*OFFSET($CI$9,CL51+1,0,1,1))+OFFSET($BP$9,CL51+1,CQ51,1,1),IF(F51&lt;OFFSET($BN$9,CL51+2,0,1,1),((F51-OFFSET($BM$9,CL51+2,0,1,1))*OFFSET($CI$9,CL51+2,0,1,1))+OFFSET($BP$9,CL51+2,CQ51,1,1),IF(F51&lt;OFFSET($BN$9,CL51+3,0,1,1),((F51-OFFSET($BM$9,CL51+3,0,1,1))*OFFSET($CI$9,CL51+3,0,1,1))+OFFSET($BP$9,CL51+3,CQ51,1,1),0))))))</f>
        <v>0</v>
      </c>
      <c r="CV51" s="51">
        <f ca="1">IF($F51&lt;OFFSET($BM$9,$CL51-1,0,1,1),0,IF($F51&lt;OFFSET($BN$9,$CL51-1,0,1,1),IF(AND($H51&gt;2.4,Z51&lt;&gt;"e",Z51&lt;&gt;"f"),CZ51*2.4/$H51,CZ51),IF($F51&lt;OFFSET($BN$9,$CL51+0,0,1,1),IF(AND($H51&gt;2.4,Z51&lt;&gt;"e",Z51&lt;&gt;"f"),CZ51*2.4/$H51,CZ51),IF($F51&lt;OFFSET($BN$9,$CL51+1,0,1,1),IF(AND($H51&gt;2.4,Z51&lt;&gt;"e",Z51&lt;&gt;"f"),CZ51*2.4/$H51,CZ51),IF($F51&lt;OFFSET($BN$9,$CL51+2,0,1,1),IF(AND($H51&gt;2.4,Z51&lt;&gt;"e",Z51&lt;&gt;"f"),CZ51*2.4/$H51,CZ51),IF($F51&lt;OFFSET($BN$9,$CL51+3,0,1,1),IF(AND($H51&gt;2.4,Z51&lt;&gt;"e",Z51&lt;&gt;"f"),CZ51*2.4/$H51,CZ51),0)))))*COS(RADIANS($G51)))</f>
        <v>0</v>
      </c>
      <c r="CW51" s="51">
        <f ca="1">IF(CT51&gt;CR51,CR51,CT51)</f>
        <v>0</v>
      </c>
      <c r="CX51" s="51">
        <f ca="1">IF(CS51&gt;$CR51,$CR51,CS51)</f>
        <v>0</v>
      </c>
      <c r="CY51" s="51">
        <f ca="1">CW51*F51</f>
        <v>0</v>
      </c>
      <c r="CZ51" s="51">
        <f ca="1">IF($CU51&gt;$CR51,$CR51,$CU51)</f>
        <v>0</v>
      </c>
      <c r="DA51" s="51">
        <f ca="1">IF(CV51&gt;CR51,CR51,CV51)</f>
        <v>0</v>
      </c>
      <c r="DB51" s="984">
        <f ca="1">DA51*F51</f>
        <v>0</v>
      </c>
      <c r="DC51" s="993">
        <v>1</v>
      </c>
      <c r="DD51" s="758" t="str">
        <f>IF(OR(D51=BG$12,D51=BG$13),"External",IF(D51=BG$14,"Internal"," "))</f>
        <v xml:space="preserve"> </v>
      </c>
      <c r="DE51" s="51" t="str">
        <f t="shared" ca="1" si="1"/>
        <v/>
      </c>
      <c r="DF51" s="52" t="str">
        <f t="shared" ca="1" si="2"/>
        <v xml:space="preserve"> </v>
      </c>
      <c r="DG51" s="51">
        <f ca="1">IF(F51&lt;OFFSET($BM$9,CN51-1,0,1,1),0,IF(F51&lt;OFFSET($BN$9,CN51-1,0,1,1),((F51-OFFSET($BM$9,CN51-1,0,1,1))*OFFSET($CH$9,CN51-1,0,1,1))+OFFSET($BO$9,CN51-1,CQ51,1,1),IF(F51&lt;OFFSET($BN$9,CN51+0,0,1,1),((F51-OFFSET($BM$9,CN51+0,0,1,1))*OFFSET($CH$9,CN51+0,0,1,1))+OFFSET($BO$9,CN51+0,CQ51,1,1),IF(F51&lt;OFFSET($BN$9,CN51+1,0,1,1),((F51-OFFSET($BM$9,CN51+1,0,1,1))*OFFSET($CH$9,CN51+1,0,1,1))+OFFSET($BO$9,CN51+1,CQ51,1,1),IF(F51&lt;OFFSET($BN$9,CN51+2,0,1,1),((F51-OFFSET($BM$9,CN51+2,0,1,1))*OFFSET($CH$9,CN51+2,0,1,1))+OFFSET($BO$9,CN51+2,CQ51,1,1),IF(F51&lt;OFFSET($BN$9,CN51+3,0,1,1),((F51-OFFSET($BM$9,CN51+3,0,1,1))*OFFSET($CH$9,CN51+3,0,1,1))+OFFSET($BO$9,CN51+3,CQ51,1,1),0))))))</f>
        <v>0</v>
      </c>
      <c r="DH51" s="51">
        <f ca="1">IF($F51&lt;OFFSET($BM$9,$CN51-1,0,1,1),0,IF($F51&lt;OFFSET($BN$9,$CN51-1,0,1,1),IF(AND($H51&gt;2.4,Z51&lt;&gt;"e",Z51&lt;&gt;"f"),DL51*2.4/$H51,DL51),IF($F51&lt;OFFSET($BN$9,$CN51+0,0,1,1),IF(AND($H51&gt;2.4,Z51&lt;&gt;"e",Z51&lt;&gt;"f"),DL51*2.4/$H51,DL51),IF($F51&lt;OFFSET($BN$9,$CN51+1,0,1,1),IF(AND($H51&gt;2.4,Z51&lt;&gt;"e",Z51&lt;&gt;"f"),DL51*2.4/$H51,DL51),IF($F51&lt;OFFSET($BN$9,$CN51+2,0,1,1),IF(AND($H51&gt;2.4,Z51&lt;&gt;"e",Z51&lt;&gt;"f"),DL51*2.4/$H51,DL51),IF($F51&lt;OFFSET($BN$9,$CN51+3,0,1,1),IF(AND($H51&gt;2.4,Z51&lt;&gt;"e",Z51&lt;&gt;"f"),DL51*2.4/$H51,DL51),0)))))*COS(RADIANS($G51)))</f>
        <v>0</v>
      </c>
      <c r="DI51" s="51">
        <f ca="1">IF(F51&lt;OFFSET($BM$9,CN51-1,0,1,1),0,IF(F51&lt;OFFSET($BN$9,CN51-1,0,1,1),((F51-OFFSET($BM$9,CN51-1,0,1,1))*OFFSET($CI$9,CN51-1,0,1,1))+OFFSET($BP$9,CN51-1,CQ51,1,1),IF(F51&lt;OFFSET($BN$9,CN51+0,0,1,1),((F51-OFFSET($BM$9,CN51+0,0,1,1))*OFFSET($CI$9,CN51+0,0,1,1))+OFFSET($BP$9,CN51+0,CQ51,1,1),IF(F51&lt;OFFSET($BN$9,CN51+1,0,1,1),((F51-OFFSET($BM$9,CN51+1,0,1,1))*OFFSET($CI$9,CN51+1,0,1,1))+OFFSET($BP$9,CN51+1,CQ51,1,1),IF(F51&lt;OFFSET($BN$9,CN51+2,0,1,1),((F51-OFFSET($BM$9,CN51+2,0,1,1))*OFFSET($CI$9,CN51+2,0,1,1))+OFFSET($BP$9,CN51+2,CQ51,1,1),IF(F51&lt;OFFSET($BN$9,CN51+3,0,1,1),((F51-OFFSET($BM$9,CN51+3,0,1,1))*OFFSET($CI$9,CN51+3,0,1,1))+OFFSET($BP$9,CN51+3,CQ51,1,1),0))))))</f>
        <v>0</v>
      </c>
      <c r="DJ51" s="51">
        <f ca="1">IF($F51&lt;OFFSET($BM$9,$CN51-1,0,1,1),0,IF($F51&lt;OFFSET($BN$9,$CN51-1,0,1,1),IF(AND($H51&gt;2.4,Z51&lt;&gt;"e",Z51&lt;&gt;"f"),DN51*2.4/$H51,DN51),IF($F51&lt;OFFSET($BN$9,$CN51+0,0,1,1),IF(AND($H51&gt;2.4,Z51&lt;&gt;"e",Z51&lt;&gt;"f"),DN51*2.4/$H51,DN51),IF($F51&lt;OFFSET($BN$9,$CN51+1,0,1,1),IF(AND($H51&gt;2.4,Z51&lt;&gt;"e",Z51&lt;&gt;"f"),DN51*2.4/$H51,DN51),IF($F51&lt;OFFSET($BN$9,$CN51+2,0,1,1),IF(AND($H51&gt;2.4,Z51&lt;&gt;"e",Z51&lt;&gt;"f"),DN51*2.4/$H51,DN51),IF($F51&lt;OFFSET($BN$9,$CN51+3,0,1,1),IF(AND($H51&gt;2.4,Z51&lt;&gt;"e",Z51&lt;&gt;"f"),DN51*2.4/$H51,DN51),0)))))*COS(RADIANS($G51)))</f>
        <v>0</v>
      </c>
      <c r="DK51" s="51"/>
      <c r="DL51" s="51">
        <f ca="1">IF(DG51&gt;$CR51,$CR51,DG51)</f>
        <v>0</v>
      </c>
      <c r="DM51" s="51"/>
      <c r="DN51" s="51">
        <f ca="1">IF(DI51&gt;$CR51,$CR51,DI51)</f>
        <v>0</v>
      </c>
      <c r="DO51" s="435">
        <f ca="1">IF(DH51&gt;$CR51,$CR51,DH51)</f>
        <v>0</v>
      </c>
      <c r="DP51" s="435">
        <f ca="1">DO51*F51</f>
        <v>0</v>
      </c>
      <c r="DQ51" s="436">
        <f ca="1">IF(DJ51&gt;$CR51,$CR51,DJ51)</f>
        <v>0</v>
      </c>
      <c r="DR51" s="437">
        <f ca="1">DQ51*F51</f>
        <v>0</v>
      </c>
      <c r="DS51" s="426">
        <f ca="1">OFFSET($CH$9,CL51-1,-15,1,1)</f>
        <v>0</v>
      </c>
      <c r="DT51" s="451">
        <f ca="1">VLOOKUP(DS51,Prodlink,2,0)</f>
        <v>0</v>
      </c>
      <c r="DU51" s="188">
        <f ca="1">IF(F51&lt;OFFSET($BM$9,DT51-1,0,1,1),0,IF(F51&lt;OFFSET($BN$9,DT51-1,0,1,1),((F51-OFFSET($BM$9,DT51-1,0,1,1))*OFFSET($CH$9,DT51-1,0,1,1))+OFFSET($BO$9,DT51-1,CQ51,1,1),IF(F51&lt;OFFSET($BN$9,DT51+0,0,1,1),((F51-OFFSET($BM$9,DT51+0,0,1,1))*OFFSET($CH$9,DT51+0,0,1,1))+OFFSET($BO$9,DT51+0,CQ51,1,1),IF(F51&lt;OFFSET($BN$9,DT51+1,0,1,1),((F51-OFFSET($BM$9,DT51+1,0,1,1))*OFFSET($CH$9,DT51+1,0,1,1))+OFFSET($BO$9,DT51+1,CQ51,1,1),IF(F51&lt;OFFSET($BN$9,DT51+2,0,1,1),((F51-OFFSET($BM$9,DT51+2,0,1,1))*OFFSET($CH$9,DT51+2,0,1,1))+OFFSET($BO$9,DT51+2,CQ51,1,1),IF(F51&lt;OFFSET($BN$9,DT51+3,0,1,1),((F51-OFFSET($BM$9,DT51+3,0,1,1))*OFFSET($CH$9,DT51+3,0,1,1))+OFFSET($BO$9,DT51+3,CQ51,1,1),0))))))</f>
        <v>0</v>
      </c>
      <c r="DV51" s="51">
        <f ca="1">IF($F51&lt;OFFSET($BM$9,$DT51-1,0,1,1),0,IF($F51&lt;OFFSET($BN$9,$DT51-1,0,1,1),IF(AND($H51&gt;2.4,Z51&lt;&gt;"e",Z51&lt;&gt;"f"),DZ51*2.4/$H51,DZ51),IF($F51&lt;OFFSET($BN$9,$DT51+0,0,1,1),IF(AND($H51&gt;2.4,Z51&lt;&gt;"e",Z51&lt;&gt;"f"),DZ51*2.4/$H51,DZ51),IF($F51&lt;OFFSET($BN$9,$DT51+1,0,1,1),IF(AND($H51&gt;2.4,Z51&lt;&gt;"e",Z51&lt;&gt;"f"),DZ51*2.4/$H51,DZ51),IF($F51&lt;OFFSET($BN$9,$DT51+2,0,1,1),IF(AND($H51&gt;2.4,Z51&lt;&gt;"e",Z51&lt;&gt;"f"),DZ51*2.4/$H51,DZ51),IF($F51&lt;OFFSET($BN$9,$DT51+3,0,1,1),IF(AND($H51&gt;2.4,Z51&lt;&gt;"e",Z51&lt;&gt;"f"),DZ51*2.4/$H51,DZ51),0)))))*COS(RADIANS($G51)))</f>
        <v>0</v>
      </c>
      <c r="DW51" s="188">
        <f ca="1">IF(F51&lt;OFFSET($BM$9,DT51-1,0,1,1),0,IF(F51&lt;OFFSET($BN$9,DT51-1,0,1,1),((F51-OFFSET($BM$9,DT51-1,0,1,1))*OFFSET($CI$9,DT51-1,0,1,1))+OFFSET($BP$9,DT51-1,CQ51,1,1),IF(F51&lt;OFFSET($BN$9,DT51+0,0,1,1),((F51-OFFSET($BM$9,DT51+0,0,1,1))*OFFSET($CI$9,DT51+0,0,1,1))+OFFSET($BP$9,DT51+0,CQ51,1,1),IF(F51&lt;OFFSET($BN$9,DT51+1,0,1,1),((F51-OFFSET($BM$9,DT51+1,0,1,1))*OFFSET($CI$9,DT51+1,0,1,1))+OFFSET($BP$9,DT51+1,CQ51,1,1),IF(F51&lt;OFFSET($BN$9,DT51+2,0,1,1),((F51-OFFSET($BM$9,DT51+2,0,1,1))*OFFSET($CI$9,DT51+2,0,1,1))+OFFSET($BP$9,DT51+2,CQ51,1,1),IF(F51&lt;OFFSET($BN$9,DT51+3,0,1,1),((F51-OFFSET($BM$9,DT51+3,0,1,1))*OFFSET($CI$9,DT51+3,0,1,1))+OFFSET($BP$9,DT51+3,CQ51,1,1),0))))))</f>
        <v>0</v>
      </c>
      <c r="DX51" s="51">
        <f ca="1">IF($F51&lt;OFFSET($BM$9,$DT51-1,0,1,1),0,IF($F51&lt;OFFSET($BN$9,$DT51-1,0,1,1),IF(AND($H51&gt;2.4,Z51&lt;&gt;"e",Z51&lt;&gt;"f"),EB51*2.4/$H51,EB51),IF($F51&lt;OFFSET($BN$9,$DT51+0,0,1,1),IF(AND($H51&gt;2.4,Z51&lt;&gt;"e",Z51&lt;&gt;"f"),EB51*2.4/$H51,EB51),IF($F51&lt;OFFSET($BN$9,$DT51+1,0,1,1),IF(AND($H51&gt;2.4,Z51&lt;&gt;"e",Z51&lt;&gt;"f"),EB51*2.4/$H51,EB51),IF($F51&lt;OFFSET($BN$9,$DT51+2,0,1,1),IF(AND($H51&gt;2.4,Z51&lt;&gt;"e",Z51&lt;&gt;"f"),EB51*2.4/$H51,EB51),IF($F51&lt;OFFSET($BN$9,$DT51+3,0,1,1),IF(AND($H51&gt;2.4,Z51&lt;&gt;"e",Z51&lt;&gt;"f"),EB51*2.4/$H51,EB51),0)))))*COS(RADIANS($G51)))</f>
        <v>0</v>
      </c>
      <c r="DY51" s="188"/>
      <c r="DZ51" s="188">
        <f ca="1">IF(DU51&gt;$CR51,$CR51,DU51)</f>
        <v>0</v>
      </c>
      <c r="EA51" s="188"/>
      <c r="EB51" s="188">
        <f ca="1">IF(DW51&gt;$CR51,$CR51,DW51)</f>
        <v>0</v>
      </c>
      <c r="EC51" s="435">
        <f ca="1">IF(DV51&gt;$CR51,$CR51,DV51)</f>
        <v>0</v>
      </c>
      <c r="ED51" s="435">
        <f ca="1">EC51*F51</f>
        <v>0</v>
      </c>
      <c r="EE51" s="436">
        <f ca="1">IF(DX51&gt;$CR51,$CR51,DX51)</f>
        <v>0</v>
      </c>
      <c r="EF51" s="437">
        <f ca="1">EE51*F51</f>
        <v>0</v>
      </c>
      <c r="EG51" s="613" t="str">
        <f>IF(D51=BG$12,BG$12,"")</f>
        <v/>
      </c>
      <c r="EH51" s="614" t="str">
        <f>IF(D51=BG$13,BG$13,"")</f>
        <v/>
      </c>
      <c r="EI51" s="611">
        <f>IF(EG51=BG$12,M51,0)</f>
        <v>0</v>
      </c>
      <c r="EJ51" s="451">
        <f>IF(EG51=BG$12,O51,0)</f>
        <v>0</v>
      </c>
      <c r="EK51" s="451">
        <f>IF(EH51=BG$13,M51,0)</f>
        <v>0</v>
      </c>
      <c r="EL51" s="612">
        <f>IF(EH51=BG$13,O51,0)</f>
        <v>0</v>
      </c>
      <c r="EM51" s="426" t="str">
        <f ca="1">IF(AND(Z51&lt;&gt;"t",Z51&lt;&gt;"f"),"",IF(AND(EN51=$BH$13,K51=$BH$12),"NotOpt",IF(K51&lt;&gt;EN51,"Error","")))</f>
        <v/>
      </c>
      <c r="EN51" s="491" t="str">
        <f>IF(AND($BH$28=1,$BG$28=1),$BH$13,$BH$12)</f>
        <v>120 BU's</v>
      </c>
      <c r="EO51" s="426" t="str">
        <f>K51</f>
        <v xml:space="preserve"> </v>
      </c>
      <c r="EP51" s="497">
        <v>1</v>
      </c>
      <c r="EQ51" s="430" t="str">
        <f ca="1">IF(EP51=1," ",OFFSET(BF$15,EP51-2,0,1,1))</f>
        <v xml:space="preserve"> </v>
      </c>
      <c r="ER51" s="439" t="str">
        <f ca="1">IF(H51=0," ",H51)</f>
        <v xml:space="preserve"> </v>
      </c>
      <c r="ES51" s="440" t="str">
        <f ca="1">IF(ER51&lt;&gt;" ",IF(ER51&lt;&gt;ER$7,"Changed",""),"")</f>
        <v/>
      </c>
      <c r="ET51" s="440">
        <f ca="1">IF(ER51&lt;&gt;" ",IF(ER51&lt;&gt;ER$7,1,0),0)</f>
        <v>0</v>
      </c>
      <c r="EU51" s="957" t="str">
        <f ca="1">IF(I51=" "," ",IF(F51&lt;OFFSET($BM$9,CL51-1,0,1,1),1,""))</f>
        <v xml:space="preserve"> </v>
      </c>
      <c r="EW51" s="427"/>
    </row>
    <row r="52" spans="1:153" ht="17.100000000000001" customHeight="1">
      <c r="A52" s="2685"/>
      <c r="B52" s="689" t="s">
        <v>246</v>
      </c>
      <c r="C52" s="684" t="str">
        <f>IF(OR(F52=0,I52="",I52=" ")," ",$V52)</f>
        <v xml:space="preserve"> </v>
      </c>
      <c r="D52" s="1033"/>
      <c r="E52" s="1360"/>
      <c r="F52" s="202"/>
      <c r="G52" s="1416"/>
      <c r="H52" s="199" t="str">
        <f ca="1">IF(OR(F52=0,Z52="E",Z52="f")," ",'Project Demand'!E$35)</f>
        <v xml:space="preserve"> </v>
      </c>
      <c r="I52" s="631" t="str">
        <f>IF($I$6&lt;&gt;$BG$8," ",AB52)</f>
        <v xml:space="preserve"> </v>
      </c>
      <c r="J52" s="44" t="str">
        <f ca="1">IF(OR(I52=" ",I52="")," ",OFFSET($BO$9,CL52-1,0-4,1,1))</f>
        <v xml:space="preserve"> </v>
      </c>
      <c r="K52" s="55" t="str">
        <f>IF(OR(I52=" ",I52="")," ",IF(OR(Z52="e",Z52="h"),"SD",BG$24))</f>
        <v xml:space="preserve"> </v>
      </c>
      <c r="L52" s="49">
        <f ca="1">CW52</f>
        <v>0</v>
      </c>
      <c r="M52" s="49">
        <f ca="1">CY52</f>
        <v>0</v>
      </c>
      <c r="N52" s="50">
        <f t="shared" ca="1" si="28"/>
        <v>0</v>
      </c>
      <c r="O52" s="126">
        <f t="shared" ca="1" si="28"/>
        <v>0</v>
      </c>
      <c r="P52" s="140"/>
      <c r="Q52" s="752" t="str">
        <f ca="1">IF(AND(OR(Z52="t",Z52="f"),K52=$BH$11),"No Floor!  Change Floor Type",IF(OR(I52=" ",I52="")," ",IF(F52&lt;OFFSET($BM$9,CL52-1,0,1,1),"check L(m)",DE52&amp;IF(AND(DP52&gt;=CY52,DR52&gt;=DB52),IF(AND(ED52&gt;=DP52,EF52&gt;=DR52),CONCATENATE(DS52," will provide same result"),CONCATENATE(CO52," will provide same result")),IF((DP52&gt;=CY52),CONCATENATE(CO52," provides same result in WIND"),IF((DR52&gt;=DB52),CONCATENATE(CO52," provides same result in EQ"),""))))))&amp;IF(ISERROR(FIND("pile",I52,1)),"",IF(INT(F52)&lt;&gt;F52,"Pile!  Use Whole Numbers Only",""))</f>
        <v xml:space="preserve"> </v>
      </c>
      <c r="R52" s="52"/>
      <c r="S52" s="1372"/>
      <c r="T52" s="1372"/>
      <c r="U52" s="1377"/>
      <c r="V52" s="52" t="str">
        <f ca="1">IF(AND(B$5=$BF$9,OR(I52=BH$16,I52=BH$17))," ",IF(ISNUMBER(B$50),(CONCATENATE(B$50,".",W52)),(CONCATENATE(B$50,W52))))</f>
        <v>H0</v>
      </c>
      <c r="W52" s="9">
        <f ca="1">W51+X52</f>
        <v>0</v>
      </c>
      <c r="X52" s="9">
        <f>IF(AND(B$5=$BF$9,OR($I52=$BH$16,$I52=$BH$17,$I52=" ",$I52="",$F52=0)),0,IF(OR($I52=" ",$I52="",$F52=0),0,1))</f>
        <v>0</v>
      </c>
      <c r="Y52" s="896"/>
      <c r="Z52" s="52" t="str">
        <f ca="1">IF(I52=" "," ",OFFSET($BM$9,$CL52-1,8,1,1))</f>
        <v xml:space="preserve"> </v>
      </c>
      <c r="AA52" s="51" t="str">
        <f>IF(G52&gt;=45,"WA","")</f>
        <v/>
      </c>
      <c r="AB52" s="1364" t="str">
        <f>IF(F52&lt;&gt;"",IF(OR(D52=$BG$12,D52=$BG$13),IF(E52&lt;&gt;$BG$17,$BF$12,$BF$13),IF(E52&lt;&gt;$BG$17,$BF$12,$BF$13))," ")</f>
        <v xml:space="preserve"> </v>
      </c>
      <c r="AC52" s="1"/>
      <c r="AK52" s="63" t="str">
        <f>'Custom Elements'!B13</f>
        <v xml:space="preserve">  </v>
      </c>
      <c r="AL52" s="860" t="str">
        <f>'Custom Elements'!C13</f>
        <v>Custom5</v>
      </c>
      <c r="AM52" s="11">
        <f>'Custom Elements'!D13</f>
        <v>9.9999999999999996E-76</v>
      </c>
      <c r="AN52" s="7">
        <f>'Custom Elements'!E13</f>
        <v>0</v>
      </c>
      <c r="AO52" s="7">
        <f>'Custom Elements'!F13</f>
        <v>0</v>
      </c>
      <c r="AP52" s="762" t="str">
        <f>'Custom Elements'!G13</f>
        <v>B</v>
      </c>
      <c r="AQ52" s="1777" t="str">
        <f>'Custom Elements'!H13</f>
        <v>Single</v>
      </c>
      <c r="AR52" s="1775" t="str">
        <f>'Custom Elements'!I13</f>
        <v>Yes</v>
      </c>
      <c r="AS52" s="442" t="str">
        <f>'Custom Elements'!J13</f>
        <v>Yes</v>
      </c>
      <c r="AT52" s="1150"/>
      <c r="AU52" s="1150"/>
      <c r="AZ52" s="442" t="str">
        <f>IF(AND('Custom Elements'!J13="Yes",'Custom Elements'!I13="Yes"),"T",IF('Custom Elements'!J13="Yes","F",IF('Custom Elements'!I13="Yes","H","E")))</f>
        <v>T</v>
      </c>
      <c r="BD52" s="638"/>
      <c r="BF52" s="73"/>
      <c r="BG52" s="73"/>
      <c r="BI52" s="759"/>
      <c r="BJ52" s="897">
        <f t="shared" si="25"/>
        <v>44</v>
      </c>
      <c r="BK52" s="1220"/>
      <c r="BL52" s="766"/>
      <c r="BM52" s="455">
        <f>Table!D6</f>
        <v>0.8</v>
      </c>
      <c r="BN52" s="455">
        <f>BM53</f>
        <v>1.2</v>
      </c>
      <c r="BO52" s="455">
        <f>Table!E6</f>
        <v>72</v>
      </c>
      <c r="BP52" s="925">
        <f>Table!F6</f>
        <v>61</v>
      </c>
      <c r="BR52" s="764"/>
      <c r="BS52" s="455"/>
      <c r="BT52" s="455"/>
      <c r="BU52" s="925" t="s">
        <v>242</v>
      </c>
      <c r="BV52" s="895"/>
      <c r="BW52" s="912"/>
      <c r="BX52" s="925" t="str">
        <f>Table!H5</f>
        <v>Single</v>
      </c>
      <c r="CH52" s="764">
        <f>IF(BN52=999,0,(BO53-BO52)/(BN52-BM52))</f>
        <v>0</v>
      </c>
      <c r="CI52" s="925">
        <f>IF(BN52=999,0,(BP53-BP52)/(BN52-BM52))</f>
        <v>7.5000000000000018</v>
      </c>
      <c r="CJ52" s="759"/>
      <c r="CK52" s="188"/>
      <c r="CL52" s="979">
        <f>VLOOKUP(I52,Prodlink,2,0)</f>
        <v>0</v>
      </c>
      <c r="CN52" s="497">
        <f ca="1">VLOOKUP(CO52,Prodlink,2,0)</f>
        <v>0</v>
      </c>
      <c r="CO52" s="497">
        <f ca="1">OFFSET($CH$9,CL52-1,-15,1,1)</f>
        <v>0</v>
      </c>
      <c r="CQ52" s="51">
        <v>0</v>
      </c>
      <c r="CR52" s="51">
        <f>IF(K52=$BH$12,$BH$23,IF(K52=$BH$13,$BH$24,10000))</f>
        <v>10000</v>
      </c>
      <c r="CS52" s="51">
        <f ca="1">IF(F52&lt;OFFSET($BM$9,CL52-1,0,1,1),0,IF(F52&lt;OFFSET($BN$9,CL52-1,0,1,1),((F52-OFFSET($BM$9,CL52-1,0,1,1))*OFFSET($CH$9,CL52-1,0,1,1))+OFFSET($BO$9,CL52-1,CQ52,1,1),IF(F52&lt;OFFSET($BN$9,CL52+0,0,1,1),((F52-OFFSET($BM$9,CL52+0,0,1,1))*OFFSET($CH$9,CL52+0,0,1,1))+OFFSET($BO$9,CL52+0,CQ52,1,1),IF(F52&lt;OFFSET($BN$9,CL52+1,0,1,1),((F52-OFFSET($BM$9,CL52+1,0,1,1))*OFFSET($CH$9,CL52+1,0,1,1))+OFFSET($BO$9,CL52+1,CQ52,1,1),IF(F52&lt;OFFSET($BN$9,CL52+2,0,1,1),((F52-OFFSET($BM$9,CL52+2,0,1,1))*OFFSET($CH$9,CL52+2,0,1,1))+OFFSET($BO$9,CL52+2,CQ52,1,1),IF(F52&lt;OFFSET($BN$9,CL52+3,0,1,1),((F52-OFFSET($BM$9,CL52+3,0,1,1))*OFFSET($CH$9,CL52+3,0,1,1))+OFFSET($BO$9,CL52+3,CQ52,1,1),0))))))</f>
        <v>0</v>
      </c>
      <c r="CT52" s="51">
        <f ca="1">IF($F52&lt;OFFSET($BM$9,$CL52-1,0,1,1),0,IF($F52&lt;OFFSET($BN$9,$CL52-1,0,1,1),IF(AND($H52&gt;2.4,Z52&lt;&gt;"e",Z52&lt;&gt;"f"),CX52*2.4/$H52,CX52),IF($F52&lt;OFFSET($BN$9,$CL52+0,0,1,1),IF(AND($H52&gt;2.4,Z52&lt;&gt;"e",Z52&lt;&gt;"f"),CX52*2.4/$H52,CX52),IF($F52&lt;OFFSET($BN$9,$CL52+1,0,1,1),IF(AND($H52&gt;2.4,Z52&lt;&gt;"e",Z52&lt;&gt;"f"),CX52*2.4/$H52,CX52),IF($F52&lt;OFFSET($BN$9,CL52+2,0,1,1),IF(AND($H52&gt;2.4,Z52&lt;&gt;"e",Z52&lt;&gt;"f"),CX52*2.4/$H52,CX52),IF($F52&lt;OFFSET($BN$9,CL52+3,0,1,1),IF(AND($H52&gt;2.4,Z52&lt;&gt;"e",Z52&lt;&gt;"f"),CX52*2.4/$H52,CX52),0)))))*COS(RADIANS($G52)))</f>
        <v>0</v>
      </c>
      <c r="CU52" s="51">
        <f ca="1">IF(F52&lt;OFFSET($BM$9,CL52-1,0,1,1),0,IF(F52&lt;OFFSET($BN$9,CL52-1,0,1,1),((F52-OFFSET($BM$9,CL52-1,0,1,1))*OFFSET($CI$9,CL52-1,0,1,1))+OFFSET($BP$9,CL52-1,CQ52,1,1),IF(F52&lt;OFFSET($BN$9,CL52+0,0,1,1),((F52-OFFSET($BM$9,CL52+0,0,1,1))*OFFSET($CI$9,CL52+0,0,1,1))+OFFSET($BP$9,CL52+0,CQ52,1,1),IF(F52&lt;OFFSET($BN$9,CL52+1,0,1,1),((F52-OFFSET($BM$9,CL52+1,0,1,1))*OFFSET($CI$9,CL52+1,0,1,1))+OFFSET($BP$9,CL52+1,CQ52,1,1),IF(F52&lt;OFFSET($BN$9,CL52+2,0,1,1),((F52-OFFSET($BM$9,CL52+2,0,1,1))*OFFSET($CI$9,CL52+2,0,1,1))+OFFSET($BP$9,CL52+2,CQ52,1,1),IF(F52&lt;OFFSET($BN$9,CL52+3,0,1,1),((F52-OFFSET($BM$9,CL52+3,0,1,1))*OFFSET($CI$9,CL52+3,0,1,1))+OFFSET($BP$9,CL52+3,CQ52,1,1),0))))))</f>
        <v>0</v>
      </c>
      <c r="CV52" s="51">
        <f ca="1">IF($F52&lt;OFFSET($BM$9,$CL52-1,0,1,1),0,IF($F52&lt;OFFSET($BN$9,$CL52-1,0,1,1),IF(AND($H52&gt;2.4,Z52&lt;&gt;"e",Z52&lt;&gt;"f"),CZ52*2.4/$H52,CZ52),IF($F52&lt;OFFSET($BN$9,$CL52+0,0,1,1),IF(AND($H52&gt;2.4,Z52&lt;&gt;"e",Z52&lt;&gt;"f"),CZ52*2.4/$H52,CZ52),IF($F52&lt;OFFSET($BN$9,$CL52+1,0,1,1),IF(AND($H52&gt;2.4,Z52&lt;&gt;"e",Z52&lt;&gt;"f"),CZ52*2.4/$H52,CZ52),IF($F52&lt;OFFSET($BN$9,$CL52+2,0,1,1),IF(AND($H52&gt;2.4,Z52&lt;&gt;"e",Z52&lt;&gt;"f"),CZ52*2.4/$H52,CZ52),IF($F52&lt;OFFSET($BN$9,$CL52+3,0,1,1),IF(AND($H52&gt;2.4,Z52&lt;&gt;"e",Z52&lt;&gt;"f"),CZ52*2.4/$H52,CZ52),0)))))*COS(RADIANS($G52)))</f>
        <v>0</v>
      </c>
      <c r="CW52" s="51">
        <f ca="1">IF(CT52&gt;CR52,CR52,CT52)</f>
        <v>0</v>
      </c>
      <c r="CX52" s="51">
        <f ca="1">IF(CS52&gt;$CR52,$CR52,CS52)</f>
        <v>0</v>
      </c>
      <c r="CY52" s="51">
        <f ca="1">CW52*F52</f>
        <v>0</v>
      </c>
      <c r="CZ52" s="51">
        <f ca="1">IF($CU52&gt;$CR52,$CR52,$CU52)</f>
        <v>0</v>
      </c>
      <c r="DA52" s="51">
        <f ca="1">IF(CV52&gt;CR52,CR52,CV52)</f>
        <v>0</v>
      </c>
      <c r="DB52" s="984">
        <f ca="1">DA52*F52</f>
        <v>0</v>
      </c>
      <c r="DC52" s="993">
        <v>1</v>
      </c>
      <c r="DD52" s="758" t="str">
        <f>IF(OR(D52=BG$12,D52=BG$13),"External",IF(D52=BG$14,"Internal"," "))</f>
        <v xml:space="preserve"> </v>
      </c>
      <c r="DE52" s="51" t="str">
        <f t="shared" ca="1" si="1"/>
        <v/>
      </c>
      <c r="DF52" s="52" t="str">
        <f t="shared" ca="1" si="2"/>
        <v xml:space="preserve"> </v>
      </c>
      <c r="DG52" s="51">
        <f ca="1">IF(F52&lt;OFFSET($BM$9,CN52-1,0,1,1),0,IF(F52&lt;OFFSET($BN$9,CN52-1,0,1,1),((F52-OFFSET($BM$9,CN52-1,0,1,1))*OFFSET($CH$9,CN52-1,0,1,1))+OFFSET($BO$9,CN52-1,CQ52,1,1),IF(F52&lt;OFFSET($BN$9,CN52+0,0,1,1),((F52-OFFSET($BM$9,CN52+0,0,1,1))*OFFSET($CH$9,CN52+0,0,1,1))+OFFSET($BO$9,CN52+0,CQ52,1,1),IF(F52&lt;OFFSET($BN$9,CN52+1,0,1,1),((F52-OFFSET($BM$9,CN52+1,0,1,1))*OFFSET($CH$9,CN52+1,0,1,1))+OFFSET($BO$9,CN52+1,CQ52,1,1),IF(F52&lt;OFFSET($BN$9,CN52+2,0,1,1),((F52-OFFSET($BM$9,CN52+2,0,1,1))*OFFSET($CH$9,CN52+2,0,1,1))+OFFSET($BO$9,CN52+2,CQ52,1,1),IF(F52&lt;OFFSET($BN$9,CN52+3,0,1,1),((F52-OFFSET($BM$9,CN52+3,0,1,1))*OFFSET($CH$9,CN52+3,0,1,1))+OFFSET($BO$9,CN52+3,CQ52,1,1),0))))))</f>
        <v>0</v>
      </c>
      <c r="DH52" s="51">
        <f ca="1">IF($F52&lt;OFFSET($BM$9,$CN52-1,0,1,1),0,IF($F52&lt;OFFSET($BN$9,$CN52-1,0,1,1),IF(AND($H52&gt;2.4,Z52&lt;&gt;"e",Z52&lt;&gt;"f"),DL52*2.4/$H52,DL52),IF($F52&lt;OFFSET($BN$9,$CN52+0,0,1,1),IF(AND($H52&gt;2.4,Z52&lt;&gt;"e",Z52&lt;&gt;"f"),DL52*2.4/$H52,DL52),IF($F52&lt;OFFSET($BN$9,$CN52+1,0,1,1),IF(AND($H52&gt;2.4,Z52&lt;&gt;"e",Z52&lt;&gt;"f"),DL52*2.4/$H52,DL52),IF($F52&lt;OFFSET($BN$9,$CN52+2,0,1,1),IF(AND($H52&gt;2.4,Z52&lt;&gt;"e",Z52&lt;&gt;"f"),DL52*2.4/$H52,DL52),IF($F52&lt;OFFSET($BN$9,$CN52+3,0,1,1),IF(AND($H52&gt;2.4,Z52&lt;&gt;"e",Z52&lt;&gt;"f"),DL52*2.4/$H52,DL52),0)))))*COS(RADIANS($G52)))</f>
        <v>0</v>
      </c>
      <c r="DI52" s="51">
        <f ca="1">IF(F52&lt;OFFSET($BM$9,CN52-1,0,1,1),0,IF(F52&lt;OFFSET($BN$9,CN52-1,0,1,1),((F52-OFFSET($BM$9,CN52-1,0,1,1))*OFFSET($CI$9,CN52-1,0,1,1))+OFFSET($BP$9,CN52-1,CQ52,1,1),IF(F52&lt;OFFSET($BN$9,CN52+0,0,1,1),((F52-OFFSET($BM$9,CN52+0,0,1,1))*OFFSET($CI$9,CN52+0,0,1,1))+OFFSET($BP$9,CN52+0,CQ52,1,1),IF(F52&lt;OFFSET($BN$9,CN52+1,0,1,1),((F52-OFFSET($BM$9,CN52+1,0,1,1))*OFFSET($CI$9,CN52+1,0,1,1))+OFFSET($BP$9,CN52+1,CQ52,1,1),IF(F52&lt;OFFSET($BN$9,CN52+2,0,1,1),((F52-OFFSET($BM$9,CN52+2,0,1,1))*OFFSET($CI$9,CN52+2,0,1,1))+OFFSET($BP$9,CN52+2,CQ52,1,1),IF(F52&lt;OFFSET($BN$9,CN52+3,0,1,1),((F52-OFFSET($BM$9,CN52+3,0,1,1))*OFFSET($CI$9,CN52+3,0,1,1))+OFFSET($BP$9,CN52+3,CQ52,1,1),0))))))</f>
        <v>0</v>
      </c>
      <c r="DJ52" s="51">
        <f ca="1">IF($F52&lt;OFFSET($BM$9,$CN52-1,0,1,1),0,IF($F52&lt;OFFSET($BN$9,$CN52-1,0,1,1),IF(AND($H52&gt;2.4,Z52&lt;&gt;"e",Z52&lt;&gt;"f"),DN52*2.4/$H52,DN52),IF($F52&lt;OFFSET($BN$9,$CN52+0,0,1,1),IF(AND($H52&gt;2.4,Z52&lt;&gt;"e",Z52&lt;&gt;"f"),DN52*2.4/$H52,DN52),IF($F52&lt;OFFSET($BN$9,$CN52+1,0,1,1),IF(AND($H52&gt;2.4,Z52&lt;&gt;"e",Z52&lt;&gt;"f"),DN52*2.4/$H52,DN52),IF($F52&lt;OFFSET($BN$9,$CN52+2,0,1,1),IF(AND($H52&gt;2.4,Z52&lt;&gt;"e",Z52&lt;&gt;"f"),DN52*2.4/$H52,DN52),IF($F52&lt;OFFSET($BN$9,$CN52+3,0,1,1),IF(AND($H52&gt;2.4,Z52&lt;&gt;"e",Z52&lt;&gt;"f"),DN52*2.4/$H52,DN52),0)))))*COS(RADIANS($G52)))</f>
        <v>0</v>
      </c>
      <c r="DK52" s="51"/>
      <c r="DL52" s="51">
        <f ca="1">IF(DG52&gt;$CR52,$CR52,DG52)</f>
        <v>0</v>
      </c>
      <c r="DM52" s="51"/>
      <c r="DN52" s="51">
        <f ca="1">IF(DI52&gt;$CR52,$CR52,DI52)</f>
        <v>0</v>
      </c>
      <c r="DO52" s="435">
        <f ca="1">IF(DH52&gt;$CR52,$CR52,DH52)</f>
        <v>0</v>
      </c>
      <c r="DP52" s="435">
        <f ca="1">DO52*F52</f>
        <v>0</v>
      </c>
      <c r="DQ52" s="436">
        <f ca="1">IF(DJ52&gt;$CR52,$CR52,DJ52)</f>
        <v>0</v>
      </c>
      <c r="DR52" s="437">
        <f ca="1">DQ52*F52</f>
        <v>0</v>
      </c>
      <c r="DS52" s="426">
        <f ca="1">OFFSET($CH$9,CL52-1,-15,1,1)</f>
        <v>0</v>
      </c>
      <c r="DT52" s="451">
        <f ca="1">VLOOKUP(DS52,Prodlink,2,0)</f>
        <v>0</v>
      </c>
      <c r="DU52" s="188">
        <f ca="1">IF(F52&lt;OFFSET($BM$9,DT52-1,0,1,1),0,IF(F52&lt;OFFSET($BN$9,DT52-1,0,1,1),((F52-OFFSET($BM$9,DT52-1,0,1,1))*OFFSET($CH$9,DT52-1,0,1,1))+OFFSET($BO$9,DT52-1,CQ52,1,1),IF(F52&lt;OFFSET($BN$9,DT52+0,0,1,1),((F52-OFFSET($BM$9,DT52+0,0,1,1))*OFFSET($CH$9,DT52+0,0,1,1))+OFFSET($BO$9,DT52+0,CQ52,1,1),IF(F52&lt;OFFSET($BN$9,DT52+1,0,1,1),((F52-OFFSET($BM$9,DT52+1,0,1,1))*OFFSET($CH$9,DT52+1,0,1,1))+OFFSET($BO$9,DT52+1,CQ52,1,1),IF(F52&lt;OFFSET($BN$9,DT52+2,0,1,1),((F52-OFFSET($BM$9,DT52+2,0,1,1))*OFFSET($CH$9,DT52+2,0,1,1))+OFFSET($BO$9,DT52+2,CQ52,1,1),IF(F52&lt;OFFSET($BN$9,DT52+3,0,1,1),((F52-OFFSET($BM$9,DT52+3,0,1,1))*OFFSET($CH$9,DT52+3,0,1,1))+OFFSET($BO$9,DT52+3,CQ52,1,1),0))))))</f>
        <v>0</v>
      </c>
      <c r="DV52" s="51">
        <f ca="1">IF($F52&lt;OFFSET($BM$9,$DT52-1,0,1,1),0,IF($F52&lt;OFFSET($BN$9,$DT52-1,0,1,1),IF(AND($H52&gt;2.4,Z52&lt;&gt;"e",Z52&lt;&gt;"f"),DZ52*2.4/$H52,DZ52),IF($F52&lt;OFFSET($BN$9,$DT52+0,0,1,1),IF(AND($H52&gt;2.4,Z52&lt;&gt;"e",Z52&lt;&gt;"f"),DZ52*2.4/$H52,DZ52),IF($F52&lt;OFFSET($BN$9,$DT52+1,0,1,1),IF(AND($H52&gt;2.4,Z52&lt;&gt;"e",Z52&lt;&gt;"f"),DZ52*2.4/$H52,DZ52),IF($F52&lt;OFFSET($BN$9,$DT52+2,0,1,1),IF(AND($H52&gt;2.4,Z52&lt;&gt;"e",Z52&lt;&gt;"f"),DZ52*2.4/$H52,DZ52),IF($F52&lt;OFFSET($BN$9,$DT52+3,0,1,1),IF(AND($H52&gt;2.4,Z52&lt;&gt;"e",Z52&lt;&gt;"f"),DZ52*2.4/$H52,DZ52),0)))))*COS(RADIANS($G52)))</f>
        <v>0</v>
      </c>
      <c r="DW52" s="188">
        <f ca="1">IF(F52&lt;OFFSET($BM$9,DT52-1,0,1,1),0,IF(F52&lt;OFFSET($BN$9,DT52-1,0,1,1),((F52-OFFSET($BM$9,DT52-1,0,1,1))*OFFSET($CI$9,DT52-1,0,1,1))+OFFSET($BP$9,DT52-1,CQ52,1,1),IF(F52&lt;OFFSET($BN$9,DT52+0,0,1,1),((F52-OFFSET($BM$9,DT52+0,0,1,1))*OFFSET($CI$9,DT52+0,0,1,1))+OFFSET($BP$9,DT52+0,CQ52,1,1),IF(F52&lt;OFFSET($BN$9,DT52+1,0,1,1),((F52-OFFSET($BM$9,DT52+1,0,1,1))*OFFSET($CI$9,DT52+1,0,1,1))+OFFSET($BP$9,DT52+1,CQ52,1,1),IF(F52&lt;OFFSET($BN$9,DT52+2,0,1,1),((F52-OFFSET($BM$9,DT52+2,0,1,1))*OFFSET($CI$9,DT52+2,0,1,1))+OFFSET($BP$9,DT52+2,CQ52,1,1),IF(F52&lt;OFFSET($BN$9,DT52+3,0,1,1),((F52-OFFSET($BM$9,DT52+3,0,1,1))*OFFSET($CI$9,DT52+3,0,1,1))+OFFSET($BP$9,DT52+3,CQ52,1,1),0))))))</f>
        <v>0</v>
      </c>
      <c r="DX52" s="51">
        <f ca="1">IF($F52&lt;OFFSET($BM$9,$DT52-1,0,1,1),0,IF($F52&lt;OFFSET($BN$9,$DT52-1,0,1,1),IF(AND($H52&gt;2.4,Z52&lt;&gt;"e",Z52&lt;&gt;"f"),EB52*2.4/$H52,EB52),IF($F52&lt;OFFSET($BN$9,$DT52+0,0,1,1),IF(AND($H52&gt;2.4,Z52&lt;&gt;"e",Z52&lt;&gt;"f"),EB52*2.4/$H52,EB52),IF($F52&lt;OFFSET($BN$9,$DT52+1,0,1,1),IF(AND($H52&gt;2.4,Z52&lt;&gt;"e",Z52&lt;&gt;"f"),EB52*2.4/$H52,EB52),IF($F52&lt;OFFSET($BN$9,$DT52+2,0,1,1),IF(AND($H52&gt;2.4,Z52&lt;&gt;"e",Z52&lt;&gt;"f"),EB52*2.4/$H52,EB52),IF($F52&lt;OFFSET($BN$9,$DT52+3,0,1,1),IF(AND($H52&gt;2.4,Z52&lt;&gt;"e",Z52&lt;&gt;"f"),EB52*2.4/$H52,EB52),0)))))*COS(RADIANS($G52)))</f>
        <v>0</v>
      </c>
      <c r="DY52" s="188"/>
      <c r="DZ52" s="188">
        <f ca="1">IF(DU52&gt;$CR52,$CR52,DU52)</f>
        <v>0</v>
      </c>
      <c r="EA52" s="188"/>
      <c r="EB52" s="188">
        <f ca="1">IF(DW52&gt;$CR52,$CR52,DW52)</f>
        <v>0</v>
      </c>
      <c r="EC52" s="435">
        <f ca="1">IF(DV52&gt;$CR52,$CR52,DV52)</f>
        <v>0</v>
      </c>
      <c r="ED52" s="435">
        <f ca="1">EC52*F52</f>
        <v>0</v>
      </c>
      <c r="EE52" s="436">
        <f ca="1">IF(DX52&gt;$CR52,$CR52,DX52)</f>
        <v>0</v>
      </c>
      <c r="EF52" s="437">
        <f ca="1">EE52*F52</f>
        <v>0</v>
      </c>
      <c r="EG52" s="613" t="str">
        <f>IF(D52=BG$12,BG$12,"")</f>
        <v/>
      </c>
      <c r="EH52" s="614" t="str">
        <f>IF(D52=BG$13,BG$13,"")</f>
        <v/>
      </c>
      <c r="EI52" s="611">
        <f>IF(EG52=BG$12,M52,0)</f>
        <v>0</v>
      </c>
      <c r="EJ52" s="451">
        <f>IF(EG52=BG$12,O52,0)</f>
        <v>0</v>
      </c>
      <c r="EK52" s="451">
        <f>IF(EH52=BG$13,M52,0)</f>
        <v>0</v>
      </c>
      <c r="EL52" s="612">
        <f>IF(EH52=BG$13,O52,0)</f>
        <v>0</v>
      </c>
      <c r="EM52" s="426" t="str">
        <f ca="1">IF(AND(Z52&lt;&gt;"t",Z52&lt;&gt;"f"),"",IF(AND(EN52=$BH$13,K52=$BH$12),"NotOpt",IF(K52&lt;&gt;EN52,"Error","")))</f>
        <v/>
      </c>
      <c r="EN52" s="491" t="str">
        <f>IF(AND($BH$28=1,$BG$28=1),$BH$13,$BH$12)</f>
        <v>120 BU's</v>
      </c>
      <c r="EO52" s="426" t="str">
        <f>K52</f>
        <v xml:space="preserve"> </v>
      </c>
      <c r="EP52" s="497">
        <v>1</v>
      </c>
      <c r="EQ52" s="430" t="str">
        <f ca="1">IF(EP52=1," ",OFFSET(BF$15,EP52-2,0,1,1))</f>
        <v xml:space="preserve"> </v>
      </c>
      <c r="ER52" s="439" t="str">
        <f ca="1">IF(H52=0," ",H52)</f>
        <v xml:space="preserve"> </v>
      </c>
      <c r="ES52" s="440" t="str">
        <f ca="1">IF(ER52&lt;&gt;" ",IF(ER52&lt;&gt;ER$7,"Changed",""),"")</f>
        <v/>
      </c>
      <c r="ET52" s="440">
        <f ca="1">IF(ER52&lt;&gt;" ",IF(ER52&lt;&gt;ER$7,1,0),0)</f>
        <v>0</v>
      </c>
      <c r="EU52" s="957" t="str">
        <f ca="1">IF(I52=" "," ",IF(F52&lt;OFFSET($BM$9,CL52-1,0,1,1),1,""))</f>
        <v xml:space="preserve"> </v>
      </c>
      <c r="EW52" s="427"/>
    </row>
    <row r="53" spans="1:153" ht="17.100000000000001" customHeight="1">
      <c r="A53" s="2685"/>
      <c r="B53" s="689" t="s">
        <v>246</v>
      </c>
      <c r="C53" s="684" t="str">
        <f>IF(OR(F53=0,I53="",I53=" ")," ",$V53)</f>
        <v xml:space="preserve"> </v>
      </c>
      <c r="D53" s="1033"/>
      <c r="E53" s="1360"/>
      <c r="F53" s="202"/>
      <c r="G53" s="1416"/>
      <c r="H53" s="199" t="str">
        <f ca="1">IF(OR(F53=0,Z53="E",Z53="f")," ",'Project Demand'!E$35)</f>
        <v xml:space="preserve"> </v>
      </c>
      <c r="I53" s="631" t="str">
        <f>IF($I$6&lt;&gt;$BG$8," ",AB53)</f>
        <v xml:space="preserve"> </v>
      </c>
      <c r="J53" s="44" t="str">
        <f ca="1">IF(OR(I53=" ",I53="")," ",OFFSET($BO$9,CL53-1,0-4,1,1))</f>
        <v xml:space="preserve"> </v>
      </c>
      <c r="K53" s="55" t="str">
        <f>IF(OR(I53=" ",I53="")," ",IF(OR(Z53="e",Z53="h"),"SD",BG$24))</f>
        <v xml:space="preserve"> </v>
      </c>
      <c r="L53" s="49">
        <f ca="1">CW53</f>
        <v>0</v>
      </c>
      <c r="M53" s="49">
        <f ca="1">CY53</f>
        <v>0</v>
      </c>
      <c r="N53" s="50">
        <f t="shared" ca="1" si="28"/>
        <v>0</v>
      </c>
      <c r="O53" s="126">
        <f t="shared" ca="1" si="28"/>
        <v>0</v>
      </c>
      <c r="P53" s="140"/>
      <c r="Q53" s="752" t="str">
        <f ca="1">IF(AND(OR(Z53="t",Z53="f"),K53=$BH$11),"No Floor!  Change Floor Type",IF(OR(I53=" ",I53="")," ",IF(F53&lt;OFFSET($BM$9,CL53-1,0,1,1),"check L(m)",DE53&amp;IF(AND(DP53&gt;=CY53,DR53&gt;=DB53),IF(AND(ED53&gt;=DP53,EF53&gt;=DR53),CONCATENATE(DS53," will provide same result"),CONCATENATE(CO53," will provide same result")),IF((DP53&gt;=CY53),CONCATENATE(CO53," provides same result in WIND"),IF((DR53&gt;=DB53),CONCATENATE(CO53," provides same result in EQ"),""))))))&amp;IF(ISERROR(FIND("pile",I53,1)),"",IF(INT(F53)&lt;&gt;F53,"Pile!  Use Whole Numbers Only",""))</f>
        <v xml:space="preserve"> </v>
      </c>
      <c r="R53" s="52"/>
      <c r="S53" s="1372"/>
      <c r="T53" s="1372"/>
      <c r="U53" s="1377"/>
      <c r="V53" s="52" t="str">
        <f ca="1">IF(AND(B$5=$BF$9,OR(I53=BH$16,I53=BH$17))," ",IF(ISNUMBER(B$50),(CONCATENATE(B$50,".",W53)),(CONCATENATE(B$50,W53))))</f>
        <v>H0</v>
      </c>
      <c r="W53" s="9">
        <f ca="1">W52+X53</f>
        <v>0</v>
      </c>
      <c r="X53" s="9">
        <f>IF(AND(B$5=$BF$9,OR($I53=$BH$16,$I53=$BH$17,$I53=" ",$I53="",$F53=0)),0,IF(OR($I53=" ",$I53="",$F53=0),0,1))</f>
        <v>0</v>
      </c>
      <c r="Y53" s="896"/>
      <c r="Z53" s="52" t="str">
        <f ca="1">IF(I53=" "," ",OFFSET($BM$9,$CL53-1,8,1,1))</f>
        <v xml:space="preserve"> </v>
      </c>
      <c r="AA53" s="51" t="str">
        <f>IF(G53&gt;=45,"WA","")</f>
        <v/>
      </c>
      <c r="AB53" s="1364" t="str">
        <f>IF(F53&lt;&gt;"",IF(OR(D53=$BG$12,D53=$BG$13),IF(E53&lt;&gt;$BG$17,$BF$12,$BF$13),IF(E53&lt;&gt;$BG$17,$BF$12,$BF$13))," ")</f>
        <v xml:space="preserve"> </v>
      </c>
      <c r="AC53" s="1"/>
      <c r="AK53" s="63" t="str">
        <f>'Custom Elements'!B14</f>
        <v xml:space="preserve">  </v>
      </c>
      <c r="AL53" s="860" t="str">
        <f>'Custom Elements'!C14</f>
        <v>Custom6</v>
      </c>
      <c r="AM53" s="11">
        <f>'Custom Elements'!D14</f>
        <v>9.9999999999999996E-76</v>
      </c>
      <c r="AN53" s="7">
        <f>'Custom Elements'!E14</f>
        <v>0</v>
      </c>
      <c r="AO53" s="7">
        <f>'Custom Elements'!F14</f>
        <v>0</v>
      </c>
      <c r="AP53" s="762" t="str">
        <f>'Custom Elements'!G14</f>
        <v>B</v>
      </c>
      <c r="AQ53" s="1777" t="str">
        <f>'Custom Elements'!H14</f>
        <v>Single</v>
      </c>
      <c r="AR53" s="1775" t="str">
        <f>'Custom Elements'!I14</f>
        <v>Yes</v>
      </c>
      <c r="AS53" s="442" t="str">
        <f>'Custom Elements'!J14</f>
        <v>Yes</v>
      </c>
      <c r="AT53" s="1150"/>
      <c r="AU53" s="1150"/>
      <c r="AZ53" s="442" t="str">
        <f>IF(AND('Custom Elements'!J14="Yes",'Custom Elements'!I14="Yes"),"T",IF('Custom Elements'!J14="Yes","F",IF('Custom Elements'!I14="Yes","H","E")))</f>
        <v>T</v>
      </c>
      <c r="BD53" s="638"/>
      <c r="BF53" s="73"/>
      <c r="BG53" s="73"/>
      <c r="BI53" s="759"/>
      <c r="BJ53" s="897">
        <f t="shared" si="25"/>
        <v>45</v>
      </c>
      <c r="BK53" s="1220"/>
      <c r="BL53" s="766"/>
      <c r="BM53" s="455">
        <f>Table!D7</f>
        <v>1.2</v>
      </c>
      <c r="BN53" s="455">
        <f>BM54</f>
        <v>1.8</v>
      </c>
      <c r="BO53" s="455">
        <f>Table!E7</f>
        <v>72</v>
      </c>
      <c r="BP53" s="925">
        <f>Table!F7</f>
        <v>64</v>
      </c>
      <c r="BR53" s="764"/>
      <c r="BS53" s="455"/>
      <c r="BT53" s="455"/>
      <c r="BU53" s="925" t="s">
        <v>242</v>
      </c>
      <c r="BV53" s="913"/>
      <c r="BW53" s="912"/>
      <c r="BX53" s="925" t="str">
        <f>Table!H5</f>
        <v>Single</v>
      </c>
      <c r="CH53" s="764">
        <f>IF(BN53=999,0,(BO54-BO53)/(BN53-BM53))</f>
        <v>18.333333333333332</v>
      </c>
      <c r="CI53" s="925">
        <f>IF(BN53=999,0,(BP54-BP53)/(BN53-BM53))</f>
        <v>0</v>
      </c>
      <c r="CJ53" s="759"/>
      <c r="CK53" s="188"/>
      <c r="CL53" s="979">
        <f>VLOOKUP(I53,Prodlink,2,0)</f>
        <v>0</v>
      </c>
      <c r="CN53" s="497">
        <f ca="1">VLOOKUP(CO53,Prodlink,2,0)</f>
        <v>0</v>
      </c>
      <c r="CO53" s="497">
        <f ca="1">OFFSET($CH$9,CL53-1,-15,1,1)</f>
        <v>0</v>
      </c>
      <c r="CQ53" s="51">
        <v>0</v>
      </c>
      <c r="CR53" s="51">
        <f>IF(K53=$BH$12,$BH$23,IF(K53=$BH$13,$BH$24,10000))</f>
        <v>10000</v>
      </c>
      <c r="CS53" s="51">
        <f ca="1">IF(F53&lt;OFFSET($BM$9,CL53-1,0,1,1),0,IF(F53&lt;OFFSET($BN$9,CL53-1,0,1,1),((F53-OFFSET($BM$9,CL53-1,0,1,1))*OFFSET($CH$9,CL53-1,0,1,1))+OFFSET($BO$9,CL53-1,CQ53,1,1),IF(F53&lt;OFFSET($BN$9,CL53+0,0,1,1),((F53-OFFSET($BM$9,CL53+0,0,1,1))*OFFSET($CH$9,CL53+0,0,1,1))+OFFSET($BO$9,CL53+0,CQ53,1,1),IF(F53&lt;OFFSET($BN$9,CL53+1,0,1,1),((F53-OFFSET($BM$9,CL53+1,0,1,1))*OFFSET($CH$9,CL53+1,0,1,1))+OFFSET($BO$9,CL53+1,CQ53,1,1),IF(F53&lt;OFFSET($BN$9,CL53+2,0,1,1),((F53-OFFSET($BM$9,CL53+2,0,1,1))*OFFSET($CH$9,CL53+2,0,1,1))+OFFSET($BO$9,CL53+2,CQ53,1,1),IF(F53&lt;OFFSET($BN$9,CL53+3,0,1,1),((F53-OFFSET($BM$9,CL53+3,0,1,1))*OFFSET($CH$9,CL53+3,0,1,1))+OFFSET($BO$9,CL53+3,CQ53,1,1),0))))))</f>
        <v>0</v>
      </c>
      <c r="CT53" s="51">
        <f ca="1">IF($F53&lt;OFFSET($BM$9,$CL53-1,0,1,1),0,IF($F53&lt;OFFSET($BN$9,$CL53-1,0,1,1),IF(AND($H53&gt;2.4,Z53&lt;&gt;"e",Z53&lt;&gt;"f"),CX53*2.4/$H53,CX53),IF($F53&lt;OFFSET($BN$9,$CL53+0,0,1,1),IF(AND($H53&gt;2.4,Z53&lt;&gt;"e",Z53&lt;&gt;"f"),CX53*2.4/$H53,CX53),IF($F53&lt;OFFSET($BN$9,$CL53+1,0,1,1),IF(AND($H53&gt;2.4,Z53&lt;&gt;"e",Z53&lt;&gt;"f"),CX53*2.4/$H53,CX53),IF($F53&lt;OFFSET($BN$9,CL53+2,0,1,1),IF(AND($H53&gt;2.4,Z53&lt;&gt;"e",Z53&lt;&gt;"f"),CX53*2.4/$H53,CX53),IF($F53&lt;OFFSET($BN$9,CL53+3,0,1,1),IF(AND($H53&gt;2.4,Z53&lt;&gt;"e",Z53&lt;&gt;"f"),CX53*2.4/$H53,CX53),0)))))*COS(RADIANS($G53)))</f>
        <v>0</v>
      </c>
      <c r="CU53" s="51">
        <f ca="1">IF(F53&lt;OFFSET($BM$9,CL53-1,0,1,1),0,IF(F53&lt;OFFSET($BN$9,CL53-1,0,1,1),((F53-OFFSET($BM$9,CL53-1,0,1,1))*OFFSET($CI$9,CL53-1,0,1,1))+OFFSET($BP$9,CL53-1,CQ53,1,1),IF(F53&lt;OFFSET($BN$9,CL53+0,0,1,1),((F53-OFFSET($BM$9,CL53+0,0,1,1))*OFFSET($CI$9,CL53+0,0,1,1))+OFFSET($BP$9,CL53+0,CQ53,1,1),IF(F53&lt;OFFSET($BN$9,CL53+1,0,1,1),((F53-OFFSET($BM$9,CL53+1,0,1,1))*OFFSET($CI$9,CL53+1,0,1,1))+OFFSET($BP$9,CL53+1,CQ53,1,1),IF(F53&lt;OFFSET($BN$9,CL53+2,0,1,1),((F53-OFFSET($BM$9,CL53+2,0,1,1))*OFFSET($CI$9,CL53+2,0,1,1))+OFFSET($BP$9,CL53+2,CQ53,1,1),IF(F53&lt;OFFSET($BN$9,CL53+3,0,1,1),((F53-OFFSET($BM$9,CL53+3,0,1,1))*OFFSET($CI$9,CL53+3,0,1,1))+OFFSET($BP$9,CL53+3,CQ53,1,1),0))))))</f>
        <v>0</v>
      </c>
      <c r="CV53" s="51">
        <f ca="1">IF($F53&lt;OFFSET($BM$9,$CL53-1,0,1,1),0,IF($F53&lt;OFFSET($BN$9,$CL53-1,0,1,1),IF(AND($H53&gt;2.4,Z53&lt;&gt;"e",Z53&lt;&gt;"f"),CZ53*2.4/$H53,CZ53),IF($F53&lt;OFFSET($BN$9,$CL53+0,0,1,1),IF(AND($H53&gt;2.4,Z53&lt;&gt;"e",Z53&lt;&gt;"f"),CZ53*2.4/$H53,CZ53),IF($F53&lt;OFFSET($BN$9,$CL53+1,0,1,1),IF(AND($H53&gt;2.4,Z53&lt;&gt;"e",Z53&lt;&gt;"f"),CZ53*2.4/$H53,CZ53),IF($F53&lt;OFFSET($BN$9,$CL53+2,0,1,1),IF(AND($H53&gt;2.4,Z53&lt;&gt;"e",Z53&lt;&gt;"f"),CZ53*2.4/$H53,CZ53),IF($F53&lt;OFFSET($BN$9,$CL53+3,0,1,1),IF(AND($H53&gt;2.4,Z53&lt;&gt;"e",Z53&lt;&gt;"f"),CZ53*2.4/$H53,CZ53),0)))))*COS(RADIANS($G53)))</f>
        <v>0</v>
      </c>
      <c r="CW53" s="51">
        <f ca="1">IF(CT53&gt;CR53,CR53,CT53)</f>
        <v>0</v>
      </c>
      <c r="CX53" s="51">
        <f ca="1">IF(CS53&gt;$CR53,$CR53,CS53)</f>
        <v>0</v>
      </c>
      <c r="CY53" s="51">
        <f ca="1">CW53*F53</f>
        <v>0</v>
      </c>
      <c r="CZ53" s="51">
        <f ca="1">IF($CU53&gt;$CR53,$CR53,$CU53)</f>
        <v>0</v>
      </c>
      <c r="DA53" s="51">
        <f ca="1">IF(CV53&gt;CR53,CR53,CV53)</f>
        <v>0</v>
      </c>
      <c r="DB53" s="984">
        <f ca="1">DA53*F53</f>
        <v>0</v>
      </c>
      <c r="DC53" s="993">
        <v>1</v>
      </c>
      <c r="DD53" s="758" t="str">
        <f>IF(OR(D53=BG$12,D53=BG$13),"External",IF(D53=BG$14,"Internal"," "))</f>
        <v xml:space="preserve"> </v>
      </c>
      <c r="DE53" s="51" t="str">
        <f t="shared" ca="1" si="1"/>
        <v/>
      </c>
      <c r="DF53" s="52" t="str">
        <f t="shared" ca="1" si="2"/>
        <v xml:space="preserve"> </v>
      </c>
      <c r="DG53" s="51">
        <f ca="1">IF(F53&lt;OFFSET($BM$9,CN53-1,0,1,1),0,IF(F53&lt;OFFSET($BN$9,CN53-1,0,1,1),((F53-OFFSET($BM$9,CN53-1,0,1,1))*OFFSET($CH$9,CN53-1,0,1,1))+OFFSET($BO$9,CN53-1,CQ53,1,1),IF(F53&lt;OFFSET($BN$9,CN53+0,0,1,1),((F53-OFFSET($BM$9,CN53+0,0,1,1))*OFFSET($CH$9,CN53+0,0,1,1))+OFFSET($BO$9,CN53+0,CQ53,1,1),IF(F53&lt;OFFSET($BN$9,CN53+1,0,1,1),((F53-OFFSET($BM$9,CN53+1,0,1,1))*OFFSET($CH$9,CN53+1,0,1,1))+OFFSET($BO$9,CN53+1,CQ53,1,1),IF(F53&lt;OFFSET($BN$9,CN53+2,0,1,1),((F53-OFFSET($BM$9,CN53+2,0,1,1))*OFFSET($CH$9,CN53+2,0,1,1))+OFFSET($BO$9,CN53+2,CQ53,1,1),IF(F53&lt;OFFSET($BN$9,CN53+3,0,1,1),((F53-OFFSET($BM$9,CN53+3,0,1,1))*OFFSET($CH$9,CN53+3,0,1,1))+OFFSET($BO$9,CN53+3,CQ53,1,1),0))))))</f>
        <v>0</v>
      </c>
      <c r="DH53" s="51">
        <f ca="1">IF($F53&lt;OFFSET($BM$9,$CN53-1,0,1,1),0,IF($F53&lt;OFFSET($BN$9,$CN53-1,0,1,1),IF(AND($H53&gt;2.4,Z53&lt;&gt;"e",Z53&lt;&gt;"f"),DL53*2.4/$H53,DL53),IF($F53&lt;OFFSET($BN$9,$CN53+0,0,1,1),IF(AND($H53&gt;2.4,Z53&lt;&gt;"e",Z53&lt;&gt;"f"),DL53*2.4/$H53,DL53),IF($F53&lt;OFFSET($BN$9,$CN53+1,0,1,1),IF(AND($H53&gt;2.4,Z53&lt;&gt;"e",Z53&lt;&gt;"f"),DL53*2.4/$H53,DL53),IF($F53&lt;OFFSET($BN$9,$CN53+2,0,1,1),IF(AND($H53&gt;2.4,Z53&lt;&gt;"e",Z53&lt;&gt;"f"),DL53*2.4/$H53,DL53),IF($F53&lt;OFFSET($BN$9,$CN53+3,0,1,1),IF(AND($H53&gt;2.4,Z53&lt;&gt;"e",Z53&lt;&gt;"f"),DL53*2.4/$H53,DL53),0)))))*COS(RADIANS($G53)))</f>
        <v>0</v>
      </c>
      <c r="DI53" s="51">
        <f ca="1">IF(F53&lt;OFFSET($BM$9,CN53-1,0,1,1),0,IF(F53&lt;OFFSET($BN$9,CN53-1,0,1,1),((F53-OFFSET($BM$9,CN53-1,0,1,1))*OFFSET($CI$9,CN53-1,0,1,1))+OFFSET($BP$9,CN53-1,CQ53,1,1),IF(F53&lt;OFFSET($BN$9,CN53+0,0,1,1),((F53-OFFSET($BM$9,CN53+0,0,1,1))*OFFSET($CI$9,CN53+0,0,1,1))+OFFSET($BP$9,CN53+0,CQ53,1,1),IF(F53&lt;OFFSET($BN$9,CN53+1,0,1,1),((F53-OFFSET($BM$9,CN53+1,0,1,1))*OFFSET($CI$9,CN53+1,0,1,1))+OFFSET($BP$9,CN53+1,CQ53,1,1),IF(F53&lt;OFFSET($BN$9,CN53+2,0,1,1),((F53-OFFSET($BM$9,CN53+2,0,1,1))*OFFSET($CI$9,CN53+2,0,1,1))+OFFSET($BP$9,CN53+2,CQ53,1,1),IF(F53&lt;OFFSET($BN$9,CN53+3,0,1,1),((F53-OFFSET($BM$9,CN53+3,0,1,1))*OFFSET($CI$9,CN53+3,0,1,1))+OFFSET($BP$9,CN53+3,CQ53,1,1),0))))))</f>
        <v>0</v>
      </c>
      <c r="DJ53" s="51">
        <f ca="1">IF($F53&lt;OFFSET($BM$9,$CN53-1,0,1,1),0,IF($F53&lt;OFFSET($BN$9,$CN53-1,0,1,1),IF(AND($H53&gt;2.4,Z53&lt;&gt;"e",Z53&lt;&gt;"f"),DN53*2.4/$H53,DN53),IF($F53&lt;OFFSET($BN$9,$CN53+0,0,1,1),IF(AND($H53&gt;2.4,Z53&lt;&gt;"e",Z53&lt;&gt;"f"),DN53*2.4/$H53,DN53),IF($F53&lt;OFFSET($BN$9,$CN53+1,0,1,1),IF(AND($H53&gt;2.4,Z53&lt;&gt;"e",Z53&lt;&gt;"f"),DN53*2.4/$H53,DN53),IF($F53&lt;OFFSET($BN$9,$CN53+2,0,1,1),IF(AND($H53&gt;2.4,Z53&lt;&gt;"e",Z53&lt;&gt;"f"),DN53*2.4/$H53,DN53),IF($F53&lt;OFFSET($BN$9,$CN53+3,0,1,1),IF(AND($H53&gt;2.4,Z53&lt;&gt;"e",Z53&lt;&gt;"f"),DN53*2.4/$H53,DN53),0)))))*COS(RADIANS($G53)))</f>
        <v>0</v>
      </c>
      <c r="DK53" s="51"/>
      <c r="DL53" s="51">
        <f ca="1">IF(DG53&gt;$CR53,$CR53,DG53)</f>
        <v>0</v>
      </c>
      <c r="DM53" s="51"/>
      <c r="DN53" s="51">
        <f ca="1">IF(DI53&gt;$CR53,$CR53,DI53)</f>
        <v>0</v>
      </c>
      <c r="DO53" s="435">
        <f ca="1">IF(DH53&gt;$CR53,$CR53,DH53)</f>
        <v>0</v>
      </c>
      <c r="DP53" s="435">
        <f ca="1">DO53*F53</f>
        <v>0</v>
      </c>
      <c r="DQ53" s="436">
        <f ca="1">IF(DJ53&gt;$CR53,$CR53,DJ53)</f>
        <v>0</v>
      </c>
      <c r="DR53" s="437">
        <f ca="1">DQ53*F53</f>
        <v>0</v>
      </c>
      <c r="DS53" s="426">
        <f ca="1">OFFSET($CH$9,CL53-1,-15,1,1)</f>
        <v>0</v>
      </c>
      <c r="DT53" s="451">
        <f ca="1">VLOOKUP(DS53,Prodlink,2,0)</f>
        <v>0</v>
      </c>
      <c r="DU53" s="188">
        <f ca="1">IF(F53&lt;OFFSET($BM$9,DT53-1,0,1,1),0,IF(F53&lt;OFFSET($BN$9,DT53-1,0,1,1),((F53-OFFSET($BM$9,DT53-1,0,1,1))*OFFSET($CH$9,DT53-1,0,1,1))+OFFSET($BO$9,DT53-1,CQ53,1,1),IF(F53&lt;OFFSET($BN$9,DT53+0,0,1,1),((F53-OFFSET($BM$9,DT53+0,0,1,1))*OFFSET($CH$9,DT53+0,0,1,1))+OFFSET($BO$9,DT53+0,CQ53,1,1),IF(F53&lt;OFFSET($BN$9,DT53+1,0,1,1),((F53-OFFSET($BM$9,DT53+1,0,1,1))*OFFSET($CH$9,DT53+1,0,1,1))+OFFSET($BO$9,DT53+1,CQ53,1,1),IF(F53&lt;OFFSET($BN$9,DT53+2,0,1,1),((F53-OFFSET($BM$9,DT53+2,0,1,1))*OFFSET($CH$9,DT53+2,0,1,1))+OFFSET($BO$9,DT53+2,CQ53,1,1),IF(F53&lt;OFFSET($BN$9,DT53+3,0,1,1),((F53-OFFSET($BM$9,DT53+3,0,1,1))*OFFSET($CH$9,DT53+3,0,1,1))+OFFSET($BO$9,DT53+3,CQ53,1,1),0))))))</f>
        <v>0</v>
      </c>
      <c r="DV53" s="51">
        <f ca="1">IF($F53&lt;OFFSET($BM$9,$DT53-1,0,1,1),0,IF($F53&lt;OFFSET($BN$9,$DT53-1,0,1,1),IF(AND($H53&gt;2.4,Z53&lt;&gt;"e",Z53&lt;&gt;"f"),DZ53*2.4/$H53,DZ53),IF($F53&lt;OFFSET($BN$9,$DT53+0,0,1,1),IF(AND($H53&gt;2.4,Z53&lt;&gt;"e",Z53&lt;&gt;"f"),DZ53*2.4/$H53,DZ53),IF($F53&lt;OFFSET($BN$9,$DT53+1,0,1,1),IF(AND($H53&gt;2.4,Z53&lt;&gt;"e",Z53&lt;&gt;"f"),DZ53*2.4/$H53,DZ53),IF($F53&lt;OFFSET($BN$9,$DT53+2,0,1,1),IF(AND($H53&gt;2.4,Z53&lt;&gt;"e",Z53&lt;&gt;"f"),DZ53*2.4/$H53,DZ53),IF($F53&lt;OFFSET($BN$9,$DT53+3,0,1,1),IF(AND($H53&gt;2.4,Z53&lt;&gt;"e",Z53&lt;&gt;"f"),DZ53*2.4/$H53,DZ53),0)))))*COS(RADIANS($G53)))</f>
        <v>0</v>
      </c>
      <c r="DW53" s="188">
        <f ca="1">IF(F53&lt;OFFSET($BM$9,DT53-1,0,1,1),0,IF(F53&lt;OFFSET($BN$9,DT53-1,0,1,1),((F53-OFFSET($BM$9,DT53-1,0,1,1))*OFFSET($CI$9,DT53-1,0,1,1))+OFFSET($BP$9,DT53-1,CQ53,1,1),IF(F53&lt;OFFSET($BN$9,DT53+0,0,1,1),((F53-OFFSET($BM$9,DT53+0,0,1,1))*OFFSET($CI$9,DT53+0,0,1,1))+OFFSET($BP$9,DT53+0,CQ53,1,1),IF(F53&lt;OFFSET($BN$9,DT53+1,0,1,1),((F53-OFFSET($BM$9,DT53+1,0,1,1))*OFFSET($CI$9,DT53+1,0,1,1))+OFFSET($BP$9,DT53+1,CQ53,1,1),IF(F53&lt;OFFSET($BN$9,DT53+2,0,1,1),((F53-OFFSET($BM$9,DT53+2,0,1,1))*OFFSET($CI$9,DT53+2,0,1,1))+OFFSET($BP$9,DT53+2,CQ53,1,1),IF(F53&lt;OFFSET($BN$9,DT53+3,0,1,1),((F53-OFFSET($BM$9,DT53+3,0,1,1))*OFFSET($CI$9,DT53+3,0,1,1))+OFFSET($BP$9,DT53+3,CQ53,1,1),0))))))</f>
        <v>0</v>
      </c>
      <c r="DX53" s="51">
        <f ca="1">IF($F53&lt;OFFSET($BM$9,$DT53-1,0,1,1),0,IF($F53&lt;OFFSET($BN$9,$DT53-1,0,1,1),IF(AND($H53&gt;2.4,Z53&lt;&gt;"e",Z53&lt;&gt;"f"),EB53*2.4/$H53,EB53),IF($F53&lt;OFFSET($BN$9,$DT53+0,0,1,1),IF(AND($H53&gt;2.4,Z53&lt;&gt;"e",Z53&lt;&gt;"f"),EB53*2.4/$H53,EB53),IF($F53&lt;OFFSET($BN$9,$DT53+1,0,1,1),IF(AND($H53&gt;2.4,Z53&lt;&gt;"e",Z53&lt;&gt;"f"),EB53*2.4/$H53,EB53),IF($F53&lt;OFFSET($BN$9,$DT53+2,0,1,1),IF(AND($H53&gt;2.4,Z53&lt;&gt;"e",Z53&lt;&gt;"f"),EB53*2.4/$H53,EB53),IF($F53&lt;OFFSET($BN$9,$DT53+3,0,1,1),IF(AND($H53&gt;2.4,Z53&lt;&gt;"e",Z53&lt;&gt;"f"),EB53*2.4/$H53,EB53),0)))))*COS(RADIANS($G53)))</f>
        <v>0</v>
      </c>
      <c r="DY53" s="188"/>
      <c r="DZ53" s="188">
        <f ca="1">IF(DU53&gt;$CR53,$CR53,DU53)</f>
        <v>0</v>
      </c>
      <c r="EA53" s="188"/>
      <c r="EB53" s="188">
        <f ca="1">IF(DW53&gt;$CR53,$CR53,DW53)</f>
        <v>0</v>
      </c>
      <c r="EC53" s="435">
        <f ca="1">IF(DV53&gt;$CR53,$CR53,DV53)</f>
        <v>0</v>
      </c>
      <c r="ED53" s="435">
        <f ca="1">EC53*F53</f>
        <v>0</v>
      </c>
      <c r="EE53" s="436">
        <f ca="1">IF(DX53&gt;$CR53,$CR53,DX53)</f>
        <v>0</v>
      </c>
      <c r="EF53" s="437">
        <f ca="1">EE53*F53</f>
        <v>0</v>
      </c>
      <c r="EG53" s="613" t="str">
        <f>IF(D53=BG$12,BG$12,"")</f>
        <v/>
      </c>
      <c r="EH53" s="614" t="str">
        <f>IF(D53=BG$13,BG$13,"")</f>
        <v/>
      </c>
      <c r="EI53" s="611">
        <f>IF(EG53=BG$12,M53,0)</f>
        <v>0</v>
      </c>
      <c r="EJ53" s="451">
        <f>IF(EG53=BG$12,O53,0)</f>
        <v>0</v>
      </c>
      <c r="EK53" s="451">
        <f>IF(EH53=BG$13,M53,0)</f>
        <v>0</v>
      </c>
      <c r="EL53" s="612">
        <f>IF(EH53=BG$13,O53,0)</f>
        <v>0</v>
      </c>
      <c r="EM53" s="426" t="str">
        <f ca="1">IF(AND(Z53&lt;&gt;"t",Z53&lt;&gt;"f"),"",IF(AND(EN53=$BH$13,K53=$BH$12),"NotOpt",IF(K53&lt;&gt;EN53,"Error","")))</f>
        <v/>
      </c>
      <c r="EN53" s="491" t="str">
        <f>IF(AND($BH$28=1,$BG$28=1),$BH$13,$BH$12)</f>
        <v>120 BU's</v>
      </c>
      <c r="EO53" s="426" t="str">
        <f>K53</f>
        <v xml:space="preserve"> </v>
      </c>
      <c r="EP53" s="497">
        <v>1</v>
      </c>
      <c r="EQ53" s="430" t="str">
        <f ca="1">IF(EP53=1," ",OFFSET(BF$15,EP53-2,0,1,1))</f>
        <v xml:space="preserve"> </v>
      </c>
      <c r="ER53" s="439" t="str">
        <f ca="1">IF(H53=0," ",H53)</f>
        <v xml:space="preserve"> </v>
      </c>
      <c r="ES53" s="440" t="str">
        <f ca="1">IF(ER53&lt;&gt;" ",IF(ER53&lt;&gt;ER$7,"Changed",""),"")</f>
        <v/>
      </c>
      <c r="ET53" s="440">
        <f ca="1">IF(ER53&lt;&gt;" ",IF(ER53&lt;&gt;ER$7,1,0),0)</f>
        <v>0</v>
      </c>
      <c r="EU53" s="957" t="str">
        <f ca="1">IF(I53=" "," ",IF(F53&lt;OFFSET($BM$9,CL53-1,0,1,1),1,""))</f>
        <v xml:space="preserve"> </v>
      </c>
      <c r="EW53" s="427"/>
    </row>
    <row r="54" spans="1:153" ht="17.100000000000001" customHeight="1" thickBot="1">
      <c r="A54" s="2685"/>
      <c r="B54" s="689" t="s">
        <v>246</v>
      </c>
      <c r="C54" s="684" t="str">
        <f>IF(OR(F54=0,I54="",I54=" ")," ",$V54)</f>
        <v xml:space="preserve"> </v>
      </c>
      <c r="D54" s="1033"/>
      <c r="E54" s="1360"/>
      <c r="F54" s="202"/>
      <c r="G54" s="1416"/>
      <c r="H54" s="199" t="str">
        <f ca="1">IF(OR(F54=0,Z54="E",Z54="f")," ",'Project Demand'!E$35)</f>
        <v xml:space="preserve"> </v>
      </c>
      <c r="I54" s="631" t="str">
        <f>IF($I$6&lt;&gt;$BG$8," ",AB54)</f>
        <v xml:space="preserve"> </v>
      </c>
      <c r="J54" s="44" t="str">
        <f ca="1">IF(OR(I54=" ",I54="")," ",OFFSET($BO$9,CL54-1,0-4,1,1))</f>
        <v xml:space="preserve"> </v>
      </c>
      <c r="K54" s="55" t="str">
        <f>IF(OR(I54=" ",I54="")," ",IF(OR(Z54="e",Z54="h"),"SD",BG$24))</f>
        <v xml:space="preserve"> </v>
      </c>
      <c r="L54" s="49">
        <f ca="1">CW54</f>
        <v>0</v>
      </c>
      <c r="M54" s="49">
        <f ca="1">CY54</f>
        <v>0</v>
      </c>
      <c r="N54" s="50">
        <f t="shared" ca="1" si="28"/>
        <v>0</v>
      </c>
      <c r="O54" s="126">
        <f t="shared" ca="1" si="28"/>
        <v>0</v>
      </c>
      <c r="P54" s="140"/>
      <c r="Q54" s="752" t="str">
        <f ca="1">IF(AND(OR(Z54="t",Z54="f"),K54=$BH$11),"No Floor!  Change Floor Type",IF(OR(I54=" ",I54="")," ",IF(F54&lt;OFFSET($BM$9,CL54-1,0,1,1),"check L(m)",DE54&amp;IF(AND(DP54&gt;=CY54,DR54&gt;=DB54),IF(AND(ED54&gt;=DP54,EF54&gt;=DR54),CONCATENATE(DS54," will provide same result"),CONCATENATE(CO54," will provide same result")),IF((DP54&gt;=CY54),CONCATENATE(CO54," provides same result in WIND"),IF((DR54&gt;=DB54),CONCATENATE(CO54," provides same result in EQ"),""))))))&amp;IF(ISERROR(FIND("pile",I54,1)),"",IF(INT(F54)&lt;&gt;F54,"Pile!  Use Whole Numbers Only",""))</f>
        <v xml:space="preserve"> </v>
      </c>
      <c r="R54" s="52"/>
      <c r="S54" s="1372"/>
      <c r="T54" s="1372"/>
      <c r="U54" s="1377"/>
      <c r="V54" s="52" t="str">
        <f ca="1">IF(AND(B$5=$BF$9,OR(I54=BH$16,I54=BH$17))," ",IF(ISNUMBER(B$50),(CONCATENATE(B$50,".",W54)),(CONCATENATE(B$50,W54))))</f>
        <v>H0</v>
      </c>
      <c r="W54" s="9">
        <f ca="1">W53+X54</f>
        <v>0</v>
      </c>
      <c r="X54" s="9">
        <f>IF(AND(B$5=$BF$9,OR($I54=$BH$16,$I54=$BH$17,$I54=" ",$I54="",$F54=0)),0,IF(OR($I54=" ",$I54="",$F54=0),0,1))</f>
        <v>0</v>
      </c>
      <c r="Y54" s="896"/>
      <c r="Z54" s="52" t="str">
        <f ca="1">IF(I54=" "," ",OFFSET($BM$9,$CL54-1,8,1,1))</f>
        <v xml:space="preserve"> </v>
      </c>
      <c r="AA54" s="51" t="str">
        <f>IF(G54&gt;=45,"WA","")</f>
        <v/>
      </c>
      <c r="AB54" s="1364" t="str">
        <f>IF(F54&lt;&gt;"",IF(OR(D54=$BG$12,D54=$BG$13),IF(E54&lt;&gt;$BG$17,$BF$12,$BF$13),IF(E54&lt;&gt;$BG$17,$BF$12,$BF$13))," ")</f>
        <v xml:space="preserve"> </v>
      </c>
      <c r="AC54" s="1"/>
      <c r="AK54" s="63" t="str">
        <f>'Custom Elements'!B15</f>
        <v xml:space="preserve">  </v>
      </c>
      <c r="AL54" s="860" t="str">
        <f>'Custom Elements'!C15</f>
        <v>Custom7</v>
      </c>
      <c r="AM54" s="11">
        <f>'Custom Elements'!D15</f>
        <v>9.9999999999999996E-76</v>
      </c>
      <c r="AN54" s="7">
        <f>'Custom Elements'!E15</f>
        <v>0</v>
      </c>
      <c r="AO54" s="7">
        <f>'Custom Elements'!F15</f>
        <v>0</v>
      </c>
      <c r="AP54" s="762" t="str">
        <f>'Custom Elements'!G15</f>
        <v>B</v>
      </c>
      <c r="AQ54" s="1777" t="str">
        <f>'Custom Elements'!H15</f>
        <v>Single</v>
      </c>
      <c r="AR54" s="1775" t="str">
        <f>'Custom Elements'!I15</f>
        <v>Yes</v>
      </c>
      <c r="AS54" s="442" t="str">
        <f>'Custom Elements'!J15</f>
        <v>Yes</v>
      </c>
      <c r="AT54" s="1150"/>
      <c r="AU54" s="1150"/>
      <c r="AZ54" s="442" t="str">
        <f>IF(AND('Custom Elements'!J15="Yes",'Custom Elements'!I15="Yes"),"T",IF('Custom Elements'!J15="Yes","F",IF('Custom Elements'!I15="Yes","H","E")))</f>
        <v>T</v>
      </c>
      <c r="BD54" s="638"/>
      <c r="BE54" s="2714" t="s">
        <v>1052</v>
      </c>
      <c r="BF54" s="2714"/>
      <c r="BG54" s="2714"/>
      <c r="BH54" s="2714"/>
      <c r="BI54" s="759"/>
      <c r="BJ54" s="897">
        <f t="shared" si="25"/>
        <v>46</v>
      </c>
      <c r="BK54" s="1221"/>
      <c r="BL54" s="767"/>
      <c r="BM54" s="776">
        <f>Table!D8</f>
        <v>1.8</v>
      </c>
      <c r="BN54" s="776">
        <v>999</v>
      </c>
      <c r="BO54" s="776">
        <f>Table!E8</f>
        <v>83</v>
      </c>
      <c r="BP54" s="926">
        <f>Table!F8</f>
        <v>64</v>
      </c>
      <c r="BQ54" s="1183"/>
      <c r="BR54" s="908"/>
      <c r="BS54" s="776"/>
      <c r="BT54" s="776"/>
      <c r="BU54" s="926" t="s">
        <v>242</v>
      </c>
      <c r="BV54" s="433"/>
      <c r="BW54" s="914"/>
      <c r="BX54" s="926" t="str">
        <f>Table!H5</f>
        <v>Single</v>
      </c>
      <c r="CH54" s="908">
        <f>IF(BN54=999,0,(BO55-BO54)/(BN54-BM54))</f>
        <v>0</v>
      </c>
      <c r="CI54" s="926">
        <f>IF(BN54=999,0,(BP55-BP54)/(BN54-BM54))</f>
        <v>0</v>
      </c>
      <c r="CJ54" s="759"/>
      <c r="CK54" s="188"/>
      <c r="CL54" s="979">
        <f>VLOOKUP(I54,Prodlink,2,0)</f>
        <v>0</v>
      </c>
      <c r="CN54" s="497">
        <f ca="1">VLOOKUP(CO54,Prodlink,2,0)</f>
        <v>0</v>
      </c>
      <c r="CO54" s="497">
        <f ca="1">OFFSET($CH$9,CL54-1,-15,1,1)</f>
        <v>0</v>
      </c>
      <c r="CQ54" s="51">
        <v>0</v>
      </c>
      <c r="CR54" s="51">
        <f>IF(K54=$BH$12,$BH$23,IF(K54=$BH$13,$BH$24,10000))</f>
        <v>10000</v>
      </c>
      <c r="CS54" s="51">
        <f ca="1">IF(F54&lt;OFFSET($BM$9,CL54-1,0,1,1),0,IF(F54&lt;OFFSET($BN$9,CL54-1,0,1,1),((F54-OFFSET($BM$9,CL54-1,0,1,1))*OFFSET($CH$9,CL54-1,0,1,1))+OFFSET($BO$9,CL54-1,CQ54,1,1),IF(F54&lt;OFFSET($BN$9,CL54+0,0,1,1),((F54-OFFSET($BM$9,CL54+0,0,1,1))*OFFSET($CH$9,CL54+0,0,1,1))+OFFSET($BO$9,CL54+0,CQ54,1,1),IF(F54&lt;OFFSET($BN$9,CL54+1,0,1,1),((F54-OFFSET($BM$9,CL54+1,0,1,1))*OFFSET($CH$9,CL54+1,0,1,1))+OFFSET($BO$9,CL54+1,CQ54,1,1),IF(F54&lt;OFFSET($BN$9,CL54+2,0,1,1),((F54-OFFSET($BM$9,CL54+2,0,1,1))*OFFSET($CH$9,CL54+2,0,1,1))+OFFSET($BO$9,CL54+2,CQ54,1,1),IF(F54&lt;OFFSET($BN$9,CL54+3,0,1,1),((F54-OFFSET($BM$9,CL54+3,0,1,1))*OFFSET($CH$9,CL54+3,0,1,1))+OFFSET($BO$9,CL54+3,CQ54,1,1),0))))))</f>
        <v>0</v>
      </c>
      <c r="CT54" s="51">
        <f ca="1">IF($F54&lt;OFFSET($BM$9,$CL54-1,0,1,1),0,IF($F54&lt;OFFSET($BN$9,$CL54-1,0,1,1),IF(AND($H54&gt;2.4,Z54&lt;&gt;"e",Z54&lt;&gt;"f"),CX54*2.4/$H54,CX54),IF($F54&lt;OFFSET($BN$9,$CL54+0,0,1,1),IF(AND($H54&gt;2.4,Z54&lt;&gt;"e",Z54&lt;&gt;"f"),CX54*2.4/$H54,CX54),IF($F54&lt;OFFSET($BN$9,$CL54+1,0,1,1),IF(AND($H54&gt;2.4,Z54&lt;&gt;"e",Z54&lt;&gt;"f"),CX54*2.4/$H54,CX54),IF($F54&lt;OFFSET($BN$9,CL54+2,0,1,1),IF(AND($H54&gt;2.4,Z54&lt;&gt;"e",Z54&lt;&gt;"f"),CX54*2.4/$H54,CX54),IF($F54&lt;OFFSET($BN$9,CL54+3,0,1,1),IF(AND($H54&gt;2.4,Z54&lt;&gt;"e",Z54&lt;&gt;"f"),CX54*2.4/$H54,CX54),0)))))*COS(RADIANS($G54)))</f>
        <v>0</v>
      </c>
      <c r="CU54" s="51">
        <f ca="1">IF(F54&lt;OFFSET($BM$9,CL54-1,0,1,1),0,IF(F54&lt;OFFSET($BN$9,CL54-1,0,1,1),((F54-OFFSET($BM$9,CL54-1,0,1,1))*OFFSET($CI$9,CL54-1,0,1,1))+OFFSET($BP$9,CL54-1,CQ54,1,1),IF(F54&lt;OFFSET($BN$9,CL54+0,0,1,1),((F54-OFFSET($BM$9,CL54+0,0,1,1))*OFFSET($CI$9,CL54+0,0,1,1))+OFFSET($BP$9,CL54+0,CQ54,1,1),IF(F54&lt;OFFSET($BN$9,CL54+1,0,1,1),((F54-OFFSET($BM$9,CL54+1,0,1,1))*OFFSET($CI$9,CL54+1,0,1,1))+OFFSET($BP$9,CL54+1,CQ54,1,1),IF(F54&lt;OFFSET($BN$9,CL54+2,0,1,1),((F54-OFFSET($BM$9,CL54+2,0,1,1))*OFFSET($CI$9,CL54+2,0,1,1))+OFFSET($BP$9,CL54+2,CQ54,1,1),IF(F54&lt;OFFSET($BN$9,CL54+3,0,1,1),((F54-OFFSET($BM$9,CL54+3,0,1,1))*OFFSET($CI$9,CL54+3,0,1,1))+OFFSET($BP$9,CL54+3,CQ54,1,1),0))))))</f>
        <v>0</v>
      </c>
      <c r="CV54" s="51">
        <f ca="1">IF($F54&lt;OFFSET($BM$9,$CL54-1,0,1,1),0,IF($F54&lt;OFFSET($BN$9,$CL54-1,0,1,1),IF(AND($H54&gt;2.4,Z54&lt;&gt;"e",Z54&lt;&gt;"f"),CZ54*2.4/$H54,CZ54),IF($F54&lt;OFFSET($BN$9,$CL54+0,0,1,1),IF(AND($H54&gt;2.4,Z54&lt;&gt;"e",Z54&lt;&gt;"f"),CZ54*2.4/$H54,CZ54),IF($F54&lt;OFFSET($BN$9,$CL54+1,0,1,1),IF(AND($H54&gt;2.4,Z54&lt;&gt;"e",Z54&lt;&gt;"f"),CZ54*2.4/$H54,CZ54),IF($F54&lt;OFFSET($BN$9,$CL54+2,0,1,1),IF(AND($H54&gt;2.4,Z54&lt;&gt;"e",Z54&lt;&gt;"f"),CZ54*2.4/$H54,CZ54),IF($F54&lt;OFFSET($BN$9,$CL54+3,0,1,1),IF(AND($H54&gt;2.4,Z54&lt;&gt;"e",Z54&lt;&gt;"f"),CZ54*2.4/$H54,CZ54),0)))))*COS(RADIANS($G54)))</f>
        <v>0</v>
      </c>
      <c r="CW54" s="51">
        <f ca="1">IF(CT54&gt;CR54,CR54,CT54)</f>
        <v>0</v>
      </c>
      <c r="CX54" s="51">
        <f ca="1">IF(CS54&gt;$CR54,$CR54,CS54)</f>
        <v>0</v>
      </c>
      <c r="CY54" s="51">
        <f ca="1">CW54*F54</f>
        <v>0</v>
      </c>
      <c r="CZ54" s="51">
        <f ca="1">IF($CU54&gt;$CR54,$CR54,$CU54)</f>
        <v>0</v>
      </c>
      <c r="DA54" s="51">
        <f ca="1">IF(CV54&gt;CR54,CR54,CV54)</f>
        <v>0</v>
      </c>
      <c r="DB54" s="984">
        <f ca="1">DA54*F54</f>
        <v>0</v>
      </c>
      <c r="DC54" s="993">
        <v>1</v>
      </c>
      <c r="DD54" s="758" t="str">
        <f>IF(OR(D54=BG$12,D54=BG$13),"External",IF(D54=BG$14,"Internal"," "))</f>
        <v xml:space="preserve"> </v>
      </c>
      <c r="DE54" s="51" t="str">
        <f t="shared" ca="1" si="1"/>
        <v/>
      </c>
      <c r="DF54" s="52" t="str">
        <f t="shared" ca="1" si="2"/>
        <v xml:space="preserve"> </v>
      </c>
      <c r="DG54" s="51">
        <f ca="1">IF(F54&lt;OFFSET($BM$9,CN54-1,0,1,1),0,IF(F54&lt;OFFSET($BN$9,CN54-1,0,1,1),((F54-OFFSET($BM$9,CN54-1,0,1,1))*OFFSET($CH$9,CN54-1,0,1,1))+OFFSET($BO$9,CN54-1,CQ54,1,1),IF(F54&lt;OFFSET($BN$9,CN54+0,0,1,1),((F54-OFFSET($BM$9,CN54+0,0,1,1))*OFFSET($CH$9,CN54+0,0,1,1))+OFFSET($BO$9,CN54+0,CQ54,1,1),IF(F54&lt;OFFSET($BN$9,CN54+1,0,1,1),((F54-OFFSET($BM$9,CN54+1,0,1,1))*OFFSET($CH$9,CN54+1,0,1,1))+OFFSET($BO$9,CN54+1,CQ54,1,1),IF(F54&lt;OFFSET($BN$9,CN54+2,0,1,1),((F54-OFFSET($BM$9,CN54+2,0,1,1))*OFFSET($CH$9,CN54+2,0,1,1))+OFFSET($BO$9,CN54+2,CQ54,1,1),IF(F54&lt;OFFSET($BN$9,CN54+3,0,1,1),((F54-OFFSET($BM$9,CN54+3,0,1,1))*OFFSET($CH$9,CN54+3,0,1,1))+OFFSET($BO$9,CN54+3,CQ54,1,1),0))))))</f>
        <v>0</v>
      </c>
      <c r="DH54" s="51">
        <f ca="1">IF($F54&lt;OFFSET($BM$9,$CN54-1,0,1,1),0,IF($F54&lt;OFFSET($BN$9,$CN54-1,0,1,1),IF(AND($H54&gt;2.4,Z54&lt;&gt;"e",Z54&lt;&gt;"f"),DL54*2.4/$H54,DL54),IF($F54&lt;OFFSET($BN$9,$CN54+0,0,1,1),IF(AND($H54&gt;2.4,Z54&lt;&gt;"e",Z54&lt;&gt;"f"),DL54*2.4/$H54,DL54),IF($F54&lt;OFFSET($BN$9,$CN54+1,0,1,1),IF(AND($H54&gt;2.4,Z54&lt;&gt;"e",Z54&lt;&gt;"f"),DL54*2.4/$H54,DL54),IF($F54&lt;OFFSET($BN$9,$CN54+2,0,1,1),IF(AND($H54&gt;2.4,Z54&lt;&gt;"e",Z54&lt;&gt;"f"),DL54*2.4/$H54,DL54),IF($F54&lt;OFFSET($BN$9,$CN54+3,0,1,1),IF(AND($H54&gt;2.4,Z54&lt;&gt;"e",Z54&lt;&gt;"f"),DL54*2.4/$H54,DL54),0)))))*COS(RADIANS($G54)))</f>
        <v>0</v>
      </c>
      <c r="DI54" s="51">
        <f ca="1">IF(F54&lt;OFFSET($BM$9,CN54-1,0,1,1),0,IF(F54&lt;OFFSET($BN$9,CN54-1,0,1,1),((F54-OFFSET($BM$9,CN54-1,0,1,1))*OFFSET($CI$9,CN54-1,0,1,1))+OFFSET($BP$9,CN54-1,CQ54,1,1),IF(F54&lt;OFFSET($BN$9,CN54+0,0,1,1),((F54-OFFSET($BM$9,CN54+0,0,1,1))*OFFSET($CI$9,CN54+0,0,1,1))+OFFSET($BP$9,CN54+0,CQ54,1,1),IF(F54&lt;OFFSET($BN$9,CN54+1,0,1,1),((F54-OFFSET($BM$9,CN54+1,0,1,1))*OFFSET($CI$9,CN54+1,0,1,1))+OFFSET($BP$9,CN54+1,CQ54,1,1),IF(F54&lt;OFFSET($BN$9,CN54+2,0,1,1),((F54-OFFSET($BM$9,CN54+2,0,1,1))*OFFSET($CI$9,CN54+2,0,1,1))+OFFSET($BP$9,CN54+2,CQ54,1,1),IF(F54&lt;OFFSET($BN$9,CN54+3,0,1,1),((F54-OFFSET($BM$9,CN54+3,0,1,1))*OFFSET($CI$9,CN54+3,0,1,1))+OFFSET($BP$9,CN54+3,CQ54,1,1),0))))))</f>
        <v>0</v>
      </c>
      <c r="DJ54" s="51">
        <f ca="1">IF($F54&lt;OFFSET($BM$9,$CN54-1,0,1,1),0,IF($F54&lt;OFFSET($BN$9,$CN54-1,0,1,1),IF(AND($H54&gt;2.4,Z54&lt;&gt;"e",Z54&lt;&gt;"f"),DN54*2.4/$H54,DN54),IF($F54&lt;OFFSET($BN$9,$CN54+0,0,1,1),IF(AND($H54&gt;2.4,Z54&lt;&gt;"e",Z54&lt;&gt;"f"),DN54*2.4/$H54,DN54),IF($F54&lt;OFFSET($BN$9,$CN54+1,0,1,1),IF(AND($H54&gt;2.4,Z54&lt;&gt;"e",Z54&lt;&gt;"f"),DN54*2.4/$H54,DN54),IF($F54&lt;OFFSET($BN$9,$CN54+2,0,1,1),IF(AND($H54&gt;2.4,Z54&lt;&gt;"e",Z54&lt;&gt;"f"),DN54*2.4/$H54,DN54),IF($F54&lt;OFFSET($BN$9,$CN54+3,0,1,1),IF(AND($H54&gt;2.4,Z54&lt;&gt;"e",Z54&lt;&gt;"f"),DN54*2.4/$H54,DN54),0)))))*COS(RADIANS($G54)))</f>
        <v>0</v>
      </c>
      <c r="DK54" s="51"/>
      <c r="DL54" s="51">
        <f ca="1">IF(DG54&gt;$CR54,$CR54,DG54)</f>
        <v>0</v>
      </c>
      <c r="DM54" s="51"/>
      <c r="DN54" s="51">
        <f ca="1">IF(DI54&gt;$CR54,$CR54,DI54)</f>
        <v>0</v>
      </c>
      <c r="DO54" s="435">
        <f ca="1">IF(DH54&gt;$CR54,$CR54,DH54)</f>
        <v>0</v>
      </c>
      <c r="DP54" s="435">
        <f ca="1">DO54*F54</f>
        <v>0</v>
      </c>
      <c r="DQ54" s="436">
        <f ca="1">IF(DJ54&gt;$CR54,$CR54,DJ54)</f>
        <v>0</v>
      </c>
      <c r="DR54" s="437">
        <f ca="1">DQ54*F54</f>
        <v>0</v>
      </c>
      <c r="DS54" s="426">
        <f ca="1">OFFSET($CH$9,CL54-1,-15,1,1)</f>
        <v>0</v>
      </c>
      <c r="DT54" s="451">
        <f ca="1">VLOOKUP(DS54,Prodlink,2,0)</f>
        <v>0</v>
      </c>
      <c r="DU54" s="188">
        <f ca="1">IF(F54&lt;OFFSET($BM$9,DT54-1,0,1,1),0,IF(F54&lt;OFFSET($BN$9,DT54-1,0,1,1),((F54-OFFSET($BM$9,DT54-1,0,1,1))*OFFSET($CH$9,DT54-1,0,1,1))+OFFSET($BO$9,DT54-1,CQ54,1,1),IF(F54&lt;OFFSET($BN$9,DT54+0,0,1,1),((F54-OFFSET($BM$9,DT54+0,0,1,1))*OFFSET($CH$9,DT54+0,0,1,1))+OFFSET($BO$9,DT54+0,CQ54,1,1),IF(F54&lt;OFFSET($BN$9,DT54+1,0,1,1),((F54-OFFSET($BM$9,DT54+1,0,1,1))*OFFSET($CH$9,DT54+1,0,1,1))+OFFSET($BO$9,DT54+1,CQ54,1,1),IF(F54&lt;OFFSET($BN$9,DT54+2,0,1,1),((F54-OFFSET($BM$9,DT54+2,0,1,1))*OFFSET($CH$9,DT54+2,0,1,1))+OFFSET($BO$9,DT54+2,CQ54,1,1),IF(F54&lt;OFFSET($BN$9,DT54+3,0,1,1),((F54-OFFSET($BM$9,DT54+3,0,1,1))*OFFSET($CH$9,DT54+3,0,1,1))+OFFSET($BO$9,DT54+3,CQ54,1,1),0))))))</f>
        <v>0</v>
      </c>
      <c r="DV54" s="51">
        <f ca="1">IF($F54&lt;OFFSET($BM$9,$DT54-1,0,1,1),0,IF($F54&lt;OFFSET($BN$9,$DT54-1,0,1,1),IF(AND($H54&gt;2.4,Z54&lt;&gt;"e",Z54&lt;&gt;"f"),DZ54*2.4/$H54,DZ54),IF($F54&lt;OFFSET($BN$9,$DT54+0,0,1,1),IF(AND($H54&gt;2.4,Z54&lt;&gt;"e",Z54&lt;&gt;"f"),DZ54*2.4/$H54,DZ54),IF($F54&lt;OFFSET($BN$9,$DT54+1,0,1,1),IF(AND($H54&gt;2.4,Z54&lt;&gt;"e",Z54&lt;&gt;"f"),DZ54*2.4/$H54,DZ54),IF($F54&lt;OFFSET($BN$9,$DT54+2,0,1,1),IF(AND($H54&gt;2.4,Z54&lt;&gt;"e",Z54&lt;&gt;"f"),DZ54*2.4/$H54,DZ54),IF($F54&lt;OFFSET($BN$9,$DT54+3,0,1,1),IF(AND($H54&gt;2.4,Z54&lt;&gt;"e",Z54&lt;&gt;"f"),DZ54*2.4/$H54,DZ54),0)))))*COS(RADIANS($G54)))</f>
        <v>0</v>
      </c>
      <c r="DW54" s="188">
        <f ca="1">IF(F54&lt;OFFSET($BM$9,DT54-1,0,1,1),0,IF(F54&lt;OFFSET($BN$9,DT54-1,0,1,1),((F54-OFFSET($BM$9,DT54-1,0,1,1))*OFFSET($CI$9,DT54-1,0,1,1))+OFFSET($BP$9,DT54-1,CQ54,1,1),IF(F54&lt;OFFSET($BN$9,DT54+0,0,1,1),((F54-OFFSET($BM$9,DT54+0,0,1,1))*OFFSET($CI$9,DT54+0,0,1,1))+OFFSET($BP$9,DT54+0,CQ54,1,1),IF(F54&lt;OFFSET($BN$9,DT54+1,0,1,1),((F54-OFFSET($BM$9,DT54+1,0,1,1))*OFFSET($CI$9,DT54+1,0,1,1))+OFFSET($BP$9,DT54+1,CQ54,1,1),IF(F54&lt;OFFSET($BN$9,DT54+2,0,1,1),((F54-OFFSET($BM$9,DT54+2,0,1,1))*OFFSET($CI$9,DT54+2,0,1,1))+OFFSET($BP$9,DT54+2,CQ54,1,1),IF(F54&lt;OFFSET($BN$9,DT54+3,0,1,1),((F54-OFFSET($BM$9,DT54+3,0,1,1))*OFFSET($CI$9,DT54+3,0,1,1))+OFFSET($BP$9,DT54+3,CQ54,1,1),0))))))</f>
        <v>0</v>
      </c>
      <c r="DX54" s="51">
        <f ca="1">IF($F54&lt;OFFSET($BM$9,$DT54-1,0,1,1),0,IF($F54&lt;OFFSET($BN$9,$DT54-1,0,1,1),IF(AND($H54&gt;2.4,Z54&lt;&gt;"e",Z54&lt;&gt;"f"),EB54*2.4/$H54,EB54),IF($F54&lt;OFFSET($BN$9,$DT54+0,0,1,1),IF(AND($H54&gt;2.4,Z54&lt;&gt;"e",Z54&lt;&gt;"f"),EB54*2.4/$H54,EB54),IF($F54&lt;OFFSET($BN$9,$DT54+1,0,1,1),IF(AND($H54&gt;2.4,Z54&lt;&gt;"e",Z54&lt;&gt;"f"),EB54*2.4/$H54,EB54),IF($F54&lt;OFFSET($BN$9,$DT54+2,0,1,1),IF(AND($H54&gt;2.4,Z54&lt;&gt;"e",Z54&lt;&gt;"f"),EB54*2.4/$H54,EB54),IF($F54&lt;OFFSET($BN$9,$DT54+3,0,1,1),IF(AND($H54&gt;2.4,Z54&lt;&gt;"e",Z54&lt;&gt;"f"),EB54*2.4/$H54,EB54),0)))))*COS(RADIANS($G54)))</f>
        <v>0</v>
      </c>
      <c r="DY54" s="188"/>
      <c r="DZ54" s="188">
        <f ca="1">IF(DU54&gt;$CR54,$CR54,DU54)</f>
        <v>0</v>
      </c>
      <c r="EA54" s="188"/>
      <c r="EB54" s="188">
        <f ca="1">IF(DW54&gt;$CR54,$CR54,DW54)</f>
        <v>0</v>
      </c>
      <c r="EC54" s="435">
        <f ca="1">IF(DV54&gt;$CR54,$CR54,DV54)</f>
        <v>0</v>
      </c>
      <c r="ED54" s="435">
        <f ca="1">EC54*F54</f>
        <v>0</v>
      </c>
      <c r="EE54" s="436">
        <f ca="1">IF(DX54&gt;$CR54,$CR54,DX54)</f>
        <v>0</v>
      </c>
      <c r="EF54" s="437">
        <f ca="1">EE54*F54</f>
        <v>0</v>
      </c>
      <c r="EG54" s="613" t="str">
        <f>IF(D54=BG$12,BG$12,"")</f>
        <v/>
      </c>
      <c r="EH54" s="614" t="str">
        <f>IF(D54=BG$13,BG$13,"")</f>
        <v/>
      </c>
      <c r="EI54" s="611">
        <f>IF(EG54=BG$12,M54,0)</f>
        <v>0</v>
      </c>
      <c r="EJ54" s="451">
        <f>IF(EG54=BG$12,O54,0)</f>
        <v>0</v>
      </c>
      <c r="EK54" s="451">
        <f>IF(EH54=BG$13,M54,0)</f>
        <v>0</v>
      </c>
      <c r="EL54" s="612">
        <f>IF(EH54=BG$13,O54,0)</f>
        <v>0</v>
      </c>
      <c r="EM54" s="426" t="str">
        <f ca="1">IF(AND(Z54&lt;&gt;"t",Z54&lt;&gt;"f"),"",IF(AND(EN54=$BH$13,K54=$BH$12),"NotOpt",IF(K54&lt;&gt;EN54,"Error","")))</f>
        <v/>
      </c>
      <c r="EN54" s="491" t="str">
        <f>IF(AND($BH$28=1,$BG$28=1),$BH$13,$BH$12)</f>
        <v>120 BU's</v>
      </c>
      <c r="EO54" s="426" t="str">
        <f>K54</f>
        <v xml:space="preserve"> </v>
      </c>
      <c r="EP54" s="497">
        <v>1</v>
      </c>
      <c r="EQ54" s="430" t="str">
        <f ca="1">IF(EP54=1," ",OFFSET(BF$15,EP54-2,0,1,1))</f>
        <v xml:space="preserve"> </v>
      </c>
      <c r="ER54" s="439" t="str">
        <f ca="1">IF(H54=0," ",H54)</f>
        <v xml:space="preserve"> </v>
      </c>
      <c r="ES54" s="440" t="str">
        <f ca="1">IF(ER54&lt;&gt;" ",IF(ER54&lt;&gt;ER$7,"Changed",""),"")</f>
        <v/>
      </c>
      <c r="ET54" s="440">
        <f ca="1">IF(ER54&lt;&gt;" ",IF(ER54&lt;&gt;ER$7,1,0),0)</f>
        <v>0</v>
      </c>
      <c r="EU54" s="957" t="str">
        <f ca="1">IF(I54=" "," ",IF(F54&lt;OFFSET($BM$9,CL54-1,0,1,1),1,""))</f>
        <v xml:space="preserve"> </v>
      </c>
      <c r="EW54" s="427"/>
    </row>
    <row r="55" spans="1:153" ht="17.100000000000001" customHeight="1" thickBot="1">
      <c r="A55" s="2685"/>
      <c r="B55" s="2686" t="s">
        <v>8</v>
      </c>
      <c r="C55" s="2687"/>
      <c r="D55" s="1461" t="s">
        <v>8</v>
      </c>
      <c r="E55" s="659"/>
      <c r="F55" s="659"/>
      <c r="G55" s="659"/>
      <c r="H55" s="659"/>
      <c r="I55" s="1462"/>
      <c r="J55" s="1365" t="str">
        <f ca="1">(CONCATENATE(B50,$BE$54))</f>
        <v>H  Line:  Min. Requirement=</v>
      </c>
      <c r="K55" s="23"/>
      <c r="L55" s="1019">
        <f ca="1">L$5</f>
        <v>0</v>
      </c>
      <c r="M55" s="48">
        <f ca="1">IF(B50=B44,SUM(M50:M54)+M49,SUM(M50:M54))</f>
        <v>0</v>
      </c>
      <c r="N55" s="1019">
        <f ca="1">N$5</f>
        <v>0</v>
      </c>
      <c r="O55" s="125">
        <f ca="1">IF(B50=B44,SUM(O50:O54)+O49,SUM(O50:O54))</f>
        <v>0</v>
      </c>
      <c r="P55" s="139"/>
      <c r="Q55" s="42" t="str">
        <f ca="1">IF(B50=B56,"",IF(AND(M55&gt;0,L55=L$5,OR(M55&lt;$M$105,M55&lt;$BF$3)),"Achieved &lt; Min Req per Line",IF(AND(O55&gt;0,N55=N$5,OR(O55&lt;$O$105,O55&lt;$BF$3)),"Achieved &lt; Min Req per Line",IF(AND(M55&gt;0,L55&gt;M55),"More Required on this line",IF(AND(O55&gt;0,N55&gt;O55),"More Required on this line",IF(AND(L55&gt;0,L55&lt;$BF$3),$BE$59,IF(AND(N55&gt;0,N55&lt;$BF$3),$BE$59,"")))))))</f>
        <v/>
      </c>
      <c r="R55" s="52"/>
      <c r="S55" s="52"/>
      <c r="T55" s="52"/>
      <c r="U55" s="1378"/>
      <c r="V55" s="52"/>
      <c r="W55" s="898"/>
      <c r="X55" s="898"/>
      <c r="Y55" s="896"/>
      <c r="Z55" s="52"/>
      <c r="AA55" s="51"/>
      <c r="AB55" s="1364"/>
      <c r="AK55" s="63" t="str">
        <f>'Custom Elements'!B16</f>
        <v xml:space="preserve">  </v>
      </c>
      <c r="AL55" s="860" t="str">
        <f>'Custom Elements'!C16</f>
        <v>Custom8</v>
      </c>
      <c r="AM55" s="11">
        <f>'Custom Elements'!D16</f>
        <v>9.9999999999999996E-76</v>
      </c>
      <c r="AN55" s="7">
        <f>'Custom Elements'!E16</f>
        <v>0</v>
      </c>
      <c r="AO55" s="7">
        <f>'Custom Elements'!F16</f>
        <v>0</v>
      </c>
      <c r="AP55" s="762" t="str">
        <f>'Custom Elements'!G16</f>
        <v>B</v>
      </c>
      <c r="AQ55" s="1777" t="str">
        <f>'Custom Elements'!H16</f>
        <v>Single</v>
      </c>
      <c r="AR55" s="1775" t="str">
        <f>'Custom Elements'!I16</f>
        <v>Yes</v>
      </c>
      <c r="AS55" s="442" t="str">
        <f>'Custom Elements'!J16</f>
        <v>Yes</v>
      </c>
      <c r="AT55" s="1150"/>
      <c r="AU55" s="1150"/>
      <c r="AZ55" s="442" t="str">
        <f>IF(AND('Custom Elements'!J16="Yes",'Custom Elements'!I16="Yes"),"T",IF('Custom Elements'!J16="Yes","F",IF('Custom Elements'!I16="Yes","H","E")))</f>
        <v>T</v>
      </c>
      <c r="BD55" s="638"/>
      <c r="BF55" s="73"/>
      <c r="BG55" s="73"/>
      <c r="BI55" s="759"/>
      <c r="BJ55" s="897">
        <f t="shared" si="25"/>
        <v>47</v>
      </c>
      <c r="BK55" s="1213"/>
      <c r="BL55" s="1214"/>
      <c r="BM55" s="1215"/>
      <c r="BN55" s="1215"/>
      <c r="BO55" s="1215"/>
      <c r="BP55" s="1215"/>
      <c r="BQ55" s="1216"/>
      <c r="BR55" s="1215"/>
      <c r="BS55" s="1215"/>
      <c r="BT55" s="1215"/>
      <c r="BU55" s="1215"/>
      <c r="BV55" s="1216"/>
      <c r="BW55" s="1217"/>
      <c r="BX55" s="1215"/>
      <c r="BY55" s="1216"/>
      <c r="BZ55" s="1216"/>
      <c r="CA55" s="1216"/>
      <c r="CB55" s="1216"/>
      <c r="CC55" s="1216"/>
      <c r="CD55" s="1216"/>
      <c r="CE55" s="1216"/>
      <c r="CF55" s="1216"/>
      <c r="CG55" s="1216"/>
      <c r="CH55" s="1215"/>
      <c r="CI55" s="1218"/>
      <c r="CJ55" s="759"/>
      <c r="CK55" s="188"/>
      <c r="CL55" s="979"/>
      <c r="CN55" s="497"/>
      <c r="CO55" s="497" t="s">
        <v>8</v>
      </c>
      <c r="CQ55" s="51" t="s">
        <v>8</v>
      </c>
      <c r="CR55" s="51" t="s">
        <v>8</v>
      </c>
      <c r="CS55" s="51" t="s">
        <v>8</v>
      </c>
      <c r="CT55" s="51" t="s">
        <v>8</v>
      </c>
      <c r="CU55" s="51" t="s">
        <v>8</v>
      </c>
      <c r="CV55" s="51" t="s">
        <v>8</v>
      </c>
      <c r="CW55" s="51" t="s">
        <v>8</v>
      </c>
      <c r="CX55" s="51" t="s">
        <v>8</v>
      </c>
      <c r="CY55" s="51" t="s">
        <v>8</v>
      </c>
      <c r="CZ55" s="51" t="s">
        <v>8</v>
      </c>
      <c r="DA55" s="51" t="s">
        <v>8</v>
      </c>
      <c r="DB55" s="984" t="s">
        <v>8</v>
      </c>
      <c r="DD55" s="758"/>
      <c r="DF55" s="52"/>
      <c r="DG55" s="51"/>
      <c r="DH55" s="51"/>
      <c r="DI55" s="51"/>
      <c r="DJ55" s="51"/>
      <c r="DK55" s="51"/>
      <c r="DL55" s="51" t="s">
        <v>8</v>
      </c>
      <c r="DM55" s="51"/>
      <c r="DN55" s="51" t="s">
        <v>8</v>
      </c>
      <c r="DO55" s="435" t="s">
        <v>8</v>
      </c>
      <c r="DP55" s="435" t="s">
        <v>8</v>
      </c>
      <c r="DQ55" s="868" t="s">
        <v>8</v>
      </c>
      <c r="DR55" s="868" t="s">
        <v>8</v>
      </c>
      <c r="DS55" s="426" t="s">
        <v>8</v>
      </c>
      <c r="DT55" s="451" t="s">
        <v>8</v>
      </c>
      <c r="DU55" s="188" t="s">
        <v>8</v>
      </c>
      <c r="DV55" s="188" t="s">
        <v>8</v>
      </c>
      <c r="DW55" s="188" t="s">
        <v>8</v>
      </c>
      <c r="DX55" s="188" t="s">
        <v>8</v>
      </c>
      <c r="DY55" s="188"/>
      <c r="DZ55" s="188" t="s">
        <v>8</v>
      </c>
      <c r="EA55" s="188"/>
      <c r="EB55" s="188" t="s">
        <v>8</v>
      </c>
      <c r="EC55" s="435" t="s">
        <v>8</v>
      </c>
      <c r="ED55" s="435" t="s">
        <v>8</v>
      </c>
      <c r="EE55" s="868" t="s">
        <v>8</v>
      </c>
      <c r="EF55" s="867" t="s">
        <v>8</v>
      </c>
      <c r="EG55" s="613"/>
      <c r="EH55" s="614"/>
      <c r="EI55" s="613"/>
      <c r="EJ55" s="435"/>
      <c r="EK55" s="451"/>
      <c r="EL55" s="612"/>
      <c r="EN55" s="947"/>
      <c r="ER55" s="441"/>
      <c r="ES55" s="440"/>
      <c r="ET55" s="440"/>
      <c r="EU55" s="957"/>
      <c r="EW55" s="427"/>
    </row>
    <row r="56" spans="1:153" ht="17.100000000000001" customHeight="1" thickBot="1">
      <c r="A56" s="2685"/>
      <c r="B56" s="1369" t="str">
        <f ca="1">S56</f>
        <v>I</v>
      </c>
      <c r="C56" s="684" t="str">
        <f>IF(OR(F56=0,I56="",I56=" ")," ",$V56)</f>
        <v xml:space="preserve"> </v>
      </c>
      <c r="D56" s="1033"/>
      <c r="E56" s="1360"/>
      <c r="F56" s="202"/>
      <c r="G56" s="1416"/>
      <c r="H56" s="199" t="str">
        <f ca="1">IF(OR(F56=0,Z56="E",Z56="f")," ",'Project Demand'!E$35)</f>
        <v xml:space="preserve"> </v>
      </c>
      <c r="I56" s="631" t="str">
        <f>IF($I$6&lt;&gt;$BG$8," ",AB56)</f>
        <v xml:space="preserve"> </v>
      </c>
      <c r="J56" s="43" t="str">
        <f ca="1">IF(OR(I56=" ",I56="")," ",OFFSET($BO$9,CL56-1,0-4,1,1))</f>
        <v xml:space="preserve"> </v>
      </c>
      <c r="K56" s="55" t="str">
        <f>IF(OR(I56=" ",I56="")," ",IF(OR(Z56="e",Z56="h"),"SD",BG$24))</f>
        <v xml:space="preserve"> </v>
      </c>
      <c r="L56" s="49">
        <f ca="1">CW56</f>
        <v>0</v>
      </c>
      <c r="M56" s="49">
        <f ca="1">CY56</f>
        <v>0</v>
      </c>
      <c r="N56" s="50">
        <f t="shared" ref="N56:O60" ca="1" si="29">DA56</f>
        <v>0</v>
      </c>
      <c r="O56" s="126">
        <f t="shared" ca="1" si="29"/>
        <v>0</v>
      </c>
      <c r="P56" s="140"/>
      <c r="Q56" s="752" t="str">
        <f ca="1">IF(AND(OR(Z56="t",Z56="f"),K56=$BH$11),"No Floor!  Change Floor Type",IF(OR(I56=" ",I56="")," ",IF(F56&lt;OFFSET($BM$9,CL56-1,0,1,1),"check L(m)",DE56&amp;IF(AND(DP56&gt;=CY56,DR56&gt;=DB56),IF(AND(ED56&gt;=DP56,EF56&gt;=DR56),CONCATENATE(DS56," will provide same result"),CONCATENATE(CO56," will provide same result")),IF((DP56&gt;=CY56),CONCATENATE(CO56," provides same result in WIND"),IF((DR56&gt;=DB56),CONCATENATE(CO56," provides same result in EQ"),""))))))&amp;IF(ISERROR(FIND("pile",I56,1)),"",IF(INT(F56)&lt;&gt;F56,"Pile!  Use Whole Numbers Only",""))</f>
        <v xml:space="preserve"> </v>
      </c>
      <c r="R56" s="52">
        <f ca="1">IF(T50&lt;&gt;2,(COLUMN(INDIRECT(B50&amp;1))+1),U56)</f>
        <v>9</v>
      </c>
      <c r="S56" s="1372" t="str">
        <f ca="1">SUBSTITUTE(ADDRESS(1,R56,4),"1","")</f>
        <v>I</v>
      </c>
      <c r="T56" s="451">
        <f ca="1">IF(AND(ISTEXT(B56),SUBSTITUTE(SUBSTITUTE(SUBSTITUTE(SUBSTITUTE(SUBSTITUTE(SUBSTITUTE(SUBSTITUTE(SUBSTITUTE(SUBSTITUTE(SUBSTITUTE(SUBSTITUTE(SUBSTITUTE(SUBSTITUTE(SUBSTITUTE(SUBSTITUTE(SUBSTITUTE(SUBSTITUTE(SUBSTITUTE(SUBSTITUTE(SUBSTITUTE(SUBSTITUTE(SUBSTITUTE(SUBSTITUTE(SUBSTITUTE(SUBSTITUTE(SUBSTITUTE(LOWER(B56),"a",),"b",),"c",),"d",),"e",),"f",),"g",),"h",),"i",),"j",),"k",),"l",),"m",),"n",),"o",),"p",),"q",),"r",),"s",),"t",),"u",),"v",),"w",),"x",),"y",),"z",)=""),1,2)</f>
        <v>1</v>
      </c>
      <c r="U56" s="1377">
        <v>9</v>
      </c>
      <c r="V56" s="52" t="str">
        <f ca="1">IF(AND(B$5=$BF$9,OR(I56=BH$16,I56=BH$17))," ",IF(ISNUMBER(B$56),(CONCATENATE(B$56,".",W56)),(CONCATENATE(B$56,W56))))</f>
        <v>I0</v>
      </c>
      <c r="W56" s="9">
        <f ca="1">IF(B50=B56,W54+X56,X56)</f>
        <v>0</v>
      </c>
      <c r="X56" s="9">
        <f>IF(AND(B$5=$BF$9,OR($I56=$BH$16,$I56=$BH$17,$I56=" ",$I56="",$F56=0)),0,IF(OR($I56=" ",$I56="",$F56=0),0,1))</f>
        <v>0</v>
      </c>
      <c r="Y56" s="896">
        <f ca="1">IF(AND(M61&gt;0,B56&lt;&gt;B62),1,0)</f>
        <v>0</v>
      </c>
      <c r="Z56" s="52" t="str">
        <f ca="1">IF(I56=" "," ",OFFSET($BM$9,$CL56-1,8,1,1))</f>
        <v xml:space="preserve"> </v>
      </c>
      <c r="AA56" s="51" t="str">
        <f>IF(G56&gt;=45,"WA","")</f>
        <v/>
      </c>
      <c r="AB56" s="1364" t="str">
        <f>IF(F56&lt;&gt;"",IF(OR(D56=$BG$12,D56=$BG$13),IF(E56&lt;&gt;$BG$17,$BF$12,$BF$13),IF(E56&lt;&gt;$BG$17,$BF$12,$BF$13))," ")</f>
        <v xml:space="preserve"> </v>
      </c>
      <c r="AC56" s="1"/>
      <c r="AK56" s="63" t="str">
        <f>'Custom Elements'!B17</f>
        <v xml:space="preserve">  </v>
      </c>
      <c r="AL56" s="860" t="str">
        <f>'Custom Elements'!C17</f>
        <v>Custom9</v>
      </c>
      <c r="AM56" s="11">
        <f>'Custom Elements'!D17</f>
        <v>9.9999999999999996E-76</v>
      </c>
      <c r="AN56" s="7">
        <f>'Custom Elements'!E17</f>
        <v>0</v>
      </c>
      <c r="AO56" s="7">
        <f>'Custom Elements'!F17</f>
        <v>0</v>
      </c>
      <c r="AP56" s="762" t="str">
        <f>'Custom Elements'!G17</f>
        <v>B</v>
      </c>
      <c r="AQ56" s="1777" t="str">
        <f>'Custom Elements'!H17</f>
        <v>Single</v>
      </c>
      <c r="AR56" s="1775" t="str">
        <f>'Custom Elements'!I17</f>
        <v>Yes</v>
      </c>
      <c r="AS56" s="442" t="str">
        <f>'Custom Elements'!J17</f>
        <v>Yes</v>
      </c>
      <c r="AT56" s="1150"/>
      <c r="AU56" s="1150"/>
      <c r="AZ56" s="442" t="str">
        <f>IF(AND('Custom Elements'!J17="Yes",'Custom Elements'!I17="Yes"),"T",IF('Custom Elements'!J17="Yes","F",IF('Custom Elements'!I17="Yes","H","E")))</f>
        <v>T</v>
      </c>
      <c r="BD56" s="638"/>
      <c r="BF56" s="73"/>
      <c r="BG56" s="73"/>
      <c r="BI56" s="759"/>
      <c r="BJ56" s="897">
        <f t="shared" si="25"/>
        <v>48</v>
      </c>
      <c r="BK56" s="768" t="str">
        <f>BK50</f>
        <v xml:space="preserve">EPB </v>
      </c>
      <c r="BL56" s="765" t="str">
        <f>Table!C10</f>
        <v>ESSN</v>
      </c>
      <c r="BM56" s="454">
        <f>Table!D10</f>
        <v>0.4</v>
      </c>
      <c r="BN56" s="454">
        <f>BM57</f>
        <v>0.6</v>
      </c>
      <c r="BO56" s="454">
        <f>Table!E10</f>
        <v>79</v>
      </c>
      <c r="BP56" s="924">
        <f>Table!F10</f>
        <v>74</v>
      </c>
      <c r="BQ56" s="920"/>
      <c r="BR56" s="768" t="str">
        <f>Table!G10</f>
        <v>ES-N</v>
      </c>
      <c r="BS56" s="454" t="str">
        <f>Table!G11</f>
        <v>ES-N</v>
      </c>
      <c r="BT56" s="454" t="str">
        <f>Table!H10</f>
        <v>I</v>
      </c>
      <c r="BU56" s="924" t="s">
        <v>242</v>
      </c>
      <c r="BV56" s="1230" t="str">
        <f>Table!AI78</f>
        <v>ESSN</v>
      </c>
      <c r="BW56" s="1229">
        <f>BJ56</f>
        <v>48</v>
      </c>
      <c r="BX56" s="924" t="str">
        <f>Table!H11</f>
        <v>Double</v>
      </c>
      <c r="CH56" s="768">
        <f>IF(BN56=999,0,(BO57-BO56)/(BN56-BM56))</f>
        <v>55.000000000000014</v>
      </c>
      <c r="CI56" s="924">
        <f>IF(BN56=999,0,(BP57-BP56)/(BN56-BM56))</f>
        <v>45.000000000000007</v>
      </c>
      <c r="CJ56" s="759"/>
      <c r="CK56" s="188"/>
      <c r="CL56" s="979">
        <f>VLOOKUP(I56,Prodlink,2,0)</f>
        <v>0</v>
      </c>
      <c r="CN56" s="497">
        <f ca="1">VLOOKUP(CO56,Prodlink,2,0)</f>
        <v>0</v>
      </c>
      <c r="CO56" s="497">
        <f ca="1">OFFSET($CH$9,CL56-1,-15,1,1)</f>
        <v>0</v>
      </c>
      <c r="CQ56" s="51">
        <v>0</v>
      </c>
      <c r="CR56" s="51">
        <f>IF(K56=$BH$12,$BH$23,IF(K56=$BH$13,$BH$24,10000))</f>
        <v>10000</v>
      </c>
      <c r="CS56" s="51">
        <f ca="1">IF(F56&lt;OFFSET($BM$9,CL56-1,0,1,1),0,IF(F56&lt;OFFSET($BN$9,CL56-1,0,1,1),((F56-OFFSET($BM$9,CL56-1,0,1,1))*OFFSET($CH$9,CL56-1,0,1,1))+OFFSET($BO$9,CL56-1,CQ56,1,1),IF(F56&lt;OFFSET($BN$9,CL56+0,0,1,1),((F56-OFFSET($BM$9,CL56+0,0,1,1))*OFFSET($CH$9,CL56+0,0,1,1))+OFFSET($BO$9,CL56+0,CQ56,1,1),IF(F56&lt;OFFSET($BN$9,CL56+1,0,1,1),((F56-OFFSET($BM$9,CL56+1,0,1,1))*OFFSET($CH$9,CL56+1,0,1,1))+OFFSET($BO$9,CL56+1,CQ56,1,1),IF(F56&lt;OFFSET($BN$9,CL56+2,0,1,1),((F56-OFFSET($BM$9,CL56+2,0,1,1))*OFFSET($CH$9,CL56+2,0,1,1))+OFFSET($BO$9,CL56+2,CQ56,1,1),IF(F56&lt;OFFSET($BN$9,CL56+3,0,1,1),((F56-OFFSET($BM$9,CL56+3,0,1,1))*OFFSET($CH$9,CL56+3,0,1,1))+OFFSET($BO$9,CL56+3,CQ56,1,1),0))))))</f>
        <v>0</v>
      </c>
      <c r="CT56" s="51">
        <f ca="1">IF($F56&lt;OFFSET($BM$9,$CL56-1,0,1,1),0,IF($F56&lt;OFFSET($BN$9,$CL56-1,0,1,1),IF(AND($H56&gt;2.4,Z56&lt;&gt;"e",Z56&lt;&gt;"f"),CX56*2.4/$H56,CX56),IF($F56&lt;OFFSET($BN$9,$CL56+0,0,1,1),IF(AND($H56&gt;2.4,Z56&lt;&gt;"e",Z56&lt;&gt;"f"),CX56*2.4/$H56,CX56),IF($F56&lt;OFFSET($BN$9,$CL56+1,0,1,1),IF(AND($H56&gt;2.4,Z56&lt;&gt;"e",Z56&lt;&gt;"f"),CX56*2.4/$H56,CX56),IF($F56&lt;OFFSET($BN$9,CL56+2,0,1,1),IF(AND($H56&gt;2.4,Z56&lt;&gt;"e",Z56&lt;&gt;"f"),CX56*2.4/$H56,CX56),IF($F56&lt;OFFSET($BN$9,CL56+3,0,1,1),IF(AND($H56&gt;2.4,Z56&lt;&gt;"e",Z56&lt;&gt;"f"),CX56*2.4/$H56,CX56),0)))))*COS(RADIANS($G56)))</f>
        <v>0</v>
      </c>
      <c r="CU56" s="51">
        <f ca="1">IF(F56&lt;OFFSET($BM$9,CL56-1,0,1,1),0,IF(F56&lt;OFFSET($BN$9,CL56-1,0,1,1),((F56-OFFSET($BM$9,CL56-1,0,1,1))*OFFSET($CI$9,CL56-1,0,1,1))+OFFSET($BP$9,CL56-1,CQ56,1,1),IF(F56&lt;OFFSET($BN$9,CL56+0,0,1,1),((F56-OFFSET($BM$9,CL56+0,0,1,1))*OFFSET($CI$9,CL56+0,0,1,1))+OFFSET($BP$9,CL56+0,CQ56,1,1),IF(F56&lt;OFFSET($BN$9,CL56+1,0,1,1),((F56-OFFSET($BM$9,CL56+1,0,1,1))*OFFSET($CI$9,CL56+1,0,1,1))+OFFSET($BP$9,CL56+1,CQ56,1,1),IF(F56&lt;OFFSET($BN$9,CL56+2,0,1,1),((F56-OFFSET($BM$9,CL56+2,0,1,1))*OFFSET($CI$9,CL56+2,0,1,1))+OFFSET($BP$9,CL56+2,CQ56,1,1),IF(F56&lt;OFFSET($BN$9,CL56+3,0,1,1),((F56-OFFSET($BM$9,CL56+3,0,1,1))*OFFSET($CI$9,CL56+3,0,1,1))+OFFSET($BP$9,CL56+3,CQ56,1,1),0))))))</f>
        <v>0</v>
      </c>
      <c r="CV56" s="51">
        <f ca="1">IF($F56&lt;OFFSET($BM$9,$CL56-1,0,1,1),0,IF($F56&lt;OFFSET($BN$9,$CL56-1,0,1,1),IF(AND($H56&gt;2.4,Z56&lt;&gt;"e",Z56&lt;&gt;"f"),CZ56*2.4/$H56,CZ56),IF($F56&lt;OFFSET($BN$9,$CL56+0,0,1,1),IF(AND($H56&gt;2.4,Z56&lt;&gt;"e",Z56&lt;&gt;"f"),CZ56*2.4/$H56,CZ56),IF($F56&lt;OFFSET($BN$9,$CL56+1,0,1,1),IF(AND($H56&gt;2.4,Z56&lt;&gt;"e",Z56&lt;&gt;"f"),CZ56*2.4/$H56,CZ56),IF($F56&lt;OFFSET($BN$9,$CL56+2,0,1,1),IF(AND($H56&gt;2.4,Z56&lt;&gt;"e",Z56&lt;&gt;"f"),CZ56*2.4/$H56,CZ56),IF($F56&lt;OFFSET($BN$9,$CL56+3,0,1,1),IF(AND($H56&gt;2.4,Z56&lt;&gt;"e",Z56&lt;&gt;"f"),CZ56*2.4/$H56,CZ56),0)))))*COS(RADIANS($G56)))</f>
        <v>0</v>
      </c>
      <c r="CW56" s="51">
        <f ca="1">IF(CT56&gt;CR56,CR56,CT56)</f>
        <v>0</v>
      </c>
      <c r="CX56" s="51">
        <f ca="1">IF(CS56&gt;$CR56,$CR56,CS56)</f>
        <v>0</v>
      </c>
      <c r="CY56" s="51">
        <f ca="1">CW56*F56</f>
        <v>0</v>
      </c>
      <c r="CZ56" s="51">
        <f ca="1">IF($CU56&gt;$CR56,$CR56,$CU56)</f>
        <v>0</v>
      </c>
      <c r="DA56" s="51">
        <f ca="1">IF(CV56&gt;CR56,CR56,CV56)</f>
        <v>0</v>
      </c>
      <c r="DB56" s="984">
        <f ca="1">DA56*F56</f>
        <v>0</v>
      </c>
      <c r="DC56" s="993">
        <v>1</v>
      </c>
      <c r="DD56" s="758" t="str">
        <f>IF(OR(D56=BG$12,D56=BG$13),"External",IF(D56=BG$14,"Internal"," "))</f>
        <v xml:space="preserve"> </v>
      </c>
      <c r="DE56" s="51" t="str">
        <f t="shared" ca="1" si="1"/>
        <v/>
      </c>
      <c r="DF56" s="52" t="str">
        <f t="shared" ca="1" si="2"/>
        <v xml:space="preserve"> </v>
      </c>
      <c r="DG56" s="51">
        <f ca="1">IF(F56&lt;OFFSET($BM$9,CN56-1,0,1,1),0,IF(F56&lt;OFFSET($BN$9,CN56-1,0,1,1),((F56-OFFSET($BM$9,CN56-1,0,1,1))*OFFSET($CH$9,CN56-1,0,1,1))+OFFSET($BO$9,CN56-1,CQ56,1,1),IF(F56&lt;OFFSET($BN$9,CN56+0,0,1,1),((F56-OFFSET($BM$9,CN56+0,0,1,1))*OFFSET($CH$9,CN56+0,0,1,1))+OFFSET($BO$9,CN56+0,CQ56,1,1),IF(F56&lt;OFFSET($BN$9,CN56+1,0,1,1),((F56-OFFSET($BM$9,CN56+1,0,1,1))*OFFSET($CH$9,CN56+1,0,1,1))+OFFSET($BO$9,CN56+1,CQ56,1,1),IF(F56&lt;OFFSET($BN$9,CN56+2,0,1,1),((F56-OFFSET($BM$9,CN56+2,0,1,1))*OFFSET($CH$9,CN56+2,0,1,1))+OFFSET($BO$9,CN56+2,CQ56,1,1),IF(F56&lt;OFFSET($BN$9,CN56+3,0,1,1),((F56-OFFSET($BM$9,CN56+3,0,1,1))*OFFSET($CH$9,CN56+3,0,1,1))+OFFSET($BO$9,CN56+3,CQ56,1,1),0))))))</f>
        <v>0</v>
      </c>
      <c r="DH56" s="51">
        <f ca="1">IF($F56&lt;OFFSET($BM$9,$CN56-1,0,1,1),0,IF($F56&lt;OFFSET($BN$9,$CN56-1,0,1,1),IF(AND($H56&gt;2.4,Z56&lt;&gt;"e",Z56&lt;&gt;"f"),DL56*2.4/$H56,DL56),IF($F56&lt;OFFSET($BN$9,$CN56+0,0,1,1),IF(AND($H56&gt;2.4,Z56&lt;&gt;"e",Z56&lt;&gt;"f"),DL56*2.4/$H56,DL56),IF($F56&lt;OFFSET($BN$9,$CN56+1,0,1,1),IF(AND($H56&gt;2.4,Z56&lt;&gt;"e",Z56&lt;&gt;"f"),DL56*2.4/$H56,DL56),IF($F56&lt;OFFSET($BN$9,$CN56+2,0,1,1),IF(AND($H56&gt;2.4,Z56&lt;&gt;"e",Z56&lt;&gt;"f"),DL56*2.4/$H56,DL56),IF($F56&lt;OFFSET($BN$9,$CN56+3,0,1,1),IF(AND($H56&gt;2.4,Z56&lt;&gt;"e",Z56&lt;&gt;"f"),DL56*2.4/$H56,DL56),0)))))*COS(RADIANS($G56)))</f>
        <v>0</v>
      </c>
      <c r="DI56" s="51">
        <f ca="1">IF(F56&lt;OFFSET($BM$9,CN56-1,0,1,1),0,IF(F56&lt;OFFSET($BN$9,CN56-1,0,1,1),((F56-OFFSET($BM$9,CN56-1,0,1,1))*OFFSET($CI$9,CN56-1,0,1,1))+OFFSET($BP$9,CN56-1,CQ56,1,1),IF(F56&lt;OFFSET($BN$9,CN56+0,0,1,1),((F56-OFFSET($BM$9,CN56+0,0,1,1))*OFFSET($CI$9,CN56+0,0,1,1))+OFFSET($BP$9,CN56+0,CQ56,1,1),IF(F56&lt;OFFSET($BN$9,CN56+1,0,1,1),((F56-OFFSET($BM$9,CN56+1,0,1,1))*OFFSET($CI$9,CN56+1,0,1,1))+OFFSET($BP$9,CN56+1,CQ56,1,1),IF(F56&lt;OFFSET($BN$9,CN56+2,0,1,1),((F56-OFFSET($BM$9,CN56+2,0,1,1))*OFFSET($CI$9,CN56+2,0,1,1))+OFFSET($BP$9,CN56+2,CQ56,1,1),IF(F56&lt;OFFSET($BN$9,CN56+3,0,1,1),((F56-OFFSET($BM$9,CN56+3,0,1,1))*OFFSET($CI$9,CN56+3,0,1,1))+OFFSET($BP$9,CN56+3,CQ56,1,1),0))))))</f>
        <v>0</v>
      </c>
      <c r="DJ56" s="51">
        <f ca="1">IF($F56&lt;OFFSET($BM$9,$CN56-1,0,1,1),0,IF($F56&lt;OFFSET($BN$9,$CN56-1,0,1,1),IF(AND($H56&gt;2.4,Z56&lt;&gt;"e",Z56&lt;&gt;"f"),DN56*2.4/$H56,DN56),IF($F56&lt;OFFSET($BN$9,$CN56+0,0,1,1),IF(AND($H56&gt;2.4,Z56&lt;&gt;"e",Z56&lt;&gt;"f"),DN56*2.4/$H56,DN56),IF($F56&lt;OFFSET($BN$9,$CN56+1,0,1,1),IF(AND($H56&gt;2.4,Z56&lt;&gt;"e",Z56&lt;&gt;"f"),DN56*2.4/$H56,DN56),IF($F56&lt;OFFSET($BN$9,$CN56+2,0,1,1),IF(AND($H56&gt;2.4,Z56&lt;&gt;"e",Z56&lt;&gt;"f"),DN56*2.4/$H56,DN56),IF($F56&lt;OFFSET($BN$9,$CN56+3,0,1,1),IF(AND($H56&gt;2.4,Z56&lt;&gt;"e",Z56&lt;&gt;"f"),DN56*2.4/$H56,DN56),0)))))*COS(RADIANS($G56)))</f>
        <v>0</v>
      </c>
      <c r="DK56" s="51"/>
      <c r="DL56" s="51">
        <f ca="1">IF(DG56&gt;$CR56,$CR56,DG56)</f>
        <v>0</v>
      </c>
      <c r="DM56" s="51"/>
      <c r="DN56" s="51">
        <f ca="1">IF(DI56&gt;$CR56,$CR56,DI56)</f>
        <v>0</v>
      </c>
      <c r="DO56" s="435">
        <f ca="1">IF(DH56&gt;$CR56,$CR56,DH56)</f>
        <v>0</v>
      </c>
      <c r="DP56" s="435">
        <f ca="1">DO56*F56</f>
        <v>0</v>
      </c>
      <c r="DQ56" s="436">
        <f ca="1">IF(DJ56&gt;$CR56,$CR56,DJ56)</f>
        <v>0</v>
      </c>
      <c r="DR56" s="437">
        <f ca="1">DQ56*F56</f>
        <v>0</v>
      </c>
      <c r="DS56" s="426">
        <f ca="1">OFFSET($CH$9,CL56-1,-15,1,1)</f>
        <v>0</v>
      </c>
      <c r="DT56" s="451">
        <f ca="1">VLOOKUP(DS56,Prodlink,2,0)</f>
        <v>0</v>
      </c>
      <c r="DU56" s="188">
        <f ca="1">IF(F56&lt;OFFSET($BM$9,DT56-1,0,1,1),0,IF(F56&lt;OFFSET($BN$9,DT56-1,0,1,1),((F56-OFFSET($BM$9,DT56-1,0,1,1))*OFFSET($CH$9,DT56-1,0,1,1))+OFFSET($BO$9,DT56-1,CQ56,1,1),IF(F56&lt;OFFSET($BN$9,DT56+0,0,1,1),((F56-OFFSET($BM$9,DT56+0,0,1,1))*OFFSET($CH$9,DT56+0,0,1,1))+OFFSET($BO$9,DT56+0,CQ56,1,1),IF(F56&lt;OFFSET($BN$9,DT56+1,0,1,1),((F56-OFFSET($BM$9,DT56+1,0,1,1))*OFFSET($CH$9,DT56+1,0,1,1))+OFFSET($BO$9,DT56+1,CQ56,1,1),IF(F56&lt;OFFSET($BN$9,DT56+2,0,1,1),((F56-OFFSET($BM$9,DT56+2,0,1,1))*OFFSET($CH$9,DT56+2,0,1,1))+OFFSET($BO$9,DT56+2,CQ56,1,1),IF(F56&lt;OFFSET($BN$9,DT56+3,0,1,1),((F56-OFFSET($BM$9,DT56+3,0,1,1))*OFFSET($CH$9,DT56+3,0,1,1))+OFFSET($BO$9,DT56+3,CQ56,1,1),0))))))</f>
        <v>0</v>
      </c>
      <c r="DV56" s="51">
        <f ca="1">IF($F56&lt;OFFSET($BM$9,$DT56-1,0,1,1),0,IF($F56&lt;OFFSET($BN$9,$DT56-1,0,1,1),IF(AND($H56&gt;2.4,Z56&lt;&gt;"e",Z56&lt;&gt;"f"),DZ56*2.4/$H56,DZ56),IF($F56&lt;OFFSET($BN$9,$DT56+0,0,1,1),IF(AND($H56&gt;2.4,Z56&lt;&gt;"e",Z56&lt;&gt;"f"),DZ56*2.4/$H56,DZ56),IF($F56&lt;OFFSET($BN$9,$DT56+1,0,1,1),IF(AND($H56&gt;2.4,Z56&lt;&gt;"e",Z56&lt;&gt;"f"),DZ56*2.4/$H56,DZ56),IF($F56&lt;OFFSET($BN$9,$DT56+2,0,1,1),IF(AND($H56&gt;2.4,Z56&lt;&gt;"e",Z56&lt;&gt;"f"),DZ56*2.4/$H56,DZ56),IF($F56&lt;OFFSET($BN$9,$DT56+3,0,1,1),IF(AND($H56&gt;2.4,Z56&lt;&gt;"e",Z56&lt;&gt;"f"),DZ56*2.4/$H56,DZ56),0)))))*COS(RADIANS($G56)))</f>
        <v>0</v>
      </c>
      <c r="DW56" s="188">
        <f ca="1">IF(F56&lt;OFFSET($BM$9,DT56-1,0,1,1),0,IF(F56&lt;OFFSET($BN$9,DT56-1,0,1,1),((F56-OFFSET($BM$9,DT56-1,0,1,1))*OFFSET($CI$9,DT56-1,0,1,1))+OFFSET($BP$9,DT56-1,CQ56,1,1),IF(F56&lt;OFFSET($BN$9,DT56+0,0,1,1),((F56-OFFSET($BM$9,DT56+0,0,1,1))*OFFSET($CI$9,DT56+0,0,1,1))+OFFSET($BP$9,DT56+0,CQ56,1,1),IF(F56&lt;OFFSET($BN$9,DT56+1,0,1,1),((F56-OFFSET($BM$9,DT56+1,0,1,1))*OFFSET($CI$9,DT56+1,0,1,1))+OFFSET($BP$9,DT56+1,CQ56,1,1),IF(F56&lt;OFFSET($BN$9,DT56+2,0,1,1),((F56-OFFSET($BM$9,DT56+2,0,1,1))*OFFSET($CI$9,DT56+2,0,1,1))+OFFSET($BP$9,DT56+2,CQ56,1,1),IF(F56&lt;OFFSET($BN$9,DT56+3,0,1,1),((F56-OFFSET($BM$9,DT56+3,0,1,1))*OFFSET($CI$9,DT56+3,0,1,1))+OFFSET($BP$9,DT56+3,CQ56,1,1),0))))))</f>
        <v>0</v>
      </c>
      <c r="DX56" s="51">
        <f ca="1">IF($F56&lt;OFFSET($BM$9,$DT56-1,0,1,1),0,IF($F56&lt;OFFSET($BN$9,$DT56-1,0,1,1),IF(AND($H56&gt;2.4,Z56&lt;&gt;"e",Z56&lt;&gt;"f"),EB56*2.4/$H56,EB56),IF($F56&lt;OFFSET($BN$9,$DT56+0,0,1,1),IF(AND($H56&gt;2.4,Z56&lt;&gt;"e",Z56&lt;&gt;"f"),EB56*2.4/$H56,EB56),IF($F56&lt;OFFSET($BN$9,$DT56+1,0,1,1),IF(AND($H56&gt;2.4,Z56&lt;&gt;"e",Z56&lt;&gt;"f"),EB56*2.4/$H56,EB56),IF($F56&lt;OFFSET($BN$9,$DT56+2,0,1,1),IF(AND($H56&gt;2.4,Z56&lt;&gt;"e",Z56&lt;&gt;"f"),EB56*2.4/$H56,EB56),IF($F56&lt;OFFSET($BN$9,$DT56+3,0,1,1),IF(AND($H56&gt;2.4,Z56&lt;&gt;"e",Z56&lt;&gt;"f"),EB56*2.4/$H56,EB56),0)))))*COS(RADIANS($G56)))</f>
        <v>0</v>
      </c>
      <c r="DY56" s="188"/>
      <c r="DZ56" s="188">
        <f ca="1">IF(DU56&gt;$CR56,$CR56,DU56)</f>
        <v>0</v>
      </c>
      <c r="EA56" s="188"/>
      <c r="EB56" s="188">
        <f ca="1">IF(DW56&gt;$CR56,$CR56,DW56)</f>
        <v>0</v>
      </c>
      <c r="EC56" s="435">
        <f ca="1">IF(DV56&gt;$CR56,$CR56,DV56)</f>
        <v>0</v>
      </c>
      <c r="ED56" s="435">
        <f ca="1">EC56*F56</f>
        <v>0</v>
      </c>
      <c r="EE56" s="436">
        <f ca="1">IF(DX56&gt;$CR56,$CR56,DX56)</f>
        <v>0</v>
      </c>
      <c r="EF56" s="437">
        <f ca="1">EE56*F56</f>
        <v>0</v>
      </c>
      <c r="EG56" s="613" t="str">
        <f>IF(D56=BG$12,BG$12,"")</f>
        <v/>
      </c>
      <c r="EH56" s="614" t="str">
        <f>IF(D56=BG$13,BG$13,"")</f>
        <v/>
      </c>
      <c r="EI56" s="611">
        <f>IF(EG56=BG$12,M56,0)</f>
        <v>0</v>
      </c>
      <c r="EJ56" s="451">
        <f>IF(EG56=BG$12,O56,0)</f>
        <v>0</v>
      </c>
      <c r="EK56" s="451">
        <f>IF(EH56=BG$13,M56,0)</f>
        <v>0</v>
      </c>
      <c r="EL56" s="612">
        <f>IF(EH56=BG$13,O56,0)</f>
        <v>0</v>
      </c>
      <c r="EM56" s="426" t="str">
        <f ca="1">IF(AND(Z56&lt;&gt;"t",Z56&lt;&gt;"f"),"",IF(AND(EN56=$BH$13,K56=$BH$12),"NotOpt",IF(K56&lt;&gt;EN56,"Error","")))</f>
        <v/>
      </c>
      <c r="EN56" s="491" t="str">
        <f>IF(AND($BH$28=1,$BG$28=1),$BH$13,$BH$12)</f>
        <v>120 BU's</v>
      </c>
      <c r="EO56" s="426" t="str">
        <f>K56</f>
        <v xml:space="preserve"> </v>
      </c>
      <c r="EP56" s="497">
        <v>1</v>
      </c>
      <c r="EQ56" s="430" t="str">
        <f ca="1">IF(EP56=1," ",OFFSET(BF$15,EP56-2,0,1,1))</f>
        <v xml:space="preserve"> </v>
      </c>
      <c r="ER56" s="439" t="str">
        <f ca="1">IF(H56=0," ",H56)</f>
        <v xml:space="preserve"> </v>
      </c>
      <c r="ES56" s="440" t="str">
        <f ca="1">IF(ER56&lt;&gt;" ",IF(ER56&lt;&gt;ER$7,"Changed",""),"")</f>
        <v/>
      </c>
      <c r="ET56" s="440">
        <f ca="1">IF(ER56&lt;&gt;" ",IF(ER56&lt;&gt;ER$7,1,0),0)</f>
        <v>0</v>
      </c>
      <c r="EU56" s="957" t="str">
        <f ca="1">IF(I56=" "," ",IF(F56&lt;OFFSET($BM$9,CL56-1,0,1,1),1,""))</f>
        <v xml:space="preserve"> </v>
      </c>
      <c r="EW56" s="427"/>
    </row>
    <row r="57" spans="1:153" ht="17.100000000000001" customHeight="1">
      <c r="A57" s="2685"/>
      <c r="B57" s="689" t="s">
        <v>246</v>
      </c>
      <c r="C57" s="684" t="str">
        <f>IF(OR(F57=0,I57="",I57=" ")," ",$V57)</f>
        <v xml:space="preserve"> </v>
      </c>
      <c r="D57" s="1033"/>
      <c r="E57" s="1360" t="s">
        <v>8</v>
      </c>
      <c r="F57" s="202"/>
      <c r="G57" s="1416"/>
      <c r="H57" s="199" t="str">
        <f ca="1">IF(OR(F57=0,Z57="E",Z57="f")," ",'Project Demand'!E$35)</f>
        <v xml:space="preserve"> </v>
      </c>
      <c r="I57" s="631" t="str">
        <f>IF($I$6&lt;&gt;$BG$8," ",AB57)</f>
        <v xml:space="preserve"> </v>
      </c>
      <c r="J57" s="44" t="str">
        <f ca="1">IF(OR(I57=" ",I57="")," ",OFFSET($BO$9,CL57-1,0-4,1,1))</f>
        <v xml:space="preserve"> </v>
      </c>
      <c r="K57" s="55" t="str">
        <f>IF(OR(I57=" ",I57="")," ",IF(OR(Z57="e",Z57="h"),"SD",BG$24))</f>
        <v xml:space="preserve"> </v>
      </c>
      <c r="L57" s="49">
        <f ca="1">CW57</f>
        <v>0</v>
      </c>
      <c r="M57" s="49">
        <f ca="1">CY57</f>
        <v>0</v>
      </c>
      <c r="N57" s="50">
        <f t="shared" ca="1" si="29"/>
        <v>0</v>
      </c>
      <c r="O57" s="126">
        <f t="shared" ca="1" si="29"/>
        <v>0</v>
      </c>
      <c r="P57" s="140"/>
      <c r="Q57" s="752" t="str">
        <f ca="1">IF(AND(OR(Z57="t",Z57="f"),K57=$BH$11),"No Floor!  Change Floor Type",IF(OR(I57=" ",I57="")," ",IF(F57&lt;OFFSET($BM$9,CL57-1,0,1,1),"check L(m)",DE57&amp;IF(AND(DP57&gt;=CY57,DR57&gt;=DB57),IF(AND(ED57&gt;=DP57,EF57&gt;=DR57),CONCATENATE(DS57," will provide same result"),CONCATENATE(CO57," will provide same result")),IF((DP57&gt;=CY57),CONCATENATE(CO57," provides same result in WIND"),IF((DR57&gt;=DB57),CONCATENATE(CO57," provides same result in EQ"),""))))))&amp;IF(ISERROR(FIND("pile",I57,1)),"",IF(INT(F57)&lt;&gt;F57,"Pile!  Use Whole Numbers Only",""))</f>
        <v xml:space="preserve"> </v>
      </c>
      <c r="R57" s="52"/>
      <c r="S57" s="1372"/>
      <c r="T57" s="1372"/>
      <c r="U57" s="1377"/>
      <c r="V57" s="52" t="str">
        <f ca="1">IF(AND(B$5=$BF$9,OR(I57=BH$16,I57=BH$17))," ",IF(ISNUMBER(B$56),(CONCATENATE(B$56,".",W57)),(CONCATENATE(B$56,W57))))</f>
        <v>I0</v>
      </c>
      <c r="W57" s="9">
        <f ca="1">W56+X57</f>
        <v>0</v>
      </c>
      <c r="X57" s="9">
        <f>IF(AND(B$5=$BF$9,OR($I57=$BH$16,$I57=$BH$17,$I57=" ",$I57="",$F57=0)),0,IF(OR($I57=" ",$I57="",$F57=0),0,1))</f>
        <v>0</v>
      </c>
      <c r="Y57" s="896"/>
      <c r="Z57" s="52" t="str">
        <f ca="1">IF(I57=" "," ",OFFSET($BM$9,$CL57-1,8,1,1))</f>
        <v xml:space="preserve"> </v>
      </c>
      <c r="AA57" s="51" t="str">
        <f>IF(G57&gt;=45,"WA","")</f>
        <v/>
      </c>
      <c r="AB57" s="1364" t="str">
        <f>IF(F57&lt;&gt;"",IF(OR(D57=$BG$12,D57=$BG$13),IF(E57&lt;&gt;$BG$17,$BF$12,$BF$13),IF(E57&lt;&gt;$BG$17,$BF$12,$BF$13))," ")</f>
        <v xml:space="preserve"> </v>
      </c>
      <c r="AC57" s="1"/>
      <c r="AK57" s="63" t="str">
        <f>'Custom Elements'!B18</f>
        <v xml:space="preserve">  </v>
      </c>
      <c r="AL57" s="860" t="str">
        <f>'Custom Elements'!C18</f>
        <v>Custom10</v>
      </c>
      <c r="AM57" s="11">
        <f>'Custom Elements'!D18</f>
        <v>9.9999999999999996E-76</v>
      </c>
      <c r="AN57" s="7">
        <f>'Custom Elements'!E18</f>
        <v>0</v>
      </c>
      <c r="AO57" s="7">
        <f>'Custom Elements'!F18</f>
        <v>0</v>
      </c>
      <c r="AP57" s="762" t="str">
        <f>'Custom Elements'!G18</f>
        <v>B</v>
      </c>
      <c r="AQ57" s="1777" t="str">
        <f>'Custom Elements'!H18</f>
        <v>Single</v>
      </c>
      <c r="AR57" s="1775" t="str">
        <f>'Custom Elements'!I18</f>
        <v>Yes</v>
      </c>
      <c r="AS57" s="442" t="str">
        <f>'Custom Elements'!J18</f>
        <v>Yes</v>
      </c>
      <c r="AT57" s="1598"/>
      <c r="AU57" s="1155"/>
      <c r="AZ57" s="442" t="str">
        <f>IF(AND('Custom Elements'!J18="Yes",'Custom Elements'!I18="Yes"),"T",IF('Custom Elements'!J18="Yes","F",IF('Custom Elements'!I18="Yes","H","E")))</f>
        <v>T</v>
      </c>
      <c r="BD57" s="638"/>
      <c r="BE57" s="2715" t="s">
        <v>822</v>
      </c>
      <c r="BF57" s="2716"/>
      <c r="BG57" s="2716"/>
      <c r="BI57" s="759"/>
      <c r="BJ57" s="897">
        <f t="shared" si="25"/>
        <v>49</v>
      </c>
      <c r="BK57" s="764"/>
      <c r="BL57" s="766"/>
      <c r="BM57" s="455">
        <f>Table!D11</f>
        <v>0.6</v>
      </c>
      <c r="BN57" s="455">
        <f>BM58</f>
        <v>0.8</v>
      </c>
      <c r="BO57" s="455">
        <f>Table!E11</f>
        <v>90</v>
      </c>
      <c r="BP57" s="925">
        <f>Table!F11</f>
        <v>83</v>
      </c>
      <c r="BR57" s="764"/>
      <c r="BS57" s="455"/>
      <c r="BT57" s="455"/>
      <c r="BU57" s="925" t="s">
        <v>242</v>
      </c>
      <c r="BV57" s="895"/>
      <c r="BW57" s="912"/>
      <c r="BX57" s="925" t="str">
        <f>Table!H11</f>
        <v>Double</v>
      </c>
      <c r="CH57" s="764">
        <f>IF(BN57=999,0,(BO58-BO57)/(BN57-BM57))</f>
        <v>14.999999999999995</v>
      </c>
      <c r="CI57" s="925">
        <f>IF(BN57=999,0,(BP58-BP57)/(BN57-BM57))</f>
        <v>0</v>
      </c>
      <c r="CJ57" s="759"/>
      <c r="CK57" s="188"/>
      <c r="CL57" s="979">
        <f>VLOOKUP(I57,Prodlink,2,0)</f>
        <v>0</v>
      </c>
      <c r="CN57" s="497">
        <f ca="1">VLOOKUP(CO57,Prodlink,2,0)</f>
        <v>0</v>
      </c>
      <c r="CO57" s="497">
        <f ca="1">OFFSET($CH$9,CL57-1,-15,1,1)</f>
        <v>0</v>
      </c>
      <c r="CQ57" s="51">
        <v>0</v>
      </c>
      <c r="CR57" s="51">
        <f>IF(K57=$BH$12,$BH$23,IF(K57=$BH$13,$BH$24,10000))</f>
        <v>10000</v>
      </c>
      <c r="CS57" s="51">
        <f ca="1">IF(F57&lt;OFFSET($BM$9,CL57-1,0,1,1),0,IF(F57&lt;OFFSET($BN$9,CL57-1,0,1,1),((F57-OFFSET($BM$9,CL57-1,0,1,1))*OFFSET($CH$9,CL57-1,0,1,1))+OFFSET($BO$9,CL57-1,CQ57,1,1),IF(F57&lt;OFFSET($BN$9,CL57+0,0,1,1),((F57-OFFSET($BM$9,CL57+0,0,1,1))*OFFSET($CH$9,CL57+0,0,1,1))+OFFSET($BO$9,CL57+0,CQ57,1,1),IF(F57&lt;OFFSET($BN$9,CL57+1,0,1,1),((F57-OFFSET($BM$9,CL57+1,0,1,1))*OFFSET($CH$9,CL57+1,0,1,1))+OFFSET($BO$9,CL57+1,CQ57,1,1),IF(F57&lt;OFFSET($BN$9,CL57+2,0,1,1),((F57-OFFSET($BM$9,CL57+2,0,1,1))*OFFSET($CH$9,CL57+2,0,1,1))+OFFSET($BO$9,CL57+2,CQ57,1,1),IF(F57&lt;OFFSET($BN$9,CL57+3,0,1,1),((F57-OFFSET($BM$9,CL57+3,0,1,1))*OFFSET($CH$9,CL57+3,0,1,1))+OFFSET($BO$9,CL57+3,CQ57,1,1),0))))))</f>
        <v>0</v>
      </c>
      <c r="CT57" s="51">
        <f ca="1">IF($F57&lt;OFFSET($BM$9,$CL57-1,0,1,1),0,IF($F57&lt;OFFSET($BN$9,$CL57-1,0,1,1),IF(AND($H57&gt;2.4,Z57&lt;&gt;"e",Z57&lt;&gt;"f"),CX57*2.4/$H57,CX57),IF($F57&lt;OFFSET($BN$9,$CL57+0,0,1,1),IF(AND($H57&gt;2.4,Z57&lt;&gt;"e",Z57&lt;&gt;"f"),CX57*2.4/$H57,CX57),IF($F57&lt;OFFSET($BN$9,$CL57+1,0,1,1),IF(AND($H57&gt;2.4,Z57&lt;&gt;"e",Z57&lt;&gt;"f"),CX57*2.4/$H57,CX57),IF($F57&lt;OFFSET($BN$9,CL57+2,0,1,1),IF(AND($H57&gt;2.4,Z57&lt;&gt;"e",Z57&lt;&gt;"f"),CX57*2.4/$H57,CX57),IF($F57&lt;OFFSET($BN$9,CL57+3,0,1,1),IF(AND($H57&gt;2.4,Z57&lt;&gt;"e",Z57&lt;&gt;"f"),CX57*2.4/$H57,CX57),0)))))*COS(RADIANS($G57)))</f>
        <v>0</v>
      </c>
      <c r="CU57" s="51">
        <f ca="1">IF(F57&lt;OFFSET($BM$9,CL57-1,0,1,1),0,IF(F57&lt;OFFSET($BN$9,CL57-1,0,1,1),((F57-OFFSET($BM$9,CL57-1,0,1,1))*OFFSET($CI$9,CL57-1,0,1,1))+OFFSET($BP$9,CL57-1,CQ57,1,1),IF(F57&lt;OFFSET($BN$9,CL57+0,0,1,1),((F57-OFFSET($BM$9,CL57+0,0,1,1))*OFFSET($CI$9,CL57+0,0,1,1))+OFFSET($BP$9,CL57+0,CQ57,1,1),IF(F57&lt;OFFSET($BN$9,CL57+1,0,1,1),((F57-OFFSET($BM$9,CL57+1,0,1,1))*OFFSET($CI$9,CL57+1,0,1,1))+OFFSET($BP$9,CL57+1,CQ57,1,1),IF(F57&lt;OFFSET($BN$9,CL57+2,0,1,1),((F57-OFFSET($BM$9,CL57+2,0,1,1))*OFFSET($CI$9,CL57+2,0,1,1))+OFFSET($BP$9,CL57+2,CQ57,1,1),IF(F57&lt;OFFSET($BN$9,CL57+3,0,1,1),((F57-OFFSET($BM$9,CL57+3,0,1,1))*OFFSET($CI$9,CL57+3,0,1,1))+OFFSET($BP$9,CL57+3,CQ57,1,1),0))))))</f>
        <v>0</v>
      </c>
      <c r="CV57" s="51">
        <f ca="1">IF($F57&lt;OFFSET($BM$9,$CL57-1,0,1,1),0,IF($F57&lt;OFFSET($BN$9,$CL57-1,0,1,1),IF(AND($H57&gt;2.4,Z57&lt;&gt;"e",Z57&lt;&gt;"f"),CZ57*2.4/$H57,CZ57),IF($F57&lt;OFFSET($BN$9,$CL57+0,0,1,1),IF(AND($H57&gt;2.4,Z57&lt;&gt;"e",Z57&lt;&gt;"f"),CZ57*2.4/$H57,CZ57),IF($F57&lt;OFFSET($BN$9,$CL57+1,0,1,1),IF(AND($H57&gt;2.4,Z57&lt;&gt;"e",Z57&lt;&gt;"f"),CZ57*2.4/$H57,CZ57),IF($F57&lt;OFFSET($BN$9,$CL57+2,0,1,1),IF(AND($H57&gt;2.4,Z57&lt;&gt;"e",Z57&lt;&gt;"f"),CZ57*2.4/$H57,CZ57),IF($F57&lt;OFFSET($BN$9,$CL57+3,0,1,1),IF(AND($H57&gt;2.4,Z57&lt;&gt;"e",Z57&lt;&gt;"f"),CZ57*2.4/$H57,CZ57),0)))))*COS(RADIANS($G57)))</f>
        <v>0</v>
      </c>
      <c r="CW57" s="51">
        <f ca="1">IF(CT57&gt;CR57,CR57,CT57)</f>
        <v>0</v>
      </c>
      <c r="CX57" s="51">
        <f ca="1">IF(CS57&gt;$CR57,$CR57,CS57)</f>
        <v>0</v>
      </c>
      <c r="CY57" s="51">
        <f ca="1">CW57*F57</f>
        <v>0</v>
      </c>
      <c r="CZ57" s="51">
        <f ca="1">IF($CU57&gt;$CR57,$CR57,$CU57)</f>
        <v>0</v>
      </c>
      <c r="DA57" s="51">
        <f ca="1">IF(CV57&gt;CR57,CR57,CV57)</f>
        <v>0</v>
      </c>
      <c r="DB57" s="984">
        <f ca="1">DA57*F57</f>
        <v>0</v>
      </c>
      <c r="DC57" s="993">
        <v>1</v>
      </c>
      <c r="DD57" s="758" t="str">
        <f>IF(OR(D57=BG$12,D57=BG$13),"External",IF(D57=BG$14,"Internal"," "))</f>
        <v xml:space="preserve"> </v>
      </c>
      <c r="DE57" s="51" t="str">
        <f t="shared" ca="1" si="1"/>
        <v/>
      </c>
      <c r="DF57" s="52" t="str">
        <f t="shared" ca="1" si="2"/>
        <v xml:space="preserve"> </v>
      </c>
      <c r="DG57" s="51">
        <f ca="1">IF(F57&lt;OFFSET($BM$9,CN57-1,0,1,1),0,IF(F57&lt;OFFSET($BN$9,CN57-1,0,1,1),((F57-OFFSET($BM$9,CN57-1,0,1,1))*OFFSET($CH$9,CN57-1,0,1,1))+OFFSET($BO$9,CN57-1,CQ57,1,1),IF(F57&lt;OFFSET($BN$9,CN57+0,0,1,1),((F57-OFFSET($BM$9,CN57+0,0,1,1))*OFFSET($CH$9,CN57+0,0,1,1))+OFFSET($BO$9,CN57+0,CQ57,1,1),IF(F57&lt;OFFSET($BN$9,CN57+1,0,1,1),((F57-OFFSET($BM$9,CN57+1,0,1,1))*OFFSET($CH$9,CN57+1,0,1,1))+OFFSET($BO$9,CN57+1,CQ57,1,1),IF(F57&lt;OFFSET($BN$9,CN57+2,0,1,1),((F57-OFFSET($BM$9,CN57+2,0,1,1))*OFFSET($CH$9,CN57+2,0,1,1))+OFFSET($BO$9,CN57+2,CQ57,1,1),IF(F57&lt;OFFSET($BN$9,CN57+3,0,1,1),((F57-OFFSET($BM$9,CN57+3,0,1,1))*OFFSET($CH$9,CN57+3,0,1,1))+OFFSET($BO$9,CN57+3,CQ57,1,1),0))))))</f>
        <v>0</v>
      </c>
      <c r="DH57" s="51">
        <f ca="1">IF($F57&lt;OFFSET($BM$9,$CN57-1,0,1,1),0,IF($F57&lt;OFFSET($BN$9,$CN57-1,0,1,1),IF(AND($H57&gt;2.4,Z57&lt;&gt;"e",Z57&lt;&gt;"f"),DL57*2.4/$H57,DL57),IF($F57&lt;OFFSET($BN$9,$CN57+0,0,1,1),IF(AND($H57&gt;2.4,Z57&lt;&gt;"e",Z57&lt;&gt;"f"),DL57*2.4/$H57,DL57),IF($F57&lt;OFFSET($BN$9,$CN57+1,0,1,1),IF(AND($H57&gt;2.4,Z57&lt;&gt;"e",Z57&lt;&gt;"f"),DL57*2.4/$H57,DL57),IF($F57&lt;OFFSET($BN$9,$CN57+2,0,1,1),IF(AND($H57&gt;2.4,Z57&lt;&gt;"e",Z57&lt;&gt;"f"),DL57*2.4/$H57,DL57),IF($F57&lt;OFFSET($BN$9,$CN57+3,0,1,1),IF(AND($H57&gt;2.4,Z57&lt;&gt;"e",Z57&lt;&gt;"f"),DL57*2.4/$H57,DL57),0)))))*COS(RADIANS($G57)))</f>
        <v>0</v>
      </c>
      <c r="DI57" s="51">
        <f ca="1">IF(F57&lt;OFFSET($BM$9,CN57-1,0,1,1),0,IF(F57&lt;OFFSET($BN$9,CN57-1,0,1,1),((F57-OFFSET($BM$9,CN57-1,0,1,1))*OFFSET($CI$9,CN57-1,0,1,1))+OFFSET($BP$9,CN57-1,CQ57,1,1),IF(F57&lt;OFFSET($BN$9,CN57+0,0,1,1),((F57-OFFSET($BM$9,CN57+0,0,1,1))*OFFSET($CI$9,CN57+0,0,1,1))+OFFSET($BP$9,CN57+0,CQ57,1,1),IF(F57&lt;OFFSET($BN$9,CN57+1,0,1,1),((F57-OFFSET($BM$9,CN57+1,0,1,1))*OFFSET($CI$9,CN57+1,0,1,1))+OFFSET($BP$9,CN57+1,CQ57,1,1),IF(F57&lt;OFFSET($BN$9,CN57+2,0,1,1),((F57-OFFSET($BM$9,CN57+2,0,1,1))*OFFSET($CI$9,CN57+2,0,1,1))+OFFSET($BP$9,CN57+2,CQ57,1,1),IF(F57&lt;OFFSET($BN$9,CN57+3,0,1,1),((F57-OFFSET($BM$9,CN57+3,0,1,1))*OFFSET($CI$9,CN57+3,0,1,1))+OFFSET($BP$9,CN57+3,CQ57,1,1),0))))))</f>
        <v>0</v>
      </c>
      <c r="DJ57" s="51">
        <f ca="1">IF($F57&lt;OFFSET($BM$9,$CN57-1,0,1,1),0,IF($F57&lt;OFFSET($BN$9,$CN57-1,0,1,1),IF(AND($H57&gt;2.4,Z57&lt;&gt;"e",Z57&lt;&gt;"f"),DN57*2.4/$H57,DN57),IF($F57&lt;OFFSET($BN$9,$CN57+0,0,1,1),IF(AND($H57&gt;2.4,Z57&lt;&gt;"e",Z57&lt;&gt;"f"),DN57*2.4/$H57,DN57),IF($F57&lt;OFFSET($BN$9,$CN57+1,0,1,1),IF(AND($H57&gt;2.4,Z57&lt;&gt;"e",Z57&lt;&gt;"f"),DN57*2.4/$H57,DN57),IF($F57&lt;OFFSET($BN$9,$CN57+2,0,1,1),IF(AND($H57&gt;2.4,Z57&lt;&gt;"e",Z57&lt;&gt;"f"),DN57*2.4/$H57,DN57),IF($F57&lt;OFFSET($BN$9,$CN57+3,0,1,1),IF(AND($H57&gt;2.4,Z57&lt;&gt;"e",Z57&lt;&gt;"f"),DN57*2.4/$H57,DN57),0)))))*COS(RADIANS($G57)))</f>
        <v>0</v>
      </c>
      <c r="DK57" s="51"/>
      <c r="DL57" s="51">
        <f ca="1">IF(DG57&gt;$CR57,$CR57,DG57)</f>
        <v>0</v>
      </c>
      <c r="DM57" s="51"/>
      <c r="DN57" s="51">
        <f ca="1">IF(DI57&gt;$CR57,$CR57,DI57)</f>
        <v>0</v>
      </c>
      <c r="DO57" s="435">
        <f ca="1">IF(DH57&gt;$CR57,$CR57,DH57)</f>
        <v>0</v>
      </c>
      <c r="DP57" s="435">
        <f ca="1">DO57*F57</f>
        <v>0</v>
      </c>
      <c r="DQ57" s="436">
        <f ca="1">IF(DJ57&gt;$CR57,$CR57,DJ57)</f>
        <v>0</v>
      </c>
      <c r="DR57" s="437">
        <f ca="1">DQ57*F57</f>
        <v>0</v>
      </c>
      <c r="DS57" s="426">
        <f ca="1">OFFSET($CH$9,CL57-1,-15,1,1)</f>
        <v>0</v>
      </c>
      <c r="DT57" s="451">
        <f ca="1">VLOOKUP(DS57,Prodlink,2,0)</f>
        <v>0</v>
      </c>
      <c r="DU57" s="188">
        <f ca="1">IF(F57&lt;OFFSET($BM$9,DT57-1,0,1,1),0,IF(F57&lt;OFFSET($BN$9,DT57-1,0,1,1),((F57-OFFSET($BM$9,DT57-1,0,1,1))*OFFSET($CH$9,DT57-1,0,1,1))+OFFSET($BO$9,DT57-1,CQ57,1,1),IF(F57&lt;OFFSET($BN$9,DT57+0,0,1,1),((F57-OFFSET($BM$9,DT57+0,0,1,1))*OFFSET($CH$9,DT57+0,0,1,1))+OFFSET($BO$9,DT57+0,CQ57,1,1),IF(F57&lt;OFFSET($BN$9,DT57+1,0,1,1),((F57-OFFSET($BM$9,DT57+1,0,1,1))*OFFSET($CH$9,DT57+1,0,1,1))+OFFSET($BO$9,DT57+1,CQ57,1,1),IF(F57&lt;OFFSET($BN$9,DT57+2,0,1,1),((F57-OFFSET($BM$9,DT57+2,0,1,1))*OFFSET($CH$9,DT57+2,0,1,1))+OFFSET($BO$9,DT57+2,CQ57,1,1),IF(F57&lt;OFFSET($BN$9,DT57+3,0,1,1),((F57-OFFSET($BM$9,DT57+3,0,1,1))*OFFSET($CH$9,DT57+3,0,1,1))+OFFSET($BO$9,DT57+3,CQ57,1,1),0))))))</f>
        <v>0</v>
      </c>
      <c r="DV57" s="51">
        <f ca="1">IF($F57&lt;OFFSET($BM$9,$DT57-1,0,1,1),0,IF($F57&lt;OFFSET($BN$9,$DT57-1,0,1,1),IF(AND($H57&gt;2.4,Z57&lt;&gt;"e",Z57&lt;&gt;"f"),DZ57*2.4/$H57,DZ57),IF($F57&lt;OFFSET($BN$9,$DT57+0,0,1,1),IF(AND($H57&gt;2.4,Z57&lt;&gt;"e",Z57&lt;&gt;"f"),DZ57*2.4/$H57,DZ57),IF($F57&lt;OFFSET($BN$9,$DT57+1,0,1,1),IF(AND($H57&gt;2.4,Z57&lt;&gt;"e",Z57&lt;&gt;"f"),DZ57*2.4/$H57,DZ57),IF($F57&lt;OFFSET($BN$9,$DT57+2,0,1,1),IF(AND($H57&gt;2.4,Z57&lt;&gt;"e",Z57&lt;&gt;"f"),DZ57*2.4/$H57,DZ57),IF($F57&lt;OFFSET($BN$9,$DT57+3,0,1,1),IF(AND($H57&gt;2.4,Z57&lt;&gt;"e",Z57&lt;&gt;"f"),DZ57*2.4/$H57,DZ57),0)))))*COS(RADIANS($G57)))</f>
        <v>0</v>
      </c>
      <c r="DW57" s="188">
        <f ca="1">IF(F57&lt;OFFSET($BM$9,DT57-1,0,1,1),0,IF(F57&lt;OFFSET($BN$9,DT57-1,0,1,1),((F57-OFFSET($BM$9,DT57-1,0,1,1))*OFFSET($CI$9,DT57-1,0,1,1))+OFFSET($BP$9,DT57-1,CQ57,1,1),IF(F57&lt;OFFSET($BN$9,DT57+0,0,1,1),((F57-OFFSET($BM$9,DT57+0,0,1,1))*OFFSET($CI$9,DT57+0,0,1,1))+OFFSET($BP$9,DT57+0,CQ57,1,1),IF(F57&lt;OFFSET($BN$9,DT57+1,0,1,1),((F57-OFFSET($BM$9,DT57+1,0,1,1))*OFFSET($CI$9,DT57+1,0,1,1))+OFFSET($BP$9,DT57+1,CQ57,1,1),IF(F57&lt;OFFSET($BN$9,DT57+2,0,1,1),((F57-OFFSET($BM$9,DT57+2,0,1,1))*OFFSET($CI$9,DT57+2,0,1,1))+OFFSET($BP$9,DT57+2,CQ57,1,1),IF(F57&lt;OFFSET($BN$9,DT57+3,0,1,1),((F57-OFFSET($BM$9,DT57+3,0,1,1))*OFFSET($CI$9,DT57+3,0,1,1))+OFFSET($BP$9,DT57+3,CQ57,1,1),0))))))</f>
        <v>0</v>
      </c>
      <c r="DX57" s="51">
        <f ca="1">IF($F57&lt;OFFSET($BM$9,$DT57-1,0,1,1),0,IF($F57&lt;OFFSET($BN$9,$DT57-1,0,1,1),IF(AND($H57&gt;2.4,Z57&lt;&gt;"e",Z57&lt;&gt;"f"),EB57*2.4/$H57,EB57),IF($F57&lt;OFFSET($BN$9,$DT57+0,0,1,1),IF(AND($H57&gt;2.4,Z57&lt;&gt;"e",Z57&lt;&gt;"f"),EB57*2.4/$H57,EB57),IF($F57&lt;OFFSET($BN$9,$DT57+1,0,1,1),IF(AND($H57&gt;2.4,Z57&lt;&gt;"e",Z57&lt;&gt;"f"),EB57*2.4/$H57,EB57),IF($F57&lt;OFFSET($BN$9,$DT57+2,0,1,1),IF(AND($H57&gt;2.4,Z57&lt;&gt;"e",Z57&lt;&gt;"f"),EB57*2.4/$H57,EB57),IF($F57&lt;OFFSET($BN$9,$DT57+3,0,1,1),IF(AND($H57&gt;2.4,Z57&lt;&gt;"e",Z57&lt;&gt;"f"),EB57*2.4/$H57,EB57),0)))))*COS(RADIANS($G57)))</f>
        <v>0</v>
      </c>
      <c r="DY57" s="188"/>
      <c r="DZ57" s="188">
        <f ca="1">IF(DU57&gt;$CR57,$CR57,DU57)</f>
        <v>0</v>
      </c>
      <c r="EA57" s="188"/>
      <c r="EB57" s="188">
        <f ca="1">IF(DW57&gt;$CR57,$CR57,DW57)</f>
        <v>0</v>
      </c>
      <c r="EC57" s="435">
        <f ca="1">IF(DV57&gt;$CR57,$CR57,DV57)</f>
        <v>0</v>
      </c>
      <c r="ED57" s="435">
        <f ca="1">EC57*F57</f>
        <v>0</v>
      </c>
      <c r="EE57" s="436">
        <f ca="1">IF(DX57&gt;$CR57,$CR57,DX57)</f>
        <v>0</v>
      </c>
      <c r="EF57" s="437">
        <f ca="1">EE57*F57</f>
        <v>0</v>
      </c>
      <c r="EG57" s="613" t="str">
        <f>IF(D57=BG$12,BG$12,"")</f>
        <v/>
      </c>
      <c r="EH57" s="614" t="str">
        <f>IF(D57=BG$13,BG$13,"")</f>
        <v/>
      </c>
      <c r="EI57" s="611">
        <f>IF(EG57=BG$12,M57,0)</f>
        <v>0</v>
      </c>
      <c r="EJ57" s="451">
        <f>IF(EG57=BG$12,O57,0)</f>
        <v>0</v>
      </c>
      <c r="EK57" s="451">
        <f>IF(EH57=BG$13,M57,0)</f>
        <v>0</v>
      </c>
      <c r="EL57" s="612">
        <f>IF(EH57=BG$13,O57,0)</f>
        <v>0</v>
      </c>
      <c r="EM57" s="426" t="str">
        <f ca="1">IF(AND(Z57&lt;&gt;"t",Z57&lt;&gt;"f"),"",IF(AND(EN57=$BH$13,K57=$BH$12),"NotOpt",IF(K57&lt;&gt;EN57,"Error","")))</f>
        <v/>
      </c>
      <c r="EN57" s="491" t="str">
        <f>IF(AND($BH$28=1,$BG$28=1),$BH$13,$BH$12)</f>
        <v>120 BU's</v>
      </c>
      <c r="EO57" s="426" t="str">
        <f>K57</f>
        <v xml:space="preserve"> </v>
      </c>
      <c r="EP57" s="497">
        <v>1</v>
      </c>
      <c r="EQ57" s="430" t="str">
        <f ca="1">IF(EP57=1," ",OFFSET(BF$15,EP57-2,0,1,1))</f>
        <v xml:space="preserve"> </v>
      </c>
      <c r="ER57" s="439" t="str">
        <f ca="1">IF(H57=0," ",H57)</f>
        <v xml:space="preserve"> </v>
      </c>
      <c r="ES57" s="440" t="str">
        <f ca="1">IF(ER57&lt;&gt;" ",IF(ER57&lt;&gt;ER$7,"Changed",""),"")</f>
        <v/>
      </c>
      <c r="ET57" s="440">
        <f ca="1">IF(ER57&lt;&gt;" ",IF(ER57&lt;&gt;ER$7,1,0),0)</f>
        <v>0</v>
      </c>
      <c r="EU57" s="957" t="str">
        <f ca="1">IF(I57=" "," ",IF(F57&lt;OFFSET($BM$9,CL57-1,0,1,1),1,""))</f>
        <v xml:space="preserve"> </v>
      </c>
      <c r="EW57" s="427"/>
    </row>
    <row r="58" spans="1:153" ht="17.100000000000001" customHeight="1">
      <c r="A58" s="2685"/>
      <c r="B58" s="689" t="s">
        <v>246</v>
      </c>
      <c r="C58" s="684" t="str">
        <f>IF(OR(F58=0,I58="",I58=" ")," ",$V58)</f>
        <v xml:space="preserve"> </v>
      </c>
      <c r="D58" s="1033"/>
      <c r="E58" s="1360"/>
      <c r="F58" s="202"/>
      <c r="G58" s="1416"/>
      <c r="H58" s="199" t="str">
        <f ca="1">IF(OR(F58=0,Z58="E",Z58="f")," ",'Project Demand'!E$35)</f>
        <v xml:space="preserve"> </v>
      </c>
      <c r="I58" s="631" t="str">
        <f>IF($I$6&lt;&gt;$BG$8," ",AB58)</f>
        <v xml:space="preserve"> </v>
      </c>
      <c r="J58" s="44" t="str">
        <f ca="1">IF(OR(I58=" ",I58="")," ",OFFSET($BO$9,CL58-1,0-4,1,1))</f>
        <v xml:space="preserve"> </v>
      </c>
      <c r="K58" s="55" t="str">
        <f>IF(OR(I58=" ",I58="")," ",IF(OR(Z58="e",Z58="h"),"SD",BG$24))</f>
        <v xml:space="preserve"> </v>
      </c>
      <c r="L58" s="49">
        <f ca="1">CW58</f>
        <v>0</v>
      </c>
      <c r="M58" s="49">
        <f ca="1">CY58</f>
        <v>0</v>
      </c>
      <c r="N58" s="50">
        <f t="shared" ca="1" si="29"/>
        <v>0</v>
      </c>
      <c r="O58" s="126">
        <f t="shared" ca="1" si="29"/>
        <v>0</v>
      </c>
      <c r="P58" s="140"/>
      <c r="Q58" s="752" t="str">
        <f ca="1">IF(AND(OR(Z58="t",Z58="f"),K58=$BH$11),"No Floor!  Change Floor Type",IF(OR(I58=" ",I58="")," ",IF(F58&lt;OFFSET($BM$9,CL58-1,0,1,1),"check L(m)",DE58&amp;IF(AND(DP58&gt;=CY58,DR58&gt;=DB58),IF(AND(ED58&gt;=DP58,EF58&gt;=DR58),CONCATENATE(DS58," will provide same result"),CONCATENATE(CO58," will provide same result")),IF((DP58&gt;=CY58),CONCATENATE(CO58," provides same result in WIND"),IF((DR58&gt;=DB58),CONCATENATE(CO58," provides same result in EQ"),""))))))&amp;IF(ISERROR(FIND("pile",I58,1)),"",IF(INT(F58)&lt;&gt;F58,"Pile!  Use Whole Numbers Only",""))</f>
        <v xml:space="preserve"> </v>
      </c>
      <c r="R58" s="52"/>
      <c r="S58" s="1372"/>
      <c r="T58" s="1372"/>
      <c r="U58" s="1377"/>
      <c r="V58" s="52" t="str">
        <f ca="1">IF(AND(B$5=$BF$9,OR(I58=BH$16,I58=BH$17))," ",IF(ISNUMBER(B$56),(CONCATENATE(B$56,".",W58)),(CONCATENATE(B$56,W58))))</f>
        <v>I0</v>
      </c>
      <c r="W58" s="9">
        <f ca="1">W57+X58</f>
        <v>0</v>
      </c>
      <c r="X58" s="9">
        <f>IF(AND(B$5=$BF$9,OR($I58=$BH$16,$I58=$BH$17,$I58=" ",$I58="",$F58=0)),0,IF(OR($I58=" ",$I58="",$F58=0),0,1))</f>
        <v>0</v>
      </c>
      <c r="Y58" s="896"/>
      <c r="Z58" s="52" t="str">
        <f ca="1">IF(I58=" "," ",OFFSET($BM$9,$CL58-1,8,1,1))</f>
        <v xml:space="preserve"> </v>
      </c>
      <c r="AA58" s="51" t="str">
        <f>IF(G58&gt;=45,"WA","")</f>
        <v/>
      </c>
      <c r="AB58" s="1364" t="str">
        <f>IF(F58&lt;&gt;"",IF(OR(D58=$BG$12,D58=$BG$13),IF(E58&lt;&gt;$BG$17,$BF$12,$BF$13),IF(E58&lt;&gt;$BG$17,$BF$12,$BF$13))," ")</f>
        <v xml:space="preserve"> </v>
      </c>
      <c r="AC58" s="1"/>
      <c r="AK58" s="63" t="str">
        <f>'Custom Elements'!B19</f>
        <v xml:space="preserve">  </v>
      </c>
      <c r="AL58" s="860" t="str">
        <f>'Custom Elements'!C19</f>
        <v>Custom11</v>
      </c>
      <c r="AM58" s="11">
        <f>'Custom Elements'!D19</f>
        <v>9.9999999999999996E-76</v>
      </c>
      <c r="AN58" s="7">
        <f>'Custom Elements'!E19</f>
        <v>0</v>
      </c>
      <c r="AO58" s="7">
        <f>'Custom Elements'!F19</f>
        <v>0</v>
      </c>
      <c r="AP58" s="762" t="str">
        <f>'Custom Elements'!G19</f>
        <v>B</v>
      </c>
      <c r="AQ58" s="1777" t="str">
        <f>'Custom Elements'!H19</f>
        <v>Single</v>
      </c>
      <c r="AR58" s="1775" t="str">
        <f>'Custom Elements'!I19</f>
        <v>Yes</v>
      </c>
      <c r="AS58" s="442" t="str">
        <f>'Custom Elements'!J19</f>
        <v>Yes</v>
      </c>
      <c r="AT58" s="1598"/>
      <c r="AU58" s="1155"/>
      <c r="AZ58" s="442" t="str">
        <f>IF(AND('Custom Elements'!J19="Yes",'Custom Elements'!I19="Yes"),"T",IF('Custom Elements'!J19="Yes","F",IF('Custom Elements'!I19="Yes","H","E")))</f>
        <v>T</v>
      </c>
      <c r="BD58" s="638"/>
      <c r="BE58" s="2715" t="s">
        <v>827</v>
      </c>
      <c r="BF58" s="2716"/>
      <c r="BG58" s="2716"/>
      <c r="BI58" s="759"/>
      <c r="BJ58" s="897">
        <f t="shared" si="25"/>
        <v>50</v>
      </c>
      <c r="BK58" s="764"/>
      <c r="BL58" s="766"/>
      <c r="BM58" s="455">
        <f>Table!D12</f>
        <v>0.8</v>
      </c>
      <c r="BN58" s="455">
        <f>BM59</f>
        <v>0.9</v>
      </c>
      <c r="BO58" s="455">
        <f>Table!E12</f>
        <v>93</v>
      </c>
      <c r="BP58" s="925">
        <f>Table!F12</f>
        <v>83</v>
      </c>
      <c r="BR58" s="764"/>
      <c r="BS58" s="455"/>
      <c r="BT58" s="455"/>
      <c r="BU58" s="925" t="s">
        <v>242</v>
      </c>
      <c r="BV58" s="895"/>
      <c r="BW58" s="912"/>
      <c r="BX58" s="925" t="str">
        <f>Table!H11</f>
        <v>Double</v>
      </c>
      <c r="CH58" s="764">
        <f>IF(BN58=999,0,(BO59-BO58)/(BN58-BM58))</f>
        <v>50.000000000000014</v>
      </c>
      <c r="CI58" s="925">
        <f>IF(BN58=999,0,(BP59-BP58)/(BN58-BM58))</f>
        <v>50.000000000000014</v>
      </c>
      <c r="CJ58" s="759"/>
      <c r="CK58" s="188"/>
      <c r="CL58" s="979">
        <f>VLOOKUP(I58,Prodlink,2,0)</f>
        <v>0</v>
      </c>
      <c r="CN58" s="497">
        <f ca="1">VLOOKUP(CO58,Prodlink,2,0)</f>
        <v>0</v>
      </c>
      <c r="CO58" s="497">
        <f ca="1">OFFSET($CH$9,CL58-1,-15,1,1)</f>
        <v>0</v>
      </c>
      <c r="CQ58" s="51">
        <v>0</v>
      </c>
      <c r="CR58" s="51">
        <f>IF(K58=$BH$12,$BH$23,IF(K58=$BH$13,$BH$24,10000))</f>
        <v>10000</v>
      </c>
      <c r="CS58" s="51">
        <f ca="1">IF(F58&lt;OFFSET($BM$9,CL58-1,0,1,1),0,IF(F58&lt;OFFSET($BN$9,CL58-1,0,1,1),((F58-OFFSET($BM$9,CL58-1,0,1,1))*OFFSET($CH$9,CL58-1,0,1,1))+OFFSET($BO$9,CL58-1,CQ58,1,1),IF(F58&lt;OFFSET($BN$9,CL58+0,0,1,1),((F58-OFFSET($BM$9,CL58+0,0,1,1))*OFFSET($CH$9,CL58+0,0,1,1))+OFFSET($BO$9,CL58+0,CQ58,1,1),IF(F58&lt;OFFSET($BN$9,CL58+1,0,1,1),((F58-OFFSET($BM$9,CL58+1,0,1,1))*OFFSET($CH$9,CL58+1,0,1,1))+OFFSET($BO$9,CL58+1,CQ58,1,1),IF(F58&lt;OFFSET($BN$9,CL58+2,0,1,1),((F58-OFFSET($BM$9,CL58+2,0,1,1))*OFFSET($CH$9,CL58+2,0,1,1))+OFFSET($BO$9,CL58+2,CQ58,1,1),IF(F58&lt;OFFSET($BN$9,CL58+3,0,1,1),((F58-OFFSET($BM$9,CL58+3,0,1,1))*OFFSET($CH$9,CL58+3,0,1,1))+OFFSET($BO$9,CL58+3,CQ58,1,1),0))))))</f>
        <v>0</v>
      </c>
      <c r="CT58" s="51">
        <f ca="1">IF($F58&lt;OFFSET($BM$9,$CL58-1,0,1,1),0,IF($F58&lt;OFFSET($BN$9,$CL58-1,0,1,1),IF(AND($H58&gt;2.4,Z58&lt;&gt;"e",Z58&lt;&gt;"f"),CX58*2.4/$H58,CX58),IF($F58&lt;OFFSET($BN$9,$CL58+0,0,1,1),IF(AND($H58&gt;2.4,Z58&lt;&gt;"e",Z58&lt;&gt;"f"),CX58*2.4/$H58,CX58),IF($F58&lt;OFFSET($BN$9,$CL58+1,0,1,1),IF(AND($H58&gt;2.4,Z58&lt;&gt;"e",Z58&lt;&gt;"f"),CX58*2.4/$H58,CX58),IF($F58&lt;OFFSET($BN$9,CL58+2,0,1,1),IF(AND($H58&gt;2.4,Z58&lt;&gt;"e",Z58&lt;&gt;"f"),CX58*2.4/$H58,CX58),IF($F58&lt;OFFSET($BN$9,CL58+3,0,1,1),IF(AND($H58&gt;2.4,Z58&lt;&gt;"e",Z58&lt;&gt;"f"),CX58*2.4/$H58,CX58),0)))))*COS(RADIANS($G58)))</f>
        <v>0</v>
      </c>
      <c r="CU58" s="51">
        <f ca="1">IF(F58&lt;OFFSET($BM$9,CL58-1,0,1,1),0,IF(F58&lt;OFFSET($BN$9,CL58-1,0,1,1),((F58-OFFSET($BM$9,CL58-1,0,1,1))*OFFSET($CI$9,CL58-1,0,1,1))+OFFSET($BP$9,CL58-1,CQ58,1,1),IF(F58&lt;OFFSET($BN$9,CL58+0,0,1,1),((F58-OFFSET($BM$9,CL58+0,0,1,1))*OFFSET($CI$9,CL58+0,0,1,1))+OFFSET($BP$9,CL58+0,CQ58,1,1),IF(F58&lt;OFFSET($BN$9,CL58+1,0,1,1),((F58-OFFSET($BM$9,CL58+1,0,1,1))*OFFSET($CI$9,CL58+1,0,1,1))+OFFSET($BP$9,CL58+1,CQ58,1,1),IF(F58&lt;OFFSET($BN$9,CL58+2,0,1,1),((F58-OFFSET($BM$9,CL58+2,0,1,1))*OFFSET($CI$9,CL58+2,0,1,1))+OFFSET($BP$9,CL58+2,CQ58,1,1),IF(F58&lt;OFFSET($BN$9,CL58+3,0,1,1),((F58-OFFSET($BM$9,CL58+3,0,1,1))*OFFSET($CI$9,CL58+3,0,1,1))+OFFSET($BP$9,CL58+3,CQ58,1,1),0))))))</f>
        <v>0</v>
      </c>
      <c r="CV58" s="51">
        <f ca="1">IF($F58&lt;OFFSET($BM$9,$CL58-1,0,1,1),0,IF($F58&lt;OFFSET($BN$9,$CL58-1,0,1,1),IF(AND($H58&gt;2.4,Z58&lt;&gt;"e",Z58&lt;&gt;"f"),CZ58*2.4/$H58,CZ58),IF($F58&lt;OFFSET($BN$9,$CL58+0,0,1,1),IF(AND($H58&gt;2.4,Z58&lt;&gt;"e",Z58&lt;&gt;"f"),CZ58*2.4/$H58,CZ58),IF($F58&lt;OFFSET($BN$9,$CL58+1,0,1,1),IF(AND($H58&gt;2.4,Z58&lt;&gt;"e",Z58&lt;&gt;"f"),CZ58*2.4/$H58,CZ58),IF($F58&lt;OFFSET($BN$9,$CL58+2,0,1,1),IF(AND($H58&gt;2.4,Z58&lt;&gt;"e",Z58&lt;&gt;"f"),CZ58*2.4/$H58,CZ58),IF($F58&lt;OFFSET($BN$9,$CL58+3,0,1,1),IF(AND($H58&gt;2.4,Z58&lt;&gt;"e",Z58&lt;&gt;"f"),CZ58*2.4/$H58,CZ58),0)))))*COS(RADIANS($G58)))</f>
        <v>0</v>
      </c>
      <c r="CW58" s="51">
        <f ca="1">IF(CT58&gt;CR58,CR58,CT58)</f>
        <v>0</v>
      </c>
      <c r="CX58" s="51">
        <f ca="1">IF(CS58&gt;$CR58,$CR58,CS58)</f>
        <v>0</v>
      </c>
      <c r="CY58" s="51">
        <f ca="1">CW58*F58</f>
        <v>0</v>
      </c>
      <c r="CZ58" s="51">
        <f ca="1">IF($CU58&gt;$CR58,$CR58,$CU58)</f>
        <v>0</v>
      </c>
      <c r="DA58" s="51">
        <f ca="1">IF(CV58&gt;CR58,CR58,CV58)</f>
        <v>0</v>
      </c>
      <c r="DB58" s="984">
        <f ca="1">DA58*F58</f>
        <v>0</v>
      </c>
      <c r="DC58" s="993">
        <v>1</v>
      </c>
      <c r="DD58" s="758" t="str">
        <f>IF(OR(D58=BG$12,D58=BG$13),"External",IF(D58=BG$14,"Internal"," "))</f>
        <v xml:space="preserve"> </v>
      </c>
      <c r="DE58" s="51" t="str">
        <f t="shared" ca="1" si="1"/>
        <v/>
      </c>
      <c r="DF58" s="52" t="str">
        <f t="shared" ca="1" si="2"/>
        <v xml:space="preserve"> </v>
      </c>
      <c r="DG58" s="51">
        <f ca="1">IF(F58&lt;OFFSET($BM$9,CN58-1,0,1,1),0,IF(F58&lt;OFFSET($BN$9,CN58-1,0,1,1),((F58-OFFSET($BM$9,CN58-1,0,1,1))*OFFSET($CH$9,CN58-1,0,1,1))+OFFSET($BO$9,CN58-1,CQ58,1,1),IF(F58&lt;OFFSET($BN$9,CN58+0,0,1,1),((F58-OFFSET($BM$9,CN58+0,0,1,1))*OFFSET($CH$9,CN58+0,0,1,1))+OFFSET($BO$9,CN58+0,CQ58,1,1),IF(F58&lt;OFFSET($BN$9,CN58+1,0,1,1),((F58-OFFSET($BM$9,CN58+1,0,1,1))*OFFSET($CH$9,CN58+1,0,1,1))+OFFSET($BO$9,CN58+1,CQ58,1,1),IF(F58&lt;OFFSET($BN$9,CN58+2,0,1,1),((F58-OFFSET($BM$9,CN58+2,0,1,1))*OFFSET($CH$9,CN58+2,0,1,1))+OFFSET($BO$9,CN58+2,CQ58,1,1),IF(F58&lt;OFFSET($BN$9,CN58+3,0,1,1),((F58-OFFSET($BM$9,CN58+3,0,1,1))*OFFSET($CH$9,CN58+3,0,1,1))+OFFSET($BO$9,CN58+3,CQ58,1,1),0))))))</f>
        <v>0</v>
      </c>
      <c r="DH58" s="51">
        <f ca="1">IF($F58&lt;OFFSET($BM$9,$CN58-1,0,1,1),0,IF($F58&lt;OFFSET($BN$9,$CN58-1,0,1,1),IF(AND($H58&gt;2.4,Z58&lt;&gt;"e",Z58&lt;&gt;"f"),DL58*2.4/$H58,DL58),IF($F58&lt;OFFSET($BN$9,$CN58+0,0,1,1),IF(AND($H58&gt;2.4,Z58&lt;&gt;"e",Z58&lt;&gt;"f"),DL58*2.4/$H58,DL58),IF($F58&lt;OFFSET($BN$9,$CN58+1,0,1,1),IF(AND($H58&gt;2.4,Z58&lt;&gt;"e",Z58&lt;&gt;"f"),DL58*2.4/$H58,DL58),IF($F58&lt;OFFSET($BN$9,$CN58+2,0,1,1),IF(AND($H58&gt;2.4,Z58&lt;&gt;"e",Z58&lt;&gt;"f"),DL58*2.4/$H58,DL58),IF($F58&lt;OFFSET($BN$9,$CN58+3,0,1,1),IF(AND($H58&gt;2.4,Z58&lt;&gt;"e",Z58&lt;&gt;"f"),DL58*2.4/$H58,DL58),0)))))*COS(RADIANS($G58)))</f>
        <v>0</v>
      </c>
      <c r="DI58" s="51">
        <f ca="1">IF(F58&lt;OFFSET($BM$9,CN58-1,0,1,1),0,IF(F58&lt;OFFSET($BN$9,CN58-1,0,1,1),((F58-OFFSET($BM$9,CN58-1,0,1,1))*OFFSET($CI$9,CN58-1,0,1,1))+OFFSET($BP$9,CN58-1,CQ58,1,1),IF(F58&lt;OFFSET($BN$9,CN58+0,0,1,1),((F58-OFFSET($BM$9,CN58+0,0,1,1))*OFFSET($CI$9,CN58+0,0,1,1))+OFFSET($BP$9,CN58+0,CQ58,1,1),IF(F58&lt;OFFSET($BN$9,CN58+1,0,1,1),((F58-OFFSET($BM$9,CN58+1,0,1,1))*OFFSET($CI$9,CN58+1,0,1,1))+OFFSET($BP$9,CN58+1,CQ58,1,1),IF(F58&lt;OFFSET($BN$9,CN58+2,0,1,1),((F58-OFFSET($BM$9,CN58+2,0,1,1))*OFFSET($CI$9,CN58+2,0,1,1))+OFFSET($BP$9,CN58+2,CQ58,1,1),IF(F58&lt;OFFSET($BN$9,CN58+3,0,1,1),((F58-OFFSET($BM$9,CN58+3,0,1,1))*OFFSET($CI$9,CN58+3,0,1,1))+OFFSET($BP$9,CN58+3,CQ58,1,1),0))))))</f>
        <v>0</v>
      </c>
      <c r="DJ58" s="51">
        <f ca="1">IF($F58&lt;OFFSET($BM$9,$CN58-1,0,1,1),0,IF($F58&lt;OFFSET($BN$9,$CN58-1,0,1,1),IF(AND($H58&gt;2.4,Z58&lt;&gt;"e",Z58&lt;&gt;"f"),DN58*2.4/$H58,DN58),IF($F58&lt;OFFSET($BN$9,$CN58+0,0,1,1),IF(AND($H58&gt;2.4,Z58&lt;&gt;"e",Z58&lt;&gt;"f"),DN58*2.4/$H58,DN58),IF($F58&lt;OFFSET($BN$9,$CN58+1,0,1,1),IF(AND($H58&gt;2.4,Z58&lt;&gt;"e",Z58&lt;&gt;"f"),DN58*2.4/$H58,DN58),IF($F58&lt;OFFSET($BN$9,$CN58+2,0,1,1),IF(AND($H58&gt;2.4,Z58&lt;&gt;"e",Z58&lt;&gt;"f"),DN58*2.4/$H58,DN58),IF($F58&lt;OFFSET($BN$9,$CN58+3,0,1,1),IF(AND($H58&gt;2.4,Z58&lt;&gt;"e",Z58&lt;&gt;"f"),DN58*2.4/$H58,DN58),0)))))*COS(RADIANS($G58)))</f>
        <v>0</v>
      </c>
      <c r="DK58" s="51"/>
      <c r="DL58" s="51">
        <f ca="1">IF(DG58&gt;$CR58,$CR58,DG58)</f>
        <v>0</v>
      </c>
      <c r="DM58" s="51"/>
      <c r="DN58" s="51">
        <f ca="1">IF(DI58&gt;$CR58,$CR58,DI58)</f>
        <v>0</v>
      </c>
      <c r="DO58" s="435">
        <f ca="1">IF(DH58&gt;$CR58,$CR58,DH58)</f>
        <v>0</v>
      </c>
      <c r="DP58" s="435">
        <f ca="1">DO58*F58</f>
        <v>0</v>
      </c>
      <c r="DQ58" s="436">
        <f ca="1">IF(DJ58&gt;$CR58,$CR58,DJ58)</f>
        <v>0</v>
      </c>
      <c r="DR58" s="437">
        <f ca="1">DQ58*F58</f>
        <v>0</v>
      </c>
      <c r="DS58" s="426">
        <f ca="1">OFFSET($CH$9,CL58-1,-15,1,1)</f>
        <v>0</v>
      </c>
      <c r="DT58" s="451">
        <f ca="1">VLOOKUP(DS58,Prodlink,2,0)</f>
        <v>0</v>
      </c>
      <c r="DU58" s="188">
        <f ca="1">IF(F58&lt;OFFSET($BM$9,DT58-1,0,1,1),0,IF(F58&lt;OFFSET($BN$9,DT58-1,0,1,1),((F58-OFFSET($BM$9,DT58-1,0,1,1))*OFFSET($CH$9,DT58-1,0,1,1))+OFFSET($BO$9,DT58-1,CQ58,1,1),IF(F58&lt;OFFSET($BN$9,DT58+0,0,1,1),((F58-OFFSET($BM$9,DT58+0,0,1,1))*OFFSET($CH$9,DT58+0,0,1,1))+OFFSET($BO$9,DT58+0,CQ58,1,1),IF(F58&lt;OFFSET($BN$9,DT58+1,0,1,1),((F58-OFFSET($BM$9,DT58+1,0,1,1))*OFFSET($CH$9,DT58+1,0,1,1))+OFFSET($BO$9,DT58+1,CQ58,1,1),IF(F58&lt;OFFSET($BN$9,DT58+2,0,1,1),((F58-OFFSET($BM$9,DT58+2,0,1,1))*OFFSET($CH$9,DT58+2,0,1,1))+OFFSET($BO$9,DT58+2,CQ58,1,1),IF(F58&lt;OFFSET($BN$9,DT58+3,0,1,1),((F58-OFFSET($BM$9,DT58+3,0,1,1))*OFFSET($CH$9,DT58+3,0,1,1))+OFFSET($BO$9,DT58+3,CQ58,1,1),0))))))</f>
        <v>0</v>
      </c>
      <c r="DV58" s="51">
        <f ca="1">IF($F58&lt;OFFSET($BM$9,$DT58-1,0,1,1),0,IF($F58&lt;OFFSET($BN$9,$DT58-1,0,1,1),IF(AND($H58&gt;2.4,Z58&lt;&gt;"e",Z58&lt;&gt;"f"),DZ58*2.4/$H58,DZ58),IF($F58&lt;OFFSET($BN$9,$DT58+0,0,1,1),IF(AND($H58&gt;2.4,Z58&lt;&gt;"e",Z58&lt;&gt;"f"),DZ58*2.4/$H58,DZ58),IF($F58&lt;OFFSET($BN$9,$DT58+1,0,1,1),IF(AND($H58&gt;2.4,Z58&lt;&gt;"e",Z58&lt;&gt;"f"),DZ58*2.4/$H58,DZ58),IF($F58&lt;OFFSET($BN$9,$DT58+2,0,1,1),IF(AND($H58&gt;2.4,Z58&lt;&gt;"e",Z58&lt;&gt;"f"),DZ58*2.4/$H58,DZ58),IF($F58&lt;OFFSET($BN$9,$DT58+3,0,1,1),IF(AND($H58&gt;2.4,Z58&lt;&gt;"e",Z58&lt;&gt;"f"),DZ58*2.4/$H58,DZ58),0)))))*COS(RADIANS($G58)))</f>
        <v>0</v>
      </c>
      <c r="DW58" s="188">
        <f ca="1">IF(F58&lt;OFFSET($BM$9,DT58-1,0,1,1),0,IF(F58&lt;OFFSET($BN$9,DT58-1,0,1,1),((F58-OFFSET($BM$9,DT58-1,0,1,1))*OFFSET($CI$9,DT58-1,0,1,1))+OFFSET($BP$9,DT58-1,CQ58,1,1),IF(F58&lt;OFFSET($BN$9,DT58+0,0,1,1),((F58-OFFSET($BM$9,DT58+0,0,1,1))*OFFSET($CI$9,DT58+0,0,1,1))+OFFSET($BP$9,DT58+0,CQ58,1,1),IF(F58&lt;OFFSET($BN$9,DT58+1,0,1,1),((F58-OFFSET($BM$9,DT58+1,0,1,1))*OFFSET($CI$9,DT58+1,0,1,1))+OFFSET($BP$9,DT58+1,CQ58,1,1),IF(F58&lt;OFFSET($BN$9,DT58+2,0,1,1),((F58-OFFSET($BM$9,DT58+2,0,1,1))*OFFSET($CI$9,DT58+2,0,1,1))+OFFSET($BP$9,DT58+2,CQ58,1,1),IF(F58&lt;OFFSET($BN$9,DT58+3,0,1,1),((F58-OFFSET($BM$9,DT58+3,0,1,1))*OFFSET($CI$9,DT58+3,0,1,1))+OFFSET($BP$9,DT58+3,CQ58,1,1),0))))))</f>
        <v>0</v>
      </c>
      <c r="DX58" s="51">
        <f ca="1">IF($F58&lt;OFFSET($BM$9,$DT58-1,0,1,1),0,IF($F58&lt;OFFSET($BN$9,$DT58-1,0,1,1),IF(AND($H58&gt;2.4,Z58&lt;&gt;"e",Z58&lt;&gt;"f"),EB58*2.4/$H58,EB58),IF($F58&lt;OFFSET($BN$9,$DT58+0,0,1,1),IF(AND($H58&gt;2.4,Z58&lt;&gt;"e",Z58&lt;&gt;"f"),EB58*2.4/$H58,EB58),IF($F58&lt;OFFSET($BN$9,$DT58+1,0,1,1),IF(AND($H58&gt;2.4,Z58&lt;&gt;"e",Z58&lt;&gt;"f"),EB58*2.4/$H58,EB58),IF($F58&lt;OFFSET($BN$9,$DT58+2,0,1,1),IF(AND($H58&gt;2.4,Z58&lt;&gt;"e",Z58&lt;&gt;"f"),EB58*2.4/$H58,EB58),IF($F58&lt;OFFSET($BN$9,$DT58+3,0,1,1),IF(AND($H58&gt;2.4,Z58&lt;&gt;"e",Z58&lt;&gt;"f"),EB58*2.4/$H58,EB58),0)))))*COS(RADIANS($G58)))</f>
        <v>0</v>
      </c>
      <c r="DY58" s="188"/>
      <c r="DZ58" s="188">
        <f ca="1">IF(DU58&gt;$CR58,$CR58,DU58)</f>
        <v>0</v>
      </c>
      <c r="EA58" s="188"/>
      <c r="EB58" s="188">
        <f ca="1">IF(DW58&gt;$CR58,$CR58,DW58)</f>
        <v>0</v>
      </c>
      <c r="EC58" s="435">
        <f ca="1">IF(DV58&gt;$CR58,$CR58,DV58)</f>
        <v>0</v>
      </c>
      <c r="ED58" s="435">
        <f ca="1">EC58*F58</f>
        <v>0</v>
      </c>
      <c r="EE58" s="436">
        <f ca="1">IF(DX58&gt;$CR58,$CR58,DX58)</f>
        <v>0</v>
      </c>
      <c r="EF58" s="437">
        <f ca="1">EE58*F58</f>
        <v>0</v>
      </c>
      <c r="EG58" s="613" t="str">
        <f>IF(D58=BG$12,BG$12,"")</f>
        <v/>
      </c>
      <c r="EH58" s="614" t="str">
        <f>IF(D58=BG$13,BG$13,"")</f>
        <v/>
      </c>
      <c r="EI58" s="611">
        <f>IF(EG58=BG$12,M58,0)</f>
        <v>0</v>
      </c>
      <c r="EJ58" s="451">
        <f>IF(EG58=BG$12,O58,0)</f>
        <v>0</v>
      </c>
      <c r="EK58" s="451">
        <f>IF(EH58=BG$13,M58,0)</f>
        <v>0</v>
      </c>
      <c r="EL58" s="612">
        <f>IF(EH58=BG$13,O58,0)</f>
        <v>0</v>
      </c>
      <c r="EM58" s="426" t="str">
        <f ca="1">IF(AND(Z58&lt;&gt;"t",Z58&lt;&gt;"f"),"",IF(AND(EN58=$BH$13,K58=$BH$12),"NotOpt",IF(K58&lt;&gt;EN58,"Error","")))</f>
        <v/>
      </c>
      <c r="EN58" s="491" t="str">
        <f>IF(AND($BH$28=1,$BG$28=1),$BH$13,$BH$12)</f>
        <v>120 BU's</v>
      </c>
      <c r="EO58" s="426" t="str">
        <f>K58</f>
        <v xml:space="preserve"> </v>
      </c>
      <c r="EP58" s="497">
        <v>1</v>
      </c>
      <c r="EQ58" s="430" t="str">
        <f ca="1">IF(EP58=1," ",OFFSET(BF$15,EP58-2,0,1,1))</f>
        <v xml:space="preserve"> </v>
      </c>
      <c r="ER58" s="439" t="str">
        <f ca="1">IF(H58=0," ",H58)</f>
        <v xml:space="preserve"> </v>
      </c>
      <c r="ES58" s="440" t="str">
        <f ca="1">IF(ER58&lt;&gt;" ",IF(ER58&lt;&gt;ER$7,"Changed",""),"")</f>
        <v/>
      </c>
      <c r="ET58" s="440">
        <f ca="1">IF(ER58&lt;&gt;" ",IF(ER58&lt;&gt;ER$7,1,0),0)</f>
        <v>0</v>
      </c>
      <c r="EU58" s="957" t="str">
        <f ca="1">IF(I58=" "," ",IF(F58&lt;OFFSET($BM$9,CL58-1,0,1,1),1,""))</f>
        <v xml:space="preserve"> </v>
      </c>
      <c r="EW58" s="427"/>
    </row>
    <row r="59" spans="1:153" ht="17.100000000000001" customHeight="1">
      <c r="A59" s="2685"/>
      <c r="B59" s="689" t="s">
        <v>246</v>
      </c>
      <c r="C59" s="684" t="str">
        <f>IF(OR(F59=0,I59="",I59=" ")," ",$V59)</f>
        <v xml:space="preserve"> </v>
      </c>
      <c r="D59" s="1033"/>
      <c r="E59" s="1360"/>
      <c r="F59" s="202"/>
      <c r="G59" s="1416"/>
      <c r="H59" s="199" t="str">
        <f ca="1">IF(OR(F59=0,Z59="E",Z59="f")," ",'Project Demand'!E$35)</f>
        <v xml:space="preserve"> </v>
      </c>
      <c r="I59" s="631" t="str">
        <f>IF($I$6&lt;&gt;$BG$8," ",AB59)</f>
        <v xml:space="preserve"> </v>
      </c>
      <c r="J59" s="44" t="str">
        <f ca="1">IF(OR(I59=" ",I59="")," ",OFFSET($BO$9,CL59-1,0-4,1,1))</f>
        <v xml:space="preserve"> </v>
      </c>
      <c r="K59" s="55" t="str">
        <f>IF(OR(I59=" ",I59="")," ",IF(OR(Z59="e",Z59="h"),"SD",BG$24))</f>
        <v xml:space="preserve"> </v>
      </c>
      <c r="L59" s="49">
        <f ca="1">CW59</f>
        <v>0</v>
      </c>
      <c r="M59" s="49">
        <f ca="1">CY59</f>
        <v>0</v>
      </c>
      <c r="N59" s="50">
        <f t="shared" ca="1" si="29"/>
        <v>0</v>
      </c>
      <c r="O59" s="126">
        <f t="shared" ca="1" si="29"/>
        <v>0</v>
      </c>
      <c r="P59" s="140"/>
      <c r="Q59" s="752" t="str">
        <f ca="1">IF(AND(OR(Z59="t",Z59="f"),K59=$BH$11),"No Floor!  Change Floor Type",IF(OR(I59=" ",I59="")," ",IF(F59&lt;OFFSET($BM$9,CL59-1,0,1,1),"check L(m)",DE59&amp;IF(AND(DP59&gt;=CY59,DR59&gt;=DB59),IF(AND(ED59&gt;=DP59,EF59&gt;=DR59),CONCATENATE(DS59," will provide same result"),CONCATENATE(CO59," will provide same result")),IF((DP59&gt;=CY59),CONCATENATE(CO59," provides same result in WIND"),IF((DR59&gt;=DB59),CONCATENATE(CO59," provides same result in EQ"),""))))))&amp;IF(ISERROR(FIND("pile",I59,1)),"",IF(INT(F59)&lt;&gt;F59,"Pile!  Use Whole Numbers Only",""))</f>
        <v xml:space="preserve"> </v>
      </c>
      <c r="R59" s="52"/>
      <c r="S59" s="1372"/>
      <c r="T59" s="1372"/>
      <c r="U59" s="1377"/>
      <c r="V59" s="52" t="str">
        <f ca="1">IF(AND(B$5=$BF$9,OR(I59=BH$16,I59=BH$17))," ",IF(ISNUMBER(B$56),(CONCATENATE(B$56,".",W59)),(CONCATENATE(B$56,W59))))</f>
        <v>I0</v>
      </c>
      <c r="W59" s="9">
        <f ca="1">W58+X59</f>
        <v>0</v>
      </c>
      <c r="X59" s="9">
        <f>IF(AND(B$5=$BF$9,OR($I59=$BH$16,$I59=$BH$17,$I59=" ",$I59="",$F59=0)),0,IF(OR($I59=" ",$I59="",$F59=0),0,1))</f>
        <v>0</v>
      </c>
      <c r="Y59" s="896"/>
      <c r="Z59" s="52" t="str">
        <f ca="1">IF(I59=" "," ",OFFSET($BM$9,$CL59-1,8,1,1))</f>
        <v xml:space="preserve"> </v>
      </c>
      <c r="AA59" s="51" t="str">
        <f>IF(G59&gt;=45,"WA","")</f>
        <v/>
      </c>
      <c r="AB59" s="1364" t="str">
        <f>IF(F59&lt;&gt;"",IF(OR(D59=$BG$12,D59=$BG$13),IF(E59&lt;&gt;$BG$17,$BF$12,$BF$13),IF(E59&lt;&gt;$BG$17,$BF$12,$BF$13))," ")</f>
        <v xml:space="preserve"> </v>
      </c>
      <c r="AC59" s="1"/>
      <c r="AK59" s="63" t="str">
        <f>'Custom Elements'!B20</f>
        <v xml:space="preserve">  </v>
      </c>
      <c r="AL59" s="860" t="str">
        <f>'Custom Elements'!C20</f>
        <v>Custom12</v>
      </c>
      <c r="AM59" s="11">
        <f>'Custom Elements'!D20</f>
        <v>9.9999999999999996E-76</v>
      </c>
      <c r="AN59" s="7">
        <f>'Custom Elements'!E20</f>
        <v>0</v>
      </c>
      <c r="AO59" s="7">
        <f>'Custom Elements'!F20</f>
        <v>0</v>
      </c>
      <c r="AP59" s="762" t="str">
        <f>'Custom Elements'!G20</f>
        <v>B</v>
      </c>
      <c r="AQ59" s="1777" t="str">
        <f>'Custom Elements'!H20</f>
        <v>Single</v>
      </c>
      <c r="AR59" s="1775" t="str">
        <f>'Custom Elements'!I20</f>
        <v>Yes</v>
      </c>
      <c r="AS59" s="442" t="str">
        <f>'Custom Elements'!J20</f>
        <v>Yes</v>
      </c>
      <c r="AT59" s="1598"/>
      <c r="AU59" s="1155"/>
      <c r="AZ59" s="442" t="str">
        <f>IF(AND('Custom Elements'!J20="Yes",'Custom Elements'!I20="Yes"),"T",IF('Custom Elements'!J20="Yes","F",IF('Custom Elements'!I20="Yes","H","E")))</f>
        <v>T</v>
      </c>
      <c r="BD59" s="638"/>
      <c r="BE59" s="2717" t="str">
        <f>IF($BE$3=1,BE57,BE58)</f>
        <v>"Min Bu's entered &lt; 100"</v>
      </c>
      <c r="BF59" s="2718"/>
      <c r="BG59" s="2718"/>
      <c r="BI59" s="759"/>
      <c r="BJ59" s="897">
        <f t="shared" si="25"/>
        <v>51</v>
      </c>
      <c r="BK59" s="764"/>
      <c r="BL59" s="766"/>
      <c r="BM59" s="455">
        <f>Table!D13</f>
        <v>0.9</v>
      </c>
      <c r="BN59" s="455">
        <f>BM60</f>
        <v>1.2</v>
      </c>
      <c r="BO59" s="455">
        <f>Table!E13</f>
        <v>98</v>
      </c>
      <c r="BP59" s="925">
        <f>Table!F13</f>
        <v>88</v>
      </c>
      <c r="BR59" s="764"/>
      <c r="BS59" s="455"/>
      <c r="BT59" s="455"/>
      <c r="BU59" s="925" t="s">
        <v>242</v>
      </c>
      <c r="BV59" s="895"/>
      <c r="BW59" s="912"/>
      <c r="BX59" s="925" t="str">
        <f>Table!H11</f>
        <v>Double</v>
      </c>
      <c r="CH59" s="764">
        <f>IF(BN59=999,0,(BO60-BO59)/(BN59-BM59))</f>
        <v>0</v>
      </c>
      <c r="CI59" s="925">
        <f>IF(BN59=999,0,(BP60-BP59)/(BN59-BM59))</f>
        <v>0</v>
      </c>
      <c r="CJ59" s="759"/>
      <c r="CK59" s="188"/>
      <c r="CL59" s="979">
        <f>VLOOKUP(I59,Prodlink,2,0)</f>
        <v>0</v>
      </c>
      <c r="CN59" s="497">
        <f ca="1">VLOOKUP(CO59,Prodlink,2,0)</f>
        <v>0</v>
      </c>
      <c r="CO59" s="497">
        <f ca="1">OFFSET($CH$9,CL59-1,-15,1,1)</f>
        <v>0</v>
      </c>
      <c r="CQ59" s="51">
        <v>0</v>
      </c>
      <c r="CR59" s="51">
        <f>IF(K59=$BH$12,$BH$23,IF(K59=$BH$13,$BH$24,10000))</f>
        <v>10000</v>
      </c>
      <c r="CS59" s="51">
        <f ca="1">IF(F59&lt;OFFSET($BM$9,CL59-1,0,1,1),0,IF(F59&lt;OFFSET($BN$9,CL59-1,0,1,1),((F59-OFFSET($BM$9,CL59-1,0,1,1))*OFFSET($CH$9,CL59-1,0,1,1))+OFFSET($BO$9,CL59-1,CQ59,1,1),IF(F59&lt;OFFSET($BN$9,CL59+0,0,1,1),((F59-OFFSET($BM$9,CL59+0,0,1,1))*OFFSET($CH$9,CL59+0,0,1,1))+OFFSET($BO$9,CL59+0,CQ59,1,1),IF(F59&lt;OFFSET($BN$9,CL59+1,0,1,1),((F59-OFFSET($BM$9,CL59+1,0,1,1))*OFFSET($CH$9,CL59+1,0,1,1))+OFFSET($BO$9,CL59+1,CQ59,1,1),IF(F59&lt;OFFSET($BN$9,CL59+2,0,1,1),((F59-OFFSET($BM$9,CL59+2,0,1,1))*OFFSET($CH$9,CL59+2,0,1,1))+OFFSET($BO$9,CL59+2,CQ59,1,1),IF(F59&lt;OFFSET($BN$9,CL59+3,0,1,1),((F59-OFFSET($BM$9,CL59+3,0,1,1))*OFFSET($CH$9,CL59+3,0,1,1))+OFFSET($BO$9,CL59+3,CQ59,1,1),0))))))</f>
        <v>0</v>
      </c>
      <c r="CT59" s="51">
        <f ca="1">IF($F59&lt;OFFSET($BM$9,$CL59-1,0,1,1),0,IF($F59&lt;OFFSET($BN$9,$CL59-1,0,1,1),IF(AND($H59&gt;2.4,Z59&lt;&gt;"e",Z59&lt;&gt;"f"),CX59*2.4/$H59,CX59),IF($F59&lt;OFFSET($BN$9,$CL59+0,0,1,1),IF(AND($H59&gt;2.4,Z59&lt;&gt;"e",Z59&lt;&gt;"f"),CX59*2.4/$H59,CX59),IF($F59&lt;OFFSET($BN$9,$CL59+1,0,1,1),IF(AND($H59&gt;2.4,Z59&lt;&gt;"e",Z59&lt;&gt;"f"),CX59*2.4/$H59,CX59),IF($F59&lt;OFFSET($BN$9,CL59+2,0,1,1),IF(AND($H59&gt;2.4,Z59&lt;&gt;"e",Z59&lt;&gt;"f"),CX59*2.4/$H59,CX59),IF($F59&lt;OFFSET($BN$9,CL59+3,0,1,1),IF(AND($H59&gt;2.4,Z59&lt;&gt;"e",Z59&lt;&gt;"f"),CX59*2.4/$H59,CX59),0)))))*COS(RADIANS($G59)))</f>
        <v>0</v>
      </c>
      <c r="CU59" s="51">
        <f ca="1">IF(F59&lt;OFFSET($BM$9,CL59-1,0,1,1),0,IF(F59&lt;OFFSET($BN$9,CL59-1,0,1,1),((F59-OFFSET($BM$9,CL59-1,0,1,1))*OFFSET($CI$9,CL59-1,0,1,1))+OFFSET($BP$9,CL59-1,CQ59,1,1),IF(F59&lt;OFFSET($BN$9,CL59+0,0,1,1),((F59-OFFSET($BM$9,CL59+0,0,1,1))*OFFSET($CI$9,CL59+0,0,1,1))+OFFSET($BP$9,CL59+0,CQ59,1,1),IF(F59&lt;OFFSET($BN$9,CL59+1,0,1,1),((F59-OFFSET($BM$9,CL59+1,0,1,1))*OFFSET($CI$9,CL59+1,0,1,1))+OFFSET($BP$9,CL59+1,CQ59,1,1),IF(F59&lt;OFFSET($BN$9,CL59+2,0,1,1),((F59-OFFSET($BM$9,CL59+2,0,1,1))*OFFSET($CI$9,CL59+2,0,1,1))+OFFSET($BP$9,CL59+2,CQ59,1,1),IF(F59&lt;OFFSET($BN$9,CL59+3,0,1,1),((F59-OFFSET($BM$9,CL59+3,0,1,1))*OFFSET($CI$9,CL59+3,0,1,1))+OFFSET($BP$9,CL59+3,CQ59,1,1),0))))))</f>
        <v>0</v>
      </c>
      <c r="CV59" s="51">
        <f ca="1">IF($F59&lt;OFFSET($BM$9,$CL59-1,0,1,1),0,IF($F59&lt;OFFSET($BN$9,$CL59-1,0,1,1),IF(AND($H59&gt;2.4,Z59&lt;&gt;"e",Z59&lt;&gt;"f"),CZ59*2.4/$H59,CZ59),IF($F59&lt;OFFSET($BN$9,$CL59+0,0,1,1),IF(AND($H59&gt;2.4,Z59&lt;&gt;"e",Z59&lt;&gt;"f"),CZ59*2.4/$H59,CZ59),IF($F59&lt;OFFSET($BN$9,$CL59+1,0,1,1),IF(AND($H59&gt;2.4,Z59&lt;&gt;"e",Z59&lt;&gt;"f"),CZ59*2.4/$H59,CZ59),IF($F59&lt;OFFSET($BN$9,$CL59+2,0,1,1),IF(AND($H59&gt;2.4,Z59&lt;&gt;"e",Z59&lt;&gt;"f"),CZ59*2.4/$H59,CZ59),IF($F59&lt;OFFSET($BN$9,$CL59+3,0,1,1),IF(AND($H59&gt;2.4,Z59&lt;&gt;"e",Z59&lt;&gt;"f"),CZ59*2.4/$H59,CZ59),0)))))*COS(RADIANS($G59)))</f>
        <v>0</v>
      </c>
      <c r="CW59" s="51">
        <f ca="1">IF(CT59&gt;CR59,CR59,CT59)</f>
        <v>0</v>
      </c>
      <c r="CX59" s="51">
        <f ca="1">IF(CS59&gt;$CR59,$CR59,CS59)</f>
        <v>0</v>
      </c>
      <c r="CY59" s="51">
        <f ca="1">CW59*F59</f>
        <v>0</v>
      </c>
      <c r="CZ59" s="51">
        <f ca="1">IF($CU59&gt;$CR59,$CR59,$CU59)</f>
        <v>0</v>
      </c>
      <c r="DA59" s="51">
        <f ca="1">IF(CV59&gt;CR59,CR59,CV59)</f>
        <v>0</v>
      </c>
      <c r="DB59" s="984">
        <f ca="1">DA59*F59</f>
        <v>0</v>
      </c>
      <c r="DC59" s="993">
        <v>1</v>
      </c>
      <c r="DD59" s="758" t="str">
        <f>IF(OR(D59=BG$12,D59=BG$13),"External",IF(D59=BG$14,"Internal"," "))</f>
        <v xml:space="preserve"> </v>
      </c>
      <c r="DE59" s="51" t="str">
        <f t="shared" ca="1" si="1"/>
        <v/>
      </c>
      <c r="DF59" s="52" t="str">
        <f t="shared" ca="1" si="2"/>
        <v xml:space="preserve"> </v>
      </c>
      <c r="DG59" s="51">
        <f ca="1">IF(F59&lt;OFFSET($BM$9,CN59-1,0,1,1),0,IF(F59&lt;OFFSET($BN$9,CN59-1,0,1,1),((F59-OFFSET($BM$9,CN59-1,0,1,1))*OFFSET($CH$9,CN59-1,0,1,1))+OFFSET($BO$9,CN59-1,CQ59,1,1),IF(F59&lt;OFFSET($BN$9,CN59+0,0,1,1),((F59-OFFSET($BM$9,CN59+0,0,1,1))*OFFSET($CH$9,CN59+0,0,1,1))+OFFSET($BO$9,CN59+0,CQ59,1,1),IF(F59&lt;OFFSET($BN$9,CN59+1,0,1,1),((F59-OFFSET($BM$9,CN59+1,0,1,1))*OFFSET($CH$9,CN59+1,0,1,1))+OFFSET($BO$9,CN59+1,CQ59,1,1),IF(F59&lt;OFFSET($BN$9,CN59+2,0,1,1),((F59-OFFSET($BM$9,CN59+2,0,1,1))*OFFSET($CH$9,CN59+2,0,1,1))+OFFSET($BO$9,CN59+2,CQ59,1,1),IF(F59&lt;OFFSET($BN$9,CN59+3,0,1,1),((F59-OFFSET($BM$9,CN59+3,0,1,1))*OFFSET($CH$9,CN59+3,0,1,1))+OFFSET($BO$9,CN59+3,CQ59,1,1),0))))))</f>
        <v>0</v>
      </c>
      <c r="DH59" s="51">
        <f ca="1">IF($F59&lt;OFFSET($BM$9,$CN59-1,0,1,1),0,IF($F59&lt;OFFSET($BN$9,$CN59-1,0,1,1),IF(AND($H59&gt;2.4,Z59&lt;&gt;"e",Z59&lt;&gt;"f"),DL59*2.4/$H59,DL59),IF($F59&lt;OFFSET($BN$9,$CN59+0,0,1,1),IF(AND($H59&gt;2.4,Z59&lt;&gt;"e",Z59&lt;&gt;"f"),DL59*2.4/$H59,DL59),IF($F59&lt;OFFSET($BN$9,$CN59+1,0,1,1),IF(AND($H59&gt;2.4,Z59&lt;&gt;"e",Z59&lt;&gt;"f"),DL59*2.4/$H59,DL59),IF($F59&lt;OFFSET($BN$9,$CN59+2,0,1,1),IF(AND($H59&gt;2.4,Z59&lt;&gt;"e",Z59&lt;&gt;"f"),DL59*2.4/$H59,DL59),IF($F59&lt;OFFSET($BN$9,$CN59+3,0,1,1),IF(AND($H59&gt;2.4,Z59&lt;&gt;"e",Z59&lt;&gt;"f"),DL59*2.4/$H59,DL59),0)))))*COS(RADIANS($G59)))</f>
        <v>0</v>
      </c>
      <c r="DI59" s="51">
        <f ca="1">IF(F59&lt;OFFSET($BM$9,CN59-1,0,1,1),0,IF(F59&lt;OFFSET($BN$9,CN59-1,0,1,1),((F59-OFFSET($BM$9,CN59-1,0,1,1))*OFFSET($CI$9,CN59-1,0,1,1))+OFFSET($BP$9,CN59-1,CQ59,1,1),IF(F59&lt;OFFSET($BN$9,CN59+0,0,1,1),((F59-OFFSET($BM$9,CN59+0,0,1,1))*OFFSET($CI$9,CN59+0,0,1,1))+OFFSET($BP$9,CN59+0,CQ59,1,1),IF(F59&lt;OFFSET($BN$9,CN59+1,0,1,1),((F59-OFFSET($BM$9,CN59+1,0,1,1))*OFFSET($CI$9,CN59+1,0,1,1))+OFFSET($BP$9,CN59+1,CQ59,1,1),IF(F59&lt;OFFSET($BN$9,CN59+2,0,1,1),((F59-OFFSET($BM$9,CN59+2,0,1,1))*OFFSET($CI$9,CN59+2,0,1,1))+OFFSET($BP$9,CN59+2,CQ59,1,1),IF(F59&lt;OFFSET($BN$9,CN59+3,0,1,1),((F59-OFFSET($BM$9,CN59+3,0,1,1))*OFFSET($CI$9,CN59+3,0,1,1))+OFFSET($BP$9,CN59+3,CQ59,1,1),0))))))</f>
        <v>0</v>
      </c>
      <c r="DJ59" s="51">
        <f ca="1">IF($F59&lt;OFFSET($BM$9,$CN59-1,0,1,1),0,IF($F59&lt;OFFSET($BN$9,$CN59-1,0,1,1),IF(AND($H59&gt;2.4,Z59&lt;&gt;"e",Z59&lt;&gt;"f"),DN59*2.4/$H59,DN59),IF($F59&lt;OFFSET($BN$9,$CN59+0,0,1,1),IF(AND($H59&gt;2.4,Z59&lt;&gt;"e",Z59&lt;&gt;"f"),DN59*2.4/$H59,DN59),IF($F59&lt;OFFSET($BN$9,$CN59+1,0,1,1),IF(AND($H59&gt;2.4,Z59&lt;&gt;"e",Z59&lt;&gt;"f"),DN59*2.4/$H59,DN59),IF($F59&lt;OFFSET($BN$9,$CN59+2,0,1,1),IF(AND($H59&gt;2.4,Z59&lt;&gt;"e",Z59&lt;&gt;"f"),DN59*2.4/$H59,DN59),IF($F59&lt;OFFSET($BN$9,$CN59+3,0,1,1),IF(AND($H59&gt;2.4,Z59&lt;&gt;"e",Z59&lt;&gt;"f"),DN59*2.4/$H59,DN59),0)))))*COS(RADIANS($G59)))</f>
        <v>0</v>
      </c>
      <c r="DK59" s="51"/>
      <c r="DL59" s="51">
        <f ca="1">IF(DG59&gt;$CR59,$CR59,DG59)</f>
        <v>0</v>
      </c>
      <c r="DM59" s="51"/>
      <c r="DN59" s="51">
        <f ca="1">IF(DI59&gt;$CR59,$CR59,DI59)</f>
        <v>0</v>
      </c>
      <c r="DO59" s="435">
        <f ca="1">IF(DH59&gt;$CR59,$CR59,DH59)</f>
        <v>0</v>
      </c>
      <c r="DP59" s="435">
        <f ca="1">DO59*F59</f>
        <v>0</v>
      </c>
      <c r="DQ59" s="436">
        <f ca="1">IF(DJ59&gt;$CR59,$CR59,DJ59)</f>
        <v>0</v>
      </c>
      <c r="DR59" s="437">
        <f ca="1">DQ59*F59</f>
        <v>0</v>
      </c>
      <c r="DS59" s="426">
        <f ca="1">OFFSET($CH$9,CL59-1,-15,1,1)</f>
        <v>0</v>
      </c>
      <c r="DT59" s="451">
        <f ca="1">VLOOKUP(DS59,Prodlink,2,0)</f>
        <v>0</v>
      </c>
      <c r="DU59" s="188">
        <f ca="1">IF(F59&lt;OFFSET($BM$9,DT59-1,0,1,1),0,IF(F59&lt;OFFSET($BN$9,DT59-1,0,1,1),((F59-OFFSET($BM$9,DT59-1,0,1,1))*OFFSET($CH$9,DT59-1,0,1,1))+OFFSET($BO$9,DT59-1,CQ59,1,1),IF(F59&lt;OFFSET($BN$9,DT59+0,0,1,1),((F59-OFFSET($BM$9,DT59+0,0,1,1))*OFFSET($CH$9,DT59+0,0,1,1))+OFFSET($BO$9,DT59+0,CQ59,1,1),IF(F59&lt;OFFSET($BN$9,DT59+1,0,1,1),((F59-OFFSET($BM$9,DT59+1,0,1,1))*OFFSET($CH$9,DT59+1,0,1,1))+OFFSET($BO$9,DT59+1,CQ59,1,1),IF(F59&lt;OFFSET($BN$9,DT59+2,0,1,1),((F59-OFFSET($BM$9,DT59+2,0,1,1))*OFFSET($CH$9,DT59+2,0,1,1))+OFFSET($BO$9,DT59+2,CQ59,1,1),IF(F59&lt;OFFSET($BN$9,DT59+3,0,1,1),((F59-OFFSET($BM$9,DT59+3,0,1,1))*OFFSET($CH$9,DT59+3,0,1,1))+OFFSET($BO$9,DT59+3,CQ59,1,1),0))))))</f>
        <v>0</v>
      </c>
      <c r="DV59" s="51">
        <f ca="1">IF($F59&lt;OFFSET($BM$9,$DT59-1,0,1,1),0,IF($F59&lt;OFFSET($BN$9,$DT59-1,0,1,1),IF(AND($H59&gt;2.4,Z59&lt;&gt;"e",Z59&lt;&gt;"f"),DZ59*2.4/$H59,DZ59),IF($F59&lt;OFFSET($BN$9,$DT59+0,0,1,1),IF(AND($H59&gt;2.4,Z59&lt;&gt;"e",Z59&lt;&gt;"f"),DZ59*2.4/$H59,DZ59),IF($F59&lt;OFFSET($BN$9,$DT59+1,0,1,1),IF(AND($H59&gt;2.4,Z59&lt;&gt;"e",Z59&lt;&gt;"f"),DZ59*2.4/$H59,DZ59),IF($F59&lt;OFFSET($BN$9,$DT59+2,0,1,1),IF(AND($H59&gt;2.4,Z59&lt;&gt;"e",Z59&lt;&gt;"f"),DZ59*2.4/$H59,DZ59),IF($F59&lt;OFFSET($BN$9,$DT59+3,0,1,1),IF(AND($H59&gt;2.4,Z59&lt;&gt;"e",Z59&lt;&gt;"f"),DZ59*2.4/$H59,DZ59),0)))))*COS(RADIANS($G59)))</f>
        <v>0</v>
      </c>
      <c r="DW59" s="188">
        <f ca="1">IF(F59&lt;OFFSET($BM$9,DT59-1,0,1,1),0,IF(F59&lt;OFFSET($BN$9,DT59-1,0,1,1),((F59-OFFSET($BM$9,DT59-1,0,1,1))*OFFSET($CI$9,DT59-1,0,1,1))+OFFSET($BP$9,DT59-1,CQ59,1,1),IF(F59&lt;OFFSET($BN$9,DT59+0,0,1,1),((F59-OFFSET($BM$9,DT59+0,0,1,1))*OFFSET($CI$9,DT59+0,0,1,1))+OFFSET($BP$9,DT59+0,CQ59,1,1),IF(F59&lt;OFFSET($BN$9,DT59+1,0,1,1),((F59-OFFSET($BM$9,DT59+1,0,1,1))*OFFSET($CI$9,DT59+1,0,1,1))+OFFSET($BP$9,DT59+1,CQ59,1,1),IF(F59&lt;OFFSET($BN$9,DT59+2,0,1,1),((F59-OFFSET($BM$9,DT59+2,0,1,1))*OFFSET($CI$9,DT59+2,0,1,1))+OFFSET($BP$9,DT59+2,CQ59,1,1),IF(F59&lt;OFFSET($BN$9,DT59+3,0,1,1),((F59-OFFSET($BM$9,DT59+3,0,1,1))*OFFSET($CI$9,DT59+3,0,1,1))+OFFSET($BP$9,DT59+3,CQ59,1,1),0))))))</f>
        <v>0</v>
      </c>
      <c r="DX59" s="51">
        <f ca="1">IF($F59&lt;OFFSET($BM$9,$DT59-1,0,1,1),0,IF($F59&lt;OFFSET($BN$9,$DT59-1,0,1,1),IF(AND($H59&gt;2.4,Z59&lt;&gt;"e",Z59&lt;&gt;"f"),EB59*2.4/$H59,EB59),IF($F59&lt;OFFSET($BN$9,$DT59+0,0,1,1),IF(AND($H59&gt;2.4,Z59&lt;&gt;"e",Z59&lt;&gt;"f"),EB59*2.4/$H59,EB59),IF($F59&lt;OFFSET($BN$9,$DT59+1,0,1,1),IF(AND($H59&gt;2.4,Z59&lt;&gt;"e",Z59&lt;&gt;"f"),EB59*2.4/$H59,EB59),IF($F59&lt;OFFSET($BN$9,$DT59+2,0,1,1),IF(AND($H59&gt;2.4,Z59&lt;&gt;"e",Z59&lt;&gt;"f"),EB59*2.4/$H59,EB59),IF($F59&lt;OFFSET($BN$9,$DT59+3,0,1,1),IF(AND($H59&gt;2.4,Z59&lt;&gt;"e",Z59&lt;&gt;"f"),EB59*2.4/$H59,EB59),0)))))*COS(RADIANS($G59)))</f>
        <v>0</v>
      </c>
      <c r="DY59" s="188"/>
      <c r="DZ59" s="188">
        <f ca="1">IF(DU59&gt;$CR59,$CR59,DU59)</f>
        <v>0</v>
      </c>
      <c r="EA59" s="188"/>
      <c r="EB59" s="188">
        <f ca="1">IF(DW59&gt;$CR59,$CR59,DW59)</f>
        <v>0</v>
      </c>
      <c r="EC59" s="435">
        <f ca="1">IF(DV59&gt;$CR59,$CR59,DV59)</f>
        <v>0</v>
      </c>
      <c r="ED59" s="435">
        <f ca="1">EC59*F59</f>
        <v>0</v>
      </c>
      <c r="EE59" s="436">
        <f ca="1">IF(DX59&gt;$CR59,$CR59,DX59)</f>
        <v>0</v>
      </c>
      <c r="EF59" s="437">
        <f ca="1">EE59*F59</f>
        <v>0</v>
      </c>
      <c r="EG59" s="613" t="str">
        <f>IF(D59=BG$12,BG$12,"")</f>
        <v/>
      </c>
      <c r="EH59" s="614" t="str">
        <f>IF(D59=BG$13,BG$13,"")</f>
        <v/>
      </c>
      <c r="EI59" s="611">
        <f>IF(EG59=BG$12,M59,0)</f>
        <v>0</v>
      </c>
      <c r="EJ59" s="451">
        <f>IF(EG59=BG$12,O59,0)</f>
        <v>0</v>
      </c>
      <c r="EK59" s="451">
        <f>IF(EH59=BG$13,M59,0)</f>
        <v>0</v>
      </c>
      <c r="EL59" s="612">
        <f>IF(EH59=BG$13,O59,0)</f>
        <v>0</v>
      </c>
      <c r="EM59" s="426" t="str">
        <f ca="1">IF(AND(Z59&lt;&gt;"t",Z59&lt;&gt;"f"),"",IF(AND(EN59=$BH$13,K59=$BH$12),"NotOpt",IF(K59&lt;&gt;EN59,"Error","")))</f>
        <v/>
      </c>
      <c r="EN59" s="491" t="str">
        <f>IF(AND($BH$28=1,$BG$28=1),$BH$13,$BH$12)</f>
        <v>120 BU's</v>
      </c>
      <c r="EO59" s="426" t="str">
        <f>K59</f>
        <v xml:space="preserve"> </v>
      </c>
      <c r="EP59" s="497">
        <v>1</v>
      </c>
      <c r="EQ59" s="430" t="str">
        <f ca="1">IF(EP59=1," ",OFFSET(BF$15,EP59-2,0,1,1))</f>
        <v xml:space="preserve"> </v>
      </c>
      <c r="ER59" s="439" t="str">
        <f ca="1">IF(H59=0," ",H59)</f>
        <v xml:space="preserve"> </v>
      </c>
      <c r="ES59" s="440" t="str">
        <f ca="1">IF(ER59&lt;&gt;" ",IF(ER59&lt;&gt;ER$7,"Changed",""),"")</f>
        <v/>
      </c>
      <c r="ET59" s="440">
        <f ca="1">IF(ER59&lt;&gt;" ",IF(ER59&lt;&gt;ER$7,1,0),0)</f>
        <v>0</v>
      </c>
      <c r="EU59" s="957" t="str">
        <f ca="1">IF(I59=" "," ",IF(F59&lt;OFFSET($BM$9,CL59-1,0,1,1),1,""))</f>
        <v xml:space="preserve"> </v>
      </c>
      <c r="EW59" s="427"/>
    </row>
    <row r="60" spans="1:153" ht="17.100000000000001" customHeight="1" thickBot="1">
      <c r="A60" s="2685"/>
      <c r="B60" s="689" t="s">
        <v>246</v>
      </c>
      <c r="C60" s="684" t="str">
        <f>IF(OR(F60=0,I60="",I60=" ")," ",$V60)</f>
        <v xml:space="preserve"> </v>
      </c>
      <c r="D60" s="1033"/>
      <c r="E60" s="1360"/>
      <c r="F60" s="202"/>
      <c r="G60" s="1416"/>
      <c r="H60" s="199" t="str">
        <f ca="1">IF(OR(F60=0,Z60="E",Z60="f")," ",'Project Demand'!E$35)</f>
        <v xml:space="preserve"> </v>
      </c>
      <c r="I60" s="631" t="str">
        <f>IF($I$6&lt;&gt;$BG$8," ",AB60)</f>
        <v xml:space="preserve"> </v>
      </c>
      <c r="J60" s="44" t="str">
        <f ca="1">IF(OR(I60=" ",I60="")," ",OFFSET($BO$9,CL60-1,0-4,1,1))</f>
        <v xml:space="preserve"> </v>
      </c>
      <c r="K60" s="55" t="str">
        <f>IF(OR(I60=" ",I60="")," ",IF(OR(Z60="e",Z60="h"),"SD",BG$24))</f>
        <v xml:space="preserve"> </v>
      </c>
      <c r="L60" s="49">
        <f ca="1">CW60</f>
        <v>0</v>
      </c>
      <c r="M60" s="49">
        <f ca="1">CY60</f>
        <v>0</v>
      </c>
      <c r="N60" s="50">
        <f t="shared" ca="1" si="29"/>
        <v>0</v>
      </c>
      <c r="O60" s="126">
        <f t="shared" ca="1" si="29"/>
        <v>0</v>
      </c>
      <c r="P60" s="140"/>
      <c r="Q60" s="752" t="str">
        <f ca="1">IF(AND(OR(Z60="t",Z60="f"),K60=$BH$11),"No Floor!  Change Floor Type",IF(OR(I60=" ",I60="")," ",IF(F60&lt;OFFSET($BM$9,CL60-1,0,1,1),"check L(m)",DE60&amp;IF(AND(DP60&gt;=CY60,DR60&gt;=DB60),IF(AND(ED60&gt;=DP60,EF60&gt;=DR60),CONCATENATE(DS60," will provide same result"),CONCATENATE(CO60," will provide same result")),IF((DP60&gt;=CY60),CONCATENATE(CO60," provides same result in WIND"),IF((DR60&gt;=DB60),CONCATENATE(CO60," provides same result in EQ"),""))))))&amp;IF(ISERROR(FIND("pile",I60,1)),"",IF(INT(F60)&lt;&gt;F60,"Pile!  Use Whole Numbers Only",""))</f>
        <v xml:space="preserve"> </v>
      </c>
      <c r="R60" s="52"/>
      <c r="S60" s="1372"/>
      <c r="T60" s="1372"/>
      <c r="U60" s="1377"/>
      <c r="V60" s="52" t="str">
        <f ca="1">IF(AND(B$5=$BF$9,OR(I60=BH$16,I60=BH$17))," ",IF(ISNUMBER(B$56),(CONCATENATE(B$56,".",W60)),(CONCATENATE(B$56,W60))))</f>
        <v>I0</v>
      </c>
      <c r="W60" s="9">
        <f ca="1">W59+X60</f>
        <v>0</v>
      </c>
      <c r="X60" s="9">
        <f>IF(AND(B$5=$BF$9,OR($I60=$BH$16,$I60=$BH$17,$I60=" ",$I60="",$F60=0)),0,IF(OR($I60=" ",$I60="",$F60=0),0,1))</f>
        <v>0</v>
      </c>
      <c r="Y60" s="896"/>
      <c r="Z60" s="52" t="str">
        <f ca="1">IF(I60=" "," ",OFFSET($BM$9,$CL60-1,8,1,1))</f>
        <v xml:space="preserve"> </v>
      </c>
      <c r="AA60" s="51" t="str">
        <f>IF(G60&gt;=45,"WA","")</f>
        <v/>
      </c>
      <c r="AB60" s="1364" t="str">
        <f>IF(F60&lt;&gt;"",IF(OR(D60=$BG$12,D60=$BG$13),IF(E60&lt;&gt;$BG$17,$BF$12,$BF$13),IF(E60&lt;&gt;$BG$17,$BF$12,$BF$13))," ")</f>
        <v xml:space="preserve"> </v>
      </c>
      <c r="AC60" s="1"/>
      <c r="AK60" s="63" t="str">
        <f>'Custom Elements'!B21</f>
        <v xml:space="preserve">  </v>
      </c>
      <c r="AL60" s="860" t="str">
        <f>'Custom Elements'!C21</f>
        <v>Custom13</v>
      </c>
      <c r="AM60" s="11">
        <f>'Custom Elements'!D21</f>
        <v>9.9999999999999996E-76</v>
      </c>
      <c r="AN60" s="7">
        <f>'Custom Elements'!E21</f>
        <v>0</v>
      </c>
      <c r="AO60" s="7">
        <f>'Custom Elements'!F21</f>
        <v>0</v>
      </c>
      <c r="AP60" s="762" t="str">
        <f>'Custom Elements'!G21</f>
        <v>B</v>
      </c>
      <c r="AQ60" s="1777" t="str">
        <f>'Custom Elements'!H21</f>
        <v>Single</v>
      </c>
      <c r="AR60" s="1775" t="str">
        <f>'Custom Elements'!I21</f>
        <v>Yes</v>
      </c>
      <c r="AS60" s="442" t="str">
        <f>'Custom Elements'!J21</f>
        <v>Yes</v>
      </c>
      <c r="AT60" s="1598"/>
      <c r="AU60" s="1155"/>
      <c r="AZ60" s="442" t="str">
        <f>IF(AND('Custom Elements'!J21="Yes",'Custom Elements'!I21="Yes"),"T",IF('Custom Elements'!J21="Yes","F",IF('Custom Elements'!I21="Yes","H","E")))</f>
        <v>T</v>
      </c>
      <c r="BD60" s="638"/>
      <c r="BE60" s="1020"/>
      <c r="BF60" s="73"/>
      <c r="BG60" s="73"/>
      <c r="BI60" s="759"/>
      <c r="BJ60" s="897">
        <f t="shared" si="25"/>
        <v>52</v>
      </c>
      <c r="BK60" s="908"/>
      <c r="BL60" s="767"/>
      <c r="BM60" s="776">
        <f>Table!D14</f>
        <v>1.2</v>
      </c>
      <c r="BN60" s="776">
        <v>999</v>
      </c>
      <c r="BO60" s="776">
        <f>Table!E14</f>
        <v>98</v>
      </c>
      <c r="BP60" s="926">
        <f>Table!F14</f>
        <v>88</v>
      </c>
      <c r="BQ60" s="1183"/>
      <c r="BR60" s="908"/>
      <c r="BS60" s="776"/>
      <c r="BT60" s="776"/>
      <c r="BU60" s="926" t="s">
        <v>242</v>
      </c>
      <c r="BV60" s="433"/>
      <c r="BW60" s="914"/>
      <c r="BX60" s="926" t="str">
        <f>Table!H11</f>
        <v>Double</v>
      </c>
      <c r="CH60" s="908">
        <f>IF(BN60=999,0,(BO61-BO60)/(BN60-BM60))</f>
        <v>0</v>
      </c>
      <c r="CI60" s="926">
        <f>IF(BN60=999,0,(BP61-BP60)/(BN60-BM60))</f>
        <v>0</v>
      </c>
      <c r="CJ60" s="759"/>
      <c r="CK60" s="188"/>
      <c r="CL60" s="979">
        <f>VLOOKUP(I60,Prodlink,2,0)</f>
        <v>0</v>
      </c>
      <c r="CN60" s="497">
        <f ca="1">VLOOKUP(CO60,Prodlink,2,0)</f>
        <v>0</v>
      </c>
      <c r="CO60" s="497">
        <f ca="1">OFFSET($CH$9,CL60-1,-15,1,1)</f>
        <v>0</v>
      </c>
      <c r="CQ60" s="51">
        <v>0</v>
      </c>
      <c r="CR60" s="51">
        <f>IF(K60=$BH$12,$BH$23,IF(K60=$BH$13,$BH$24,10000))</f>
        <v>10000</v>
      </c>
      <c r="CS60" s="51">
        <f ca="1">IF(F60&lt;OFFSET($BM$9,CL60-1,0,1,1),0,IF(F60&lt;OFFSET($BN$9,CL60-1,0,1,1),((F60-OFFSET($BM$9,CL60-1,0,1,1))*OFFSET($CH$9,CL60-1,0,1,1))+OFFSET($BO$9,CL60-1,CQ60,1,1),IF(F60&lt;OFFSET($BN$9,CL60+0,0,1,1),((F60-OFFSET($BM$9,CL60+0,0,1,1))*OFFSET($CH$9,CL60+0,0,1,1))+OFFSET($BO$9,CL60+0,CQ60,1,1),IF(F60&lt;OFFSET($BN$9,CL60+1,0,1,1),((F60-OFFSET($BM$9,CL60+1,0,1,1))*OFFSET($CH$9,CL60+1,0,1,1))+OFFSET($BO$9,CL60+1,CQ60,1,1),IF(F60&lt;OFFSET($BN$9,CL60+2,0,1,1),((F60-OFFSET($BM$9,CL60+2,0,1,1))*OFFSET($CH$9,CL60+2,0,1,1))+OFFSET($BO$9,CL60+2,CQ60,1,1),IF(F60&lt;OFFSET($BN$9,CL60+3,0,1,1),((F60-OFFSET($BM$9,CL60+3,0,1,1))*OFFSET($CH$9,CL60+3,0,1,1))+OFFSET($BO$9,CL60+3,CQ60,1,1),0))))))</f>
        <v>0</v>
      </c>
      <c r="CT60" s="51">
        <f ca="1">IF($F60&lt;OFFSET($BM$9,$CL60-1,0,1,1),0,IF($F60&lt;OFFSET($BN$9,$CL60-1,0,1,1),IF(AND($H60&gt;2.4,Z60&lt;&gt;"e",Z60&lt;&gt;"f"),CX60*2.4/$H60,CX60),IF($F60&lt;OFFSET($BN$9,$CL60+0,0,1,1),IF(AND($H60&gt;2.4,Z60&lt;&gt;"e",Z60&lt;&gt;"f"),CX60*2.4/$H60,CX60),IF($F60&lt;OFFSET($BN$9,$CL60+1,0,1,1),IF(AND($H60&gt;2.4,Z60&lt;&gt;"e",Z60&lt;&gt;"f"),CX60*2.4/$H60,CX60),IF($F60&lt;OFFSET($BN$9,CL60+2,0,1,1),IF(AND($H60&gt;2.4,Z60&lt;&gt;"e",Z60&lt;&gt;"f"),CX60*2.4/$H60,CX60),IF($F60&lt;OFFSET($BN$9,CL60+3,0,1,1),IF(AND($H60&gt;2.4,Z60&lt;&gt;"e",Z60&lt;&gt;"f"),CX60*2.4/$H60,CX60),0)))))*COS(RADIANS($G60)))</f>
        <v>0</v>
      </c>
      <c r="CU60" s="51">
        <f ca="1">IF(F60&lt;OFFSET($BM$9,CL60-1,0,1,1),0,IF(F60&lt;OFFSET($BN$9,CL60-1,0,1,1),((F60-OFFSET($BM$9,CL60-1,0,1,1))*OFFSET($CI$9,CL60-1,0,1,1))+OFFSET($BP$9,CL60-1,CQ60,1,1),IF(F60&lt;OFFSET($BN$9,CL60+0,0,1,1),((F60-OFFSET($BM$9,CL60+0,0,1,1))*OFFSET($CI$9,CL60+0,0,1,1))+OFFSET($BP$9,CL60+0,CQ60,1,1),IF(F60&lt;OFFSET($BN$9,CL60+1,0,1,1),((F60-OFFSET($BM$9,CL60+1,0,1,1))*OFFSET($CI$9,CL60+1,0,1,1))+OFFSET($BP$9,CL60+1,CQ60,1,1),IF(F60&lt;OFFSET($BN$9,CL60+2,0,1,1),((F60-OFFSET($BM$9,CL60+2,0,1,1))*OFFSET($CI$9,CL60+2,0,1,1))+OFFSET($BP$9,CL60+2,CQ60,1,1),IF(F60&lt;OFFSET($BN$9,CL60+3,0,1,1),((F60-OFFSET($BM$9,CL60+3,0,1,1))*OFFSET($CI$9,CL60+3,0,1,1))+OFFSET($BP$9,CL60+3,CQ60,1,1),0))))))</f>
        <v>0</v>
      </c>
      <c r="CV60" s="51">
        <f ca="1">IF($F60&lt;OFFSET($BM$9,$CL60-1,0,1,1),0,IF($F60&lt;OFFSET($BN$9,$CL60-1,0,1,1),IF(AND($H60&gt;2.4,Z60&lt;&gt;"e",Z60&lt;&gt;"f"),CZ60*2.4/$H60,CZ60),IF($F60&lt;OFFSET($BN$9,$CL60+0,0,1,1),IF(AND($H60&gt;2.4,Z60&lt;&gt;"e",Z60&lt;&gt;"f"),CZ60*2.4/$H60,CZ60),IF($F60&lt;OFFSET($BN$9,$CL60+1,0,1,1),IF(AND($H60&gt;2.4,Z60&lt;&gt;"e",Z60&lt;&gt;"f"),CZ60*2.4/$H60,CZ60),IF($F60&lt;OFFSET($BN$9,$CL60+2,0,1,1),IF(AND($H60&gt;2.4,Z60&lt;&gt;"e",Z60&lt;&gt;"f"),CZ60*2.4/$H60,CZ60),IF($F60&lt;OFFSET($BN$9,$CL60+3,0,1,1),IF(AND($H60&gt;2.4,Z60&lt;&gt;"e",Z60&lt;&gt;"f"),CZ60*2.4/$H60,CZ60),0)))))*COS(RADIANS($G60)))</f>
        <v>0</v>
      </c>
      <c r="CW60" s="51">
        <f ca="1">IF(CT60&gt;CR60,CR60,CT60)</f>
        <v>0</v>
      </c>
      <c r="CX60" s="51">
        <f ca="1">IF(CS60&gt;$CR60,$CR60,CS60)</f>
        <v>0</v>
      </c>
      <c r="CY60" s="51">
        <f ca="1">CW60*F60</f>
        <v>0</v>
      </c>
      <c r="CZ60" s="51">
        <f ca="1">IF($CU60&gt;$CR60,$CR60,$CU60)</f>
        <v>0</v>
      </c>
      <c r="DA60" s="51">
        <f ca="1">IF(CV60&gt;CR60,CR60,CV60)</f>
        <v>0</v>
      </c>
      <c r="DB60" s="984">
        <f ca="1">DA60*F60</f>
        <v>0</v>
      </c>
      <c r="DC60" s="993">
        <v>1</v>
      </c>
      <c r="DD60" s="758" t="str">
        <f>IF(OR(D60=BG$12,D60=BG$13),"External",IF(D60=BG$14,"Internal"," "))</f>
        <v xml:space="preserve"> </v>
      </c>
      <c r="DE60" s="51" t="str">
        <f t="shared" ca="1" si="1"/>
        <v/>
      </c>
      <c r="DF60" s="52" t="str">
        <f t="shared" ca="1" si="2"/>
        <v xml:space="preserve"> </v>
      </c>
      <c r="DG60" s="51">
        <f ca="1">IF(F60&lt;OFFSET($BM$9,CN60-1,0,1,1),0,IF(F60&lt;OFFSET($BN$9,CN60-1,0,1,1),((F60-OFFSET($BM$9,CN60-1,0,1,1))*OFFSET($CH$9,CN60-1,0,1,1))+OFFSET($BO$9,CN60-1,CQ60,1,1),IF(F60&lt;OFFSET($BN$9,CN60+0,0,1,1),((F60-OFFSET($BM$9,CN60+0,0,1,1))*OFFSET($CH$9,CN60+0,0,1,1))+OFFSET($BO$9,CN60+0,CQ60,1,1),IF(F60&lt;OFFSET($BN$9,CN60+1,0,1,1),((F60-OFFSET($BM$9,CN60+1,0,1,1))*OFFSET($CH$9,CN60+1,0,1,1))+OFFSET($BO$9,CN60+1,CQ60,1,1),IF(F60&lt;OFFSET($BN$9,CN60+2,0,1,1),((F60-OFFSET($BM$9,CN60+2,0,1,1))*OFFSET($CH$9,CN60+2,0,1,1))+OFFSET($BO$9,CN60+2,CQ60,1,1),IF(F60&lt;OFFSET($BN$9,CN60+3,0,1,1),((F60-OFFSET($BM$9,CN60+3,0,1,1))*OFFSET($CH$9,CN60+3,0,1,1))+OFFSET($BO$9,CN60+3,CQ60,1,1),0))))))</f>
        <v>0</v>
      </c>
      <c r="DH60" s="51">
        <f ca="1">IF($F60&lt;OFFSET($BM$9,$CN60-1,0,1,1),0,IF($F60&lt;OFFSET($BN$9,$CN60-1,0,1,1),IF(AND($H60&gt;2.4,Z60&lt;&gt;"e",Z60&lt;&gt;"f"),DL60*2.4/$H60,DL60),IF($F60&lt;OFFSET($BN$9,$CN60+0,0,1,1),IF(AND($H60&gt;2.4,Z60&lt;&gt;"e",Z60&lt;&gt;"f"),DL60*2.4/$H60,DL60),IF($F60&lt;OFFSET($BN$9,$CN60+1,0,1,1),IF(AND($H60&gt;2.4,Z60&lt;&gt;"e",Z60&lt;&gt;"f"),DL60*2.4/$H60,DL60),IF($F60&lt;OFFSET($BN$9,$CN60+2,0,1,1),IF(AND($H60&gt;2.4,Z60&lt;&gt;"e",Z60&lt;&gt;"f"),DL60*2.4/$H60,DL60),IF($F60&lt;OFFSET($BN$9,$CN60+3,0,1,1),IF(AND($H60&gt;2.4,Z60&lt;&gt;"e",Z60&lt;&gt;"f"),DL60*2.4/$H60,DL60),0)))))*COS(RADIANS($G60)))</f>
        <v>0</v>
      </c>
      <c r="DI60" s="51">
        <f ca="1">IF(F60&lt;OFFSET($BM$9,CN60-1,0,1,1),0,IF(F60&lt;OFFSET($BN$9,CN60-1,0,1,1),((F60-OFFSET($BM$9,CN60-1,0,1,1))*OFFSET($CI$9,CN60-1,0,1,1))+OFFSET($BP$9,CN60-1,CQ60,1,1),IF(F60&lt;OFFSET($BN$9,CN60+0,0,1,1),((F60-OFFSET($BM$9,CN60+0,0,1,1))*OFFSET($CI$9,CN60+0,0,1,1))+OFFSET($BP$9,CN60+0,CQ60,1,1),IF(F60&lt;OFFSET($BN$9,CN60+1,0,1,1),((F60-OFFSET($BM$9,CN60+1,0,1,1))*OFFSET($CI$9,CN60+1,0,1,1))+OFFSET($BP$9,CN60+1,CQ60,1,1),IF(F60&lt;OFFSET($BN$9,CN60+2,0,1,1),((F60-OFFSET($BM$9,CN60+2,0,1,1))*OFFSET($CI$9,CN60+2,0,1,1))+OFFSET($BP$9,CN60+2,CQ60,1,1),IF(F60&lt;OFFSET($BN$9,CN60+3,0,1,1),((F60-OFFSET($BM$9,CN60+3,0,1,1))*OFFSET($CI$9,CN60+3,0,1,1))+OFFSET($BP$9,CN60+3,CQ60,1,1),0))))))</f>
        <v>0</v>
      </c>
      <c r="DJ60" s="51">
        <f ca="1">IF($F60&lt;OFFSET($BM$9,$CN60-1,0,1,1),0,IF($F60&lt;OFFSET($BN$9,$CN60-1,0,1,1),IF(AND($H60&gt;2.4,Z60&lt;&gt;"e",Z60&lt;&gt;"f"),DN60*2.4/$H60,DN60),IF($F60&lt;OFFSET($BN$9,$CN60+0,0,1,1),IF(AND($H60&gt;2.4,Z60&lt;&gt;"e",Z60&lt;&gt;"f"),DN60*2.4/$H60,DN60),IF($F60&lt;OFFSET($BN$9,$CN60+1,0,1,1),IF(AND($H60&gt;2.4,Z60&lt;&gt;"e",Z60&lt;&gt;"f"),DN60*2.4/$H60,DN60),IF($F60&lt;OFFSET($BN$9,$CN60+2,0,1,1),IF(AND($H60&gt;2.4,Z60&lt;&gt;"e",Z60&lt;&gt;"f"),DN60*2.4/$H60,DN60),IF($F60&lt;OFFSET($BN$9,$CN60+3,0,1,1),IF(AND($H60&gt;2.4,Z60&lt;&gt;"e",Z60&lt;&gt;"f"),DN60*2.4/$H60,DN60),0)))))*COS(RADIANS($G60)))</f>
        <v>0</v>
      </c>
      <c r="DK60" s="51"/>
      <c r="DL60" s="51">
        <f ca="1">IF(DG60&gt;$CR60,$CR60,DG60)</f>
        <v>0</v>
      </c>
      <c r="DM60" s="51"/>
      <c r="DN60" s="51">
        <f ca="1">IF(DI60&gt;$CR60,$CR60,DI60)</f>
        <v>0</v>
      </c>
      <c r="DO60" s="435">
        <f ca="1">IF(DH60&gt;$CR60,$CR60,DH60)</f>
        <v>0</v>
      </c>
      <c r="DP60" s="435">
        <f ca="1">DO60*F60</f>
        <v>0</v>
      </c>
      <c r="DQ60" s="436">
        <f ca="1">IF(DJ60&gt;$CR60,$CR60,DJ60)</f>
        <v>0</v>
      </c>
      <c r="DR60" s="437">
        <f ca="1">DQ60*F60</f>
        <v>0</v>
      </c>
      <c r="DS60" s="426">
        <f ca="1">OFFSET($CH$9,CL60-1,-15,1,1)</f>
        <v>0</v>
      </c>
      <c r="DT60" s="451">
        <f ca="1">VLOOKUP(DS60,Prodlink,2,0)</f>
        <v>0</v>
      </c>
      <c r="DU60" s="188">
        <f ca="1">IF(F60&lt;OFFSET($BM$9,DT60-1,0,1,1),0,IF(F60&lt;OFFSET($BN$9,DT60-1,0,1,1),((F60-OFFSET($BM$9,DT60-1,0,1,1))*OFFSET($CH$9,DT60-1,0,1,1))+OFFSET($BO$9,DT60-1,CQ60,1,1),IF(F60&lt;OFFSET($BN$9,DT60+0,0,1,1),((F60-OFFSET($BM$9,DT60+0,0,1,1))*OFFSET($CH$9,DT60+0,0,1,1))+OFFSET($BO$9,DT60+0,CQ60,1,1),IF(F60&lt;OFFSET($BN$9,DT60+1,0,1,1),((F60-OFFSET($BM$9,DT60+1,0,1,1))*OFFSET($CH$9,DT60+1,0,1,1))+OFFSET($BO$9,DT60+1,CQ60,1,1),IF(F60&lt;OFFSET($BN$9,DT60+2,0,1,1),((F60-OFFSET($BM$9,DT60+2,0,1,1))*OFFSET($CH$9,DT60+2,0,1,1))+OFFSET($BO$9,DT60+2,CQ60,1,1),IF(F60&lt;OFFSET($BN$9,DT60+3,0,1,1),((F60-OFFSET($BM$9,DT60+3,0,1,1))*OFFSET($CH$9,DT60+3,0,1,1))+OFFSET($BO$9,DT60+3,CQ60,1,1),0))))))</f>
        <v>0</v>
      </c>
      <c r="DV60" s="51">
        <f ca="1">IF($F60&lt;OFFSET($BM$9,$DT60-1,0,1,1),0,IF($F60&lt;OFFSET($BN$9,$DT60-1,0,1,1),IF(AND($H60&gt;2.4,Z60&lt;&gt;"e",Z60&lt;&gt;"f"),DZ60*2.4/$H60,DZ60),IF($F60&lt;OFFSET($BN$9,$DT60+0,0,1,1),IF(AND($H60&gt;2.4,Z60&lt;&gt;"e",Z60&lt;&gt;"f"),DZ60*2.4/$H60,DZ60),IF($F60&lt;OFFSET($BN$9,$DT60+1,0,1,1),IF(AND($H60&gt;2.4,Z60&lt;&gt;"e",Z60&lt;&gt;"f"),DZ60*2.4/$H60,DZ60),IF($F60&lt;OFFSET($BN$9,$DT60+2,0,1,1),IF(AND($H60&gt;2.4,Z60&lt;&gt;"e",Z60&lt;&gt;"f"),DZ60*2.4/$H60,DZ60),IF($F60&lt;OFFSET($BN$9,$DT60+3,0,1,1),IF(AND($H60&gt;2.4,Z60&lt;&gt;"e",Z60&lt;&gt;"f"),DZ60*2.4/$H60,DZ60),0)))))*COS(RADIANS($G60)))</f>
        <v>0</v>
      </c>
      <c r="DW60" s="188">
        <f ca="1">IF(F60&lt;OFFSET($BM$9,DT60-1,0,1,1),0,IF(F60&lt;OFFSET($BN$9,DT60-1,0,1,1),((F60-OFFSET($BM$9,DT60-1,0,1,1))*OFFSET($CI$9,DT60-1,0,1,1))+OFFSET($BP$9,DT60-1,CQ60,1,1),IF(F60&lt;OFFSET($BN$9,DT60+0,0,1,1),((F60-OFFSET($BM$9,DT60+0,0,1,1))*OFFSET($CI$9,DT60+0,0,1,1))+OFFSET($BP$9,DT60+0,CQ60,1,1),IF(F60&lt;OFFSET($BN$9,DT60+1,0,1,1),((F60-OFFSET($BM$9,DT60+1,0,1,1))*OFFSET($CI$9,DT60+1,0,1,1))+OFFSET($BP$9,DT60+1,CQ60,1,1),IF(F60&lt;OFFSET($BN$9,DT60+2,0,1,1),((F60-OFFSET($BM$9,DT60+2,0,1,1))*OFFSET($CI$9,DT60+2,0,1,1))+OFFSET($BP$9,DT60+2,CQ60,1,1),IF(F60&lt;OFFSET($BN$9,DT60+3,0,1,1),((F60-OFFSET($BM$9,DT60+3,0,1,1))*OFFSET($CI$9,DT60+3,0,1,1))+OFFSET($BP$9,DT60+3,CQ60,1,1),0))))))</f>
        <v>0</v>
      </c>
      <c r="DX60" s="51">
        <f ca="1">IF($F60&lt;OFFSET($BM$9,$DT60-1,0,1,1),0,IF($F60&lt;OFFSET($BN$9,$DT60-1,0,1,1),IF(AND($H60&gt;2.4,Z60&lt;&gt;"e",Z60&lt;&gt;"f"),EB60*2.4/$H60,EB60),IF($F60&lt;OFFSET($BN$9,$DT60+0,0,1,1),IF(AND($H60&gt;2.4,Z60&lt;&gt;"e",Z60&lt;&gt;"f"),EB60*2.4/$H60,EB60),IF($F60&lt;OFFSET($BN$9,$DT60+1,0,1,1),IF(AND($H60&gt;2.4,Z60&lt;&gt;"e",Z60&lt;&gt;"f"),EB60*2.4/$H60,EB60),IF($F60&lt;OFFSET($BN$9,$DT60+2,0,1,1),IF(AND($H60&gt;2.4,Z60&lt;&gt;"e",Z60&lt;&gt;"f"),EB60*2.4/$H60,EB60),IF($F60&lt;OFFSET($BN$9,$DT60+3,0,1,1),IF(AND($H60&gt;2.4,Z60&lt;&gt;"e",Z60&lt;&gt;"f"),EB60*2.4/$H60,EB60),0)))))*COS(RADIANS($G60)))</f>
        <v>0</v>
      </c>
      <c r="DY60" s="188"/>
      <c r="DZ60" s="188">
        <f ca="1">IF(DU60&gt;$CR60,$CR60,DU60)</f>
        <v>0</v>
      </c>
      <c r="EA60" s="188"/>
      <c r="EB60" s="188">
        <f ca="1">IF(DW60&gt;$CR60,$CR60,DW60)</f>
        <v>0</v>
      </c>
      <c r="EC60" s="435">
        <f ca="1">IF(DV60&gt;$CR60,$CR60,DV60)</f>
        <v>0</v>
      </c>
      <c r="ED60" s="435">
        <f ca="1">EC60*F60</f>
        <v>0</v>
      </c>
      <c r="EE60" s="436">
        <f ca="1">IF(DX60&gt;$CR60,$CR60,DX60)</f>
        <v>0</v>
      </c>
      <c r="EF60" s="437">
        <f ca="1">EE60*F60</f>
        <v>0</v>
      </c>
      <c r="EG60" s="613" t="str">
        <f>IF(D60=BG$12,BG$12,"")</f>
        <v/>
      </c>
      <c r="EH60" s="614" t="str">
        <f>IF(D60=BG$13,BG$13,"")</f>
        <v/>
      </c>
      <c r="EI60" s="611">
        <f>IF(EG60=BG$12,M60,0)</f>
        <v>0</v>
      </c>
      <c r="EJ60" s="451">
        <f>IF(EG60=BG$12,O60,0)</f>
        <v>0</v>
      </c>
      <c r="EK60" s="451">
        <f>IF(EH60=BG$13,M60,0)</f>
        <v>0</v>
      </c>
      <c r="EL60" s="612">
        <f>IF(EH60=BG$13,O60,0)</f>
        <v>0</v>
      </c>
      <c r="EM60" s="426" t="str">
        <f ca="1">IF(AND(Z60&lt;&gt;"t",Z60&lt;&gt;"f"),"",IF(AND(EN60=$BH$13,K60=$BH$12),"NotOpt",IF(K60&lt;&gt;EN60,"Error","")))</f>
        <v/>
      </c>
      <c r="EN60" s="491" t="str">
        <f>IF(AND($BH$28=1,$BG$28=1),$BH$13,$BH$12)</f>
        <v>120 BU's</v>
      </c>
      <c r="EO60" s="426" t="str">
        <f>K60</f>
        <v xml:space="preserve"> </v>
      </c>
      <c r="EP60" s="497">
        <v>1</v>
      </c>
      <c r="EQ60" s="430" t="str">
        <f ca="1">IF(EP60=1," ",OFFSET(BF$15,EP60-2,0,1,1))</f>
        <v xml:space="preserve"> </v>
      </c>
      <c r="ER60" s="439" t="str">
        <f ca="1">IF(H60=0," ",H60)</f>
        <v xml:space="preserve"> </v>
      </c>
      <c r="ES60" s="440" t="str">
        <f ca="1">IF(ER60&lt;&gt;" ",IF(ER60&lt;&gt;ER$7,"Changed",""),"")</f>
        <v/>
      </c>
      <c r="ET60" s="440">
        <f ca="1">IF(ER60&lt;&gt;" ",IF(ER60&lt;&gt;ER$7,1,0),0)</f>
        <v>0</v>
      </c>
      <c r="EU60" s="957" t="str">
        <f ca="1">IF(I60=" "," ",IF(F60&lt;OFFSET($BM$9,CL60-1,0,1,1),1,""))</f>
        <v xml:space="preserve"> </v>
      </c>
      <c r="EW60" s="427"/>
    </row>
    <row r="61" spans="1:153" ht="16.5" customHeight="1" thickBot="1">
      <c r="A61" s="2685"/>
      <c r="B61" s="2686" t="s">
        <v>8</v>
      </c>
      <c r="C61" s="2687"/>
      <c r="D61" s="1461" t="s">
        <v>8</v>
      </c>
      <c r="E61" s="659"/>
      <c r="F61" s="659"/>
      <c r="G61" s="659"/>
      <c r="H61" s="659"/>
      <c r="I61" s="1462"/>
      <c r="J61" s="1365" t="str">
        <f ca="1">(CONCATENATE(B56,$BE$54))</f>
        <v>I  Line:  Min. Requirement=</v>
      </c>
      <c r="K61" s="23"/>
      <c r="L61" s="1019">
        <f ca="1">L$5</f>
        <v>0</v>
      </c>
      <c r="M61" s="48">
        <f ca="1">IF(B56=B50,SUM(M56:M60)+M55,SUM(M56:M60))</f>
        <v>0</v>
      </c>
      <c r="N61" s="1019">
        <f ca="1">N$5</f>
        <v>0</v>
      </c>
      <c r="O61" s="125">
        <f ca="1">IF(B56=B50,SUM(O56:O60)+O55,SUM(O56:O60))</f>
        <v>0</v>
      </c>
      <c r="P61" s="139"/>
      <c r="Q61" s="42" t="str">
        <f ca="1">IF(B56=B62,"",IF(AND(M61&gt;0,L61=L$5,OR(M61&lt;$M$105,M61&lt;$BF$3)),"Achieved &lt; Min Req per Line",IF(AND(O61&gt;0,N61=N$5,OR(O61&lt;$O$105,O61&lt;$BF$3)),"Achieved &lt; Min Req per Line",IF(AND(M61&gt;0,L61&gt;M61),"More Required on this line",IF(AND(O61&gt;0,N61&gt;O61),"More Required on this line",IF(AND(L61&gt;0,L61&lt;$BF$3),$BE$59,IF(AND(N61&gt;0,N61&lt;$BF$3),$BE$59,"")))))))</f>
        <v/>
      </c>
      <c r="R61" s="52"/>
      <c r="S61" s="52"/>
      <c r="T61" s="52"/>
      <c r="U61" s="1378"/>
      <c r="V61" s="52"/>
      <c r="W61" s="9"/>
      <c r="X61" s="9"/>
      <c r="Y61" s="896"/>
      <c r="Z61" s="52"/>
      <c r="AA61" s="51"/>
      <c r="AB61" s="1364"/>
      <c r="AC61"/>
      <c r="AK61" s="63" t="str">
        <f>'Custom Elements'!B22</f>
        <v xml:space="preserve">  </v>
      </c>
      <c r="AL61" s="860" t="str">
        <f>'Custom Elements'!C22</f>
        <v>Custom14</v>
      </c>
      <c r="AM61" s="11">
        <f>'Custom Elements'!D22</f>
        <v>9.9999999999999996E-76</v>
      </c>
      <c r="AN61" s="7">
        <f>'Custom Elements'!E22</f>
        <v>0</v>
      </c>
      <c r="AO61" s="7">
        <f>'Custom Elements'!F22</f>
        <v>0</v>
      </c>
      <c r="AP61" s="762" t="str">
        <f>'Custom Elements'!G22</f>
        <v>B</v>
      </c>
      <c r="AQ61" s="1777" t="str">
        <f>'Custom Elements'!H22</f>
        <v>Single</v>
      </c>
      <c r="AR61" s="1775" t="str">
        <f>'Custom Elements'!I22</f>
        <v>Yes</v>
      </c>
      <c r="AS61" s="442" t="str">
        <f>'Custom Elements'!J22</f>
        <v>Yes</v>
      </c>
      <c r="AT61" s="1598"/>
      <c r="AU61" s="1155"/>
      <c r="AZ61" s="442" t="str">
        <f>IF(AND('Custom Elements'!J22="Yes",'Custom Elements'!I22="Yes"),"T",IF('Custom Elements'!J22="Yes","F",IF('Custom Elements'!I22="Yes","H","E")))</f>
        <v>T</v>
      </c>
      <c r="BD61" s="641"/>
      <c r="BE61" s="2715" t="s">
        <v>861</v>
      </c>
      <c r="BF61" s="2716"/>
      <c r="BG61" s="2716"/>
      <c r="BI61" s="759"/>
      <c r="BJ61" s="897">
        <f t="shared" si="25"/>
        <v>53</v>
      </c>
      <c r="BK61" s="1231"/>
      <c r="BL61" s="1232"/>
      <c r="BM61" s="1205"/>
      <c r="BN61" s="1205"/>
      <c r="BO61" s="1205"/>
      <c r="BP61" s="1205"/>
      <c r="BQ61" s="1233"/>
      <c r="BR61" s="1205"/>
      <c r="BS61" s="1205"/>
      <c r="BT61" s="1205"/>
      <c r="BU61" s="1206"/>
      <c r="BV61" s="1227">
        <v>0</v>
      </c>
      <c r="BW61" s="1228">
        <v>0</v>
      </c>
      <c r="BX61" s="1206"/>
      <c r="CH61" s="970"/>
      <c r="CI61" s="971"/>
      <c r="CJ61" s="759"/>
      <c r="CK61" s="188"/>
      <c r="CL61" s="979"/>
      <c r="CN61" s="497"/>
      <c r="CO61" s="497" t="s">
        <v>8</v>
      </c>
      <c r="CQ61" s="51" t="s">
        <v>8</v>
      </c>
      <c r="CR61" s="51" t="s">
        <v>8</v>
      </c>
      <c r="CS61" s="51" t="s">
        <v>8</v>
      </c>
      <c r="CT61" s="51" t="s">
        <v>8</v>
      </c>
      <c r="CU61" s="51" t="s">
        <v>8</v>
      </c>
      <c r="CV61" s="51" t="s">
        <v>8</v>
      </c>
      <c r="CW61" s="51" t="s">
        <v>8</v>
      </c>
      <c r="CX61" s="51" t="s">
        <v>8</v>
      </c>
      <c r="CY61" s="51" t="s">
        <v>8</v>
      </c>
      <c r="CZ61" s="51" t="s">
        <v>8</v>
      </c>
      <c r="DA61" s="51" t="s">
        <v>8</v>
      </c>
      <c r="DB61" s="984" t="s">
        <v>8</v>
      </c>
      <c r="DD61" s="758"/>
      <c r="DF61" s="52"/>
      <c r="DG61" s="51"/>
      <c r="DH61" s="51"/>
      <c r="DI61" s="51"/>
      <c r="DJ61" s="51"/>
      <c r="DK61" s="51"/>
      <c r="DL61" s="51" t="s">
        <v>8</v>
      </c>
      <c r="DM61" s="51"/>
      <c r="DN61" s="51" t="s">
        <v>8</v>
      </c>
      <c r="DO61" s="435" t="s">
        <v>8</v>
      </c>
      <c r="DP61" s="435" t="s">
        <v>8</v>
      </c>
      <c r="DQ61" s="868" t="s">
        <v>8</v>
      </c>
      <c r="DR61" s="868" t="s">
        <v>8</v>
      </c>
      <c r="DS61" s="426" t="s">
        <v>8</v>
      </c>
      <c r="DT61" s="451" t="s">
        <v>8</v>
      </c>
      <c r="DU61" s="188" t="s">
        <v>8</v>
      </c>
      <c r="DV61" s="188" t="s">
        <v>8</v>
      </c>
      <c r="DW61" s="188" t="s">
        <v>8</v>
      </c>
      <c r="DX61" s="188" t="s">
        <v>8</v>
      </c>
      <c r="DY61" s="188"/>
      <c r="DZ61" s="188" t="s">
        <v>8</v>
      </c>
      <c r="EA61" s="188"/>
      <c r="EB61" s="188" t="s">
        <v>8</v>
      </c>
      <c r="EC61" s="435" t="s">
        <v>8</v>
      </c>
      <c r="ED61" s="435" t="s">
        <v>8</v>
      </c>
      <c r="EE61" s="868" t="s">
        <v>8</v>
      </c>
      <c r="EF61" s="867" t="s">
        <v>8</v>
      </c>
      <c r="EG61" s="613"/>
      <c r="EH61" s="614"/>
      <c r="EI61" s="613"/>
      <c r="EJ61" s="435"/>
      <c r="EK61" s="451"/>
      <c r="EL61" s="612"/>
      <c r="EN61" s="947"/>
      <c r="ER61" s="441"/>
      <c r="ES61" s="440"/>
      <c r="ET61" s="440"/>
      <c r="EU61" s="957"/>
      <c r="EW61" s="427"/>
    </row>
    <row r="62" spans="1:153" ht="17.100000000000001" customHeight="1" thickBot="1">
      <c r="A62" s="2685"/>
      <c r="B62" s="1369" t="str">
        <f ca="1">S62</f>
        <v>J</v>
      </c>
      <c r="C62" s="684" t="str">
        <f>IF(OR(F62=0,I62="",I62=" ")," ",$V62)</f>
        <v xml:space="preserve"> </v>
      </c>
      <c r="D62" s="1033"/>
      <c r="E62" s="1360"/>
      <c r="F62" s="202"/>
      <c r="G62" s="1416"/>
      <c r="H62" s="199" t="str">
        <f ca="1">IF(OR(F62=0,Z62="E",Z62="f")," ",'Project Demand'!E$35)</f>
        <v xml:space="preserve"> </v>
      </c>
      <c r="I62" s="631" t="str">
        <f>IF($I$6&lt;&gt;$BG$8," ",AB62)</f>
        <v xml:space="preserve"> </v>
      </c>
      <c r="J62" s="43" t="str">
        <f ca="1">IF(OR(I62=" ",I62="")," ",OFFSET($BO$9,CL62-1,0-4,1,1))</f>
        <v xml:space="preserve"> </v>
      </c>
      <c r="K62" s="55" t="str">
        <f>IF(OR(I62=" ",I62="")," ",IF(OR(Z62="e",Z62="h"),"SD",BG$24))</f>
        <v xml:space="preserve"> </v>
      </c>
      <c r="L62" s="49">
        <f ca="1">CW62</f>
        <v>0</v>
      </c>
      <c r="M62" s="49">
        <f ca="1">CY62</f>
        <v>0</v>
      </c>
      <c r="N62" s="50">
        <f t="shared" ref="N62:O66" ca="1" si="30">DA62</f>
        <v>0</v>
      </c>
      <c r="O62" s="126">
        <f t="shared" ca="1" si="30"/>
        <v>0</v>
      </c>
      <c r="P62" s="140"/>
      <c r="Q62" s="752" t="str">
        <f ca="1">IF(AND(OR(Z62="t",Z62="f"),K62=$BH$11),"No Floor!  Change Floor Type",IF(OR(I62=" ",I62="")," ",IF(F62&lt;OFFSET($BM$9,CL62-1,0,1,1),"check L(m)",DE62&amp;IF(AND(DP62&gt;=CY62,DR62&gt;=DB62),IF(AND(ED62&gt;=DP62,EF62&gt;=DR62),CONCATENATE(DS62," will provide same result"),CONCATENATE(CO62," will provide same result")),IF((DP62&gt;=CY62),CONCATENATE(CO62," provides same result in WIND"),IF((DR62&gt;=DB62),CONCATENATE(CO62," provides same result in EQ"),""))))))&amp;IF(ISERROR(FIND("pile",I62,1)),"",IF(INT(F62)&lt;&gt;F62,"Pile!  Use Whole Numbers Only",""))</f>
        <v xml:space="preserve"> </v>
      </c>
      <c r="R62" s="52">
        <f ca="1">IF(T56&lt;&gt;2,(COLUMN(INDIRECT(B56&amp;1))+1),U62)</f>
        <v>10</v>
      </c>
      <c r="S62" s="1372" t="str">
        <f ca="1">SUBSTITUTE(ADDRESS(1,R62,4),"1","")</f>
        <v>J</v>
      </c>
      <c r="T62" s="451">
        <f ca="1">IF(AND(ISTEXT(B62),SUBSTITUTE(SUBSTITUTE(SUBSTITUTE(SUBSTITUTE(SUBSTITUTE(SUBSTITUTE(SUBSTITUTE(SUBSTITUTE(SUBSTITUTE(SUBSTITUTE(SUBSTITUTE(SUBSTITUTE(SUBSTITUTE(SUBSTITUTE(SUBSTITUTE(SUBSTITUTE(SUBSTITUTE(SUBSTITUTE(SUBSTITUTE(SUBSTITUTE(SUBSTITUTE(SUBSTITUTE(SUBSTITUTE(SUBSTITUTE(SUBSTITUTE(SUBSTITUTE(LOWER(B62),"a",),"b",),"c",),"d",),"e",),"f",),"g",),"h",),"i",),"j",),"k",),"l",),"m",),"n",),"o",),"p",),"q",),"r",),"s",),"t",),"u",),"v",),"w",),"x",),"y",),"z",)=""),1,2)</f>
        <v>1</v>
      </c>
      <c r="U62" s="1377">
        <v>10</v>
      </c>
      <c r="V62" s="52" t="str">
        <f ca="1">IF(AND(B$5=$BF$9,OR(I62=BH$16,I62=BH$17))," ",IF(ISNUMBER(B$62),(CONCATENATE(B$62,".",W62)),(CONCATENATE(B$62,W62))))</f>
        <v>J0</v>
      </c>
      <c r="W62" s="9">
        <f ca="1">IF(B56=B62,W60+X62,X62)</f>
        <v>0</v>
      </c>
      <c r="X62" s="9">
        <f>IF(AND(B$5=$BF$9,OR($I62=$BH$16,$I62=$BH$17,$I62=" ",$I62="",$F62=0)),0,IF(OR($I62=" ",$I62="",$F62=0),0,1))</f>
        <v>0</v>
      </c>
      <c r="Y62" s="896">
        <f ca="1">IF(AND(M67&gt;0,B62&lt;&gt;B68),1,0)</f>
        <v>0</v>
      </c>
      <c r="Z62" s="52" t="str">
        <f ca="1">IF(I62=" "," ",OFFSET($BM$9,$CL62-1,8,1,1))</f>
        <v xml:space="preserve"> </v>
      </c>
      <c r="AA62" s="51" t="str">
        <f>IF(G62&gt;=45,"WA","")</f>
        <v/>
      </c>
      <c r="AB62" s="1364" t="str">
        <f>IF(F62&lt;&gt;"",IF(OR(D62=$BG$12,D62=$BG$13),IF(E62&lt;&gt;$BG$17,$BF$12,$BF$13),IF(E62&lt;&gt;$BG$17,$BF$12,$BF$13))," ")</f>
        <v xml:space="preserve"> </v>
      </c>
      <c r="AC62" s="1"/>
      <c r="AK62" s="63" t="str">
        <f>'Custom Elements'!B23</f>
        <v xml:space="preserve">  </v>
      </c>
      <c r="AL62" s="860" t="str">
        <f>'Custom Elements'!C23</f>
        <v>Custom15</v>
      </c>
      <c r="AM62" s="11">
        <f>'Custom Elements'!D23</f>
        <v>9.9999999999999996E-76</v>
      </c>
      <c r="AN62" s="7">
        <f>'Custom Elements'!E23</f>
        <v>0</v>
      </c>
      <c r="AO62" s="7">
        <f>'Custom Elements'!F23</f>
        <v>0</v>
      </c>
      <c r="AP62" s="762" t="str">
        <f>'Custom Elements'!G23</f>
        <v>B</v>
      </c>
      <c r="AQ62" s="1777" t="str">
        <f>'Custom Elements'!H23</f>
        <v>Single</v>
      </c>
      <c r="AR62" s="1775" t="str">
        <f>'Custom Elements'!I23</f>
        <v>Yes</v>
      </c>
      <c r="AS62" s="442" t="str">
        <f>'Custom Elements'!J23</f>
        <v>Yes</v>
      </c>
      <c r="AT62" s="1598"/>
      <c r="AU62" s="1155"/>
      <c r="AZ62" s="442" t="str">
        <f>IF(AND('Custom Elements'!J23="Yes",'Custom Elements'!I23="Yes"),"T",IF('Custom Elements'!J23="Yes","F",IF('Custom Elements'!I23="Yes","H","E")))</f>
        <v>T</v>
      </c>
      <c r="BD62" s="641"/>
      <c r="BE62" s="2715" t="s">
        <v>905</v>
      </c>
      <c r="BF62" s="2716"/>
      <c r="BG62" s="2716"/>
      <c r="BI62" s="759"/>
      <c r="BJ62" s="897">
        <f t="shared" si="25"/>
        <v>54</v>
      </c>
      <c r="BK62" s="768" t="str">
        <f>BK56</f>
        <v xml:space="preserve">EPB </v>
      </c>
      <c r="BL62" s="765" t="str">
        <f>Table!O4</f>
        <v>ES-H</v>
      </c>
      <c r="BM62" s="454">
        <f>Table!P4</f>
        <v>0.4</v>
      </c>
      <c r="BN62" s="454">
        <f>BM63</f>
        <v>0.6</v>
      </c>
      <c r="BO62" s="454">
        <f>Table!Q4</f>
        <v>75</v>
      </c>
      <c r="BP62" s="924">
        <f>Table!R4</f>
        <v>75</v>
      </c>
      <c r="BQ62" s="920"/>
      <c r="BR62" s="768" t="str">
        <f>Table!S4</f>
        <v>ES-N</v>
      </c>
      <c r="BS62" s="454" t="str">
        <f>Table!S5</f>
        <v>ES-N</v>
      </c>
      <c r="BT62" s="454" t="str">
        <f>Table!T4</f>
        <v>B</v>
      </c>
      <c r="BU62" s="924" t="s">
        <v>242</v>
      </c>
      <c r="BV62" s="1230" t="str">
        <f>Table!AI74</f>
        <v>ES-H</v>
      </c>
      <c r="BW62" s="1229">
        <f>BJ62</f>
        <v>54</v>
      </c>
      <c r="BX62" s="924" t="str">
        <f>Table!T5</f>
        <v>Single</v>
      </c>
      <c r="CH62" s="768">
        <f>IF(BN62=999,0,(BO63-BO62)/(BN62-BM62))</f>
        <v>100.00000000000003</v>
      </c>
      <c r="CI62" s="924">
        <f>IF(BN62=999,0,(BP63-BP62)/(BN62-BM62))</f>
        <v>25.000000000000007</v>
      </c>
      <c r="CJ62" s="759"/>
      <c r="CK62" s="188"/>
      <c r="CL62" s="979">
        <f>VLOOKUP(I62,Prodlink,2,0)</f>
        <v>0</v>
      </c>
      <c r="CN62" s="497">
        <f ca="1">VLOOKUP(CO62,Prodlink,2,0)</f>
        <v>0</v>
      </c>
      <c r="CO62" s="497">
        <f ca="1">OFFSET($CH$9,CL62-1,-15,1,1)</f>
        <v>0</v>
      </c>
      <c r="CQ62" s="51">
        <v>0</v>
      </c>
      <c r="CR62" s="51">
        <f>IF(K62=$BH$12,$BH$23,IF(K62=$BH$13,$BH$24,10000))</f>
        <v>10000</v>
      </c>
      <c r="CS62" s="51">
        <f ca="1">IF(F62&lt;OFFSET($BM$9,CL62-1,0,1,1),0,IF(F62&lt;OFFSET($BN$9,CL62-1,0,1,1),((F62-OFFSET($BM$9,CL62-1,0,1,1))*OFFSET($CH$9,CL62-1,0,1,1))+OFFSET($BO$9,CL62-1,CQ62,1,1),IF(F62&lt;OFFSET($BN$9,CL62+0,0,1,1),((F62-OFFSET($BM$9,CL62+0,0,1,1))*OFFSET($CH$9,CL62+0,0,1,1))+OFFSET($BO$9,CL62+0,CQ62,1,1),IF(F62&lt;OFFSET($BN$9,CL62+1,0,1,1),((F62-OFFSET($BM$9,CL62+1,0,1,1))*OFFSET($CH$9,CL62+1,0,1,1))+OFFSET($BO$9,CL62+1,CQ62,1,1),IF(F62&lt;OFFSET($BN$9,CL62+2,0,1,1),((F62-OFFSET($BM$9,CL62+2,0,1,1))*OFFSET($CH$9,CL62+2,0,1,1))+OFFSET($BO$9,CL62+2,CQ62,1,1),IF(F62&lt;OFFSET($BN$9,CL62+3,0,1,1),((F62-OFFSET($BM$9,CL62+3,0,1,1))*OFFSET($CH$9,CL62+3,0,1,1))+OFFSET($BO$9,CL62+3,CQ62,1,1),0))))))</f>
        <v>0</v>
      </c>
      <c r="CT62" s="51">
        <f ca="1">IF($F62&lt;OFFSET($BM$9,$CL62-1,0,1,1),0,IF($F62&lt;OFFSET($BN$9,$CL62-1,0,1,1),IF(AND($H62&gt;2.4,Z62&lt;&gt;"e",Z62&lt;&gt;"f"),CX62*2.4/$H62,CX62),IF($F62&lt;OFFSET($BN$9,$CL62+0,0,1,1),IF(AND($H62&gt;2.4,Z62&lt;&gt;"e",Z62&lt;&gt;"f"),CX62*2.4/$H62,CX62),IF($F62&lt;OFFSET($BN$9,$CL62+1,0,1,1),IF(AND($H62&gt;2.4,Z62&lt;&gt;"e",Z62&lt;&gt;"f"),CX62*2.4/$H62,CX62),IF($F62&lt;OFFSET($BN$9,CL62+2,0,1,1),IF(AND($H62&gt;2.4,Z62&lt;&gt;"e",Z62&lt;&gt;"f"),CX62*2.4/$H62,CX62),IF($F62&lt;OFFSET($BN$9,CL62+3,0,1,1),IF(AND($H62&gt;2.4,Z62&lt;&gt;"e",Z62&lt;&gt;"f"),CX62*2.4/$H62,CX62),0)))))*COS(RADIANS($G62)))</f>
        <v>0</v>
      </c>
      <c r="CU62" s="51">
        <f ca="1">IF(F62&lt;OFFSET($BM$9,CL62-1,0,1,1),0,IF(F62&lt;OFFSET($BN$9,CL62-1,0,1,1),((F62-OFFSET($BM$9,CL62-1,0,1,1))*OFFSET($CI$9,CL62-1,0,1,1))+OFFSET($BP$9,CL62-1,CQ62,1,1),IF(F62&lt;OFFSET($BN$9,CL62+0,0,1,1),((F62-OFFSET($BM$9,CL62+0,0,1,1))*OFFSET($CI$9,CL62+0,0,1,1))+OFFSET($BP$9,CL62+0,CQ62,1,1),IF(F62&lt;OFFSET($BN$9,CL62+1,0,1,1),((F62-OFFSET($BM$9,CL62+1,0,1,1))*OFFSET($CI$9,CL62+1,0,1,1))+OFFSET($BP$9,CL62+1,CQ62,1,1),IF(F62&lt;OFFSET($BN$9,CL62+2,0,1,1),((F62-OFFSET($BM$9,CL62+2,0,1,1))*OFFSET($CI$9,CL62+2,0,1,1))+OFFSET($BP$9,CL62+2,CQ62,1,1),IF(F62&lt;OFFSET($BN$9,CL62+3,0,1,1),((F62-OFFSET($BM$9,CL62+3,0,1,1))*OFFSET($CI$9,CL62+3,0,1,1))+OFFSET($BP$9,CL62+3,CQ62,1,1),0))))))</f>
        <v>0</v>
      </c>
      <c r="CV62" s="51">
        <f ca="1">IF($F62&lt;OFFSET($BM$9,$CL62-1,0,1,1),0,IF($F62&lt;OFFSET($BN$9,$CL62-1,0,1,1),IF(AND($H62&gt;2.4,Z62&lt;&gt;"e",Z62&lt;&gt;"f"),CZ62*2.4/$H62,CZ62),IF($F62&lt;OFFSET($BN$9,$CL62+0,0,1,1),IF(AND($H62&gt;2.4,Z62&lt;&gt;"e",Z62&lt;&gt;"f"),CZ62*2.4/$H62,CZ62),IF($F62&lt;OFFSET($BN$9,$CL62+1,0,1,1),IF(AND($H62&gt;2.4,Z62&lt;&gt;"e",Z62&lt;&gt;"f"),CZ62*2.4/$H62,CZ62),IF($F62&lt;OFFSET($BN$9,$CL62+2,0,1,1),IF(AND($H62&gt;2.4,Z62&lt;&gt;"e",Z62&lt;&gt;"f"),CZ62*2.4/$H62,CZ62),IF($F62&lt;OFFSET($BN$9,$CL62+3,0,1,1),IF(AND($H62&gt;2.4,Z62&lt;&gt;"e",Z62&lt;&gt;"f"),CZ62*2.4/$H62,CZ62),0)))))*COS(RADIANS($G62)))</f>
        <v>0</v>
      </c>
      <c r="CW62" s="51">
        <f ca="1">IF(CT62&gt;CR62,CR62,CT62)</f>
        <v>0</v>
      </c>
      <c r="CX62" s="51">
        <f ca="1">IF(CS62&gt;$CR62,$CR62,CS62)</f>
        <v>0</v>
      </c>
      <c r="CY62" s="51">
        <f ca="1">CW62*F62</f>
        <v>0</v>
      </c>
      <c r="CZ62" s="51">
        <f ca="1">IF($CU62&gt;$CR62,$CR62,$CU62)</f>
        <v>0</v>
      </c>
      <c r="DA62" s="51">
        <f ca="1">IF(CV62&gt;CR62,CR62,CV62)</f>
        <v>0</v>
      </c>
      <c r="DB62" s="984">
        <f ca="1">DA62*F62</f>
        <v>0</v>
      </c>
      <c r="DC62" s="993">
        <v>1</v>
      </c>
      <c r="DD62" s="758" t="str">
        <f>IF(OR(D62=BG$12,D62=BG$13),"External",IF(D62=BG$14,"Internal"," "))</f>
        <v xml:space="preserve"> </v>
      </c>
      <c r="DE62" s="51" t="str">
        <f t="shared" ca="1" si="1"/>
        <v/>
      </c>
      <c r="DF62" s="52" t="str">
        <f t="shared" ca="1" si="2"/>
        <v xml:space="preserve"> </v>
      </c>
      <c r="DG62" s="51">
        <f ca="1">IF(F62&lt;OFFSET($BM$9,CN62-1,0,1,1),0,IF(F62&lt;OFFSET($BN$9,CN62-1,0,1,1),((F62-OFFSET($BM$9,CN62-1,0,1,1))*OFFSET($CH$9,CN62-1,0,1,1))+OFFSET($BO$9,CN62-1,CQ62,1,1),IF(F62&lt;OFFSET($BN$9,CN62+0,0,1,1),((F62-OFFSET($BM$9,CN62+0,0,1,1))*OFFSET($CH$9,CN62+0,0,1,1))+OFFSET($BO$9,CN62+0,CQ62,1,1),IF(F62&lt;OFFSET($BN$9,CN62+1,0,1,1),((F62-OFFSET($BM$9,CN62+1,0,1,1))*OFFSET($CH$9,CN62+1,0,1,1))+OFFSET($BO$9,CN62+1,CQ62,1,1),IF(F62&lt;OFFSET($BN$9,CN62+2,0,1,1),((F62-OFFSET($BM$9,CN62+2,0,1,1))*OFFSET($CH$9,CN62+2,0,1,1))+OFFSET($BO$9,CN62+2,CQ62,1,1),IF(F62&lt;OFFSET($BN$9,CN62+3,0,1,1),((F62-OFFSET($BM$9,CN62+3,0,1,1))*OFFSET($CH$9,CN62+3,0,1,1))+OFFSET($BO$9,CN62+3,CQ62,1,1),0))))))</f>
        <v>0</v>
      </c>
      <c r="DH62" s="51">
        <f ca="1">IF($F62&lt;OFFSET($BM$9,$CN62-1,0,1,1),0,IF($F62&lt;OFFSET($BN$9,$CN62-1,0,1,1),IF(AND($H62&gt;2.4,Z62&lt;&gt;"e",Z62&lt;&gt;"f"),DL62*2.4/$H62,DL62),IF($F62&lt;OFFSET($BN$9,$CN62+0,0,1,1),IF(AND($H62&gt;2.4,Z62&lt;&gt;"e",Z62&lt;&gt;"f"),DL62*2.4/$H62,DL62),IF($F62&lt;OFFSET($BN$9,$CN62+1,0,1,1),IF(AND($H62&gt;2.4,Z62&lt;&gt;"e",Z62&lt;&gt;"f"),DL62*2.4/$H62,DL62),IF($F62&lt;OFFSET($BN$9,$CN62+2,0,1,1),IF(AND($H62&gt;2.4,Z62&lt;&gt;"e",Z62&lt;&gt;"f"),DL62*2.4/$H62,DL62),IF($F62&lt;OFFSET($BN$9,$CN62+3,0,1,1),IF(AND($H62&gt;2.4,Z62&lt;&gt;"e",Z62&lt;&gt;"f"),DL62*2.4/$H62,DL62),0)))))*COS(RADIANS($G62)))</f>
        <v>0</v>
      </c>
      <c r="DI62" s="51">
        <f ca="1">IF(F62&lt;OFFSET($BM$9,CN62-1,0,1,1),0,IF(F62&lt;OFFSET($BN$9,CN62-1,0,1,1),((F62-OFFSET($BM$9,CN62-1,0,1,1))*OFFSET($CI$9,CN62-1,0,1,1))+OFFSET($BP$9,CN62-1,CQ62,1,1),IF(F62&lt;OFFSET($BN$9,CN62+0,0,1,1),((F62-OFFSET($BM$9,CN62+0,0,1,1))*OFFSET($CI$9,CN62+0,0,1,1))+OFFSET($BP$9,CN62+0,CQ62,1,1),IF(F62&lt;OFFSET($BN$9,CN62+1,0,1,1),((F62-OFFSET($BM$9,CN62+1,0,1,1))*OFFSET($CI$9,CN62+1,0,1,1))+OFFSET($BP$9,CN62+1,CQ62,1,1),IF(F62&lt;OFFSET($BN$9,CN62+2,0,1,1),((F62-OFFSET($BM$9,CN62+2,0,1,1))*OFFSET($CI$9,CN62+2,0,1,1))+OFFSET($BP$9,CN62+2,CQ62,1,1),IF(F62&lt;OFFSET($BN$9,CN62+3,0,1,1),((F62-OFFSET($BM$9,CN62+3,0,1,1))*OFFSET($CI$9,CN62+3,0,1,1))+OFFSET($BP$9,CN62+3,CQ62,1,1),0))))))</f>
        <v>0</v>
      </c>
      <c r="DJ62" s="51">
        <f ca="1">IF($F62&lt;OFFSET($BM$9,$CN62-1,0,1,1),0,IF($F62&lt;OFFSET($BN$9,$CN62-1,0,1,1),IF(AND($H62&gt;2.4,Z62&lt;&gt;"e",Z62&lt;&gt;"f"),DN62*2.4/$H62,DN62),IF($F62&lt;OFFSET($BN$9,$CN62+0,0,1,1),IF(AND($H62&gt;2.4,Z62&lt;&gt;"e",Z62&lt;&gt;"f"),DN62*2.4/$H62,DN62),IF($F62&lt;OFFSET($BN$9,$CN62+1,0,1,1),IF(AND($H62&gt;2.4,Z62&lt;&gt;"e",Z62&lt;&gt;"f"),DN62*2.4/$H62,DN62),IF($F62&lt;OFFSET($BN$9,$CN62+2,0,1,1),IF(AND($H62&gt;2.4,Z62&lt;&gt;"e",Z62&lt;&gt;"f"),DN62*2.4/$H62,DN62),IF($F62&lt;OFFSET($BN$9,$CN62+3,0,1,1),IF(AND($H62&gt;2.4,Z62&lt;&gt;"e",Z62&lt;&gt;"f"),DN62*2.4/$H62,DN62),0)))))*COS(RADIANS($G62)))</f>
        <v>0</v>
      </c>
      <c r="DK62" s="51"/>
      <c r="DL62" s="51">
        <f ca="1">IF(DG62&gt;$CR62,$CR62,DG62)</f>
        <v>0</v>
      </c>
      <c r="DM62" s="51"/>
      <c r="DN62" s="51">
        <f ca="1">IF(DI62&gt;$CR62,$CR62,DI62)</f>
        <v>0</v>
      </c>
      <c r="DO62" s="435">
        <f ca="1">IF(DH62&gt;$CR62,$CR62,DH62)</f>
        <v>0</v>
      </c>
      <c r="DP62" s="435">
        <f ca="1">DO62*F62</f>
        <v>0</v>
      </c>
      <c r="DQ62" s="436">
        <f ca="1">IF(DJ62&gt;$CR62,$CR62,DJ62)</f>
        <v>0</v>
      </c>
      <c r="DR62" s="437">
        <f ca="1">DQ62*F62</f>
        <v>0</v>
      </c>
      <c r="DS62" s="426">
        <f ca="1">OFFSET($CH$9,CL62-1,-15,1,1)</f>
        <v>0</v>
      </c>
      <c r="DT62" s="451">
        <f ca="1">VLOOKUP(DS62,Prodlink,2,0)</f>
        <v>0</v>
      </c>
      <c r="DU62" s="188">
        <f ca="1">IF(F62&lt;OFFSET($BM$9,DT62-1,0,1,1),0,IF(F62&lt;OFFSET($BN$9,DT62-1,0,1,1),((F62-OFFSET($BM$9,DT62-1,0,1,1))*OFFSET($CH$9,DT62-1,0,1,1))+OFFSET($BO$9,DT62-1,CQ62,1,1),IF(F62&lt;OFFSET($BN$9,DT62+0,0,1,1),((F62-OFFSET($BM$9,DT62+0,0,1,1))*OFFSET($CH$9,DT62+0,0,1,1))+OFFSET($BO$9,DT62+0,CQ62,1,1),IF(F62&lt;OFFSET($BN$9,DT62+1,0,1,1),((F62-OFFSET($BM$9,DT62+1,0,1,1))*OFFSET($CH$9,DT62+1,0,1,1))+OFFSET($BO$9,DT62+1,CQ62,1,1),IF(F62&lt;OFFSET($BN$9,DT62+2,0,1,1),((F62-OFFSET($BM$9,DT62+2,0,1,1))*OFFSET($CH$9,DT62+2,0,1,1))+OFFSET($BO$9,DT62+2,CQ62,1,1),IF(F62&lt;OFFSET($BN$9,DT62+3,0,1,1),((F62-OFFSET($BM$9,DT62+3,0,1,1))*OFFSET($CH$9,DT62+3,0,1,1))+OFFSET($BO$9,DT62+3,CQ62,1,1),0))))))</f>
        <v>0</v>
      </c>
      <c r="DV62" s="51">
        <f ca="1">IF($F62&lt;OFFSET($BM$9,$DT62-1,0,1,1),0,IF($F62&lt;OFFSET($BN$9,$DT62-1,0,1,1),IF(AND($H62&gt;2.4,Z62&lt;&gt;"e",Z62&lt;&gt;"f"),DZ62*2.4/$H62,DZ62),IF($F62&lt;OFFSET($BN$9,$DT62+0,0,1,1),IF(AND($H62&gt;2.4,Z62&lt;&gt;"e",Z62&lt;&gt;"f"),DZ62*2.4/$H62,DZ62),IF($F62&lt;OFFSET($BN$9,$DT62+1,0,1,1),IF(AND($H62&gt;2.4,Z62&lt;&gt;"e",Z62&lt;&gt;"f"),DZ62*2.4/$H62,DZ62),IF($F62&lt;OFFSET($BN$9,$DT62+2,0,1,1),IF(AND($H62&gt;2.4,Z62&lt;&gt;"e",Z62&lt;&gt;"f"),DZ62*2.4/$H62,DZ62),IF($F62&lt;OFFSET($BN$9,$DT62+3,0,1,1),IF(AND($H62&gt;2.4,Z62&lt;&gt;"e",Z62&lt;&gt;"f"),DZ62*2.4/$H62,DZ62),0)))))*COS(RADIANS($G62)))</f>
        <v>0</v>
      </c>
      <c r="DW62" s="188">
        <f ca="1">IF(F62&lt;OFFSET($BM$9,DT62-1,0,1,1),0,IF(F62&lt;OFFSET($BN$9,DT62-1,0,1,1),((F62-OFFSET($BM$9,DT62-1,0,1,1))*OFFSET($CI$9,DT62-1,0,1,1))+OFFSET($BP$9,DT62-1,CQ62,1,1),IF(F62&lt;OFFSET($BN$9,DT62+0,0,1,1),((F62-OFFSET($BM$9,DT62+0,0,1,1))*OFFSET($CI$9,DT62+0,0,1,1))+OFFSET($BP$9,DT62+0,CQ62,1,1),IF(F62&lt;OFFSET($BN$9,DT62+1,0,1,1),((F62-OFFSET($BM$9,DT62+1,0,1,1))*OFFSET($CI$9,DT62+1,0,1,1))+OFFSET($BP$9,DT62+1,CQ62,1,1),IF(F62&lt;OFFSET($BN$9,DT62+2,0,1,1),((F62-OFFSET($BM$9,DT62+2,0,1,1))*OFFSET($CI$9,DT62+2,0,1,1))+OFFSET($BP$9,DT62+2,CQ62,1,1),IF(F62&lt;OFFSET($BN$9,DT62+3,0,1,1),((F62-OFFSET($BM$9,DT62+3,0,1,1))*OFFSET($CI$9,DT62+3,0,1,1))+OFFSET($BP$9,DT62+3,CQ62,1,1),0))))))</f>
        <v>0</v>
      </c>
      <c r="DX62" s="51">
        <f ca="1">IF($F62&lt;OFFSET($BM$9,$DT62-1,0,1,1),0,IF($F62&lt;OFFSET($BN$9,$DT62-1,0,1,1),IF(AND($H62&gt;2.4,Z62&lt;&gt;"e",Z62&lt;&gt;"f"),EB62*2.4/$H62,EB62),IF($F62&lt;OFFSET($BN$9,$DT62+0,0,1,1),IF(AND($H62&gt;2.4,Z62&lt;&gt;"e",Z62&lt;&gt;"f"),EB62*2.4/$H62,EB62),IF($F62&lt;OFFSET($BN$9,$DT62+1,0,1,1),IF(AND($H62&gt;2.4,Z62&lt;&gt;"e",Z62&lt;&gt;"f"),EB62*2.4/$H62,EB62),IF($F62&lt;OFFSET($BN$9,$DT62+2,0,1,1),IF(AND($H62&gt;2.4,Z62&lt;&gt;"e",Z62&lt;&gt;"f"),EB62*2.4/$H62,EB62),IF($F62&lt;OFFSET($BN$9,$DT62+3,0,1,1),IF(AND($H62&gt;2.4,Z62&lt;&gt;"e",Z62&lt;&gt;"f"),EB62*2.4/$H62,EB62),0)))))*COS(RADIANS($G62)))</f>
        <v>0</v>
      </c>
      <c r="DY62" s="188"/>
      <c r="DZ62" s="188">
        <f ca="1">IF(DU62&gt;$CR62,$CR62,DU62)</f>
        <v>0</v>
      </c>
      <c r="EA62" s="188"/>
      <c r="EB62" s="188">
        <f ca="1">IF(DW62&gt;$CR62,$CR62,DW62)</f>
        <v>0</v>
      </c>
      <c r="EC62" s="435">
        <f ca="1">IF(DV62&gt;$CR62,$CR62,DV62)</f>
        <v>0</v>
      </c>
      <c r="ED62" s="435">
        <f ca="1">EC62*F62</f>
        <v>0</v>
      </c>
      <c r="EE62" s="436">
        <f ca="1">IF(DX62&gt;$CR62,$CR62,DX62)</f>
        <v>0</v>
      </c>
      <c r="EF62" s="437">
        <f ca="1">EE62*F62</f>
        <v>0</v>
      </c>
      <c r="EG62" s="613" t="str">
        <f>IF(D62=BG$12,BG$12,"")</f>
        <v/>
      </c>
      <c r="EH62" s="614" t="str">
        <f>IF(D62=BG$13,BG$13,"")</f>
        <v/>
      </c>
      <c r="EI62" s="611">
        <f>IF(EG62=BG$12,M62,0)</f>
        <v>0</v>
      </c>
      <c r="EJ62" s="451">
        <f>IF(EG62=BG$12,O62,0)</f>
        <v>0</v>
      </c>
      <c r="EK62" s="451">
        <f>IF(EH62=BG$13,M62,0)</f>
        <v>0</v>
      </c>
      <c r="EL62" s="612">
        <f>IF(EH62=BG$13,O62,0)</f>
        <v>0</v>
      </c>
      <c r="EM62" s="426" t="str">
        <f ca="1">IF(AND(Z62&lt;&gt;"t",Z62&lt;&gt;"f"),"",IF(AND(EN62=$BH$13,K62=$BH$12),"NotOpt",IF(K62&lt;&gt;EN62,"Error","")))</f>
        <v/>
      </c>
      <c r="EN62" s="491" t="str">
        <f>IF(AND($BH$28=1,$BG$28=1),$BH$13,$BH$12)</f>
        <v>120 BU's</v>
      </c>
      <c r="EO62" s="426" t="str">
        <f>K62</f>
        <v xml:space="preserve"> </v>
      </c>
      <c r="EP62" s="497">
        <v>1</v>
      </c>
      <c r="EQ62" s="430" t="str">
        <f ca="1">IF(EP62=1," ",OFFSET(BF$15,EP62-2,0,1,1))</f>
        <v xml:space="preserve"> </v>
      </c>
      <c r="ER62" s="439" t="str">
        <f ca="1">IF(H62=0," ",H62)</f>
        <v xml:space="preserve"> </v>
      </c>
      <c r="ES62" s="440" t="str">
        <f ca="1">IF(ER62&lt;&gt;" ",IF(ER62&lt;&gt;ER$7,"Changed",""),"")</f>
        <v/>
      </c>
      <c r="ET62" s="440">
        <f ca="1">IF(ER62&lt;&gt;" ",IF(ER62&lt;&gt;ER$7,1,0),0)</f>
        <v>0</v>
      </c>
      <c r="EU62" s="957" t="str">
        <f ca="1">IF(I62=" "," ",IF(F62&lt;OFFSET($BM$9,CL62-1,0,1,1),1,""))</f>
        <v xml:space="preserve"> </v>
      </c>
      <c r="EW62" s="427"/>
    </row>
    <row r="63" spans="1:153" ht="17.100000000000001" customHeight="1">
      <c r="A63" s="2685"/>
      <c r="B63" s="689" t="s">
        <v>246</v>
      </c>
      <c r="C63" s="684" t="str">
        <f>IF(OR(F63=0,I63="",I63=" ")," ",$V63)</f>
        <v xml:space="preserve"> </v>
      </c>
      <c r="D63" s="1033"/>
      <c r="E63" s="1360" t="s">
        <v>8</v>
      </c>
      <c r="F63" s="202"/>
      <c r="G63" s="1416"/>
      <c r="H63" s="199" t="str">
        <f ca="1">IF(OR(F63=0,Z63="E",Z63="f")," ",'Project Demand'!E$35)</f>
        <v xml:space="preserve"> </v>
      </c>
      <c r="I63" s="631" t="str">
        <f>IF($I$6&lt;&gt;$BG$8," ",AB63)</f>
        <v xml:space="preserve"> </v>
      </c>
      <c r="J63" s="44" t="str">
        <f ca="1">IF(OR(I63=" ",I63="")," ",OFFSET($BO$9,CL63-1,0-4,1,1))</f>
        <v xml:space="preserve"> </v>
      </c>
      <c r="K63" s="55" t="str">
        <f>IF(OR(I63=" ",I63="")," ",IF(OR(Z63="e",Z63="h"),"SD",BG$24))</f>
        <v xml:space="preserve"> </v>
      </c>
      <c r="L63" s="49">
        <f ca="1">CW63</f>
        <v>0</v>
      </c>
      <c r="M63" s="49">
        <f ca="1">CY63</f>
        <v>0</v>
      </c>
      <c r="N63" s="50">
        <f t="shared" ca="1" si="30"/>
        <v>0</v>
      </c>
      <c r="O63" s="126">
        <f t="shared" ca="1" si="30"/>
        <v>0</v>
      </c>
      <c r="P63" s="140"/>
      <c r="Q63" s="752" t="str">
        <f ca="1">IF(AND(OR(Z63="t",Z63="f"),K63=$BH$11),"No Floor!  Change Floor Type",IF(OR(I63=" ",I63="")," ",IF(F63&lt;OFFSET($BM$9,CL63-1,0,1,1),"check L(m)",DE63&amp;IF(AND(DP63&gt;=CY63,DR63&gt;=DB63),IF(AND(ED63&gt;=DP63,EF63&gt;=DR63),CONCATENATE(DS63," will provide same result"),CONCATENATE(CO63," will provide same result")),IF((DP63&gt;=CY63),CONCATENATE(CO63," provides same result in WIND"),IF((DR63&gt;=DB63),CONCATENATE(CO63," provides same result in EQ"),""))))))&amp;IF(ISERROR(FIND("pile",I63,1)),"",IF(INT(F63)&lt;&gt;F63,"Pile!  Use Whole Numbers Only",""))</f>
        <v xml:space="preserve"> </v>
      </c>
      <c r="R63" s="52"/>
      <c r="S63" s="1372"/>
      <c r="T63" s="1372"/>
      <c r="U63" s="1377"/>
      <c r="V63" s="52" t="str">
        <f ca="1">IF(AND(B$5=$BF$9,OR(I63=BH$16,I63=BH$17))," ",IF(ISNUMBER(B$62),(CONCATENATE(B$62,".",W63)),(CONCATENATE(B$62,W63))))</f>
        <v>J0</v>
      </c>
      <c r="W63" s="9">
        <f ca="1">W62+X63</f>
        <v>0</v>
      </c>
      <c r="X63" s="9">
        <f>IF(AND(B$5=$BF$9,OR($I63=$BH$16,$I63=$BH$17,$I63=" ",$I63="",$F63=0)),0,IF(OR($I63=" ",$I63="",$F63=0),0,1))</f>
        <v>0</v>
      </c>
      <c r="Y63" s="896"/>
      <c r="Z63" s="52" t="str">
        <f ca="1">IF(I63=" "," ",OFFSET($BM$9,$CL63-1,8,1,1))</f>
        <v xml:space="preserve"> </v>
      </c>
      <c r="AA63" s="51" t="str">
        <f>IF(G63&gt;=45,"WA","")</f>
        <v/>
      </c>
      <c r="AB63" s="1364" t="str">
        <f>IF(F63&lt;&gt;"",IF(OR(D63=$BG$12,D63=$BG$13),IF(E63&lt;&gt;$BG$17,$BF$12,$BF$13),IF(E63&lt;&gt;$BG$17,$BF$12,$BF$13))," ")</f>
        <v xml:space="preserve"> </v>
      </c>
      <c r="AC63" s="1"/>
      <c r="AK63" s="63" t="str">
        <f>'Custom Elements'!B24</f>
        <v xml:space="preserve">  </v>
      </c>
      <c r="AL63" s="860" t="str">
        <f>'Custom Elements'!C24</f>
        <v>Custom16</v>
      </c>
      <c r="AM63" s="11">
        <f>'Custom Elements'!D24</f>
        <v>9.9999999999999996E-76</v>
      </c>
      <c r="AN63" s="7">
        <f>'Custom Elements'!E24</f>
        <v>0</v>
      </c>
      <c r="AO63" s="7">
        <f>'Custom Elements'!F24</f>
        <v>0</v>
      </c>
      <c r="AP63" s="762" t="str">
        <f>'Custom Elements'!G24</f>
        <v>B</v>
      </c>
      <c r="AQ63" s="1777" t="str">
        <f>'Custom Elements'!H24</f>
        <v>Single</v>
      </c>
      <c r="AR63" s="1775" t="str">
        <f>'Custom Elements'!I24</f>
        <v>Yes</v>
      </c>
      <c r="AS63" s="442" t="str">
        <f>'Custom Elements'!J24</f>
        <v>Yes</v>
      </c>
      <c r="AT63" s="1598"/>
      <c r="AU63" s="1155"/>
      <c r="AZ63" s="442" t="str">
        <f>IF(AND('Custom Elements'!J24="Yes",'Custom Elements'!I24="Yes"),"T",IF('Custom Elements'!J24="Yes","F",IF('Custom Elements'!I24="Yes","H","E")))</f>
        <v>T</v>
      </c>
      <c r="BD63" s="641"/>
      <c r="BE63" s="1020"/>
      <c r="BF63" s="1021"/>
      <c r="BG63" s="1021"/>
      <c r="BI63" s="759"/>
      <c r="BJ63" s="897">
        <f t="shared" si="25"/>
        <v>55</v>
      </c>
      <c r="BK63" s="764"/>
      <c r="BL63" s="766"/>
      <c r="BM63" s="455">
        <f>Table!P5</f>
        <v>0.6</v>
      </c>
      <c r="BN63" s="455">
        <f>BM64</f>
        <v>0.8</v>
      </c>
      <c r="BO63" s="455">
        <f>Table!Q5</f>
        <v>95</v>
      </c>
      <c r="BP63" s="925">
        <f>Table!R5</f>
        <v>80</v>
      </c>
      <c r="BR63" s="764"/>
      <c r="BS63" s="455"/>
      <c r="BT63" s="455"/>
      <c r="BU63" s="925" t="s">
        <v>242</v>
      </c>
      <c r="BV63" s="895"/>
      <c r="BW63" s="912"/>
      <c r="BX63" s="925" t="str">
        <f>Table!T5</f>
        <v>Single</v>
      </c>
      <c r="CH63" s="764">
        <f>IF(BN63=999,0,(BO64-BO63)/(BN63-BM63))</f>
        <v>0</v>
      </c>
      <c r="CI63" s="925">
        <f>IF(BN63=999,0,(BP64-BP63)/(BN63-BM63))</f>
        <v>14.999999999999995</v>
      </c>
      <c r="CJ63" s="759"/>
      <c r="CK63" s="188"/>
      <c r="CL63" s="979">
        <f>VLOOKUP(I63,Prodlink,2,0)</f>
        <v>0</v>
      </c>
      <c r="CN63" s="497">
        <f ca="1">VLOOKUP(CO63,Prodlink,2,0)</f>
        <v>0</v>
      </c>
      <c r="CO63" s="497">
        <f ca="1">OFFSET($CH$9,CL63-1,-15,1,1)</f>
        <v>0</v>
      </c>
      <c r="CQ63" s="51">
        <v>0</v>
      </c>
      <c r="CR63" s="51">
        <f>IF(K63=$BH$12,$BH$23,IF(K63=$BH$13,$BH$24,10000))</f>
        <v>10000</v>
      </c>
      <c r="CS63" s="51">
        <f ca="1">IF(F63&lt;OFFSET($BM$9,CL63-1,0,1,1),0,IF(F63&lt;OFFSET($BN$9,CL63-1,0,1,1),((F63-OFFSET($BM$9,CL63-1,0,1,1))*OFFSET($CH$9,CL63-1,0,1,1))+OFFSET($BO$9,CL63-1,CQ63,1,1),IF(F63&lt;OFFSET($BN$9,CL63+0,0,1,1),((F63-OFFSET($BM$9,CL63+0,0,1,1))*OFFSET($CH$9,CL63+0,0,1,1))+OFFSET($BO$9,CL63+0,CQ63,1,1),IF(F63&lt;OFFSET($BN$9,CL63+1,0,1,1),((F63-OFFSET($BM$9,CL63+1,0,1,1))*OFFSET($CH$9,CL63+1,0,1,1))+OFFSET($BO$9,CL63+1,CQ63,1,1),IF(F63&lt;OFFSET($BN$9,CL63+2,0,1,1),((F63-OFFSET($BM$9,CL63+2,0,1,1))*OFFSET($CH$9,CL63+2,0,1,1))+OFFSET($BO$9,CL63+2,CQ63,1,1),IF(F63&lt;OFFSET($BN$9,CL63+3,0,1,1),((F63-OFFSET($BM$9,CL63+3,0,1,1))*OFFSET($CH$9,CL63+3,0,1,1))+OFFSET($BO$9,CL63+3,CQ63,1,1),0))))))</f>
        <v>0</v>
      </c>
      <c r="CT63" s="51">
        <f ca="1">IF($F63&lt;OFFSET($BM$9,$CL63-1,0,1,1),0,IF($F63&lt;OFFSET($BN$9,$CL63-1,0,1,1),IF(AND($H63&gt;2.4,Z63&lt;&gt;"e",Z63&lt;&gt;"f"),CX63*2.4/$H63,CX63),IF($F63&lt;OFFSET($BN$9,$CL63+0,0,1,1),IF(AND($H63&gt;2.4,Z63&lt;&gt;"e",Z63&lt;&gt;"f"),CX63*2.4/$H63,CX63),IF($F63&lt;OFFSET($BN$9,$CL63+1,0,1,1),IF(AND($H63&gt;2.4,Z63&lt;&gt;"e",Z63&lt;&gt;"f"),CX63*2.4/$H63,CX63),IF($F63&lt;OFFSET($BN$9,CL63+2,0,1,1),IF(AND($H63&gt;2.4,Z63&lt;&gt;"e",Z63&lt;&gt;"f"),CX63*2.4/$H63,CX63),IF($F63&lt;OFFSET($BN$9,CL63+3,0,1,1),IF(AND($H63&gt;2.4,Z63&lt;&gt;"e",Z63&lt;&gt;"f"),CX63*2.4/$H63,CX63),0)))))*COS(RADIANS($G63)))</f>
        <v>0</v>
      </c>
      <c r="CU63" s="51">
        <f ca="1">IF(F63&lt;OFFSET($BM$9,CL63-1,0,1,1),0,IF(F63&lt;OFFSET($BN$9,CL63-1,0,1,1),((F63-OFFSET($BM$9,CL63-1,0,1,1))*OFFSET($CI$9,CL63-1,0,1,1))+OFFSET($BP$9,CL63-1,CQ63,1,1),IF(F63&lt;OFFSET($BN$9,CL63+0,0,1,1),((F63-OFFSET($BM$9,CL63+0,0,1,1))*OFFSET($CI$9,CL63+0,0,1,1))+OFFSET($BP$9,CL63+0,CQ63,1,1),IF(F63&lt;OFFSET($BN$9,CL63+1,0,1,1),((F63-OFFSET($BM$9,CL63+1,0,1,1))*OFFSET($CI$9,CL63+1,0,1,1))+OFFSET($BP$9,CL63+1,CQ63,1,1),IF(F63&lt;OFFSET($BN$9,CL63+2,0,1,1),((F63-OFFSET($BM$9,CL63+2,0,1,1))*OFFSET($CI$9,CL63+2,0,1,1))+OFFSET($BP$9,CL63+2,CQ63,1,1),IF(F63&lt;OFFSET($BN$9,CL63+3,0,1,1),((F63-OFFSET($BM$9,CL63+3,0,1,1))*OFFSET($CI$9,CL63+3,0,1,1))+OFFSET($BP$9,CL63+3,CQ63,1,1),0))))))</f>
        <v>0</v>
      </c>
      <c r="CV63" s="51">
        <f ca="1">IF($F63&lt;OFFSET($BM$9,$CL63-1,0,1,1),0,IF($F63&lt;OFFSET($BN$9,$CL63-1,0,1,1),IF(AND($H63&gt;2.4,Z63&lt;&gt;"e",Z63&lt;&gt;"f"),CZ63*2.4/$H63,CZ63),IF($F63&lt;OFFSET($BN$9,$CL63+0,0,1,1),IF(AND($H63&gt;2.4,Z63&lt;&gt;"e",Z63&lt;&gt;"f"),CZ63*2.4/$H63,CZ63),IF($F63&lt;OFFSET($BN$9,$CL63+1,0,1,1),IF(AND($H63&gt;2.4,Z63&lt;&gt;"e",Z63&lt;&gt;"f"),CZ63*2.4/$H63,CZ63),IF($F63&lt;OFFSET($BN$9,$CL63+2,0,1,1),IF(AND($H63&gt;2.4,Z63&lt;&gt;"e",Z63&lt;&gt;"f"),CZ63*2.4/$H63,CZ63),IF($F63&lt;OFFSET($BN$9,$CL63+3,0,1,1),IF(AND($H63&gt;2.4,Z63&lt;&gt;"e",Z63&lt;&gt;"f"),CZ63*2.4/$H63,CZ63),0)))))*COS(RADIANS($G63)))</f>
        <v>0</v>
      </c>
      <c r="CW63" s="51">
        <f ca="1">IF(CT63&gt;CR63,CR63,CT63)</f>
        <v>0</v>
      </c>
      <c r="CX63" s="51">
        <f ca="1">IF(CS63&gt;$CR63,$CR63,CS63)</f>
        <v>0</v>
      </c>
      <c r="CY63" s="51">
        <f ca="1">CW63*F63</f>
        <v>0</v>
      </c>
      <c r="CZ63" s="51">
        <f ca="1">IF($CU63&gt;$CR63,$CR63,$CU63)</f>
        <v>0</v>
      </c>
      <c r="DA63" s="51">
        <f ca="1">IF(CV63&gt;CR63,CR63,CV63)</f>
        <v>0</v>
      </c>
      <c r="DB63" s="984">
        <f ca="1">DA63*F63</f>
        <v>0</v>
      </c>
      <c r="DC63" s="993">
        <v>1</v>
      </c>
      <c r="DD63" s="758" t="str">
        <f>IF(OR(D63=BG$12,D63=BG$13),"External",IF(D63=BG$14,"Internal"," "))</f>
        <v xml:space="preserve"> </v>
      </c>
      <c r="DE63" s="51" t="str">
        <f t="shared" ca="1" si="1"/>
        <v/>
      </c>
      <c r="DF63" s="52" t="str">
        <f t="shared" ca="1" si="2"/>
        <v xml:space="preserve"> </v>
      </c>
      <c r="DG63" s="51">
        <f ca="1">IF(F63&lt;OFFSET($BM$9,CN63-1,0,1,1),0,IF(F63&lt;OFFSET($BN$9,CN63-1,0,1,1),((F63-OFFSET($BM$9,CN63-1,0,1,1))*OFFSET($CH$9,CN63-1,0,1,1))+OFFSET($BO$9,CN63-1,CQ63,1,1),IF(F63&lt;OFFSET($BN$9,CN63+0,0,1,1),((F63-OFFSET($BM$9,CN63+0,0,1,1))*OFFSET($CH$9,CN63+0,0,1,1))+OFFSET($BO$9,CN63+0,CQ63,1,1),IF(F63&lt;OFFSET($BN$9,CN63+1,0,1,1),((F63-OFFSET($BM$9,CN63+1,0,1,1))*OFFSET($CH$9,CN63+1,0,1,1))+OFFSET($BO$9,CN63+1,CQ63,1,1),IF(F63&lt;OFFSET($BN$9,CN63+2,0,1,1),((F63-OFFSET($BM$9,CN63+2,0,1,1))*OFFSET($CH$9,CN63+2,0,1,1))+OFFSET($BO$9,CN63+2,CQ63,1,1),IF(F63&lt;OFFSET($BN$9,CN63+3,0,1,1),((F63-OFFSET($BM$9,CN63+3,0,1,1))*OFFSET($CH$9,CN63+3,0,1,1))+OFFSET($BO$9,CN63+3,CQ63,1,1),0))))))</f>
        <v>0</v>
      </c>
      <c r="DH63" s="51">
        <f ca="1">IF($F63&lt;OFFSET($BM$9,$CN63-1,0,1,1),0,IF($F63&lt;OFFSET($BN$9,$CN63-1,0,1,1),IF(AND($H63&gt;2.4,Z63&lt;&gt;"e",Z63&lt;&gt;"f"),DL63*2.4/$H63,DL63),IF($F63&lt;OFFSET($BN$9,$CN63+0,0,1,1),IF(AND($H63&gt;2.4,Z63&lt;&gt;"e",Z63&lt;&gt;"f"),DL63*2.4/$H63,DL63),IF($F63&lt;OFFSET($BN$9,$CN63+1,0,1,1),IF(AND($H63&gt;2.4,Z63&lt;&gt;"e",Z63&lt;&gt;"f"),DL63*2.4/$H63,DL63),IF($F63&lt;OFFSET($BN$9,$CN63+2,0,1,1),IF(AND($H63&gt;2.4,Z63&lt;&gt;"e",Z63&lt;&gt;"f"),DL63*2.4/$H63,DL63),IF($F63&lt;OFFSET($BN$9,$CN63+3,0,1,1),IF(AND($H63&gt;2.4,Z63&lt;&gt;"e",Z63&lt;&gt;"f"),DL63*2.4/$H63,DL63),0)))))*COS(RADIANS($G63)))</f>
        <v>0</v>
      </c>
      <c r="DI63" s="51">
        <f ca="1">IF(F63&lt;OFFSET($BM$9,CN63-1,0,1,1),0,IF(F63&lt;OFFSET($BN$9,CN63-1,0,1,1),((F63-OFFSET($BM$9,CN63-1,0,1,1))*OFFSET($CI$9,CN63-1,0,1,1))+OFFSET($BP$9,CN63-1,CQ63,1,1),IF(F63&lt;OFFSET($BN$9,CN63+0,0,1,1),((F63-OFFSET($BM$9,CN63+0,0,1,1))*OFFSET($CI$9,CN63+0,0,1,1))+OFFSET($BP$9,CN63+0,CQ63,1,1),IF(F63&lt;OFFSET($BN$9,CN63+1,0,1,1),((F63-OFFSET($BM$9,CN63+1,0,1,1))*OFFSET($CI$9,CN63+1,0,1,1))+OFFSET($BP$9,CN63+1,CQ63,1,1),IF(F63&lt;OFFSET($BN$9,CN63+2,0,1,1),((F63-OFFSET($BM$9,CN63+2,0,1,1))*OFFSET($CI$9,CN63+2,0,1,1))+OFFSET($BP$9,CN63+2,CQ63,1,1),IF(F63&lt;OFFSET($BN$9,CN63+3,0,1,1),((F63-OFFSET($BM$9,CN63+3,0,1,1))*OFFSET($CI$9,CN63+3,0,1,1))+OFFSET($BP$9,CN63+3,CQ63,1,1),0))))))</f>
        <v>0</v>
      </c>
      <c r="DJ63" s="51">
        <f ca="1">IF($F63&lt;OFFSET($BM$9,$CN63-1,0,1,1),0,IF($F63&lt;OFFSET($BN$9,$CN63-1,0,1,1),IF(AND($H63&gt;2.4,Z63&lt;&gt;"e",Z63&lt;&gt;"f"),DN63*2.4/$H63,DN63),IF($F63&lt;OFFSET($BN$9,$CN63+0,0,1,1),IF(AND($H63&gt;2.4,Z63&lt;&gt;"e",Z63&lt;&gt;"f"),DN63*2.4/$H63,DN63),IF($F63&lt;OFFSET($BN$9,$CN63+1,0,1,1),IF(AND($H63&gt;2.4,Z63&lt;&gt;"e",Z63&lt;&gt;"f"),DN63*2.4/$H63,DN63),IF($F63&lt;OFFSET($BN$9,$CN63+2,0,1,1),IF(AND($H63&gt;2.4,Z63&lt;&gt;"e",Z63&lt;&gt;"f"),DN63*2.4/$H63,DN63),IF($F63&lt;OFFSET($BN$9,$CN63+3,0,1,1),IF(AND($H63&gt;2.4,Z63&lt;&gt;"e",Z63&lt;&gt;"f"),DN63*2.4/$H63,DN63),0)))))*COS(RADIANS($G63)))</f>
        <v>0</v>
      </c>
      <c r="DK63" s="51"/>
      <c r="DL63" s="51">
        <f ca="1">IF(DG63&gt;$CR63,$CR63,DG63)</f>
        <v>0</v>
      </c>
      <c r="DM63" s="51"/>
      <c r="DN63" s="51">
        <f ca="1">IF(DI63&gt;$CR63,$CR63,DI63)</f>
        <v>0</v>
      </c>
      <c r="DO63" s="435">
        <f ca="1">IF(DH63&gt;$CR63,$CR63,DH63)</f>
        <v>0</v>
      </c>
      <c r="DP63" s="435">
        <f ca="1">DO63*F63</f>
        <v>0</v>
      </c>
      <c r="DQ63" s="436">
        <f ca="1">IF(DJ63&gt;$CR63,$CR63,DJ63)</f>
        <v>0</v>
      </c>
      <c r="DR63" s="437">
        <f ca="1">DQ63*F63</f>
        <v>0</v>
      </c>
      <c r="DS63" s="426">
        <f ca="1">OFFSET($CH$9,CL63-1,-15,1,1)</f>
        <v>0</v>
      </c>
      <c r="DT63" s="451">
        <f ca="1">VLOOKUP(DS63,Prodlink,2,0)</f>
        <v>0</v>
      </c>
      <c r="DU63" s="188">
        <f ca="1">IF(F63&lt;OFFSET($BM$9,DT63-1,0,1,1),0,IF(F63&lt;OFFSET($BN$9,DT63-1,0,1,1),((F63-OFFSET($BM$9,DT63-1,0,1,1))*OFFSET($CH$9,DT63-1,0,1,1))+OFFSET($BO$9,DT63-1,CQ63,1,1),IF(F63&lt;OFFSET($BN$9,DT63+0,0,1,1),((F63-OFFSET($BM$9,DT63+0,0,1,1))*OFFSET($CH$9,DT63+0,0,1,1))+OFFSET($BO$9,DT63+0,CQ63,1,1),IF(F63&lt;OFFSET($BN$9,DT63+1,0,1,1),((F63-OFFSET($BM$9,DT63+1,0,1,1))*OFFSET($CH$9,DT63+1,0,1,1))+OFFSET($BO$9,DT63+1,CQ63,1,1),IF(F63&lt;OFFSET($BN$9,DT63+2,0,1,1),((F63-OFFSET($BM$9,DT63+2,0,1,1))*OFFSET($CH$9,DT63+2,0,1,1))+OFFSET($BO$9,DT63+2,CQ63,1,1),IF(F63&lt;OFFSET($BN$9,DT63+3,0,1,1),((F63-OFFSET($BM$9,DT63+3,0,1,1))*OFFSET($CH$9,DT63+3,0,1,1))+OFFSET($BO$9,DT63+3,CQ63,1,1),0))))))</f>
        <v>0</v>
      </c>
      <c r="DV63" s="51">
        <f ca="1">IF($F63&lt;OFFSET($BM$9,$DT63-1,0,1,1),0,IF($F63&lt;OFFSET($BN$9,$DT63-1,0,1,1),IF(AND($H63&gt;2.4,Z63&lt;&gt;"e",Z63&lt;&gt;"f"),DZ63*2.4/$H63,DZ63),IF($F63&lt;OFFSET($BN$9,$DT63+0,0,1,1),IF(AND($H63&gt;2.4,Z63&lt;&gt;"e",Z63&lt;&gt;"f"),DZ63*2.4/$H63,DZ63),IF($F63&lt;OFFSET($BN$9,$DT63+1,0,1,1),IF(AND($H63&gt;2.4,Z63&lt;&gt;"e",Z63&lt;&gt;"f"),DZ63*2.4/$H63,DZ63),IF($F63&lt;OFFSET($BN$9,$DT63+2,0,1,1),IF(AND($H63&gt;2.4,Z63&lt;&gt;"e",Z63&lt;&gt;"f"),DZ63*2.4/$H63,DZ63),IF($F63&lt;OFFSET($BN$9,$DT63+3,0,1,1),IF(AND($H63&gt;2.4,Z63&lt;&gt;"e",Z63&lt;&gt;"f"),DZ63*2.4/$H63,DZ63),0)))))*COS(RADIANS($G63)))</f>
        <v>0</v>
      </c>
      <c r="DW63" s="188">
        <f ca="1">IF(F63&lt;OFFSET($BM$9,DT63-1,0,1,1),0,IF(F63&lt;OFFSET($BN$9,DT63-1,0,1,1),((F63-OFFSET($BM$9,DT63-1,0,1,1))*OFFSET($CI$9,DT63-1,0,1,1))+OFFSET($BP$9,DT63-1,CQ63,1,1),IF(F63&lt;OFFSET($BN$9,DT63+0,0,1,1),((F63-OFFSET($BM$9,DT63+0,0,1,1))*OFFSET($CI$9,DT63+0,0,1,1))+OFFSET($BP$9,DT63+0,CQ63,1,1),IF(F63&lt;OFFSET($BN$9,DT63+1,0,1,1),((F63-OFFSET($BM$9,DT63+1,0,1,1))*OFFSET($CI$9,DT63+1,0,1,1))+OFFSET($BP$9,DT63+1,CQ63,1,1),IF(F63&lt;OFFSET($BN$9,DT63+2,0,1,1),((F63-OFFSET($BM$9,DT63+2,0,1,1))*OFFSET($CI$9,DT63+2,0,1,1))+OFFSET($BP$9,DT63+2,CQ63,1,1),IF(F63&lt;OFFSET($BN$9,DT63+3,0,1,1),((F63-OFFSET($BM$9,DT63+3,0,1,1))*OFFSET($CI$9,DT63+3,0,1,1))+OFFSET($BP$9,DT63+3,CQ63,1,1),0))))))</f>
        <v>0</v>
      </c>
      <c r="DX63" s="51">
        <f ca="1">IF($F63&lt;OFFSET($BM$9,$DT63-1,0,1,1),0,IF($F63&lt;OFFSET($BN$9,$DT63-1,0,1,1),IF(AND($H63&gt;2.4,Z63&lt;&gt;"e",Z63&lt;&gt;"f"),EB63*2.4/$H63,EB63),IF($F63&lt;OFFSET($BN$9,$DT63+0,0,1,1),IF(AND($H63&gt;2.4,Z63&lt;&gt;"e",Z63&lt;&gt;"f"),EB63*2.4/$H63,EB63),IF($F63&lt;OFFSET($BN$9,$DT63+1,0,1,1),IF(AND($H63&gt;2.4,Z63&lt;&gt;"e",Z63&lt;&gt;"f"),EB63*2.4/$H63,EB63),IF($F63&lt;OFFSET($BN$9,$DT63+2,0,1,1),IF(AND($H63&gt;2.4,Z63&lt;&gt;"e",Z63&lt;&gt;"f"),EB63*2.4/$H63,EB63),IF($F63&lt;OFFSET($BN$9,$DT63+3,0,1,1),IF(AND($H63&gt;2.4,Z63&lt;&gt;"e",Z63&lt;&gt;"f"),EB63*2.4/$H63,EB63),0)))))*COS(RADIANS($G63)))</f>
        <v>0</v>
      </c>
      <c r="DY63" s="188"/>
      <c r="DZ63" s="188">
        <f ca="1">IF(DU63&gt;$CR63,$CR63,DU63)</f>
        <v>0</v>
      </c>
      <c r="EA63" s="188"/>
      <c r="EB63" s="188">
        <f ca="1">IF(DW63&gt;$CR63,$CR63,DW63)</f>
        <v>0</v>
      </c>
      <c r="EC63" s="435">
        <f ca="1">IF(DV63&gt;$CR63,$CR63,DV63)</f>
        <v>0</v>
      </c>
      <c r="ED63" s="435">
        <f ca="1">EC63*F63</f>
        <v>0</v>
      </c>
      <c r="EE63" s="436">
        <f ca="1">IF(DX63&gt;$CR63,$CR63,DX63)</f>
        <v>0</v>
      </c>
      <c r="EF63" s="437">
        <f ca="1">EE63*F63</f>
        <v>0</v>
      </c>
      <c r="EG63" s="613" t="str">
        <f>IF(D63=BG$12,BG$12,"")</f>
        <v/>
      </c>
      <c r="EH63" s="614" t="str">
        <f>IF(D63=BG$13,BG$13,"")</f>
        <v/>
      </c>
      <c r="EI63" s="611">
        <f>IF(EG63=BG$12,M63,0)</f>
        <v>0</v>
      </c>
      <c r="EJ63" s="451">
        <f>IF(EG63=BG$12,O63,0)</f>
        <v>0</v>
      </c>
      <c r="EK63" s="451">
        <f>IF(EH63=BG$13,M63,0)</f>
        <v>0</v>
      </c>
      <c r="EL63" s="612">
        <f>IF(EH63=BG$13,O63,0)</f>
        <v>0</v>
      </c>
      <c r="EM63" s="426" t="str">
        <f ca="1">IF(AND(Z63&lt;&gt;"t",Z63&lt;&gt;"f"),"",IF(AND(EN63=$BH$13,K63=$BH$12),"NotOpt",IF(K63&lt;&gt;EN63,"Error","")))</f>
        <v/>
      </c>
      <c r="EN63" s="491" t="str">
        <f>IF(AND($BH$28=1,$BG$28=1),$BH$13,$BH$12)</f>
        <v>120 BU's</v>
      </c>
      <c r="EO63" s="426" t="str">
        <f>K63</f>
        <v xml:space="preserve"> </v>
      </c>
      <c r="EP63" s="497">
        <v>1</v>
      </c>
      <c r="EQ63" s="430" t="str">
        <f ca="1">IF(EP63=1," ",OFFSET(BF$15,EP63-2,0,1,1))</f>
        <v xml:space="preserve"> </v>
      </c>
      <c r="ER63" s="439" t="str">
        <f ca="1">IF(H63=0," ",H63)</f>
        <v xml:space="preserve"> </v>
      </c>
      <c r="ES63" s="440" t="str">
        <f ca="1">IF(ER63&lt;&gt;" ",IF(ER63&lt;&gt;ER$7,"Changed",""),"")</f>
        <v/>
      </c>
      <c r="ET63" s="440">
        <f ca="1">IF(ER63&lt;&gt;" ",IF(ER63&lt;&gt;ER$7,1,0),0)</f>
        <v>0</v>
      </c>
      <c r="EU63" s="957" t="str">
        <f ca="1">IF(I63=" "," ",IF(F63&lt;OFFSET($BM$9,CL63-1,0,1,1),1,""))</f>
        <v xml:space="preserve"> </v>
      </c>
      <c r="EW63" s="427"/>
    </row>
    <row r="64" spans="1:153" ht="17.100000000000001" customHeight="1">
      <c r="A64" s="2685"/>
      <c r="B64" s="689" t="s">
        <v>246</v>
      </c>
      <c r="C64" s="684" t="str">
        <f>IF(OR(F64=0,I64="",I64=" ")," ",$V64)</f>
        <v xml:space="preserve"> </v>
      </c>
      <c r="D64" s="1033"/>
      <c r="E64" s="1360"/>
      <c r="F64" s="202"/>
      <c r="G64" s="1416"/>
      <c r="H64" s="199" t="str">
        <f ca="1">IF(OR(F64=0,Z64="E",Z64="f")," ",'Project Demand'!E$35)</f>
        <v xml:space="preserve"> </v>
      </c>
      <c r="I64" s="631" t="str">
        <f>IF($I$6&lt;&gt;$BG$8," ",AB64)</f>
        <v xml:space="preserve"> </v>
      </c>
      <c r="J64" s="44" t="str">
        <f ca="1">IF(OR(I64=" ",I64="")," ",OFFSET($BO$9,CL64-1,0-4,1,1))</f>
        <v xml:space="preserve"> </v>
      </c>
      <c r="K64" s="55" t="str">
        <f>IF(OR(I64=" ",I64="")," ",IF(OR(Z64="e",Z64="h"),"SD",BG$24))</f>
        <v xml:space="preserve"> </v>
      </c>
      <c r="L64" s="49">
        <f ca="1">CW64</f>
        <v>0</v>
      </c>
      <c r="M64" s="49">
        <f ca="1">CY64</f>
        <v>0</v>
      </c>
      <c r="N64" s="50">
        <f t="shared" ca="1" si="30"/>
        <v>0</v>
      </c>
      <c r="O64" s="126">
        <f t="shared" ca="1" si="30"/>
        <v>0</v>
      </c>
      <c r="P64" s="140"/>
      <c r="Q64" s="752" t="str">
        <f ca="1">IF(AND(OR(Z64="t",Z64="f"),K64=$BH$11),"No Floor!  Change Floor Type",IF(OR(I64=" ",I64="")," ",IF(F64&lt;OFFSET($BM$9,CL64-1,0,1,1),"check L(m)",DE64&amp;IF(AND(DP64&gt;=CY64,DR64&gt;=DB64),IF(AND(ED64&gt;=DP64,EF64&gt;=DR64),CONCATENATE(DS64," will provide same result"),CONCATENATE(CO64," will provide same result")),IF((DP64&gt;=CY64),CONCATENATE(CO64," provides same result in WIND"),IF((DR64&gt;=DB64),CONCATENATE(CO64," provides same result in EQ"),""))))))&amp;IF(ISERROR(FIND("pile",I64,1)),"",IF(INT(F64)&lt;&gt;F64,"Pile!  Use Whole Numbers Only",""))</f>
        <v xml:space="preserve"> </v>
      </c>
      <c r="R64" s="52"/>
      <c r="S64" s="1372"/>
      <c r="T64" s="1372"/>
      <c r="U64" s="1377"/>
      <c r="V64" s="52" t="str">
        <f ca="1">IF(AND(B$5=$BF$9,OR(I64=BH$16,I64=BH$17))," ",IF(ISNUMBER(B$62),(CONCATENATE(B$62,".",W64)),(CONCATENATE(B$62,W64))))</f>
        <v>J0</v>
      </c>
      <c r="W64" s="9">
        <f ca="1">W63+X64</f>
        <v>0</v>
      </c>
      <c r="X64" s="9">
        <f>IF(AND(B$5=$BF$9,OR($I64=$BH$16,$I64=$BH$17,$I64=" ",$I64="",$F64=0)),0,IF(OR($I64=" ",$I64="",$F64=0),0,1))</f>
        <v>0</v>
      </c>
      <c r="Y64" s="896"/>
      <c r="Z64" s="52" t="str">
        <f ca="1">IF(I64=" "," ",OFFSET($BM$9,$CL64-1,8,1,1))</f>
        <v xml:space="preserve"> </v>
      </c>
      <c r="AA64" s="51" t="str">
        <f>IF(G64&gt;=45,"WA","")</f>
        <v/>
      </c>
      <c r="AB64" s="1364" t="str">
        <f>IF(F64&lt;&gt;"",IF(OR(D64=$BG$12,D64=$BG$13),IF(E64&lt;&gt;$BG$17,$BF$12,$BF$13),IF(E64&lt;&gt;$BG$17,$BF$12,$BF$13))," ")</f>
        <v xml:space="preserve"> </v>
      </c>
      <c r="AC64" s="1"/>
      <c r="AK64" s="63" t="str">
        <f>'Custom Elements'!B25</f>
        <v xml:space="preserve">  </v>
      </c>
      <c r="AL64" s="860" t="str">
        <f>'Custom Elements'!C25</f>
        <v>Custom17</v>
      </c>
      <c r="AM64" s="11">
        <f>'Custom Elements'!D25</f>
        <v>9.9999999999999996E-76</v>
      </c>
      <c r="AN64" s="7">
        <f>'Custom Elements'!E25</f>
        <v>0</v>
      </c>
      <c r="AO64" s="7">
        <f>'Custom Elements'!F25</f>
        <v>0</v>
      </c>
      <c r="AP64" s="762" t="str">
        <f>'Custom Elements'!G25</f>
        <v>B</v>
      </c>
      <c r="AQ64" s="1777" t="str">
        <f>'Custom Elements'!H25</f>
        <v>Single</v>
      </c>
      <c r="AR64" s="1775" t="str">
        <f>'Custom Elements'!I25</f>
        <v>Yes</v>
      </c>
      <c r="AS64" s="442" t="str">
        <f>'Custom Elements'!J25</f>
        <v>Yes</v>
      </c>
      <c r="AT64" s="1598"/>
      <c r="AU64" s="1155"/>
      <c r="AZ64" s="442" t="str">
        <f>IF(AND('Custom Elements'!J25="Yes",'Custom Elements'!I25="Yes"),"T",IF('Custom Elements'!J25="Yes","F",IF('Custom Elements'!I25="Yes","H","E")))</f>
        <v>T</v>
      </c>
      <c r="BD64" s="641"/>
      <c r="BE64" s="2715" t="s">
        <v>906</v>
      </c>
      <c r="BF64" s="2716"/>
      <c r="BG64" s="2716"/>
      <c r="BI64" s="759"/>
      <c r="BJ64" s="897">
        <f t="shared" si="25"/>
        <v>56</v>
      </c>
      <c r="BK64" s="764"/>
      <c r="BL64" s="766"/>
      <c r="BM64" s="455">
        <f>Table!P6</f>
        <v>0.8</v>
      </c>
      <c r="BN64" s="455">
        <f>BM65</f>
        <v>1.2</v>
      </c>
      <c r="BO64" s="455">
        <f>Table!Q6</f>
        <v>95</v>
      </c>
      <c r="BP64" s="925">
        <f>Table!R6</f>
        <v>83</v>
      </c>
      <c r="BR64" s="764"/>
      <c r="BS64" s="455"/>
      <c r="BT64" s="455"/>
      <c r="BU64" s="925" t="s">
        <v>242</v>
      </c>
      <c r="BV64" s="895"/>
      <c r="BW64" s="912"/>
      <c r="BX64" s="925" t="str">
        <f>Table!T5</f>
        <v>Single</v>
      </c>
      <c r="CH64" s="764">
        <f>IF(BN64=999,0,(BO65-BO64)/(BN64-BM64))</f>
        <v>0</v>
      </c>
      <c r="CI64" s="925">
        <f>IF(BN64=999,0,(BP65-BP64)/(BN64-BM64))</f>
        <v>2.5000000000000004</v>
      </c>
      <c r="CJ64" s="759"/>
      <c r="CK64" s="188"/>
      <c r="CL64" s="979">
        <f>VLOOKUP(I64,Prodlink,2,0)</f>
        <v>0</v>
      </c>
      <c r="CN64" s="497">
        <f ca="1">VLOOKUP(CO64,Prodlink,2,0)</f>
        <v>0</v>
      </c>
      <c r="CO64" s="497">
        <f ca="1">OFFSET($CH$9,CL64-1,-15,1,1)</f>
        <v>0</v>
      </c>
      <c r="CQ64" s="51">
        <v>0</v>
      </c>
      <c r="CR64" s="51">
        <f>IF(K64=$BH$12,$BH$23,IF(K64=$BH$13,$BH$24,10000))</f>
        <v>10000</v>
      </c>
      <c r="CS64" s="51">
        <f ca="1">IF(F64&lt;OFFSET($BM$9,CL64-1,0,1,1),0,IF(F64&lt;OFFSET($BN$9,CL64-1,0,1,1),((F64-OFFSET($BM$9,CL64-1,0,1,1))*OFFSET($CH$9,CL64-1,0,1,1))+OFFSET($BO$9,CL64-1,CQ64,1,1),IF(F64&lt;OFFSET($BN$9,CL64+0,0,1,1),((F64-OFFSET($BM$9,CL64+0,0,1,1))*OFFSET($CH$9,CL64+0,0,1,1))+OFFSET($BO$9,CL64+0,CQ64,1,1),IF(F64&lt;OFFSET($BN$9,CL64+1,0,1,1),((F64-OFFSET($BM$9,CL64+1,0,1,1))*OFFSET($CH$9,CL64+1,0,1,1))+OFFSET($BO$9,CL64+1,CQ64,1,1),IF(F64&lt;OFFSET($BN$9,CL64+2,0,1,1),((F64-OFFSET($BM$9,CL64+2,0,1,1))*OFFSET($CH$9,CL64+2,0,1,1))+OFFSET($BO$9,CL64+2,CQ64,1,1),IF(F64&lt;OFFSET($BN$9,CL64+3,0,1,1),((F64-OFFSET($BM$9,CL64+3,0,1,1))*OFFSET($CH$9,CL64+3,0,1,1))+OFFSET($BO$9,CL64+3,CQ64,1,1),0))))))</f>
        <v>0</v>
      </c>
      <c r="CT64" s="51">
        <f ca="1">IF($F64&lt;OFFSET($BM$9,$CL64-1,0,1,1),0,IF($F64&lt;OFFSET($BN$9,$CL64-1,0,1,1),IF(AND($H64&gt;2.4,Z64&lt;&gt;"e",Z64&lt;&gt;"f"),CX64*2.4/$H64,CX64),IF($F64&lt;OFFSET($BN$9,$CL64+0,0,1,1),IF(AND($H64&gt;2.4,Z64&lt;&gt;"e",Z64&lt;&gt;"f"),CX64*2.4/$H64,CX64),IF($F64&lt;OFFSET($BN$9,$CL64+1,0,1,1),IF(AND($H64&gt;2.4,Z64&lt;&gt;"e",Z64&lt;&gt;"f"),CX64*2.4/$H64,CX64),IF($F64&lt;OFFSET($BN$9,CL64+2,0,1,1),IF(AND($H64&gt;2.4,Z64&lt;&gt;"e",Z64&lt;&gt;"f"),CX64*2.4/$H64,CX64),IF($F64&lt;OFFSET($BN$9,CL64+3,0,1,1),IF(AND($H64&gt;2.4,Z64&lt;&gt;"e",Z64&lt;&gt;"f"),CX64*2.4/$H64,CX64),0)))))*COS(RADIANS($G64)))</f>
        <v>0</v>
      </c>
      <c r="CU64" s="51">
        <f ca="1">IF(F64&lt;OFFSET($BM$9,CL64-1,0,1,1),0,IF(F64&lt;OFFSET($BN$9,CL64-1,0,1,1),((F64-OFFSET($BM$9,CL64-1,0,1,1))*OFFSET($CI$9,CL64-1,0,1,1))+OFFSET($BP$9,CL64-1,CQ64,1,1),IF(F64&lt;OFFSET($BN$9,CL64+0,0,1,1),((F64-OFFSET($BM$9,CL64+0,0,1,1))*OFFSET($CI$9,CL64+0,0,1,1))+OFFSET($BP$9,CL64+0,CQ64,1,1),IF(F64&lt;OFFSET($BN$9,CL64+1,0,1,1),((F64-OFFSET($BM$9,CL64+1,0,1,1))*OFFSET($CI$9,CL64+1,0,1,1))+OFFSET($BP$9,CL64+1,CQ64,1,1),IF(F64&lt;OFFSET($BN$9,CL64+2,0,1,1),((F64-OFFSET($BM$9,CL64+2,0,1,1))*OFFSET($CI$9,CL64+2,0,1,1))+OFFSET($BP$9,CL64+2,CQ64,1,1),IF(F64&lt;OFFSET($BN$9,CL64+3,0,1,1),((F64-OFFSET($BM$9,CL64+3,0,1,1))*OFFSET($CI$9,CL64+3,0,1,1))+OFFSET($BP$9,CL64+3,CQ64,1,1),0))))))</f>
        <v>0</v>
      </c>
      <c r="CV64" s="51">
        <f ca="1">IF($F64&lt;OFFSET($BM$9,$CL64-1,0,1,1),0,IF($F64&lt;OFFSET($BN$9,$CL64-1,0,1,1),IF(AND($H64&gt;2.4,Z64&lt;&gt;"e",Z64&lt;&gt;"f"),CZ64*2.4/$H64,CZ64),IF($F64&lt;OFFSET($BN$9,$CL64+0,0,1,1),IF(AND($H64&gt;2.4,Z64&lt;&gt;"e",Z64&lt;&gt;"f"),CZ64*2.4/$H64,CZ64),IF($F64&lt;OFFSET($BN$9,$CL64+1,0,1,1),IF(AND($H64&gt;2.4,Z64&lt;&gt;"e",Z64&lt;&gt;"f"),CZ64*2.4/$H64,CZ64),IF($F64&lt;OFFSET($BN$9,$CL64+2,0,1,1),IF(AND($H64&gt;2.4,Z64&lt;&gt;"e",Z64&lt;&gt;"f"),CZ64*2.4/$H64,CZ64),IF($F64&lt;OFFSET($BN$9,$CL64+3,0,1,1),IF(AND($H64&gt;2.4,Z64&lt;&gt;"e",Z64&lt;&gt;"f"),CZ64*2.4/$H64,CZ64),0)))))*COS(RADIANS($G64)))</f>
        <v>0</v>
      </c>
      <c r="CW64" s="51">
        <f ca="1">IF(CT64&gt;CR64,CR64,CT64)</f>
        <v>0</v>
      </c>
      <c r="CX64" s="51">
        <f ca="1">IF(CS64&gt;$CR64,$CR64,CS64)</f>
        <v>0</v>
      </c>
      <c r="CY64" s="51">
        <f ca="1">CW64*F64</f>
        <v>0</v>
      </c>
      <c r="CZ64" s="51">
        <f ca="1">IF($CU64&gt;$CR64,$CR64,$CU64)</f>
        <v>0</v>
      </c>
      <c r="DA64" s="51">
        <f ca="1">IF(CV64&gt;CR64,CR64,CV64)</f>
        <v>0</v>
      </c>
      <c r="DB64" s="984">
        <f ca="1">DA64*F64</f>
        <v>0</v>
      </c>
      <c r="DC64" s="993">
        <v>1</v>
      </c>
      <c r="DD64" s="758" t="str">
        <f>IF(OR(D64=BG$12,D64=BG$13),"External",IF(D64=BG$14,"Internal"," "))</f>
        <v xml:space="preserve"> </v>
      </c>
      <c r="DE64" s="51" t="str">
        <f t="shared" ca="1" si="1"/>
        <v/>
      </c>
      <c r="DF64" s="52" t="str">
        <f t="shared" ca="1" si="2"/>
        <v xml:space="preserve"> </v>
      </c>
      <c r="DG64" s="51">
        <f ca="1">IF(F64&lt;OFFSET($BM$9,CN64-1,0,1,1),0,IF(F64&lt;OFFSET($BN$9,CN64-1,0,1,1),((F64-OFFSET($BM$9,CN64-1,0,1,1))*OFFSET($CH$9,CN64-1,0,1,1))+OFFSET($BO$9,CN64-1,CQ64,1,1),IF(F64&lt;OFFSET($BN$9,CN64+0,0,1,1),((F64-OFFSET($BM$9,CN64+0,0,1,1))*OFFSET($CH$9,CN64+0,0,1,1))+OFFSET($BO$9,CN64+0,CQ64,1,1),IF(F64&lt;OFFSET($BN$9,CN64+1,0,1,1),((F64-OFFSET($BM$9,CN64+1,0,1,1))*OFFSET($CH$9,CN64+1,0,1,1))+OFFSET($BO$9,CN64+1,CQ64,1,1),IF(F64&lt;OFFSET($BN$9,CN64+2,0,1,1),((F64-OFFSET($BM$9,CN64+2,0,1,1))*OFFSET($CH$9,CN64+2,0,1,1))+OFFSET($BO$9,CN64+2,CQ64,1,1),IF(F64&lt;OFFSET($BN$9,CN64+3,0,1,1),((F64-OFFSET($BM$9,CN64+3,0,1,1))*OFFSET($CH$9,CN64+3,0,1,1))+OFFSET($BO$9,CN64+3,CQ64,1,1),0))))))</f>
        <v>0</v>
      </c>
      <c r="DH64" s="51">
        <f ca="1">IF($F64&lt;OFFSET($BM$9,$CN64-1,0,1,1),0,IF($F64&lt;OFFSET($BN$9,$CN64-1,0,1,1),IF(AND($H64&gt;2.4,Z64&lt;&gt;"e",Z64&lt;&gt;"f"),DL64*2.4/$H64,DL64),IF($F64&lt;OFFSET($BN$9,$CN64+0,0,1,1),IF(AND($H64&gt;2.4,Z64&lt;&gt;"e",Z64&lt;&gt;"f"),DL64*2.4/$H64,DL64),IF($F64&lt;OFFSET($BN$9,$CN64+1,0,1,1),IF(AND($H64&gt;2.4,Z64&lt;&gt;"e",Z64&lt;&gt;"f"),DL64*2.4/$H64,DL64),IF($F64&lt;OFFSET($BN$9,$CN64+2,0,1,1),IF(AND($H64&gt;2.4,Z64&lt;&gt;"e",Z64&lt;&gt;"f"),DL64*2.4/$H64,DL64),IF($F64&lt;OFFSET($BN$9,$CN64+3,0,1,1),IF(AND($H64&gt;2.4,Z64&lt;&gt;"e",Z64&lt;&gt;"f"),DL64*2.4/$H64,DL64),0)))))*COS(RADIANS($G64)))</f>
        <v>0</v>
      </c>
      <c r="DI64" s="51">
        <f ca="1">IF(F64&lt;OFFSET($BM$9,CN64-1,0,1,1),0,IF(F64&lt;OFFSET($BN$9,CN64-1,0,1,1),((F64-OFFSET($BM$9,CN64-1,0,1,1))*OFFSET($CI$9,CN64-1,0,1,1))+OFFSET($BP$9,CN64-1,CQ64,1,1),IF(F64&lt;OFFSET($BN$9,CN64+0,0,1,1),((F64-OFFSET($BM$9,CN64+0,0,1,1))*OFFSET($CI$9,CN64+0,0,1,1))+OFFSET($BP$9,CN64+0,CQ64,1,1),IF(F64&lt;OFFSET($BN$9,CN64+1,0,1,1),((F64-OFFSET($BM$9,CN64+1,0,1,1))*OFFSET($CI$9,CN64+1,0,1,1))+OFFSET($BP$9,CN64+1,CQ64,1,1),IF(F64&lt;OFFSET($BN$9,CN64+2,0,1,1),((F64-OFFSET($BM$9,CN64+2,0,1,1))*OFFSET($CI$9,CN64+2,0,1,1))+OFFSET($BP$9,CN64+2,CQ64,1,1),IF(F64&lt;OFFSET($BN$9,CN64+3,0,1,1),((F64-OFFSET($BM$9,CN64+3,0,1,1))*OFFSET($CI$9,CN64+3,0,1,1))+OFFSET($BP$9,CN64+3,CQ64,1,1),0))))))</f>
        <v>0</v>
      </c>
      <c r="DJ64" s="51">
        <f ca="1">IF($F64&lt;OFFSET($BM$9,$CN64-1,0,1,1),0,IF($F64&lt;OFFSET($BN$9,$CN64-1,0,1,1),IF(AND($H64&gt;2.4,Z64&lt;&gt;"e",Z64&lt;&gt;"f"),DN64*2.4/$H64,DN64),IF($F64&lt;OFFSET($BN$9,$CN64+0,0,1,1),IF(AND($H64&gt;2.4,Z64&lt;&gt;"e",Z64&lt;&gt;"f"),DN64*2.4/$H64,DN64),IF($F64&lt;OFFSET($BN$9,$CN64+1,0,1,1),IF(AND($H64&gt;2.4,Z64&lt;&gt;"e",Z64&lt;&gt;"f"),DN64*2.4/$H64,DN64),IF($F64&lt;OFFSET($BN$9,$CN64+2,0,1,1),IF(AND($H64&gt;2.4,Z64&lt;&gt;"e",Z64&lt;&gt;"f"),DN64*2.4/$H64,DN64),IF($F64&lt;OFFSET($BN$9,$CN64+3,0,1,1),IF(AND($H64&gt;2.4,Z64&lt;&gt;"e",Z64&lt;&gt;"f"),DN64*2.4/$H64,DN64),0)))))*COS(RADIANS($G64)))</f>
        <v>0</v>
      </c>
      <c r="DK64" s="51"/>
      <c r="DL64" s="51">
        <f ca="1">IF(DG64&gt;$CR64,$CR64,DG64)</f>
        <v>0</v>
      </c>
      <c r="DM64" s="51"/>
      <c r="DN64" s="51">
        <f ca="1">IF(DI64&gt;$CR64,$CR64,DI64)</f>
        <v>0</v>
      </c>
      <c r="DO64" s="435">
        <f ca="1">IF(DH64&gt;$CR64,$CR64,DH64)</f>
        <v>0</v>
      </c>
      <c r="DP64" s="435">
        <f ca="1">DO64*F64</f>
        <v>0</v>
      </c>
      <c r="DQ64" s="436">
        <f ca="1">IF(DJ64&gt;$CR64,$CR64,DJ64)</f>
        <v>0</v>
      </c>
      <c r="DR64" s="437">
        <f ca="1">DQ64*F64</f>
        <v>0</v>
      </c>
      <c r="DS64" s="426">
        <f ca="1">OFFSET($CH$9,CL64-1,-15,1,1)</f>
        <v>0</v>
      </c>
      <c r="DT64" s="451">
        <f ca="1">VLOOKUP(DS64,Prodlink,2,0)</f>
        <v>0</v>
      </c>
      <c r="DU64" s="188">
        <f ca="1">IF(F64&lt;OFFSET($BM$9,DT64-1,0,1,1),0,IF(F64&lt;OFFSET($BN$9,DT64-1,0,1,1),((F64-OFFSET($BM$9,DT64-1,0,1,1))*OFFSET($CH$9,DT64-1,0,1,1))+OFFSET($BO$9,DT64-1,CQ64,1,1),IF(F64&lt;OFFSET($BN$9,DT64+0,0,1,1),((F64-OFFSET($BM$9,DT64+0,0,1,1))*OFFSET($CH$9,DT64+0,0,1,1))+OFFSET($BO$9,DT64+0,CQ64,1,1),IF(F64&lt;OFFSET($BN$9,DT64+1,0,1,1),((F64-OFFSET($BM$9,DT64+1,0,1,1))*OFFSET($CH$9,DT64+1,0,1,1))+OFFSET($BO$9,DT64+1,CQ64,1,1),IF(F64&lt;OFFSET($BN$9,DT64+2,0,1,1),((F64-OFFSET($BM$9,DT64+2,0,1,1))*OFFSET($CH$9,DT64+2,0,1,1))+OFFSET($BO$9,DT64+2,CQ64,1,1),IF(F64&lt;OFFSET($BN$9,DT64+3,0,1,1),((F64-OFFSET($BM$9,DT64+3,0,1,1))*OFFSET($CH$9,DT64+3,0,1,1))+OFFSET($BO$9,DT64+3,CQ64,1,1),0))))))</f>
        <v>0</v>
      </c>
      <c r="DV64" s="51">
        <f ca="1">IF($F64&lt;OFFSET($BM$9,$DT64-1,0,1,1),0,IF($F64&lt;OFFSET($BN$9,$DT64-1,0,1,1),IF(AND($H64&gt;2.4,Z64&lt;&gt;"e",Z64&lt;&gt;"f"),DZ64*2.4/$H64,DZ64),IF($F64&lt;OFFSET($BN$9,$DT64+0,0,1,1),IF(AND($H64&gt;2.4,Z64&lt;&gt;"e",Z64&lt;&gt;"f"),DZ64*2.4/$H64,DZ64),IF($F64&lt;OFFSET($BN$9,$DT64+1,0,1,1),IF(AND($H64&gt;2.4,Z64&lt;&gt;"e",Z64&lt;&gt;"f"),DZ64*2.4/$H64,DZ64),IF($F64&lt;OFFSET($BN$9,$DT64+2,0,1,1),IF(AND($H64&gt;2.4,Z64&lt;&gt;"e",Z64&lt;&gt;"f"),DZ64*2.4/$H64,DZ64),IF($F64&lt;OFFSET($BN$9,$DT64+3,0,1,1),IF(AND($H64&gt;2.4,Z64&lt;&gt;"e",Z64&lt;&gt;"f"),DZ64*2.4/$H64,DZ64),0)))))*COS(RADIANS($G64)))</f>
        <v>0</v>
      </c>
      <c r="DW64" s="188">
        <f ca="1">IF(F64&lt;OFFSET($BM$9,DT64-1,0,1,1),0,IF(F64&lt;OFFSET($BN$9,DT64-1,0,1,1),((F64-OFFSET($BM$9,DT64-1,0,1,1))*OFFSET($CI$9,DT64-1,0,1,1))+OFFSET($BP$9,DT64-1,CQ64,1,1),IF(F64&lt;OFFSET($BN$9,DT64+0,0,1,1),((F64-OFFSET($BM$9,DT64+0,0,1,1))*OFFSET($CI$9,DT64+0,0,1,1))+OFFSET($BP$9,DT64+0,CQ64,1,1),IF(F64&lt;OFFSET($BN$9,DT64+1,0,1,1),((F64-OFFSET($BM$9,DT64+1,0,1,1))*OFFSET($CI$9,DT64+1,0,1,1))+OFFSET($BP$9,DT64+1,CQ64,1,1),IF(F64&lt;OFFSET($BN$9,DT64+2,0,1,1),((F64-OFFSET($BM$9,DT64+2,0,1,1))*OFFSET($CI$9,DT64+2,0,1,1))+OFFSET($BP$9,DT64+2,CQ64,1,1),IF(F64&lt;OFFSET($BN$9,DT64+3,0,1,1),((F64-OFFSET($BM$9,DT64+3,0,1,1))*OFFSET($CI$9,DT64+3,0,1,1))+OFFSET($BP$9,DT64+3,CQ64,1,1),0))))))</f>
        <v>0</v>
      </c>
      <c r="DX64" s="51">
        <f ca="1">IF($F64&lt;OFFSET($BM$9,$DT64-1,0,1,1),0,IF($F64&lt;OFFSET($BN$9,$DT64-1,0,1,1),IF(AND($H64&gt;2.4,Z64&lt;&gt;"e",Z64&lt;&gt;"f"),EB64*2.4/$H64,EB64),IF($F64&lt;OFFSET($BN$9,$DT64+0,0,1,1),IF(AND($H64&gt;2.4,Z64&lt;&gt;"e",Z64&lt;&gt;"f"),EB64*2.4/$H64,EB64),IF($F64&lt;OFFSET($BN$9,$DT64+1,0,1,1),IF(AND($H64&gt;2.4,Z64&lt;&gt;"e",Z64&lt;&gt;"f"),EB64*2.4/$H64,EB64),IF($F64&lt;OFFSET($BN$9,$DT64+2,0,1,1),IF(AND($H64&gt;2.4,Z64&lt;&gt;"e",Z64&lt;&gt;"f"),EB64*2.4/$H64,EB64),IF($F64&lt;OFFSET($BN$9,$DT64+3,0,1,1),IF(AND($H64&gt;2.4,Z64&lt;&gt;"e",Z64&lt;&gt;"f"),EB64*2.4/$H64,EB64),0)))))*COS(RADIANS($G64)))</f>
        <v>0</v>
      </c>
      <c r="DY64" s="188"/>
      <c r="DZ64" s="188">
        <f ca="1">IF(DU64&gt;$CR64,$CR64,DU64)</f>
        <v>0</v>
      </c>
      <c r="EA64" s="188"/>
      <c r="EB64" s="188">
        <f ca="1">IF(DW64&gt;$CR64,$CR64,DW64)</f>
        <v>0</v>
      </c>
      <c r="EC64" s="435">
        <f ca="1">IF(DV64&gt;$CR64,$CR64,DV64)</f>
        <v>0</v>
      </c>
      <c r="ED64" s="435">
        <f ca="1">EC64*F64</f>
        <v>0</v>
      </c>
      <c r="EE64" s="436">
        <f ca="1">IF(DX64&gt;$CR64,$CR64,DX64)</f>
        <v>0</v>
      </c>
      <c r="EF64" s="437">
        <f ca="1">EE64*F64</f>
        <v>0</v>
      </c>
      <c r="EG64" s="613" t="str">
        <f>IF(D64=BG$12,BG$12,"")</f>
        <v/>
      </c>
      <c r="EH64" s="614" t="str">
        <f>IF(D64=BG$13,BG$13,"")</f>
        <v/>
      </c>
      <c r="EI64" s="611">
        <f>IF(EG64=BG$12,M64,0)</f>
        <v>0</v>
      </c>
      <c r="EJ64" s="451">
        <f>IF(EG64=BG$12,O64,0)</f>
        <v>0</v>
      </c>
      <c r="EK64" s="451">
        <f>IF(EH64=BG$13,M64,0)</f>
        <v>0</v>
      </c>
      <c r="EL64" s="612">
        <f>IF(EH64=BG$13,O64,0)</f>
        <v>0</v>
      </c>
      <c r="EM64" s="426" t="str">
        <f ca="1">IF(AND(Z64&lt;&gt;"t",Z64&lt;&gt;"f"),"",IF(AND(EN64=$BH$13,K64=$BH$12),"NotOpt",IF(K64&lt;&gt;EN64,"Error","")))</f>
        <v/>
      </c>
      <c r="EN64" s="491" t="str">
        <f>IF(AND($BH$28=1,$BG$28=1),$BH$13,$BH$12)</f>
        <v>120 BU's</v>
      </c>
      <c r="EO64" s="426" t="str">
        <f>K64</f>
        <v xml:space="preserve"> </v>
      </c>
      <c r="EP64" s="497">
        <v>1</v>
      </c>
      <c r="EQ64" s="430" t="str">
        <f ca="1">IF(EP64=1," ",OFFSET(BF$15,EP64-2,0,1,1))</f>
        <v xml:space="preserve"> </v>
      </c>
      <c r="ER64" s="439" t="str">
        <f ca="1">IF(H64=0," ",H64)</f>
        <v xml:space="preserve"> </v>
      </c>
      <c r="ES64" s="440" t="str">
        <f ca="1">IF(ER64&lt;&gt;" ",IF(ER64&lt;&gt;ER$7,"Changed",""),"")</f>
        <v/>
      </c>
      <c r="ET64" s="440">
        <f ca="1">IF(ER64&lt;&gt;" ",IF(ER64&lt;&gt;ER$7,1,0),0)</f>
        <v>0</v>
      </c>
      <c r="EU64" s="957" t="str">
        <f ca="1">IF(I64=" "," ",IF(F64&lt;OFFSET($BM$9,CL64-1,0,1,1),1,""))</f>
        <v xml:space="preserve"> </v>
      </c>
      <c r="EW64" s="427"/>
    </row>
    <row r="65" spans="1:153" ht="17.100000000000001" customHeight="1">
      <c r="A65" s="2685"/>
      <c r="B65" s="689" t="s">
        <v>246</v>
      </c>
      <c r="C65" s="684" t="str">
        <f>IF(OR(F65=0,I65="",I65=" ")," ",$V65)</f>
        <v xml:space="preserve"> </v>
      </c>
      <c r="D65" s="1033"/>
      <c r="E65" s="1360"/>
      <c r="F65" s="202"/>
      <c r="G65" s="1416"/>
      <c r="H65" s="199" t="str">
        <f ca="1">IF(OR(F65=0,Z65="E",Z65="f")," ",'Project Demand'!E$35)</f>
        <v xml:space="preserve"> </v>
      </c>
      <c r="I65" s="631" t="str">
        <f>IF($I$6&lt;&gt;$BG$8," ",AB65)</f>
        <v xml:space="preserve"> </v>
      </c>
      <c r="J65" s="44" t="str">
        <f ca="1">IF(OR(I65=" ",I65="")," ",OFFSET($BO$9,CL65-1,0-4,1,1))</f>
        <v xml:space="preserve"> </v>
      </c>
      <c r="K65" s="55" t="str">
        <f>IF(OR(I65=" ",I65="")," ",IF(OR(Z65="e",Z65="h"),"SD",BG$24))</f>
        <v xml:space="preserve"> </v>
      </c>
      <c r="L65" s="49">
        <f ca="1">CW65</f>
        <v>0</v>
      </c>
      <c r="M65" s="49">
        <f ca="1">CY65</f>
        <v>0</v>
      </c>
      <c r="N65" s="50">
        <f t="shared" ca="1" si="30"/>
        <v>0</v>
      </c>
      <c r="O65" s="126">
        <f t="shared" ca="1" si="30"/>
        <v>0</v>
      </c>
      <c r="P65" s="140"/>
      <c r="Q65" s="752" t="str">
        <f ca="1">IF(AND(OR(Z65="t",Z65="f"),K65=$BH$11),"No Floor!  Change Floor Type",IF(OR(I65=" ",I65="")," ",IF(F65&lt;OFFSET($BM$9,CL65-1,0,1,1),"check L(m)",DE65&amp;IF(AND(DP65&gt;=CY65,DR65&gt;=DB65),IF(AND(ED65&gt;=DP65,EF65&gt;=DR65),CONCATENATE(DS65," will provide same result"),CONCATENATE(CO65," will provide same result")),IF((DP65&gt;=CY65),CONCATENATE(CO65," provides same result in WIND"),IF((DR65&gt;=DB65),CONCATENATE(CO65," provides same result in EQ"),""))))))&amp;IF(ISERROR(FIND("pile",I65,1)),"",IF(INT(F65)&lt;&gt;F65,"Pile!  Use Whole Numbers Only",""))</f>
        <v xml:space="preserve"> </v>
      </c>
      <c r="R65" s="52"/>
      <c r="S65" s="1372"/>
      <c r="T65" s="1372"/>
      <c r="U65" s="1377"/>
      <c r="V65" s="52" t="str">
        <f ca="1">IF(AND(B$5=$BF$9,OR(I65=BH$16,I65=BH$17))," ",IF(ISNUMBER(B$62),(CONCATENATE(B$62,".",W65)),(CONCATENATE(B$62,W65))))</f>
        <v>J0</v>
      </c>
      <c r="W65" s="9">
        <f ca="1">W64+X65</f>
        <v>0</v>
      </c>
      <c r="X65" s="9">
        <f>IF(AND(B$5=$BF$9,OR($I65=$BH$16,$I65=$BH$17,$I65=" ",$I65="",$F65=0)),0,IF(OR($I65=" ",$I65="",$F65=0),0,1))</f>
        <v>0</v>
      </c>
      <c r="Y65" s="896"/>
      <c r="Z65" s="52" t="str">
        <f ca="1">IF(I65=" "," ",OFFSET($BM$9,$CL65-1,8,1,1))</f>
        <v xml:space="preserve"> </v>
      </c>
      <c r="AA65" s="51" t="str">
        <f>IF(G65&gt;=45,"WA","")</f>
        <v/>
      </c>
      <c r="AB65" s="1364" t="str">
        <f>IF(F65&lt;&gt;"",IF(OR(D65=$BG$12,D65=$BG$13),IF(E65&lt;&gt;$BG$17,$BF$12,$BF$13),IF(E65&lt;&gt;$BG$17,$BF$12,$BF$13))," ")</f>
        <v xml:space="preserve"> </v>
      </c>
      <c r="AC65" s="1"/>
      <c r="AK65" s="63" t="str">
        <f>'Custom Elements'!B26</f>
        <v xml:space="preserve">  </v>
      </c>
      <c r="AL65" s="860" t="str">
        <f>'Custom Elements'!C26</f>
        <v>Custom18</v>
      </c>
      <c r="AM65" s="11">
        <f>'Custom Elements'!D26</f>
        <v>9.9999999999999996E-76</v>
      </c>
      <c r="AN65" s="7">
        <f>'Custom Elements'!E26</f>
        <v>0</v>
      </c>
      <c r="AO65" s="7">
        <f>'Custom Elements'!F26</f>
        <v>0</v>
      </c>
      <c r="AP65" s="762" t="str">
        <f>'Custom Elements'!G26</f>
        <v>B</v>
      </c>
      <c r="AQ65" s="1777" t="str">
        <f>'Custom Elements'!H26</f>
        <v>Single</v>
      </c>
      <c r="AR65" s="1775" t="str">
        <f>'Custom Elements'!I26</f>
        <v>Yes</v>
      </c>
      <c r="AS65" s="442" t="str">
        <f>'Custom Elements'!J26</f>
        <v>Yes</v>
      </c>
      <c r="AT65" s="1598"/>
      <c r="AU65" s="1155"/>
      <c r="AZ65" s="442" t="str">
        <f>IF(AND('Custom Elements'!J26="Yes",'Custom Elements'!I26="Yes"),"T",IF('Custom Elements'!J26="Yes","F",IF('Custom Elements'!I26="Yes","H","E")))</f>
        <v>T</v>
      </c>
      <c r="BD65" s="641"/>
      <c r="BE65" s="2715" t="s">
        <v>904</v>
      </c>
      <c r="BF65" s="2716"/>
      <c r="BG65" s="2716"/>
      <c r="BI65" s="759"/>
      <c r="BJ65" s="897">
        <f t="shared" si="25"/>
        <v>57</v>
      </c>
      <c r="BK65" s="764"/>
      <c r="BL65" s="766"/>
      <c r="BM65" s="455">
        <f>Table!P7</f>
        <v>1.2</v>
      </c>
      <c r="BN65" s="455">
        <f>BM66</f>
        <v>1.8</v>
      </c>
      <c r="BO65" s="455">
        <f>Table!Q7</f>
        <v>95</v>
      </c>
      <c r="BP65" s="925">
        <f>Table!R7</f>
        <v>84</v>
      </c>
      <c r="BR65" s="764"/>
      <c r="BS65" s="455"/>
      <c r="BT65" s="455"/>
      <c r="BU65" s="925" t="s">
        <v>242</v>
      </c>
      <c r="BV65" s="895"/>
      <c r="BW65" s="912"/>
      <c r="BX65" s="925" t="str">
        <f>Table!T5</f>
        <v>Single</v>
      </c>
      <c r="CH65" s="764">
        <f>IF(BN65=999,0,(BO66-BO65)/(BN65-BM65))</f>
        <v>24.999999999999996</v>
      </c>
      <c r="CI65" s="925">
        <f>IF(BN65=999,0,(BP66-BP65)/(BN65-BM65))</f>
        <v>0</v>
      </c>
      <c r="CJ65" s="759"/>
      <c r="CK65" s="188"/>
      <c r="CL65" s="979">
        <f>VLOOKUP(I65,Prodlink,2,0)</f>
        <v>0</v>
      </c>
      <c r="CN65" s="497">
        <f ca="1">VLOOKUP(CO65,Prodlink,2,0)</f>
        <v>0</v>
      </c>
      <c r="CO65" s="497">
        <f ca="1">OFFSET($CH$9,CL65-1,-15,1,1)</f>
        <v>0</v>
      </c>
      <c r="CQ65" s="51">
        <v>0</v>
      </c>
      <c r="CR65" s="51">
        <f>IF(K65=$BH$12,$BH$23,IF(K65=$BH$13,$BH$24,10000))</f>
        <v>10000</v>
      </c>
      <c r="CS65" s="51">
        <f ca="1">IF(F65&lt;OFFSET($BM$9,CL65-1,0,1,1),0,IF(F65&lt;OFFSET($BN$9,CL65-1,0,1,1),((F65-OFFSET($BM$9,CL65-1,0,1,1))*OFFSET($CH$9,CL65-1,0,1,1))+OFFSET($BO$9,CL65-1,CQ65,1,1),IF(F65&lt;OFFSET($BN$9,CL65+0,0,1,1),((F65-OFFSET($BM$9,CL65+0,0,1,1))*OFFSET($CH$9,CL65+0,0,1,1))+OFFSET($BO$9,CL65+0,CQ65,1,1),IF(F65&lt;OFFSET($BN$9,CL65+1,0,1,1),((F65-OFFSET($BM$9,CL65+1,0,1,1))*OFFSET($CH$9,CL65+1,0,1,1))+OFFSET($BO$9,CL65+1,CQ65,1,1),IF(F65&lt;OFFSET($BN$9,CL65+2,0,1,1),((F65-OFFSET($BM$9,CL65+2,0,1,1))*OFFSET($CH$9,CL65+2,0,1,1))+OFFSET($BO$9,CL65+2,CQ65,1,1),IF(F65&lt;OFFSET($BN$9,CL65+3,0,1,1),((F65-OFFSET($BM$9,CL65+3,0,1,1))*OFFSET($CH$9,CL65+3,0,1,1))+OFFSET($BO$9,CL65+3,CQ65,1,1),0))))))</f>
        <v>0</v>
      </c>
      <c r="CT65" s="51">
        <f ca="1">IF($F65&lt;OFFSET($BM$9,$CL65-1,0,1,1),0,IF($F65&lt;OFFSET($BN$9,$CL65-1,0,1,1),IF(AND($H65&gt;2.4,Z65&lt;&gt;"e",Z65&lt;&gt;"f"),CX65*2.4/$H65,CX65),IF($F65&lt;OFFSET($BN$9,$CL65+0,0,1,1),IF(AND($H65&gt;2.4,Z65&lt;&gt;"e",Z65&lt;&gt;"f"),CX65*2.4/$H65,CX65),IF($F65&lt;OFFSET($BN$9,$CL65+1,0,1,1),IF(AND($H65&gt;2.4,Z65&lt;&gt;"e",Z65&lt;&gt;"f"),CX65*2.4/$H65,CX65),IF($F65&lt;OFFSET($BN$9,CL65+2,0,1,1),IF(AND($H65&gt;2.4,Z65&lt;&gt;"e",Z65&lt;&gt;"f"),CX65*2.4/$H65,CX65),IF($F65&lt;OFFSET($BN$9,CL65+3,0,1,1),IF(AND($H65&gt;2.4,Z65&lt;&gt;"e",Z65&lt;&gt;"f"),CX65*2.4/$H65,CX65),0)))))*COS(RADIANS($G65)))</f>
        <v>0</v>
      </c>
      <c r="CU65" s="51">
        <f ca="1">IF(F65&lt;OFFSET($BM$9,CL65-1,0,1,1),0,IF(F65&lt;OFFSET($BN$9,CL65-1,0,1,1),((F65-OFFSET($BM$9,CL65-1,0,1,1))*OFFSET($CI$9,CL65-1,0,1,1))+OFFSET($BP$9,CL65-1,CQ65,1,1),IF(F65&lt;OFFSET($BN$9,CL65+0,0,1,1),((F65-OFFSET($BM$9,CL65+0,0,1,1))*OFFSET($CI$9,CL65+0,0,1,1))+OFFSET($BP$9,CL65+0,CQ65,1,1),IF(F65&lt;OFFSET($BN$9,CL65+1,0,1,1),((F65-OFFSET($BM$9,CL65+1,0,1,1))*OFFSET($CI$9,CL65+1,0,1,1))+OFFSET($BP$9,CL65+1,CQ65,1,1),IF(F65&lt;OFFSET($BN$9,CL65+2,0,1,1),((F65-OFFSET($BM$9,CL65+2,0,1,1))*OFFSET($CI$9,CL65+2,0,1,1))+OFFSET($BP$9,CL65+2,CQ65,1,1),IF(F65&lt;OFFSET($BN$9,CL65+3,0,1,1),((F65-OFFSET($BM$9,CL65+3,0,1,1))*OFFSET($CI$9,CL65+3,0,1,1))+OFFSET($BP$9,CL65+3,CQ65,1,1),0))))))</f>
        <v>0</v>
      </c>
      <c r="CV65" s="51">
        <f ca="1">IF($F65&lt;OFFSET($BM$9,$CL65-1,0,1,1),0,IF($F65&lt;OFFSET($BN$9,$CL65-1,0,1,1),IF(AND($H65&gt;2.4,Z65&lt;&gt;"e",Z65&lt;&gt;"f"),CZ65*2.4/$H65,CZ65),IF($F65&lt;OFFSET($BN$9,$CL65+0,0,1,1),IF(AND($H65&gt;2.4,Z65&lt;&gt;"e",Z65&lt;&gt;"f"),CZ65*2.4/$H65,CZ65),IF($F65&lt;OFFSET($BN$9,$CL65+1,0,1,1),IF(AND($H65&gt;2.4,Z65&lt;&gt;"e",Z65&lt;&gt;"f"),CZ65*2.4/$H65,CZ65),IF($F65&lt;OFFSET($BN$9,$CL65+2,0,1,1),IF(AND($H65&gt;2.4,Z65&lt;&gt;"e",Z65&lt;&gt;"f"),CZ65*2.4/$H65,CZ65),IF($F65&lt;OFFSET($BN$9,$CL65+3,0,1,1),IF(AND($H65&gt;2.4,Z65&lt;&gt;"e",Z65&lt;&gt;"f"),CZ65*2.4/$H65,CZ65),0)))))*COS(RADIANS($G65)))</f>
        <v>0</v>
      </c>
      <c r="CW65" s="51">
        <f ca="1">IF(CT65&gt;CR65,CR65,CT65)</f>
        <v>0</v>
      </c>
      <c r="CX65" s="51">
        <f ca="1">IF(CS65&gt;$CR65,$CR65,CS65)</f>
        <v>0</v>
      </c>
      <c r="CY65" s="51">
        <f ca="1">CW65*F65</f>
        <v>0</v>
      </c>
      <c r="CZ65" s="51">
        <f ca="1">IF($CU65&gt;$CR65,$CR65,$CU65)</f>
        <v>0</v>
      </c>
      <c r="DA65" s="51">
        <f ca="1">IF(CV65&gt;CR65,CR65,CV65)</f>
        <v>0</v>
      </c>
      <c r="DB65" s="984">
        <f ca="1">DA65*F65</f>
        <v>0</v>
      </c>
      <c r="DC65" s="993">
        <v>1</v>
      </c>
      <c r="DD65" s="758" t="str">
        <f>IF(OR(D65=BG$12,D65=BG$13),"External",IF(D65=BG$14,"Internal"," "))</f>
        <v xml:space="preserve"> </v>
      </c>
      <c r="DE65" s="51" t="str">
        <f t="shared" ca="1" si="1"/>
        <v/>
      </c>
      <c r="DF65" s="52" t="str">
        <f t="shared" ca="1" si="2"/>
        <v xml:space="preserve"> </v>
      </c>
      <c r="DG65" s="51">
        <f ca="1">IF(F65&lt;OFFSET($BM$9,CN65-1,0,1,1),0,IF(F65&lt;OFFSET($BN$9,CN65-1,0,1,1),((F65-OFFSET($BM$9,CN65-1,0,1,1))*OFFSET($CH$9,CN65-1,0,1,1))+OFFSET($BO$9,CN65-1,CQ65,1,1),IF(F65&lt;OFFSET($BN$9,CN65+0,0,1,1),((F65-OFFSET($BM$9,CN65+0,0,1,1))*OFFSET($CH$9,CN65+0,0,1,1))+OFFSET($BO$9,CN65+0,CQ65,1,1),IF(F65&lt;OFFSET($BN$9,CN65+1,0,1,1),((F65-OFFSET($BM$9,CN65+1,0,1,1))*OFFSET($CH$9,CN65+1,0,1,1))+OFFSET($BO$9,CN65+1,CQ65,1,1),IF(F65&lt;OFFSET($BN$9,CN65+2,0,1,1),((F65-OFFSET($BM$9,CN65+2,0,1,1))*OFFSET($CH$9,CN65+2,0,1,1))+OFFSET($BO$9,CN65+2,CQ65,1,1),IF(F65&lt;OFFSET($BN$9,CN65+3,0,1,1),((F65-OFFSET($BM$9,CN65+3,0,1,1))*OFFSET($CH$9,CN65+3,0,1,1))+OFFSET($BO$9,CN65+3,CQ65,1,1),0))))))</f>
        <v>0</v>
      </c>
      <c r="DH65" s="51">
        <f ca="1">IF($F65&lt;OFFSET($BM$9,$CN65-1,0,1,1),0,IF($F65&lt;OFFSET($BN$9,$CN65-1,0,1,1),IF(AND($H65&gt;2.4,Z65&lt;&gt;"e",Z65&lt;&gt;"f"),DL65*2.4/$H65,DL65),IF($F65&lt;OFFSET($BN$9,$CN65+0,0,1,1),IF(AND($H65&gt;2.4,Z65&lt;&gt;"e",Z65&lt;&gt;"f"),DL65*2.4/$H65,DL65),IF($F65&lt;OFFSET($BN$9,$CN65+1,0,1,1),IF(AND($H65&gt;2.4,Z65&lt;&gt;"e",Z65&lt;&gt;"f"),DL65*2.4/$H65,DL65),IF($F65&lt;OFFSET($BN$9,$CN65+2,0,1,1),IF(AND($H65&gt;2.4,Z65&lt;&gt;"e",Z65&lt;&gt;"f"),DL65*2.4/$H65,DL65),IF($F65&lt;OFFSET($BN$9,$CN65+3,0,1,1),IF(AND($H65&gt;2.4,Z65&lt;&gt;"e",Z65&lt;&gt;"f"),DL65*2.4/$H65,DL65),0)))))*COS(RADIANS($G65)))</f>
        <v>0</v>
      </c>
      <c r="DI65" s="51">
        <f ca="1">IF(F65&lt;OFFSET($BM$9,CN65-1,0,1,1),0,IF(F65&lt;OFFSET($BN$9,CN65-1,0,1,1),((F65-OFFSET($BM$9,CN65-1,0,1,1))*OFFSET($CI$9,CN65-1,0,1,1))+OFFSET($BP$9,CN65-1,CQ65,1,1),IF(F65&lt;OFFSET($BN$9,CN65+0,0,1,1),((F65-OFFSET($BM$9,CN65+0,0,1,1))*OFFSET($CI$9,CN65+0,0,1,1))+OFFSET($BP$9,CN65+0,CQ65,1,1),IF(F65&lt;OFFSET($BN$9,CN65+1,0,1,1),((F65-OFFSET($BM$9,CN65+1,0,1,1))*OFFSET($CI$9,CN65+1,0,1,1))+OFFSET($BP$9,CN65+1,CQ65,1,1),IF(F65&lt;OFFSET($BN$9,CN65+2,0,1,1),((F65-OFFSET($BM$9,CN65+2,0,1,1))*OFFSET($CI$9,CN65+2,0,1,1))+OFFSET($BP$9,CN65+2,CQ65,1,1),IF(F65&lt;OFFSET($BN$9,CN65+3,0,1,1),((F65-OFFSET($BM$9,CN65+3,0,1,1))*OFFSET($CI$9,CN65+3,0,1,1))+OFFSET($BP$9,CN65+3,CQ65,1,1),0))))))</f>
        <v>0</v>
      </c>
      <c r="DJ65" s="51">
        <f ca="1">IF($F65&lt;OFFSET($BM$9,$CN65-1,0,1,1),0,IF($F65&lt;OFFSET($BN$9,$CN65-1,0,1,1),IF(AND($H65&gt;2.4,Z65&lt;&gt;"e",Z65&lt;&gt;"f"),DN65*2.4/$H65,DN65),IF($F65&lt;OFFSET($BN$9,$CN65+0,0,1,1),IF(AND($H65&gt;2.4,Z65&lt;&gt;"e",Z65&lt;&gt;"f"),DN65*2.4/$H65,DN65),IF($F65&lt;OFFSET($BN$9,$CN65+1,0,1,1),IF(AND($H65&gt;2.4,Z65&lt;&gt;"e",Z65&lt;&gt;"f"),DN65*2.4/$H65,DN65),IF($F65&lt;OFFSET($BN$9,$CN65+2,0,1,1),IF(AND($H65&gt;2.4,Z65&lt;&gt;"e",Z65&lt;&gt;"f"),DN65*2.4/$H65,DN65),IF($F65&lt;OFFSET($BN$9,$CN65+3,0,1,1),IF(AND($H65&gt;2.4,Z65&lt;&gt;"e",Z65&lt;&gt;"f"),DN65*2.4/$H65,DN65),0)))))*COS(RADIANS($G65)))</f>
        <v>0</v>
      </c>
      <c r="DK65" s="51"/>
      <c r="DL65" s="51">
        <f ca="1">IF(DG65&gt;$CR65,$CR65,DG65)</f>
        <v>0</v>
      </c>
      <c r="DM65" s="51"/>
      <c r="DN65" s="51">
        <f ca="1">IF(DI65&gt;$CR65,$CR65,DI65)</f>
        <v>0</v>
      </c>
      <c r="DO65" s="435">
        <f ca="1">IF(DH65&gt;$CR65,$CR65,DH65)</f>
        <v>0</v>
      </c>
      <c r="DP65" s="435">
        <f ca="1">DO65*F65</f>
        <v>0</v>
      </c>
      <c r="DQ65" s="436">
        <f ca="1">IF(DJ65&gt;$CR65,$CR65,DJ65)</f>
        <v>0</v>
      </c>
      <c r="DR65" s="437">
        <f ca="1">DQ65*F65</f>
        <v>0</v>
      </c>
      <c r="DS65" s="426">
        <f ca="1">OFFSET($CH$9,CL65-1,-15,1,1)</f>
        <v>0</v>
      </c>
      <c r="DT65" s="451">
        <f ca="1">VLOOKUP(DS65,Prodlink,2,0)</f>
        <v>0</v>
      </c>
      <c r="DU65" s="188">
        <f ca="1">IF(F65&lt;OFFSET($BM$9,DT65-1,0,1,1),0,IF(F65&lt;OFFSET($BN$9,DT65-1,0,1,1),((F65-OFFSET($BM$9,DT65-1,0,1,1))*OFFSET($CH$9,DT65-1,0,1,1))+OFFSET($BO$9,DT65-1,CQ65,1,1),IF(F65&lt;OFFSET($BN$9,DT65+0,0,1,1),((F65-OFFSET($BM$9,DT65+0,0,1,1))*OFFSET($CH$9,DT65+0,0,1,1))+OFFSET($BO$9,DT65+0,CQ65,1,1),IF(F65&lt;OFFSET($BN$9,DT65+1,0,1,1),((F65-OFFSET($BM$9,DT65+1,0,1,1))*OFFSET($CH$9,DT65+1,0,1,1))+OFFSET($BO$9,DT65+1,CQ65,1,1),IF(F65&lt;OFFSET($BN$9,DT65+2,0,1,1),((F65-OFFSET($BM$9,DT65+2,0,1,1))*OFFSET($CH$9,DT65+2,0,1,1))+OFFSET($BO$9,DT65+2,CQ65,1,1),IF(F65&lt;OFFSET($BN$9,DT65+3,0,1,1),((F65-OFFSET($BM$9,DT65+3,0,1,1))*OFFSET($CH$9,DT65+3,0,1,1))+OFFSET($BO$9,DT65+3,CQ65,1,1),0))))))</f>
        <v>0</v>
      </c>
      <c r="DV65" s="51">
        <f ca="1">IF($F65&lt;OFFSET($BM$9,$DT65-1,0,1,1),0,IF($F65&lt;OFFSET($BN$9,$DT65-1,0,1,1),IF(AND($H65&gt;2.4,Z65&lt;&gt;"e",Z65&lt;&gt;"f"),DZ65*2.4/$H65,DZ65),IF($F65&lt;OFFSET($BN$9,$DT65+0,0,1,1),IF(AND($H65&gt;2.4,Z65&lt;&gt;"e",Z65&lt;&gt;"f"),DZ65*2.4/$H65,DZ65),IF($F65&lt;OFFSET($BN$9,$DT65+1,0,1,1),IF(AND($H65&gt;2.4,Z65&lt;&gt;"e",Z65&lt;&gt;"f"),DZ65*2.4/$H65,DZ65),IF($F65&lt;OFFSET($BN$9,$DT65+2,0,1,1),IF(AND($H65&gt;2.4,Z65&lt;&gt;"e",Z65&lt;&gt;"f"),DZ65*2.4/$H65,DZ65),IF($F65&lt;OFFSET($BN$9,$DT65+3,0,1,1),IF(AND($H65&gt;2.4,Z65&lt;&gt;"e",Z65&lt;&gt;"f"),DZ65*2.4/$H65,DZ65),0)))))*COS(RADIANS($G65)))</f>
        <v>0</v>
      </c>
      <c r="DW65" s="188">
        <f ca="1">IF(F65&lt;OFFSET($BM$9,DT65-1,0,1,1),0,IF(F65&lt;OFFSET($BN$9,DT65-1,0,1,1),((F65-OFFSET($BM$9,DT65-1,0,1,1))*OFFSET($CI$9,DT65-1,0,1,1))+OFFSET($BP$9,DT65-1,CQ65,1,1),IF(F65&lt;OFFSET($BN$9,DT65+0,0,1,1),((F65-OFFSET($BM$9,DT65+0,0,1,1))*OFFSET($CI$9,DT65+0,0,1,1))+OFFSET($BP$9,DT65+0,CQ65,1,1),IF(F65&lt;OFFSET($BN$9,DT65+1,0,1,1),((F65-OFFSET($BM$9,DT65+1,0,1,1))*OFFSET($CI$9,DT65+1,0,1,1))+OFFSET($BP$9,DT65+1,CQ65,1,1),IF(F65&lt;OFFSET($BN$9,DT65+2,0,1,1),((F65-OFFSET($BM$9,DT65+2,0,1,1))*OFFSET($CI$9,DT65+2,0,1,1))+OFFSET($BP$9,DT65+2,CQ65,1,1),IF(F65&lt;OFFSET($BN$9,DT65+3,0,1,1),((F65-OFFSET($BM$9,DT65+3,0,1,1))*OFFSET($CI$9,DT65+3,0,1,1))+OFFSET($BP$9,DT65+3,CQ65,1,1),0))))))</f>
        <v>0</v>
      </c>
      <c r="DX65" s="51">
        <f ca="1">IF($F65&lt;OFFSET($BM$9,$DT65-1,0,1,1),0,IF($F65&lt;OFFSET($BN$9,$DT65-1,0,1,1),IF(AND($H65&gt;2.4,Z65&lt;&gt;"e",Z65&lt;&gt;"f"),EB65*2.4/$H65,EB65),IF($F65&lt;OFFSET($BN$9,$DT65+0,0,1,1),IF(AND($H65&gt;2.4,Z65&lt;&gt;"e",Z65&lt;&gt;"f"),EB65*2.4/$H65,EB65),IF($F65&lt;OFFSET($BN$9,$DT65+1,0,1,1),IF(AND($H65&gt;2.4,Z65&lt;&gt;"e",Z65&lt;&gt;"f"),EB65*2.4/$H65,EB65),IF($F65&lt;OFFSET($BN$9,$DT65+2,0,1,1),IF(AND($H65&gt;2.4,Z65&lt;&gt;"e",Z65&lt;&gt;"f"),EB65*2.4/$H65,EB65),IF($F65&lt;OFFSET($BN$9,$DT65+3,0,1,1),IF(AND($H65&gt;2.4,Z65&lt;&gt;"e",Z65&lt;&gt;"f"),EB65*2.4/$H65,EB65),0)))))*COS(RADIANS($G65)))</f>
        <v>0</v>
      </c>
      <c r="DY65" s="188"/>
      <c r="DZ65" s="188">
        <f ca="1">IF(DU65&gt;$CR65,$CR65,DU65)</f>
        <v>0</v>
      </c>
      <c r="EA65" s="188"/>
      <c r="EB65" s="188">
        <f ca="1">IF(DW65&gt;$CR65,$CR65,DW65)</f>
        <v>0</v>
      </c>
      <c r="EC65" s="435">
        <f ca="1">IF(DV65&gt;$CR65,$CR65,DV65)</f>
        <v>0</v>
      </c>
      <c r="ED65" s="435">
        <f ca="1">EC65*F65</f>
        <v>0</v>
      </c>
      <c r="EE65" s="436">
        <f ca="1">IF(DX65&gt;$CR65,$CR65,DX65)</f>
        <v>0</v>
      </c>
      <c r="EF65" s="437">
        <f ca="1">EE65*F65</f>
        <v>0</v>
      </c>
      <c r="EG65" s="613" t="str">
        <f>IF(D65=BG$12,BG$12,"")</f>
        <v/>
      </c>
      <c r="EH65" s="614" t="str">
        <f>IF(D65=BG$13,BG$13,"")</f>
        <v/>
      </c>
      <c r="EI65" s="611">
        <f>IF(EG65=BG$12,M65,0)</f>
        <v>0</v>
      </c>
      <c r="EJ65" s="451">
        <f>IF(EG65=BG$12,O65,0)</f>
        <v>0</v>
      </c>
      <c r="EK65" s="451">
        <f>IF(EH65=BG$13,M65,0)</f>
        <v>0</v>
      </c>
      <c r="EL65" s="612">
        <f>IF(EH65=BG$13,O65,0)</f>
        <v>0</v>
      </c>
      <c r="EM65" s="426" t="str">
        <f ca="1">IF(AND(Z65&lt;&gt;"t",Z65&lt;&gt;"f"),"",IF(AND(EN65=$BH$13,K65=$BH$12),"NotOpt",IF(K65&lt;&gt;EN65,"Error","")))</f>
        <v/>
      </c>
      <c r="EN65" s="491" t="str">
        <f>IF(AND($BH$28=1,$BG$28=1),$BH$13,$BH$12)</f>
        <v>120 BU's</v>
      </c>
      <c r="EO65" s="426" t="str">
        <f>K65</f>
        <v xml:space="preserve"> </v>
      </c>
      <c r="EP65" s="497">
        <v>1</v>
      </c>
      <c r="EQ65" s="430" t="str">
        <f ca="1">IF(EP65=1," ",OFFSET(BF$15,EP65-2,0,1,1))</f>
        <v xml:space="preserve"> </v>
      </c>
      <c r="ER65" s="439" t="str">
        <f ca="1">IF(H65=0," ",H65)</f>
        <v xml:space="preserve"> </v>
      </c>
      <c r="ES65" s="440" t="str">
        <f ca="1">IF(ER65&lt;&gt;" ",IF(ER65&lt;&gt;ER$7,"Changed",""),"")</f>
        <v/>
      </c>
      <c r="ET65" s="440">
        <f ca="1">IF(ER65&lt;&gt;" ",IF(ER65&lt;&gt;ER$7,1,0),0)</f>
        <v>0</v>
      </c>
      <c r="EU65" s="957" t="str">
        <f ca="1">IF(I65=" "," ",IF(F65&lt;OFFSET($BM$9,CL65-1,0,1,1),1,""))</f>
        <v xml:space="preserve"> </v>
      </c>
      <c r="EW65" s="427"/>
    </row>
    <row r="66" spans="1:153" ht="17.100000000000001" customHeight="1" thickBot="1">
      <c r="A66" s="2685"/>
      <c r="B66" s="689" t="s">
        <v>246</v>
      </c>
      <c r="C66" s="684" t="str">
        <f>IF(OR(F66=0,I66="",I66=" ")," ",$V66)</f>
        <v xml:space="preserve"> </v>
      </c>
      <c r="D66" s="1033"/>
      <c r="E66" s="1360"/>
      <c r="F66" s="202"/>
      <c r="G66" s="1416"/>
      <c r="H66" s="199" t="str">
        <f ca="1">IF(OR(F66=0,Z66="E",Z66="f")," ",'Project Demand'!E$35)</f>
        <v xml:space="preserve"> </v>
      </c>
      <c r="I66" s="631" t="str">
        <f>IF($I$6&lt;&gt;$BG$8," ",AB66)</f>
        <v xml:space="preserve"> </v>
      </c>
      <c r="J66" s="44" t="str">
        <f ca="1">IF(OR(I66=" ",I66="")," ",OFFSET($BO$9,CL66-1,0-4,1,1))</f>
        <v xml:space="preserve"> </v>
      </c>
      <c r="K66" s="55" t="str">
        <f>IF(OR(I66=" ",I66="")," ",IF(OR(Z66="e",Z66="h"),"SD",BG$24))</f>
        <v xml:space="preserve"> </v>
      </c>
      <c r="L66" s="49">
        <f ca="1">CW66</f>
        <v>0</v>
      </c>
      <c r="M66" s="49">
        <f ca="1">CY66</f>
        <v>0</v>
      </c>
      <c r="N66" s="50">
        <f t="shared" ca="1" si="30"/>
        <v>0</v>
      </c>
      <c r="O66" s="126">
        <f t="shared" ca="1" si="30"/>
        <v>0</v>
      </c>
      <c r="P66" s="140"/>
      <c r="Q66" s="752" t="str">
        <f ca="1">IF(AND(OR(Z66="t",Z66="f"),K66=$BH$11),"No Floor!  Change Floor Type",IF(OR(I66=" ",I66="")," ",IF(F66&lt;OFFSET($BM$9,CL66-1,0,1,1),"check L(m)",DE66&amp;IF(AND(DP66&gt;=CY66,DR66&gt;=DB66),IF(AND(ED66&gt;=DP66,EF66&gt;=DR66),CONCATENATE(DS66," will provide same result"),CONCATENATE(CO66," will provide same result")),IF((DP66&gt;=CY66),CONCATENATE(CO66," provides same result in WIND"),IF((DR66&gt;=DB66),CONCATENATE(CO66," provides same result in EQ"),""))))))&amp;IF(ISERROR(FIND("pile",I66,1)),"",IF(INT(F66)&lt;&gt;F66,"Pile!  Use Whole Numbers Only",""))</f>
        <v xml:space="preserve"> </v>
      </c>
      <c r="R66" s="52"/>
      <c r="S66" s="1372"/>
      <c r="T66" s="1372"/>
      <c r="U66" s="1377"/>
      <c r="V66" s="52" t="str">
        <f ca="1">IF(AND(B$5=$BF$9,OR(I66=BH$16,I66=BH$17))," ",IF(ISNUMBER(B$62),(CONCATENATE(B$62,".",W66)),(CONCATENATE(B$62,W66))))</f>
        <v>J0</v>
      </c>
      <c r="W66" s="9">
        <f ca="1">W65+X66</f>
        <v>0</v>
      </c>
      <c r="X66" s="9">
        <f>IF(AND(B$5=$BF$9,OR($I66=$BH$16,$I66=$BH$17,$I66=" ",$I66="",$F66=0)),0,IF(OR($I66=" ",$I66="",$F66=0),0,1))</f>
        <v>0</v>
      </c>
      <c r="Y66" s="896"/>
      <c r="Z66" s="52" t="str">
        <f ca="1">IF(I66=" "," ",OFFSET($BM$9,$CL66-1,8,1,1))</f>
        <v xml:space="preserve"> </v>
      </c>
      <c r="AA66" s="51" t="str">
        <f>IF(G66&gt;=45,"WA","")</f>
        <v/>
      </c>
      <c r="AB66" s="1364" t="str">
        <f>IF(F66&lt;&gt;"",IF(OR(D66=$BG$12,D66=$BG$13),IF(E66&lt;&gt;$BG$17,$BF$12,$BF$13),IF(E66&lt;&gt;$BG$17,$BF$12,$BF$13))," ")</f>
        <v xml:space="preserve"> </v>
      </c>
      <c r="AC66" s="1"/>
      <c r="AK66" s="63" t="str">
        <f>'Custom Elements'!B27</f>
        <v xml:space="preserve">  </v>
      </c>
      <c r="AL66" s="860" t="str">
        <f>'Custom Elements'!C27</f>
        <v>Custom19</v>
      </c>
      <c r="AM66" s="11">
        <f>'Custom Elements'!D27</f>
        <v>9.9999999999999996E-76</v>
      </c>
      <c r="AN66" s="7">
        <f>'Custom Elements'!E27</f>
        <v>0</v>
      </c>
      <c r="AO66" s="7">
        <f>'Custom Elements'!F27</f>
        <v>0</v>
      </c>
      <c r="AP66" s="762" t="str">
        <f>'Custom Elements'!G27</f>
        <v>B</v>
      </c>
      <c r="AQ66" s="1777" t="str">
        <f>'Custom Elements'!H27</f>
        <v>Single</v>
      </c>
      <c r="AR66" s="1775" t="str">
        <f>'Custom Elements'!I27</f>
        <v>Yes</v>
      </c>
      <c r="AS66" s="442" t="str">
        <f>'Custom Elements'!J27</f>
        <v>Yes</v>
      </c>
      <c r="AT66" s="1598"/>
      <c r="AU66" s="1155"/>
      <c r="AZ66" s="442" t="str">
        <f>IF(AND('Custom Elements'!J27="Yes",'Custom Elements'!I27="Yes"),"T",IF('Custom Elements'!J27="Yes","F",IF('Custom Elements'!I27="Yes","H","E")))</f>
        <v>T</v>
      </c>
      <c r="BD66" s="641"/>
      <c r="BE66" s="2715" t="s">
        <v>862</v>
      </c>
      <c r="BF66" s="2716"/>
      <c r="BG66" s="2716"/>
      <c r="BI66" s="759"/>
      <c r="BJ66" s="897">
        <f t="shared" si="25"/>
        <v>58</v>
      </c>
      <c r="BK66" s="908"/>
      <c r="BL66" s="767"/>
      <c r="BM66" s="776">
        <f>Table!P8</f>
        <v>1.8</v>
      </c>
      <c r="BN66" s="776">
        <v>999</v>
      </c>
      <c r="BO66" s="776">
        <f>Table!Q8</f>
        <v>110</v>
      </c>
      <c r="BP66" s="926">
        <f>Table!R8</f>
        <v>84</v>
      </c>
      <c r="BQ66" s="1183"/>
      <c r="BR66" s="908"/>
      <c r="BS66" s="776"/>
      <c r="BT66" s="776"/>
      <c r="BU66" s="926" t="s">
        <v>242</v>
      </c>
      <c r="BV66" s="433"/>
      <c r="BW66" s="914"/>
      <c r="BX66" s="926" t="str">
        <f>Table!T5</f>
        <v>Single</v>
      </c>
      <c r="CH66" s="908">
        <f>IF(BN66=999,0,(BO67-BO66)/(BN66-BM66))</f>
        <v>0</v>
      </c>
      <c r="CI66" s="926">
        <f>IF(BN66=999,0,(BP67-BP66)/(BN66-BM66))</f>
        <v>0</v>
      </c>
      <c r="CJ66" s="759"/>
      <c r="CK66" s="188"/>
      <c r="CL66" s="979">
        <f>VLOOKUP(I66,Prodlink,2,0)</f>
        <v>0</v>
      </c>
      <c r="CN66" s="497">
        <f ca="1">VLOOKUP(CO66,Prodlink,2,0)</f>
        <v>0</v>
      </c>
      <c r="CO66" s="497">
        <f ca="1">OFFSET($CH$9,CL66-1,-15,1,1)</f>
        <v>0</v>
      </c>
      <c r="CQ66" s="51">
        <v>0</v>
      </c>
      <c r="CR66" s="51">
        <f>IF(K66=$BH$12,$BH$23,IF(K66=$BH$13,$BH$24,10000))</f>
        <v>10000</v>
      </c>
      <c r="CS66" s="51">
        <f ca="1">IF(F66&lt;OFFSET($BM$9,CL66-1,0,1,1),0,IF(F66&lt;OFFSET($BN$9,CL66-1,0,1,1),((F66-OFFSET($BM$9,CL66-1,0,1,1))*OFFSET($CH$9,CL66-1,0,1,1))+OFFSET($BO$9,CL66-1,CQ66,1,1),IF(F66&lt;OFFSET($BN$9,CL66+0,0,1,1),((F66-OFFSET($BM$9,CL66+0,0,1,1))*OFFSET($CH$9,CL66+0,0,1,1))+OFFSET($BO$9,CL66+0,CQ66,1,1),IF(F66&lt;OFFSET($BN$9,CL66+1,0,1,1),((F66-OFFSET($BM$9,CL66+1,0,1,1))*OFFSET($CH$9,CL66+1,0,1,1))+OFFSET($BO$9,CL66+1,CQ66,1,1),IF(F66&lt;OFFSET($BN$9,CL66+2,0,1,1),((F66-OFFSET($BM$9,CL66+2,0,1,1))*OFFSET($CH$9,CL66+2,0,1,1))+OFFSET($BO$9,CL66+2,CQ66,1,1),IF(F66&lt;OFFSET($BN$9,CL66+3,0,1,1),((F66-OFFSET($BM$9,CL66+3,0,1,1))*OFFSET($CH$9,CL66+3,0,1,1))+OFFSET($BO$9,CL66+3,CQ66,1,1),0))))))</f>
        <v>0</v>
      </c>
      <c r="CT66" s="51">
        <f ca="1">IF($F66&lt;OFFSET($BM$9,$CL66-1,0,1,1),0,IF($F66&lt;OFFSET($BN$9,$CL66-1,0,1,1),IF(AND($H66&gt;2.4,Z66&lt;&gt;"e",Z66&lt;&gt;"f"),CX66*2.4/$H66,CX66),IF($F66&lt;OFFSET($BN$9,$CL66+0,0,1,1),IF(AND($H66&gt;2.4,Z66&lt;&gt;"e",Z66&lt;&gt;"f"),CX66*2.4/$H66,CX66),IF($F66&lt;OFFSET($BN$9,$CL66+1,0,1,1),IF(AND($H66&gt;2.4,Z66&lt;&gt;"e",Z66&lt;&gt;"f"),CX66*2.4/$H66,CX66),IF($F66&lt;OFFSET($BN$9,CL66+2,0,1,1),IF(AND($H66&gt;2.4,Z66&lt;&gt;"e",Z66&lt;&gt;"f"),CX66*2.4/$H66,CX66),IF($F66&lt;OFFSET($BN$9,CL66+3,0,1,1),IF(AND($H66&gt;2.4,Z66&lt;&gt;"e",Z66&lt;&gt;"f"),CX66*2.4/$H66,CX66),0)))))*COS(RADIANS($G66)))</f>
        <v>0</v>
      </c>
      <c r="CU66" s="51">
        <f ca="1">IF(F66&lt;OFFSET($BM$9,CL66-1,0,1,1),0,IF(F66&lt;OFFSET($BN$9,CL66-1,0,1,1),((F66-OFFSET($BM$9,CL66-1,0,1,1))*OFFSET($CI$9,CL66-1,0,1,1))+OFFSET($BP$9,CL66-1,CQ66,1,1),IF(F66&lt;OFFSET($BN$9,CL66+0,0,1,1),((F66-OFFSET($BM$9,CL66+0,0,1,1))*OFFSET($CI$9,CL66+0,0,1,1))+OFFSET($BP$9,CL66+0,CQ66,1,1),IF(F66&lt;OFFSET($BN$9,CL66+1,0,1,1),((F66-OFFSET($BM$9,CL66+1,0,1,1))*OFFSET($CI$9,CL66+1,0,1,1))+OFFSET($BP$9,CL66+1,CQ66,1,1),IF(F66&lt;OFFSET($BN$9,CL66+2,0,1,1),((F66-OFFSET($BM$9,CL66+2,0,1,1))*OFFSET($CI$9,CL66+2,0,1,1))+OFFSET($BP$9,CL66+2,CQ66,1,1),IF(F66&lt;OFFSET($BN$9,CL66+3,0,1,1),((F66-OFFSET($BM$9,CL66+3,0,1,1))*OFFSET($CI$9,CL66+3,0,1,1))+OFFSET($BP$9,CL66+3,CQ66,1,1),0))))))</f>
        <v>0</v>
      </c>
      <c r="CV66" s="51">
        <f ca="1">IF($F66&lt;OFFSET($BM$9,$CL66-1,0,1,1),0,IF($F66&lt;OFFSET($BN$9,$CL66-1,0,1,1),IF(AND($H66&gt;2.4,Z66&lt;&gt;"e",Z66&lt;&gt;"f"),CZ66*2.4/$H66,CZ66),IF($F66&lt;OFFSET($BN$9,$CL66+0,0,1,1),IF(AND($H66&gt;2.4,Z66&lt;&gt;"e",Z66&lt;&gt;"f"),CZ66*2.4/$H66,CZ66),IF($F66&lt;OFFSET($BN$9,$CL66+1,0,1,1),IF(AND($H66&gt;2.4,Z66&lt;&gt;"e",Z66&lt;&gt;"f"),CZ66*2.4/$H66,CZ66),IF($F66&lt;OFFSET($BN$9,$CL66+2,0,1,1),IF(AND($H66&gt;2.4,Z66&lt;&gt;"e",Z66&lt;&gt;"f"),CZ66*2.4/$H66,CZ66),IF($F66&lt;OFFSET($BN$9,$CL66+3,0,1,1),IF(AND($H66&gt;2.4,Z66&lt;&gt;"e",Z66&lt;&gt;"f"),CZ66*2.4/$H66,CZ66),0)))))*COS(RADIANS($G66)))</f>
        <v>0</v>
      </c>
      <c r="CW66" s="51">
        <f ca="1">IF(CT66&gt;CR66,CR66,CT66)</f>
        <v>0</v>
      </c>
      <c r="CX66" s="51">
        <f ca="1">IF(CS66&gt;$CR66,$CR66,CS66)</f>
        <v>0</v>
      </c>
      <c r="CY66" s="51">
        <f ca="1">CW66*F66</f>
        <v>0</v>
      </c>
      <c r="CZ66" s="51">
        <f ca="1">IF($CU66&gt;$CR66,$CR66,$CU66)</f>
        <v>0</v>
      </c>
      <c r="DA66" s="51">
        <f ca="1">IF(CV66&gt;CR66,CR66,CV66)</f>
        <v>0</v>
      </c>
      <c r="DB66" s="984">
        <f ca="1">DA66*F66</f>
        <v>0</v>
      </c>
      <c r="DC66" s="993">
        <v>1</v>
      </c>
      <c r="DD66" s="758" t="str">
        <f>IF(OR(D66=BG$12,D66=BG$13),"External",IF(D66=BG$14,"Internal"," "))</f>
        <v xml:space="preserve"> </v>
      </c>
      <c r="DE66" s="51" t="str">
        <f t="shared" ca="1" si="1"/>
        <v/>
      </c>
      <c r="DF66" s="52" t="str">
        <f t="shared" ca="1" si="2"/>
        <v xml:space="preserve"> </v>
      </c>
      <c r="DG66" s="51">
        <f ca="1">IF(F66&lt;OFFSET($BM$9,CN66-1,0,1,1),0,IF(F66&lt;OFFSET($BN$9,CN66-1,0,1,1),((F66-OFFSET($BM$9,CN66-1,0,1,1))*OFFSET($CH$9,CN66-1,0,1,1))+OFFSET($BO$9,CN66-1,CQ66,1,1),IF(F66&lt;OFFSET($BN$9,CN66+0,0,1,1),((F66-OFFSET($BM$9,CN66+0,0,1,1))*OFFSET($CH$9,CN66+0,0,1,1))+OFFSET($BO$9,CN66+0,CQ66,1,1),IF(F66&lt;OFFSET($BN$9,CN66+1,0,1,1),((F66-OFFSET($BM$9,CN66+1,0,1,1))*OFFSET($CH$9,CN66+1,0,1,1))+OFFSET($BO$9,CN66+1,CQ66,1,1),IF(F66&lt;OFFSET($BN$9,CN66+2,0,1,1),((F66-OFFSET($BM$9,CN66+2,0,1,1))*OFFSET($CH$9,CN66+2,0,1,1))+OFFSET($BO$9,CN66+2,CQ66,1,1),IF(F66&lt;OFFSET($BN$9,CN66+3,0,1,1),((F66-OFFSET($BM$9,CN66+3,0,1,1))*OFFSET($CH$9,CN66+3,0,1,1))+OFFSET($BO$9,CN66+3,CQ66,1,1),0))))))</f>
        <v>0</v>
      </c>
      <c r="DH66" s="51">
        <f ca="1">IF($F66&lt;OFFSET($BM$9,$CN66-1,0,1,1),0,IF($F66&lt;OFFSET($BN$9,$CN66-1,0,1,1),IF(AND($H66&gt;2.4,Z66&lt;&gt;"e",Z66&lt;&gt;"f"),DL66*2.4/$H66,DL66),IF($F66&lt;OFFSET($BN$9,$CN66+0,0,1,1),IF(AND($H66&gt;2.4,Z66&lt;&gt;"e",Z66&lt;&gt;"f"),DL66*2.4/$H66,DL66),IF($F66&lt;OFFSET($BN$9,$CN66+1,0,1,1),IF(AND($H66&gt;2.4,Z66&lt;&gt;"e",Z66&lt;&gt;"f"),DL66*2.4/$H66,DL66),IF($F66&lt;OFFSET($BN$9,$CN66+2,0,1,1),IF(AND($H66&gt;2.4,Z66&lt;&gt;"e",Z66&lt;&gt;"f"),DL66*2.4/$H66,DL66),IF($F66&lt;OFFSET($BN$9,$CN66+3,0,1,1),IF(AND($H66&gt;2.4,Z66&lt;&gt;"e",Z66&lt;&gt;"f"),DL66*2.4/$H66,DL66),0)))))*COS(RADIANS($G66)))</f>
        <v>0</v>
      </c>
      <c r="DI66" s="51">
        <f ca="1">IF(F66&lt;OFFSET($BM$9,CN66-1,0,1,1),0,IF(F66&lt;OFFSET($BN$9,CN66-1,0,1,1),((F66-OFFSET($BM$9,CN66-1,0,1,1))*OFFSET($CI$9,CN66-1,0,1,1))+OFFSET($BP$9,CN66-1,CQ66,1,1),IF(F66&lt;OFFSET($BN$9,CN66+0,0,1,1),((F66-OFFSET($BM$9,CN66+0,0,1,1))*OFFSET($CI$9,CN66+0,0,1,1))+OFFSET($BP$9,CN66+0,CQ66,1,1),IF(F66&lt;OFFSET($BN$9,CN66+1,0,1,1),((F66-OFFSET($BM$9,CN66+1,0,1,1))*OFFSET($CI$9,CN66+1,0,1,1))+OFFSET($BP$9,CN66+1,CQ66,1,1),IF(F66&lt;OFFSET($BN$9,CN66+2,0,1,1),((F66-OFFSET($BM$9,CN66+2,0,1,1))*OFFSET($CI$9,CN66+2,0,1,1))+OFFSET($BP$9,CN66+2,CQ66,1,1),IF(F66&lt;OFFSET($BN$9,CN66+3,0,1,1),((F66-OFFSET($BM$9,CN66+3,0,1,1))*OFFSET($CI$9,CN66+3,0,1,1))+OFFSET($BP$9,CN66+3,CQ66,1,1),0))))))</f>
        <v>0</v>
      </c>
      <c r="DJ66" s="51">
        <f ca="1">IF($F66&lt;OFFSET($BM$9,$CN66-1,0,1,1),0,IF($F66&lt;OFFSET($BN$9,$CN66-1,0,1,1),IF(AND($H66&gt;2.4,Z66&lt;&gt;"e",Z66&lt;&gt;"f"),DN66*2.4/$H66,DN66),IF($F66&lt;OFFSET($BN$9,$CN66+0,0,1,1),IF(AND($H66&gt;2.4,Z66&lt;&gt;"e",Z66&lt;&gt;"f"),DN66*2.4/$H66,DN66),IF($F66&lt;OFFSET($BN$9,$CN66+1,0,1,1),IF(AND($H66&gt;2.4,Z66&lt;&gt;"e",Z66&lt;&gt;"f"),DN66*2.4/$H66,DN66),IF($F66&lt;OFFSET($BN$9,$CN66+2,0,1,1),IF(AND($H66&gt;2.4,Z66&lt;&gt;"e",Z66&lt;&gt;"f"),DN66*2.4/$H66,DN66),IF($F66&lt;OFFSET($BN$9,$CN66+3,0,1,1),IF(AND($H66&gt;2.4,Z66&lt;&gt;"e",Z66&lt;&gt;"f"),DN66*2.4/$H66,DN66),0)))))*COS(RADIANS($G66)))</f>
        <v>0</v>
      </c>
      <c r="DK66" s="51"/>
      <c r="DL66" s="51">
        <f ca="1">IF(DG66&gt;$CR66,$CR66,DG66)</f>
        <v>0</v>
      </c>
      <c r="DM66" s="51"/>
      <c r="DN66" s="51">
        <f ca="1">IF(DI66&gt;$CR66,$CR66,DI66)</f>
        <v>0</v>
      </c>
      <c r="DO66" s="435">
        <f ca="1">IF(DH66&gt;$CR66,$CR66,DH66)</f>
        <v>0</v>
      </c>
      <c r="DP66" s="435">
        <f ca="1">DO66*F66</f>
        <v>0</v>
      </c>
      <c r="DQ66" s="436">
        <f ca="1">IF(DJ66&gt;$CR66,$CR66,DJ66)</f>
        <v>0</v>
      </c>
      <c r="DR66" s="437">
        <f ca="1">DQ66*F66</f>
        <v>0</v>
      </c>
      <c r="DS66" s="426">
        <f ca="1">OFFSET($CH$9,CL66-1,-15,1,1)</f>
        <v>0</v>
      </c>
      <c r="DT66" s="451">
        <f ca="1">VLOOKUP(DS66,Prodlink,2,0)</f>
        <v>0</v>
      </c>
      <c r="DU66" s="188">
        <f ca="1">IF(F66&lt;OFFSET($BM$9,DT66-1,0,1,1),0,IF(F66&lt;OFFSET($BN$9,DT66-1,0,1,1),((F66-OFFSET($BM$9,DT66-1,0,1,1))*OFFSET($CH$9,DT66-1,0,1,1))+OFFSET($BO$9,DT66-1,CQ66,1,1),IF(F66&lt;OFFSET($BN$9,DT66+0,0,1,1),((F66-OFFSET($BM$9,DT66+0,0,1,1))*OFFSET($CH$9,DT66+0,0,1,1))+OFFSET($BO$9,DT66+0,CQ66,1,1),IF(F66&lt;OFFSET($BN$9,DT66+1,0,1,1),((F66-OFFSET($BM$9,DT66+1,0,1,1))*OFFSET($CH$9,DT66+1,0,1,1))+OFFSET($BO$9,DT66+1,CQ66,1,1),IF(F66&lt;OFFSET($BN$9,DT66+2,0,1,1),((F66-OFFSET($BM$9,DT66+2,0,1,1))*OFFSET($CH$9,DT66+2,0,1,1))+OFFSET($BO$9,DT66+2,CQ66,1,1),IF(F66&lt;OFFSET($BN$9,DT66+3,0,1,1),((F66-OFFSET($BM$9,DT66+3,0,1,1))*OFFSET($CH$9,DT66+3,0,1,1))+OFFSET($BO$9,DT66+3,CQ66,1,1),0))))))</f>
        <v>0</v>
      </c>
      <c r="DV66" s="51">
        <f ca="1">IF($F66&lt;OFFSET($BM$9,$DT66-1,0,1,1),0,IF($F66&lt;OFFSET($BN$9,$DT66-1,0,1,1),IF(AND($H66&gt;2.4,Z66&lt;&gt;"e",Z66&lt;&gt;"f"),DZ66*2.4/$H66,DZ66),IF($F66&lt;OFFSET($BN$9,$DT66+0,0,1,1),IF(AND($H66&gt;2.4,Z66&lt;&gt;"e",Z66&lt;&gt;"f"),DZ66*2.4/$H66,DZ66),IF($F66&lt;OFFSET($BN$9,$DT66+1,0,1,1),IF(AND($H66&gt;2.4,Z66&lt;&gt;"e",Z66&lt;&gt;"f"),DZ66*2.4/$H66,DZ66),IF($F66&lt;OFFSET($BN$9,$DT66+2,0,1,1),IF(AND($H66&gt;2.4,Z66&lt;&gt;"e",Z66&lt;&gt;"f"),DZ66*2.4/$H66,DZ66),IF($F66&lt;OFFSET($BN$9,$DT66+3,0,1,1),IF(AND($H66&gt;2.4,Z66&lt;&gt;"e",Z66&lt;&gt;"f"),DZ66*2.4/$H66,DZ66),0)))))*COS(RADIANS($G66)))</f>
        <v>0</v>
      </c>
      <c r="DW66" s="188">
        <f ca="1">IF(F66&lt;OFFSET($BM$9,DT66-1,0,1,1),0,IF(F66&lt;OFFSET($BN$9,DT66-1,0,1,1),((F66-OFFSET($BM$9,DT66-1,0,1,1))*OFFSET($CI$9,DT66-1,0,1,1))+OFFSET($BP$9,DT66-1,CQ66,1,1),IF(F66&lt;OFFSET($BN$9,DT66+0,0,1,1),((F66-OFFSET($BM$9,DT66+0,0,1,1))*OFFSET($CI$9,DT66+0,0,1,1))+OFFSET($BP$9,DT66+0,CQ66,1,1),IF(F66&lt;OFFSET($BN$9,DT66+1,0,1,1),((F66-OFFSET($BM$9,DT66+1,0,1,1))*OFFSET($CI$9,DT66+1,0,1,1))+OFFSET($BP$9,DT66+1,CQ66,1,1),IF(F66&lt;OFFSET($BN$9,DT66+2,0,1,1),((F66-OFFSET($BM$9,DT66+2,0,1,1))*OFFSET($CI$9,DT66+2,0,1,1))+OFFSET($BP$9,DT66+2,CQ66,1,1),IF(F66&lt;OFFSET($BN$9,DT66+3,0,1,1),((F66-OFFSET($BM$9,DT66+3,0,1,1))*OFFSET($CI$9,DT66+3,0,1,1))+OFFSET($BP$9,DT66+3,CQ66,1,1),0))))))</f>
        <v>0</v>
      </c>
      <c r="DX66" s="51">
        <f ca="1">IF($F66&lt;OFFSET($BM$9,$DT66-1,0,1,1),0,IF($F66&lt;OFFSET($BN$9,$DT66-1,0,1,1),IF(AND($H66&gt;2.4,Z66&lt;&gt;"e",Z66&lt;&gt;"f"),EB66*2.4/$H66,EB66),IF($F66&lt;OFFSET($BN$9,$DT66+0,0,1,1),IF(AND($H66&gt;2.4,Z66&lt;&gt;"e",Z66&lt;&gt;"f"),EB66*2.4/$H66,EB66),IF($F66&lt;OFFSET($BN$9,$DT66+1,0,1,1),IF(AND($H66&gt;2.4,Z66&lt;&gt;"e",Z66&lt;&gt;"f"),EB66*2.4/$H66,EB66),IF($F66&lt;OFFSET($BN$9,$DT66+2,0,1,1),IF(AND($H66&gt;2.4,Z66&lt;&gt;"e",Z66&lt;&gt;"f"),EB66*2.4/$H66,EB66),IF($F66&lt;OFFSET($BN$9,$DT66+3,0,1,1),IF(AND($H66&gt;2.4,Z66&lt;&gt;"e",Z66&lt;&gt;"f"),EB66*2.4/$H66,EB66),0)))))*COS(RADIANS($G66)))</f>
        <v>0</v>
      </c>
      <c r="DY66" s="188"/>
      <c r="DZ66" s="188">
        <f ca="1">IF(DU66&gt;$CR66,$CR66,DU66)</f>
        <v>0</v>
      </c>
      <c r="EA66" s="188"/>
      <c r="EB66" s="188">
        <f ca="1">IF(DW66&gt;$CR66,$CR66,DW66)</f>
        <v>0</v>
      </c>
      <c r="EC66" s="435">
        <f ca="1">IF(DV66&gt;$CR66,$CR66,DV66)</f>
        <v>0</v>
      </c>
      <c r="ED66" s="435">
        <f ca="1">EC66*F66</f>
        <v>0</v>
      </c>
      <c r="EE66" s="436">
        <f ca="1">IF(DX66&gt;$CR66,$CR66,DX66)</f>
        <v>0</v>
      </c>
      <c r="EF66" s="437">
        <f ca="1">EE66*F66</f>
        <v>0</v>
      </c>
      <c r="EG66" s="613" t="str">
        <f>IF(D66=BG$12,BG$12,"")</f>
        <v/>
      </c>
      <c r="EH66" s="614" t="str">
        <f>IF(D66=BG$13,BG$13,"")</f>
        <v/>
      </c>
      <c r="EI66" s="611">
        <f>IF(EG66=BG$12,M66,0)</f>
        <v>0</v>
      </c>
      <c r="EJ66" s="451">
        <f>IF(EG66=BG$12,O66,0)</f>
        <v>0</v>
      </c>
      <c r="EK66" s="451">
        <f>IF(EH66=BG$13,M66,0)</f>
        <v>0</v>
      </c>
      <c r="EL66" s="612">
        <f>IF(EH66=BG$13,O66,0)</f>
        <v>0</v>
      </c>
      <c r="EM66" s="426" t="str">
        <f ca="1">IF(AND(Z66&lt;&gt;"t",Z66&lt;&gt;"f"),"",IF(AND(EN66=$BH$13,K66=$BH$12),"NotOpt",IF(K66&lt;&gt;EN66,"Error","")))</f>
        <v/>
      </c>
      <c r="EN66" s="491" t="str">
        <f>IF(AND($BH$28=1,$BG$28=1),$BH$13,$BH$12)</f>
        <v>120 BU's</v>
      </c>
      <c r="EO66" s="426" t="str">
        <f>K66</f>
        <v xml:space="preserve"> </v>
      </c>
      <c r="EP66" s="497">
        <v>1</v>
      </c>
      <c r="EQ66" s="430" t="str">
        <f ca="1">IF(EP66=1," ",OFFSET(BF$15,EP66-2,0,1,1))</f>
        <v xml:space="preserve"> </v>
      </c>
      <c r="ER66" s="439" t="str">
        <f ca="1">IF(H66=0," ",H66)</f>
        <v xml:space="preserve"> </v>
      </c>
      <c r="ES66" s="440" t="str">
        <f ca="1">IF(ER66&lt;&gt;" ",IF(ER66&lt;&gt;ER$7,"Changed",""),"")</f>
        <v/>
      </c>
      <c r="ET66" s="440">
        <f ca="1">IF(ER66&lt;&gt;" ",IF(ER66&lt;&gt;ER$7,1,0),0)</f>
        <v>0</v>
      </c>
      <c r="EU66" s="957" t="str">
        <f ca="1">IF(I66=" "," ",IF(F66&lt;OFFSET($BM$9,CL66-1,0,1,1),1,""))</f>
        <v xml:space="preserve"> </v>
      </c>
      <c r="EW66" s="427"/>
    </row>
    <row r="67" spans="1:153" ht="17.100000000000001" customHeight="1" thickBot="1">
      <c r="A67" s="2685"/>
      <c r="B67" s="2686" t="s">
        <v>8</v>
      </c>
      <c r="C67" s="2687"/>
      <c r="D67" s="1461" t="s">
        <v>8</v>
      </c>
      <c r="E67" s="659"/>
      <c r="F67" s="659"/>
      <c r="G67" s="659"/>
      <c r="H67" s="659"/>
      <c r="I67" s="1462"/>
      <c r="J67" s="1365" t="str">
        <f ca="1">(CONCATENATE(B62,$BE$54))</f>
        <v>J  Line:  Min. Requirement=</v>
      </c>
      <c r="K67" s="23"/>
      <c r="L67" s="1019">
        <f ca="1">L$5</f>
        <v>0</v>
      </c>
      <c r="M67" s="48">
        <f ca="1">IF(B62=B56,SUM(M62:M66)+M61,SUM(M62:M66))</f>
        <v>0</v>
      </c>
      <c r="N67" s="1019">
        <f ca="1">N$5</f>
        <v>0</v>
      </c>
      <c r="O67" s="125">
        <f ca="1">IF(B62=B56,SUM(O62:O66)+O61,SUM(O62:O66))</f>
        <v>0</v>
      </c>
      <c r="P67" s="139"/>
      <c r="Q67" s="42" t="str">
        <f ca="1">IF(B62=B68,"",IF(AND(M67&gt;0,L67=L$5,OR(M67&lt;$M$105,M67&lt;$BF$3)),"Achieved &lt; Min Req per Line",IF(AND(O67&gt;0,N67=N$5,OR(O67&lt;$O$105,O67&lt;$BF$3)),"Achieved &lt; Min Req per Line",IF(AND(M67&gt;0,L67&gt;M67),"More Required on this line",IF(AND(O67&gt;0,N67&gt;O67),"More Required on this line",IF(AND(L67&gt;0,L67&lt;$BF$3),$BE$59,IF(AND(N67&gt;0,N67&lt;$BF$3),$BE$59,"")))))))</f>
        <v/>
      </c>
      <c r="R67" s="52"/>
      <c r="S67" s="52"/>
      <c r="T67" s="52"/>
      <c r="U67" s="1378"/>
      <c r="V67" s="52"/>
      <c r="W67" s="9"/>
      <c r="X67" s="9"/>
      <c r="Y67" s="896"/>
      <c r="Z67" s="52"/>
      <c r="AA67" s="51"/>
      <c r="AB67" s="1364"/>
      <c r="AC67" s="1"/>
      <c r="AK67" s="200" t="str">
        <f>'Custom Elements'!B28</f>
        <v xml:space="preserve"> </v>
      </c>
      <c r="AL67" s="861" t="str">
        <f>'Custom Elements'!C28</f>
        <v>Custom20</v>
      </c>
      <c r="AM67" s="117">
        <f>'Custom Elements'!D28</f>
        <v>9.9999999999999996E-76</v>
      </c>
      <c r="AN67" s="62">
        <f>'Custom Elements'!E28</f>
        <v>0</v>
      </c>
      <c r="AO67" s="62">
        <f>'Custom Elements'!F28</f>
        <v>0</v>
      </c>
      <c r="AP67" s="762" t="str">
        <f>'Custom Elements'!G28</f>
        <v>B</v>
      </c>
      <c r="AQ67" s="1778" t="str">
        <f>'Custom Elements'!H28</f>
        <v>Single</v>
      </c>
      <c r="AR67" s="1776" t="str">
        <f>'Custom Elements'!I28</f>
        <v>Yes</v>
      </c>
      <c r="AS67" s="443" t="str">
        <f>'Custom Elements'!J28</f>
        <v>Yes</v>
      </c>
      <c r="AT67" s="1598"/>
      <c r="AU67" s="1155"/>
      <c r="AZ67" s="442" t="str">
        <f>IF(AND('Custom Elements'!J28="Yes",'Custom Elements'!I28="Yes"),"T",IF('Custom Elements'!J28="Yes","F",IF('Custom Elements'!I28="Yes","H","E")))</f>
        <v>T</v>
      </c>
      <c r="BD67" s="641"/>
      <c r="BE67" s="1362" t="s">
        <v>1053</v>
      </c>
      <c r="BF67" s="1363"/>
      <c r="BG67" s="1363"/>
      <c r="BI67" s="759"/>
      <c r="BJ67" s="897">
        <f t="shared" si="25"/>
        <v>59</v>
      </c>
      <c r="BK67" s="1231"/>
      <c r="BL67" s="1234"/>
      <c r="BM67" s="1205"/>
      <c r="BN67" s="1205"/>
      <c r="BO67" s="1205"/>
      <c r="BP67" s="1205"/>
      <c r="BQ67" s="1233"/>
      <c r="BR67" s="1205"/>
      <c r="BS67" s="1205"/>
      <c r="BT67" s="1205"/>
      <c r="BU67" s="1205"/>
      <c r="BV67" s="1233"/>
      <c r="BW67" s="1235"/>
      <c r="BX67" s="1205"/>
      <c r="CH67" s="970"/>
      <c r="CI67" s="971"/>
      <c r="CJ67" s="759"/>
      <c r="CK67" s="188"/>
      <c r="CL67" s="979"/>
      <c r="CN67" s="497"/>
      <c r="CO67" s="497" t="s">
        <v>8</v>
      </c>
      <c r="CQ67" s="51" t="s">
        <v>8</v>
      </c>
      <c r="CR67" s="51" t="s">
        <v>8</v>
      </c>
      <c r="CS67" s="51" t="s">
        <v>8</v>
      </c>
      <c r="CT67" s="51" t="s">
        <v>8</v>
      </c>
      <c r="CU67" s="51" t="s">
        <v>8</v>
      </c>
      <c r="CV67" s="51" t="s">
        <v>8</v>
      </c>
      <c r="CW67" s="51" t="s">
        <v>8</v>
      </c>
      <c r="CX67" s="51" t="s">
        <v>8</v>
      </c>
      <c r="CY67" s="51" t="s">
        <v>8</v>
      </c>
      <c r="CZ67" s="51" t="s">
        <v>8</v>
      </c>
      <c r="DA67" s="51" t="s">
        <v>8</v>
      </c>
      <c r="DB67" s="984" t="s">
        <v>8</v>
      </c>
      <c r="DD67" s="758"/>
      <c r="DF67" s="52"/>
      <c r="DG67" s="51"/>
      <c r="DH67" s="51"/>
      <c r="DI67" s="51"/>
      <c r="DJ67" s="51"/>
      <c r="DK67" s="51"/>
      <c r="DL67" s="51" t="s">
        <v>8</v>
      </c>
      <c r="DM67" s="51"/>
      <c r="DN67" s="51" t="s">
        <v>8</v>
      </c>
      <c r="DO67" s="435" t="s">
        <v>8</v>
      </c>
      <c r="DP67" s="435" t="s">
        <v>8</v>
      </c>
      <c r="DQ67" s="868" t="s">
        <v>8</v>
      </c>
      <c r="DR67" s="868" t="s">
        <v>8</v>
      </c>
      <c r="DS67" s="426" t="s">
        <v>8</v>
      </c>
      <c r="DT67" s="451" t="s">
        <v>8</v>
      </c>
      <c r="DU67" s="188" t="s">
        <v>8</v>
      </c>
      <c r="DV67" s="188" t="s">
        <v>8</v>
      </c>
      <c r="DW67" s="188" t="s">
        <v>8</v>
      </c>
      <c r="DX67" s="188" t="s">
        <v>8</v>
      </c>
      <c r="DY67" s="188"/>
      <c r="DZ67" s="188" t="s">
        <v>8</v>
      </c>
      <c r="EA67" s="188"/>
      <c r="EB67" s="188" t="s">
        <v>8</v>
      </c>
      <c r="EC67" s="435" t="s">
        <v>8</v>
      </c>
      <c r="ED67" s="435" t="s">
        <v>8</v>
      </c>
      <c r="EE67" s="868" t="s">
        <v>8</v>
      </c>
      <c r="EF67" s="867" t="s">
        <v>8</v>
      </c>
      <c r="EG67" s="613"/>
      <c r="EH67" s="614"/>
      <c r="EI67" s="613"/>
      <c r="EJ67" s="435"/>
      <c r="EK67" s="451"/>
      <c r="EL67" s="612"/>
      <c r="EN67" s="947"/>
      <c r="ER67" s="441"/>
      <c r="ES67" s="440"/>
      <c r="ET67" s="440"/>
      <c r="EU67" s="957"/>
      <c r="EW67" s="427"/>
    </row>
    <row r="68" spans="1:153" ht="17.100000000000001" hidden="1" customHeight="1" thickBot="1">
      <c r="A68" s="2685"/>
      <c r="B68" s="1369" t="str">
        <f ca="1">S68</f>
        <v>K</v>
      </c>
      <c r="C68" s="684" t="str">
        <f>IF(OR(F68=0,I68="",I68=" ")," ",$V68)</f>
        <v xml:space="preserve"> </v>
      </c>
      <c r="D68" s="1033"/>
      <c r="E68" s="1360"/>
      <c r="F68" s="202"/>
      <c r="G68" s="1416"/>
      <c r="H68" s="199" t="str">
        <f ca="1">IF(OR(F68=0,Z68="E",Z68="f")," ",'Project Demand'!E$35)</f>
        <v xml:space="preserve"> </v>
      </c>
      <c r="I68" s="631" t="str">
        <f>IF($I$6&lt;&gt;$BG$8," ",AB68)</f>
        <v xml:space="preserve"> </v>
      </c>
      <c r="J68" s="43" t="str">
        <f ca="1">IF(OR(I68=" ",I68="")," ",OFFSET($BO$9,CL68-1,0-4,1,1))</f>
        <v xml:space="preserve"> </v>
      </c>
      <c r="K68" s="55" t="str">
        <f>IF(OR(I68=" ",I68="")," ",IF(OR(Z68="e",Z68="h"),"SD",BG$24))</f>
        <v xml:space="preserve"> </v>
      </c>
      <c r="L68" s="49">
        <f ca="1">CW68</f>
        <v>0</v>
      </c>
      <c r="M68" s="49">
        <f ca="1">CY68</f>
        <v>0</v>
      </c>
      <c r="N68" s="50">
        <f t="shared" ref="N68:O72" ca="1" si="31">DA68</f>
        <v>0</v>
      </c>
      <c r="O68" s="126">
        <f t="shared" ca="1" si="31"/>
        <v>0</v>
      </c>
      <c r="P68" s="140"/>
      <c r="Q68" s="752" t="str">
        <f ca="1">IF(OR(I68=" ",I68="")," ",IF(F68&lt;OFFSET($BM$9,CL68-1,0,1,1),"check L(m)",IF(DE68&lt;&gt;"",DE68,IF(AND(DP68&gt;=CY68,DR68&gt;=DB68),IF(AND(ED68&gt;=DP68,EF68&gt;=DR68),CONCATENATE(DS68," provides same results"),CONCATENATE(CO68," provides same results")),IF((DP68&gt;=CY68),CONCATENATE(CO68," provides same result in WIND"),IF((DR68&gt;=DB68),CONCATENATE(CO68," provides same result in EQ",""),""))))))</f>
        <v xml:space="preserve"> </v>
      </c>
      <c r="R68" s="52">
        <f ca="1">IF(T62&lt;&gt;2,(COLUMN(INDIRECT(B62&amp;1))+1),U68)</f>
        <v>11</v>
      </c>
      <c r="S68" s="1372" t="str">
        <f ca="1">SUBSTITUTE(ADDRESS(1,R68,4),"1","")</f>
        <v>K</v>
      </c>
      <c r="T68" s="451">
        <f ca="1">IF(AND(ISTEXT(B68),SUBSTITUTE(SUBSTITUTE(SUBSTITUTE(SUBSTITUTE(SUBSTITUTE(SUBSTITUTE(SUBSTITUTE(SUBSTITUTE(SUBSTITUTE(SUBSTITUTE(SUBSTITUTE(SUBSTITUTE(SUBSTITUTE(SUBSTITUTE(SUBSTITUTE(SUBSTITUTE(SUBSTITUTE(SUBSTITUTE(SUBSTITUTE(SUBSTITUTE(SUBSTITUTE(SUBSTITUTE(SUBSTITUTE(SUBSTITUTE(SUBSTITUTE(SUBSTITUTE(LOWER(B68),"a",),"b",),"c",),"d",),"e",),"f",),"g",),"h",),"i",),"j",),"k",),"l",),"m",),"n",),"o",),"p",),"q",),"r",),"s",),"t",),"u",),"v",),"w",),"x",),"y",),"z",)=""),1,2)</f>
        <v>1</v>
      </c>
      <c r="U68" s="1377">
        <v>11</v>
      </c>
      <c r="V68" s="52" t="str">
        <f ca="1">IF(AND(B$5=$BF$9,OR(I68=BH$16,I68=BH$17))," ",IF(ISNUMBER(B$68),(CONCATENATE(B$68,".",W68)),(CONCATENATE(B$68,W68))))</f>
        <v>K0</v>
      </c>
      <c r="W68" s="9">
        <f ca="1">IF(B62=B68,W66+X68,X68)</f>
        <v>0</v>
      </c>
      <c r="X68" s="9">
        <f>IF(AND(B$5=$BF$9,OR($I68=$BH$16,$I68=$BH$17,$I68=" ",$I68="",$F68=0)),0,IF(OR($I68=" ",$I68="",$F68=0),0,1))</f>
        <v>0</v>
      </c>
      <c r="Y68" s="896">
        <f ca="1">IF(AND(M73&gt;0,B68&lt;&gt;B74),1,0)</f>
        <v>0</v>
      </c>
      <c r="Z68" s="52" t="str">
        <f ca="1">IF(I68=" "," ",OFFSET($BM$9,$CL68-1,8,1,1))</f>
        <v xml:space="preserve"> </v>
      </c>
      <c r="AA68" s="51" t="str">
        <f>IF(G68&gt;=45,"WA","")</f>
        <v/>
      </c>
      <c r="AB68" s="1364" t="str">
        <f>IF(F68&lt;&gt;"",IF(OR(D68=$BG$12,D68=$BG$13),IF(E68&lt;&gt;$BG$17,$BF$12,$BF$13),IF(E68&lt;&gt;$BG$17,$BF$12,$BF$13))," ")</f>
        <v xml:space="preserve"> </v>
      </c>
      <c r="AC68" s="1"/>
      <c r="BD68" s="641"/>
      <c r="BE68" s="2714" t="s">
        <v>903</v>
      </c>
      <c r="BF68" s="2714"/>
      <c r="BG68" s="2714"/>
      <c r="BH68" s="2714"/>
      <c r="BI68" s="759"/>
      <c r="BJ68" s="897">
        <f t="shared" si="25"/>
        <v>60</v>
      </c>
      <c r="BK68" s="768" t="str">
        <f>BK62</f>
        <v xml:space="preserve">EPB </v>
      </c>
      <c r="BL68" s="765" t="str">
        <f>Table!O10</f>
        <v>ESSH</v>
      </c>
      <c r="BM68" s="454">
        <f>Table!P10</f>
        <v>0.4</v>
      </c>
      <c r="BN68" s="454">
        <f>BM69</f>
        <v>0.6</v>
      </c>
      <c r="BO68" s="454">
        <f>Table!Q10</f>
        <v>95</v>
      </c>
      <c r="BP68" s="924">
        <f>Table!R10</f>
        <v>109</v>
      </c>
      <c r="BQ68" s="920"/>
      <c r="BR68" s="768" t="str">
        <f>Table!S10</f>
        <v>ES-H</v>
      </c>
      <c r="BS68" s="454" t="str">
        <f>Table!S11</f>
        <v>EM-H</v>
      </c>
      <c r="BT68" s="454" t="str">
        <f>Table!T10</f>
        <v>I</v>
      </c>
      <c r="BU68" s="924" t="s">
        <v>242</v>
      </c>
      <c r="BV68" s="1230" t="str">
        <f>Table!AI79</f>
        <v>ESSH</v>
      </c>
      <c r="BW68" s="1229">
        <f>BJ68</f>
        <v>60</v>
      </c>
      <c r="BX68" s="924" t="str">
        <f>Table!T11</f>
        <v>Double</v>
      </c>
      <c r="CH68" s="768">
        <f>IF(BN68=999,0,(BO69-BO68)/(BN68-BM68))</f>
        <v>150.00000000000003</v>
      </c>
      <c r="CI68" s="924">
        <f>IF(BN68=999,0,(BP69-BP68)/(BN68-BM68))</f>
        <v>80.000000000000014</v>
      </c>
      <c r="CJ68" s="759"/>
      <c r="CK68" s="188"/>
      <c r="CL68" s="979">
        <f>VLOOKUP(I68,Prodlink,2,0)</f>
        <v>0</v>
      </c>
      <c r="CN68" s="497">
        <f ca="1">VLOOKUP(CO68,Prodlink,2,0)</f>
        <v>0</v>
      </c>
      <c r="CO68" s="497">
        <f ca="1">OFFSET($CH$9,CL68-1,-15,1,1)</f>
        <v>0</v>
      </c>
      <c r="CQ68" s="51">
        <v>0</v>
      </c>
      <c r="CR68" s="51">
        <f>IF(K68=$BH$12,$BH$23,IF(K68=$BH$13,$BH$24,10000))</f>
        <v>10000</v>
      </c>
      <c r="CS68" s="51">
        <f ca="1">IF(F68&lt;OFFSET($BM$9,CL68-1,0,1,1),0,IF(F68&lt;OFFSET($BN$9,CL68-1,0,1,1),((F68-OFFSET($BM$9,CL68-1,0,1,1))*OFFSET($CH$9,CL68-1,0,1,1))+OFFSET($BO$9,CL68-1,CQ68,1,1),IF(F68&lt;OFFSET($BN$9,CL68+0,0,1,1),((F68-OFFSET($BM$9,CL68+0,0,1,1))*OFFSET($CH$9,CL68+0,0,1,1))+OFFSET($BO$9,CL68+0,CQ68,1,1),IF(F68&lt;OFFSET($BN$9,CL68+1,0,1,1),((F68-OFFSET($BM$9,CL68+1,0,1,1))*OFFSET($CH$9,CL68+1,0,1,1))+OFFSET($BO$9,CL68+1,CQ68,1,1),IF(F68&lt;OFFSET($BN$9,CL68+2,0,1,1),((F68-OFFSET($BM$9,CL68+2,0,1,1))*OFFSET($CH$9,CL68+2,0,1,1))+OFFSET($BO$9,CL68+2,CQ68,1,1),IF(F68&lt;OFFSET($BN$9,CL68+3,0,1,1),((F68-OFFSET($BM$9,CL68+3,0,1,1))*OFFSET($CH$9,CL68+3,0,1,1))+OFFSET($BO$9,CL68+3,CQ68,1,1),0))))))</f>
        <v>0</v>
      </c>
      <c r="CT68" s="51">
        <f ca="1">IF($F68&lt;OFFSET($BM$9,$CL68-1,0,1,1),0,IF($F68&lt;OFFSET($BN$9,$CL68-1,0,1,1),IF(AND($H68&gt;2.4,Z68&lt;&gt;"e",Z68&lt;&gt;"f"),CX68*2.4/$H68,CX68),IF($F68&lt;OFFSET($BN$9,$CL68+0,0,1,1),IF(AND($H68&gt;2.4,Z68&lt;&gt;"e",Z68&lt;&gt;"f"),CX68*2.4/$H68,CX68),IF($F68&lt;OFFSET($BN$9,$CL68+1,0,1,1),IF(AND($H68&gt;2.4,Z68&lt;&gt;"e",Z68&lt;&gt;"f"),CX68*2.4/$H68,CX68),IF($F68&lt;OFFSET($BN$9,CL68+2,0,1,1),IF(AND($H68&gt;2.4,Z68&lt;&gt;"e",Z68&lt;&gt;"f"),CX68*2.4/$H68,CX68),IF($F68&lt;OFFSET($BN$9,CL68+3,0,1,1),IF(AND($H68&gt;2.4,Z68&lt;&gt;"e",Z68&lt;&gt;"f"),CX68*2.4/$H68,CX68),0)))))*COS(RADIANS($G68)))</f>
        <v>0</v>
      </c>
      <c r="CU68" s="51">
        <f ca="1">IF(F68&lt;OFFSET($BM$9,CL68-1,0,1,1),0,IF(F68&lt;OFFSET($BN$9,CL68-1,0,1,1),((F68-OFFSET($BM$9,CL68-1,0,1,1))*OFFSET($CI$9,CL68-1,0,1,1))+OFFSET($BP$9,CL68-1,CQ68,1,1),IF(F68&lt;OFFSET($BN$9,CL68+0,0,1,1),((F68-OFFSET($BM$9,CL68+0,0,1,1))*OFFSET($CI$9,CL68+0,0,1,1))+OFFSET($BP$9,CL68+0,CQ68,1,1),IF(F68&lt;OFFSET($BN$9,CL68+1,0,1,1),((F68-OFFSET($BM$9,CL68+1,0,1,1))*OFFSET($CI$9,CL68+1,0,1,1))+OFFSET($BP$9,CL68+1,CQ68,1,1),IF(F68&lt;OFFSET($BN$9,CL68+2,0,1,1),((F68-OFFSET($BM$9,CL68+2,0,1,1))*OFFSET($CI$9,CL68+2,0,1,1))+OFFSET($BP$9,CL68+2,CQ68,1,1),IF(F68&lt;OFFSET($BN$9,CL68+3,0,1,1),((F68-OFFSET($BM$9,CL68+3,0,1,1))*OFFSET($CI$9,CL68+3,0,1,1))+OFFSET($BP$9,CL68+3,CQ68,1,1),0))))))</f>
        <v>0</v>
      </c>
      <c r="CV68" s="51">
        <f ca="1">IF($F68&lt;OFFSET($BM$9,$CL68-1,0,1,1),0,IF($F68&lt;OFFSET($BN$9,$CL68-1,0,1,1),IF(AND($H68&gt;2.4,Z68&lt;&gt;"e",Z68&lt;&gt;"f"),CZ68*2.4/$H68,CZ68),IF($F68&lt;OFFSET($BN$9,$CL68+0,0,1,1),IF(AND($H68&gt;2.4,Z68&lt;&gt;"e",Z68&lt;&gt;"f"),CZ68*2.4/$H68,CZ68),IF($F68&lt;OFFSET($BN$9,$CL68+1,0,1,1),IF(AND($H68&gt;2.4,Z68&lt;&gt;"e",Z68&lt;&gt;"f"),CZ68*2.4/$H68,CZ68),IF($F68&lt;OFFSET($BN$9,$CL68+2,0,1,1),IF(AND($H68&gt;2.4,Z68&lt;&gt;"e",Z68&lt;&gt;"f"),CZ68*2.4/$H68,CZ68),IF($F68&lt;OFFSET($BN$9,$CL68+3,0,1,1),IF(AND($H68&gt;2.4,Z68&lt;&gt;"e",Z68&lt;&gt;"f"),CZ68*2.4/$H68,CZ68),0)))))*COS(RADIANS($G68)))</f>
        <v>0</v>
      </c>
      <c r="CW68" s="51">
        <f ca="1">IF(CT68&gt;CR68,CR68,CT68)</f>
        <v>0</v>
      </c>
      <c r="CX68" s="51">
        <f ca="1">IF(CS68&gt;$CR68,$CR68,CS68)</f>
        <v>0</v>
      </c>
      <c r="CY68" s="51">
        <f ca="1">CW68*F68</f>
        <v>0</v>
      </c>
      <c r="CZ68" s="51">
        <f ca="1">IF($CU68&gt;$CR68,$CR68,$CU68)</f>
        <v>0</v>
      </c>
      <c r="DA68" s="51">
        <f ca="1">IF(CV68&gt;CR68,CR68,CV68)</f>
        <v>0</v>
      </c>
      <c r="DB68" s="984">
        <f ca="1">DA68*F68</f>
        <v>0</v>
      </c>
      <c r="DC68" s="993">
        <v>1</v>
      </c>
      <c r="DD68" s="758" t="str">
        <f>IF(OR(D68=BG$12,D68=BG$13),"External",IF(D68=BG$14,"Internal"," "))</f>
        <v xml:space="preserve"> </v>
      </c>
      <c r="DE68" s="51" t="str">
        <f t="shared" ca="1" si="1"/>
        <v/>
      </c>
      <c r="DF68" s="52" t="str">
        <f t="shared" ca="1" si="2"/>
        <v xml:space="preserve"> </v>
      </c>
      <c r="DG68" s="51">
        <f ca="1">IF(F68&lt;OFFSET($BM$9,CN68-1,0,1,1),0,IF(F68&lt;OFFSET($BN$9,CN68-1,0,1,1),((F68-OFFSET($BM$9,CN68-1,0,1,1))*OFFSET($CH$9,CN68-1,0,1,1))+OFFSET($BO$9,CN68-1,CQ68,1,1),IF(F68&lt;OFFSET($BN$9,CN68+0,0,1,1),((F68-OFFSET($BM$9,CN68+0,0,1,1))*OFFSET($CH$9,CN68+0,0,1,1))+OFFSET($BO$9,CN68+0,CQ68,1,1),IF(F68&lt;OFFSET($BN$9,CN68+1,0,1,1),((F68-OFFSET($BM$9,CN68+1,0,1,1))*OFFSET($CH$9,CN68+1,0,1,1))+OFFSET($BO$9,CN68+1,CQ68,1,1),IF(F68&lt;OFFSET($BN$9,CN68+2,0,1,1),((F68-OFFSET($BM$9,CN68+2,0,1,1))*OFFSET($CH$9,CN68+2,0,1,1))+OFFSET($BO$9,CN68+2,CQ68,1,1),IF(F68&lt;OFFSET($BN$9,CN68+3,0,1,1),((F68-OFFSET($BM$9,CN68+3,0,1,1))*OFFSET($CH$9,CN68+3,0,1,1))+OFFSET($BO$9,CN68+3,CQ68,1,1),0))))))</f>
        <v>0</v>
      </c>
      <c r="DH68" s="51">
        <f ca="1">IF($F68&lt;OFFSET($BM$9,$CN68-1,0,1,1),0,IF($F68&lt;OFFSET($BN$9,$CN68-1,0,1,1),IF(AND($H68&gt;2.4,Z68&lt;&gt;"e",Z68&lt;&gt;"f"),DL68*2.4/$H68,DL68),IF($F68&lt;OFFSET($BN$9,$CN68+0,0,1,1),IF(AND($H68&gt;2.4,Z68&lt;&gt;"e",Z68&lt;&gt;"f"),DL68*2.4/$H68,DL68),IF($F68&lt;OFFSET($BN$9,$CN68+1,0,1,1),IF(AND($H68&gt;2.4,Z68&lt;&gt;"e",Z68&lt;&gt;"f"),DL68*2.4/$H68,DL68),IF($F68&lt;OFFSET($BN$9,$CN68+2,0,1,1),IF(AND($H68&gt;2.4,Z68&lt;&gt;"e",Z68&lt;&gt;"f"),DL68*2.4/$H68,DL68),IF($F68&lt;OFFSET($BN$9,$CN68+3,0,1,1),IF(AND($H68&gt;2.4,Z68&lt;&gt;"e",Z68&lt;&gt;"f"),DL68*2.4/$H68,DL68),0)))))*COS(RADIANS($G68)))</f>
        <v>0</v>
      </c>
      <c r="DI68" s="51">
        <f ca="1">IF(F68&lt;OFFSET($BM$9,CN68-1,0,1,1),0,IF(F68&lt;OFFSET($BN$9,CN68-1,0,1,1),((F68-OFFSET($BM$9,CN68-1,0,1,1))*OFFSET($CI$9,CN68-1,0,1,1))+OFFSET($BP$9,CN68-1,CQ68,1,1),IF(F68&lt;OFFSET($BN$9,CN68+0,0,1,1),((F68-OFFSET($BM$9,CN68+0,0,1,1))*OFFSET($CI$9,CN68+0,0,1,1))+OFFSET($BP$9,CN68+0,CQ68,1,1),IF(F68&lt;OFFSET($BN$9,CN68+1,0,1,1),((F68-OFFSET($BM$9,CN68+1,0,1,1))*OFFSET($CI$9,CN68+1,0,1,1))+OFFSET($BP$9,CN68+1,CQ68,1,1),IF(F68&lt;OFFSET($BN$9,CN68+2,0,1,1),((F68-OFFSET($BM$9,CN68+2,0,1,1))*OFFSET($CI$9,CN68+2,0,1,1))+OFFSET($BP$9,CN68+2,CQ68,1,1),IF(F68&lt;OFFSET($BN$9,CN68+3,0,1,1),((F68-OFFSET($BM$9,CN68+3,0,1,1))*OFFSET($CI$9,CN68+3,0,1,1))+OFFSET($BP$9,CN68+3,CQ68,1,1),0))))))</f>
        <v>0</v>
      </c>
      <c r="DJ68" s="51">
        <f ca="1">IF($F68&lt;OFFSET($BM$9,$CN68-1,0,1,1),0,IF($F68&lt;OFFSET($BN$9,$CN68-1,0,1,1),IF(AND($H68&gt;2.4,Z68&lt;&gt;"e",Z68&lt;&gt;"f"),DN68*2.4/$H68,DN68),IF($F68&lt;OFFSET($BN$9,$CN68+0,0,1,1),IF(AND($H68&gt;2.4,Z68&lt;&gt;"e",Z68&lt;&gt;"f"),DN68*2.4/$H68,DN68),IF($F68&lt;OFFSET($BN$9,$CN68+1,0,1,1),IF(AND($H68&gt;2.4,Z68&lt;&gt;"e",Z68&lt;&gt;"f"),DN68*2.4/$H68,DN68),IF($F68&lt;OFFSET($BN$9,$CN68+2,0,1,1),IF(AND($H68&gt;2.4,Z68&lt;&gt;"e",Z68&lt;&gt;"f"),DN68*2.4/$H68,DN68),IF($F68&lt;OFFSET($BN$9,$CN68+3,0,1,1),IF(AND($H68&gt;2.4,Z68&lt;&gt;"e",Z68&lt;&gt;"f"),DN68*2.4/$H68,DN68),0)))))*COS(RADIANS($G68)))</f>
        <v>0</v>
      </c>
      <c r="DK68" s="51"/>
      <c r="DL68" s="51">
        <f ca="1">IF(DG68&gt;$CR68,$CR68,DG68)</f>
        <v>0</v>
      </c>
      <c r="DM68" s="51"/>
      <c r="DN68" s="51">
        <f ca="1">IF(DI68&gt;$CR68,$CR68,DI68)</f>
        <v>0</v>
      </c>
      <c r="DO68" s="435">
        <f ca="1">IF(DH68&gt;$CR68,$CR68,DH68)</f>
        <v>0</v>
      </c>
      <c r="DP68" s="435">
        <f ca="1">DO68*F68</f>
        <v>0</v>
      </c>
      <c r="DQ68" s="436">
        <f ca="1">IF(DJ68&gt;$CR68,$CR68,DJ68)</f>
        <v>0</v>
      </c>
      <c r="DR68" s="437">
        <f ca="1">DQ68*F68</f>
        <v>0</v>
      </c>
      <c r="DS68" s="426">
        <f ca="1">OFFSET($CH$9,CL68-1,-15,1,1)</f>
        <v>0</v>
      </c>
      <c r="DT68" s="451">
        <f ca="1">VLOOKUP(DS68,Prodlink,2,0)</f>
        <v>0</v>
      </c>
      <c r="DU68" s="188">
        <f ca="1">IF(F68&lt;OFFSET($BM$9,DT68-1,0,1,1),0,IF(F68&lt;OFFSET($BN$9,DT68-1,0,1,1),((F68-OFFSET($BM$9,DT68-1,0,1,1))*OFFSET($CH$9,DT68-1,0,1,1))+OFFSET($BO$9,DT68-1,CQ68,1,1),IF(F68&lt;OFFSET($BN$9,DT68+0,0,1,1),((F68-OFFSET($BM$9,DT68+0,0,1,1))*OFFSET($CH$9,DT68+0,0,1,1))+OFFSET($BO$9,DT68+0,CQ68,1,1),IF(F68&lt;OFFSET($BN$9,DT68+1,0,1,1),((F68-OFFSET($BM$9,DT68+1,0,1,1))*OFFSET($CH$9,DT68+1,0,1,1))+OFFSET($BO$9,DT68+1,CQ68,1,1),IF(F68&lt;OFFSET($BN$9,DT68+2,0,1,1),((F68-OFFSET($BM$9,DT68+2,0,1,1))*OFFSET($CH$9,DT68+2,0,1,1))+OFFSET($BO$9,DT68+2,CQ68,1,1),IF(F68&lt;OFFSET($BN$9,DT68+3,0,1,1),((F68-OFFSET($BM$9,DT68+3,0,1,1))*OFFSET($CH$9,DT68+3,0,1,1))+OFFSET($BO$9,DT68+3,CQ68,1,1),0))))))</f>
        <v>0</v>
      </c>
      <c r="DV68" s="51">
        <f ca="1">IF($F68&lt;OFFSET($BM$9,$DT68-1,0,1,1),0,IF($F68&lt;OFFSET($BN$9,$DT68-1,0,1,1),IF(AND($H68&gt;2.4,Z68&lt;&gt;"e",Z68&lt;&gt;"f"),DZ68*2.4/$H68,DZ68),IF($F68&lt;OFFSET($BN$9,$DT68+0,0,1,1),IF(AND($H68&gt;2.4,Z68&lt;&gt;"e",Z68&lt;&gt;"f"),DZ68*2.4/$H68,DZ68),IF($F68&lt;OFFSET($BN$9,$DT68+1,0,1,1),IF(AND($H68&gt;2.4,Z68&lt;&gt;"e",Z68&lt;&gt;"f"),DZ68*2.4/$H68,DZ68),IF($F68&lt;OFFSET($BN$9,$DT68+2,0,1,1),IF(AND($H68&gt;2.4,Z68&lt;&gt;"e",Z68&lt;&gt;"f"),DZ68*2.4/$H68,DZ68),IF($F68&lt;OFFSET($BN$9,$DT68+3,0,1,1),IF(AND($H68&gt;2.4,Z68&lt;&gt;"e",Z68&lt;&gt;"f"),DZ68*2.4/$H68,DZ68),0)))))*COS(RADIANS($G68)))</f>
        <v>0</v>
      </c>
      <c r="DW68" s="188">
        <f ca="1">IF(F68&lt;OFFSET($BM$9,DT68-1,0,1,1),0,IF(F68&lt;OFFSET($BN$9,DT68-1,0,1,1),((F68-OFFSET($BM$9,DT68-1,0,1,1))*OFFSET($CI$9,DT68-1,0,1,1))+OFFSET($BP$9,DT68-1,CQ68,1,1),IF(F68&lt;OFFSET($BN$9,DT68+0,0,1,1),((F68-OFFSET($BM$9,DT68+0,0,1,1))*OFFSET($CI$9,DT68+0,0,1,1))+OFFSET($BP$9,DT68+0,CQ68,1,1),IF(F68&lt;OFFSET($BN$9,DT68+1,0,1,1),((F68-OFFSET($BM$9,DT68+1,0,1,1))*OFFSET($CI$9,DT68+1,0,1,1))+OFFSET($BP$9,DT68+1,CQ68,1,1),IF(F68&lt;OFFSET($BN$9,DT68+2,0,1,1),((F68-OFFSET($BM$9,DT68+2,0,1,1))*OFFSET($CI$9,DT68+2,0,1,1))+OFFSET($BP$9,DT68+2,CQ68,1,1),IF(F68&lt;OFFSET($BN$9,DT68+3,0,1,1),((F68-OFFSET($BM$9,DT68+3,0,1,1))*OFFSET($CI$9,DT68+3,0,1,1))+OFFSET($BP$9,DT68+3,CQ68,1,1),0))))))</f>
        <v>0</v>
      </c>
      <c r="DX68" s="51">
        <f ca="1">IF($F68&lt;OFFSET($BM$9,$DT68-1,0,1,1),0,IF($F68&lt;OFFSET($BN$9,$DT68-1,0,1,1),IF(AND($H68&gt;2.4,Z68&lt;&gt;"e",Z68&lt;&gt;"f"),EB68*2.4/$H68,EB68),IF($F68&lt;OFFSET($BN$9,$DT68+0,0,1,1),IF(AND($H68&gt;2.4,Z68&lt;&gt;"e",Z68&lt;&gt;"f"),EB68*2.4/$H68,EB68),IF($F68&lt;OFFSET($BN$9,$DT68+1,0,1,1),IF(AND($H68&gt;2.4,Z68&lt;&gt;"e",Z68&lt;&gt;"f"),EB68*2.4/$H68,EB68),IF($F68&lt;OFFSET($BN$9,$DT68+2,0,1,1),IF(AND($H68&gt;2.4,Z68&lt;&gt;"e",Z68&lt;&gt;"f"),EB68*2.4/$H68,EB68),IF($F68&lt;OFFSET($BN$9,$DT68+3,0,1,1),IF(AND($H68&gt;2.4,Z68&lt;&gt;"e",Z68&lt;&gt;"f"),EB68*2.4/$H68,EB68),0)))))*COS(RADIANS($G68)))</f>
        <v>0</v>
      </c>
      <c r="DY68" s="188"/>
      <c r="DZ68" s="188">
        <f ca="1">IF(DU68&gt;$CR68,$CR68,DU68)</f>
        <v>0</v>
      </c>
      <c r="EA68" s="188"/>
      <c r="EB68" s="188">
        <f ca="1">IF(DW68&gt;$CR68,$CR68,DW68)</f>
        <v>0</v>
      </c>
      <c r="EC68" s="435">
        <f ca="1">IF(DV68&gt;$CR68,$CR68,DV68)</f>
        <v>0</v>
      </c>
      <c r="ED68" s="435">
        <f ca="1">EC68*F68</f>
        <v>0</v>
      </c>
      <c r="EE68" s="436">
        <f ca="1">IF(DX68&gt;$CR68,$CR68,DX68)</f>
        <v>0</v>
      </c>
      <c r="EF68" s="437">
        <f ca="1">EE68*F68</f>
        <v>0</v>
      </c>
      <c r="EG68" s="613" t="str">
        <f>IF(D68=BG$12,BG$12,"")</f>
        <v/>
      </c>
      <c r="EH68" s="614" t="str">
        <f>IF(D68=BG$13,BG$13,"")</f>
        <v/>
      </c>
      <c r="EI68" s="611">
        <f>IF(EG68=BG$12,M68,0)</f>
        <v>0</v>
      </c>
      <c r="EJ68" s="451">
        <f>IF(EG68=BG$12,O68,0)</f>
        <v>0</v>
      </c>
      <c r="EK68" s="451">
        <f>IF(EH68=BG$13,M68,0)</f>
        <v>0</v>
      </c>
      <c r="EL68" s="612">
        <f>IF(EH68=BG$13,O68,0)</f>
        <v>0</v>
      </c>
      <c r="EM68" s="426" t="str">
        <f ca="1">IF(AND(Z68&lt;&gt;"t",Z68&lt;&gt;"f"),"",IF(AND(EN68=$BH$13,K68=$BH$12),"NotOpt",IF(K68&lt;&gt;EN68,"Error","")))</f>
        <v/>
      </c>
      <c r="EN68" s="491" t="str">
        <f>IF(AND($BH$28=1,$BG$28=1),$BH$13,$BH$12)</f>
        <v>120 BU's</v>
      </c>
      <c r="EO68" s="426" t="str">
        <f>K68</f>
        <v xml:space="preserve"> </v>
      </c>
      <c r="EP68" s="497">
        <v>1</v>
      </c>
      <c r="EQ68" s="430" t="str">
        <f ca="1">IF(EP68=1," ",OFFSET(BF$15,EP68-2,0,1,1))</f>
        <v xml:space="preserve"> </v>
      </c>
      <c r="ER68" s="439" t="str">
        <f ca="1">IF(H68=0," ",H68)</f>
        <v xml:space="preserve"> </v>
      </c>
      <c r="ES68" s="440" t="str">
        <f ca="1">IF(ER68&lt;&gt;" ",IF(ER68&lt;&gt;ER$7,"Changed",""),"")</f>
        <v/>
      </c>
      <c r="ET68" s="440">
        <f ca="1">IF(ER68&lt;&gt;" ",IF(ER68&lt;&gt;ER$7,1,0),0)</f>
        <v>0</v>
      </c>
      <c r="EU68" s="957" t="str">
        <f ca="1">IF(I68=" "," ",IF(F68&lt;OFFSET($BM$9,CL68-1,0,1,1),1,""))</f>
        <v xml:space="preserve"> </v>
      </c>
      <c r="EW68" s="427"/>
    </row>
    <row r="69" spans="1:153" ht="17.100000000000001" hidden="1" customHeight="1">
      <c r="A69" s="2685"/>
      <c r="B69" s="689" t="s">
        <v>246</v>
      </c>
      <c r="C69" s="684" t="str">
        <f>IF(OR(F69=0,I69="",I69=" ")," ",$V69)</f>
        <v xml:space="preserve"> </v>
      </c>
      <c r="D69" s="1033"/>
      <c r="E69" s="1360" t="s">
        <v>8</v>
      </c>
      <c r="F69" s="202"/>
      <c r="G69" s="1416"/>
      <c r="H69" s="199" t="str">
        <f ca="1">IF(OR(F69=0,Z69="E",Z69="f")," ",'Project Demand'!E$35)</f>
        <v xml:space="preserve"> </v>
      </c>
      <c r="I69" s="631" t="str">
        <f>IF($I$6&lt;&gt;$BG$8," ",AB69)</f>
        <v xml:space="preserve"> </v>
      </c>
      <c r="J69" s="44" t="str">
        <f ca="1">IF(OR(I69=" ",I69="")," ",OFFSET($BO$9,CL69-1,0-4,1,1))</f>
        <v xml:space="preserve"> </v>
      </c>
      <c r="K69" s="55" t="str">
        <f>IF(OR(I69=" ",I69="")," ",IF(OR(Z69="e",Z69="h"),"SD",BG$24))</f>
        <v xml:space="preserve"> </v>
      </c>
      <c r="L69" s="49">
        <f ca="1">CW69</f>
        <v>0</v>
      </c>
      <c r="M69" s="49">
        <f ca="1">CY69</f>
        <v>0</v>
      </c>
      <c r="N69" s="50">
        <f t="shared" ca="1" si="31"/>
        <v>0</v>
      </c>
      <c r="O69" s="126">
        <f t="shared" ca="1" si="31"/>
        <v>0</v>
      </c>
      <c r="P69" s="140"/>
      <c r="Q69" s="752" t="str">
        <f ca="1">IF(OR(I69=" ",I69="")," ",IF(F69&lt;OFFSET($BM$9,CL69-1,0,1,1),"check L(m)",IF(DE69&lt;&gt;"",DE69,IF(AND(DP69&gt;=CY69,DR69&gt;=DB69),IF(AND(ED69&gt;=DP69,EF69&gt;=DR69),CONCATENATE(DS69," provides same results"),CONCATENATE(CO69," provides same results")),IF((DP69&gt;=CY69),CONCATENATE(CO69," provides same result in WIND"),IF((DR69&gt;=DB69),CONCATENATE(CO69," provides same result in EQ",""),""))))))</f>
        <v xml:space="preserve"> </v>
      </c>
      <c r="R69" s="52"/>
      <c r="S69" s="1372"/>
      <c r="T69" s="1372"/>
      <c r="U69" s="1377"/>
      <c r="V69" s="52" t="str">
        <f ca="1">IF(AND(B$5=$BF$9,OR(I69=BH$16,I69=BH$17))," ",IF(ISNUMBER(B$68),(CONCATENATE(B$68,".",W69)),(CONCATENATE(B$68,W69))))</f>
        <v>K0</v>
      </c>
      <c r="W69" s="9">
        <f ca="1">W68+X69</f>
        <v>0</v>
      </c>
      <c r="X69" s="9">
        <f>IF(AND(B$5=$BF$9,OR($I69=$BH$16,$I69=$BH$17,$I69=" ",$I69="",$F69=0)),0,IF(OR($I69=" ",$I69="",$F69=0),0,1))</f>
        <v>0</v>
      </c>
      <c r="Y69" s="896"/>
      <c r="Z69" s="52" t="str">
        <f ca="1">IF(I69=" "," ",OFFSET($BM$9,$CL69-1,8,1,1))</f>
        <v xml:space="preserve"> </v>
      </c>
      <c r="AA69" s="51" t="str">
        <f>IF(G69&gt;=45,"WA","")</f>
        <v/>
      </c>
      <c r="AB69" s="1364" t="str">
        <f>IF(F69&lt;&gt;"",IF(OR(D69=$BG$12,D69=$BG$13),IF(E69&lt;&gt;$BG$17,$BF$12,$BF$13),IF(E69&lt;&gt;$BG$17,$BF$12,$BF$13))," ")</f>
        <v xml:space="preserve"> </v>
      </c>
      <c r="AC69" s="1"/>
      <c r="BD69" s="641"/>
      <c r="BI69" s="759"/>
      <c r="BJ69" s="897">
        <f t="shared" si="25"/>
        <v>61</v>
      </c>
      <c r="BK69" s="764"/>
      <c r="BL69" s="766"/>
      <c r="BM69" s="455">
        <f>Table!P11</f>
        <v>0.6</v>
      </c>
      <c r="BN69" s="455">
        <f>BM70</f>
        <v>0.8</v>
      </c>
      <c r="BO69" s="455">
        <f>Table!Q11</f>
        <v>125</v>
      </c>
      <c r="BP69" s="925">
        <f>Table!R11</f>
        <v>125</v>
      </c>
      <c r="BR69" s="764"/>
      <c r="BS69" s="455"/>
      <c r="BT69" s="455"/>
      <c r="BU69" s="925" t="s">
        <v>242</v>
      </c>
      <c r="BV69" s="895"/>
      <c r="BW69" s="912"/>
      <c r="BX69" s="925" t="str">
        <f>Table!T11</f>
        <v>Double</v>
      </c>
      <c r="CH69" s="764">
        <f>IF(BN69=999,0,(BO70-BO69)/(BN69-BM69))</f>
        <v>49.999999999999986</v>
      </c>
      <c r="CI69" s="925">
        <f>IF(BN69=999,0,(BP70-BP69)/(BN69-BM69))</f>
        <v>0</v>
      </c>
      <c r="CJ69" s="759"/>
      <c r="CK69" s="188"/>
      <c r="CL69" s="979">
        <f>VLOOKUP(I69,Prodlink,2,0)</f>
        <v>0</v>
      </c>
      <c r="CN69" s="497">
        <f ca="1">VLOOKUP(CO69,Prodlink,2,0)</f>
        <v>0</v>
      </c>
      <c r="CO69" s="497">
        <f ca="1">OFFSET($CH$9,CL69-1,-15,1,1)</f>
        <v>0</v>
      </c>
      <c r="CQ69" s="51">
        <v>0</v>
      </c>
      <c r="CR69" s="51">
        <f>IF(K69=$BH$12,$BH$23,IF(K69=$BH$13,$BH$24,10000))</f>
        <v>10000</v>
      </c>
      <c r="CS69" s="51">
        <f ca="1">IF(F69&lt;OFFSET($BM$9,CL69-1,0,1,1),0,IF(F69&lt;OFFSET($BN$9,CL69-1,0,1,1),((F69-OFFSET($BM$9,CL69-1,0,1,1))*OFFSET($CH$9,CL69-1,0,1,1))+OFFSET($BO$9,CL69-1,CQ69,1,1),IF(F69&lt;OFFSET($BN$9,CL69+0,0,1,1),((F69-OFFSET($BM$9,CL69+0,0,1,1))*OFFSET($CH$9,CL69+0,0,1,1))+OFFSET($BO$9,CL69+0,CQ69,1,1),IF(F69&lt;OFFSET($BN$9,CL69+1,0,1,1),((F69-OFFSET($BM$9,CL69+1,0,1,1))*OFFSET($CH$9,CL69+1,0,1,1))+OFFSET($BO$9,CL69+1,CQ69,1,1),IF(F69&lt;OFFSET($BN$9,CL69+2,0,1,1),((F69-OFFSET($BM$9,CL69+2,0,1,1))*OFFSET($CH$9,CL69+2,0,1,1))+OFFSET($BO$9,CL69+2,CQ69,1,1),IF(F69&lt;OFFSET($BN$9,CL69+3,0,1,1),((F69-OFFSET($BM$9,CL69+3,0,1,1))*OFFSET($CH$9,CL69+3,0,1,1))+OFFSET($BO$9,CL69+3,CQ69,1,1),0))))))</f>
        <v>0</v>
      </c>
      <c r="CT69" s="51">
        <f ca="1">IF($F69&lt;OFFSET($BM$9,$CL69-1,0,1,1),0,IF($F69&lt;OFFSET($BN$9,$CL69-1,0,1,1),IF(AND($H69&gt;2.4,Z69&lt;&gt;"e",Z69&lt;&gt;"f"),CX69*2.4/$H69,CX69),IF($F69&lt;OFFSET($BN$9,$CL69+0,0,1,1),IF(AND($H69&gt;2.4,Z69&lt;&gt;"e",Z69&lt;&gt;"f"),CX69*2.4/$H69,CX69),IF($F69&lt;OFFSET($BN$9,$CL69+1,0,1,1),IF(AND($H69&gt;2.4,Z69&lt;&gt;"e",Z69&lt;&gt;"f"),CX69*2.4/$H69,CX69),IF($F69&lt;OFFSET($BN$9,CL69+2,0,1,1),IF(AND($H69&gt;2.4,Z69&lt;&gt;"e",Z69&lt;&gt;"f"),CX69*2.4/$H69,CX69),IF($F69&lt;OFFSET($BN$9,CL69+3,0,1,1),IF(AND($H69&gt;2.4,Z69&lt;&gt;"e",Z69&lt;&gt;"f"),CX69*2.4/$H69,CX69),0)))))*COS(RADIANS($G69)))</f>
        <v>0</v>
      </c>
      <c r="CU69" s="51">
        <f ca="1">IF(F69&lt;OFFSET($BM$9,CL69-1,0,1,1),0,IF(F69&lt;OFFSET($BN$9,CL69-1,0,1,1),((F69-OFFSET($BM$9,CL69-1,0,1,1))*OFFSET($CI$9,CL69-1,0,1,1))+OFFSET($BP$9,CL69-1,CQ69,1,1),IF(F69&lt;OFFSET($BN$9,CL69+0,0,1,1),((F69-OFFSET($BM$9,CL69+0,0,1,1))*OFFSET($CI$9,CL69+0,0,1,1))+OFFSET($BP$9,CL69+0,CQ69,1,1),IF(F69&lt;OFFSET($BN$9,CL69+1,0,1,1),((F69-OFFSET($BM$9,CL69+1,0,1,1))*OFFSET($CI$9,CL69+1,0,1,1))+OFFSET($BP$9,CL69+1,CQ69,1,1),IF(F69&lt;OFFSET($BN$9,CL69+2,0,1,1),((F69-OFFSET($BM$9,CL69+2,0,1,1))*OFFSET($CI$9,CL69+2,0,1,1))+OFFSET($BP$9,CL69+2,CQ69,1,1),IF(F69&lt;OFFSET($BN$9,CL69+3,0,1,1),((F69-OFFSET($BM$9,CL69+3,0,1,1))*OFFSET($CI$9,CL69+3,0,1,1))+OFFSET($BP$9,CL69+3,CQ69,1,1),0))))))</f>
        <v>0</v>
      </c>
      <c r="CV69" s="51">
        <f ca="1">IF($F69&lt;OFFSET($BM$9,$CL69-1,0,1,1),0,IF($F69&lt;OFFSET($BN$9,$CL69-1,0,1,1),IF(AND($H69&gt;2.4,Z69&lt;&gt;"e",Z69&lt;&gt;"f"),CZ69*2.4/$H69,CZ69),IF($F69&lt;OFFSET($BN$9,$CL69+0,0,1,1),IF(AND($H69&gt;2.4,Z69&lt;&gt;"e",Z69&lt;&gt;"f"),CZ69*2.4/$H69,CZ69),IF($F69&lt;OFFSET($BN$9,$CL69+1,0,1,1),IF(AND($H69&gt;2.4,Z69&lt;&gt;"e",Z69&lt;&gt;"f"),CZ69*2.4/$H69,CZ69),IF($F69&lt;OFFSET($BN$9,$CL69+2,0,1,1),IF(AND($H69&gt;2.4,Z69&lt;&gt;"e",Z69&lt;&gt;"f"),CZ69*2.4/$H69,CZ69),IF($F69&lt;OFFSET($BN$9,$CL69+3,0,1,1),IF(AND($H69&gt;2.4,Z69&lt;&gt;"e",Z69&lt;&gt;"f"),CZ69*2.4/$H69,CZ69),0)))))*COS(RADIANS($G69)))</f>
        <v>0</v>
      </c>
      <c r="CW69" s="51">
        <f ca="1">IF(CT69&gt;CR69,CR69,CT69)</f>
        <v>0</v>
      </c>
      <c r="CX69" s="51">
        <f ca="1">IF(CS69&gt;$CR69,$CR69,CS69)</f>
        <v>0</v>
      </c>
      <c r="CY69" s="51">
        <f ca="1">CW69*F69</f>
        <v>0</v>
      </c>
      <c r="CZ69" s="51">
        <f ca="1">IF($CU69&gt;$CR69,$CR69,$CU69)</f>
        <v>0</v>
      </c>
      <c r="DA69" s="51">
        <f ca="1">IF(CV69&gt;CR69,CR69,CV69)</f>
        <v>0</v>
      </c>
      <c r="DB69" s="984">
        <f ca="1">DA69*F69</f>
        <v>0</v>
      </c>
      <c r="DC69" s="993">
        <v>1</v>
      </c>
      <c r="DD69" s="758" t="str">
        <f>IF(OR(D69=BG$12,D69=BG$13),"External",IF(D69=BG$14,"Internal"," "))</f>
        <v xml:space="preserve"> </v>
      </c>
      <c r="DE69" s="51" t="str">
        <f t="shared" ca="1" si="1"/>
        <v/>
      </c>
      <c r="DF69" s="52" t="str">
        <f t="shared" ca="1" si="2"/>
        <v xml:space="preserve"> </v>
      </c>
      <c r="DG69" s="51">
        <f ca="1">IF(F69&lt;OFFSET($BM$9,CN69-1,0,1,1),0,IF(F69&lt;OFFSET($BN$9,CN69-1,0,1,1),((F69-OFFSET($BM$9,CN69-1,0,1,1))*OFFSET($CH$9,CN69-1,0,1,1))+OFFSET($BO$9,CN69-1,CQ69,1,1),IF(F69&lt;OFFSET($BN$9,CN69+0,0,1,1),((F69-OFFSET($BM$9,CN69+0,0,1,1))*OFFSET($CH$9,CN69+0,0,1,1))+OFFSET($BO$9,CN69+0,CQ69,1,1),IF(F69&lt;OFFSET($BN$9,CN69+1,0,1,1),((F69-OFFSET($BM$9,CN69+1,0,1,1))*OFFSET($CH$9,CN69+1,0,1,1))+OFFSET($BO$9,CN69+1,CQ69,1,1),IF(F69&lt;OFFSET($BN$9,CN69+2,0,1,1),((F69-OFFSET($BM$9,CN69+2,0,1,1))*OFFSET($CH$9,CN69+2,0,1,1))+OFFSET($BO$9,CN69+2,CQ69,1,1),IF(F69&lt;OFFSET($BN$9,CN69+3,0,1,1),((F69-OFFSET($BM$9,CN69+3,0,1,1))*OFFSET($CH$9,CN69+3,0,1,1))+OFFSET($BO$9,CN69+3,CQ69,1,1),0))))))</f>
        <v>0</v>
      </c>
      <c r="DH69" s="51">
        <f ca="1">IF($F69&lt;OFFSET($BM$9,$CN69-1,0,1,1),0,IF($F69&lt;OFFSET($BN$9,$CN69-1,0,1,1),IF(AND($H69&gt;2.4,Z69&lt;&gt;"e",Z69&lt;&gt;"f"),DL69*2.4/$H69,DL69),IF($F69&lt;OFFSET($BN$9,$CN69+0,0,1,1),IF(AND($H69&gt;2.4,Z69&lt;&gt;"e",Z69&lt;&gt;"f"),DL69*2.4/$H69,DL69),IF($F69&lt;OFFSET($BN$9,$CN69+1,0,1,1),IF(AND($H69&gt;2.4,Z69&lt;&gt;"e",Z69&lt;&gt;"f"),DL69*2.4/$H69,DL69),IF($F69&lt;OFFSET($BN$9,$CN69+2,0,1,1),IF(AND($H69&gt;2.4,Z69&lt;&gt;"e",Z69&lt;&gt;"f"),DL69*2.4/$H69,DL69),IF($F69&lt;OFFSET($BN$9,$CN69+3,0,1,1),IF(AND($H69&gt;2.4,Z69&lt;&gt;"e",Z69&lt;&gt;"f"),DL69*2.4/$H69,DL69),0)))))*COS(RADIANS($G69)))</f>
        <v>0</v>
      </c>
      <c r="DI69" s="51">
        <f ca="1">IF(F69&lt;OFFSET($BM$9,CN69-1,0,1,1),0,IF(F69&lt;OFFSET($BN$9,CN69-1,0,1,1),((F69-OFFSET($BM$9,CN69-1,0,1,1))*OFFSET($CI$9,CN69-1,0,1,1))+OFFSET($BP$9,CN69-1,CQ69,1,1),IF(F69&lt;OFFSET($BN$9,CN69+0,0,1,1),((F69-OFFSET($BM$9,CN69+0,0,1,1))*OFFSET($CI$9,CN69+0,0,1,1))+OFFSET($BP$9,CN69+0,CQ69,1,1),IF(F69&lt;OFFSET($BN$9,CN69+1,0,1,1),((F69-OFFSET($BM$9,CN69+1,0,1,1))*OFFSET($CI$9,CN69+1,0,1,1))+OFFSET($BP$9,CN69+1,CQ69,1,1),IF(F69&lt;OFFSET($BN$9,CN69+2,0,1,1),((F69-OFFSET($BM$9,CN69+2,0,1,1))*OFFSET($CI$9,CN69+2,0,1,1))+OFFSET($BP$9,CN69+2,CQ69,1,1),IF(F69&lt;OFFSET($BN$9,CN69+3,0,1,1),((F69-OFFSET($BM$9,CN69+3,0,1,1))*OFFSET($CI$9,CN69+3,0,1,1))+OFFSET($BP$9,CN69+3,CQ69,1,1),0))))))</f>
        <v>0</v>
      </c>
      <c r="DJ69" s="51">
        <f ca="1">IF($F69&lt;OFFSET($BM$9,$CN69-1,0,1,1),0,IF($F69&lt;OFFSET($BN$9,$CN69-1,0,1,1),IF(AND($H69&gt;2.4,Z69&lt;&gt;"e",Z69&lt;&gt;"f"),DN69*2.4/$H69,DN69),IF($F69&lt;OFFSET($BN$9,$CN69+0,0,1,1),IF(AND($H69&gt;2.4,Z69&lt;&gt;"e",Z69&lt;&gt;"f"),DN69*2.4/$H69,DN69),IF($F69&lt;OFFSET($BN$9,$CN69+1,0,1,1),IF(AND($H69&gt;2.4,Z69&lt;&gt;"e",Z69&lt;&gt;"f"),DN69*2.4/$H69,DN69),IF($F69&lt;OFFSET($BN$9,$CN69+2,0,1,1),IF(AND($H69&gt;2.4,Z69&lt;&gt;"e",Z69&lt;&gt;"f"),DN69*2.4/$H69,DN69),IF($F69&lt;OFFSET($BN$9,$CN69+3,0,1,1),IF(AND($H69&gt;2.4,Z69&lt;&gt;"e",Z69&lt;&gt;"f"),DN69*2.4/$H69,DN69),0)))))*COS(RADIANS($G69)))</f>
        <v>0</v>
      </c>
      <c r="DK69" s="51"/>
      <c r="DL69" s="51">
        <f ca="1">IF(DG69&gt;$CR69,$CR69,DG69)</f>
        <v>0</v>
      </c>
      <c r="DM69" s="51"/>
      <c r="DN69" s="51">
        <f ca="1">IF(DI69&gt;$CR69,$CR69,DI69)</f>
        <v>0</v>
      </c>
      <c r="DO69" s="435">
        <f ca="1">IF(DH69&gt;$CR69,$CR69,DH69)</f>
        <v>0</v>
      </c>
      <c r="DP69" s="435">
        <f ca="1">DO69*F69</f>
        <v>0</v>
      </c>
      <c r="DQ69" s="436">
        <f ca="1">IF(DJ69&gt;$CR69,$CR69,DJ69)</f>
        <v>0</v>
      </c>
      <c r="DR69" s="437">
        <f ca="1">DQ69*F69</f>
        <v>0</v>
      </c>
      <c r="DS69" s="426">
        <f ca="1">OFFSET($CH$9,CL69-1,-15,1,1)</f>
        <v>0</v>
      </c>
      <c r="DT69" s="451">
        <f ca="1">VLOOKUP(DS69,Prodlink,2,0)</f>
        <v>0</v>
      </c>
      <c r="DU69" s="188">
        <f ca="1">IF(F69&lt;OFFSET($BM$9,DT69-1,0,1,1),0,IF(F69&lt;OFFSET($BN$9,DT69-1,0,1,1),((F69-OFFSET($BM$9,DT69-1,0,1,1))*OFFSET($CH$9,DT69-1,0,1,1))+OFFSET($BO$9,DT69-1,CQ69,1,1),IF(F69&lt;OFFSET($BN$9,DT69+0,0,1,1),((F69-OFFSET($BM$9,DT69+0,0,1,1))*OFFSET($CH$9,DT69+0,0,1,1))+OFFSET($BO$9,DT69+0,CQ69,1,1),IF(F69&lt;OFFSET($BN$9,DT69+1,0,1,1),((F69-OFFSET($BM$9,DT69+1,0,1,1))*OFFSET($CH$9,DT69+1,0,1,1))+OFFSET($BO$9,DT69+1,CQ69,1,1),IF(F69&lt;OFFSET($BN$9,DT69+2,0,1,1),((F69-OFFSET($BM$9,DT69+2,0,1,1))*OFFSET($CH$9,DT69+2,0,1,1))+OFFSET($BO$9,DT69+2,CQ69,1,1),IF(F69&lt;OFFSET($BN$9,DT69+3,0,1,1),((F69-OFFSET($BM$9,DT69+3,0,1,1))*OFFSET($CH$9,DT69+3,0,1,1))+OFFSET($BO$9,DT69+3,CQ69,1,1),0))))))</f>
        <v>0</v>
      </c>
      <c r="DV69" s="51">
        <f ca="1">IF($F69&lt;OFFSET($BM$9,$DT69-1,0,1,1),0,IF($F69&lt;OFFSET($BN$9,$DT69-1,0,1,1),IF(AND($H69&gt;2.4,Z69&lt;&gt;"e",Z69&lt;&gt;"f"),DZ69*2.4/$H69,DZ69),IF($F69&lt;OFFSET($BN$9,$DT69+0,0,1,1),IF(AND($H69&gt;2.4,Z69&lt;&gt;"e",Z69&lt;&gt;"f"),DZ69*2.4/$H69,DZ69),IF($F69&lt;OFFSET($BN$9,$DT69+1,0,1,1),IF(AND($H69&gt;2.4,Z69&lt;&gt;"e",Z69&lt;&gt;"f"),DZ69*2.4/$H69,DZ69),IF($F69&lt;OFFSET($BN$9,$DT69+2,0,1,1),IF(AND($H69&gt;2.4,Z69&lt;&gt;"e",Z69&lt;&gt;"f"),DZ69*2.4/$H69,DZ69),IF($F69&lt;OFFSET($BN$9,$DT69+3,0,1,1),IF(AND($H69&gt;2.4,Z69&lt;&gt;"e",Z69&lt;&gt;"f"),DZ69*2.4/$H69,DZ69),0)))))*COS(RADIANS($G69)))</f>
        <v>0</v>
      </c>
      <c r="DW69" s="188">
        <f ca="1">IF(F69&lt;OFFSET($BM$9,DT69-1,0,1,1),0,IF(F69&lt;OFFSET($BN$9,DT69-1,0,1,1),((F69-OFFSET($BM$9,DT69-1,0,1,1))*OFFSET($CI$9,DT69-1,0,1,1))+OFFSET($BP$9,DT69-1,CQ69,1,1),IF(F69&lt;OFFSET($BN$9,DT69+0,0,1,1),((F69-OFFSET($BM$9,DT69+0,0,1,1))*OFFSET($CI$9,DT69+0,0,1,1))+OFFSET($BP$9,DT69+0,CQ69,1,1),IF(F69&lt;OFFSET($BN$9,DT69+1,0,1,1),((F69-OFFSET($BM$9,DT69+1,0,1,1))*OFFSET($CI$9,DT69+1,0,1,1))+OFFSET($BP$9,DT69+1,CQ69,1,1),IF(F69&lt;OFFSET($BN$9,DT69+2,0,1,1),((F69-OFFSET($BM$9,DT69+2,0,1,1))*OFFSET($CI$9,DT69+2,0,1,1))+OFFSET($BP$9,DT69+2,CQ69,1,1),IF(F69&lt;OFFSET($BN$9,DT69+3,0,1,1),((F69-OFFSET($BM$9,DT69+3,0,1,1))*OFFSET($CI$9,DT69+3,0,1,1))+OFFSET($BP$9,DT69+3,CQ69,1,1),0))))))</f>
        <v>0</v>
      </c>
      <c r="DX69" s="51">
        <f ca="1">IF($F69&lt;OFFSET($BM$9,$DT69-1,0,1,1),0,IF($F69&lt;OFFSET($BN$9,$DT69-1,0,1,1),IF(AND($H69&gt;2.4,Z69&lt;&gt;"e",Z69&lt;&gt;"f"),EB69*2.4/$H69,EB69),IF($F69&lt;OFFSET($BN$9,$DT69+0,0,1,1),IF(AND($H69&gt;2.4,Z69&lt;&gt;"e",Z69&lt;&gt;"f"),EB69*2.4/$H69,EB69),IF($F69&lt;OFFSET($BN$9,$DT69+1,0,1,1),IF(AND($H69&gt;2.4,Z69&lt;&gt;"e",Z69&lt;&gt;"f"),EB69*2.4/$H69,EB69),IF($F69&lt;OFFSET($BN$9,$DT69+2,0,1,1),IF(AND($H69&gt;2.4,Z69&lt;&gt;"e",Z69&lt;&gt;"f"),EB69*2.4/$H69,EB69),IF($F69&lt;OFFSET($BN$9,$DT69+3,0,1,1),IF(AND($H69&gt;2.4,Z69&lt;&gt;"e",Z69&lt;&gt;"f"),EB69*2.4/$H69,EB69),0)))))*COS(RADIANS($G69)))</f>
        <v>0</v>
      </c>
      <c r="DY69" s="188"/>
      <c r="DZ69" s="188">
        <f ca="1">IF(DU69&gt;$CR69,$CR69,DU69)</f>
        <v>0</v>
      </c>
      <c r="EA69" s="188"/>
      <c r="EB69" s="188">
        <f ca="1">IF(DW69&gt;$CR69,$CR69,DW69)</f>
        <v>0</v>
      </c>
      <c r="EC69" s="435">
        <f ca="1">IF(DV69&gt;$CR69,$CR69,DV69)</f>
        <v>0</v>
      </c>
      <c r="ED69" s="435">
        <f ca="1">EC69*F69</f>
        <v>0</v>
      </c>
      <c r="EE69" s="436">
        <f ca="1">IF(DX69&gt;$CR69,$CR69,DX69)</f>
        <v>0</v>
      </c>
      <c r="EF69" s="437">
        <f ca="1">EE69*F69</f>
        <v>0</v>
      </c>
      <c r="EG69" s="613" t="str">
        <f>IF(D69=BG$12,BG$12,"")</f>
        <v/>
      </c>
      <c r="EH69" s="614" t="str">
        <f>IF(D69=BG$13,BG$13,"")</f>
        <v/>
      </c>
      <c r="EI69" s="611">
        <f>IF(EG69=BG$12,M69,0)</f>
        <v>0</v>
      </c>
      <c r="EJ69" s="451">
        <f>IF(EG69=BG$12,O69,0)</f>
        <v>0</v>
      </c>
      <c r="EK69" s="451">
        <f>IF(EH69=BG$13,M69,0)</f>
        <v>0</v>
      </c>
      <c r="EL69" s="612">
        <f>IF(EH69=BG$13,O69,0)</f>
        <v>0</v>
      </c>
      <c r="EM69" s="426" t="str">
        <f ca="1">IF(AND(Z69&lt;&gt;"t",Z69&lt;&gt;"f"),"",IF(AND(EN69=$BH$13,K69=$BH$12),"NotOpt",IF(K69&lt;&gt;EN69,"Error","")))</f>
        <v/>
      </c>
      <c r="EN69" s="491" t="str">
        <f>IF(AND($BH$28=1,$BG$28=1),$BH$13,$BH$12)</f>
        <v>120 BU's</v>
      </c>
      <c r="EO69" s="426" t="str">
        <f>K69</f>
        <v xml:space="preserve"> </v>
      </c>
      <c r="EP69" s="497">
        <v>1</v>
      </c>
      <c r="EQ69" s="430" t="str">
        <f ca="1">IF(EP69=1," ",OFFSET(BF$15,EP69-2,0,1,1))</f>
        <v xml:space="preserve"> </v>
      </c>
      <c r="ER69" s="439" t="str">
        <f ca="1">IF(H69=0," ",H69)</f>
        <v xml:space="preserve"> </v>
      </c>
      <c r="ES69" s="440" t="str">
        <f ca="1">IF(ER69&lt;&gt;" ",IF(ER69&lt;&gt;ER$7,"Changed",""),"")</f>
        <v/>
      </c>
      <c r="ET69" s="440">
        <f ca="1">IF(ER69&lt;&gt;" ",IF(ER69&lt;&gt;ER$7,1,0),0)</f>
        <v>0</v>
      </c>
      <c r="EU69" s="957" t="str">
        <f ca="1">IF(I69=" "," ",IF(F69&lt;OFFSET($BM$9,CL69-1,0,1,1),1,""))</f>
        <v xml:space="preserve"> </v>
      </c>
      <c r="EW69" s="427"/>
    </row>
    <row r="70" spans="1:153" ht="17.100000000000001" hidden="1" customHeight="1">
      <c r="A70" s="2685"/>
      <c r="B70" s="689" t="s">
        <v>246</v>
      </c>
      <c r="C70" s="684" t="str">
        <f>IF(OR(F70=0,I70="",I70=" ")," ",$V70)</f>
        <v xml:space="preserve"> </v>
      </c>
      <c r="D70" s="1033"/>
      <c r="E70" s="1360"/>
      <c r="F70" s="202"/>
      <c r="G70" s="1416"/>
      <c r="H70" s="199" t="str">
        <f ca="1">IF(OR(F70=0,Z70="E",Z70="f")," ",'Project Demand'!E$35)</f>
        <v xml:space="preserve"> </v>
      </c>
      <c r="I70" s="631" t="str">
        <f>IF($I$6&lt;&gt;$BG$8," ",AB70)</f>
        <v xml:space="preserve"> </v>
      </c>
      <c r="J70" s="44" t="str">
        <f ca="1">IF(OR(I70=" ",I70="")," ",OFFSET($BO$9,CL70-1,0-4,1,1))</f>
        <v xml:space="preserve"> </v>
      </c>
      <c r="K70" s="55" t="str">
        <f>IF(OR(I70=" ",I70="")," ",IF(OR(Z70="e",Z70="h"),"SD",BG$24))</f>
        <v xml:space="preserve"> </v>
      </c>
      <c r="L70" s="49">
        <f ca="1">CW70</f>
        <v>0</v>
      </c>
      <c r="M70" s="49">
        <f ca="1">CY70</f>
        <v>0</v>
      </c>
      <c r="N70" s="50">
        <f t="shared" ca="1" si="31"/>
        <v>0</v>
      </c>
      <c r="O70" s="126">
        <f t="shared" ca="1" si="31"/>
        <v>0</v>
      </c>
      <c r="P70" s="140"/>
      <c r="Q70" s="752" t="str">
        <f ca="1">IF(OR(I70=" ",I70="")," ",IF(F70&lt;OFFSET($BM$9,CL70-1,0,1,1),"check L(m)",IF(DE70&lt;&gt;"",DE70,IF(AND(DP70&gt;=CY70,DR70&gt;=DB70),IF(AND(ED70&gt;=DP70,EF70&gt;=DR70),CONCATENATE(DS70," provides same results"),CONCATENATE(CO70," provides same results")),IF((DP70&gt;=CY70),CONCATENATE(CO70," provides same result in WIND"),IF((DR70&gt;=DB70),CONCATENATE(CO70," provides same result in EQ",""),""))))))</f>
        <v xml:space="preserve"> </v>
      </c>
      <c r="R70" s="52"/>
      <c r="S70" s="1372"/>
      <c r="T70" s="1372"/>
      <c r="U70" s="1377"/>
      <c r="V70" s="52" t="str">
        <f ca="1">IF(AND(B$5=$BF$9,OR(I70=BH$16,I70=BH$17))," ",IF(ISNUMBER(B$68),(CONCATENATE(B$68,".",W70)),(CONCATENATE(B$68,W70))))</f>
        <v>K0</v>
      </c>
      <c r="W70" s="9">
        <f ca="1">W69+X70</f>
        <v>0</v>
      </c>
      <c r="X70" s="9">
        <f>IF(AND(B$5=$BF$9,OR($I70=$BH$16,$I70=$BH$17,$I70=" ",$I70="",$F70=0)),0,IF(OR($I70=" ",$I70="",$F70=0),0,1))</f>
        <v>0</v>
      </c>
      <c r="Y70" s="896"/>
      <c r="Z70" s="52" t="str">
        <f ca="1">IF(I70=" "," ",OFFSET($BM$9,$CL70-1,8,1,1))</f>
        <v xml:space="preserve"> </v>
      </c>
      <c r="AA70" s="51" t="str">
        <f>IF(G70&gt;=45,"WA","")</f>
        <v/>
      </c>
      <c r="AB70" s="1364" t="str">
        <f>IF(F70&lt;&gt;"",IF(OR(D70=$BG$12,D70=$BG$13),IF(E70&lt;&gt;$BG$17,$BF$12,$BF$13),IF(E70&lt;&gt;$BG$17,$BF$12,$BF$13))," ")</f>
        <v xml:space="preserve"> </v>
      </c>
      <c r="AC70" s="1"/>
      <c r="BD70" s="641"/>
      <c r="BI70" s="759"/>
      <c r="BJ70" s="897">
        <f t="shared" si="25"/>
        <v>62</v>
      </c>
      <c r="BK70" s="764"/>
      <c r="BL70" s="766"/>
      <c r="BM70" s="455">
        <f>Table!P12</f>
        <v>0.8</v>
      </c>
      <c r="BN70" s="455">
        <f>BM71</f>
        <v>1</v>
      </c>
      <c r="BO70" s="455">
        <f>Table!Q12</f>
        <v>135</v>
      </c>
      <c r="BP70" s="925">
        <f>Table!R12</f>
        <v>125</v>
      </c>
      <c r="BR70" s="764"/>
      <c r="BS70" s="455"/>
      <c r="BT70" s="455"/>
      <c r="BU70" s="925" t="s">
        <v>242</v>
      </c>
      <c r="BV70" s="895"/>
      <c r="BW70" s="912"/>
      <c r="BX70" s="925" t="str">
        <f>Table!T11</f>
        <v>Double</v>
      </c>
      <c r="CH70" s="764">
        <f>IF(BN70=999,0,(BO71-BO70)/(BN70-BM70))</f>
        <v>25.000000000000007</v>
      </c>
      <c r="CI70" s="925">
        <f>IF(BN70=999,0,(BP71-BP70)/(BN70-BM70))</f>
        <v>25.000000000000007</v>
      </c>
      <c r="CJ70" s="759"/>
      <c r="CK70" s="188"/>
      <c r="CL70" s="979">
        <f>VLOOKUP(I70,Prodlink,2,0)</f>
        <v>0</v>
      </c>
      <c r="CN70" s="497">
        <f ca="1">VLOOKUP(CO70,Prodlink,2,0)</f>
        <v>0</v>
      </c>
      <c r="CO70" s="497">
        <f ca="1">OFFSET($CH$9,CL70-1,-15,1,1)</f>
        <v>0</v>
      </c>
      <c r="CQ70" s="51">
        <v>0</v>
      </c>
      <c r="CR70" s="51">
        <f>IF(K70=$BH$12,$BH$23,IF(K70=$BH$13,$BH$24,10000))</f>
        <v>10000</v>
      </c>
      <c r="CS70" s="51">
        <f ca="1">IF(F70&lt;OFFSET($BM$9,CL70-1,0,1,1),0,IF(F70&lt;OFFSET($BN$9,CL70-1,0,1,1),((F70-OFFSET($BM$9,CL70-1,0,1,1))*OFFSET($CH$9,CL70-1,0,1,1))+OFFSET($BO$9,CL70-1,CQ70,1,1),IF(F70&lt;OFFSET($BN$9,CL70+0,0,1,1),((F70-OFFSET($BM$9,CL70+0,0,1,1))*OFFSET($CH$9,CL70+0,0,1,1))+OFFSET($BO$9,CL70+0,CQ70,1,1),IF(F70&lt;OFFSET($BN$9,CL70+1,0,1,1),((F70-OFFSET($BM$9,CL70+1,0,1,1))*OFFSET($CH$9,CL70+1,0,1,1))+OFFSET($BO$9,CL70+1,CQ70,1,1),IF(F70&lt;OFFSET($BN$9,CL70+2,0,1,1),((F70-OFFSET($BM$9,CL70+2,0,1,1))*OFFSET($CH$9,CL70+2,0,1,1))+OFFSET($BO$9,CL70+2,CQ70,1,1),IF(F70&lt;OFFSET($BN$9,CL70+3,0,1,1),((F70-OFFSET($BM$9,CL70+3,0,1,1))*OFFSET($CH$9,CL70+3,0,1,1))+OFFSET($BO$9,CL70+3,CQ70,1,1),0))))))</f>
        <v>0</v>
      </c>
      <c r="CT70" s="51">
        <f ca="1">IF($F70&lt;OFFSET($BM$9,$CL70-1,0,1,1),0,IF($F70&lt;OFFSET($BN$9,$CL70-1,0,1,1),IF(AND($H70&gt;2.4,Z70&lt;&gt;"e",Z70&lt;&gt;"f"),CX70*2.4/$H70,CX70),IF($F70&lt;OFFSET($BN$9,$CL70+0,0,1,1),IF(AND($H70&gt;2.4,Z70&lt;&gt;"e",Z70&lt;&gt;"f"),CX70*2.4/$H70,CX70),IF($F70&lt;OFFSET($BN$9,$CL70+1,0,1,1),IF(AND($H70&gt;2.4,Z70&lt;&gt;"e",Z70&lt;&gt;"f"),CX70*2.4/$H70,CX70),IF($F70&lt;OFFSET($BN$9,CL70+2,0,1,1),IF(AND($H70&gt;2.4,Z70&lt;&gt;"e",Z70&lt;&gt;"f"),CX70*2.4/$H70,CX70),IF($F70&lt;OFFSET($BN$9,CL70+3,0,1,1),IF(AND($H70&gt;2.4,Z70&lt;&gt;"e",Z70&lt;&gt;"f"),CX70*2.4/$H70,CX70),0)))))*COS(RADIANS($G70)))</f>
        <v>0</v>
      </c>
      <c r="CU70" s="51">
        <f ca="1">IF(F70&lt;OFFSET($BM$9,CL70-1,0,1,1),0,IF(F70&lt;OFFSET($BN$9,CL70-1,0,1,1),((F70-OFFSET($BM$9,CL70-1,0,1,1))*OFFSET($CI$9,CL70-1,0,1,1))+OFFSET($BP$9,CL70-1,CQ70,1,1),IF(F70&lt;OFFSET($BN$9,CL70+0,0,1,1),((F70-OFFSET($BM$9,CL70+0,0,1,1))*OFFSET($CI$9,CL70+0,0,1,1))+OFFSET($BP$9,CL70+0,CQ70,1,1),IF(F70&lt;OFFSET($BN$9,CL70+1,0,1,1),((F70-OFFSET($BM$9,CL70+1,0,1,1))*OFFSET($CI$9,CL70+1,0,1,1))+OFFSET($BP$9,CL70+1,CQ70,1,1),IF(F70&lt;OFFSET($BN$9,CL70+2,0,1,1),((F70-OFFSET($BM$9,CL70+2,0,1,1))*OFFSET($CI$9,CL70+2,0,1,1))+OFFSET($BP$9,CL70+2,CQ70,1,1),IF(F70&lt;OFFSET($BN$9,CL70+3,0,1,1),((F70-OFFSET($BM$9,CL70+3,0,1,1))*OFFSET($CI$9,CL70+3,0,1,1))+OFFSET($BP$9,CL70+3,CQ70,1,1),0))))))</f>
        <v>0</v>
      </c>
      <c r="CV70" s="51">
        <f ca="1">IF($F70&lt;OFFSET($BM$9,$CL70-1,0,1,1),0,IF($F70&lt;OFFSET($BN$9,$CL70-1,0,1,1),IF(AND($H70&gt;2.4,Z70&lt;&gt;"e",Z70&lt;&gt;"f"),CZ70*2.4/$H70,CZ70),IF($F70&lt;OFFSET($BN$9,$CL70+0,0,1,1),IF(AND($H70&gt;2.4,Z70&lt;&gt;"e",Z70&lt;&gt;"f"),CZ70*2.4/$H70,CZ70),IF($F70&lt;OFFSET($BN$9,$CL70+1,0,1,1),IF(AND($H70&gt;2.4,Z70&lt;&gt;"e",Z70&lt;&gt;"f"),CZ70*2.4/$H70,CZ70),IF($F70&lt;OFFSET($BN$9,$CL70+2,0,1,1),IF(AND($H70&gt;2.4,Z70&lt;&gt;"e",Z70&lt;&gt;"f"),CZ70*2.4/$H70,CZ70),IF($F70&lt;OFFSET($BN$9,$CL70+3,0,1,1),IF(AND($H70&gt;2.4,Z70&lt;&gt;"e",Z70&lt;&gt;"f"),CZ70*2.4/$H70,CZ70),0)))))*COS(RADIANS($G70)))</f>
        <v>0</v>
      </c>
      <c r="CW70" s="51">
        <f ca="1">IF(CT70&gt;CR70,CR70,CT70)</f>
        <v>0</v>
      </c>
      <c r="CX70" s="51">
        <f ca="1">IF(CS70&gt;$CR70,$CR70,CS70)</f>
        <v>0</v>
      </c>
      <c r="CY70" s="51">
        <f ca="1">CW70*F70</f>
        <v>0</v>
      </c>
      <c r="CZ70" s="51">
        <f ca="1">IF($CU70&gt;$CR70,$CR70,$CU70)</f>
        <v>0</v>
      </c>
      <c r="DA70" s="51">
        <f ca="1">IF(CV70&gt;CR70,CR70,CV70)</f>
        <v>0</v>
      </c>
      <c r="DB70" s="984">
        <f ca="1">DA70*F70</f>
        <v>0</v>
      </c>
      <c r="DC70" s="993">
        <v>1</v>
      </c>
      <c r="DD70" s="758" t="str">
        <f>IF(OR(D70=BG$12,D70=BG$13),"External",IF(D70=BG$14,"Internal"," "))</f>
        <v xml:space="preserve"> </v>
      </c>
      <c r="DE70" s="51" t="str">
        <f t="shared" ca="1" si="1"/>
        <v/>
      </c>
      <c r="DF70" s="52" t="str">
        <f t="shared" ca="1" si="2"/>
        <v xml:space="preserve"> </v>
      </c>
      <c r="DG70" s="51">
        <f ca="1">IF(F70&lt;OFFSET($BM$9,CN70-1,0,1,1),0,IF(F70&lt;OFFSET($BN$9,CN70-1,0,1,1),((F70-OFFSET($BM$9,CN70-1,0,1,1))*OFFSET($CH$9,CN70-1,0,1,1))+OFFSET($BO$9,CN70-1,CQ70,1,1),IF(F70&lt;OFFSET($BN$9,CN70+0,0,1,1),((F70-OFFSET($BM$9,CN70+0,0,1,1))*OFFSET($CH$9,CN70+0,0,1,1))+OFFSET($BO$9,CN70+0,CQ70,1,1),IF(F70&lt;OFFSET($BN$9,CN70+1,0,1,1),((F70-OFFSET($BM$9,CN70+1,0,1,1))*OFFSET($CH$9,CN70+1,0,1,1))+OFFSET($BO$9,CN70+1,CQ70,1,1),IF(F70&lt;OFFSET($BN$9,CN70+2,0,1,1),((F70-OFFSET($BM$9,CN70+2,0,1,1))*OFFSET($CH$9,CN70+2,0,1,1))+OFFSET($BO$9,CN70+2,CQ70,1,1),IF(F70&lt;OFFSET($BN$9,CN70+3,0,1,1),((F70-OFFSET($BM$9,CN70+3,0,1,1))*OFFSET($CH$9,CN70+3,0,1,1))+OFFSET($BO$9,CN70+3,CQ70,1,1),0))))))</f>
        <v>0</v>
      </c>
      <c r="DH70" s="51">
        <f ca="1">IF($F70&lt;OFFSET($BM$9,$CN70-1,0,1,1),0,IF($F70&lt;OFFSET($BN$9,$CN70-1,0,1,1),IF(AND($H70&gt;2.4,Z70&lt;&gt;"e",Z70&lt;&gt;"f"),DL70*2.4/$H70,DL70),IF($F70&lt;OFFSET($BN$9,$CN70+0,0,1,1),IF(AND($H70&gt;2.4,Z70&lt;&gt;"e",Z70&lt;&gt;"f"),DL70*2.4/$H70,DL70),IF($F70&lt;OFFSET($BN$9,$CN70+1,0,1,1),IF(AND($H70&gt;2.4,Z70&lt;&gt;"e",Z70&lt;&gt;"f"),DL70*2.4/$H70,DL70),IF($F70&lt;OFFSET($BN$9,$CN70+2,0,1,1),IF(AND($H70&gt;2.4,Z70&lt;&gt;"e",Z70&lt;&gt;"f"),DL70*2.4/$H70,DL70),IF($F70&lt;OFFSET($BN$9,$CN70+3,0,1,1),IF(AND($H70&gt;2.4,Z70&lt;&gt;"e",Z70&lt;&gt;"f"),DL70*2.4/$H70,DL70),0)))))*COS(RADIANS($G70)))</f>
        <v>0</v>
      </c>
      <c r="DI70" s="51">
        <f ca="1">IF(F70&lt;OFFSET($BM$9,CN70-1,0,1,1),0,IF(F70&lt;OFFSET($BN$9,CN70-1,0,1,1),((F70-OFFSET($BM$9,CN70-1,0,1,1))*OFFSET($CI$9,CN70-1,0,1,1))+OFFSET($BP$9,CN70-1,CQ70,1,1),IF(F70&lt;OFFSET($BN$9,CN70+0,0,1,1),((F70-OFFSET($BM$9,CN70+0,0,1,1))*OFFSET($CI$9,CN70+0,0,1,1))+OFFSET($BP$9,CN70+0,CQ70,1,1),IF(F70&lt;OFFSET($BN$9,CN70+1,0,1,1),((F70-OFFSET($BM$9,CN70+1,0,1,1))*OFFSET($CI$9,CN70+1,0,1,1))+OFFSET($BP$9,CN70+1,CQ70,1,1),IF(F70&lt;OFFSET($BN$9,CN70+2,0,1,1),((F70-OFFSET($BM$9,CN70+2,0,1,1))*OFFSET($CI$9,CN70+2,0,1,1))+OFFSET($BP$9,CN70+2,CQ70,1,1),IF(F70&lt;OFFSET($BN$9,CN70+3,0,1,1),((F70-OFFSET($BM$9,CN70+3,0,1,1))*OFFSET($CI$9,CN70+3,0,1,1))+OFFSET($BP$9,CN70+3,CQ70,1,1),0))))))</f>
        <v>0</v>
      </c>
      <c r="DJ70" s="51">
        <f ca="1">IF($F70&lt;OFFSET($BM$9,$CN70-1,0,1,1),0,IF($F70&lt;OFFSET($BN$9,$CN70-1,0,1,1),IF(AND($H70&gt;2.4,Z70&lt;&gt;"e",Z70&lt;&gt;"f"),DN70*2.4/$H70,DN70),IF($F70&lt;OFFSET($BN$9,$CN70+0,0,1,1),IF(AND($H70&gt;2.4,Z70&lt;&gt;"e",Z70&lt;&gt;"f"),DN70*2.4/$H70,DN70),IF($F70&lt;OFFSET($BN$9,$CN70+1,0,1,1),IF(AND($H70&gt;2.4,Z70&lt;&gt;"e",Z70&lt;&gt;"f"),DN70*2.4/$H70,DN70),IF($F70&lt;OFFSET($BN$9,$CN70+2,0,1,1),IF(AND($H70&gt;2.4,Z70&lt;&gt;"e",Z70&lt;&gt;"f"),DN70*2.4/$H70,DN70),IF($F70&lt;OFFSET($BN$9,$CN70+3,0,1,1),IF(AND($H70&gt;2.4,Z70&lt;&gt;"e",Z70&lt;&gt;"f"),DN70*2.4/$H70,DN70),0)))))*COS(RADIANS($G70)))</f>
        <v>0</v>
      </c>
      <c r="DK70" s="51"/>
      <c r="DL70" s="51">
        <f ca="1">IF(DG70&gt;$CR70,$CR70,DG70)</f>
        <v>0</v>
      </c>
      <c r="DM70" s="51"/>
      <c r="DN70" s="51">
        <f ca="1">IF(DI70&gt;$CR70,$CR70,DI70)</f>
        <v>0</v>
      </c>
      <c r="DO70" s="435">
        <f ca="1">IF(DH70&gt;$CR70,$CR70,DH70)</f>
        <v>0</v>
      </c>
      <c r="DP70" s="435">
        <f ca="1">DO70*F70</f>
        <v>0</v>
      </c>
      <c r="DQ70" s="436">
        <f ca="1">IF(DJ70&gt;$CR70,$CR70,DJ70)</f>
        <v>0</v>
      </c>
      <c r="DR70" s="437">
        <f ca="1">DQ70*F70</f>
        <v>0</v>
      </c>
      <c r="DS70" s="426">
        <f ca="1">OFFSET($CH$9,CL70-1,-15,1,1)</f>
        <v>0</v>
      </c>
      <c r="DT70" s="451">
        <f ca="1">VLOOKUP(DS70,Prodlink,2,0)</f>
        <v>0</v>
      </c>
      <c r="DU70" s="188">
        <f ca="1">IF(F70&lt;OFFSET($BM$9,DT70-1,0,1,1),0,IF(F70&lt;OFFSET($BN$9,DT70-1,0,1,1),((F70-OFFSET($BM$9,DT70-1,0,1,1))*OFFSET($CH$9,DT70-1,0,1,1))+OFFSET($BO$9,DT70-1,CQ70,1,1),IF(F70&lt;OFFSET($BN$9,DT70+0,0,1,1),((F70-OFFSET($BM$9,DT70+0,0,1,1))*OFFSET($CH$9,DT70+0,0,1,1))+OFFSET($BO$9,DT70+0,CQ70,1,1),IF(F70&lt;OFFSET($BN$9,DT70+1,0,1,1),((F70-OFFSET($BM$9,DT70+1,0,1,1))*OFFSET($CH$9,DT70+1,0,1,1))+OFFSET($BO$9,DT70+1,CQ70,1,1),IF(F70&lt;OFFSET($BN$9,DT70+2,0,1,1),((F70-OFFSET($BM$9,DT70+2,0,1,1))*OFFSET($CH$9,DT70+2,0,1,1))+OFFSET($BO$9,DT70+2,CQ70,1,1),IF(F70&lt;OFFSET($BN$9,DT70+3,0,1,1),((F70-OFFSET($BM$9,DT70+3,0,1,1))*OFFSET($CH$9,DT70+3,0,1,1))+OFFSET($BO$9,DT70+3,CQ70,1,1),0))))))</f>
        <v>0</v>
      </c>
      <c r="DV70" s="51">
        <f ca="1">IF($F70&lt;OFFSET($BM$9,$DT70-1,0,1,1),0,IF($F70&lt;OFFSET($BN$9,$DT70-1,0,1,1),IF(AND($H70&gt;2.4,Z70&lt;&gt;"e",Z70&lt;&gt;"f"),DZ70*2.4/$H70,DZ70),IF($F70&lt;OFFSET($BN$9,$DT70+0,0,1,1),IF(AND($H70&gt;2.4,Z70&lt;&gt;"e",Z70&lt;&gt;"f"),DZ70*2.4/$H70,DZ70),IF($F70&lt;OFFSET($BN$9,$DT70+1,0,1,1),IF(AND($H70&gt;2.4,Z70&lt;&gt;"e",Z70&lt;&gt;"f"),DZ70*2.4/$H70,DZ70),IF($F70&lt;OFFSET($BN$9,$DT70+2,0,1,1),IF(AND($H70&gt;2.4,Z70&lt;&gt;"e",Z70&lt;&gt;"f"),DZ70*2.4/$H70,DZ70),IF($F70&lt;OFFSET($BN$9,$DT70+3,0,1,1),IF(AND($H70&gt;2.4,Z70&lt;&gt;"e",Z70&lt;&gt;"f"),DZ70*2.4/$H70,DZ70),0)))))*COS(RADIANS($G70)))</f>
        <v>0</v>
      </c>
      <c r="DW70" s="188">
        <f ca="1">IF(F70&lt;OFFSET($BM$9,DT70-1,0,1,1),0,IF(F70&lt;OFFSET($BN$9,DT70-1,0,1,1),((F70-OFFSET($BM$9,DT70-1,0,1,1))*OFFSET($CI$9,DT70-1,0,1,1))+OFFSET($BP$9,DT70-1,CQ70,1,1),IF(F70&lt;OFFSET($BN$9,DT70+0,0,1,1),((F70-OFFSET($BM$9,DT70+0,0,1,1))*OFFSET($CI$9,DT70+0,0,1,1))+OFFSET($BP$9,DT70+0,CQ70,1,1),IF(F70&lt;OFFSET($BN$9,DT70+1,0,1,1),((F70-OFFSET($BM$9,DT70+1,0,1,1))*OFFSET($CI$9,DT70+1,0,1,1))+OFFSET($BP$9,DT70+1,CQ70,1,1),IF(F70&lt;OFFSET($BN$9,DT70+2,0,1,1),((F70-OFFSET($BM$9,DT70+2,0,1,1))*OFFSET($CI$9,DT70+2,0,1,1))+OFFSET($BP$9,DT70+2,CQ70,1,1),IF(F70&lt;OFFSET($BN$9,DT70+3,0,1,1),((F70-OFFSET($BM$9,DT70+3,0,1,1))*OFFSET($CI$9,DT70+3,0,1,1))+OFFSET($BP$9,DT70+3,CQ70,1,1),0))))))</f>
        <v>0</v>
      </c>
      <c r="DX70" s="51">
        <f ca="1">IF($F70&lt;OFFSET($BM$9,$DT70-1,0,1,1),0,IF($F70&lt;OFFSET($BN$9,$DT70-1,0,1,1),IF(AND($H70&gt;2.4,Z70&lt;&gt;"e",Z70&lt;&gt;"f"),EB70*2.4/$H70,EB70),IF($F70&lt;OFFSET($BN$9,$DT70+0,0,1,1),IF(AND($H70&gt;2.4,Z70&lt;&gt;"e",Z70&lt;&gt;"f"),EB70*2.4/$H70,EB70),IF($F70&lt;OFFSET($BN$9,$DT70+1,0,1,1),IF(AND($H70&gt;2.4,Z70&lt;&gt;"e",Z70&lt;&gt;"f"),EB70*2.4/$H70,EB70),IF($F70&lt;OFFSET($BN$9,$DT70+2,0,1,1),IF(AND($H70&gt;2.4,Z70&lt;&gt;"e",Z70&lt;&gt;"f"),EB70*2.4/$H70,EB70),IF($F70&lt;OFFSET($BN$9,$DT70+3,0,1,1),IF(AND($H70&gt;2.4,Z70&lt;&gt;"e",Z70&lt;&gt;"f"),EB70*2.4/$H70,EB70),0)))))*COS(RADIANS($G70)))</f>
        <v>0</v>
      </c>
      <c r="DY70" s="188"/>
      <c r="DZ70" s="188">
        <f ca="1">IF(DU70&gt;$CR70,$CR70,DU70)</f>
        <v>0</v>
      </c>
      <c r="EA70" s="188"/>
      <c r="EB70" s="188">
        <f ca="1">IF(DW70&gt;$CR70,$CR70,DW70)</f>
        <v>0</v>
      </c>
      <c r="EC70" s="435">
        <f ca="1">IF(DV70&gt;$CR70,$CR70,DV70)</f>
        <v>0</v>
      </c>
      <c r="ED70" s="435">
        <f ca="1">EC70*F70</f>
        <v>0</v>
      </c>
      <c r="EE70" s="436">
        <f ca="1">IF(DX70&gt;$CR70,$CR70,DX70)</f>
        <v>0</v>
      </c>
      <c r="EF70" s="437">
        <f ca="1">EE70*F70</f>
        <v>0</v>
      </c>
      <c r="EG70" s="613" t="str">
        <f>IF(D70=BG$12,BG$12,"")</f>
        <v/>
      </c>
      <c r="EH70" s="614" t="str">
        <f>IF(D70=BG$13,BG$13,"")</f>
        <v/>
      </c>
      <c r="EI70" s="611">
        <f>IF(EG70=BG$12,M70,0)</f>
        <v>0</v>
      </c>
      <c r="EJ70" s="451">
        <f>IF(EG70=BG$12,O70,0)</f>
        <v>0</v>
      </c>
      <c r="EK70" s="451">
        <f>IF(EH70=BG$13,M70,0)</f>
        <v>0</v>
      </c>
      <c r="EL70" s="612">
        <f>IF(EH70=BG$13,O70,0)</f>
        <v>0</v>
      </c>
      <c r="EM70" s="426" t="str">
        <f ca="1">IF(AND(Z70&lt;&gt;"t",Z70&lt;&gt;"f"),"",IF(AND(EN70=$BH$13,K70=$BH$12),"NotOpt",IF(K70&lt;&gt;EN70,"Error","")))</f>
        <v/>
      </c>
      <c r="EN70" s="491" t="str">
        <f>IF(AND($BH$28=1,$BG$28=1),$BH$13,$BH$12)</f>
        <v>120 BU's</v>
      </c>
      <c r="EO70" s="426" t="str">
        <f>K70</f>
        <v xml:space="preserve"> </v>
      </c>
      <c r="EP70" s="497">
        <v>1</v>
      </c>
      <c r="EQ70" s="430" t="str">
        <f ca="1">IF(EP70=1," ",OFFSET(BF$15,EP70-2,0,1,1))</f>
        <v xml:space="preserve"> </v>
      </c>
      <c r="ER70" s="439" t="str">
        <f ca="1">IF(H70=0," ",H70)</f>
        <v xml:space="preserve"> </v>
      </c>
      <c r="ES70" s="440" t="str">
        <f ca="1">IF(ER70&lt;&gt;" ",IF(ER70&lt;&gt;ER$7,"Changed",""),"")</f>
        <v/>
      </c>
      <c r="ET70" s="440">
        <f ca="1">IF(ER70&lt;&gt;" ",IF(ER70&lt;&gt;ER$7,1,0),0)</f>
        <v>0</v>
      </c>
      <c r="EU70" s="957" t="str">
        <f ca="1">IF(I70=" "," ",IF(F70&lt;OFFSET($BM$9,CL70-1,0,1,1),1,""))</f>
        <v xml:space="preserve"> </v>
      </c>
      <c r="EW70" s="427"/>
    </row>
    <row r="71" spans="1:153" ht="17.100000000000001" hidden="1" customHeight="1">
      <c r="A71" s="2685"/>
      <c r="B71" s="689" t="s">
        <v>246</v>
      </c>
      <c r="C71" s="684" t="str">
        <f>IF(OR(F71=0,I71="",I71=" ")," ",$V71)</f>
        <v xml:space="preserve"> </v>
      </c>
      <c r="D71" s="1033"/>
      <c r="E71" s="1360"/>
      <c r="F71" s="202"/>
      <c r="G71" s="1416"/>
      <c r="H71" s="199" t="str">
        <f ca="1">IF(OR(F71=0,Z71="E",Z71="f")," ",'Project Demand'!E$35)</f>
        <v xml:space="preserve"> </v>
      </c>
      <c r="I71" s="631" t="str">
        <f>IF($I$6&lt;&gt;$BG$8," ",AB71)</f>
        <v xml:space="preserve"> </v>
      </c>
      <c r="J71" s="44" t="str">
        <f ca="1">IF(OR(I71=" ",I71="")," ",OFFSET($BO$9,CL71-1,0-4,1,1))</f>
        <v xml:space="preserve"> </v>
      </c>
      <c r="K71" s="55" t="str">
        <f>IF(OR(I71=" ",I71="")," ",IF(OR(Z71="e",Z71="h"),"SD",BG$24))</f>
        <v xml:space="preserve"> </v>
      </c>
      <c r="L71" s="49">
        <f ca="1">CW71</f>
        <v>0</v>
      </c>
      <c r="M71" s="49">
        <f ca="1">CY71</f>
        <v>0</v>
      </c>
      <c r="N71" s="50">
        <f t="shared" ca="1" si="31"/>
        <v>0</v>
      </c>
      <c r="O71" s="126">
        <f t="shared" ca="1" si="31"/>
        <v>0</v>
      </c>
      <c r="P71" s="140"/>
      <c r="Q71" s="752" t="str">
        <f ca="1">IF(OR(I71=" ",I71="")," ",IF(F71&lt;OFFSET($BM$9,CL71-1,0,1,1),"check L(m)",IF(DE71&lt;&gt;"",DE71,IF(AND(DP71&gt;=CY71,DR71&gt;=DB71),IF(AND(ED71&gt;=DP71,EF71&gt;=DR71),CONCATENATE(DS71," provides same results"),CONCATENATE(CO71," provides same results")),IF((DP71&gt;=CY71),CONCATENATE(CO71," provides same result in WIND"),IF((DR71&gt;=DB71),CONCATENATE(CO71," provides same result in EQ",""),""))))))</f>
        <v xml:space="preserve"> </v>
      </c>
      <c r="R71" s="52"/>
      <c r="S71" s="1372"/>
      <c r="T71" s="1372"/>
      <c r="U71" s="1377"/>
      <c r="V71" s="52" t="str">
        <f ca="1">IF(AND(B$5=$BF$9,OR(I71=BH$16,I71=BH$17))," ",IF(ISNUMBER(B$68),(CONCATENATE(B$68,".",W71)),(CONCATENATE(B$68,W71))))</f>
        <v>K0</v>
      </c>
      <c r="W71" s="9">
        <f ca="1">W70+X71</f>
        <v>0</v>
      </c>
      <c r="X71" s="9">
        <f>IF(AND(B$5=$BF$9,OR($I71=$BH$16,$I71=$BH$17,$I71=" ",$I71="",$F71=0)),0,IF(OR($I71=" ",$I71="",$F71=0),0,1))</f>
        <v>0</v>
      </c>
      <c r="Y71" s="896"/>
      <c r="Z71" s="52" t="str">
        <f ca="1">IF(I71=" "," ",OFFSET($BM$9,$CL71-1,8,1,1))</f>
        <v xml:space="preserve"> </v>
      </c>
      <c r="AA71" s="51" t="str">
        <f>IF(G71&gt;=45,"WA","")</f>
        <v/>
      </c>
      <c r="AB71" s="1364" t="str">
        <f>IF(F71&lt;&gt;"",IF(OR(D71=$BG$12,D71=$BG$13),IF(E71&lt;&gt;$BG$17,$BF$12,$BF$13),IF(E71&lt;&gt;$BG$17,$BF$12,$BF$13))," ")</f>
        <v xml:space="preserve"> </v>
      </c>
      <c r="AC71" s="1"/>
      <c r="BD71" s="652"/>
      <c r="BE71" s="1388" t="s">
        <v>1073</v>
      </c>
      <c r="BF71" s="1362"/>
      <c r="BG71" s="1362"/>
      <c r="BH71" s="1386"/>
      <c r="BI71" s="759"/>
      <c r="BJ71" s="897">
        <f t="shared" si="25"/>
        <v>63</v>
      </c>
      <c r="BK71" s="764"/>
      <c r="BL71" s="766"/>
      <c r="BM71" s="455">
        <f>Table!P13</f>
        <v>1</v>
      </c>
      <c r="BN71" s="455">
        <f>BM72</f>
        <v>1.2</v>
      </c>
      <c r="BO71" s="455">
        <f>Table!Q13</f>
        <v>140</v>
      </c>
      <c r="BP71" s="925">
        <f>Table!R13</f>
        <v>130</v>
      </c>
      <c r="BR71" s="764"/>
      <c r="BS71" s="455"/>
      <c r="BT71" s="455"/>
      <c r="BU71" s="925" t="s">
        <v>242</v>
      </c>
      <c r="BV71" s="895"/>
      <c r="BW71" s="912"/>
      <c r="BX71" s="925" t="str">
        <f>Table!T11</f>
        <v>Double</v>
      </c>
      <c r="CH71" s="764">
        <f>IF(BN71=999,0,(BO72-BO71)/(BN71-BM71))</f>
        <v>50.000000000000014</v>
      </c>
      <c r="CI71" s="925">
        <f>IF(BN71=999,0,(BP72-BP71)/(BN71-BM71))</f>
        <v>25.000000000000007</v>
      </c>
      <c r="CJ71" s="759"/>
      <c r="CK71" s="188"/>
      <c r="CL71" s="979">
        <f>VLOOKUP(I71,Prodlink,2,0)</f>
        <v>0</v>
      </c>
      <c r="CN71" s="497">
        <f ca="1">VLOOKUP(CO71,Prodlink,2,0)</f>
        <v>0</v>
      </c>
      <c r="CO71" s="497">
        <f ca="1">OFFSET($CH$9,CL71-1,-15,1,1)</f>
        <v>0</v>
      </c>
      <c r="CQ71" s="51">
        <v>0</v>
      </c>
      <c r="CR71" s="51">
        <f>IF(K71=$BH$12,$BH$23,IF(K71=$BH$13,$BH$24,10000))</f>
        <v>10000</v>
      </c>
      <c r="CS71" s="51">
        <f ca="1">IF(F71&lt;OFFSET($BM$9,CL71-1,0,1,1),0,IF(F71&lt;OFFSET($BN$9,CL71-1,0,1,1),((F71-OFFSET($BM$9,CL71-1,0,1,1))*OFFSET($CH$9,CL71-1,0,1,1))+OFFSET($BO$9,CL71-1,CQ71,1,1),IF(F71&lt;OFFSET($BN$9,CL71+0,0,1,1),((F71-OFFSET($BM$9,CL71+0,0,1,1))*OFFSET($CH$9,CL71+0,0,1,1))+OFFSET($BO$9,CL71+0,CQ71,1,1),IF(F71&lt;OFFSET($BN$9,CL71+1,0,1,1),((F71-OFFSET($BM$9,CL71+1,0,1,1))*OFFSET($CH$9,CL71+1,0,1,1))+OFFSET($BO$9,CL71+1,CQ71,1,1),IF(F71&lt;OFFSET($BN$9,CL71+2,0,1,1),((F71-OFFSET($BM$9,CL71+2,0,1,1))*OFFSET($CH$9,CL71+2,0,1,1))+OFFSET($BO$9,CL71+2,CQ71,1,1),IF(F71&lt;OFFSET($BN$9,CL71+3,0,1,1),((F71-OFFSET($BM$9,CL71+3,0,1,1))*OFFSET($CH$9,CL71+3,0,1,1))+OFFSET($BO$9,CL71+3,CQ71,1,1),0))))))</f>
        <v>0</v>
      </c>
      <c r="CT71" s="51">
        <f ca="1">IF($F71&lt;OFFSET($BM$9,$CL71-1,0,1,1),0,IF($F71&lt;OFFSET($BN$9,$CL71-1,0,1,1),IF(AND($H71&gt;2.4,Z71&lt;&gt;"e",Z71&lt;&gt;"f"),CX71*2.4/$H71,CX71),IF($F71&lt;OFFSET($BN$9,$CL71+0,0,1,1),IF(AND($H71&gt;2.4,Z71&lt;&gt;"e",Z71&lt;&gt;"f"),CX71*2.4/$H71,CX71),IF($F71&lt;OFFSET($BN$9,$CL71+1,0,1,1),IF(AND($H71&gt;2.4,Z71&lt;&gt;"e",Z71&lt;&gt;"f"),CX71*2.4/$H71,CX71),IF($F71&lt;OFFSET($BN$9,CL71+2,0,1,1),IF(AND($H71&gt;2.4,Z71&lt;&gt;"e",Z71&lt;&gt;"f"),CX71*2.4/$H71,CX71),IF($F71&lt;OFFSET($BN$9,CL71+3,0,1,1),IF(AND($H71&gt;2.4,Z71&lt;&gt;"e",Z71&lt;&gt;"f"),CX71*2.4/$H71,CX71),0)))))*COS(RADIANS($G71)))</f>
        <v>0</v>
      </c>
      <c r="CU71" s="51">
        <f ca="1">IF(F71&lt;OFFSET($BM$9,CL71-1,0,1,1),0,IF(F71&lt;OFFSET($BN$9,CL71-1,0,1,1),((F71-OFFSET($BM$9,CL71-1,0,1,1))*OFFSET($CI$9,CL71-1,0,1,1))+OFFSET($BP$9,CL71-1,CQ71,1,1),IF(F71&lt;OFFSET($BN$9,CL71+0,0,1,1),((F71-OFFSET($BM$9,CL71+0,0,1,1))*OFFSET($CI$9,CL71+0,0,1,1))+OFFSET($BP$9,CL71+0,CQ71,1,1),IF(F71&lt;OFFSET($BN$9,CL71+1,0,1,1),((F71-OFFSET($BM$9,CL71+1,0,1,1))*OFFSET($CI$9,CL71+1,0,1,1))+OFFSET($BP$9,CL71+1,CQ71,1,1),IF(F71&lt;OFFSET($BN$9,CL71+2,0,1,1),((F71-OFFSET($BM$9,CL71+2,0,1,1))*OFFSET($CI$9,CL71+2,0,1,1))+OFFSET($BP$9,CL71+2,CQ71,1,1),IF(F71&lt;OFFSET($BN$9,CL71+3,0,1,1),((F71-OFFSET($BM$9,CL71+3,0,1,1))*OFFSET($CI$9,CL71+3,0,1,1))+OFFSET($BP$9,CL71+3,CQ71,1,1),0))))))</f>
        <v>0</v>
      </c>
      <c r="CV71" s="51">
        <f ca="1">IF($F71&lt;OFFSET($BM$9,$CL71-1,0,1,1),0,IF($F71&lt;OFFSET($BN$9,$CL71-1,0,1,1),IF(AND($H71&gt;2.4,Z71&lt;&gt;"e",Z71&lt;&gt;"f"),CZ71*2.4/$H71,CZ71),IF($F71&lt;OFFSET($BN$9,$CL71+0,0,1,1),IF(AND($H71&gt;2.4,Z71&lt;&gt;"e",Z71&lt;&gt;"f"),CZ71*2.4/$H71,CZ71),IF($F71&lt;OFFSET($BN$9,$CL71+1,0,1,1),IF(AND($H71&gt;2.4,Z71&lt;&gt;"e",Z71&lt;&gt;"f"),CZ71*2.4/$H71,CZ71),IF($F71&lt;OFFSET($BN$9,$CL71+2,0,1,1),IF(AND($H71&gt;2.4,Z71&lt;&gt;"e",Z71&lt;&gt;"f"),CZ71*2.4/$H71,CZ71),IF($F71&lt;OFFSET($BN$9,$CL71+3,0,1,1),IF(AND($H71&gt;2.4,Z71&lt;&gt;"e",Z71&lt;&gt;"f"),CZ71*2.4/$H71,CZ71),0)))))*COS(RADIANS($G71)))</f>
        <v>0</v>
      </c>
      <c r="CW71" s="51">
        <f ca="1">IF(CT71&gt;CR71,CR71,CT71)</f>
        <v>0</v>
      </c>
      <c r="CX71" s="51">
        <f ca="1">IF(CS71&gt;$CR71,$CR71,CS71)</f>
        <v>0</v>
      </c>
      <c r="CY71" s="51">
        <f ca="1">CW71*F71</f>
        <v>0</v>
      </c>
      <c r="CZ71" s="51">
        <f ca="1">IF($CU71&gt;$CR71,$CR71,$CU71)</f>
        <v>0</v>
      </c>
      <c r="DA71" s="51">
        <f ca="1">IF(CV71&gt;CR71,CR71,CV71)</f>
        <v>0</v>
      </c>
      <c r="DB71" s="984">
        <f ca="1">DA71*F71</f>
        <v>0</v>
      </c>
      <c r="DC71" s="993">
        <v>1</v>
      </c>
      <c r="DD71" s="758" t="str">
        <f>IF(OR(D71=BG$12,D71=BG$13),"External",IF(D71=BG$14,"Internal"," "))</f>
        <v xml:space="preserve"> </v>
      </c>
      <c r="DE71" s="51" t="str">
        <f t="shared" ca="1" si="1"/>
        <v/>
      </c>
      <c r="DF71" s="52" t="str">
        <f t="shared" ca="1" si="2"/>
        <v xml:space="preserve"> </v>
      </c>
      <c r="DG71" s="51">
        <f ca="1">IF(F71&lt;OFFSET($BM$9,CN71-1,0,1,1),0,IF(F71&lt;OFFSET($BN$9,CN71-1,0,1,1),((F71-OFFSET($BM$9,CN71-1,0,1,1))*OFFSET($CH$9,CN71-1,0,1,1))+OFFSET($BO$9,CN71-1,CQ71,1,1),IF(F71&lt;OFFSET($BN$9,CN71+0,0,1,1),((F71-OFFSET($BM$9,CN71+0,0,1,1))*OFFSET($CH$9,CN71+0,0,1,1))+OFFSET($BO$9,CN71+0,CQ71,1,1),IF(F71&lt;OFFSET($BN$9,CN71+1,0,1,1),((F71-OFFSET($BM$9,CN71+1,0,1,1))*OFFSET($CH$9,CN71+1,0,1,1))+OFFSET($BO$9,CN71+1,CQ71,1,1),IF(F71&lt;OFFSET($BN$9,CN71+2,0,1,1),((F71-OFFSET($BM$9,CN71+2,0,1,1))*OFFSET($CH$9,CN71+2,0,1,1))+OFFSET($BO$9,CN71+2,CQ71,1,1),IF(F71&lt;OFFSET($BN$9,CN71+3,0,1,1),((F71-OFFSET($BM$9,CN71+3,0,1,1))*OFFSET($CH$9,CN71+3,0,1,1))+OFFSET($BO$9,CN71+3,CQ71,1,1),0))))))</f>
        <v>0</v>
      </c>
      <c r="DH71" s="51">
        <f ca="1">IF($F71&lt;OFFSET($BM$9,$CN71-1,0,1,1),0,IF($F71&lt;OFFSET($BN$9,$CN71-1,0,1,1),IF(AND($H71&gt;2.4,Z71&lt;&gt;"e",Z71&lt;&gt;"f"),DL71*2.4/$H71,DL71),IF($F71&lt;OFFSET($BN$9,$CN71+0,0,1,1),IF(AND($H71&gt;2.4,Z71&lt;&gt;"e",Z71&lt;&gt;"f"),DL71*2.4/$H71,DL71),IF($F71&lt;OFFSET($BN$9,$CN71+1,0,1,1),IF(AND($H71&gt;2.4,Z71&lt;&gt;"e",Z71&lt;&gt;"f"),DL71*2.4/$H71,DL71),IF($F71&lt;OFFSET($BN$9,$CN71+2,0,1,1),IF(AND($H71&gt;2.4,Z71&lt;&gt;"e",Z71&lt;&gt;"f"),DL71*2.4/$H71,DL71),IF($F71&lt;OFFSET($BN$9,$CN71+3,0,1,1),IF(AND($H71&gt;2.4,Z71&lt;&gt;"e",Z71&lt;&gt;"f"),DL71*2.4/$H71,DL71),0)))))*COS(RADIANS($G71)))</f>
        <v>0</v>
      </c>
      <c r="DI71" s="51">
        <f ca="1">IF(F71&lt;OFFSET($BM$9,CN71-1,0,1,1),0,IF(F71&lt;OFFSET($BN$9,CN71-1,0,1,1),((F71-OFFSET($BM$9,CN71-1,0,1,1))*OFFSET($CI$9,CN71-1,0,1,1))+OFFSET($BP$9,CN71-1,CQ71,1,1),IF(F71&lt;OFFSET($BN$9,CN71+0,0,1,1),((F71-OFFSET($BM$9,CN71+0,0,1,1))*OFFSET($CI$9,CN71+0,0,1,1))+OFFSET($BP$9,CN71+0,CQ71,1,1),IF(F71&lt;OFFSET($BN$9,CN71+1,0,1,1),((F71-OFFSET($BM$9,CN71+1,0,1,1))*OFFSET($CI$9,CN71+1,0,1,1))+OFFSET($BP$9,CN71+1,CQ71,1,1),IF(F71&lt;OFFSET($BN$9,CN71+2,0,1,1),((F71-OFFSET($BM$9,CN71+2,0,1,1))*OFFSET($CI$9,CN71+2,0,1,1))+OFFSET($BP$9,CN71+2,CQ71,1,1),IF(F71&lt;OFFSET($BN$9,CN71+3,0,1,1),((F71-OFFSET($BM$9,CN71+3,0,1,1))*OFFSET($CI$9,CN71+3,0,1,1))+OFFSET($BP$9,CN71+3,CQ71,1,1),0))))))</f>
        <v>0</v>
      </c>
      <c r="DJ71" s="51">
        <f ca="1">IF($F71&lt;OFFSET($BM$9,$CN71-1,0,1,1),0,IF($F71&lt;OFFSET($BN$9,$CN71-1,0,1,1),IF(AND($H71&gt;2.4,Z71&lt;&gt;"e",Z71&lt;&gt;"f"),DN71*2.4/$H71,DN71),IF($F71&lt;OFFSET($BN$9,$CN71+0,0,1,1),IF(AND($H71&gt;2.4,Z71&lt;&gt;"e",Z71&lt;&gt;"f"),DN71*2.4/$H71,DN71),IF($F71&lt;OFFSET($BN$9,$CN71+1,0,1,1),IF(AND($H71&gt;2.4,Z71&lt;&gt;"e",Z71&lt;&gt;"f"),DN71*2.4/$H71,DN71),IF($F71&lt;OFFSET($BN$9,$CN71+2,0,1,1),IF(AND($H71&gt;2.4,Z71&lt;&gt;"e",Z71&lt;&gt;"f"),DN71*2.4/$H71,DN71),IF($F71&lt;OFFSET($BN$9,$CN71+3,0,1,1),IF(AND($H71&gt;2.4,Z71&lt;&gt;"e",Z71&lt;&gt;"f"),DN71*2.4/$H71,DN71),0)))))*COS(RADIANS($G71)))</f>
        <v>0</v>
      </c>
      <c r="DK71" s="51"/>
      <c r="DL71" s="51">
        <f ca="1">IF(DG71&gt;$CR71,$CR71,DG71)</f>
        <v>0</v>
      </c>
      <c r="DM71" s="51"/>
      <c r="DN71" s="51">
        <f ca="1">IF(DI71&gt;$CR71,$CR71,DI71)</f>
        <v>0</v>
      </c>
      <c r="DO71" s="435">
        <f ca="1">IF(DH71&gt;$CR71,$CR71,DH71)</f>
        <v>0</v>
      </c>
      <c r="DP71" s="435">
        <f ca="1">DO71*F71</f>
        <v>0</v>
      </c>
      <c r="DQ71" s="436">
        <f ca="1">IF(DJ71&gt;$CR71,$CR71,DJ71)</f>
        <v>0</v>
      </c>
      <c r="DR71" s="437">
        <f ca="1">DQ71*F71</f>
        <v>0</v>
      </c>
      <c r="DS71" s="426">
        <f ca="1">OFFSET($CH$9,CL71-1,-15,1,1)</f>
        <v>0</v>
      </c>
      <c r="DT71" s="451">
        <f ca="1">VLOOKUP(DS71,Prodlink,2,0)</f>
        <v>0</v>
      </c>
      <c r="DU71" s="188">
        <f ca="1">IF(F71&lt;OFFSET($BM$9,DT71-1,0,1,1),0,IF(F71&lt;OFFSET($BN$9,DT71-1,0,1,1),((F71-OFFSET($BM$9,DT71-1,0,1,1))*OFFSET($CH$9,DT71-1,0,1,1))+OFFSET($BO$9,DT71-1,CQ71,1,1),IF(F71&lt;OFFSET($BN$9,DT71+0,0,1,1),((F71-OFFSET($BM$9,DT71+0,0,1,1))*OFFSET($CH$9,DT71+0,0,1,1))+OFFSET($BO$9,DT71+0,CQ71,1,1),IF(F71&lt;OFFSET($BN$9,DT71+1,0,1,1),((F71-OFFSET($BM$9,DT71+1,0,1,1))*OFFSET($CH$9,DT71+1,0,1,1))+OFFSET($BO$9,DT71+1,CQ71,1,1),IF(F71&lt;OFFSET($BN$9,DT71+2,0,1,1),((F71-OFFSET($BM$9,DT71+2,0,1,1))*OFFSET($CH$9,DT71+2,0,1,1))+OFFSET($BO$9,DT71+2,CQ71,1,1),IF(F71&lt;OFFSET($BN$9,DT71+3,0,1,1),((F71-OFFSET($BM$9,DT71+3,0,1,1))*OFFSET($CH$9,DT71+3,0,1,1))+OFFSET($BO$9,DT71+3,CQ71,1,1),0))))))</f>
        <v>0</v>
      </c>
      <c r="DV71" s="51">
        <f ca="1">IF($F71&lt;OFFSET($BM$9,$DT71-1,0,1,1),0,IF($F71&lt;OFFSET($BN$9,$DT71-1,0,1,1),IF(AND($H71&gt;2.4,Z71&lt;&gt;"e",Z71&lt;&gt;"f"),DZ71*2.4/$H71,DZ71),IF($F71&lt;OFFSET($BN$9,$DT71+0,0,1,1),IF(AND($H71&gt;2.4,Z71&lt;&gt;"e",Z71&lt;&gt;"f"),DZ71*2.4/$H71,DZ71),IF($F71&lt;OFFSET($BN$9,$DT71+1,0,1,1),IF(AND($H71&gt;2.4,Z71&lt;&gt;"e",Z71&lt;&gt;"f"),DZ71*2.4/$H71,DZ71),IF($F71&lt;OFFSET($BN$9,$DT71+2,0,1,1),IF(AND($H71&gt;2.4,Z71&lt;&gt;"e",Z71&lt;&gt;"f"),DZ71*2.4/$H71,DZ71),IF($F71&lt;OFFSET($BN$9,$DT71+3,0,1,1),IF(AND($H71&gt;2.4,Z71&lt;&gt;"e",Z71&lt;&gt;"f"),DZ71*2.4/$H71,DZ71),0)))))*COS(RADIANS($G71)))</f>
        <v>0</v>
      </c>
      <c r="DW71" s="188">
        <f ca="1">IF(F71&lt;OFFSET($BM$9,DT71-1,0,1,1),0,IF(F71&lt;OFFSET($BN$9,DT71-1,0,1,1),((F71-OFFSET($BM$9,DT71-1,0,1,1))*OFFSET($CI$9,DT71-1,0,1,1))+OFFSET($BP$9,DT71-1,CQ71,1,1),IF(F71&lt;OFFSET($BN$9,DT71+0,0,1,1),((F71-OFFSET($BM$9,DT71+0,0,1,1))*OFFSET($CI$9,DT71+0,0,1,1))+OFFSET($BP$9,DT71+0,CQ71,1,1),IF(F71&lt;OFFSET($BN$9,DT71+1,0,1,1),((F71-OFFSET($BM$9,DT71+1,0,1,1))*OFFSET($CI$9,DT71+1,0,1,1))+OFFSET($BP$9,DT71+1,CQ71,1,1),IF(F71&lt;OFFSET($BN$9,DT71+2,0,1,1),((F71-OFFSET($BM$9,DT71+2,0,1,1))*OFFSET($CI$9,DT71+2,0,1,1))+OFFSET($BP$9,DT71+2,CQ71,1,1),IF(F71&lt;OFFSET($BN$9,DT71+3,0,1,1),((F71-OFFSET($BM$9,DT71+3,0,1,1))*OFFSET($CI$9,DT71+3,0,1,1))+OFFSET($BP$9,DT71+3,CQ71,1,1),0))))))</f>
        <v>0</v>
      </c>
      <c r="DX71" s="51">
        <f ca="1">IF($F71&lt;OFFSET($BM$9,$DT71-1,0,1,1),0,IF($F71&lt;OFFSET($BN$9,$DT71-1,0,1,1),IF(AND($H71&gt;2.4,Z71&lt;&gt;"e",Z71&lt;&gt;"f"),EB71*2.4/$H71,EB71),IF($F71&lt;OFFSET($BN$9,$DT71+0,0,1,1),IF(AND($H71&gt;2.4,Z71&lt;&gt;"e",Z71&lt;&gt;"f"),EB71*2.4/$H71,EB71),IF($F71&lt;OFFSET($BN$9,$DT71+1,0,1,1),IF(AND($H71&gt;2.4,Z71&lt;&gt;"e",Z71&lt;&gt;"f"),EB71*2.4/$H71,EB71),IF($F71&lt;OFFSET($BN$9,$DT71+2,0,1,1),IF(AND($H71&gt;2.4,Z71&lt;&gt;"e",Z71&lt;&gt;"f"),EB71*2.4/$H71,EB71),IF($F71&lt;OFFSET($BN$9,$DT71+3,0,1,1),IF(AND($H71&gt;2.4,Z71&lt;&gt;"e",Z71&lt;&gt;"f"),EB71*2.4/$H71,EB71),0)))))*COS(RADIANS($G71)))</f>
        <v>0</v>
      </c>
      <c r="DY71" s="188"/>
      <c r="DZ71" s="188">
        <f ca="1">IF(DU71&gt;$CR71,$CR71,DU71)</f>
        <v>0</v>
      </c>
      <c r="EA71" s="188"/>
      <c r="EB71" s="188">
        <f ca="1">IF(DW71&gt;$CR71,$CR71,DW71)</f>
        <v>0</v>
      </c>
      <c r="EC71" s="435">
        <f ca="1">IF(DV71&gt;$CR71,$CR71,DV71)</f>
        <v>0</v>
      </c>
      <c r="ED71" s="435">
        <f ca="1">EC71*F71</f>
        <v>0</v>
      </c>
      <c r="EE71" s="436">
        <f ca="1">IF(DX71&gt;$CR71,$CR71,DX71)</f>
        <v>0</v>
      </c>
      <c r="EF71" s="437">
        <f ca="1">EE71*F71</f>
        <v>0</v>
      </c>
      <c r="EG71" s="613" t="str">
        <f>IF(D71=BG$12,BG$12,"")</f>
        <v/>
      </c>
      <c r="EH71" s="614" t="str">
        <f>IF(D71=BG$13,BG$13,"")</f>
        <v/>
      </c>
      <c r="EI71" s="611">
        <f>IF(EG71=BG$12,M71,0)</f>
        <v>0</v>
      </c>
      <c r="EJ71" s="451">
        <f>IF(EG71=BG$12,O71,0)</f>
        <v>0</v>
      </c>
      <c r="EK71" s="451">
        <f>IF(EH71=BG$13,M71,0)</f>
        <v>0</v>
      </c>
      <c r="EL71" s="612">
        <f>IF(EH71=BG$13,O71,0)</f>
        <v>0</v>
      </c>
      <c r="EM71" s="426" t="str">
        <f ca="1">IF(AND(Z71&lt;&gt;"t",Z71&lt;&gt;"f"),"",IF(AND(EN71=$BH$13,K71=$BH$12),"NotOpt",IF(K71&lt;&gt;EN71,"Error","")))</f>
        <v/>
      </c>
      <c r="EN71" s="491" t="str">
        <f>IF(AND($BH$28=1,$BG$28=1),$BH$13,$BH$12)</f>
        <v>120 BU's</v>
      </c>
      <c r="EO71" s="426" t="str">
        <f>K71</f>
        <v xml:space="preserve"> </v>
      </c>
      <c r="EP71" s="497">
        <v>1</v>
      </c>
      <c r="EQ71" s="430" t="str">
        <f ca="1">IF(EP71=1," ",OFFSET(BF$15,EP71-2,0,1,1))</f>
        <v xml:space="preserve"> </v>
      </c>
      <c r="ER71" s="439" t="str">
        <f ca="1">IF(H71=0," ",H71)</f>
        <v xml:space="preserve"> </v>
      </c>
      <c r="ES71" s="440" t="str">
        <f ca="1">IF(ER71&lt;&gt;" ",IF(ER71&lt;&gt;ER$7,"Changed",""),"")</f>
        <v/>
      </c>
      <c r="ET71" s="440">
        <f ca="1">IF(ER71&lt;&gt;" ",IF(ER71&lt;&gt;ER$7,1,0),0)</f>
        <v>0</v>
      </c>
      <c r="EU71" s="957" t="str">
        <f ca="1">IF(I71=" "," ",IF(F71&lt;OFFSET($BM$9,CL71-1,0,1,1),1,""))</f>
        <v xml:space="preserve"> </v>
      </c>
      <c r="EW71" s="427"/>
    </row>
    <row r="72" spans="1:153" ht="17.100000000000001" hidden="1" customHeight="1" thickBot="1">
      <c r="A72" s="2685"/>
      <c r="B72" s="689" t="s">
        <v>246</v>
      </c>
      <c r="C72" s="684" t="str">
        <f>IF(OR(F72=0,I72="",I72=" ")," ",$V72)</f>
        <v xml:space="preserve"> </v>
      </c>
      <c r="D72" s="1033"/>
      <c r="E72" s="1360"/>
      <c r="F72" s="202"/>
      <c r="G72" s="1416"/>
      <c r="H72" s="199" t="str">
        <f ca="1">IF(OR(F72=0,Z72="E",Z72="f")," ",'Project Demand'!E$35)</f>
        <v xml:space="preserve"> </v>
      </c>
      <c r="I72" s="631" t="str">
        <f>IF($I$6&lt;&gt;$BG$8," ",AB72)</f>
        <v xml:space="preserve"> </v>
      </c>
      <c r="J72" s="44" t="str">
        <f ca="1">IF(OR(I72=" ",I72="")," ",OFFSET($BO$9,CL72-1,0-4,1,1))</f>
        <v xml:space="preserve"> </v>
      </c>
      <c r="K72" s="55" t="str">
        <f>IF(OR(I72=" ",I72="")," ",IF(OR(Z72="e",Z72="h"),"SD",BG$24))</f>
        <v xml:space="preserve"> </v>
      </c>
      <c r="L72" s="49">
        <f ca="1">CW72</f>
        <v>0</v>
      </c>
      <c r="M72" s="49">
        <f ca="1">CY72</f>
        <v>0</v>
      </c>
      <c r="N72" s="50">
        <f t="shared" ca="1" si="31"/>
        <v>0</v>
      </c>
      <c r="O72" s="126">
        <f t="shared" ca="1" si="31"/>
        <v>0</v>
      </c>
      <c r="P72" s="140"/>
      <c r="Q72" s="752" t="str">
        <f ca="1">IF(OR(I72=" ",I72="")," ",IF(F72&lt;OFFSET($BM$9,CL72-1,0,1,1),"check L(m)",IF(DE72&lt;&gt;"",DE72,IF(AND(DP72&gt;=CY72,DR72&gt;=DB72),IF(AND(ED72&gt;=DP72,EF72&gt;=DR72),CONCATENATE(DS72," provides same results"),CONCATENATE(CO72," provides same results")),IF((DP72&gt;=CY72),CONCATENATE(CO72," provides same result in WIND"),IF((DR72&gt;=DB72),CONCATENATE(CO72," provides same result in EQ",""),""))))))</f>
        <v xml:space="preserve"> </v>
      </c>
      <c r="R72" s="52"/>
      <c r="S72" s="1372"/>
      <c r="T72" s="1372"/>
      <c r="U72" s="1377"/>
      <c r="V72" s="52" t="str">
        <f ca="1">IF(AND(B$5=$BF$9,OR(I72=BH$16,I72=BH$17))," ",IF(ISNUMBER(B$68),(CONCATENATE(B$68,".",W72)),(CONCATENATE(B$68,W72))))</f>
        <v>K0</v>
      </c>
      <c r="W72" s="9">
        <f ca="1">W71+X72</f>
        <v>0</v>
      </c>
      <c r="X72" s="9">
        <f>IF(AND(B$5=$BF$9,OR($I72=$BH$16,$I72=$BH$17,$I72=" ",$I72="",$F72=0)),0,IF(OR($I72=" ",$I72="",$F72=0),0,1))</f>
        <v>0</v>
      </c>
      <c r="Y72" s="896"/>
      <c r="Z72" s="52" t="str">
        <f ca="1">IF(I72=" "," ",OFFSET($BM$9,$CL72-1,8,1,1))</f>
        <v xml:space="preserve"> </v>
      </c>
      <c r="AA72" s="51" t="str">
        <f>IF(G72&gt;=45,"WA","")</f>
        <v/>
      </c>
      <c r="AB72" s="1364" t="str">
        <f>IF(F72&lt;&gt;"",IF(OR(D72=$BG$12,D72=$BG$13),IF(E72&lt;&gt;$BG$17,$BF$12,$BF$13),IF(E72&lt;&gt;$BG$17,$BF$12,$BF$13))," ")</f>
        <v xml:space="preserve"> </v>
      </c>
      <c r="AC72" s="1"/>
      <c r="BD72" s="652"/>
      <c r="BE72" s="1388" t="s">
        <v>1074</v>
      </c>
      <c r="BF72" s="1362"/>
      <c r="BG72" s="1362"/>
      <c r="BH72" s="1386"/>
      <c r="BI72" s="759"/>
      <c r="BJ72" s="897">
        <f t="shared" si="25"/>
        <v>64</v>
      </c>
      <c r="BK72" s="908"/>
      <c r="BL72" s="767"/>
      <c r="BM72" s="776">
        <f>Table!P14</f>
        <v>1.2</v>
      </c>
      <c r="BN72" s="776">
        <v>999</v>
      </c>
      <c r="BO72" s="776">
        <f>Table!Q14</f>
        <v>150</v>
      </c>
      <c r="BP72" s="926">
        <f>Table!R14</f>
        <v>135</v>
      </c>
      <c r="BQ72" s="1183"/>
      <c r="BR72" s="908"/>
      <c r="BS72" s="776"/>
      <c r="BT72" s="776"/>
      <c r="BU72" s="926" t="s">
        <v>242</v>
      </c>
      <c r="BV72" s="433"/>
      <c r="BW72" s="914"/>
      <c r="BX72" s="926" t="str">
        <f>Table!T11</f>
        <v>Double</v>
      </c>
      <c r="CH72" s="908">
        <f>IF(BN72=999,0,(BO73-BO72)/(BN72-BM72))</f>
        <v>0</v>
      </c>
      <c r="CI72" s="926">
        <f>IF(BN72=999,0,(BP73-BP72)/(BN72-BM72))</f>
        <v>0</v>
      </c>
      <c r="CJ72" s="759"/>
      <c r="CK72" s="188"/>
      <c r="CL72" s="979">
        <f>VLOOKUP(I72,Prodlink,2,0)</f>
        <v>0</v>
      </c>
      <c r="CN72" s="497">
        <f ca="1">VLOOKUP(CO72,Prodlink,2,0)</f>
        <v>0</v>
      </c>
      <c r="CO72" s="497">
        <f ca="1">OFFSET($CH$9,CL72-1,-15,1,1)</f>
        <v>0</v>
      </c>
      <c r="CQ72" s="51">
        <v>0</v>
      </c>
      <c r="CR72" s="51">
        <f>IF(K72=$BH$12,$BH$23,IF(K72=$BH$13,$BH$24,10000))</f>
        <v>10000</v>
      </c>
      <c r="CS72" s="51">
        <f ca="1">IF(F72&lt;OFFSET($BM$9,CL72-1,0,1,1),0,IF(F72&lt;OFFSET($BN$9,CL72-1,0,1,1),((F72-OFFSET($BM$9,CL72-1,0,1,1))*OFFSET($CH$9,CL72-1,0,1,1))+OFFSET($BO$9,CL72-1,CQ72,1,1),IF(F72&lt;OFFSET($BN$9,CL72+0,0,1,1),((F72-OFFSET($BM$9,CL72+0,0,1,1))*OFFSET($CH$9,CL72+0,0,1,1))+OFFSET($BO$9,CL72+0,CQ72,1,1),IF(F72&lt;OFFSET($BN$9,CL72+1,0,1,1),((F72-OFFSET($BM$9,CL72+1,0,1,1))*OFFSET($CH$9,CL72+1,0,1,1))+OFFSET($BO$9,CL72+1,CQ72,1,1),IF(F72&lt;OFFSET($BN$9,CL72+2,0,1,1),((F72-OFFSET($BM$9,CL72+2,0,1,1))*OFFSET($CH$9,CL72+2,0,1,1))+OFFSET($BO$9,CL72+2,CQ72,1,1),IF(F72&lt;OFFSET($BN$9,CL72+3,0,1,1),((F72-OFFSET($BM$9,CL72+3,0,1,1))*OFFSET($CH$9,CL72+3,0,1,1))+OFFSET($BO$9,CL72+3,CQ72,1,1),0))))))</f>
        <v>0</v>
      </c>
      <c r="CT72" s="51">
        <f ca="1">IF($F72&lt;OFFSET($BM$9,$CL72-1,0,1,1),0,IF($F72&lt;OFFSET($BN$9,$CL72-1,0,1,1),IF(AND($H72&gt;2.4,Z72&lt;&gt;"e",Z72&lt;&gt;"f"),CX72*2.4/$H72,CX72),IF($F72&lt;OFFSET($BN$9,$CL72+0,0,1,1),IF(AND($H72&gt;2.4,Z72&lt;&gt;"e",Z72&lt;&gt;"f"),CX72*2.4/$H72,CX72),IF($F72&lt;OFFSET($BN$9,$CL72+1,0,1,1),IF(AND($H72&gt;2.4,Z72&lt;&gt;"e",Z72&lt;&gt;"f"),CX72*2.4/$H72,CX72),IF($F72&lt;OFFSET($BN$9,CL72+2,0,1,1),IF(AND($H72&gt;2.4,Z72&lt;&gt;"e",Z72&lt;&gt;"f"),CX72*2.4/$H72,CX72),IF($F72&lt;OFFSET($BN$9,CL72+3,0,1,1),IF(AND($H72&gt;2.4,Z72&lt;&gt;"e",Z72&lt;&gt;"f"),CX72*2.4/$H72,CX72),0)))))*COS(RADIANS($G72)))</f>
        <v>0</v>
      </c>
      <c r="CU72" s="51">
        <f ca="1">IF(F72&lt;OFFSET($BM$9,CL72-1,0,1,1),0,IF(F72&lt;OFFSET($BN$9,CL72-1,0,1,1),((F72-OFFSET($BM$9,CL72-1,0,1,1))*OFFSET($CI$9,CL72-1,0,1,1))+OFFSET($BP$9,CL72-1,CQ72,1,1),IF(F72&lt;OFFSET($BN$9,CL72+0,0,1,1),((F72-OFFSET($BM$9,CL72+0,0,1,1))*OFFSET($CI$9,CL72+0,0,1,1))+OFFSET($BP$9,CL72+0,CQ72,1,1),IF(F72&lt;OFFSET($BN$9,CL72+1,0,1,1),((F72-OFFSET($BM$9,CL72+1,0,1,1))*OFFSET($CI$9,CL72+1,0,1,1))+OFFSET($BP$9,CL72+1,CQ72,1,1),IF(F72&lt;OFFSET($BN$9,CL72+2,0,1,1),((F72-OFFSET($BM$9,CL72+2,0,1,1))*OFFSET($CI$9,CL72+2,0,1,1))+OFFSET($BP$9,CL72+2,CQ72,1,1),IF(F72&lt;OFFSET($BN$9,CL72+3,0,1,1),((F72-OFFSET($BM$9,CL72+3,0,1,1))*OFFSET($CI$9,CL72+3,0,1,1))+OFFSET($BP$9,CL72+3,CQ72,1,1),0))))))</f>
        <v>0</v>
      </c>
      <c r="CV72" s="51">
        <f ca="1">IF($F72&lt;OFFSET($BM$9,$CL72-1,0,1,1),0,IF($F72&lt;OFFSET($BN$9,$CL72-1,0,1,1),IF(AND($H72&gt;2.4,Z72&lt;&gt;"e",Z72&lt;&gt;"f"),CZ72*2.4/$H72,CZ72),IF($F72&lt;OFFSET($BN$9,$CL72+0,0,1,1),IF(AND($H72&gt;2.4,Z72&lt;&gt;"e",Z72&lt;&gt;"f"),CZ72*2.4/$H72,CZ72),IF($F72&lt;OFFSET($BN$9,$CL72+1,0,1,1),IF(AND($H72&gt;2.4,Z72&lt;&gt;"e",Z72&lt;&gt;"f"),CZ72*2.4/$H72,CZ72),IF($F72&lt;OFFSET($BN$9,$CL72+2,0,1,1),IF(AND($H72&gt;2.4,Z72&lt;&gt;"e",Z72&lt;&gt;"f"),CZ72*2.4/$H72,CZ72),IF($F72&lt;OFFSET($BN$9,$CL72+3,0,1,1),IF(AND($H72&gt;2.4,Z72&lt;&gt;"e",Z72&lt;&gt;"f"),CZ72*2.4/$H72,CZ72),0)))))*COS(RADIANS($G72)))</f>
        <v>0</v>
      </c>
      <c r="CW72" s="51">
        <f ca="1">IF(CT72&gt;CR72,CR72,CT72)</f>
        <v>0</v>
      </c>
      <c r="CX72" s="51">
        <f ca="1">IF(CS72&gt;$CR72,$CR72,CS72)</f>
        <v>0</v>
      </c>
      <c r="CY72" s="51">
        <f ca="1">CW72*F72</f>
        <v>0</v>
      </c>
      <c r="CZ72" s="51">
        <f ca="1">IF($CU72&gt;$CR72,$CR72,$CU72)</f>
        <v>0</v>
      </c>
      <c r="DA72" s="51">
        <f ca="1">IF(CV72&gt;CR72,CR72,CV72)</f>
        <v>0</v>
      </c>
      <c r="DB72" s="984">
        <f ca="1">DA72*F72</f>
        <v>0</v>
      </c>
      <c r="DC72" s="993">
        <v>1</v>
      </c>
      <c r="DD72" s="758" t="str">
        <f>IF(OR(D72=BG$12,D72=BG$13),"External",IF(D72=BG$14,"Internal"," "))</f>
        <v xml:space="preserve"> </v>
      </c>
      <c r="DE72" s="51" t="str">
        <f t="shared" ca="1" si="1"/>
        <v/>
      </c>
      <c r="DF72" s="52" t="str">
        <f t="shared" ca="1" si="2"/>
        <v xml:space="preserve"> </v>
      </c>
      <c r="DG72" s="51">
        <f ca="1">IF(F72&lt;OFFSET($BM$9,CN72-1,0,1,1),0,IF(F72&lt;OFFSET($BN$9,CN72-1,0,1,1),((F72-OFFSET($BM$9,CN72-1,0,1,1))*OFFSET($CH$9,CN72-1,0,1,1))+OFFSET($BO$9,CN72-1,CQ72,1,1),IF(F72&lt;OFFSET($BN$9,CN72+0,0,1,1),((F72-OFFSET($BM$9,CN72+0,0,1,1))*OFFSET($CH$9,CN72+0,0,1,1))+OFFSET($BO$9,CN72+0,CQ72,1,1),IF(F72&lt;OFFSET($BN$9,CN72+1,0,1,1),((F72-OFFSET($BM$9,CN72+1,0,1,1))*OFFSET($CH$9,CN72+1,0,1,1))+OFFSET($BO$9,CN72+1,CQ72,1,1),IF(F72&lt;OFFSET($BN$9,CN72+2,0,1,1),((F72-OFFSET($BM$9,CN72+2,0,1,1))*OFFSET($CH$9,CN72+2,0,1,1))+OFFSET($BO$9,CN72+2,CQ72,1,1),IF(F72&lt;OFFSET($BN$9,CN72+3,0,1,1),((F72-OFFSET($BM$9,CN72+3,0,1,1))*OFFSET($CH$9,CN72+3,0,1,1))+OFFSET($BO$9,CN72+3,CQ72,1,1),0))))))</f>
        <v>0</v>
      </c>
      <c r="DH72" s="51">
        <f ca="1">IF($F72&lt;OFFSET($BM$9,$CN72-1,0,1,1),0,IF($F72&lt;OFFSET($BN$9,$CN72-1,0,1,1),IF(AND($H72&gt;2.4,Z72&lt;&gt;"e",Z72&lt;&gt;"f"),DL72*2.4/$H72,DL72),IF($F72&lt;OFFSET($BN$9,$CN72+0,0,1,1),IF(AND($H72&gt;2.4,Z72&lt;&gt;"e",Z72&lt;&gt;"f"),DL72*2.4/$H72,DL72),IF($F72&lt;OFFSET($BN$9,$CN72+1,0,1,1),IF(AND($H72&gt;2.4,Z72&lt;&gt;"e",Z72&lt;&gt;"f"),DL72*2.4/$H72,DL72),IF($F72&lt;OFFSET($BN$9,$CN72+2,0,1,1),IF(AND($H72&gt;2.4,Z72&lt;&gt;"e",Z72&lt;&gt;"f"),DL72*2.4/$H72,DL72),IF($F72&lt;OFFSET($BN$9,$CN72+3,0,1,1),IF(AND($H72&gt;2.4,Z72&lt;&gt;"e",Z72&lt;&gt;"f"),DL72*2.4/$H72,DL72),0)))))*COS(RADIANS($G72)))</f>
        <v>0</v>
      </c>
      <c r="DI72" s="51">
        <f ca="1">IF(F72&lt;OFFSET($BM$9,CN72-1,0,1,1),0,IF(F72&lt;OFFSET($BN$9,CN72-1,0,1,1),((F72-OFFSET($BM$9,CN72-1,0,1,1))*OFFSET($CI$9,CN72-1,0,1,1))+OFFSET($BP$9,CN72-1,CQ72,1,1),IF(F72&lt;OFFSET($BN$9,CN72+0,0,1,1),((F72-OFFSET($BM$9,CN72+0,0,1,1))*OFFSET($CI$9,CN72+0,0,1,1))+OFFSET($BP$9,CN72+0,CQ72,1,1),IF(F72&lt;OFFSET($BN$9,CN72+1,0,1,1),((F72-OFFSET($BM$9,CN72+1,0,1,1))*OFFSET($CI$9,CN72+1,0,1,1))+OFFSET($BP$9,CN72+1,CQ72,1,1),IF(F72&lt;OFFSET($BN$9,CN72+2,0,1,1),((F72-OFFSET($BM$9,CN72+2,0,1,1))*OFFSET($CI$9,CN72+2,0,1,1))+OFFSET($BP$9,CN72+2,CQ72,1,1),IF(F72&lt;OFFSET($BN$9,CN72+3,0,1,1),((F72-OFFSET($BM$9,CN72+3,0,1,1))*OFFSET($CI$9,CN72+3,0,1,1))+OFFSET($BP$9,CN72+3,CQ72,1,1),0))))))</f>
        <v>0</v>
      </c>
      <c r="DJ72" s="51">
        <f ca="1">IF($F72&lt;OFFSET($BM$9,$CN72-1,0,1,1),0,IF($F72&lt;OFFSET($BN$9,$CN72-1,0,1,1),IF(AND($H72&gt;2.4,Z72&lt;&gt;"e",Z72&lt;&gt;"f"),DN72*2.4/$H72,DN72),IF($F72&lt;OFFSET($BN$9,$CN72+0,0,1,1),IF(AND($H72&gt;2.4,Z72&lt;&gt;"e",Z72&lt;&gt;"f"),DN72*2.4/$H72,DN72),IF($F72&lt;OFFSET($BN$9,$CN72+1,0,1,1),IF(AND($H72&gt;2.4,Z72&lt;&gt;"e",Z72&lt;&gt;"f"),DN72*2.4/$H72,DN72),IF($F72&lt;OFFSET($BN$9,$CN72+2,0,1,1),IF(AND($H72&gt;2.4,Z72&lt;&gt;"e",Z72&lt;&gt;"f"),DN72*2.4/$H72,DN72),IF($F72&lt;OFFSET($BN$9,$CN72+3,0,1,1),IF(AND($H72&gt;2.4,Z72&lt;&gt;"e",Z72&lt;&gt;"f"),DN72*2.4/$H72,DN72),0)))))*COS(RADIANS($G72)))</f>
        <v>0</v>
      </c>
      <c r="DK72" s="51"/>
      <c r="DL72" s="51">
        <f ca="1">IF(DG72&gt;$CR72,$CR72,DG72)</f>
        <v>0</v>
      </c>
      <c r="DM72" s="51"/>
      <c r="DN72" s="51">
        <f ca="1">IF(DI72&gt;$CR72,$CR72,DI72)</f>
        <v>0</v>
      </c>
      <c r="DO72" s="435">
        <f ca="1">IF(DH72&gt;$CR72,$CR72,DH72)</f>
        <v>0</v>
      </c>
      <c r="DP72" s="435">
        <f ca="1">DO72*F72</f>
        <v>0</v>
      </c>
      <c r="DQ72" s="436">
        <f ca="1">IF(DJ72&gt;$CR72,$CR72,DJ72)</f>
        <v>0</v>
      </c>
      <c r="DR72" s="437">
        <f ca="1">DQ72*F72</f>
        <v>0</v>
      </c>
      <c r="DS72" s="426">
        <f ca="1">OFFSET($CH$9,CL72-1,-15,1,1)</f>
        <v>0</v>
      </c>
      <c r="DT72" s="451">
        <f ca="1">VLOOKUP(DS72,Prodlink,2,0)</f>
        <v>0</v>
      </c>
      <c r="DU72" s="188">
        <f ca="1">IF(F72&lt;OFFSET($BM$9,DT72-1,0,1,1),0,IF(F72&lt;OFFSET($BN$9,DT72-1,0,1,1),((F72-OFFSET($BM$9,DT72-1,0,1,1))*OFFSET($CH$9,DT72-1,0,1,1))+OFFSET($BO$9,DT72-1,CQ72,1,1),IF(F72&lt;OFFSET($BN$9,DT72+0,0,1,1),((F72-OFFSET($BM$9,DT72+0,0,1,1))*OFFSET($CH$9,DT72+0,0,1,1))+OFFSET($BO$9,DT72+0,CQ72,1,1),IF(F72&lt;OFFSET($BN$9,DT72+1,0,1,1),((F72-OFFSET($BM$9,DT72+1,0,1,1))*OFFSET($CH$9,DT72+1,0,1,1))+OFFSET($BO$9,DT72+1,CQ72,1,1),IF(F72&lt;OFFSET($BN$9,DT72+2,0,1,1),((F72-OFFSET($BM$9,DT72+2,0,1,1))*OFFSET($CH$9,DT72+2,0,1,1))+OFFSET($BO$9,DT72+2,CQ72,1,1),IF(F72&lt;OFFSET($BN$9,DT72+3,0,1,1),((F72-OFFSET($BM$9,DT72+3,0,1,1))*OFFSET($CH$9,DT72+3,0,1,1))+OFFSET($BO$9,DT72+3,CQ72,1,1),0))))))</f>
        <v>0</v>
      </c>
      <c r="DV72" s="51">
        <f ca="1">IF($F72&lt;OFFSET($BM$9,$DT72-1,0,1,1),0,IF($F72&lt;OFFSET($BN$9,$DT72-1,0,1,1),IF(AND($H72&gt;2.4,Z72&lt;&gt;"e",Z72&lt;&gt;"f"),DZ72*2.4/$H72,DZ72),IF($F72&lt;OFFSET($BN$9,$DT72+0,0,1,1),IF(AND($H72&gt;2.4,Z72&lt;&gt;"e",Z72&lt;&gt;"f"),DZ72*2.4/$H72,DZ72),IF($F72&lt;OFFSET($BN$9,$DT72+1,0,1,1),IF(AND($H72&gt;2.4,Z72&lt;&gt;"e",Z72&lt;&gt;"f"),DZ72*2.4/$H72,DZ72),IF($F72&lt;OFFSET($BN$9,$DT72+2,0,1,1),IF(AND($H72&gt;2.4,Z72&lt;&gt;"e",Z72&lt;&gt;"f"),DZ72*2.4/$H72,DZ72),IF($F72&lt;OFFSET($BN$9,$DT72+3,0,1,1),IF(AND($H72&gt;2.4,Z72&lt;&gt;"e",Z72&lt;&gt;"f"),DZ72*2.4/$H72,DZ72),0)))))*COS(RADIANS($G72)))</f>
        <v>0</v>
      </c>
      <c r="DW72" s="188">
        <f ca="1">IF(F72&lt;OFFSET($BM$9,DT72-1,0,1,1),0,IF(F72&lt;OFFSET($BN$9,DT72-1,0,1,1),((F72-OFFSET($BM$9,DT72-1,0,1,1))*OFFSET($CI$9,DT72-1,0,1,1))+OFFSET($BP$9,DT72-1,CQ72,1,1),IF(F72&lt;OFFSET($BN$9,DT72+0,0,1,1),((F72-OFFSET($BM$9,DT72+0,0,1,1))*OFFSET($CI$9,DT72+0,0,1,1))+OFFSET($BP$9,DT72+0,CQ72,1,1),IF(F72&lt;OFFSET($BN$9,DT72+1,0,1,1),((F72-OFFSET($BM$9,DT72+1,0,1,1))*OFFSET($CI$9,DT72+1,0,1,1))+OFFSET($BP$9,DT72+1,CQ72,1,1),IF(F72&lt;OFFSET($BN$9,DT72+2,0,1,1),((F72-OFFSET($BM$9,DT72+2,0,1,1))*OFFSET($CI$9,DT72+2,0,1,1))+OFFSET($BP$9,DT72+2,CQ72,1,1),IF(F72&lt;OFFSET($BN$9,DT72+3,0,1,1),((F72-OFFSET($BM$9,DT72+3,0,1,1))*OFFSET($CI$9,DT72+3,0,1,1))+OFFSET($BP$9,DT72+3,CQ72,1,1),0))))))</f>
        <v>0</v>
      </c>
      <c r="DX72" s="51">
        <f ca="1">IF($F72&lt;OFFSET($BM$9,$DT72-1,0,1,1),0,IF($F72&lt;OFFSET($BN$9,$DT72-1,0,1,1),IF(AND($H72&gt;2.4,Z72&lt;&gt;"e",Z72&lt;&gt;"f"),EB72*2.4/$H72,EB72),IF($F72&lt;OFFSET($BN$9,$DT72+0,0,1,1),IF(AND($H72&gt;2.4,Z72&lt;&gt;"e",Z72&lt;&gt;"f"),EB72*2.4/$H72,EB72),IF($F72&lt;OFFSET($BN$9,$DT72+1,0,1,1),IF(AND($H72&gt;2.4,Z72&lt;&gt;"e",Z72&lt;&gt;"f"),EB72*2.4/$H72,EB72),IF($F72&lt;OFFSET($BN$9,$DT72+2,0,1,1),IF(AND($H72&gt;2.4,Z72&lt;&gt;"e",Z72&lt;&gt;"f"),EB72*2.4/$H72,EB72),IF($F72&lt;OFFSET($BN$9,$DT72+3,0,1,1),IF(AND($H72&gt;2.4,Z72&lt;&gt;"e",Z72&lt;&gt;"f"),EB72*2.4/$H72,EB72),0)))))*COS(RADIANS($G72)))</f>
        <v>0</v>
      </c>
      <c r="DY72" s="188"/>
      <c r="DZ72" s="188">
        <f ca="1">IF(DU72&gt;$CR72,$CR72,DU72)</f>
        <v>0</v>
      </c>
      <c r="EA72" s="188"/>
      <c r="EB72" s="188">
        <f ca="1">IF(DW72&gt;$CR72,$CR72,DW72)</f>
        <v>0</v>
      </c>
      <c r="EC72" s="435">
        <f ca="1">IF(DV72&gt;$CR72,$CR72,DV72)</f>
        <v>0</v>
      </c>
      <c r="ED72" s="435">
        <f ca="1">EC72*F72</f>
        <v>0</v>
      </c>
      <c r="EE72" s="436">
        <f ca="1">IF(DX72&gt;$CR72,$CR72,DX72)</f>
        <v>0</v>
      </c>
      <c r="EF72" s="437">
        <f ca="1">EE72*F72</f>
        <v>0</v>
      </c>
      <c r="EG72" s="613" t="str">
        <f>IF(D72=BG$12,BG$12,"")</f>
        <v/>
      </c>
      <c r="EH72" s="614" t="str">
        <f>IF(D72=BG$13,BG$13,"")</f>
        <v/>
      </c>
      <c r="EI72" s="611">
        <f>IF(EG72=BG$12,M72,0)</f>
        <v>0</v>
      </c>
      <c r="EJ72" s="451">
        <f>IF(EG72=BG$12,O72,0)</f>
        <v>0</v>
      </c>
      <c r="EK72" s="451">
        <f>IF(EH72=BG$13,M72,0)</f>
        <v>0</v>
      </c>
      <c r="EL72" s="612">
        <f>IF(EH72=BG$13,O72,0)</f>
        <v>0</v>
      </c>
      <c r="EM72" s="426" t="str">
        <f ca="1">IF(AND(Z72&lt;&gt;"t",Z72&lt;&gt;"f"),"",IF(AND(EN72=$BH$13,K72=$BH$12),"NotOpt",IF(K72&lt;&gt;EN72,"Error","")))</f>
        <v/>
      </c>
      <c r="EN72" s="491" t="str">
        <f>IF(AND($BH$28=1,$BG$28=1),$BH$13,$BH$12)</f>
        <v>120 BU's</v>
      </c>
      <c r="EO72" s="426" t="str">
        <f>K72</f>
        <v xml:space="preserve"> </v>
      </c>
      <c r="EP72" s="497">
        <v>1</v>
      </c>
      <c r="EQ72" s="430" t="str">
        <f ca="1">IF(EP72=1," ",OFFSET(BF$15,EP72-2,0,1,1))</f>
        <v xml:space="preserve"> </v>
      </c>
      <c r="ER72" s="439" t="str">
        <f ca="1">IF(H72=0," ",H72)</f>
        <v xml:space="preserve"> </v>
      </c>
      <c r="ES72" s="440" t="str">
        <f ca="1">IF(ER72&lt;&gt;" ",IF(ER72&lt;&gt;ER$7,"Changed",""),"")</f>
        <v/>
      </c>
      <c r="ET72" s="440">
        <f ca="1">IF(ER72&lt;&gt;" ",IF(ER72&lt;&gt;ER$7,1,0),0)</f>
        <v>0</v>
      </c>
      <c r="EU72" s="957" t="str">
        <f ca="1">IF(I72=" "," ",IF(F72&lt;OFFSET($BM$9,CL72-1,0,1,1),1,""))</f>
        <v xml:space="preserve"> </v>
      </c>
      <c r="EW72" s="427"/>
    </row>
    <row r="73" spans="1:153" ht="17.100000000000001" hidden="1" customHeight="1" thickBot="1">
      <c r="A73" s="2685"/>
      <c r="B73" s="2686" t="s">
        <v>8</v>
      </c>
      <c r="C73" s="2687"/>
      <c r="D73" s="1461" t="s">
        <v>8</v>
      </c>
      <c r="E73" s="659"/>
      <c r="F73" s="659"/>
      <c r="G73" s="659"/>
      <c r="H73" s="659"/>
      <c r="I73" s="1462"/>
      <c r="J73" s="1365" t="str">
        <f ca="1">(CONCATENATE(B68,$BE$54))</f>
        <v>K  Line:  Min. Requirement=</v>
      </c>
      <c r="K73" s="23"/>
      <c r="L73" s="1019">
        <f ca="1">L$5</f>
        <v>0</v>
      </c>
      <c r="M73" s="48">
        <f ca="1">IF(B68=B62,SUM(M68:M72)+M67,SUM(M68:M72))</f>
        <v>0</v>
      </c>
      <c r="N73" s="1019">
        <f ca="1">N$5</f>
        <v>0</v>
      </c>
      <c r="O73" s="125">
        <f ca="1">IF(B68=B62,SUM(O68:O72)+O67,SUM(O68:O72))</f>
        <v>0</v>
      </c>
      <c r="P73" s="139"/>
      <c r="Q73" s="42" t="str">
        <f ca="1">IF(B68=B74,"",IF(AND(M73&gt;0,L73=L$5,OR(M73&lt;$M$105,M73&lt;$BF$3)),"Achieved &lt; Min Req per Line",IF(AND(O73&gt;0,N73=N$5,OR(O73&lt;$O$105,O73&lt;$BF$3)),"Achieved &lt; Min Req per Line",IF(AND(M73&gt;0,L73&gt;M73),"More Required on this line",IF(AND(O73&gt;0,N73&gt;O73),"More Required on this line",IF(AND(L73&gt;0,L73&lt;$BF$3),$BE$59,IF(AND(N73&gt;0,N73&lt;$BF$3),$BE$59,"")))))))</f>
        <v/>
      </c>
      <c r="R73" s="52"/>
      <c r="S73" s="52"/>
      <c r="T73" s="52"/>
      <c r="U73" s="1378"/>
      <c r="V73" s="52"/>
      <c r="W73" s="9"/>
      <c r="X73" s="9"/>
      <c r="Y73" s="896"/>
      <c r="Z73" s="52"/>
      <c r="AA73" s="51"/>
      <c r="AB73" s="1364"/>
      <c r="AC73" s="1"/>
      <c r="BD73" s="652"/>
      <c r="BE73" s="1387">
        <v>2</v>
      </c>
      <c r="BI73" s="759"/>
      <c r="BJ73" s="897">
        <f t="shared" si="25"/>
        <v>65</v>
      </c>
      <c r="BK73" s="1231"/>
      <c r="BL73" s="1234"/>
      <c r="BM73" s="1205"/>
      <c r="BN73" s="1205"/>
      <c r="BO73" s="1205"/>
      <c r="BP73" s="1205"/>
      <c r="BQ73" s="1233"/>
      <c r="BR73" s="1205"/>
      <c r="BS73" s="1205"/>
      <c r="BT73" s="1205"/>
      <c r="BU73" s="1205"/>
      <c r="BV73" s="1233"/>
      <c r="BW73" s="1235"/>
      <c r="BX73" s="1205"/>
      <c r="CH73" s="970"/>
      <c r="CI73" s="971"/>
      <c r="CJ73" s="759"/>
      <c r="CK73" s="188"/>
      <c r="CL73" s="979"/>
      <c r="CN73" s="497"/>
      <c r="CO73" s="497" t="s">
        <v>8</v>
      </c>
      <c r="CQ73" s="51" t="s">
        <v>8</v>
      </c>
      <c r="CR73" s="51" t="s">
        <v>8</v>
      </c>
      <c r="CS73" s="51" t="s">
        <v>8</v>
      </c>
      <c r="CT73" s="51" t="s">
        <v>8</v>
      </c>
      <c r="CU73" s="51" t="s">
        <v>8</v>
      </c>
      <c r="CV73" s="51" t="s">
        <v>8</v>
      </c>
      <c r="CW73" s="51" t="s">
        <v>8</v>
      </c>
      <c r="CX73" s="51" t="s">
        <v>8</v>
      </c>
      <c r="CY73" s="51" t="s">
        <v>8</v>
      </c>
      <c r="CZ73" s="51" t="s">
        <v>8</v>
      </c>
      <c r="DA73" s="51" t="s">
        <v>8</v>
      </c>
      <c r="DB73" s="984" t="s">
        <v>8</v>
      </c>
      <c r="DD73" s="758"/>
      <c r="DF73" s="52"/>
      <c r="DG73" s="51"/>
      <c r="DH73" s="51"/>
      <c r="DI73" s="51"/>
      <c r="DJ73" s="51"/>
      <c r="DK73" s="51"/>
      <c r="DL73" s="51" t="s">
        <v>8</v>
      </c>
      <c r="DM73" s="51"/>
      <c r="DN73" s="51" t="s">
        <v>8</v>
      </c>
      <c r="DO73" s="435" t="s">
        <v>8</v>
      </c>
      <c r="DP73" s="435" t="s">
        <v>8</v>
      </c>
      <c r="DQ73" s="868" t="s">
        <v>8</v>
      </c>
      <c r="DR73" s="868" t="s">
        <v>8</v>
      </c>
      <c r="DS73" s="426" t="s">
        <v>8</v>
      </c>
      <c r="DT73" s="451" t="s">
        <v>8</v>
      </c>
      <c r="DU73" s="188" t="s">
        <v>8</v>
      </c>
      <c r="DV73" s="188" t="s">
        <v>8</v>
      </c>
      <c r="DW73" s="188" t="s">
        <v>8</v>
      </c>
      <c r="DX73" s="188" t="s">
        <v>8</v>
      </c>
      <c r="DY73" s="188"/>
      <c r="DZ73" s="188" t="s">
        <v>8</v>
      </c>
      <c r="EA73" s="188"/>
      <c r="EB73" s="188" t="s">
        <v>8</v>
      </c>
      <c r="EC73" s="435" t="s">
        <v>8</v>
      </c>
      <c r="ED73" s="435" t="s">
        <v>8</v>
      </c>
      <c r="EE73" s="868" t="s">
        <v>8</v>
      </c>
      <c r="EF73" s="867" t="s">
        <v>8</v>
      </c>
      <c r="EG73" s="613"/>
      <c r="EH73" s="614"/>
      <c r="EI73" s="613"/>
      <c r="EJ73" s="435"/>
      <c r="EK73" s="451"/>
      <c r="EL73" s="612"/>
      <c r="EN73" s="947"/>
      <c r="ER73" s="441"/>
      <c r="ES73" s="440"/>
      <c r="ET73" s="440"/>
      <c r="EU73" s="957"/>
      <c r="EW73" s="427"/>
    </row>
    <row r="74" spans="1:153" ht="17.100000000000001" hidden="1" customHeight="1" thickBot="1">
      <c r="A74" s="2685"/>
      <c r="B74" s="1369" t="str">
        <f ca="1">S74</f>
        <v>L</v>
      </c>
      <c r="C74" s="684" t="str">
        <f>IF(OR(F74=0,I74="",I74=" ")," ",$V74)</f>
        <v xml:space="preserve"> </v>
      </c>
      <c r="D74" s="1033"/>
      <c r="E74" s="1360"/>
      <c r="F74" s="202"/>
      <c r="G74" s="1416"/>
      <c r="H74" s="199" t="str">
        <f ca="1">IF(OR(F74=0,Z74="E",Z74="f")," ",'Project Demand'!E$35)</f>
        <v xml:space="preserve"> </v>
      </c>
      <c r="I74" s="631" t="str">
        <f>IF($I$6&lt;&gt;$BG$8," ",AB74)</f>
        <v xml:space="preserve"> </v>
      </c>
      <c r="J74" s="43" t="str">
        <f ca="1">IF(OR(I74=" ",I74="")," ",OFFSET($BO$9,CL74-1,0-4,1,1))</f>
        <v xml:space="preserve"> </v>
      </c>
      <c r="K74" s="55" t="str">
        <f>IF(OR(I74=" ",I74="")," ",IF(OR(Z74="e",Z74="h"),"SD",BG$24))</f>
        <v xml:space="preserve"> </v>
      </c>
      <c r="L74" s="49">
        <f ca="1">CW74</f>
        <v>0</v>
      </c>
      <c r="M74" s="49">
        <f ca="1">CY74</f>
        <v>0</v>
      </c>
      <c r="N74" s="50">
        <f t="shared" ref="N74:O78" ca="1" si="32">DA74</f>
        <v>0</v>
      </c>
      <c r="O74" s="126">
        <f t="shared" ca="1" si="32"/>
        <v>0</v>
      </c>
      <c r="P74" s="140"/>
      <c r="Q74" s="752" t="str">
        <f ca="1">IF(OR(I74=" ",I74="")," ",IF(F74&lt;OFFSET($BM$9,CL74-1,0,1,1),"check L(m)",IF(DE74&lt;&gt;"",DE74,IF(AND(DP74&gt;=CY74,DR74&gt;=DB74),IF(AND(ED74&gt;=DP74,EF74&gt;=DR74),CONCATENATE(DS74," provides same results"),CONCATENATE(CO74," provides same results")),IF((DP74&gt;=CY74),CONCATENATE(CO74," provides same result in WIND"),IF((DR74&gt;=DB74),CONCATENATE(CO74," provides same result in EQ",""),""))))))</f>
        <v xml:space="preserve"> </v>
      </c>
      <c r="R74" s="52">
        <f ca="1">IF(T68&lt;&gt;2,(COLUMN(INDIRECT(B68&amp;1))+1),U74)</f>
        <v>12</v>
      </c>
      <c r="S74" s="1372" t="str">
        <f ca="1">SUBSTITUTE(ADDRESS(1,R74,4),"1","")</f>
        <v>L</v>
      </c>
      <c r="T74" s="451">
        <f ca="1">IF(AND(ISTEXT(B74),SUBSTITUTE(SUBSTITUTE(SUBSTITUTE(SUBSTITUTE(SUBSTITUTE(SUBSTITUTE(SUBSTITUTE(SUBSTITUTE(SUBSTITUTE(SUBSTITUTE(SUBSTITUTE(SUBSTITUTE(SUBSTITUTE(SUBSTITUTE(SUBSTITUTE(SUBSTITUTE(SUBSTITUTE(SUBSTITUTE(SUBSTITUTE(SUBSTITUTE(SUBSTITUTE(SUBSTITUTE(SUBSTITUTE(SUBSTITUTE(SUBSTITUTE(SUBSTITUTE(LOWER(B74),"a",),"b",),"c",),"d",),"e",),"f",),"g",),"h",),"i",),"j",),"k",),"l",),"m",),"n",),"o",),"p",),"q",),"r",),"s",),"t",),"u",),"v",),"w",),"x",),"y",),"z",)=""),1,2)</f>
        <v>1</v>
      </c>
      <c r="U74" s="1377">
        <v>12</v>
      </c>
      <c r="V74" s="52" t="str">
        <f ca="1">IF(AND(B$5=$BF$9,OR(I74=BH$16,I74=BH$17))," ",IF(ISNUMBER(B$74),(CONCATENATE(B$74,".",W74)),(CONCATENATE(B$74,W74))))</f>
        <v>L0</v>
      </c>
      <c r="W74" s="9">
        <f ca="1">IF(B68=B74,W72+X74,X74)</f>
        <v>0</v>
      </c>
      <c r="X74" s="9">
        <f>IF(AND(B$5=$BF$9,OR($I74=$BH$16,$I74=$BH$17,$I74=" ",$I74="",$F74=0)),0,IF(OR($I74=" ",$I74="",$F74=0),0,1))</f>
        <v>0</v>
      </c>
      <c r="Y74" s="896">
        <f ca="1">IF(AND(M79&gt;0,B74&lt;&gt;B80),1,0)</f>
        <v>0</v>
      </c>
      <c r="Z74" s="52" t="str">
        <f ca="1">IF(I74=" "," ",OFFSET($BM$9,$CL74-1,8,1,1))</f>
        <v xml:space="preserve"> </v>
      </c>
      <c r="AA74" s="51" t="str">
        <f>IF(G74&gt;=45,"WA","")</f>
        <v/>
      </c>
      <c r="AB74" s="1364" t="str">
        <f>IF(F74&lt;&gt;"",IF(OR(D74=$BG$12,D74=$BG$13),IF(E74&lt;&gt;$BG$17,$BF$12,$BF$13),IF(E74&lt;&gt;$BG$17,$BF$12,$BF$13))," ")</f>
        <v xml:space="preserve"> </v>
      </c>
      <c r="AC74" s="1"/>
      <c r="BD74" s="652"/>
      <c r="BI74" s="759"/>
      <c r="BJ74" s="897">
        <f t="shared" si="25"/>
        <v>66</v>
      </c>
      <c r="BK74" s="768" t="str">
        <f>BK68</f>
        <v xml:space="preserve">EPB </v>
      </c>
      <c r="BL74" s="765" t="str">
        <f>Table!O16</f>
        <v>ESPH</v>
      </c>
      <c r="BM74" s="454">
        <f>Table!P16</f>
        <v>0.4</v>
      </c>
      <c r="BN74" s="454">
        <f>BM75</f>
        <v>0.6</v>
      </c>
      <c r="BO74" s="454">
        <f>Table!Q16</f>
        <v>102</v>
      </c>
      <c r="BP74" s="924">
        <f>Table!R16</f>
        <v>114</v>
      </c>
      <c r="BQ74" s="920"/>
      <c r="BR74" s="768" t="str">
        <f>Table!S16</f>
        <v>ES-H</v>
      </c>
      <c r="BS74" s="454" t="str">
        <f>Table!S17</f>
        <v>EM-H</v>
      </c>
      <c r="BT74" s="454" t="str">
        <f>Table!T16</f>
        <v>E</v>
      </c>
      <c r="BU74" s="924" t="s">
        <v>242</v>
      </c>
      <c r="BV74" s="1230" t="str">
        <f>Table!AI83</f>
        <v>ESPH</v>
      </c>
      <c r="BW74" s="1229">
        <f>BJ74</f>
        <v>66</v>
      </c>
      <c r="BX74" s="924" t="str">
        <f>Table!T17</f>
        <v>Double</v>
      </c>
      <c r="CH74" s="768">
        <f>IF(BN74=999,0,(BO75-BO74)/(BN74-BM74))</f>
        <v>90.000000000000014</v>
      </c>
      <c r="CI74" s="924">
        <f>IF(BN74=999,0,(BP75-BP74)/(BN74-BM74))</f>
        <v>80.000000000000014</v>
      </c>
      <c r="CJ74" s="759"/>
      <c r="CK74" s="188"/>
      <c r="CL74" s="979">
        <f>VLOOKUP(I74,Prodlink,2,0)</f>
        <v>0</v>
      </c>
      <c r="CN74" s="497">
        <f ca="1">VLOOKUP(CO74,Prodlink,2,0)</f>
        <v>0</v>
      </c>
      <c r="CO74" s="497">
        <f ca="1">OFFSET($CH$9,CL74-1,-15,1,1)</f>
        <v>0</v>
      </c>
      <c r="CQ74" s="51">
        <v>0</v>
      </c>
      <c r="CR74" s="51">
        <f>IF(K74=$BH$12,$BH$23,IF(K74=$BH$13,$BH$24,10000))</f>
        <v>10000</v>
      </c>
      <c r="CS74" s="51">
        <f ca="1">IF(F74&lt;OFFSET($BM$9,CL74-1,0,1,1),0,IF(F74&lt;OFFSET($BN$9,CL74-1,0,1,1),((F74-OFFSET($BM$9,CL74-1,0,1,1))*OFFSET($CH$9,CL74-1,0,1,1))+OFFSET($BO$9,CL74-1,CQ74,1,1),IF(F74&lt;OFFSET($BN$9,CL74+0,0,1,1),((F74-OFFSET($BM$9,CL74+0,0,1,1))*OFFSET($CH$9,CL74+0,0,1,1))+OFFSET($BO$9,CL74+0,CQ74,1,1),IF(F74&lt;OFFSET($BN$9,CL74+1,0,1,1),((F74-OFFSET($BM$9,CL74+1,0,1,1))*OFFSET($CH$9,CL74+1,0,1,1))+OFFSET($BO$9,CL74+1,CQ74,1,1),IF(F74&lt;OFFSET($BN$9,CL74+2,0,1,1),((F74-OFFSET($BM$9,CL74+2,0,1,1))*OFFSET($CH$9,CL74+2,0,1,1))+OFFSET($BO$9,CL74+2,CQ74,1,1),IF(F74&lt;OFFSET($BN$9,CL74+3,0,1,1),((F74-OFFSET($BM$9,CL74+3,0,1,1))*OFFSET($CH$9,CL74+3,0,1,1))+OFFSET($BO$9,CL74+3,CQ74,1,1),0))))))</f>
        <v>0</v>
      </c>
      <c r="CT74" s="51">
        <f ca="1">IF($F74&lt;OFFSET($BM$9,$CL74-1,0,1,1),0,IF($F74&lt;OFFSET($BN$9,$CL74-1,0,1,1),IF(AND($H74&gt;2.4,Z74&lt;&gt;"e",Z74&lt;&gt;"f"),CX74*2.4/$H74,CX74),IF($F74&lt;OFFSET($BN$9,$CL74+0,0,1,1),IF(AND($H74&gt;2.4,Z74&lt;&gt;"e",Z74&lt;&gt;"f"),CX74*2.4/$H74,CX74),IF($F74&lt;OFFSET($BN$9,$CL74+1,0,1,1),IF(AND($H74&gt;2.4,Z74&lt;&gt;"e",Z74&lt;&gt;"f"),CX74*2.4/$H74,CX74),IF($F74&lt;OFFSET($BN$9,CL74+2,0,1,1),IF(AND($H74&gt;2.4,Z74&lt;&gt;"e",Z74&lt;&gt;"f"),CX74*2.4/$H74,CX74),IF($F74&lt;OFFSET($BN$9,CL74+3,0,1,1),IF(AND($H74&gt;2.4,Z74&lt;&gt;"e",Z74&lt;&gt;"f"),CX74*2.4/$H74,CX74),0)))))*COS(RADIANS($G74)))</f>
        <v>0</v>
      </c>
      <c r="CU74" s="51">
        <f ca="1">IF(F74&lt;OFFSET($BM$9,CL74-1,0,1,1),0,IF(F74&lt;OFFSET($BN$9,CL74-1,0,1,1),((F74-OFFSET($BM$9,CL74-1,0,1,1))*OFFSET($CI$9,CL74-1,0,1,1))+OFFSET($BP$9,CL74-1,CQ74,1,1),IF(F74&lt;OFFSET($BN$9,CL74+0,0,1,1),((F74-OFFSET($BM$9,CL74+0,0,1,1))*OFFSET($CI$9,CL74+0,0,1,1))+OFFSET($BP$9,CL74+0,CQ74,1,1),IF(F74&lt;OFFSET($BN$9,CL74+1,0,1,1),((F74-OFFSET($BM$9,CL74+1,0,1,1))*OFFSET($CI$9,CL74+1,0,1,1))+OFFSET($BP$9,CL74+1,CQ74,1,1),IF(F74&lt;OFFSET($BN$9,CL74+2,0,1,1),((F74-OFFSET($BM$9,CL74+2,0,1,1))*OFFSET($CI$9,CL74+2,0,1,1))+OFFSET($BP$9,CL74+2,CQ74,1,1),IF(F74&lt;OFFSET($BN$9,CL74+3,0,1,1),((F74-OFFSET($BM$9,CL74+3,0,1,1))*OFFSET($CI$9,CL74+3,0,1,1))+OFFSET($BP$9,CL74+3,CQ74,1,1),0))))))</f>
        <v>0</v>
      </c>
      <c r="CV74" s="51">
        <f ca="1">IF($F74&lt;OFFSET($BM$9,$CL74-1,0,1,1),0,IF($F74&lt;OFFSET($BN$9,$CL74-1,0,1,1),IF(AND($H74&gt;2.4,Z74&lt;&gt;"e",Z74&lt;&gt;"f"),CZ74*2.4/$H74,CZ74),IF($F74&lt;OFFSET($BN$9,$CL74+0,0,1,1),IF(AND($H74&gt;2.4,Z74&lt;&gt;"e",Z74&lt;&gt;"f"),CZ74*2.4/$H74,CZ74),IF($F74&lt;OFFSET($BN$9,$CL74+1,0,1,1),IF(AND($H74&gt;2.4,Z74&lt;&gt;"e",Z74&lt;&gt;"f"),CZ74*2.4/$H74,CZ74),IF($F74&lt;OFFSET($BN$9,$CL74+2,0,1,1),IF(AND($H74&gt;2.4,Z74&lt;&gt;"e",Z74&lt;&gt;"f"),CZ74*2.4/$H74,CZ74),IF($F74&lt;OFFSET($BN$9,$CL74+3,0,1,1),IF(AND($H74&gt;2.4,Z74&lt;&gt;"e",Z74&lt;&gt;"f"),CZ74*2.4/$H74,CZ74),0)))))*COS(RADIANS($G74)))</f>
        <v>0</v>
      </c>
      <c r="CW74" s="51">
        <f ca="1">IF(CT74&gt;CR74,CR74,CT74)</f>
        <v>0</v>
      </c>
      <c r="CX74" s="51">
        <f ca="1">IF(CS74&gt;$CR74,$CR74,CS74)</f>
        <v>0</v>
      </c>
      <c r="CY74" s="51">
        <f ca="1">CW74*F74</f>
        <v>0</v>
      </c>
      <c r="CZ74" s="51">
        <f ca="1">IF($CU74&gt;$CR74,$CR74,$CU74)</f>
        <v>0</v>
      </c>
      <c r="DA74" s="51">
        <f ca="1">IF(CV74&gt;CR74,CR74,CV74)</f>
        <v>0</v>
      </c>
      <c r="DB74" s="984">
        <f ca="1">DA74*F74</f>
        <v>0</v>
      </c>
      <c r="DC74" s="993">
        <v>1</v>
      </c>
      <c r="DD74" s="758" t="str">
        <f>IF(OR(D74=BG$12,D74=BG$13),"External",IF(D74=BG$14,"Internal"," "))</f>
        <v xml:space="preserve"> </v>
      </c>
      <c r="DE74" s="51" t="str">
        <f t="shared" ref="DE74:DE78" ca="1" si="33">IF(AND(OFFSET($CH$9,CL74-1,-14,1,1)="I",DD74="External"),BE$66,IF(AND(OFFSET($CH$9,CL74-1,-14,1,1)="M",DD74="Internal"),BE$65,IF(AND(OFFSET($CH$9,CL74-1,-14,1,1)="M",DD74=" "),BE$64,IF(AND(OFFSET($CH$9,CL74-1,-14,1,1)="E",DD74="Internal"),BE$62,IF(AND(OFFSET($CH$9,CL74-1,-14,1,1)="E",DD74=" "),BE$61,IF(AND(DF74="Double",E74=$BG$16),BE$67,""))))))</f>
        <v/>
      </c>
      <c r="DF74" s="52" t="str">
        <f t="shared" ref="DF74:DF78" ca="1" si="34">IF(I74=" "," ",OFFSET($BM$9,$CL74-1,11,1,1))</f>
        <v xml:space="preserve"> </v>
      </c>
      <c r="DG74" s="51">
        <f ca="1">IF(F74&lt;OFFSET($BM$9,CN74-1,0,1,1),0,IF(F74&lt;OFFSET($BN$9,CN74-1,0,1,1),((F74-OFFSET($BM$9,CN74-1,0,1,1))*OFFSET($CH$9,CN74-1,0,1,1))+OFFSET($BO$9,CN74-1,CQ74,1,1),IF(F74&lt;OFFSET($BN$9,CN74+0,0,1,1),((F74-OFFSET($BM$9,CN74+0,0,1,1))*OFFSET($CH$9,CN74+0,0,1,1))+OFFSET($BO$9,CN74+0,CQ74,1,1),IF(F74&lt;OFFSET($BN$9,CN74+1,0,1,1),((F74-OFFSET($BM$9,CN74+1,0,1,1))*OFFSET($CH$9,CN74+1,0,1,1))+OFFSET($BO$9,CN74+1,CQ74,1,1),IF(F74&lt;OFFSET($BN$9,CN74+2,0,1,1),((F74-OFFSET($BM$9,CN74+2,0,1,1))*OFFSET($CH$9,CN74+2,0,1,1))+OFFSET($BO$9,CN74+2,CQ74,1,1),IF(F74&lt;OFFSET($BN$9,CN74+3,0,1,1),((F74-OFFSET($BM$9,CN74+3,0,1,1))*OFFSET($CH$9,CN74+3,0,1,1))+OFFSET($BO$9,CN74+3,CQ74,1,1),0))))))</f>
        <v>0</v>
      </c>
      <c r="DH74" s="51">
        <f ca="1">IF($F74&lt;OFFSET($BM$9,$CN74-1,0,1,1),0,IF($F74&lt;OFFSET($BN$9,$CN74-1,0,1,1),IF(AND($H74&gt;2.4,Z74&lt;&gt;"e",Z74&lt;&gt;"f"),DL74*2.4/$H74,DL74),IF($F74&lt;OFFSET($BN$9,$CN74+0,0,1,1),IF(AND($H74&gt;2.4,Z74&lt;&gt;"e",Z74&lt;&gt;"f"),DL74*2.4/$H74,DL74),IF($F74&lt;OFFSET($BN$9,$CN74+1,0,1,1),IF(AND($H74&gt;2.4,Z74&lt;&gt;"e",Z74&lt;&gt;"f"),DL74*2.4/$H74,DL74),IF($F74&lt;OFFSET($BN$9,$CN74+2,0,1,1),IF(AND($H74&gt;2.4,Z74&lt;&gt;"e",Z74&lt;&gt;"f"),DL74*2.4/$H74,DL74),IF($F74&lt;OFFSET($BN$9,$CN74+3,0,1,1),IF(AND($H74&gt;2.4,Z74&lt;&gt;"e",Z74&lt;&gt;"f"),DL74*2.4/$H74,DL74),0)))))*COS(RADIANS($G74)))</f>
        <v>0</v>
      </c>
      <c r="DI74" s="51">
        <f ca="1">IF(F74&lt;OFFSET($BM$9,CN74-1,0,1,1),0,IF(F74&lt;OFFSET($BN$9,CN74-1,0,1,1),((F74-OFFSET($BM$9,CN74-1,0,1,1))*OFFSET($CI$9,CN74-1,0,1,1))+OFFSET($BP$9,CN74-1,CQ74,1,1),IF(F74&lt;OFFSET($BN$9,CN74+0,0,1,1),((F74-OFFSET($BM$9,CN74+0,0,1,1))*OFFSET($CI$9,CN74+0,0,1,1))+OFFSET($BP$9,CN74+0,CQ74,1,1),IF(F74&lt;OFFSET($BN$9,CN74+1,0,1,1),((F74-OFFSET($BM$9,CN74+1,0,1,1))*OFFSET($CI$9,CN74+1,0,1,1))+OFFSET($BP$9,CN74+1,CQ74,1,1),IF(F74&lt;OFFSET($BN$9,CN74+2,0,1,1),((F74-OFFSET($BM$9,CN74+2,0,1,1))*OFFSET($CI$9,CN74+2,0,1,1))+OFFSET($BP$9,CN74+2,CQ74,1,1),IF(F74&lt;OFFSET($BN$9,CN74+3,0,1,1),((F74-OFFSET($BM$9,CN74+3,0,1,1))*OFFSET($CI$9,CN74+3,0,1,1))+OFFSET($BP$9,CN74+3,CQ74,1,1),0))))))</f>
        <v>0</v>
      </c>
      <c r="DJ74" s="51">
        <f ca="1">IF($F74&lt;OFFSET($BM$9,$CN74-1,0,1,1),0,IF($F74&lt;OFFSET($BN$9,$CN74-1,0,1,1),IF(AND($H74&gt;2.4,Z74&lt;&gt;"e",Z74&lt;&gt;"f"),DN74*2.4/$H74,DN74),IF($F74&lt;OFFSET($BN$9,$CN74+0,0,1,1),IF(AND($H74&gt;2.4,Z74&lt;&gt;"e",Z74&lt;&gt;"f"),DN74*2.4/$H74,DN74),IF($F74&lt;OFFSET($BN$9,$CN74+1,0,1,1),IF(AND($H74&gt;2.4,Z74&lt;&gt;"e",Z74&lt;&gt;"f"),DN74*2.4/$H74,DN74),IF($F74&lt;OFFSET($BN$9,$CN74+2,0,1,1),IF(AND($H74&gt;2.4,Z74&lt;&gt;"e",Z74&lt;&gt;"f"),DN74*2.4/$H74,DN74),IF($F74&lt;OFFSET($BN$9,$CN74+3,0,1,1),IF(AND($H74&gt;2.4,Z74&lt;&gt;"e",Z74&lt;&gt;"f"),DN74*2.4/$H74,DN74),0)))))*COS(RADIANS($G74)))</f>
        <v>0</v>
      </c>
      <c r="DK74" s="51"/>
      <c r="DL74" s="51">
        <f ca="1">IF(DG74&gt;$CR74,$CR74,DG74)</f>
        <v>0</v>
      </c>
      <c r="DM74" s="51"/>
      <c r="DN74" s="51">
        <f ca="1">IF(DI74&gt;$CR74,$CR74,DI74)</f>
        <v>0</v>
      </c>
      <c r="DO74" s="435">
        <f ca="1">IF(DH74&gt;$CR74,$CR74,DH74)</f>
        <v>0</v>
      </c>
      <c r="DP74" s="435">
        <f ca="1">DO74*F74</f>
        <v>0</v>
      </c>
      <c r="DQ74" s="436">
        <f ca="1">IF(DJ74&gt;$CR74,$CR74,DJ74)</f>
        <v>0</v>
      </c>
      <c r="DR74" s="437">
        <f ca="1">DQ74*F74</f>
        <v>0</v>
      </c>
      <c r="DS74" s="426">
        <f ca="1">OFFSET($CH$9,CL74-1,-15,1,1)</f>
        <v>0</v>
      </c>
      <c r="DT74" s="451">
        <f ca="1">VLOOKUP(DS74,Prodlink,2,0)</f>
        <v>0</v>
      </c>
      <c r="DU74" s="188">
        <f ca="1">IF(F74&lt;OFFSET($BM$9,DT74-1,0,1,1),0,IF(F74&lt;OFFSET($BN$9,DT74-1,0,1,1),((F74-OFFSET($BM$9,DT74-1,0,1,1))*OFFSET($CH$9,DT74-1,0,1,1))+OFFSET($BO$9,DT74-1,CQ74,1,1),IF(F74&lt;OFFSET($BN$9,DT74+0,0,1,1),((F74-OFFSET($BM$9,DT74+0,0,1,1))*OFFSET($CH$9,DT74+0,0,1,1))+OFFSET($BO$9,DT74+0,CQ74,1,1),IF(F74&lt;OFFSET($BN$9,DT74+1,0,1,1),((F74-OFFSET($BM$9,DT74+1,0,1,1))*OFFSET($CH$9,DT74+1,0,1,1))+OFFSET($BO$9,DT74+1,CQ74,1,1),IF(F74&lt;OFFSET($BN$9,DT74+2,0,1,1),((F74-OFFSET($BM$9,DT74+2,0,1,1))*OFFSET($CH$9,DT74+2,0,1,1))+OFFSET($BO$9,DT74+2,CQ74,1,1),IF(F74&lt;OFFSET($BN$9,DT74+3,0,1,1),((F74-OFFSET($BM$9,DT74+3,0,1,1))*OFFSET($CH$9,DT74+3,0,1,1))+OFFSET($BO$9,DT74+3,CQ74,1,1),0))))))</f>
        <v>0</v>
      </c>
      <c r="DV74" s="51">
        <f ca="1">IF($F74&lt;OFFSET($BM$9,$DT74-1,0,1,1),0,IF($F74&lt;OFFSET($BN$9,$DT74-1,0,1,1),IF(AND($H74&gt;2.4,Z74&lt;&gt;"e",Z74&lt;&gt;"f"),DZ74*2.4/$H74,DZ74),IF($F74&lt;OFFSET($BN$9,$DT74+0,0,1,1),IF(AND($H74&gt;2.4,Z74&lt;&gt;"e",Z74&lt;&gt;"f"),DZ74*2.4/$H74,DZ74),IF($F74&lt;OFFSET($BN$9,$DT74+1,0,1,1),IF(AND($H74&gt;2.4,Z74&lt;&gt;"e",Z74&lt;&gt;"f"),DZ74*2.4/$H74,DZ74),IF($F74&lt;OFFSET($BN$9,$DT74+2,0,1,1),IF(AND($H74&gt;2.4,Z74&lt;&gt;"e",Z74&lt;&gt;"f"),DZ74*2.4/$H74,DZ74),IF($F74&lt;OFFSET($BN$9,$DT74+3,0,1,1),IF(AND($H74&gt;2.4,Z74&lt;&gt;"e",Z74&lt;&gt;"f"),DZ74*2.4/$H74,DZ74),0)))))*COS(RADIANS($G74)))</f>
        <v>0</v>
      </c>
      <c r="DW74" s="188">
        <f ca="1">IF(F74&lt;OFFSET($BM$9,DT74-1,0,1,1),0,IF(F74&lt;OFFSET($BN$9,DT74-1,0,1,1),((F74-OFFSET($BM$9,DT74-1,0,1,1))*OFFSET($CI$9,DT74-1,0,1,1))+OFFSET($BP$9,DT74-1,CQ74,1,1),IF(F74&lt;OFFSET($BN$9,DT74+0,0,1,1),((F74-OFFSET($BM$9,DT74+0,0,1,1))*OFFSET($CI$9,DT74+0,0,1,1))+OFFSET($BP$9,DT74+0,CQ74,1,1),IF(F74&lt;OFFSET($BN$9,DT74+1,0,1,1),((F74-OFFSET($BM$9,DT74+1,0,1,1))*OFFSET($CI$9,DT74+1,0,1,1))+OFFSET($BP$9,DT74+1,CQ74,1,1),IF(F74&lt;OFFSET($BN$9,DT74+2,0,1,1),((F74-OFFSET($BM$9,DT74+2,0,1,1))*OFFSET($CI$9,DT74+2,0,1,1))+OFFSET($BP$9,DT74+2,CQ74,1,1),IF(F74&lt;OFFSET($BN$9,DT74+3,0,1,1),((F74-OFFSET($BM$9,DT74+3,0,1,1))*OFFSET($CI$9,DT74+3,0,1,1))+OFFSET($BP$9,DT74+3,CQ74,1,1),0))))))</f>
        <v>0</v>
      </c>
      <c r="DX74" s="51">
        <f ca="1">IF($F74&lt;OFFSET($BM$9,$DT74-1,0,1,1),0,IF($F74&lt;OFFSET($BN$9,$DT74-1,0,1,1),IF(AND($H74&gt;2.4,Z74&lt;&gt;"e",Z74&lt;&gt;"f"),EB74*2.4/$H74,EB74),IF($F74&lt;OFFSET($BN$9,$DT74+0,0,1,1),IF(AND($H74&gt;2.4,Z74&lt;&gt;"e",Z74&lt;&gt;"f"),EB74*2.4/$H74,EB74),IF($F74&lt;OFFSET($BN$9,$DT74+1,0,1,1),IF(AND($H74&gt;2.4,Z74&lt;&gt;"e",Z74&lt;&gt;"f"),EB74*2.4/$H74,EB74),IF($F74&lt;OFFSET($BN$9,$DT74+2,0,1,1),IF(AND($H74&gt;2.4,Z74&lt;&gt;"e",Z74&lt;&gt;"f"),EB74*2.4/$H74,EB74),IF($F74&lt;OFFSET($BN$9,$DT74+3,0,1,1),IF(AND($H74&gt;2.4,Z74&lt;&gt;"e",Z74&lt;&gt;"f"),EB74*2.4/$H74,EB74),0)))))*COS(RADIANS($G74)))</f>
        <v>0</v>
      </c>
      <c r="DY74" s="188"/>
      <c r="DZ74" s="188">
        <f ca="1">IF(DU74&gt;$CR74,$CR74,DU74)</f>
        <v>0</v>
      </c>
      <c r="EA74" s="188"/>
      <c r="EB74" s="188">
        <f ca="1">IF(DW74&gt;$CR74,$CR74,DW74)</f>
        <v>0</v>
      </c>
      <c r="EC74" s="435">
        <f ca="1">IF(DV74&gt;$CR74,$CR74,DV74)</f>
        <v>0</v>
      </c>
      <c r="ED74" s="435">
        <f ca="1">EC74*F74</f>
        <v>0</v>
      </c>
      <c r="EE74" s="436">
        <f ca="1">IF(DX74&gt;$CR74,$CR74,DX74)</f>
        <v>0</v>
      </c>
      <c r="EF74" s="437">
        <f ca="1">EE74*F74</f>
        <v>0</v>
      </c>
      <c r="EG74" s="613" t="str">
        <f>IF(D74=BG$12,BG$12,"")</f>
        <v/>
      </c>
      <c r="EH74" s="614" t="str">
        <f>IF(D74=BG$13,BG$13,"")</f>
        <v/>
      </c>
      <c r="EI74" s="611">
        <f>IF(EG74=BG$12,M74,0)</f>
        <v>0</v>
      </c>
      <c r="EJ74" s="451">
        <f>IF(EG74=BG$12,O74,0)</f>
        <v>0</v>
      </c>
      <c r="EK74" s="451">
        <f>IF(EH74=BG$13,M74,0)</f>
        <v>0</v>
      </c>
      <c r="EL74" s="612">
        <f>IF(EH74=BG$13,O74,0)</f>
        <v>0</v>
      </c>
      <c r="EM74" s="426" t="str">
        <f ca="1">IF(AND(Z74&lt;&gt;"t",Z74&lt;&gt;"f"),"",IF(AND(EN74=$BH$13,K74=$BH$12),"NotOpt",IF(K74&lt;&gt;EN74,"Error","")))</f>
        <v/>
      </c>
      <c r="EN74" s="491" t="str">
        <f>IF(AND($BH$28=1,$BG$28=1),$BH$13,$BH$12)</f>
        <v>120 BU's</v>
      </c>
      <c r="EO74" s="426" t="str">
        <f>K74</f>
        <v xml:space="preserve"> </v>
      </c>
      <c r="EP74" s="497">
        <v>1</v>
      </c>
      <c r="EQ74" s="430" t="str">
        <f ca="1">IF(EP74=1," ",OFFSET(BF$15,EP74-2,0,1,1))</f>
        <v xml:space="preserve"> </v>
      </c>
      <c r="ER74" s="439" t="str">
        <f ca="1">IF(H74=0," ",H74)</f>
        <v xml:space="preserve"> </v>
      </c>
      <c r="ES74" s="440" t="str">
        <f ca="1">IF(ER74&lt;&gt;" ",IF(ER74&lt;&gt;ER$7,"Changed",""),"")</f>
        <v/>
      </c>
      <c r="ET74" s="440">
        <f ca="1">IF(ER74&lt;&gt;" ",IF(ER74&lt;&gt;ER$7,1,0),0)</f>
        <v>0</v>
      </c>
      <c r="EU74" s="957" t="str">
        <f ca="1">IF(I74=" "," ",IF(F74&lt;OFFSET($BM$9,CL74-1,0,1,1),1,""))</f>
        <v xml:space="preserve"> </v>
      </c>
      <c r="EW74" s="427"/>
    </row>
    <row r="75" spans="1:153" ht="17.100000000000001" hidden="1" customHeight="1">
      <c r="A75" s="2685"/>
      <c r="B75" s="689" t="s">
        <v>246</v>
      </c>
      <c r="C75" s="684" t="str">
        <f>IF(OR(F75=0,I75="",I75=" ")," ",$V75)</f>
        <v xml:space="preserve"> </v>
      </c>
      <c r="D75" s="1033"/>
      <c r="E75" s="1360" t="s">
        <v>8</v>
      </c>
      <c r="F75" s="202"/>
      <c r="G75" s="1416"/>
      <c r="H75" s="199" t="str">
        <f ca="1">IF(OR(F75=0,Z75="E",Z75="f")," ",'Project Demand'!E$35)</f>
        <v xml:space="preserve"> </v>
      </c>
      <c r="I75" s="631" t="str">
        <f>IF($I$6&lt;&gt;$BG$8," ",AB75)</f>
        <v xml:space="preserve"> </v>
      </c>
      <c r="J75" s="44" t="str">
        <f ca="1">IF(OR(I75=" ",I75="")," ",OFFSET($BO$9,CL75-1,0-4,1,1))</f>
        <v xml:space="preserve"> </v>
      </c>
      <c r="K75" s="55" t="str">
        <f>IF(OR(I75=" ",I75="")," ",IF(OR(Z75="e",Z75="h"),"SD",BG$24))</f>
        <v xml:space="preserve"> </v>
      </c>
      <c r="L75" s="49">
        <f ca="1">CW75</f>
        <v>0</v>
      </c>
      <c r="M75" s="49">
        <f ca="1">CY75</f>
        <v>0</v>
      </c>
      <c r="N75" s="50">
        <f t="shared" ca="1" si="32"/>
        <v>0</v>
      </c>
      <c r="O75" s="126">
        <f t="shared" ca="1" si="32"/>
        <v>0</v>
      </c>
      <c r="P75" s="140"/>
      <c r="Q75" s="752" t="str">
        <f ca="1">IF(OR(I75=" ",I75="")," ",IF(F75&lt;OFFSET($BM$9,CL75-1,0,1,1),"check L(m)",IF(DE75&lt;&gt;"",DE75,IF(AND(DP75&gt;=CY75,DR75&gt;=DB75),IF(AND(ED75&gt;=DP75,EF75&gt;=DR75),CONCATENATE(DS75," provides same results"),CONCATENATE(CO75," provides same results")),IF((DP75&gt;=CY75),CONCATENATE(CO75," provides same result in WIND"),IF((DR75&gt;=DB75),CONCATENATE(CO75," provides same result in EQ",""),""))))))</f>
        <v xml:space="preserve"> </v>
      </c>
      <c r="R75" s="52"/>
      <c r="S75" s="1372"/>
      <c r="T75" s="1372"/>
      <c r="U75" s="1377"/>
      <c r="V75" s="52" t="str">
        <f ca="1">IF(AND(B$5=$BF$9,OR(I75=BH$16,I75=BH$17))," ",IF(ISNUMBER(B$74),(CONCATENATE(B$74,".",W75)),(CONCATENATE(B$74,W75))))</f>
        <v>L0</v>
      </c>
      <c r="W75" s="9">
        <f ca="1">W74+X75</f>
        <v>0</v>
      </c>
      <c r="X75" s="9">
        <f>IF(AND(B$5=$BF$9,OR($I75=$BH$16,$I75=$BH$17,$I75=" ",$I75="",$F75=0)),0,IF(OR($I75=" ",$I75="",$F75=0),0,1))</f>
        <v>0</v>
      </c>
      <c r="Y75" s="896"/>
      <c r="Z75" s="52" t="str">
        <f ca="1">IF(I75=" "," ",OFFSET($BM$9,$CL75-1,8,1,1))</f>
        <v xml:space="preserve"> </v>
      </c>
      <c r="AA75" s="51" t="str">
        <f>IF(G75&gt;=45,"WA","")</f>
        <v/>
      </c>
      <c r="AB75" s="1364" t="str">
        <f>IF(F75&lt;&gt;"",IF(OR(D75=$BG$12,D75=$BG$13),IF(E75&lt;&gt;$BG$17,$BF$12,$BF$13),IF(E75&lt;&gt;$BG$17,$BF$12,$BF$13))," ")</f>
        <v xml:space="preserve"> </v>
      </c>
      <c r="AC75" s="1"/>
      <c r="BD75" s="652"/>
      <c r="BI75" s="759"/>
      <c r="BJ75" s="897">
        <f t="shared" si="25"/>
        <v>67</v>
      </c>
      <c r="BK75" s="764"/>
      <c r="BL75" s="773"/>
      <c r="BM75" s="455">
        <f>Table!P17</f>
        <v>0.6</v>
      </c>
      <c r="BN75" s="455">
        <f>BM76</f>
        <v>0.8</v>
      </c>
      <c r="BO75" s="455">
        <f>Table!Q17</f>
        <v>120</v>
      </c>
      <c r="BP75" s="925">
        <f>Table!R17</f>
        <v>130</v>
      </c>
      <c r="BR75" s="764"/>
      <c r="BS75" s="455"/>
      <c r="BT75" s="455"/>
      <c r="BU75" s="925" t="s">
        <v>242</v>
      </c>
      <c r="BV75" s="895"/>
      <c r="BW75" s="912"/>
      <c r="BX75" s="925" t="str">
        <f>Table!T17</f>
        <v>Double</v>
      </c>
      <c r="CH75" s="764">
        <f>IF(BN75=999,0,(BO76-BO75)/(BN75-BM75))</f>
        <v>99.999999999999972</v>
      </c>
      <c r="CI75" s="925">
        <f>IF(BN75=999,0,(BP76-BP75)/(BN75-BM75))</f>
        <v>49.999999999999986</v>
      </c>
      <c r="CJ75" s="759"/>
      <c r="CK75" s="188"/>
      <c r="CL75" s="979">
        <f>VLOOKUP(I75,Prodlink,2,0)</f>
        <v>0</v>
      </c>
      <c r="CN75" s="497">
        <f ca="1">VLOOKUP(CO75,Prodlink,2,0)</f>
        <v>0</v>
      </c>
      <c r="CO75" s="497">
        <f ca="1">OFFSET($CH$9,CL75-1,-15,1,1)</f>
        <v>0</v>
      </c>
      <c r="CQ75" s="51">
        <v>0</v>
      </c>
      <c r="CR75" s="51">
        <f>IF(K75=$BH$12,$BH$23,IF(K75=$BH$13,$BH$24,10000))</f>
        <v>10000</v>
      </c>
      <c r="CS75" s="51">
        <f ca="1">IF(F75&lt;OFFSET($BM$9,CL75-1,0,1,1),0,IF(F75&lt;OFFSET($BN$9,CL75-1,0,1,1),((F75-OFFSET($BM$9,CL75-1,0,1,1))*OFFSET($CH$9,CL75-1,0,1,1))+OFFSET($BO$9,CL75-1,CQ75,1,1),IF(F75&lt;OFFSET($BN$9,CL75+0,0,1,1),((F75-OFFSET($BM$9,CL75+0,0,1,1))*OFFSET($CH$9,CL75+0,0,1,1))+OFFSET($BO$9,CL75+0,CQ75,1,1),IF(F75&lt;OFFSET($BN$9,CL75+1,0,1,1),((F75-OFFSET($BM$9,CL75+1,0,1,1))*OFFSET($CH$9,CL75+1,0,1,1))+OFFSET($BO$9,CL75+1,CQ75,1,1),IF(F75&lt;OFFSET($BN$9,CL75+2,0,1,1),((F75-OFFSET($BM$9,CL75+2,0,1,1))*OFFSET($CH$9,CL75+2,0,1,1))+OFFSET($BO$9,CL75+2,CQ75,1,1),IF(F75&lt;OFFSET($BN$9,CL75+3,0,1,1),((F75-OFFSET($BM$9,CL75+3,0,1,1))*OFFSET($CH$9,CL75+3,0,1,1))+OFFSET($BO$9,CL75+3,CQ75,1,1),0))))))</f>
        <v>0</v>
      </c>
      <c r="CT75" s="51">
        <f ca="1">IF($F75&lt;OFFSET($BM$9,$CL75-1,0,1,1),0,IF($F75&lt;OFFSET($BN$9,$CL75-1,0,1,1),IF(AND($H75&gt;2.4,Z75&lt;&gt;"e",Z75&lt;&gt;"f"),CX75*2.4/$H75,CX75),IF($F75&lt;OFFSET($BN$9,$CL75+0,0,1,1),IF(AND($H75&gt;2.4,Z75&lt;&gt;"e",Z75&lt;&gt;"f"),CX75*2.4/$H75,CX75),IF($F75&lt;OFFSET($BN$9,$CL75+1,0,1,1),IF(AND($H75&gt;2.4,Z75&lt;&gt;"e",Z75&lt;&gt;"f"),CX75*2.4/$H75,CX75),IF($F75&lt;OFFSET($BN$9,CL75+2,0,1,1),IF(AND($H75&gt;2.4,Z75&lt;&gt;"e",Z75&lt;&gt;"f"),CX75*2.4/$H75,CX75),IF($F75&lt;OFFSET($BN$9,CL75+3,0,1,1),IF(AND($H75&gt;2.4,Z75&lt;&gt;"e",Z75&lt;&gt;"f"),CX75*2.4/$H75,CX75),0)))))*COS(RADIANS($G75)))</f>
        <v>0</v>
      </c>
      <c r="CU75" s="51">
        <f ca="1">IF(F75&lt;OFFSET($BM$9,CL75-1,0,1,1),0,IF(F75&lt;OFFSET($BN$9,CL75-1,0,1,1),((F75-OFFSET($BM$9,CL75-1,0,1,1))*OFFSET($CI$9,CL75-1,0,1,1))+OFFSET($BP$9,CL75-1,CQ75,1,1),IF(F75&lt;OFFSET($BN$9,CL75+0,0,1,1),((F75-OFFSET($BM$9,CL75+0,0,1,1))*OFFSET($CI$9,CL75+0,0,1,1))+OFFSET($BP$9,CL75+0,CQ75,1,1),IF(F75&lt;OFFSET($BN$9,CL75+1,0,1,1),((F75-OFFSET($BM$9,CL75+1,0,1,1))*OFFSET($CI$9,CL75+1,0,1,1))+OFFSET($BP$9,CL75+1,CQ75,1,1),IF(F75&lt;OFFSET($BN$9,CL75+2,0,1,1),((F75-OFFSET($BM$9,CL75+2,0,1,1))*OFFSET($CI$9,CL75+2,0,1,1))+OFFSET($BP$9,CL75+2,CQ75,1,1),IF(F75&lt;OFFSET($BN$9,CL75+3,0,1,1),((F75-OFFSET($BM$9,CL75+3,0,1,1))*OFFSET($CI$9,CL75+3,0,1,1))+OFFSET($BP$9,CL75+3,CQ75,1,1),0))))))</f>
        <v>0</v>
      </c>
      <c r="CV75" s="51">
        <f ca="1">IF($F75&lt;OFFSET($BM$9,$CL75-1,0,1,1),0,IF($F75&lt;OFFSET($BN$9,$CL75-1,0,1,1),IF(AND($H75&gt;2.4,Z75&lt;&gt;"e",Z75&lt;&gt;"f"),CZ75*2.4/$H75,CZ75),IF($F75&lt;OFFSET($BN$9,$CL75+0,0,1,1),IF(AND($H75&gt;2.4,Z75&lt;&gt;"e",Z75&lt;&gt;"f"),CZ75*2.4/$H75,CZ75),IF($F75&lt;OFFSET($BN$9,$CL75+1,0,1,1),IF(AND($H75&gt;2.4,Z75&lt;&gt;"e",Z75&lt;&gt;"f"),CZ75*2.4/$H75,CZ75),IF($F75&lt;OFFSET($BN$9,$CL75+2,0,1,1),IF(AND($H75&gt;2.4,Z75&lt;&gt;"e",Z75&lt;&gt;"f"),CZ75*2.4/$H75,CZ75),IF($F75&lt;OFFSET($BN$9,$CL75+3,0,1,1),IF(AND($H75&gt;2.4,Z75&lt;&gt;"e",Z75&lt;&gt;"f"),CZ75*2.4/$H75,CZ75),0)))))*COS(RADIANS($G75)))</f>
        <v>0</v>
      </c>
      <c r="CW75" s="51">
        <f ca="1">IF(CT75&gt;CR75,CR75,CT75)</f>
        <v>0</v>
      </c>
      <c r="CX75" s="51">
        <f ca="1">IF(CS75&gt;$CR75,$CR75,CS75)</f>
        <v>0</v>
      </c>
      <c r="CY75" s="51">
        <f ca="1">CW75*F75</f>
        <v>0</v>
      </c>
      <c r="CZ75" s="51">
        <f ca="1">IF($CU75&gt;$CR75,$CR75,$CU75)</f>
        <v>0</v>
      </c>
      <c r="DA75" s="51">
        <f ca="1">IF(CV75&gt;CR75,CR75,CV75)</f>
        <v>0</v>
      </c>
      <c r="DB75" s="984">
        <f ca="1">DA75*F75</f>
        <v>0</v>
      </c>
      <c r="DC75" s="993">
        <v>1</v>
      </c>
      <c r="DD75" s="758" t="str">
        <f>IF(OR(D75=BG$12,D75=BG$13),"External",IF(D75=BG$14,"Internal"," "))</f>
        <v xml:space="preserve"> </v>
      </c>
      <c r="DE75" s="51" t="str">
        <f t="shared" ca="1" si="33"/>
        <v/>
      </c>
      <c r="DF75" s="52" t="str">
        <f t="shared" ca="1" si="34"/>
        <v xml:space="preserve"> </v>
      </c>
      <c r="DG75" s="51">
        <f ca="1">IF(F75&lt;OFFSET($BM$9,CN75-1,0,1,1),0,IF(F75&lt;OFFSET($BN$9,CN75-1,0,1,1),((F75-OFFSET($BM$9,CN75-1,0,1,1))*OFFSET($CH$9,CN75-1,0,1,1))+OFFSET($BO$9,CN75-1,CQ75,1,1),IF(F75&lt;OFFSET($BN$9,CN75+0,0,1,1),((F75-OFFSET($BM$9,CN75+0,0,1,1))*OFFSET($CH$9,CN75+0,0,1,1))+OFFSET($BO$9,CN75+0,CQ75,1,1),IF(F75&lt;OFFSET($BN$9,CN75+1,0,1,1),((F75-OFFSET($BM$9,CN75+1,0,1,1))*OFFSET($CH$9,CN75+1,0,1,1))+OFFSET($BO$9,CN75+1,CQ75,1,1),IF(F75&lt;OFFSET($BN$9,CN75+2,0,1,1),((F75-OFFSET($BM$9,CN75+2,0,1,1))*OFFSET($CH$9,CN75+2,0,1,1))+OFFSET($BO$9,CN75+2,CQ75,1,1),IF(F75&lt;OFFSET($BN$9,CN75+3,0,1,1),((F75-OFFSET($BM$9,CN75+3,0,1,1))*OFFSET($CH$9,CN75+3,0,1,1))+OFFSET($BO$9,CN75+3,CQ75,1,1),0))))))</f>
        <v>0</v>
      </c>
      <c r="DH75" s="51">
        <f ca="1">IF($F75&lt;OFFSET($BM$9,$CN75-1,0,1,1),0,IF($F75&lt;OFFSET($BN$9,$CN75-1,0,1,1),IF(AND($H75&gt;2.4,Z75&lt;&gt;"e",Z75&lt;&gt;"f"),DL75*2.4/$H75,DL75),IF($F75&lt;OFFSET($BN$9,$CN75+0,0,1,1),IF(AND($H75&gt;2.4,Z75&lt;&gt;"e",Z75&lt;&gt;"f"),DL75*2.4/$H75,DL75),IF($F75&lt;OFFSET($BN$9,$CN75+1,0,1,1),IF(AND($H75&gt;2.4,Z75&lt;&gt;"e",Z75&lt;&gt;"f"),DL75*2.4/$H75,DL75),IF($F75&lt;OFFSET($BN$9,$CN75+2,0,1,1),IF(AND($H75&gt;2.4,Z75&lt;&gt;"e",Z75&lt;&gt;"f"),DL75*2.4/$H75,DL75),IF($F75&lt;OFFSET($BN$9,$CN75+3,0,1,1),IF(AND($H75&gt;2.4,Z75&lt;&gt;"e",Z75&lt;&gt;"f"),DL75*2.4/$H75,DL75),0)))))*COS(RADIANS($G75)))</f>
        <v>0</v>
      </c>
      <c r="DI75" s="51">
        <f ca="1">IF(F75&lt;OFFSET($BM$9,CN75-1,0,1,1),0,IF(F75&lt;OFFSET($BN$9,CN75-1,0,1,1),((F75-OFFSET($BM$9,CN75-1,0,1,1))*OFFSET($CI$9,CN75-1,0,1,1))+OFFSET($BP$9,CN75-1,CQ75,1,1),IF(F75&lt;OFFSET($BN$9,CN75+0,0,1,1),((F75-OFFSET($BM$9,CN75+0,0,1,1))*OFFSET($CI$9,CN75+0,0,1,1))+OFFSET($BP$9,CN75+0,CQ75,1,1),IF(F75&lt;OFFSET($BN$9,CN75+1,0,1,1),((F75-OFFSET($BM$9,CN75+1,0,1,1))*OFFSET($CI$9,CN75+1,0,1,1))+OFFSET($BP$9,CN75+1,CQ75,1,1),IF(F75&lt;OFFSET($BN$9,CN75+2,0,1,1),((F75-OFFSET($BM$9,CN75+2,0,1,1))*OFFSET($CI$9,CN75+2,0,1,1))+OFFSET($BP$9,CN75+2,CQ75,1,1),IF(F75&lt;OFFSET($BN$9,CN75+3,0,1,1),((F75-OFFSET($BM$9,CN75+3,0,1,1))*OFFSET($CI$9,CN75+3,0,1,1))+OFFSET($BP$9,CN75+3,CQ75,1,1),0))))))</f>
        <v>0</v>
      </c>
      <c r="DJ75" s="51">
        <f ca="1">IF($F75&lt;OFFSET($BM$9,$CN75-1,0,1,1),0,IF($F75&lt;OFFSET($BN$9,$CN75-1,0,1,1),IF(AND($H75&gt;2.4,Z75&lt;&gt;"e",Z75&lt;&gt;"f"),DN75*2.4/$H75,DN75),IF($F75&lt;OFFSET($BN$9,$CN75+0,0,1,1),IF(AND($H75&gt;2.4,Z75&lt;&gt;"e",Z75&lt;&gt;"f"),DN75*2.4/$H75,DN75),IF($F75&lt;OFFSET($BN$9,$CN75+1,0,1,1),IF(AND($H75&gt;2.4,Z75&lt;&gt;"e",Z75&lt;&gt;"f"),DN75*2.4/$H75,DN75),IF($F75&lt;OFFSET($BN$9,$CN75+2,0,1,1),IF(AND($H75&gt;2.4,Z75&lt;&gt;"e",Z75&lt;&gt;"f"),DN75*2.4/$H75,DN75),IF($F75&lt;OFFSET($BN$9,$CN75+3,0,1,1),IF(AND($H75&gt;2.4,Z75&lt;&gt;"e",Z75&lt;&gt;"f"),DN75*2.4/$H75,DN75),0)))))*COS(RADIANS($G75)))</f>
        <v>0</v>
      </c>
      <c r="DK75" s="51"/>
      <c r="DL75" s="51">
        <f ca="1">IF(DG75&gt;$CR75,$CR75,DG75)</f>
        <v>0</v>
      </c>
      <c r="DM75" s="51"/>
      <c r="DN75" s="51">
        <f ca="1">IF(DI75&gt;$CR75,$CR75,DI75)</f>
        <v>0</v>
      </c>
      <c r="DO75" s="435">
        <f ca="1">IF(DH75&gt;$CR75,$CR75,DH75)</f>
        <v>0</v>
      </c>
      <c r="DP75" s="435">
        <f ca="1">DO75*F75</f>
        <v>0</v>
      </c>
      <c r="DQ75" s="436">
        <f ca="1">IF(DJ75&gt;$CR75,$CR75,DJ75)</f>
        <v>0</v>
      </c>
      <c r="DR75" s="437">
        <f ca="1">DQ75*F75</f>
        <v>0</v>
      </c>
      <c r="DS75" s="426">
        <f ca="1">OFFSET($CH$9,CL75-1,-15,1,1)</f>
        <v>0</v>
      </c>
      <c r="DT75" s="451">
        <f ca="1">VLOOKUP(DS75,Prodlink,2,0)</f>
        <v>0</v>
      </c>
      <c r="DU75" s="188">
        <f ca="1">IF(F75&lt;OFFSET($BM$9,DT75-1,0,1,1),0,IF(F75&lt;OFFSET($BN$9,DT75-1,0,1,1),((F75-OFFSET($BM$9,DT75-1,0,1,1))*OFFSET($CH$9,DT75-1,0,1,1))+OFFSET($BO$9,DT75-1,CQ75,1,1),IF(F75&lt;OFFSET($BN$9,DT75+0,0,1,1),((F75-OFFSET($BM$9,DT75+0,0,1,1))*OFFSET($CH$9,DT75+0,0,1,1))+OFFSET($BO$9,DT75+0,CQ75,1,1),IF(F75&lt;OFFSET($BN$9,DT75+1,0,1,1),((F75-OFFSET($BM$9,DT75+1,0,1,1))*OFFSET($CH$9,DT75+1,0,1,1))+OFFSET($BO$9,DT75+1,CQ75,1,1),IF(F75&lt;OFFSET($BN$9,DT75+2,0,1,1),((F75-OFFSET($BM$9,DT75+2,0,1,1))*OFFSET($CH$9,DT75+2,0,1,1))+OFFSET($BO$9,DT75+2,CQ75,1,1),IF(F75&lt;OFFSET($BN$9,DT75+3,0,1,1),((F75-OFFSET($BM$9,DT75+3,0,1,1))*OFFSET($CH$9,DT75+3,0,1,1))+OFFSET($BO$9,DT75+3,CQ75,1,1),0))))))</f>
        <v>0</v>
      </c>
      <c r="DV75" s="51">
        <f ca="1">IF($F75&lt;OFFSET($BM$9,$DT75-1,0,1,1),0,IF($F75&lt;OFFSET($BN$9,$DT75-1,0,1,1),IF(AND($H75&gt;2.4,Z75&lt;&gt;"e",Z75&lt;&gt;"f"),DZ75*2.4/$H75,DZ75),IF($F75&lt;OFFSET($BN$9,$DT75+0,0,1,1),IF(AND($H75&gt;2.4,Z75&lt;&gt;"e",Z75&lt;&gt;"f"),DZ75*2.4/$H75,DZ75),IF($F75&lt;OFFSET($BN$9,$DT75+1,0,1,1),IF(AND($H75&gt;2.4,Z75&lt;&gt;"e",Z75&lt;&gt;"f"),DZ75*2.4/$H75,DZ75),IF($F75&lt;OFFSET($BN$9,$DT75+2,0,1,1),IF(AND($H75&gt;2.4,Z75&lt;&gt;"e",Z75&lt;&gt;"f"),DZ75*2.4/$H75,DZ75),IF($F75&lt;OFFSET($BN$9,$DT75+3,0,1,1),IF(AND($H75&gt;2.4,Z75&lt;&gt;"e",Z75&lt;&gt;"f"),DZ75*2.4/$H75,DZ75),0)))))*COS(RADIANS($G75)))</f>
        <v>0</v>
      </c>
      <c r="DW75" s="188">
        <f ca="1">IF(F75&lt;OFFSET($BM$9,DT75-1,0,1,1),0,IF(F75&lt;OFFSET($BN$9,DT75-1,0,1,1),((F75-OFFSET($BM$9,DT75-1,0,1,1))*OFFSET($CI$9,DT75-1,0,1,1))+OFFSET($BP$9,DT75-1,CQ75,1,1),IF(F75&lt;OFFSET($BN$9,DT75+0,0,1,1),((F75-OFFSET($BM$9,DT75+0,0,1,1))*OFFSET($CI$9,DT75+0,0,1,1))+OFFSET($BP$9,DT75+0,CQ75,1,1),IF(F75&lt;OFFSET($BN$9,DT75+1,0,1,1),((F75-OFFSET($BM$9,DT75+1,0,1,1))*OFFSET($CI$9,DT75+1,0,1,1))+OFFSET($BP$9,DT75+1,CQ75,1,1),IF(F75&lt;OFFSET($BN$9,DT75+2,0,1,1),((F75-OFFSET($BM$9,DT75+2,0,1,1))*OFFSET($CI$9,DT75+2,0,1,1))+OFFSET($BP$9,DT75+2,CQ75,1,1),IF(F75&lt;OFFSET($BN$9,DT75+3,0,1,1),((F75-OFFSET($BM$9,DT75+3,0,1,1))*OFFSET($CI$9,DT75+3,0,1,1))+OFFSET($BP$9,DT75+3,CQ75,1,1),0))))))</f>
        <v>0</v>
      </c>
      <c r="DX75" s="51">
        <f ca="1">IF($F75&lt;OFFSET($BM$9,$DT75-1,0,1,1),0,IF($F75&lt;OFFSET($BN$9,$DT75-1,0,1,1),IF(AND($H75&gt;2.4,Z75&lt;&gt;"e",Z75&lt;&gt;"f"),EB75*2.4/$H75,EB75),IF($F75&lt;OFFSET($BN$9,$DT75+0,0,1,1),IF(AND($H75&gt;2.4,Z75&lt;&gt;"e",Z75&lt;&gt;"f"),EB75*2.4/$H75,EB75),IF($F75&lt;OFFSET($BN$9,$DT75+1,0,1,1),IF(AND($H75&gt;2.4,Z75&lt;&gt;"e",Z75&lt;&gt;"f"),EB75*2.4/$H75,EB75),IF($F75&lt;OFFSET($BN$9,$DT75+2,0,1,1),IF(AND($H75&gt;2.4,Z75&lt;&gt;"e",Z75&lt;&gt;"f"),EB75*2.4/$H75,EB75),IF($F75&lt;OFFSET($BN$9,$DT75+3,0,1,1),IF(AND($H75&gt;2.4,Z75&lt;&gt;"e",Z75&lt;&gt;"f"),EB75*2.4/$H75,EB75),0)))))*COS(RADIANS($G75)))</f>
        <v>0</v>
      </c>
      <c r="DY75" s="188"/>
      <c r="DZ75" s="188">
        <f ca="1">IF(DU75&gt;$CR75,$CR75,DU75)</f>
        <v>0</v>
      </c>
      <c r="EA75" s="188"/>
      <c r="EB75" s="188">
        <f ca="1">IF(DW75&gt;$CR75,$CR75,DW75)</f>
        <v>0</v>
      </c>
      <c r="EC75" s="435">
        <f ca="1">IF(DV75&gt;$CR75,$CR75,DV75)</f>
        <v>0</v>
      </c>
      <c r="ED75" s="435">
        <f ca="1">EC75*F75</f>
        <v>0</v>
      </c>
      <c r="EE75" s="436">
        <f ca="1">IF(DX75&gt;$CR75,$CR75,DX75)</f>
        <v>0</v>
      </c>
      <c r="EF75" s="437">
        <f ca="1">EE75*F75</f>
        <v>0</v>
      </c>
      <c r="EG75" s="613" t="str">
        <f>IF(D75=BG$12,BG$12,"")</f>
        <v/>
      </c>
      <c r="EH75" s="614" t="str">
        <f>IF(D75=BG$13,BG$13,"")</f>
        <v/>
      </c>
      <c r="EI75" s="611">
        <f>IF(EG75=BG$12,M75,0)</f>
        <v>0</v>
      </c>
      <c r="EJ75" s="451">
        <f>IF(EG75=BG$12,O75,0)</f>
        <v>0</v>
      </c>
      <c r="EK75" s="451">
        <f>IF(EH75=BG$13,M75,0)</f>
        <v>0</v>
      </c>
      <c r="EL75" s="612">
        <f>IF(EH75=BG$13,O75,0)</f>
        <v>0</v>
      </c>
      <c r="EM75" s="426" t="str">
        <f ca="1">IF(AND(Z75&lt;&gt;"t",Z75&lt;&gt;"f"),"",IF(AND(EN75=$BH$13,K75=$BH$12),"NotOpt",IF(K75&lt;&gt;EN75,"Error","")))</f>
        <v/>
      </c>
      <c r="EN75" s="491" t="str">
        <f>IF(AND($BH$28=1,$BG$28=1),$BH$13,$BH$12)</f>
        <v>120 BU's</v>
      </c>
      <c r="EO75" s="426" t="str">
        <f>K75</f>
        <v xml:space="preserve"> </v>
      </c>
      <c r="EP75" s="497">
        <v>1</v>
      </c>
      <c r="EQ75" s="430" t="str">
        <f ca="1">IF(EP75=1," ",OFFSET(BF$15,EP75-2,0,1,1))</f>
        <v xml:space="preserve"> </v>
      </c>
      <c r="ER75" s="439" t="str">
        <f ca="1">IF(H75=0," ",H75)</f>
        <v xml:space="preserve"> </v>
      </c>
      <c r="ES75" s="440" t="str">
        <f ca="1">IF(ER75&lt;&gt;" ",IF(ER75&lt;&gt;ER$7,"Changed",""),"")</f>
        <v/>
      </c>
      <c r="ET75" s="440">
        <f ca="1">IF(ER75&lt;&gt;" ",IF(ER75&lt;&gt;ER$7,1,0),0)</f>
        <v>0</v>
      </c>
      <c r="EU75" s="957" t="str">
        <f ca="1">IF(I75=" "," ",IF(F75&lt;OFFSET($BM$9,CL75-1,0,1,1),1,""))</f>
        <v xml:space="preserve"> </v>
      </c>
      <c r="EW75" s="427"/>
    </row>
    <row r="76" spans="1:153" ht="17.100000000000001" hidden="1" customHeight="1">
      <c r="A76" s="2685"/>
      <c r="B76" s="689" t="s">
        <v>246</v>
      </c>
      <c r="C76" s="684" t="str">
        <f>IF(OR(F76=0,I76="",I76=" ")," ",$V76)</f>
        <v xml:space="preserve"> </v>
      </c>
      <c r="D76" s="1033"/>
      <c r="E76" s="1360"/>
      <c r="F76" s="202"/>
      <c r="G76" s="1416"/>
      <c r="H76" s="199" t="str">
        <f ca="1">IF(OR(F76=0,Z76="E",Z76="f")," ",'Project Demand'!E$35)</f>
        <v xml:space="preserve"> </v>
      </c>
      <c r="I76" s="631" t="str">
        <f>IF($I$6&lt;&gt;$BG$8," ",AB76)</f>
        <v xml:space="preserve"> </v>
      </c>
      <c r="J76" s="44" t="str">
        <f ca="1">IF(OR(I76=" ",I76="")," ",OFFSET($BO$9,CL76-1,0-4,1,1))</f>
        <v xml:space="preserve"> </v>
      </c>
      <c r="K76" s="55" t="str">
        <f>IF(OR(I76=" ",I76="")," ",IF(OR(Z76="e",Z76="h"),"SD",BG$24))</f>
        <v xml:space="preserve"> </v>
      </c>
      <c r="L76" s="49">
        <f ca="1">CW76</f>
        <v>0</v>
      </c>
      <c r="M76" s="49">
        <f ca="1">CY76</f>
        <v>0</v>
      </c>
      <c r="N76" s="50">
        <f t="shared" ca="1" si="32"/>
        <v>0</v>
      </c>
      <c r="O76" s="126">
        <f t="shared" ca="1" si="32"/>
        <v>0</v>
      </c>
      <c r="P76" s="140"/>
      <c r="Q76" s="752" t="str">
        <f ca="1">IF(OR(I76=" ",I76="")," ",IF(F76&lt;OFFSET($BM$9,CL76-1,0,1,1),"check L(m)",IF(DE76&lt;&gt;"",DE76,IF(AND(DP76&gt;=CY76,DR76&gt;=DB76),IF(AND(ED76&gt;=DP76,EF76&gt;=DR76),CONCATENATE(DS76," provides same results"),CONCATENATE(CO76," provides same results")),IF((DP76&gt;=CY76),CONCATENATE(CO76," provides same result in WIND"),IF((DR76&gt;=DB76),CONCATENATE(CO76," provides same result in EQ",""),""))))))</f>
        <v xml:space="preserve"> </v>
      </c>
      <c r="R76" s="52"/>
      <c r="S76" s="1372"/>
      <c r="T76" s="1372"/>
      <c r="U76" s="1377"/>
      <c r="V76" s="52" t="str">
        <f ca="1">IF(AND(B$5=$BF$9,OR(I76=BH$16,I76=BH$17))," ",IF(ISNUMBER(B$74),(CONCATENATE(B$74,".",W76)),(CONCATENATE(B$74,W76))))</f>
        <v>L0</v>
      </c>
      <c r="W76" s="9">
        <f ca="1">W75+X76</f>
        <v>0</v>
      </c>
      <c r="X76" s="9">
        <f>IF(AND(B$5=$BF$9,OR($I76=$BH$16,$I76=$BH$17,$I76=" ",$I76="",$F76=0)),0,IF(OR($I76=" ",$I76="",$F76=0),0,1))</f>
        <v>0</v>
      </c>
      <c r="Y76" s="896"/>
      <c r="Z76" s="52" t="str">
        <f ca="1">IF(I76=" "," ",OFFSET($BM$9,$CL76-1,8,1,1))</f>
        <v xml:space="preserve"> </v>
      </c>
      <c r="AA76" s="51" t="str">
        <f>IF(G76&gt;=45,"WA","")</f>
        <v/>
      </c>
      <c r="AB76" s="1364" t="str">
        <f>IF(F76&lt;&gt;"",IF(OR(D76=$BG$12,D76=$BG$13),IF(E76&lt;&gt;$BG$17,$BF$12,$BF$13),IF(E76&lt;&gt;$BG$17,$BF$12,$BF$13))," ")</f>
        <v xml:space="preserve"> </v>
      </c>
      <c r="AC76" s="1"/>
      <c r="BD76" s="652"/>
      <c r="BI76" s="1240"/>
      <c r="BJ76" s="897">
        <f t="shared" si="25"/>
        <v>68</v>
      </c>
      <c r="BK76" s="764"/>
      <c r="BL76" s="773"/>
      <c r="BM76" s="455">
        <f>Table!P18</f>
        <v>0.8</v>
      </c>
      <c r="BN76" s="455">
        <f>BM77</f>
        <v>0.9</v>
      </c>
      <c r="BO76" s="455">
        <f>Table!Q18</f>
        <v>140</v>
      </c>
      <c r="BP76" s="925">
        <f>Table!R18</f>
        <v>140</v>
      </c>
      <c r="BR76" s="764"/>
      <c r="BS76" s="455"/>
      <c r="BT76" s="455"/>
      <c r="BU76" s="925" t="s">
        <v>242</v>
      </c>
      <c r="BV76" s="895"/>
      <c r="BW76" s="912"/>
      <c r="BX76" s="925" t="str">
        <f>Table!T17</f>
        <v>Double</v>
      </c>
      <c r="CH76" s="764">
        <f>IF(BN76=999,0,(BO77-BO76)/(BN76-BM76))</f>
        <v>150.00000000000003</v>
      </c>
      <c r="CI76" s="925">
        <f>IF(BN76=999,0,(BP77-BP76)/(BN76-BM76))</f>
        <v>150.00000000000003</v>
      </c>
      <c r="CJ76" s="759"/>
      <c r="CK76" s="188"/>
      <c r="CL76" s="979">
        <f>VLOOKUP(I76,Prodlink,2,0)</f>
        <v>0</v>
      </c>
      <c r="CN76" s="497">
        <f ca="1">VLOOKUP(CO76,Prodlink,2,0)</f>
        <v>0</v>
      </c>
      <c r="CO76" s="497">
        <f ca="1">OFFSET($CH$9,CL76-1,-15,1,1)</f>
        <v>0</v>
      </c>
      <c r="CQ76" s="51">
        <v>0</v>
      </c>
      <c r="CR76" s="51">
        <f>IF(K76=$BH$12,$BH$23,IF(K76=$BH$13,$BH$24,10000))</f>
        <v>10000</v>
      </c>
      <c r="CS76" s="51">
        <f ca="1">IF(F76&lt;OFFSET($BM$9,CL76-1,0,1,1),0,IF(F76&lt;OFFSET($BN$9,CL76-1,0,1,1),((F76-OFFSET($BM$9,CL76-1,0,1,1))*OFFSET($CH$9,CL76-1,0,1,1))+OFFSET($BO$9,CL76-1,CQ76,1,1),IF(F76&lt;OFFSET($BN$9,CL76+0,0,1,1),((F76-OFFSET($BM$9,CL76+0,0,1,1))*OFFSET($CH$9,CL76+0,0,1,1))+OFFSET($BO$9,CL76+0,CQ76,1,1),IF(F76&lt;OFFSET($BN$9,CL76+1,0,1,1),((F76-OFFSET($BM$9,CL76+1,0,1,1))*OFFSET($CH$9,CL76+1,0,1,1))+OFFSET($BO$9,CL76+1,CQ76,1,1),IF(F76&lt;OFFSET($BN$9,CL76+2,0,1,1),((F76-OFFSET($BM$9,CL76+2,0,1,1))*OFFSET($CH$9,CL76+2,0,1,1))+OFFSET($BO$9,CL76+2,CQ76,1,1),IF(F76&lt;OFFSET($BN$9,CL76+3,0,1,1),((F76-OFFSET($BM$9,CL76+3,0,1,1))*OFFSET($CH$9,CL76+3,0,1,1))+OFFSET($BO$9,CL76+3,CQ76,1,1),0))))))</f>
        <v>0</v>
      </c>
      <c r="CT76" s="51">
        <f ca="1">IF($F76&lt;OFFSET($BM$9,$CL76-1,0,1,1),0,IF($F76&lt;OFFSET($BN$9,$CL76-1,0,1,1),IF(AND($H76&gt;2.4,Z76&lt;&gt;"e",Z76&lt;&gt;"f"),CX76*2.4/$H76,CX76),IF($F76&lt;OFFSET($BN$9,$CL76+0,0,1,1),IF(AND($H76&gt;2.4,Z76&lt;&gt;"e",Z76&lt;&gt;"f"),CX76*2.4/$H76,CX76),IF($F76&lt;OFFSET($BN$9,$CL76+1,0,1,1),IF(AND($H76&gt;2.4,Z76&lt;&gt;"e",Z76&lt;&gt;"f"),CX76*2.4/$H76,CX76),IF($F76&lt;OFFSET($BN$9,CL76+2,0,1,1),IF(AND($H76&gt;2.4,Z76&lt;&gt;"e",Z76&lt;&gt;"f"),CX76*2.4/$H76,CX76),IF($F76&lt;OFFSET($BN$9,CL76+3,0,1,1),IF(AND($H76&gt;2.4,Z76&lt;&gt;"e",Z76&lt;&gt;"f"),CX76*2.4/$H76,CX76),0)))))*COS(RADIANS($G76)))</f>
        <v>0</v>
      </c>
      <c r="CU76" s="51">
        <f ca="1">IF(F76&lt;OFFSET($BM$9,CL76-1,0,1,1),0,IF(F76&lt;OFFSET($BN$9,CL76-1,0,1,1),((F76-OFFSET($BM$9,CL76-1,0,1,1))*OFFSET($CI$9,CL76-1,0,1,1))+OFFSET($BP$9,CL76-1,CQ76,1,1),IF(F76&lt;OFFSET($BN$9,CL76+0,0,1,1),((F76-OFFSET($BM$9,CL76+0,0,1,1))*OFFSET($CI$9,CL76+0,0,1,1))+OFFSET($BP$9,CL76+0,CQ76,1,1),IF(F76&lt;OFFSET($BN$9,CL76+1,0,1,1),((F76-OFFSET($BM$9,CL76+1,0,1,1))*OFFSET($CI$9,CL76+1,0,1,1))+OFFSET($BP$9,CL76+1,CQ76,1,1),IF(F76&lt;OFFSET($BN$9,CL76+2,0,1,1),((F76-OFFSET($BM$9,CL76+2,0,1,1))*OFFSET($CI$9,CL76+2,0,1,1))+OFFSET($BP$9,CL76+2,CQ76,1,1),IF(F76&lt;OFFSET($BN$9,CL76+3,0,1,1),((F76-OFFSET($BM$9,CL76+3,0,1,1))*OFFSET($CI$9,CL76+3,0,1,1))+OFFSET($BP$9,CL76+3,CQ76,1,1),0))))))</f>
        <v>0</v>
      </c>
      <c r="CV76" s="51">
        <f ca="1">IF($F76&lt;OFFSET($BM$9,$CL76-1,0,1,1),0,IF($F76&lt;OFFSET($BN$9,$CL76-1,0,1,1),IF(AND($H76&gt;2.4,Z76&lt;&gt;"e",Z76&lt;&gt;"f"),CZ76*2.4/$H76,CZ76),IF($F76&lt;OFFSET($BN$9,$CL76+0,0,1,1),IF(AND($H76&gt;2.4,Z76&lt;&gt;"e",Z76&lt;&gt;"f"),CZ76*2.4/$H76,CZ76),IF($F76&lt;OFFSET($BN$9,$CL76+1,0,1,1),IF(AND($H76&gt;2.4,Z76&lt;&gt;"e",Z76&lt;&gt;"f"),CZ76*2.4/$H76,CZ76),IF($F76&lt;OFFSET($BN$9,$CL76+2,0,1,1),IF(AND($H76&gt;2.4,Z76&lt;&gt;"e",Z76&lt;&gt;"f"),CZ76*2.4/$H76,CZ76),IF($F76&lt;OFFSET($BN$9,$CL76+3,0,1,1),IF(AND($H76&gt;2.4,Z76&lt;&gt;"e",Z76&lt;&gt;"f"),CZ76*2.4/$H76,CZ76),0)))))*COS(RADIANS($G76)))</f>
        <v>0</v>
      </c>
      <c r="CW76" s="51">
        <f ca="1">IF(CT76&gt;CR76,CR76,CT76)</f>
        <v>0</v>
      </c>
      <c r="CX76" s="51">
        <f ca="1">IF(CS76&gt;$CR76,$CR76,CS76)</f>
        <v>0</v>
      </c>
      <c r="CY76" s="51">
        <f ca="1">CW76*F76</f>
        <v>0</v>
      </c>
      <c r="CZ76" s="51">
        <f ca="1">IF($CU76&gt;$CR76,$CR76,$CU76)</f>
        <v>0</v>
      </c>
      <c r="DA76" s="51">
        <f ca="1">IF(CV76&gt;CR76,CR76,CV76)</f>
        <v>0</v>
      </c>
      <c r="DB76" s="984">
        <f ca="1">DA76*F76</f>
        <v>0</v>
      </c>
      <c r="DC76" s="993">
        <v>1</v>
      </c>
      <c r="DD76" s="758" t="str">
        <f>IF(OR(D76=BG$12,D76=BG$13),"External",IF(D76=BG$14,"Internal"," "))</f>
        <v xml:space="preserve"> </v>
      </c>
      <c r="DE76" s="51" t="str">
        <f t="shared" ca="1" si="33"/>
        <v/>
      </c>
      <c r="DF76" s="52" t="str">
        <f t="shared" ca="1" si="34"/>
        <v xml:space="preserve"> </v>
      </c>
      <c r="DG76" s="51">
        <f ca="1">IF(F76&lt;OFFSET($BM$9,CN76-1,0,1,1),0,IF(F76&lt;OFFSET($BN$9,CN76-1,0,1,1),((F76-OFFSET($BM$9,CN76-1,0,1,1))*OFFSET($CH$9,CN76-1,0,1,1))+OFFSET($BO$9,CN76-1,CQ76,1,1),IF(F76&lt;OFFSET($BN$9,CN76+0,0,1,1),((F76-OFFSET($BM$9,CN76+0,0,1,1))*OFFSET($CH$9,CN76+0,0,1,1))+OFFSET($BO$9,CN76+0,CQ76,1,1),IF(F76&lt;OFFSET($BN$9,CN76+1,0,1,1),((F76-OFFSET($BM$9,CN76+1,0,1,1))*OFFSET($CH$9,CN76+1,0,1,1))+OFFSET($BO$9,CN76+1,CQ76,1,1),IF(F76&lt;OFFSET($BN$9,CN76+2,0,1,1),((F76-OFFSET($BM$9,CN76+2,0,1,1))*OFFSET($CH$9,CN76+2,0,1,1))+OFFSET($BO$9,CN76+2,CQ76,1,1),IF(F76&lt;OFFSET($BN$9,CN76+3,0,1,1),((F76-OFFSET($BM$9,CN76+3,0,1,1))*OFFSET($CH$9,CN76+3,0,1,1))+OFFSET($BO$9,CN76+3,CQ76,1,1),0))))))</f>
        <v>0</v>
      </c>
      <c r="DH76" s="51">
        <f ca="1">IF($F76&lt;OFFSET($BM$9,$CN76-1,0,1,1),0,IF($F76&lt;OFFSET($BN$9,$CN76-1,0,1,1),IF(AND($H76&gt;2.4,Z76&lt;&gt;"e",Z76&lt;&gt;"f"),DL76*2.4/$H76,DL76),IF($F76&lt;OFFSET($BN$9,$CN76+0,0,1,1),IF(AND($H76&gt;2.4,Z76&lt;&gt;"e",Z76&lt;&gt;"f"),DL76*2.4/$H76,DL76),IF($F76&lt;OFFSET($BN$9,$CN76+1,0,1,1),IF(AND($H76&gt;2.4,Z76&lt;&gt;"e",Z76&lt;&gt;"f"),DL76*2.4/$H76,DL76),IF($F76&lt;OFFSET($BN$9,$CN76+2,0,1,1),IF(AND($H76&gt;2.4,Z76&lt;&gt;"e",Z76&lt;&gt;"f"),DL76*2.4/$H76,DL76),IF($F76&lt;OFFSET($BN$9,$CN76+3,0,1,1),IF(AND($H76&gt;2.4,Z76&lt;&gt;"e",Z76&lt;&gt;"f"),DL76*2.4/$H76,DL76),0)))))*COS(RADIANS($G76)))</f>
        <v>0</v>
      </c>
      <c r="DI76" s="51">
        <f ca="1">IF(F76&lt;OFFSET($BM$9,CN76-1,0,1,1),0,IF(F76&lt;OFFSET($BN$9,CN76-1,0,1,1),((F76-OFFSET($BM$9,CN76-1,0,1,1))*OFFSET($CI$9,CN76-1,0,1,1))+OFFSET($BP$9,CN76-1,CQ76,1,1),IF(F76&lt;OFFSET($BN$9,CN76+0,0,1,1),((F76-OFFSET($BM$9,CN76+0,0,1,1))*OFFSET($CI$9,CN76+0,0,1,1))+OFFSET($BP$9,CN76+0,CQ76,1,1),IF(F76&lt;OFFSET($BN$9,CN76+1,0,1,1),((F76-OFFSET($BM$9,CN76+1,0,1,1))*OFFSET($CI$9,CN76+1,0,1,1))+OFFSET($BP$9,CN76+1,CQ76,1,1),IF(F76&lt;OFFSET($BN$9,CN76+2,0,1,1),((F76-OFFSET($BM$9,CN76+2,0,1,1))*OFFSET($CI$9,CN76+2,0,1,1))+OFFSET($BP$9,CN76+2,CQ76,1,1),IF(F76&lt;OFFSET($BN$9,CN76+3,0,1,1),((F76-OFFSET($BM$9,CN76+3,0,1,1))*OFFSET($CI$9,CN76+3,0,1,1))+OFFSET($BP$9,CN76+3,CQ76,1,1),0))))))</f>
        <v>0</v>
      </c>
      <c r="DJ76" s="51">
        <f ca="1">IF($F76&lt;OFFSET($BM$9,$CN76-1,0,1,1),0,IF($F76&lt;OFFSET($BN$9,$CN76-1,0,1,1),IF(AND($H76&gt;2.4,Z76&lt;&gt;"e",Z76&lt;&gt;"f"),DN76*2.4/$H76,DN76),IF($F76&lt;OFFSET($BN$9,$CN76+0,0,1,1),IF(AND($H76&gt;2.4,Z76&lt;&gt;"e",Z76&lt;&gt;"f"),DN76*2.4/$H76,DN76),IF($F76&lt;OFFSET($BN$9,$CN76+1,0,1,1),IF(AND($H76&gt;2.4,Z76&lt;&gt;"e",Z76&lt;&gt;"f"),DN76*2.4/$H76,DN76),IF($F76&lt;OFFSET($BN$9,$CN76+2,0,1,1),IF(AND($H76&gt;2.4,Z76&lt;&gt;"e",Z76&lt;&gt;"f"),DN76*2.4/$H76,DN76),IF($F76&lt;OFFSET($BN$9,$CN76+3,0,1,1),IF(AND($H76&gt;2.4,Z76&lt;&gt;"e",Z76&lt;&gt;"f"),DN76*2.4/$H76,DN76),0)))))*COS(RADIANS($G76)))</f>
        <v>0</v>
      </c>
      <c r="DK76" s="51"/>
      <c r="DL76" s="51">
        <f ca="1">IF(DG76&gt;$CR76,$CR76,DG76)</f>
        <v>0</v>
      </c>
      <c r="DM76" s="51"/>
      <c r="DN76" s="51">
        <f ca="1">IF(DI76&gt;$CR76,$CR76,DI76)</f>
        <v>0</v>
      </c>
      <c r="DO76" s="435">
        <f ca="1">IF(DH76&gt;$CR76,$CR76,DH76)</f>
        <v>0</v>
      </c>
      <c r="DP76" s="435">
        <f ca="1">DO76*F76</f>
        <v>0</v>
      </c>
      <c r="DQ76" s="436">
        <f ca="1">IF(DJ76&gt;$CR76,$CR76,DJ76)</f>
        <v>0</v>
      </c>
      <c r="DR76" s="437">
        <f ca="1">DQ76*F76</f>
        <v>0</v>
      </c>
      <c r="DS76" s="426">
        <f ca="1">OFFSET($CH$9,CL76-1,-15,1,1)</f>
        <v>0</v>
      </c>
      <c r="DT76" s="451">
        <f ca="1">VLOOKUP(DS76,Prodlink,2,0)</f>
        <v>0</v>
      </c>
      <c r="DU76" s="188">
        <f ca="1">IF(F76&lt;OFFSET($BM$9,DT76-1,0,1,1),0,IF(F76&lt;OFFSET($BN$9,DT76-1,0,1,1),((F76-OFFSET($BM$9,DT76-1,0,1,1))*OFFSET($CH$9,DT76-1,0,1,1))+OFFSET($BO$9,DT76-1,CQ76,1,1),IF(F76&lt;OFFSET($BN$9,DT76+0,0,1,1),((F76-OFFSET($BM$9,DT76+0,0,1,1))*OFFSET($CH$9,DT76+0,0,1,1))+OFFSET($BO$9,DT76+0,CQ76,1,1),IF(F76&lt;OFFSET($BN$9,DT76+1,0,1,1),((F76-OFFSET($BM$9,DT76+1,0,1,1))*OFFSET($CH$9,DT76+1,0,1,1))+OFFSET($BO$9,DT76+1,CQ76,1,1),IF(F76&lt;OFFSET($BN$9,DT76+2,0,1,1),((F76-OFFSET($BM$9,DT76+2,0,1,1))*OFFSET($CH$9,DT76+2,0,1,1))+OFFSET($BO$9,DT76+2,CQ76,1,1),IF(F76&lt;OFFSET($BN$9,DT76+3,0,1,1),((F76-OFFSET($BM$9,DT76+3,0,1,1))*OFFSET($CH$9,DT76+3,0,1,1))+OFFSET($BO$9,DT76+3,CQ76,1,1),0))))))</f>
        <v>0</v>
      </c>
      <c r="DV76" s="51">
        <f ca="1">IF($F76&lt;OFFSET($BM$9,$DT76-1,0,1,1),0,IF($F76&lt;OFFSET($BN$9,$DT76-1,0,1,1),IF(AND($H76&gt;2.4,Z76&lt;&gt;"e",Z76&lt;&gt;"f"),DZ76*2.4/$H76,DZ76),IF($F76&lt;OFFSET($BN$9,$DT76+0,0,1,1),IF(AND($H76&gt;2.4,Z76&lt;&gt;"e",Z76&lt;&gt;"f"),DZ76*2.4/$H76,DZ76),IF($F76&lt;OFFSET($BN$9,$DT76+1,0,1,1),IF(AND($H76&gt;2.4,Z76&lt;&gt;"e",Z76&lt;&gt;"f"),DZ76*2.4/$H76,DZ76),IF($F76&lt;OFFSET($BN$9,$DT76+2,0,1,1),IF(AND($H76&gt;2.4,Z76&lt;&gt;"e",Z76&lt;&gt;"f"),DZ76*2.4/$H76,DZ76),IF($F76&lt;OFFSET($BN$9,$DT76+3,0,1,1),IF(AND($H76&gt;2.4,Z76&lt;&gt;"e",Z76&lt;&gt;"f"),DZ76*2.4/$H76,DZ76),0)))))*COS(RADIANS($G76)))</f>
        <v>0</v>
      </c>
      <c r="DW76" s="188">
        <f ca="1">IF(F76&lt;OFFSET($BM$9,DT76-1,0,1,1),0,IF(F76&lt;OFFSET($BN$9,DT76-1,0,1,1),((F76-OFFSET($BM$9,DT76-1,0,1,1))*OFFSET($CI$9,DT76-1,0,1,1))+OFFSET($BP$9,DT76-1,CQ76,1,1),IF(F76&lt;OFFSET($BN$9,DT76+0,0,1,1),((F76-OFFSET($BM$9,DT76+0,0,1,1))*OFFSET($CI$9,DT76+0,0,1,1))+OFFSET($BP$9,DT76+0,CQ76,1,1),IF(F76&lt;OFFSET($BN$9,DT76+1,0,1,1),((F76-OFFSET($BM$9,DT76+1,0,1,1))*OFFSET($CI$9,DT76+1,0,1,1))+OFFSET($BP$9,DT76+1,CQ76,1,1),IF(F76&lt;OFFSET($BN$9,DT76+2,0,1,1),((F76-OFFSET($BM$9,DT76+2,0,1,1))*OFFSET($CI$9,DT76+2,0,1,1))+OFFSET($BP$9,DT76+2,CQ76,1,1),IF(F76&lt;OFFSET($BN$9,DT76+3,0,1,1),((F76-OFFSET($BM$9,DT76+3,0,1,1))*OFFSET($CI$9,DT76+3,0,1,1))+OFFSET($BP$9,DT76+3,CQ76,1,1),0))))))</f>
        <v>0</v>
      </c>
      <c r="DX76" s="51">
        <f ca="1">IF($F76&lt;OFFSET($BM$9,$DT76-1,0,1,1),0,IF($F76&lt;OFFSET($BN$9,$DT76-1,0,1,1),IF(AND($H76&gt;2.4,Z76&lt;&gt;"e",Z76&lt;&gt;"f"),EB76*2.4/$H76,EB76),IF($F76&lt;OFFSET($BN$9,$DT76+0,0,1,1),IF(AND($H76&gt;2.4,Z76&lt;&gt;"e",Z76&lt;&gt;"f"),EB76*2.4/$H76,EB76),IF($F76&lt;OFFSET($BN$9,$DT76+1,0,1,1),IF(AND($H76&gt;2.4,Z76&lt;&gt;"e",Z76&lt;&gt;"f"),EB76*2.4/$H76,EB76),IF($F76&lt;OFFSET($BN$9,$DT76+2,0,1,1),IF(AND($H76&gt;2.4,Z76&lt;&gt;"e",Z76&lt;&gt;"f"),EB76*2.4/$H76,EB76),IF($F76&lt;OFFSET($BN$9,$DT76+3,0,1,1),IF(AND($H76&gt;2.4,Z76&lt;&gt;"e",Z76&lt;&gt;"f"),EB76*2.4/$H76,EB76),0)))))*COS(RADIANS($G76)))</f>
        <v>0</v>
      </c>
      <c r="DY76" s="188"/>
      <c r="DZ76" s="188">
        <f ca="1">IF(DU76&gt;$CR76,$CR76,DU76)</f>
        <v>0</v>
      </c>
      <c r="EA76" s="188"/>
      <c r="EB76" s="188">
        <f ca="1">IF(DW76&gt;$CR76,$CR76,DW76)</f>
        <v>0</v>
      </c>
      <c r="EC76" s="435">
        <f ca="1">IF(DV76&gt;$CR76,$CR76,DV76)</f>
        <v>0</v>
      </c>
      <c r="ED76" s="435">
        <f ca="1">EC76*F76</f>
        <v>0</v>
      </c>
      <c r="EE76" s="436">
        <f ca="1">IF(DX76&gt;$CR76,$CR76,DX76)</f>
        <v>0</v>
      </c>
      <c r="EF76" s="437">
        <f ca="1">EE76*F76</f>
        <v>0</v>
      </c>
      <c r="EG76" s="613" t="str">
        <f>IF(D76=BG$12,BG$12,"")</f>
        <v/>
      </c>
      <c r="EH76" s="614" t="str">
        <f>IF(D76=BG$13,BG$13,"")</f>
        <v/>
      </c>
      <c r="EI76" s="611">
        <f>IF(EG76=BG$12,M76,0)</f>
        <v>0</v>
      </c>
      <c r="EJ76" s="451">
        <f>IF(EG76=BG$12,O76,0)</f>
        <v>0</v>
      </c>
      <c r="EK76" s="451">
        <f>IF(EH76=BG$13,M76,0)</f>
        <v>0</v>
      </c>
      <c r="EL76" s="612">
        <f>IF(EH76=BG$13,O76,0)</f>
        <v>0</v>
      </c>
      <c r="EM76" s="426" t="str">
        <f ca="1">IF(AND(Z76&lt;&gt;"t",Z76&lt;&gt;"f"),"",IF(AND(EN76=$BH$13,K76=$BH$12),"NotOpt",IF(K76&lt;&gt;EN76,"Error","")))</f>
        <v/>
      </c>
      <c r="EN76" s="491" t="str">
        <f>IF(AND($BH$28=1,$BG$28=1),$BH$13,$BH$12)</f>
        <v>120 BU's</v>
      </c>
      <c r="EO76" s="426" t="str">
        <f>K76</f>
        <v xml:space="preserve"> </v>
      </c>
      <c r="EP76" s="497">
        <v>1</v>
      </c>
      <c r="EQ76" s="430" t="str">
        <f ca="1">IF(EP76=1," ",OFFSET(BF$15,EP76-2,0,1,1))</f>
        <v xml:space="preserve"> </v>
      </c>
      <c r="ER76" s="439" t="str">
        <f ca="1">IF(H76=0," ",H76)</f>
        <v xml:space="preserve"> </v>
      </c>
      <c r="ES76" s="440" t="str">
        <f ca="1">IF(ER76&lt;&gt;" ",IF(ER76&lt;&gt;ER$7,"Changed",""),"")</f>
        <v/>
      </c>
      <c r="ET76" s="440">
        <f ca="1">IF(ER76&lt;&gt;" ",IF(ER76&lt;&gt;ER$7,1,0),0)</f>
        <v>0</v>
      </c>
      <c r="EU76" s="957" t="str">
        <f ca="1">IF(I76=" "," ",IF(F76&lt;OFFSET($BM$9,CL76-1,0,1,1),1,""))</f>
        <v xml:space="preserve"> </v>
      </c>
      <c r="EW76" s="427"/>
    </row>
    <row r="77" spans="1:153" ht="17.100000000000001" hidden="1" customHeight="1">
      <c r="A77" s="2685"/>
      <c r="B77" s="689" t="s">
        <v>246</v>
      </c>
      <c r="C77" s="684" t="str">
        <f>IF(OR(F77=0,I77="",I77=" ")," ",$V77)</f>
        <v xml:space="preserve"> </v>
      </c>
      <c r="D77" s="1033"/>
      <c r="E77" s="1360"/>
      <c r="F77" s="202"/>
      <c r="G77" s="1416"/>
      <c r="H77" s="199" t="str">
        <f ca="1">IF(OR(F77=0,Z77="E",Z77="f")," ",'Project Demand'!E$35)</f>
        <v xml:space="preserve"> </v>
      </c>
      <c r="I77" s="631" t="str">
        <f>IF($I$6&lt;&gt;$BG$8," ",AB77)</f>
        <v xml:space="preserve"> </v>
      </c>
      <c r="J77" s="44" t="str">
        <f ca="1">IF(OR(I77=" ",I77="")," ",OFFSET($BO$9,CL77-1,0-4,1,1))</f>
        <v xml:space="preserve"> </v>
      </c>
      <c r="K77" s="55" t="str">
        <f>IF(OR(I77=" ",I77="")," ",IF(OR(Z77="e",Z77="h"),"SD",BG$24))</f>
        <v xml:space="preserve"> </v>
      </c>
      <c r="L77" s="49">
        <f ca="1">CW77</f>
        <v>0</v>
      </c>
      <c r="M77" s="49">
        <f ca="1">CY77</f>
        <v>0</v>
      </c>
      <c r="N77" s="50">
        <f t="shared" ca="1" si="32"/>
        <v>0</v>
      </c>
      <c r="O77" s="126">
        <f t="shared" ca="1" si="32"/>
        <v>0</v>
      </c>
      <c r="P77" s="140"/>
      <c r="Q77" s="752" t="str">
        <f ca="1">IF(OR(I77=" ",I77="")," ",IF(F77&lt;OFFSET($BM$9,CL77-1,0,1,1),"check L(m)",IF(DE77&lt;&gt;"",DE77,IF(AND(DP77&gt;=CY77,DR77&gt;=DB77),IF(AND(ED77&gt;=DP77,EF77&gt;=DR77),CONCATENATE(DS77," provides same results"),CONCATENATE(CO77," provides same results")),IF((DP77&gt;=CY77),CONCATENATE(CO77," provides same result in WIND"),IF((DR77&gt;=DB77),CONCATENATE(CO77," provides same result in EQ",""),""))))))</f>
        <v xml:space="preserve"> </v>
      </c>
      <c r="R77" s="52"/>
      <c r="S77" s="1372"/>
      <c r="T77" s="1372"/>
      <c r="U77" s="1377"/>
      <c r="V77" s="52" t="str">
        <f ca="1">IF(AND(B$5=$BF$9,OR(I77=BH$16,I77=BH$17))," ",IF(ISNUMBER(B$74),(CONCATENATE(B$74,".",W77)),(CONCATENATE(B$74,W77))))</f>
        <v>L0</v>
      </c>
      <c r="W77" s="9">
        <f ca="1">W76+X77</f>
        <v>0</v>
      </c>
      <c r="X77" s="9">
        <f>IF(AND(B$5=$BF$9,OR($I77=$BH$16,$I77=$BH$17,$I77=" ",$I77="",$F77=0)),0,IF(OR($I77=" ",$I77="",$F77=0),0,1))</f>
        <v>0</v>
      </c>
      <c r="Y77" s="896"/>
      <c r="Z77" s="52" t="str">
        <f ca="1">IF(I77=" "," ",OFFSET($BM$9,$CL77-1,8,1,1))</f>
        <v xml:space="preserve"> </v>
      </c>
      <c r="AA77" s="51" t="str">
        <f>IF(G77&gt;=45,"WA","")</f>
        <v/>
      </c>
      <c r="AB77" s="1364" t="str">
        <f>IF(F77&lt;&gt;"",IF(OR(D77=$BG$12,D77=$BG$13),IF(E77&lt;&gt;$BG$17,$BF$12,$BF$13),IF(E77&lt;&gt;$BG$17,$BF$12,$BF$13))," ")</f>
        <v xml:space="preserve"> </v>
      </c>
      <c r="AC77" s="1"/>
      <c r="BD77" s="652"/>
      <c r="BI77" s="759"/>
      <c r="BJ77" s="897">
        <f t="shared" si="25"/>
        <v>69</v>
      </c>
      <c r="BK77" s="764"/>
      <c r="BL77" s="773"/>
      <c r="BM77" s="455">
        <f>Table!P19</f>
        <v>0.9</v>
      </c>
      <c r="BN77" s="455">
        <f>BM78</f>
        <v>1.2</v>
      </c>
      <c r="BO77" s="455">
        <f>Table!Q19</f>
        <v>155</v>
      </c>
      <c r="BP77" s="925">
        <f>Table!R19</f>
        <v>155</v>
      </c>
      <c r="BR77" s="764"/>
      <c r="BS77" s="455"/>
      <c r="BT77" s="455"/>
      <c r="BU77" s="925" t="s">
        <v>242</v>
      </c>
      <c r="BV77" s="895"/>
      <c r="BW77" s="912"/>
      <c r="BX77" s="925" t="str">
        <f>Table!T17</f>
        <v>Double</v>
      </c>
      <c r="CH77" s="764">
        <f>IF(BN77=999,0,(BO78-BO77)/(BN77-BM77))</f>
        <v>0</v>
      </c>
      <c r="CI77" s="925">
        <f>IF(BN77=999,0,(BP78-BP77)/(BN77-BM77))</f>
        <v>0</v>
      </c>
      <c r="CJ77" s="759"/>
      <c r="CK77" s="188"/>
      <c r="CL77" s="979">
        <f>VLOOKUP(I77,Prodlink,2,0)</f>
        <v>0</v>
      </c>
      <c r="CN77" s="497">
        <f ca="1">VLOOKUP(CO77,Prodlink,2,0)</f>
        <v>0</v>
      </c>
      <c r="CO77" s="497">
        <f ca="1">OFFSET($CH$9,CL77-1,-15,1,1)</f>
        <v>0</v>
      </c>
      <c r="CQ77" s="51">
        <v>0</v>
      </c>
      <c r="CR77" s="51">
        <f>IF(K77=$BH$12,$BH$23,IF(K77=$BH$13,$BH$24,10000))</f>
        <v>10000</v>
      </c>
      <c r="CS77" s="51">
        <f ca="1">IF(F77&lt;OFFSET($BM$9,CL77-1,0,1,1),0,IF(F77&lt;OFFSET($BN$9,CL77-1,0,1,1),((F77-OFFSET($BM$9,CL77-1,0,1,1))*OFFSET($CH$9,CL77-1,0,1,1))+OFFSET($BO$9,CL77-1,CQ77,1,1),IF(F77&lt;OFFSET($BN$9,CL77+0,0,1,1),((F77-OFFSET($BM$9,CL77+0,0,1,1))*OFFSET($CH$9,CL77+0,0,1,1))+OFFSET($BO$9,CL77+0,CQ77,1,1),IF(F77&lt;OFFSET($BN$9,CL77+1,0,1,1),((F77-OFFSET($BM$9,CL77+1,0,1,1))*OFFSET($CH$9,CL77+1,0,1,1))+OFFSET($BO$9,CL77+1,CQ77,1,1),IF(F77&lt;OFFSET($BN$9,CL77+2,0,1,1),((F77-OFFSET($BM$9,CL77+2,0,1,1))*OFFSET($CH$9,CL77+2,0,1,1))+OFFSET($BO$9,CL77+2,CQ77,1,1),IF(F77&lt;OFFSET($BN$9,CL77+3,0,1,1),((F77-OFFSET($BM$9,CL77+3,0,1,1))*OFFSET($CH$9,CL77+3,0,1,1))+OFFSET($BO$9,CL77+3,CQ77,1,1),0))))))</f>
        <v>0</v>
      </c>
      <c r="CT77" s="51">
        <f ca="1">IF($F77&lt;OFFSET($BM$9,$CL77-1,0,1,1),0,IF($F77&lt;OFFSET($BN$9,$CL77-1,0,1,1),IF(AND($H77&gt;2.4,Z77&lt;&gt;"e",Z77&lt;&gt;"f"),CX77*2.4/$H77,CX77),IF($F77&lt;OFFSET($BN$9,$CL77+0,0,1,1),IF(AND($H77&gt;2.4,Z77&lt;&gt;"e",Z77&lt;&gt;"f"),CX77*2.4/$H77,CX77),IF($F77&lt;OFFSET($BN$9,$CL77+1,0,1,1),IF(AND($H77&gt;2.4,Z77&lt;&gt;"e",Z77&lt;&gt;"f"),CX77*2.4/$H77,CX77),IF($F77&lt;OFFSET($BN$9,CL77+2,0,1,1),IF(AND($H77&gt;2.4,Z77&lt;&gt;"e",Z77&lt;&gt;"f"),CX77*2.4/$H77,CX77),IF($F77&lt;OFFSET($BN$9,CL77+3,0,1,1),IF(AND($H77&gt;2.4,Z77&lt;&gt;"e",Z77&lt;&gt;"f"),CX77*2.4/$H77,CX77),0)))))*COS(RADIANS($G77)))</f>
        <v>0</v>
      </c>
      <c r="CU77" s="51">
        <f ca="1">IF(F77&lt;OFFSET($BM$9,CL77-1,0,1,1),0,IF(F77&lt;OFFSET($BN$9,CL77-1,0,1,1),((F77-OFFSET($BM$9,CL77-1,0,1,1))*OFFSET($CI$9,CL77-1,0,1,1))+OFFSET($BP$9,CL77-1,CQ77,1,1),IF(F77&lt;OFFSET($BN$9,CL77+0,0,1,1),((F77-OFFSET($BM$9,CL77+0,0,1,1))*OFFSET($CI$9,CL77+0,0,1,1))+OFFSET($BP$9,CL77+0,CQ77,1,1),IF(F77&lt;OFFSET($BN$9,CL77+1,0,1,1),((F77-OFFSET($BM$9,CL77+1,0,1,1))*OFFSET($CI$9,CL77+1,0,1,1))+OFFSET($BP$9,CL77+1,CQ77,1,1),IF(F77&lt;OFFSET($BN$9,CL77+2,0,1,1),((F77-OFFSET($BM$9,CL77+2,0,1,1))*OFFSET($CI$9,CL77+2,0,1,1))+OFFSET($BP$9,CL77+2,CQ77,1,1),IF(F77&lt;OFFSET($BN$9,CL77+3,0,1,1),((F77-OFFSET($BM$9,CL77+3,0,1,1))*OFFSET($CI$9,CL77+3,0,1,1))+OFFSET($BP$9,CL77+3,CQ77,1,1),0))))))</f>
        <v>0</v>
      </c>
      <c r="CV77" s="51">
        <f ca="1">IF($F77&lt;OFFSET($BM$9,$CL77-1,0,1,1),0,IF($F77&lt;OFFSET($BN$9,$CL77-1,0,1,1),IF(AND($H77&gt;2.4,Z77&lt;&gt;"e",Z77&lt;&gt;"f"),CZ77*2.4/$H77,CZ77),IF($F77&lt;OFFSET($BN$9,$CL77+0,0,1,1),IF(AND($H77&gt;2.4,Z77&lt;&gt;"e",Z77&lt;&gt;"f"),CZ77*2.4/$H77,CZ77),IF($F77&lt;OFFSET($BN$9,$CL77+1,0,1,1),IF(AND($H77&gt;2.4,Z77&lt;&gt;"e",Z77&lt;&gt;"f"),CZ77*2.4/$H77,CZ77),IF($F77&lt;OFFSET($BN$9,$CL77+2,0,1,1),IF(AND($H77&gt;2.4,Z77&lt;&gt;"e",Z77&lt;&gt;"f"),CZ77*2.4/$H77,CZ77),IF($F77&lt;OFFSET($BN$9,$CL77+3,0,1,1),IF(AND($H77&gt;2.4,Z77&lt;&gt;"e",Z77&lt;&gt;"f"),CZ77*2.4/$H77,CZ77),0)))))*COS(RADIANS($G77)))</f>
        <v>0</v>
      </c>
      <c r="CW77" s="51">
        <f ca="1">IF(CT77&gt;CR77,CR77,CT77)</f>
        <v>0</v>
      </c>
      <c r="CX77" s="51">
        <f ca="1">IF(CS77&gt;$CR77,$CR77,CS77)</f>
        <v>0</v>
      </c>
      <c r="CY77" s="51">
        <f ca="1">CW77*F77</f>
        <v>0</v>
      </c>
      <c r="CZ77" s="51">
        <f ca="1">IF($CU77&gt;$CR77,$CR77,$CU77)</f>
        <v>0</v>
      </c>
      <c r="DA77" s="51">
        <f ca="1">IF(CV77&gt;CR77,CR77,CV77)</f>
        <v>0</v>
      </c>
      <c r="DB77" s="984">
        <f ca="1">DA77*F77</f>
        <v>0</v>
      </c>
      <c r="DC77" s="993">
        <v>1</v>
      </c>
      <c r="DD77" s="758" t="str">
        <f>IF(OR(D77=BG$12,D77=BG$13),"External",IF(D77=BG$14,"Internal"," "))</f>
        <v xml:space="preserve"> </v>
      </c>
      <c r="DE77" s="51" t="str">
        <f t="shared" ca="1" si="33"/>
        <v/>
      </c>
      <c r="DF77" s="52" t="str">
        <f t="shared" ca="1" si="34"/>
        <v xml:space="preserve"> </v>
      </c>
      <c r="DG77" s="51">
        <f ca="1">IF(F77&lt;OFFSET($BM$9,CN77-1,0,1,1),0,IF(F77&lt;OFFSET($BN$9,CN77-1,0,1,1),((F77-OFFSET($BM$9,CN77-1,0,1,1))*OFFSET($CH$9,CN77-1,0,1,1))+OFFSET($BO$9,CN77-1,CQ77,1,1),IF(F77&lt;OFFSET($BN$9,CN77+0,0,1,1),((F77-OFFSET($BM$9,CN77+0,0,1,1))*OFFSET($CH$9,CN77+0,0,1,1))+OFFSET($BO$9,CN77+0,CQ77,1,1),IF(F77&lt;OFFSET($BN$9,CN77+1,0,1,1),((F77-OFFSET($BM$9,CN77+1,0,1,1))*OFFSET($CH$9,CN77+1,0,1,1))+OFFSET($BO$9,CN77+1,CQ77,1,1),IF(F77&lt;OFFSET($BN$9,CN77+2,0,1,1),((F77-OFFSET($BM$9,CN77+2,0,1,1))*OFFSET($CH$9,CN77+2,0,1,1))+OFFSET($BO$9,CN77+2,CQ77,1,1),IF(F77&lt;OFFSET($BN$9,CN77+3,0,1,1),((F77-OFFSET($BM$9,CN77+3,0,1,1))*OFFSET($CH$9,CN77+3,0,1,1))+OFFSET($BO$9,CN77+3,CQ77,1,1),0))))))</f>
        <v>0</v>
      </c>
      <c r="DH77" s="51">
        <f ca="1">IF($F77&lt;OFFSET($BM$9,$CN77-1,0,1,1),0,IF($F77&lt;OFFSET($BN$9,$CN77-1,0,1,1),IF(AND($H77&gt;2.4,Z77&lt;&gt;"e",Z77&lt;&gt;"f"),DL77*2.4/$H77,DL77),IF($F77&lt;OFFSET($BN$9,$CN77+0,0,1,1),IF(AND($H77&gt;2.4,Z77&lt;&gt;"e",Z77&lt;&gt;"f"),DL77*2.4/$H77,DL77),IF($F77&lt;OFFSET($BN$9,$CN77+1,0,1,1),IF(AND($H77&gt;2.4,Z77&lt;&gt;"e",Z77&lt;&gt;"f"),DL77*2.4/$H77,DL77),IF($F77&lt;OFFSET($BN$9,$CN77+2,0,1,1),IF(AND($H77&gt;2.4,Z77&lt;&gt;"e",Z77&lt;&gt;"f"),DL77*2.4/$H77,DL77),IF($F77&lt;OFFSET($BN$9,$CN77+3,0,1,1),IF(AND($H77&gt;2.4,Z77&lt;&gt;"e",Z77&lt;&gt;"f"),DL77*2.4/$H77,DL77),0)))))*COS(RADIANS($G77)))</f>
        <v>0</v>
      </c>
      <c r="DI77" s="51">
        <f ca="1">IF(F77&lt;OFFSET($BM$9,CN77-1,0,1,1),0,IF(F77&lt;OFFSET($BN$9,CN77-1,0,1,1),((F77-OFFSET($BM$9,CN77-1,0,1,1))*OFFSET($CI$9,CN77-1,0,1,1))+OFFSET($BP$9,CN77-1,CQ77,1,1),IF(F77&lt;OFFSET($BN$9,CN77+0,0,1,1),((F77-OFFSET($BM$9,CN77+0,0,1,1))*OFFSET($CI$9,CN77+0,0,1,1))+OFFSET($BP$9,CN77+0,CQ77,1,1),IF(F77&lt;OFFSET($BN$9,CN77+1,0,1,1),((F77-OFFSET($BM$9,CN77+1,0,1,1))*OFFSET($CI$9,CN77+1,0,1,1))+OFFSET($BP$9,CN77+1,CQ77,1,1),IF(F77&lt;OFFSET($BN$9,CN77+2,0,1,1),((F77-OFFSET($BM$9,CN77+2,0,1,1))*OFFSET($CI$9,CN77+2,0,1,1))+OFFSET($BP$9,CN77+2,CQ77,1,1),IF(F77&lt;OFFSET($BN$9,CN77+3,0,1,1),((F77-OFFSET($BM$9,CN77+3,0,1,1))*OFFSET($CI$9,CN77+3,0,1,1))+OFFSET($BP$9,CN77+3,CQ77,1,1),0))))))</f>
        <v>0</v>
      </c>
      <c r="DJ77" s="51">
        <f ca="1">IF($F77&lt;OFFSET($BM$9,$CN77-1,0,1,1),0,IF($F77&lt;OFFSET($BN$9,$CN77-1,0,1,1),IF(AND($H77&gt;2.4,Z77&lt;&gt;"e",Z77&lt;&gt;"f"),DN77*2.4/$H77,DN77),IF($F77&lt;OFFSET($BN$9,$CN77+0,0,1,1),IF(AND($H77&gt;2.4,Z77&lt;&gt;"e",Z77&lt;&gt;"f"),DN77*2.4/$H77,DN77),IF($F77&lt;OFFSET($BN$9,$CN77+1,0,1,1),IF(AND($H77&gt;2.4,Z77&lt;&gt;"e",Z77&lt;&gt;"f"),DN77*2.4/$H77,DN77),IF($F77&lt;OFFSET($BN$9,$CN77+2,0,1,1),IF(AND($H77&gt;2.4,Z77&lt;&gt;"e",Z77&lt;&gt;"f"),DN77*2.4/$H77,DN77),IF($F77&lt;OFFSET($BN$9,$CN77+3,0,1,1),IF(AND($H77&gt;2.4,Z77&lt;&gt;"e",Z77&lt;&gt;"f"),DN77*2.4/$H77,DN77),0)))))*COS(RADIANS($G77)))</f>
        <v>0</v>
      </c>
      <c r="DK77" s="51"/>
      <c r="DL77" s="51">
        <f ca="1">IF(DG77&gt;$CR77,$CR77,DG77)</f>
        <v>0</v>
      </c>
      <c r="DM77" s="51"/>
      <c r="DN77" s="51">
        <f ca="1">IF(DI77&gt;$CR77,$CR77,DI77)</f>
        <v>0</v>
      </c>
      <c r="DO77" s="435">
        <f ca="1">IF(DH77&gt;$CR77,$CR77,DH77)</f>
        <v>0</v>
      </c>
      <c r="DP77" s="435">
        <f ca="1">DO77*F77</f>
        <v>0</v>
      </c>
      <c r="DQ77" s="436">
        <f ca="1">IF(DJ77&gt;$CR77,$CR77,DJ77)</f>
        <v>0</v>
      </c>
      <c r="DR77" s="437">
        <f ca="1">DQ77*F77</f>
        <v>0</v>
      </c>
      <c r="DS77" s="426">
        <f ca="1">OFFSET($CH$9,CL77-1,-15,1,1)</f>
        <v>0</v>
      </c>
      <c r="DT77" s="451">
        <f ca="1">VLOOKUP(DS77,Prodlink,2,0)</f>
        <v>0</v>
      </c>
      <c r="DU77" s="188">
        <f ca="1">IF(F77&lt;OFFSET($BM$9,DT77-1,0,1,1),0,IF(F77&lt;OFFSET($BN$9,DT77-1,0,1,1),((F77-OFFSET($BM$9,DT77-1,0,1,1))*OFFSET($CH$9,DT77-1,0,1,1))+OFFSET($BO$9,DT77-1,CQ77,1,1),IF(F77&lt;OFFSET($BN$9,DT77+0,0,1,1),((F77-OFFSET($BM$9,DT77+0,0,1,1))*OFFSET($CH$9,DT77+0,0,1,1))+OFFSET($BO$9,DT77+0,CQ77,1,1),IF(F77&lt;OFFSET($BN$9,DT77+1,0,1,1),((F77-OFFSET($BM$9,DT77+1,0,1,1))*OFFSET($CH$9,DT77+1,0,1,1))+OFFSET($BO$9,DT77+1,CQ77,1,1),IF(F77&lt;OFFSET($BN$9,DT77+2,0,1,1),((F77-OFFSET($BM$9,DT77+2,0,1,1))*OFFSET($CH$9,DT77+2,0,1,1))+OFFSET($BO$9,DT77+2,CQ77,1,1),IF(F77&lt;OFFSET($BN$9,DT77+3,0,1,1),((F77-OFFSET($BM$9,DT77+3,0,1,1))*OFFSET($CH$9,DT77+3,0,1,1))+OFFSET($BO$9,DT77+3,CQ77,1,1),0))))))</f>
        <v>0</v>
      </c>
      <c r="DV77" s="51">
        <f ca="1">IF($F77&lt;OFFSET($BM$9,$DT77-1,0,1,1),0,IF($F77&lt;OFFSET($BN$9,$DT77-1,0,1,1),IF(AND($H77&gt;2.4,Z77&lt;&gt;"e",Z77&lt;&gt;"f"),DZ77*2.4/$H77,DZ77),IF($F77&lt;OFFSET($BN$9,$DT77+0,0,1,1),IF(AND($H77&gt;2.4,Z77&lt;&gt;"e",Z77&lt;&gt;"f"),DZ77*2.4/$H77,DZ77),IF($F77&lt;OFFSET($BN$9,$DT77+1,0,1,1),IF(AND($H77&gt;2.4,Z77&lt;&gt;"e",Z77&lt;&gt;"f"),DZ77*2.4/$H77,DZ77),IF($F77&lt;OFFSET($BN$9,$DT77+2,0,1,1),IF(AND($H77&gt;2.4,Z77&lt;&gt;"e",Z77&lt;&gt;"f"),DZ77*2.4/$H77,DZ77),IF($F77&lt;OFFSET($BN$9,$DT77+3,0,1,1),IF(AND($H77&gt;2.4,Z77&lt;&gt;"e",Z77&lt;&gt;"f"),DZ77*2.4/$H77,DZ77),0)))))*COS(RADIANS($G77)))</f>
        <v>0</v>
      </c>
      <c r="DW77" s="188">
        <f ca="1">IF(F77&lt;OFFSET($BM$9,DT77-1,0,1,1),0,IF(F77&lt;OFFSET($BN$9,DT77-1,0,1,1),((F77-OFFSET($BM$9,DT77-1,0,1,1))*OFFSET($CI$9,DT77-1,0,1,1))+OFFSET($BP$9,DT77-1,CQ77,1,1),IF(F77&lt;OFFSET($BN$9,DT77+0,0,1,1),((F77-OFFSET($BM$9,DT77+0,0,1,1))*OFFSET($CI$9,DT77+0,0,1,1))+OFFSET($BP$9,DT77+0,CQ77,1,1),IF(F77&lt;OFFSET($BN$9,DT77+1,0,1,1),((F77-OFFSET($BM$9,DT77+1,0,1,1))*OFFSET($CI$9,DT77+1,0,1,1))+OFFSET($BP$9,DT77+1,CQ77,1,1),IF(F77&lt;OFFSET($BN$9,DT77+2,0,1,1),((F77-OFFSET($BM$9,DT77+2,0,1,1))*OFFSET($CI$9,DT77+2,0,1,1))+OFFSET($BP$9,DT77+2,CQ77,1,1),IF(F77&lt;OFFSET($BN$9,DT77+3,0,1,1),((F77-OFFSET($BM$9,DT77+3,0,1,1))*OFFSET($CI$9,DT77+3,0,1,1))+OFFSET($BP$9,DT77+3,CQ77,1,1),0))))))</f>
        <v>0</v>
      </c>
      <c r="DX77" s="51">
        <f ca="1">IF($F77&lt;OFFSET($BM$9,$DT77-1,0,1,1),0,IF($F77&lt;OFFSET($BN$9,$DT77-1,0,1,1),IF(AND($H77&gt;2.4,Z77&lt;&gt;"e",Z77&lt;&gt;"f"),EB77*2.4/$H77,EB77),IF($F77&lt;OFFSET($BN$9,$DT77+0,0,1,1),IF(AND($H77&gt;2.4,Z77&lt;&gt;"e",Z77&lt;&gt;"f"),EB77*2.4/$H77,EB77),IF($F77&lt;OFFSET($BN$9,$DT77+1,0,1,1),IF(AND($H77&gt;2.4,Z77&lt;&gt;"e",Z77&lt;&gt;"f"),EB77*2.4/$H77,EB77),IF($F77&lt;OFFSET($BN$9,$DT77+2,0,1,1),IF(AND($H77&gt;2.4,Z77&lt;&gt;"e",Z77&lt;&gt;"f"),EB77*2.4/$H77,EB77),IF($F77&lt;OFFSET($BN$9,$DT77+3,0,1,1),IF(AND($H77&gt;2.4,Z77&lt;&gt;"e",Z77&lt;&gt;"f"),EB77*2.4/$H77,EB77),0)))))*COS(RADIANS($G77)))</f>
        <v>0</v>
      </c>
      <c r="DY77" s="188"/>
      <c r="DZ77" s="188">
        <f ca="1">IF(DU77&gt;$CR77,$CR77,DU77)</f>
        <v>0</v>
      </c>
      <c r="EA77" s="188"/>
      <c r="EB77" s="188">
        <f ca="1">IF(DW77&gt;$CR77,$CR77,DW77)</f>
        <v>0</v>
      </c>
      <c r="EC77" s="435">
        <f ca="1">IF(DV77&gt;$CR77,$CR77,DV77)</f>
        <v>0</v>
      </c>
      <c r="ED77" s="435">
        <f ca="1">EC77*F77</f>
        <v>0</v>
      </c>
      <c r="EE77" s="436">
        <f ca="1">IF(DX77&gt;$CR77,$CR77,DX77)</f>
        <v>0</v>
      </c>
      <c r="EF77" s="437">
        <f ca="1">EE77*F77</f>
        <v>0</v>
      </c>
      <c r="EG77" s="613" t="str">
        <f>IF(D77=BG$12,BG$12,"")</f>
        <v/>
      </c>
      <c r="EH77" s="614" t="str">
        <f>IF(D77=BG$13,BG$13,"")</f>
        <v/>
      </c>
      <c r="EI77" s="611">
        <f>IF(EG77=BG$12,M77,0)</f>
        <v>0</v>
      </c>
      <c r="EJ77" s="451">
        <f>IF(EG77=BG$12,O77,0)</f>
        <v>0</v>
      </c>
      <c r="EK77" s="451">
        <f>IF(EH77=BG$13,M77,0)</f>
        <v>0</v>
      </c>
      <c r="EL77" s="612">
        <f>IF(EH77=BG$13,O77,0)</f>
        <v>0</v>
      </c>
      <c r="EM77" s="426" t="str">
        <f ca="1">IF(AND(Z77&lt;&gt;"t",Z77&lt;&gt;"f"),"",IF(AND(EN77=$BH$13,K77=$BH$12),"NotOpt",IF(K77&lt;&gt;EN77,"Error","")))</f>
        <v/>
      </c>
      <c r="EN77" s="491" t="str">
        <f>IF(AND($BH$28=1,$BG$28=1),$BH$13,$BH$12)</f>
        <v>120 BU's</v>
      </c>
      <c r="EO77" s="426" t="str">
        <f>K77</f>
        <v xml:space="preserve"> </v>
      </c>
      <c r="EP77" s="497">
        <v>1</v>
      </c>
      <c r="EQ77" s="430" t="str">
        <f ca="1">IF(EP77=1," ",OFFSET(BF$15,EP77-2,0,1,1))</f>
        <v xml:space="preserve"> </v>
      </c>
      <c r="ER77" s="439" t="str">
        <f ca="1">IF(H77=0," ",H77)</f>
        <v xml:space="preserve"> </v>
      </c>
      <c r="ES77" s="440" t="str">
        <f ca="1">IF(ER77&lt;&gt;" ",IF(ER77&lt;&gt;ER$7,"Changed",""),"")</f>
        <v/>
      </c>
      <c r="ET77" s="440">
        <f ca="1">IF(ER77&lt;&gt;" ",IF(ER77&lt;&gt;ER$7,1,0),0)</f>
        <v>0</v>
      </c>
      <c r="EU77" s="957" t="str">
        <f ca="1">IF(I77=" "," ",IF(F77&lt;OFFSET($BM$9,CL77-1,0,1,1),1,""))</f>
        <v xml:space="preserve"> </v>
      </c>
      <c r="EW77" s="427"/>
    </row>
    <row r="78" spans="1:153" ht="17.100000000000001" hidden="1" customHeight="1" thickBot="1">
      <c r="A78" s="2685"/>
      <c r="B78" s="689" t="s">
        <v>246</v>
      </c>
      <c r="C78" s="684" t="str">
        <f>IF(OR(F78=0,I78="",I78=" ")," ",$V78)</f>
        <v xml:space="preserve"> </v>
      </c>
      <c r="D78" s="1033"/>
      <c r="E78" s="1360"/>
      <c r="F78" s="202"/>
      <c r="G78" s="1416"/>
      <c r="H78" s="199" t="str">
        <f ca="1">IF(OR(F78=0,Z78="E",Z78="f")," ",'Project Demand'!E$35)</f>
        <v xml:space="preserve"> </v>
      </c>
      <c r="I78" s="631" t="str">
        <f>IF($I$6&lt;&gt;$BG$8," ",AB78)</f>
        <v xml:space="preserve"> </v>
      </c>
      <c r="J78" s="44" t="str">
        <f ca="1">IF(OR(I78=" ",I78="")," ",OFFSET($BO$9,CL78-1,0-4,1,1))</f>
        <v xml:space="preserve"> </v>
      </c>
      <c r="K78" s="55" t="str">
        <f>IF(OR(I78=" ",I78="")," ",IF(OR(Z78="e",Z78="h"),"SD",BG$24))</f>
        <v xml:space="preserve"> </v>
      </c>
      <c r="L78" s="49">
        <f ca="1">CW78</f>
        <v>0</v>
      </c>
      <c r="M78" s="49">
        <f ca="1">CY78</f>
        <v>0</v>
      </c>
      <c r="N78" s="50">
        <f t="shared" ca="1" si="32"/>
        <v>0</v>
      </c>
      <c r="O78" s="126">
        <f t="shared" ca="1" si="32"/>
        <v>0</v>
      </c>
      <c r="P78" s="140"/>
      <c r="Q78" s="752" t="str">
        <f ca="1">IF(OR(I78=" ",I78="")," ",IF(F78&lt;OFFSET($BM$9,CL78-1,0,1,1),"check L(m)",IF(DE78&lt;&gt;"",DE78,IF(AND(DP78&gt;=CY78,DR78&gt;=DB78),IF(AND(ED78&gt;=DP78,EF78&gt;=DR78),CONCATENATE(DS78," provides same results"),CONCATENATE(CO78," provides same results")),IF((DP78&gt;=CY78),CONCATENATE(CO78," provides same result in WIND"),IF((DR78&gt;=DB78),CONCATENATE(CO78," provides same result in EQ",""),""))))))</f>
        <v xml:space="preserve"> </v>
      </c>
      <c r="R78" s="52"/>
      <c r="S78" s="1372"/>
      <c r="T78" s="1372"/>
      <c r="U78" s="1377"/>
      <c r="V78" s="52" t="str">
        <f ca="1">IF(AND(B$5=$BF$9,OR(I78=BH$16,I78=BH$17))," ",IF(ISNUMBER(B$74),(CONCATENATE(B$74,".",W78)),(CONCATENATE(B$74,W78))))</f>
        <v>L0</v>
      </c>
      <c r="W78" s="9">
        <f ca="1">W77+X78</f>
        <v>0</v>
      </c>
      <c r="X78" s="9">
        <f>IF(AND(B$5=$BF$9,OR($I78=$BH$16,$I78=$BH$17,$I78=" ",$I78="",$F78=0)),0,IF(OR($I78=" ",$I78="",$F78=0),0,1))</f>
        <v>0</v>
      </c>
      <c r="Y78" s="896"/>
      <c r="Z78" s="52" t="str">
        <f ca="1">IF(I78=" "," ",OFFSET($BM$9,$CL78-1,8,1,1))</f>
        <v xml:space="preserve"> </v>
      </c>
      <c r="AA78" s="51" t="str">
        <f>IF(G78&gt;=45,"WA","")</f>
        <v/>
      </c>
      <c r="AB78" s="1364" t="str">
        <f>IF(F78&lt;&gt;"",IF(OR(D78=$BG$12,D78=$BG$13),IF(E78&lt;&gt;$BG$17,$BF$12,$BF$13),IF(E78&lt;&gt;$BG$17,$BF$12,$BF$13))," ")</f>
        <v xml:space="preserve"> </v>
      </c>
      <c r="AC78" s="1"/>
      <c r="BD78" s="652"/>
      <c r="BI78" s="759"/>
      <c r="BJ78" s="897">
        <f t="shared" si="25"/>
        <v>70</v>
      </c>
      <c r="BK78" s="908"/>
      <c r="BL78" s="774"/>
      <c r="BM78" s="776">
        <f>Table!P20</f>
        <v>1.2</v>
      </c>
      <c r="BN78" s="776">
        <v>999</v>
      </c>
      <c r="BO78" s="776">
        <f>Table!Q20</f>
        <v>155</v>
      </c>
      <c r="BP78" s="926">
        <f>Table!R20</f>
        <v>155</v>
      </c>
      <c r="BQ78" s="1183"/>
      <c r="BR78" s="908"/>
      <c r="BS78" s="776"/>
      <c r="BT78" s="776"/>
      <c r="BU78" s="926" t="s">
        <v>242</v>
      </c>
      <c r="BV78" s="433"/>
      <c r="BW78" s="914"/>
      <c r="BX78" s="926" t="str">
        <f>Table!T17</f>
        <v>Double</v>
      </c>
      <c r="CH78" s="908">
        <f>IF(BN78=999,0,(BO79-BO78)/(BN78-BM78))</f>
        <v>0</v>
      </c>
      <c r="CI78" s="926">
        <f>IF(BN78=999,0,(BP79-BP78)/(BN78-BM78))</f>
        <v>0</v>
      </c>
      <c r="CJ78" s="759"/>
      <c r="CK78" s="188"/>
      <c r="CL78" s="979">
        <f>VLOOKUP(I78,Prodlink,2,0)</f>
        <v>0</v>
      </c>
      <c r="CN78" s="497">
        <f ca="1">VLOOKUP(CO78,Prodlink,2,0)</f>
        <v>0</v>
      </c>
      <c r="CO78" s="497">
        <f ca="1">OFFSET($CH$9,CL78-1,-15,1,1)</f>
        <v>0</v>
      </c>
      <c r="CQ78" s="51">
        <v>0</v>
      </c>
      <c r="CR78" s="51">
        <f>IF(K78=$BH$12,$BH$23,IF(K78=$BH$13,$BH$24,10000))</f>
        <v>10000</v>
      </c>
      <c r="CS78" s="51">
        <f ca="1">IF(F78&lt;OFFSET($BM$9,CL78-1,0,1,1),0,IF(F78&lt;OFFSET($BN$9,CL78-1,0,1,1),((F78-OFFSET($BM$9,CL78-1,0,1,1))*OFFSET($CH$9,CL78-1,0,1,1))+OFFSET($BO$9,CL78-1,CQ78,1,1),IF(F78&lt;OFFSET($BN$9,CL78+0,0,1,1),((F78-OFFSET($BM$9,CL78+0,0,1,1))*OFFSET($CH$9,CL78+0,0,1,1))+OFFSET($BO$9,CL78+0,CQ78,1,1),IF(F78&lt;OFFSET($BN$9,CL78+1,0,1,1),((F78-OFFSET($BM$9,CL78+1,0,1,1))*OFFSET($CH$9,CL78+1,0,1,1))+OFFSET($BO$9,CL78+1,CQ78,1,1),IF(F78&lt;OFFSET($BN$9,CL78+2,0,1,1),((F78-OFFSET($BM$9,CL78+2,0,1,1))*OFFSET($CH$9,CL78+2,0,1,1))+OFFSET($BO$9,CL78+2,CQ78,1,1),IF(F78&lt;OFFSET($BN$9,CL78+3,0,1,1),((F78-OFFSET($BM$9,CL78+3,0,1,1))*OFFSET($CH$9,CL78+3,0,1,1))+OFFSET($BO$9,CL78+3,CQ78,1,1),0))))))</f>
        <v>0</v>
      </c>
      <c r="CT78" s="51">
        <f ca="1">IF($F78&lt;OFFSET($BM$9,$CL78-1,0,1,1),0,IF($F78&lt;OFFSET($BN$9,$CL78-1,0,1,1),IF(AND($H78&gt;2.4,Z78&lt;&gt;"e",Z78&lt;&gt;"f"),CX78*2.4/$H78,CX78),IF($F78&lt;OFFSET($BN$9,$CL78+0,0,1,1),IF(AND($H78&gt;2.4,Z78&lt;&gt;"e",Z78&lt;&gt;"f"),CX78*2.4/$H78,CX78),IF($F78&lt;OFFSET($BN$9,$CL78+1,0,1,1),IF(AND($H78&gt;2.4,Z78&lt;&gt;"e",Z78&lt;&gt;"f"),CX78*2.4/$H78,CX78),IF($F78&lt;OFFSET($BN$9,CL78+2,0,1,1),IF(AND($H78&gt;2.4,Z78&lt;&gt;"e",Z78&lt;&gt;"f"),CX78*2.4/$H78,CX78),IF($F78&lt;OFFSET($BN$9,CL78+3,0,1,1),IF(AND($H78&gt;2.4,Z78&lt;&gt;"e",Z78&lt;&gt;"f"),CX78*2.4/$H78,CX78),0)))))*COS(RADIANS($G78)))</f>
        <v>0</v>
      </c>
      <c r="CU78" s="51">
        <f ca="1">IF(F78&lt;OFFSET($BM$9,CL78-1,0,1,1),0,IF(F78&lt;OFFSET($BN$9,CL78-1,0,1,1),((F78-OFFSET($BM$9,CL78-1,0,1,1))*OFFSET($CI$9,CL78-1,0,1,1))+OFFSET($BP$9,CL78-1,CQ78,1,1),IF(F78&lt;OFFSET($BN$9,CL78+0,0,1,1),((F78-OFFSET($BM$9,CL78+0,0,1,1))*OFFSET($CI$9,CL78+0,0,1,1))+OFFSET($BP$9,CL78+0,CQ78,1,1),IF(F78&lt;OFFSET($BN$9,CL78+1,0,1,1),((F78-OFFSET($BM$9,CL78+1,0,1,1))*OFFSET($CI$9,CL78+1,0,1,1))+OFFSET($BP$9,CL78+1,CQ78,1,1),IF(F78&lt;OFFSET($BN$9,CL78+2,0,1,1),((F78-OFFSET($BM$9,CL78+2,0,1,1))*OFFSET($CI$9,CL78+2,0,1,1))+OFFSET($BP$9,CL78+2,CQ78,1,1),IF(F78&lt;OFFSET($BN$9,CL78+3,0,1,1),((F78-OFFSET($BM$9,CL78+3,0,1,1))*OFFSET($CI$9,CL78+3,0,1,1))+OFFSET($BP$9,CL78+3,CQ78,1,1),0))))))</f>
        <v>0</v>
      </c>
      <c r="CV78" s="51">
        <f ca="1">IF($F78&lt;OFFSET($BM$9,$CL78-1,0,1,1),0,IF($F78&lt;OFFSET($BN$9,$CL78-1,0,1,1),IF(AND($H78&gt;2.4,Z78&lt;&gt;"e",Z78&lt;&gt;"f"),CZ78*2.4/$H78,CZ78),IF($F78&lt;OFFSET($BN$9,$CL78+0,0,1,1),IF(AND($H78&gt;2.4,Z78&lt;&gt;"e",Z78&lt;&gt;"f"),CZ78*2.4/$H78,CZ78),IF($F78&lt;OFFSET($BN$9,$CL78+1,0,1,1),IF(AND($H78&gt;2.4,Z78&lt;&gt;"e",Z78&lt;&gt;"f"),CZ78*2.4/$H78,CZ78),IF($F78&lt;OFFSET($BN$9,$CL78+2,0,1,1),IF(AND($H78&gt;2.4,Z78&lt;&gt;"e",Z78&lt;&gt;"f"),CZ78*2.4/$H78,CZ78),IF($F78&lt;OFFSET($BN$9,$CL78+3,0,1,1),IF(AND($H78&gt;2.4,Z78&lt;&gt;"e",Z78&lt;&gt;"f"),CZ78*2.4/$H78,CZ78),0)))))*COS(RADIANS($G78)))</f>
        <v>0</v>
      </c>
      <c r="CW78" s="51">
        <f ca="1">IF(CT78&gt;CR78,CR78,CT78)</f>
        <v>0</v>
      </c>
      <c r="CX78" s="51">
        <f ca="1">IF(CS78&gt;$CR78,$CR78,CS78)</f>
        <v>0</v>
      </c>
      <c r="CY78" s="51">
        <f ca="1">CW78*F78</f>
        <v>0</v>
      </c>
      <c r="CZ78" s="51">
        <f ca="1">IF($CU78&gt;$CR78,$CR78,$CU78)</f>
        <v>0</v>
      </c>
      <c r="DA78" s="51">
        <f ca="1">IF(CV78&gt;CR78,CR78,CV78)</f>
        <v>0</v>
      </c>
      <c r="DB78" s="985">
        <f ca="1">DA78*F78</f>
        <v>0</v>
      </c>
      <c r="DC78" s="993">
        <v>1</v>
      </c>
      <c r="DD78" s="758" t="str">
        <f>IF(OR(D78=BG$12,D78=BG$13),"External",IF(D78=BG$14,"Internal"," "))</f>
        <v xml:space="preserve"> </v>
      </c>
      <c r="DE78" s="51" t="str">
        <f t="shared" ca="1" si="33"/>
        <v/>
      </c>
      <c r="DF78" s="52" t="str">
        <f t="shared" ca="1" si="34"/>
        <v xml:space="preserve"> </v>
      </c>
      <c r="DG78" s="51">
        <f ca="1">IF(F78&lt;OFFSET($BM$9,CN78-1,0,1,1),0,IF(F78&lt;OFFSET($BN$9,CN78-1,0,1,1),((F78-OFFSET($BM$9,CN78-1,0,1,1))*OFFSET($CH$9,CN78-1,0,1,1))+OFFSET($BO$9,CN78-1,CQ78,1,1),IF(F78&lt;OFFSET($BN$9,CN78+0,0,1,1),((F78-OFFSET($BM$9,CN78+0,0,1,1))*OFFSET($CH$9,CN78+0,0,1,1))+OFFSET($BO$9,CN78+0,CQ78,1,1),IF(F78&lt;OFFSET($BN$9,CN78+1,0,1,1),((F78-OFFSET($BM$9,CN78+1,0,1,1))*OFFSET($CH$9,CN78+1,0,1,1))+OFFSET($BO$9,CN78+1,CQ78,1,1),IF(F78&lt;OFFSET($BN$9,CN78+2,0,1,1),((F78-OFFSET($BM$9,CN78+2,0,1,1))*OFFSET($CH$9,CN78+2,0,1,1))+OFFSET($BO$9,CN78+2,CQ78,1,1),IF(F78&lt;OFFSET($BN$9,CN78+3,0,1,1),((F78-OFFSET($BM$9,CN78+3,0,1,1))*OFFSET($CH$9,CN78+3,0,1,1))+OFFSET($BO$9,CN78+3,CQ78,1,1),0))))))</f>
        <v>0</v>
      </c>
      <c r="DH78" s="51">
        <f ca="1">IF($F78&lt;OFFSET($BM$9,$CN78-1,0,1,1),0,IF($F78&lt;OFFSET($BN$9,$CN78-1,0,1,1),IF(AND($H78&gt;2.4,Z78&lt;&gt;"e",Z78&lt;&gt;"f"),DL78*2.4/$H78,DL78),IF($F78&lt;OFFSET($BN$9,$CN78+0,0,1,1),IF(AND($H78&gt;2.4,Z78&lt;&gt;"e",Z78&lt;&gt;"f"),DL78*2.4/$H78,DL78),IF($F78&lt;OFFSET($BN$9,$CN78+1,0,1,1),IF(AND($H78&gt;2.4,Z78&lt;&gt;"e",Z78&lt;&gt;"f"),DL78*2.4/$H78,DL78),IF($F78&lt;OFFSET($BN$9,$CN78+2,0,1,1),IF(AND($H78&gt;2.4,Z78&lt;&gt;"e",Z78&lt;&gt;"f"),DL78*2.4/$H78,DL78),IF($F78&lt;OFFSET($BN$9,$CN78+3,0,1,1),IF(AND($H78&gt;2.4,Z78&lt;&gt;"e",Z78&lt;&gt;"f"),DL78*2.4/$H78,DL78),0)))))*COS(RADIANS($G78)))</f>
        <v>0</v>
      </c>
      <c r="DI78" s="51">
        <f ca="1">IF(F78&lt;OFFSET($BM$9,CN78-1,0,1,1),0,IF(F78&lt;OFFSET($BN$9,CN78-1,0,1,1),((F78-OFFSET($BM$9,CN78-1,0,1,1))*OFFSET($CI$9,CN78-1,0,1,1))+OFFSET($BP$9,CN78-1,CQ78,1,1),IF(F78&lt;OFFSET($BN$9,CN78+0,0,1,1),((F78-OFFSET($BM$9,CN78+0,0,1,1))*OFFSET($CI$9,CN78+0,0,1,1))+OFFSET($BP$9,CN78+0,CQ78,1,1),IF(F78&lt;OFFSET($BN$9,CN78+1,0,1,1),((F78-OFFSET($BM$9,CN78+1,0,1,1))*OFFSET($CI$9,CN78+1,0,1,1))+OFFSET($BP$9,CN78+1,CQ78,1,1),IF(F78&lt;OFFSET($BN$9,CN78+2,0,1,1),((F78-OFFSET($BM$9,CN78+2,0,1,1))*OFFSET($CI$9,CN78+2,0,1,1))+OFFSET($BP$9,CN78+2,CQ78,1,1),IF(F78&lt;OFFSET($BN$9,CN78+3,0,1,1),((F78-OFFSET($BM$9,CN78+3,0,1,1))*OFFSET($CI$9,CN78+3,0,1,1))+OFFSET($BP$9,CN78+3,CQ78,1,1),0))))))</f>
        <v>0</v>
      </c>
      <c r="DJ78" s="51">
        <f ca="1">IF($F78&lt;OFFSET($BM$9,$CN78-1,0,1,1),0,IF($F78&lt;OFFSET($BN$9,$CN78-1,0,1,1),IF(AND($H78&gt;2.4,Z78&lt;&gt;"e",Z78&lt;&gt;"f"),DN78*2.4/$H78,DN78),IF($F78&lt;OFFSET($BN$9,$CN78+0,0,1,1),IF(AND($H78&gt;2.4,Z78&lt;&gt;"e",Z78&lt;&gt;"f"),DN78*2.4/$H78,DN78),IF($F78&lt;OFFSET($BN$9,$CN78+1,0,1,1),IF(AND($H78&gt;2.4,Z78&lt;&gt;"e",Z78&lt;&gt;"f"),DN78*2.4/$H78,DN78),IF($F78&lt;OFFSET($BN$9,$CN78+2,0,1,1),IF(AND($H78&gt;2.4,Z78&lt;&gt;"e",Z78&lt;&gt;"f"),DN78*2.4/$H78,DN78),IF($F78&lt;OFFSET($BN$9,$CN78+3,0,1,1),IF(AND($H78&gt;2.4,Z78&lt;&gt;"e",Z78&lt;&gt;"f"),DN78*2.4/$H78,DN78),0)))))*COS(RADIANS($G78)))</f>
        <v>0</v>
      </c>
      <c r="DK78" s="51"/>
      <c r="DL78" s="51">
        <f ca="1">IF(DG78&gt;$CR78,$CR78,DG78)</f>
        <v>0</v>
      </c>
      <c r="DM78" s="51"/>
      <c r="DN78" s="51">
        <f ca="1">IF(DI78&gt;$CR78,$CR78,DI78)</f>
        <v>0</v>
      </c>
      <c r="DO78" s="435">
        <f ca="1">IF(DH78&gt;$CR78,$CR78,DH78)</f>
        <v>0</v>
      </c>
      <c r="DP78" s="435">
        <f ca="1">DO78*F78</f>
        <v>0</v>
      </c>
      <c r="DQ78" s="436">
        <f ca="1">IF(DJ78&gt;$CR78,$CR78,DJ78)</f>
        <v>0</v>
      </c>
      <c r="DR78" s="437">
        <f ca="1">DQ78*F78</f>
        <v>0</v>
      </c>
      <c r="DS78" s="426">
        <f ca="1">OFFSET($CH$9,CL78-1,-15,1,1)</f>
        <v>0</v>
      </c>
      <c r="DT78" s="451">
        <f ca="1">VLOOKUP(DS78,Prodlink,2,0)</f>
        <v>0</v>
      </c>
      <c r="DU78" s="188">
        <f ca="1">IF(F78&lt;OFFSET($BM$9,DT78-1,0,1,1),0,IF(F78&lt;OFFSET($BN$9,DT78-1,0,1,1),((F78-OFFSET($BM$9,DT78-1,0,1,1))*OFFSET($CH$9,DT78-1,0,1,1))+OFFSET($BO$9,DT78-1,CQ78,1,1),IF(F78&lt;OFFSET($BN$9,DT78+0,0,1,1),((F78-OFFSET($BM$9,DT78+0,0,1,1))*OFFSET($CH$9,DT78+0,0,1,1))+OFFSET($BO$9,DT78+0,CQ78,1,1),IF(F78&lt;OFFSET($BN$9,DT78+1,0,1,1),((F78-OFFSET($BM$9,DT78+1,0,1,1))*OFFSET($CH$9,DT78+1,0,1,1))+OFFSET($BO$9,DT78+1,CQ78,1,1),IF(F78&lt;OFFSET($BN$9,DT78+2,0,1,1),((F78-OFFSET($BM$9,DT78+2,0,1,1))*OFFSET($CH$9,DT78+2,0,1,1))+OFFSET($BO$9,DT78+2,CQ78,1,1),IF(F78&lt;OFFSET($BN$9,DT78+3,0,1,1),((F78-OFFSET($BM$9,DT78+3,0,1,1))*OFFSET($CH$9,DT78+3,0,1,1))+OFFSET($BO$9,DT78+3,CQ78,1,1),0))))))</f>
        <v>0</v>
      </c>
      <c r="DV78" s="51">
        <f ca="1">IF($F78&lt;OFFSET($BM$9,$DT78-1,0,1,1),0,IF($F78&lt;OFFSET($BN$9,$DT78-1,0,1,1),IF(AND($H78&gt;2.4,Z78&lt;&gt;"e",Z78&lt;&gt;"f"),DZ78*2.4/$H78,DZ78),IF($F78&lt;OFFSET($BN$9,$DT78+0,0,1,1),IF(AND($H78&gt;2.4,Z78&lt;&gt;"e",Z78&lt;&gt;"f"),DZ78*2.4/$H78,DZ78),IF($F78&lt;OFFSET($BN$9,$DT78+1,0,1,1),IF(AND($H78&gt;2.4,Z78&lt;&gt;"e",Z78&lt;&gt;"f"),DZ78*2.4/$H78,DZ78),IF($F78&lt;OFFSET($BN$9,$DT78+2,0,1,1),IF(AND($H78&gt;2.4,Z78&lt;&gt;"e",Z78&lt;&gt;"f"),DZ78*2.4/$H78,DZ78),IF($F78&lt;OFFSET($BN$9,$DT78+3,0,1,1),IF(AND($H78&gt;2.4,Z78&lt;&gt;"e",Z78&lt;&gt;"f"),DZ78*2.4/$H78,DZ78),0)))))*COS(RADIANS($G78)))</f>
        <v>0</v>
      </c>
      <c r="DW78" s="188">
        <f ca="1">IF(F78&lt;OFFSET($BM$9,DT78-1,0,1,1),0,IF(F78&lt;OFFSET($BN$9,DT78-1,0,1,1),((F78-OFFSET($BM$9,DT78-1,0,1,1))*OFFSET($CI$9,DT78-1,0,1,1))+OFFSET($BP$9,DT78-1,CQ78,1,1),IF(F78&lt;OFFSET($BN$9,DT78+0,0,1,1),((F78-OFFSET($BM$9,DT78+0,0,1,1))*OFFSET($CI$9,DT78+0,0,1,1))+OFFSET($BP$9,DT78+0,CQ78,1,1),IF(F78&lt;OFFSET($BN$9,DT78+1,0,1,1),((F78-OFFSET($BM$9,DT78+1,0,1,1))*OFFSET($CI$9,DT78+1,0,1,1))+OFFSET($BP$9,DT78+1,CQ78,1,1),IF(F78&lt;OFFSET($BN$9,DT78+2,0,1,1),((F78-OFFSET($BM$9,DT78+2,0,1,1))*OFFSET($CI$9,DT78+2,0,1,1))+OFFSET($BP$9,DT78+2,CQ78,1,1),IF(F78&lt;OFFSET($BN$9,DT78+3,0,1,1),((F78-OFFSET($BM$9,DT78+3,0,1,1))*OFFSET($CI$9,DT78+3,0,1,1))+OFFSET($BP$9,DT78+3,CQ78,1,1),0))))))</f>
        <v>0</v>
      </c>
      <c r="DX78" s="51">
        <f ca="1">IF($F78&lt;OFFSET($BM$9,$DT78-1,0,1,1),0,IF($F78&lt;OFFSET($BN$9,$DT78-1,0,1,1),IF(AND($H78&gt;2.4,Z78&lt;&gt;"e",Z78&lt;&gt;"f"),EB78*2.4/$H78,EB78),IF($F78&lt;OFFSET($BN$9,$DT78+0,0,1,1),IF(AND($H78&gt;2.4,Z78&lt;&gt;"e",Z78&lt;&gt;"f"),EB78*2.4/$H78,EB78),IF($F78&lt;OFFSET($BN$9,$DT78+1,0,1,1),IF(AND($H78&gt;2.4,Z78&lt;&gt;"e",Z78&lt;&gt;"f"),EB78*2.4/$H78,EB78),IF($F78&lt;OFFSET($BN$9,$DT78+2,0,1,1),IF(AND($H78&gt;2.4,Z78&lt;&gt;"e",Z78&lt;&gt;"f"),EB78*2.4/$H78,EB78),IF($F78&lt;OFFSET($BN$9,$DT78+3,0,1,1),IF(AND($H78&gt;2.4,Z78&lt;&gt;"e",Z78&lt;&gt;"f"),EB78*2.4/$H78,EB78),0)))))*COS(RADIANS($G78)))</f>
        <v>0</v>
      </c>
      <c r="DY78" s="188"/>
      <c r="DZ78" s="188">
        <f ca="1">IF(DU78&gt;$CR78,$CR78,DU78)</f>
        <v>0</v>
      </c>
      <c r="EA78" s="188"/>
      <c r="EB78" s="188">
        <f ca="1">IF(DW78&gt;$CR78,$CR78,DW78)</f>
        <v>0</v>
      </c>
      <c r="EC78" s="435">
        <f ca="1">IF(DV78&gt;$CR78,$CR78,DV78)</f>
        <v>0</v>
      </c>
      <c r="ED78" s="435">
        <f ca="1">EC78*F78</f>
        <v>0</v>
      </c>
      <c r="EE78" s="436">
        <f ca="1">IF(DX78&gt;$CR78,$CR78,DX78)</f>
        <v>0</v>
      </c>
      <c r="EF78" s="437">
        <f ca="1">EE78*F78</f>
        <v>0</v>
      </c>
      <c r="EG78" s="613" t="str">
        <f>IF(D78=BG$12,BG$12,"")</f>
        <v/>
      </c>
      <c r="EH78" s="614" t="str">
        <f>IF(D78=BG$13,BG$13,"")</f>
        <v/>
      </c>
      <c r="EI78" s="611">
        <f>IF(EG78=BG$12,M78,0)</f>
        <v>0</v>
      </c>
      <c r="EJ78" s="451">
        <f>IF(EG78=BG$12,O78,0)</f>
        <v>0</v>
      </c>
      <c r="EK78" s="451">
        <f>IF(EH78=BG$13,M78,0)</f>
        <v>0</v>
      </c>
      <c r="EL78" s="612">
        <f>IF(EH78=BG$13,O78,0)</f>
        <v>0</v>
      </c>
      <c r="EM78" s="426" t="str">
        <f ca="1">IF(AND(Z78&lt;&gt;"t",Z78&lt;&gt;"f"),"",IF(AND(EN78=$BH$13,K78=$BH$12),"NotOpt",IF(K78&lt;&gt;EN78,"Error","")))</f>
        <v/>
      </c>
      <c r="EN78" s="491" t="str">
        <f>IF(AND($BH$28=1,$BG$28=1),$BH$13,$BH$12)</f>
        <v>120 BU's</v>
      </c>
      <c r="EO78" s="426" t="str">
        <f>K78</f>
        <v xml:space="preserve"> </v>
      </c>
      <c r="EP78" s="497">
        <v>1</v>
      </c>
      <c r="EQ78" s="430" t="str">
        <f ca="1">IF(EP78=1," ",OFFSET(BF$15,EP78-2,0,1,1))</f>
        <v xml:space="preserve"> </v>
      </c>
      <c r="ER78" s="439" t="str">
        <f ca="1">IF(H78=0," ",H78)</f>
        <v xml:space="preserve"> </v>
      </c>
      <c r="ES78" s="440" t="str">
        <f ca="1">IF(ER78&lt;&gt;" ",IF(ER78&lt;&gt;ER$7,"Changed",""),"")</f>
        <v/>
      </c>
      <c r="ET78" s="440">
        <f ca="1">IF(ER78&lt;&gt;" ",IF(ER78&lt;&gt;ER$7,1,0),0)</f>
        <v>0</v>
      </c>
      <c r="EU78" s="957" t="str">
        <f ca="1">IF(I78=" "," ",IF(F78&lt;OFFSET($BM$9,CL78-1,0,1,1),1,""))</f>
        <v xml:space="preserve"> </v>
      </c>
      <c r="EW78" s="427"/>
    </row>
    <row r="79" spans="1:153" ht="17.100000000000001" hidden="1" customHeight="1" thickBot="1">
      <c r="A79" s="2685"/>
      <c r="B79" s="2686" t="s">
        <v>8</v>
      </c>
      <c r="C79" s="2687"/>
      <c r="D79" s="1463" t="s">
        <v>8</v>
      </c>
      <c r="E79" s="659"/>
      <c r="F79" s="659"/>
      <c r="G79" s="659"/>
      <c r="H79" s="659"/>
      <c r="I79" s="1462"/>
      <c r="J79" s="1365" t="str">
        <f ca="1">(CONCATENATE(B74,$BE$54))</f>
        <v>L  Line:  Min. Requirement=</v>
      </c>
      <c r="K79" s="23"/>
      <c r="L79" s="1019">
        <f ca="1">L$5</f>
        <v>0</v>
      </c>
      <c r="M79" s="48">
        <f ca="1">IF(B74=B68,SUM(M74:M78)+M73,SUM(M74:M78))</f>
        <v>0</v>
      </c>
      <c r="N79" s="1019">
        <f ca="1">N$5</f>
        <v>0</v>
      </c>
      <c r="O79" s="125">
        <f ca="1">IF(B74=B68,SUM(O74:O78)+O73,SUM(O74:O78))</f>
        <v>0</v>
      </c>
      <c r="P79" s="139"/>
      <c r="Q79" s="42" t="str">
        <f ca="1">IF(B74=B80,"",IF(AND(M79&gt;0,L79=L$5,OR(M79&lt;$M$105,M79&lt;$BF$3)),"Achieved &lt; Min Req per Line",IF(AND(O79&gt;0,N79=N$5,OR(O79&lt;$O$105,O79&lt;$BF$3)),"Achieved &lt; Min Req per Line",IF(AND(M79&gt;0,L79&gt;M79),"More Required on this line",IF(AND(O79&gt;0,N79&gt;O79),"More Required on this line",IF(AND(L79&gt;0,L79&lt;$BF$3),$BE$59,IF(AND(N79&gt;0,N79&lt;$BF$3),$BE$59,"")))))))</f>
        <v/>
      </c>
      <c r="R79" s="52"/>
      <c r="S79" s="52"/>
      <c r="T79" s="52"/>
      <c r="U79" s="52"/>
      <c r="V79" s="52"/>
      <c r="W79" s="1000"/>
      <c r="X79" s="9"/>
      <c r="Y79" s="896"/>
      <c r="Z79" s="52"/>
      <c r="AA79" s="51"/>
      <c r="AB79" s="1364"/>
      <c r="AC79" s="1"/>
      <c r="BD79" s="652"/>
      <c r="BF79" s="51"/>
      <c r="BG79" s="51"/>
      <c r="BI79" s="759"/>
      <c r="BJ79" s="897">
        <f t="shared" si="25"/>
        <v>71</v>
      </c>
      <c r="BK79" s="1231"/>
      <c r="BL79" s="1234"/>
      <c r="BM79" s="1205"/>
      <c r="BN79" s="1205"/>
      <c r="BO79" s="1205"/>
      <c r="BP79" s="1205"/>
      <c r="BQ79" s="1233"/>
      <c r="BR79" s="1205"/>
      <c r="BS79" s="1205"/>
      <c r="BT79" s="1205"/>
      <c r="BU79" s="1205"/>
      <c r="BV79" s="1233"/>
      <c r="BW79" s="1235"/>
      <c r="BX79" s="1205"/>
      <c r="CH79" s="970"/>
      <c r="CI79" s="971"/>
      <c r="CJ79" s="759"/>
      <c r="CK79" s="188"/>
      <c r="CL79" s="980"/>
      <c r="CM79" s="939"/>
      <c r="CN79" s="940"/>
      <c r="CO79" s="940"/>
      <c r="CP79" s="939"/>
      <c r="CQ79" s="939"/>
      <c r="CR79" s="938"/>
      <c r="CS79" s="938"/>
      <c r="CT79" s="938"/>
      <c r="CU79" s="938"/>
      <c r="CV79" s="938"/>
      <c r="CW79" s="938"/>
      <c r="CX79" s="938"/>
      <c r="CY79" s="938"/>
      <c r="CZ79" s="938"/>
      <c r="DA79" s="938"/>
      <c r="DB79" s="938"/>
      <c r="DC79" s="998">
        <v>1</v>
      </c>
      <c r="DD79" s="938"/>
      <c r="DE79" s="938"/>
      <c r="DG79" s="938"/>
      <c r="DH79" s="938"/>
      <c r="DI79" s="938"/>
      <c r="DJ79" s="938"/>
      <c r="DK79" s="938"/>
      <c r="DL79" s="938"/>
      <c r="DM79" s="938"/>
      <c r="DN79" s="938"/>
      <c r="DO79" s="941"/>
      <c r="DP79" s="941"/>
      <c r="DQ79" s="941"/>
      <c r="DR79" s="941"/>
      <c r="DS79" s="942"/>
      <c r="DT79" s="943"/>
      <c r="DU79" s="939"/>
      <c r="DV79" s="939"/>
      <c r="DW79" s="939"/>
      <c r="DX79" s="939"/>
      <c r="DY79" s="939"/>
      <c r="DZ79" s="939"/>
      <c r="EA79" s="939"/>
      <c r="EB79" s="939"/>
      <c r="EC79" s="941"/>
      <c r="ED79" s="941"/>
      <c r="EE79" s="941"/>
      <c r="EF79" s="941"/>
      <c r="EG79" s="941"/>
      <c r="EH79" s="941"/>
      <c r="EI79" s="943"/>
      <c r="EJ79" s="943"/>
      <c r="EK79" s="943"/>
      <c r="EL79" s="943"/>
      <c r="EM79" s="942"/>
      <c r="EN79" s="944"/>
      <c r="EO79" s="942"/>
      <c r="EP79" s="1015"/>
      <c r="EQ79" s="945"/>
      <c r="ER79" s="946"/>
      <c r="ES79" s="942"/>
      <c r="ET79" s="942"/>
      <c r="EU79" s="958"/>
      <c r="EW79" s="427"/>
    </row>
    <row r="80" spans="1:153" ht="15" customHeight="1" thickBot="1">
      <c r="A80" s="2685"/>
      <c r="B80" s="2748" t="s">
        <v>488</v>
      </c>
      <c r="C80" s="2749"/>
      <c r="D80" s="2750"/>
      <c r="E80" s="2766"/>
      <c r="F80" s="2767"/>
      <c r="G80" s="2767"/>
      <c r="H80" s="2767"/>
      <c r="I80" s="2767"/>
      <c r="J80" s="2767"/>
      <c r="K80" s="2768"/>
      <c r="L80" s="17"/>
      <c r="M80" s="24" t="s">
        <v>1</v>
      </c>
      <c r="N80" s="16"/>
      <c r="O80" s="127" t="s">
        <v>17</v>
      </c>
      <c r="P80" s="142"/>
      <c r="R80" s="52"/>
      <c r="S80" s="52"/>
      <c r="T80" s="52"/>
      <c r="U80" s="52"/>
      <c r="V80" s="52"/>
      <c r="W80" s="52"/>
      <c r="X80" s="52"/>
      <c r="Y80" s="896"/>
      <c r="Z80" s="52"/>
      <c r="AA80" s="51"/>
      <c r="AB80" s="52"/>
      <c r="AC80" s="9"/>
      <c r="BD80" s="652"/>
      <c r="BE80" s="1"/>
      <c r="BF80" s="51"/>
      <c r="BG80" s="51"/>
      <c r="BI80" s="759"/>
      <c r="BJ80" s="897">
        <f t="shared" si="25"/>
        <v>72</v>
      </c>
      <c r="BK80" s="768" t="str">
        <f>BK74</f>
        <v xml:space="preserve">EPB </v>
      </c>
      <c r="BL80" s="765" t="str">
        <f>Table!AA4</f>
        <v>EM-H</v>
      </c>
      <c r="BM80" s="454">
        <f>Table!AB4</f>
        <v>0.4</v>
      </c>
      <c r="BN80" s="454">
        <f>BM81</f>
        <v>0.6</v>
      </c>
      <c r="BO80" s="454">
        <f>Table!AC4</f>
        <v>98</v>
      </c>
      <c r="BP80" s="924">
        <f>Table!AD4</f>
        <v>100</v>
      </c>
      <c r="BQ80" s="920"/>
      <c r="BR80" s="768" t="str">
        <f>Table!AE4</f>
        <v>ES-H</v>
      </c>
      <c r="BS80" s="454" t="str">
        <f>Table!AE5</f>
        <v>ES-H</v>
      </c>
      <c r="BT80" s="454" t="str">
        <f>Table!AF4</f>
        <v>B</v>
      </c>
      <c r="BU80" s="924" t="s">
        <v>242</v>
      </c>
      <c r="BV80" s="1230" t="str">
        <f>Table!AI75</f>
        <v>EM-H</v>
      </c>
      <c r="BW80" s="1229">
        <f>BJ80</f>
        <v>72</v>
      </c>
      <c r="BX80" s="924" t="str">
        <f>Table!AF5</f>
        <v>Single</v>
      </c>
      <c r="CH80" s="768">
        <f>IF(BN80=999,0,(BO81-BO80)/(BN80-BM80))</f>
        <v>60.000000000000014</v>
      </c>
      <c r="CI80" s="924">
        <f>IF(BN80=999,0,(BP81-BP80)/(BN80-BM80))</f>
        <v>20.000000000000004</v>
      </c>
      <c r="CJ80" s="759"/>
      <c r="CK80" s="188"/>
      <c r="CL80" s="52"/>
      <c r="DA80" s="51" t="s">
        <v>8</v>
      </c>
      <c r="EW80" s="427"/>
    </row>
    <row r="81" spans="1:153" ht="19.5" customHeight="1">
      <c r="B81" s="2746" t="s">
        <v>219</v>
      </c>
      <c r="C81" s="2747"/>
      <c r="D81" s="164">
        <f ca="1">'Project Demand'!N5</f>
        <v>44439.670989930557</v>
      </c>
      <c r="E81" s="1359"/>
      <c r="F81" s="2773" t="str">
        <f>B4</f>
        <v>Upper Storey</v>
      </c>
      <c r="G81" s="2639"/>
      <c r="H81" s="2773" t="str">
        <f>B3</f>
        <v>Wall Along</v>
      </c>
      <c r="I81" s="2639"/>
      <c r="J81" s="2795" t="str">
        <f>DA4</f>
        <v>Achieved BU's =</v>
      </c>
      <c r="K81" s="2639"/>
      <c r="L81" s="45">
        <f ca="1">M2/M3</f>
        <v>0</v>
      </c>
      <c r="M81" s="1546">
        <f ca="1">M2</f>
        <v>0</v>
      </c>
      <c r="N81" s="45">
        <f ca="1">O2/O3</f>
        <v>0</v>
      </c>
      <c r="O81" s="1547">
        <f ca="1">O2</f>
        <v>0</v>
      </c>
      <c r="P81" s="133"/>
      <c r="R81" s="52"/>
      <c r="S81" s="52"/>
      <c r="T81" s="52"/>
      <c r="U81" s="52"/>
      <c r="V81" s="52"/>
      <c r="W81" s="52"/>
      <c r="X81" s="52"/>
      <c r="Y81" s="896"/>
      <c r="Z81" s="52"/>
      <c r="AA81" s="52"/>
      <c r="AB81" s="52"/>
      <c r="AC81" s="9"/>
      <c r="BD81" s="652"/>
      <c r="BE81" s="1"/>
      <c r="BF81" s="51"/>
      <c r="BG81" s="51"/>
      <c r="BI81" s="759"/>
      <c r="BJ81" s="897">
        <f t="shared" si="25"/>
        <v>73</v>
      </c>
      <c r="BK81" s="764"/>
      <c r="BL81" s="766"/>
      <c r="BM81" s="455">
        <f>Table!AB5</f>
        <v>0.6</v>
      </c>
      <c r="BN81" s="455">
        <f>BM82</f>
        <v>0.8</v>
      </c>
      <c r="BO81" s="455">
        <f>Table!AC5</f>
        <v>110</v>
      </c>
      <c r="BP81" s="925">
        <f>Table!AD5</f>
        <v>104</v>
      </c>
      <c r="BR81" s="764"/>
      <c r="BS81" s="455"/>
      <c r="BT81" s="455"/>
      <c r="BU81" s="925" t="s">
        <v>242</v>
      </c>
      <c r="BV81" s="895"/>
      <c r="BW81" s="912"/>
      <c r="BX81" s="925" t="str">
        <f>Table!AF5</f>
        <v>Single</v>
      </c>
      <c r="CH81" s="764">
        <f>IF(BN81=999,0,(BO82-BO81)/(BN81-BM81))</f>
        <v>49.999999999999986</v>
      </c>
      <c r="CI81" s="925">
        <f>IF(BN81=999,0,(BP82-BP81)/(BN81-BM81))</f>
        <v>24.999999999999993</v>
      </c>
      <c r="CJ81" s="759"/>
      <c r="CK81" s="188"/>
      <c r="CL81" s="52"/>
      <c r="DA81" s="51" t="s">
        <v>8</v>
      </c>
      <c r="EI81" s="870">
        <f ca="1">SUM(EI8:EI78)</f>
        <v>0</v>
      </c>
      <c r="EJ81" s="870">
        <f ca="1">SUM(EJ8:EJ78)</f>
        <v>0</v>
      </c>
      <c r="EK81" s="870">
        <f>SUM(EK8:EK78)</f>
        <v>0</v>
      </c>
      <c r="EL81" s="870">
        <f>SUM(EL8:EL78)</f>
        <v>0</v>
      </c>
      <c r="EM81" s="426" t="str">
        <f>IF(AND(K80&lt;&gt;"120 BU's",K80&lt;&gt;"150 BU's",K80&lt;&gt;" ",Z80="t",OR($BG$28=1,$BH$28=2)),"Error","")</f>
        <v/>
      </c>
      <c r="EN81" s="438"/>
      <c r="ET81" s="870">
        <f ca="1">SUM(ET8:ET78)</f>
        <v>0</v>
      </c>
      <c r="EU81" s="870">
        <f ca="1">SUM(EU8:EU78)</f>
        <v>0</v>
      </c>
      <c r="EW81" s="427"/>
    </row>
    <row r="82" spans="1:153" ht="18" customHeight="1" thickBot="1">
      <c r="B82" s="2770" t="str">
        <f>'Terms and Conditions'!B19</f>
        <v>Elephant QuickBrace™ September 2018  V.1.0</v>
      </c>
      <c r="C82" s="2771"/>
      <c r="D82" s="2771"/>
      <c r="E82" s="2771"/>
      <c r="F82" s="2771"/>
      <c r="G82" s="2771"/>
      <c r="H82" s="2772"/>
      <c r="I82" s="2757" t="str">
        <f>K3</f>
        <v>Total Demand =</v>
      </c>
      <c r="J82" s="2758"/>
      <c r="K82" s="2759"/>
      <c r="L82" s="1795" t="str">
        <f>$BH$3</f>
        <v>Bu's</v>
      </c>
      <c r="M82" s="1796">
        <f>M3</f>
        <v>204</v>
      </c>
      <c r="N82" s="1795" t="str">
        <f>$BH$3</f>
        <v>Bu's</v>
      </c>
      <c r="O82" s="1797">
        <f>O3</f>
        <v>523</v>
      </c>
      <c r="P82" s="132"/>
      <c r="R82" s="52"/>
      <c r="S82" s="52"/>
      <c r="T82" s="52"/>
      <c r="U82" s="52"/>
      <c r="V82" s="52"/>
      <c r="W82" s="52"/>
      <c r="X82" s="52"/>
      <c r="Y82" s="896"/>
      <c r="Z82" s="52"/>
      <c r="AA82" s="52"/>
      <c r="AB82" s="52"/>
      <c r="AC82" s="9"/>
      <c r="BD82" s="652"/>
      <c r="BE82" s="1"/>
      <c r="BF82" s="51"/>
      <c r="BG82" s="51"/>
      <c r="BI82" s="759"/>
      <c r="BJ82" s="897">
        <f t="shared" ref="BJ82:BJ88" si="35">BJ81+1</f>
        <v>74</v>
      </c>
      <c r="BK82" s="764"/>
      <c r="BL82" s="766"/>
      <c r="BM82" s="455">
        <f>Table!AB6</f>
        <v>0.8</v>
      </c>
      <c r="BN82" s="455">
        <f>BM83</f>
        <v>1</v>
      </c>
      <c r="BO82" s="455">
        <f>Table!AC6</f>
        <v>120</v>
      </c>
      <c r="BP82" s="925">
        <f>Table!AD6</f>
        <v>109</v>
      </c>
      <c r="BR82" s="764"/>
      <c r="BS82" s="455"/>
      <c r="BT82" s="455"/>
      <c r="BU82" s="925" t="s">
        <v>242</v>
      </c>
      <c r="BV82" s="895"/>
      <c r="BW82" s="912"/>
      <c r="BX82" s="925" t="str">
        <f>Table!AF5</f>
        <v>Single</v>
      </c>
      <c r="CH82" s="764">
        <f>IF(BN82=999,0,(BO83-BO82)/(BN82-BM82))</f>
        <v>55.000000000000014</v>
      </c>
      <c r="CI82" s="925">
        <f>IF(BN82=999,0,(BP83-BP82)/(BN82-BM82))</f>
        <v>10.000000000000002</v>
      </c>
      <c r="CJ82" s="759"/>
      <c r="CK82" s="188"/>
      <c r="CL82" s="52"/>
      <c r="DA82" s="51" t="s">
        <v>8</v>
      </c>
      <c r="EI82" s="871">
        <f ca="1">SUM(EI8:EI12)+(IF($B14=$B8,IF($B20=$B8,(SUM(EI20:EI25)+SUM(EI14:EI18)),SUM(EI14:EI18)),0))</f>
        <v>0</v>
      </c>
      <c r="EJ82" s="872">
        <f ca="1">SUM(EJ8:EJ12)+(IF($B14=$B8,IF($B20=$B8,(SUM(EJ20:EJ25)+SUM(EJ14:EJ18)),SUM(EJ14:EJ18)),0))</f>
        <v>0</v>
      </c>
      <c r="EK82" s="872">
        <f ca="1">SUM(EK8:EK12)+(IF($B14=$B8,IF($B20=$B8,(SUM(EK20:EK25)+SUM(EK14:EK18)),SUM(EK14:EK18)),0))</f>
        <v>0</v>
      </c>
      <c r="EL82" s="873">
        <f ca="1">SUM(EL8:EL12)+(IF($B14=$B8,IF($B20=$B8,(SUM(EL20:EL25)+SUM(EL14:EL18)),SUM(EL14:EL18)),0))</f>
        <v>0</v>
      </c>
      <c r="EW82" s="427"/>
    </row>
    <row r="83" spans="1:153" ht="15" customHeight="1">
      <c r="B83" s="543" t="s">
        <v>898</v>
      </c>
      <c r="C83" s="129"/>
      <c r="D83" s="129"/>
      <c r="E83" s="129"/>
      <c r="F83" s="129"/>
      <c r="G83" s="154" t="str">
        <f>IF('Project Demand'!AQ59=2,"Alternatively Sourced Demands are used in this sheet","")</f>
        <v/>
      </c>
      <c r="H83" s="130"/>
      <c r="I83" s="130"/>
      <c r="J83" s="130"/>
      <c r="K83" s="130"/>
      <c r="L83" s="2760" t="str">
        <f ca="1">IF(M81&lt;M82,"NOT Enough","")</f>
        <v>NOT Enough</v>
      </c>
      <c r="M83" s="2760"/>
      <c r="N83" s="2760" t="str">
        <f ca="1">IF(O81&lt;O82,"NOT Enough","")</f>
        <v>NOT Enough</v>
      </c>
      <c r="O83" s="2769"/>
      <c r="P83" s="122"/>
      <c r="R83" s="52"/>
      <c r="S83" s="52"/>
      <c r="T83" s="52"/>
      <c r="U83" s="52"/>
      <c r="V83" s="52"/>
      <c r="W83" s="52"/>
      <c r="X83" s="52"/>
      <c r="Y83" s="896"/>
      <c r="Z83" s="52"/>
      <c r="AA83" s="52"/>
      <c r="AB83" s="52"/>
      <c r="AC83" s="9"/>
      <c r="AD83" s="1"/>
      <c r="AE83" s="1"/>
      <c r="AF83" s="1"/>
      <c r="AG83" s="1"/>
      <c r="AH83" s="1"/>
      <c r="AI83" s="1"/>
      <c r="AJ83" s="1"/>
      <c r="AK83" s="1"/>
      <c r="AL83" s="1"/>
      <c r="AM83" s="1"/>
      <c r="AN83" s="1"/>
      <c r="AO83" s="1"/>
      <c r="AP83" s="1"/>
      <c r="AQ83" s="1"/>
      <c r="AR83" s="1"/>
      <c r="AS83" s="6"/>
      <c r="AT83" s="6"/>
      <c r="AU83" s="6"/>
      <c r="AW83" s="1"/>
      <c r="BD83" s="652"/>
      <c r="BE83" s="1"/>
      <c r="BF83" s="51"/>
      <c r="BG83" s="51"/>
      <c r="BI83" s="759"/>
      <c r="BJ83" s="897">
        <f t="shared" si="35"/>
        <v>75</v>
      </c>
      <c r="BK83" s="764"/>
      <c r="BL83" s="766"/>
      <c r="BM83" s="455">
        <f>Table!AB7</f>
        <v>1</v>
      </c>
      <c r="BN83" s="455">
        <f>BM84</f>
        <v>1.2</v>
      </c>
      <c r="BO83" s="455">
        <f>Table!AC7</f>
        <v>131</v>
      </c>
      <c r="BP83" s="925">
        <f>Table!AD7</f>
        <v>111</v>
      </c>
      <c r="BR83" s="764"/>
      <c r="BS83" s="455"/>
      <c r="BT83" s="455"/>
      <c r="BU83" s="925" t="s">
        <v>242</v>
      </c>
      <c r="BV83" s="895"/>
      <c r="BW83" s="912"/>
      <c r="BX83" s="925" t="str">
        <f>Table!AF5</f>
        <v>Single</v>
      </c>
      <c r="CH83" s="764">
        <f>IF(BN83=999,0,(BO84-BO83)/(BN83-BM83))</f>
        <v>45.000000000000007</v>
      </c>
      <c r="CI83" s="925">
        <f>IF(BN83=999,0,(BP84-BP83)/(BN83-BM83))</f>
        <v>20.000000000000004</v>
      </c>
      <c r="CJ83" s="759"/>
      <c r="CL83" s="52"/>
      <c r="DA83" s="51" t="s">
        <v>8</v>
      </c>
      <c r="EW83" s="427"/>
    </row>
    <row r="84" spans="1:153" ht="14.1" customHeight="1" thickBot="1">
      <c r="B84" s="131" t="str">
        <f ca="1">IF(ISERROR(FIND("Error",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EM68&amp;EM69&amp;EM70&amp;EM71&amp;EM72&amp;EM74&amp;EM75&amp;EM76&amp;EM77&amp;EM78,1)),"","* Floor type design limit declined")</f>
        <v/>
      </c>
      <c r="C84"/>
      <c r="D84"/>
      <c r="E84"/>
      <c r="F84"/>
      <c r="H84"/>
      <c r="I84" s="1"/>
      <c r="J84" s="57" t="str">
        <f ca="1">IF(ISERROR(FIND("Achieved &lt;",Q13&amp;Q19&amp;Q25&amp;Q31&amp;Q37&amp;Q43&amp;Q49&amp;Q55&amp;Q61&amp;Q67&amp;Q73&amp;Q79,1)),"","* Minimum Req./Line not reached")</f>
        <v/>
      </c>
      <c r="K84"/>
      <c r="L84"/>
      <c r="M84"/>
      <c r="N84"/>
      <c r="O84" s="118"/>
      <c r="Q84" s="52"/>
      <c r="R84" s="52"/>
      <c r="S84" s="52"/>
      <c r="T84" s="52"/>
      <c r="U84" s="52"/>
      <c r="V84" s="52"/>
      <c r="W84" s="52"/>
      <c r="X84" s="52"/>
      <c r="Y84" s="896"/>
      <c r="Z84" s="52"/>
      <c r="AA84" s="52"/>
      <c r="AB84" s="52"/>
      <c r="AC84" s="141"/>
      <c r="AD84" s="31"/>
      <c r="AE84" s="31"/>
      <c r="AF84" s="31"/>
      <c r="AG84" s="31"/>
      <c r="AH84" s="1"/>
      <c r="AI84" s="1"/>
      <c r="AJ84" s="31"/>
      <c r="AK84" s="31"/>
      <c r="AL84" s="31"/>
      <c r="AM84" s="1"/>
      <c r="AN84" s="1"/>
      <c r="AO84" s="1"/>
      <c r="AP84" s="1"/>
      <c r="AQ84" s="1"/>
      <c r="AR84" s="1"/>
      <c r="AS84" s="6"/>
      <c r="AT84" s="6"/>
      <c r="AU84" s="6"/>
      <c r="AW84" s="1"/>
      <c r="BD84" s="652"/>
      <c r="BE84" s="1"/>
      <c r="BF84" s="51"/>
      <c r="BG84" s="51"/>
      <c r="BI84" s="759"/>
      <c r="BJ84" s="897">
        <f t="shared" si="35"/>
        <v>76</v>
      </c>
      <c r="BK84" s="908"/>
      <c r="BL84" s="767"/>
      <c r="BM84" s="776">
        <f>Table!AB8</f>
        <v>1.2</v>
      </c>
      <c r="BN84" s="776">
        <v>999</v>
      </c>
      <c r="BO84" s="776">
        <f>Table!AC8</f>
        <v>140</v>
      </c>
      <c r="BP84" s="926">
        <f>Table!AD8</f>
        <v>115</v>
      </c>
      <c r="BQ84" s="1183"/>
      <c r="BR84" s="908"/>
      <c r="BS84" s="776"/>
      <c r="BT84" s="776"/>
      <c r="BU84" s="926" t="s">
        <v>242</v>
      </c>
      <c r="BV84" s="433"/>
      <c r="BW84" s="914"/>
      <c r="BX84" s="926" t="str">
        <f>Table!AF5</f>
        <v>Single</v>
      </c>
      <c r="CH84" s="908">
        <f>IF(BN84=999,0,(BO85-BO84)/(BN84-BM84))</f>
        <v>0</v>
      </c>
      <c r="CI84" s="926">
        <f>IF(BN84=999,0,(BP85-BP84)/(BN84-BM84))</f>
        <v>0</v>
      </c>
      <c r="CJ84" s="759"/>
      <c r="CK84" s="498"/>
      <c r="CL84" s="52"/>
      <c r="DA84" s="51" t="s">
        <v>8</v>
      </c>
      <c r="EW84" s="427"/>
    </row>
    <row r="85" spans="1:153" ht="14.1" customHeight="1" thickBot="1">
      <c r="B85" s="2753" t="str">
        <f ca="1">IF(OR((L79+N79)&lt;&gt;(L$5+N$5),(L73+N73)&lt;&gt;(L$5+N$5),(L67+N67)&lt;&gt;(L$5+N$5),(L61+N61)&lt;&gt;(L$5+N$5),(L55+N55)&lt;&gt;(L$5+N$5),(L49+N49)&lt;&gt;(L$5+N$5),(L43+N43)&lt;&gt;(L$5+N$5),(L37+N37)&lt;&gt;(L$5+N$5),(L31+N31)&lt;&gt;(L$5+N$5),(L25+N25)&lt;&gt;(L$5+N$5),(L19+N19)&lt;&gt;(L$5+N$5),(L13+N13)&lt;&gt;(L$5+N$5)),$BE$68,"")</f>
        <v/>
      </c>
      <c r="C85" s="2754"/>
      <c r="D85" s="2754"/>
      <c r="E85" s="2754"/>
      <c r="F85" s="2754"/>
      <c r="G85" s="492"/>
      <c r="H85" s="492"/>
      <c r="I85" s="493"/>
      <c r="J85" s="495" t="str">
        <f ca="1">IF(ISERROR(FIND("More R",Q13&amp;Q19&amp;Q25&amp;Q31&amp;Q37&amp;Q43&amp;Q49&amp;Q55&amp;Q61&amp;Q67&amp;Q73&amp;Q79,1)),"","* More required for Overridden Minimum Req./Line ")</f>
        <v/>
      </c>
      <c r="K85" s="492"/>
      <c r="L85" s="1454"/>
      <c r="M85" s="1454"/>
      <c r="N85" s="1454"/>
      <c r="O85" s="1455"/>
      <c r="Q85" s="52"/>
      <c r="R85" s="52"/>
      <c r="S85" s="52"/>
      <c r="T85" s="52"/>
      <c r="U85" s="52"/>
      <c r="V85" s="52"/>
      <c r="W85" s="52"/>
      <c r="X85" s="52"/>
      <c r="Y85" s="896"/>
      <c r="Z85" s="52"/>
      <c r="AA85" s="52"/>
      <c r="AB85" s="52"/>
      <c r="AC85" s="141"/>
      <c r="AD85" s="31"/>
      <c r="AE85" s="31"/>
      <c r="AF85" s="31"/>
      <c r="AG85" s="31"/>
      <c r="AH85" s="1"/>
      <c r="AI85" s="1"/>
      <c r="AJ85" s="31"/>
      <c r="AK85" s="31"/>
      <c r="AL85" s="31"/>
      <c r="AM85" s="1"/>
      <c r="AN85" s="1"/>
      <c r="AO85" s="1"/>
      <c r="AP85" s="1"/>
      <c r="AQ85" s="1"/>
      <c r="AR85" s="1"/>
      <c r="AS85" s="6"/>
      <c r="AT85" s="6"/>
      <c r="AU85" s="6"/>
      <c r="AW85" s="1"/>
      <c r="BD85" s="652"/>
      <c r="BE85" s="1"/>
      <c r="BF85" s="51"/>
      <c r="BG85" s="51"/>
      <c r="BI85" s="759"/>
      <c r="BJ85" s="897">
        <f t="shared" si="35"/>
        <v>77</v>
      </c>
      <c r="BK85" s="1231"/>
      <c r="BL85" s="1234"/>
      <c r="BM85" s="1205"/>
      <c r="BN85" s="1205"/>
      <c r="BO85" s="1205"/>
      <c r="BP85" s="1205"/>
      <c r="BQ85" s="1233"/>
      <c r="BR85" s="1205"/>
      <c r="BS85" s="1205"/>
      <c r="BT85" s="1205"/>
      <c r="BU85" s="1205"/>
      <c r="BV85" s="1233"/>
      <c r="BW85" s="1235"/>
      <c r="BX85" s="1205"/>
      <c r="CH85" s="970"/>
      <c r="CI85" s="971"/>
      <c r="CJ85" s="759"/>
      <c r="CK85" s="498"/>
      <c r="CL85" s="52"/>
      <c r="EW85" s="427"/>
    </row>
    <row r="86" spans="1:153" ht="24" customHeight="1" thickBot="1">
      <c r="B86" s="869" t="s">
        <v>899</v>
      </c>
      <c r="C86" s="496"/>
      <c r="D86" s="496"/>
      <c r="E86" s="496"/>
      <c r="F86" s="56"/>
      <c r="G86" s="56"/>
      <c r="H86" s="56"/>
      <c r="I86" s="2755" t="str">
        <f ca="1">IF(ISERROR(FIND("NotOpt",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Q68&amp;Q69&amp;Q70&amp;Q71&amp;Q72&amp;Q74&amp;Q75&amp;Q76&amp;Q77&amp;Q78,1)),"","* Floor type design limit Not Optimised")</f>
        <v/>
      </c>
      <c r="J86" s="2755"/>
      <c r="K86" s="2756"/>
      <c r="L86" s="2763" t="s">
        <v>1089</v>
      </c>
      <c r="M86" s="2764"/>
      <c r="N86" s="2764"/>
      <c r="O86" s="2765"/>
      <c r="P86" s="58"/>
      <c r="Q86" s="52"/>
      <c r="R86" s="52"/>
      <c r="S86" s="52"/>
      <c r="T86" s="52"/>
      <c r="U86" s="52"/>
      <c r="V86" s="52"/>
      <c r="W86" s="52"/>
      <c r="X86" s="52"/>
      <c r="Y86" s="896"/>
      <c r="Z86" s="52"/>
      <c r="AA86" s="52"/>
      <c r="AB86" s="52"/>
      <c r="AC86" s="141"/>
      <c r="AD86" s="31"/>
      <c r="AE86" s="31"/>
      <c r="AF86" s="31"/>
      <c r="AG86" s="31"/>
      <c r="AH86" s="1"/>
      <c r="AI86" s="1"/>
      <c r="AJ86" s="31"/>
      <c r="AK86" s="31"/>
      <c r="AL86" s="31"/>
      <c r="AM86" s="1"/>
      <c r="AN86" s="1"/>
      <c r="AO86" s="1"/>
      <c r="AP86" s="1"/>
      <c r="AQ86" s="1"/>
      <c r="AR86" s="1"/>
      <c r="AS86" s="6"/>
      <c r="AT86" s="6"/>
      <c r="AU86" s="6"/>
      <c r="AW86" s="1"/>
      <c r="BD86" s="652"/>
      <c r="BE86" s="1"/>
      <c r="BF86" s="51"/>
      <c r="BG86" s="51"/>
      <c r="BI86" s="759"/>
      <c r="BJ86" s="897">
        <f t="shared" si="35"/>
        <v>78</v>
      </c>
      <c r="BK86" s="768" t="str">
        <f>BK80</f>
        <v xml:space="preserve">EPB </v>
      </c>
      <c r="BL86" s="765" t="str">
        <f>Table!AA10</f>
        <v>EMSH</v>
      </c>
      <c r="BM86" s="454">
        <f>Table!AB10</f>
        <v>0.4</v>
      </c>
      <c r="BN86" s="454">
        <f>BM87</f>
        <v>0.6</v>
      </c>
      <c r="BO86" s="454">
        <f>Table!AC10</f>
        <v>110</v>
      </c>
      <c r="BP86" s="924">
        <f>Table!AD10</f>
        <v>115</v>
      </c>
      <c r="BQ86" s="920"/>
      <c r="BR86" s="768" t="str">
        <f>Table!AE10</f>
        <v>ESSH</v>
      </c>
      <c r="BS86" s="454" t="str">
        <f>Table!AE11</f>
        <v>ESSH</v>
      </c>
      <c r="BT86" s="454" t="str">
        <f>Table!AF10</f>
        <v>I</v>
      </c>
      <c r="BU86" s="924" t="s">
        <v>242</v>
      </c>
      <c r="BV86" s="1230" t="str">
        <f>Table!AI80</f>
        <v>EMSH</v>
      </c>
      <c r="BW86" s="1229">
        <f>BJ86</f>
        <v>78</v>
      </c>
      <c r="BX86" s="924" t="str">
        <f>Table!AF11</f>
        <v>Double</v>
      </c>
      <c r="CH86" s="768">
        <f>IF(BN86=999,0,(BO87-BO86)/(BN86-BM86))</f>
        <v>120.00000000000003</v>
      </c>
      <c r="CI86" s="924">
        <f>IF(BN86=999,0,(BP87-BP86)/(BN86-BM86))</f>
        <v>115.00000000000003</v>
      </c>
      <c r="CJ86" s="759"/>
      <c r="CK86" s="498"/>
      <c r="CL86" s="52"/>
      <c r="EW86" s="427"/>
    </row>
    <row r="87" spans="1:153" ht="24" customHeight="1">
      <c r="B87" s="131" t="str">
        <f ca="1">IF(ISERROR(FIND("check L",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Minimum wall length not acheived for some systems")</f>
        <v/>
      </c>
      <c r="C87" s="494"/>
      <c r="D87" s="494"/>
      <c r="E87" s="494"/>
      <c r="F87"/>
      <c r="G87" s="1"/>
      <c r="J87" s="58"/>
      <c r="K87" s="163"/>
      <c r="L87" s="2621" t="s">
        <v>1</v>
      </c>
      <c r="M87" s="2622"/>
      <c r="N87" s="2623" t="s">
        <v>17</v>
      </c>
      <c r="O87" s="2624"/>
      <c r="P87" s="58"/>
      <c r="Q87" s="52"/>
      <c r="R87" s="52"/>
      <c r="S87" s="52"/>
      <c r="T87" s="52"/>
      <c r="U87" s="52"/>
      <c r="V87" s="52"/>
      <c r="W87" s="52"/>
      <c r="X87" s="52"/>
      <c r="Y87" s="896"/>
      <c r="Z87" s="52"/>
      <c r="AA87" s="52"/>
      <c r="AB87" s="52"/>
      <c r="AC87" s="141"/>
      <c r="AD87" s="31"/>
      <c r="AE87" s="31"/>
      <c r="AF87" s="31"/>
      <c r="AG87" s="31"/>
      <c r="AH87" s="1"/>
      <c r="AI87" s="1"/>
      <c r="AJ87" s="31"/>
      <c r="AK87" s="31"/>
      <c r="AL87" s="31"/>
      <c r="AM87" s="1"/>
      <c r="AN87" s="1"/>
      <c r="AO87" s="1"/>
      <c r="AP87" s="1"/>
      <c r="AQ87" s="1"/>
      <c r="AR87" s="1"/>
      <c r="AS87" s="6"/>
      <c r="AT87" s="6"/>
      <c r="AU87" s="6"/>
      <c r="AW87" s="1"/>
      <c r="BD87" s="652"/>
      <c r="BE87" s="1"/>
      <c r="BF87" s="51"/>
      <c r="BG87" s="51"/>
      <c r="BI87" s="759"/>
      <c r="BJ87" s="897">
        <f t="shared" si="35"/>
        <v>79</v>
      </c>
      <c r="BK87" s="764"/>
      <c r="BL87" s="766"/>
      <c r="BM87" s="455">
        <f>Table!AB11</f>
        <v>0.6</v>
      </c>
      <c r="BN87" s="455">
        <f>BM88</f>
        <v>0.8</v>
      </c>
      <c r="BO87" s="455">
        <f>Table!AC11</f>
        <v>134</v>
      </c>
      <c r="BP87" s="925">
        <f>Table!AD11</f>
        <v>138</v>
      </c>
      <c r="BR87" s="764"/>
      <c r="BS87" s="455"/>
      <c r="BT87" s="455"/>
      <c r="BU87" s="925" t="s">
        <v>242</v>
      </c>
      <c r="BV87" s="895"/>
      <c r="BW87" s="912"/>
      <c r="BX87" s="925" t="str">
        <f>Table!AF11</f>
        <v>Double</v>
      </c>
      <c r="CH87" s="764">
        <f>IF(BN87=999,0,(BO88-BO87)/(BN87-BM87))</f>
        <v>44.999999999999986</v>
      </c>
      <c r="CI87" s="925">
        <f>IF(BN87=999,0,(BP88-BP87)/(BN87-BM87))</f>
        <v>-19.999999999999993</v>
      </c>
      <c r="CJ87" s="759"/>
      <c r="CK87" s="498"/>
      <c r="CL87" s="52"/>
      <c r="EW87" s="427"/>
    </row>
    <row r="88" spans="1:153" ht="24" customHeight="1">
      <c r="B88" s="131" t="str">
        <f ca="1">IF(ISERROR(FIND(BE66,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Internal Systems on External Walls.  Are you sure?")</f>
        <v/>
      </c>
      <c r="C88" s="35"/>
      <c r="D88" s="141"/>
      <c r="E88" s="141"/>
      <c r="F88" s="143"/>
      <c r="G88" s="144"/>
      <c r="H88" s="31"/>
      <c r="I88" s="1376" t="str">
        <f ca="1">IF(ISERROR(FIND(BE67,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Double Sided System on Single Sided Wall")</f>
        <v/>
      </c>
      <c r="L88" s="1357" t="str">
        <f>IF($BG$4=1,$BG$42,$BH$42)</f>
        <v>Top    Line</v>
      </c>
      <c r="M88" s="1434" t="str">
        <f>IF($BG$4=1,$BG$43,$BH$43)</f>
        <v>Bottom Line</v>
      </c>
      <c r="N88" s="1449" t="str">
        <f>IF($BG$4=1,$BG$42,$BH$42)</f>
        <v>Top    Line</v>
      </c>
      <c r="O88" s="1358" t="str">
        <f>IF($BG$4=1,$BG$43,$BH$43)</f>
        <v>Bottom Line</v>
      </c>
      <c r="Q88" s="52"/>
      <c r="R88" s="52"/>
      <c r="S88" s="52"/>
      <c r="T88" s="52"/>
      <c r="U88" s="52"/>
      <c r="V88" s="52"/>
      <c r="W88" s="52"/>
      <c r="X88" s="52"/>
      <c r="Y88" s="896"/>
      <c r="Z88" s="52" t="s">
        <v>8</v>
      </c>
      <c r="AA88" s="51"/>
      <c r="AB88" s="52"/>
      <c r="AC88" s="31"/>
      <c r="AD88" s="31"/>
      <c r="AE88" s="31"/>
      <c r="AF88" s="31"/>
      <c r="AG88" s="31"/>
      <c r="AH88" s="1"/>
      <c r="AI88" s="1"/>
      <c r="AJ88" s="31"/>
      <c r="AK88" s="31"/>
      <c r="AL88" s="31"/>
      <c r="AM88" s="1"/>
      <c r="AN88" s="1"/>
      <c r="AO88" s="1"/>
      <c r="AP88" s="1"/>
      <c r="AQ88" s="1"/>
      <c r="AR88" s="1"/>
      <c r="AS88" s="6"/>
      <c r="AT88" s="6"/>
      <c r="AU88" s="6"/>
      <c r="AW88" s="1"/>
      <c r="BD88" s="652"/>
      <c r="BE88" s="1"/>
      <c r="BF88" s="51"/>
      <c r="BG88" s="51"/>
      <c r="BI88" s="759"/>
      <c r="BJ88" s="897">
        <f t="shared" si="35"/>
        <v>80</v>
      </c>
      <c r="BK88" s="764"/>
      <c r="BL88" s="766"/>
      <c r="BM88" s="455">
        <f>Table!AB12</f>
        <v>0.8</v>
      </c>
      <c r="BN88" s="455">
        <f>BM89</f>
        <v>1</v>
      </c>
      <c r="BO88" s="455">
        <f>Table!AC12</f>
        <v>143</v>
      </c>
      <c r="BP88" s="925">
        <f>Table!AD12</f>
        <v>134</v>
      </c>
      <c r="BR88" s="764"/>
      <c r="BS88" s="455"/>
      <c r="BT88" s="455"/>
      <c r="BU88" s="925" t="s">
        <v>242</v>
      </c>
      <c r="BV88" s="895"/>
      <c r="BW88" s="912"/>
      <c r="BX88" s="925" t="str">
        <f>Table!AF11</f>
        <v>Double</v>
      </c>
      <c r="CH88" s="764">
        <f>IF(BN88=999,0,(BO89-BO88)/(BN88-BM88))</f>
        <v>45.000000000000007</v>
      </c>
      <c r="CI88" s="925">
        <f>IF(BN88=999,0,(BP89-BP88)/(BN88-BM88))</f>
        <v>35.000000000000007</v>
      </c>
      <c r="CJ88" s="759"/>
      <c r="CK88" s="498"/>
      <c r="CL88" s="52"/>
      <c r="EW88" s="427"/>
    </row>
    <row r="89" spans="1:153" ht="24" customHeight="1" thickBot="1">
      <c r="B89" s="162" t="str">
        <f ca="1">IF(ISERROR(FIND(BE62,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External Systems on Internal Walls. Are you sure?")</f>
        <v/>
      </c>
      <c r="C89" s="145"/>
      <c r="D89" s="145"/>
      <c r="E89" s="145"/>
      <c r="F89" s="145"/>
      <c r="G89" s="146"/>
      <c r="H89" s="146"/>
      <c r="L89" s="2751" t="str">
        <f ca="1">IF(AND(L90&gt;=L92,M90&gt;=L92),"Achieved","Not reached")</f>
        <v>Not reached</v>
      </c>
      <c r="M89" s="2752"/>
      <c r="N89" s="2774" t="str">
        <f ca="1">IF(AND(N90&gt;=N92,O90&gt;=N92),"Achieved","Not reached")</f>
        <v>Not reached</v>
      </c>
      <c r="O89" s="2775"/>
      <c r="P89" s="51"/>
      <c r="Q89" s="52"/>
      <c r="R89" s="52"/>
      <c r="S89" s="52"/>
      <c r="T89" s="52"/>
      <c r="U89" s="52"/>
      <c r="V89" s="52"/>
      <c r="W89" s="52"/>
      <c r="X89" s="52"/>
      <c r="Y89" s="896"/>
      <c r="Z89" s="52" t="s">
        <v>8</v>
      </c>
      <c r="AA89" s="51"/>
      <c r="AB89" s="52"/>
      <c r="AC89" s="31"/>
      <c r="AD89" s="31"/>
      <c r="AE89" s="31"/>
      <c r="AF89" s="31"/>
      <c r="AG89" s="31"/>
      <c r="AH89" s="1"/>
      <c r="AI89" s="1"/>
      <c r="AJ89" s="31"/>
      <c r="AK89" s="31"/>
      <c r="AL89" s="31"/>
      <c r="AM89" s="1"/>
      <c r="AN89" s="1"/>
      <c r="AO89" s="1"/>
      <c r="AP89" s="1"/>
      <c r="AQ89" s="1"/>
      <c r="AR89" s="1"/>
      <c r="AS89" s="6"/>
      <c r="AT89" s="6"/>
      <c r="AU89" s="6"/>
      <c r="AW89" s="1"/>
      <c r="BD89" s="652"/>
      <c r="BE89" s="1"/>
      <c r="BF89" s="51"/>
      <c r="BG89" s="51"/>
      <c r="BI89" s="759"/>
      <c r="BJ89" s="897">
        <f t="shared" ref="BJ89:BJ96" si="36">BJ88+1</f>
        <v>81</v>
      </c>
      <c r="BK89" s="764"/>
      <c r="BL89" s="766"/>
      <c r="BM89" s="455">
        <f>Table!AB13</f>
        <v>1</v>
      </c>
      <c r="BN89" s="455">
        <f>BM90</f>
        <v>1.2</v>
      </c>
      <c r="BO89" s="455">
        <f>Table!AC13</f>
        <v>152</v>
      </c>
      <c r="BP89" s="925">
        <f>Table!AD13</f>
        <v>141</v>
      </c>
      <c r="BR89" s="764"/>
      <c r="BS89" s="455"/>
      <c r="BT89" s="455"/>
      <c r="BU89" s="925" t="s">
        <v>242</v>
      </c>
      <c r="BV89" s="895"/>
      <c r="BW89" s="912"/>
      <c r="BX89" s="925" t="str">
        <f>Table!AF11</f>
        <v>Double</v>
      </c>
      <c r="CH89" s="764">
        <f>IF(BN89=999,0,(BO90-BO89)/(BN89-BM89))</f>
        <v>70.000000000000014</v>
      </c>
      <c r="CI89" s="925">
        <f>IF(BN89=999,0,(BP90-BP89)/(BN89-BM89))</f>
        <v>35.000000000000007</v>
      </c>
      <c r="CJ89" s="759"/>
      <c r="CK89" s="498"/>
      <c r="CL89" s="52"/>
      <c r="EW89" s="427"/>
    </row>
    <row r="90" spans="1:153" ht="24" customHeight="1" thickBot="1">
      <c r="B90" s="426"/>
      <c r="C90" s="451"/>
      <c r="D90" s="52"/>
      <c r="E90" s="52"/>
      <c r="F90" s="497"/>
      <c r="G90" s="426"/>
      <c r="H90" s="51"/>
      <c r="I90" s="2776" t="str">
        <f ca="1">IF(OR(L90&lt;L92,M90&lt;L92,N90&lt;N92,O90&lt;N92),"External Line Totals Not Reached", "External Lines Achieved=")</f>
        <v>External Line Totals Not Reached</v>
      </c>
      <c r="J90" s="2777"/>
      <c r="K90" s="2777"/>
      <c r="L90" s="1810">
        <f ca="1">$EI$81</f>
        <v>0</v>
      </c>
      <c r="M90" s="1811">
        <f>$EK$81</f>
        <v>0</v>
      </c>
      <c r="N90" s="1782">
        <f ca="1">$EJ$81</f>
        <v>0</v>
      </c>
      <c r="O90" s="1783">
        <f>$EL$81</f>
        <v>0</v>
      </c>
      <c r="P90" s="59"/>
      <c r="R90" s="52"/>
      <c r="S90" s="52"/>
      <c r="T90" s="52"/>
      <c r="U90" s="52"/>
      <c r="V90" s="52"/>
      <c r="W90" s="52"/>
      <c r="X90" s="52"/>
      <c r="Y90" s="896"/>
      <c r="Z90" s="52"/>
      <c r="AA90" s="51"/>
      <c r="AB90" s="52"/>
      <c r="AC90" s="31"/>
      <c r="AD90" s="31"/>
      <c r="AE90" s="31"/>
      <c r="AF90" s="31"/>
      <c r="AG90" s="31"/>
      <c r="AH90" s="1"/>
      <c r="AI90" s="1"/>
      <c r="AJ90" s="31"/>
      <c r="AK90" s="31"/>
      <c r="AL90" s="31"/>
      <c r="AM90" s="1"/>
      <c r="AN90" s="1"/>
      <c r="AO90" s="1"/>
      <c r="AP90" s="1"/>
      <c r="AQ90" s="1"/>
      <c r="AR90" s="1"/>
      <c r="AS90" s="6"/>
      <c r="AT90" s="6"/>
      <c r="AU90" s="6"/>
      <c r="AW90" s="1"/>
      <c r="BD90" s="652"/>
      <c r="BE90" s="1"/>
      <c r="BF90" s="51"/>
      <c r="BG90" s="51"/>
      <c r="BI90" s="759"/>
      <c r="BJ90" s="897">
        <f t="shared" si="36"/>
        <v>82</v>
      </c>
      <c r="BK90" s="908"/>
      <c r="BL90" s="767"/>
      <c r="BM90" s="776">
        <f>Table!AB14</f>
        <v>1.2</v>
      </c>
      <c r="BN90" s="776">
        <v>999</v>
      </c>
      <c r="BO90" s="776">
        <f>Table!AC14</f>
        <v>166</v>
      </c>
      <c r="BP90" s="926">
        <f>Table!AD14</f>
        <v>148</v>
      </c>
      <c r="BQ90" s="1183"/>
      <c r="BR90" s="908"/>
      <c r="BS90" s="776"/>
      <c r="BT90" s="776"/>
      <c r="BU90" s="926" t="s">
        <v>242</v>
      </c>
      <c r="BV90" s="433"/>
      <c r="BW90" s="914"/>
      <c r="BX90" s="926" t="str">
        <f>Table!AF11</f>
        <v>Double</v>
      </c>
      <c r="CH90" s="908">
        <f>IF(BN90=999,0,(#REF!-BO90)/(BN90-BM90))</f>
        <v>0</v>
      </c>
      <c r="CI90" s="926">
        <f>IF(BN90=999,0,(#REF!-BP90)/(BN90-BM90))</f>
        <v>0</v>
      </c>
      <c r="CJ90" s="759"/>
      <c r="CK90" s="498"/>
      <c r="CL90" s="52"/>
      <c r="EW90" s="427"/>
    </row>
    <row r="91" spans="1:153" ht="24" customHeight="1" thickBot="1">
      <c r="B91" s="426"/>
      <c r="C91" s="451"/>
      <c r="D91" s="52"/>
      <c r="E91" s="52"/>
      <c r="F91" s="497"/>
      <c r="G91" s="426"/>
      <c r="H91" s="51"/>
      <c r="I91" s="1433"/>
      <c r="J91" s="426"/>
      <c r="K91" s="51"/>
      <c r="L91" s="2632" t="s">
        <v>1091</v>
      </c>
      <c r="M91" s="2761"/>
      <c r="N91" s="2632" t="s">
        <v>1090</v>
      </c>
      <c r="O91" s="2633"/>
      <c r="P91" s="51"/>
      <c r="Q91" s="52"/>
      <c r="R91" s="52"/>
      <c r="S91" s="52"/>
      <c r="T91" s="52"/>
      <c r="U91" s="52"/>
      <c r="V91" s="52"/>
      <c r="W91" s="52"/>
      <c r="X91" s="52"/>
      <c r="Y91" s="896"/>
      <c r="Z91" s="52"/>
      <c r="AA91" s="51"/>
      <c r="AB91" s="52"/>
      <c r="AC91" s="31"/>
      <c r="AD91" s="31"/>
      <c r="AE91" s="31"/>
      <c r="AF91" s="31"/>
      <c r="AG91" s="31"/>
      <c r="AH91" s="1"/>
      <c r="AI91" s="1"/>
      <c r="AJ91" s="31"/>
      <c r="AK91" s="31"/>
      <c r="AL91" s="31"/>
      <c r="AM91" s="1"/>
      <c r="AN91" s="1"/>
      <c r="AO91" s="1"/>
      <c r="AP91" s="1"/>
      <c r="AQ91" s="1"/>
      <c r="AR91" s="1"/>
      <c r="AS91" s="6"/>
      <c r="AT91" s="6"/>
      <c r="AU91" s="6"/>
      <c r="AW91" s="1"/>
      <c r="BD91" s="652"/>
      <c r="BE91" s="1"/>
      <c r="BF91" s="51"/>
      <c r="BG91" s="51"/>
      <c r="BI91" s="759"/>
      <c r="BJ91" s="897">
        <f t="shared" si="36"/>
        <v>83</v>
      </c>
      <c r="BK91" s="1231"/>
      <c r="BL91" s="1234"/>
      <c r="BM91" s="1205"/>
      <c r="BN91" s="1205"/>
      <c r="BO91" s="1205"/>
      <c r="BP91" s="1205"/>
      <c r="BQ91" s="1233"/>
      <c r="BR91" s="1205"/>
      <c r="BS91" s="1205"/>
      <c r="BT91" s="1205"/>
      <c r="BU91" s="1205"/>
      <c r="BV91" s="1233"/>
      <c r="BW91" s="1235"/>
      <c r="BX91" s="1205"/>
      <c r="CJ91" s="929"/>
      <c r="CK91" s="498"/>
      <c r="CL91" s="52"/>
      <c r="EW91" s="427"/>
    </row>
    <row r="92" spans="1:153" ht="24" customHeight="1" thickBot="1">
      <c r="B92" s="426"/>
      <c r="C92" s="451"/>
      <c r="D92" s="52"/>
      <c r="E92" s="52"/>
      <c r="F92" s="497"/>
      <c r="G92" s="426"/>
      <c r="H92" s="51"/>
      <c r="I92" s="2744" t="s">
        <v>836</v>
      </c>
      <c r="J92" s="2745"/>
      <c r="K92" s="2745"/>
      <c r="L92" s="2628">
        <f ca="1">$L$4</f>
        <v>108</v>
      </c>
      <c r="M92" s="2762"/>
      <c r="N92" s="2628">
        <f ca="1">$N$4</f>
        <v>108</v>
      </c>
      <c r="O92" s="2629"/>
      <c r="P92" s="51"/>
      <c r="Q92" s="52"/>
      <c r="R92" s="52"/>
      <c r="S92" s="52"/>
      <c r="T92" s="52"/>
      <c r="U92" s="52"/>
      <c r="V92" s="52"/>
      <c r="W92" s="52"/>
      <c r="X92" s="52"/>
      <c r="Y92" s="896"/>
      <c r="Z92" s="52"/>
      <c r="AA92" s="51" t="s">
        <v>8</v>
      </c>
      <c r="AB92" s="52"/>
      <c r="AC92" s="31"/>
      <c r="AD92" s="31"/>
      <c r="AE92" s="31"/>
      <c r="AF92" s="31"/>
      <c r="AG92" s="31"/>
      <c r="AH92" s="1"/>
      <c r="AI92" s="1"/>
      <c r="AJ92" s="31"/>
      <c r="AK92" s="31"/>
      <c r="AL92" s="31"/>
      <c r="AM92" s="1"/>
      <c r="AN92" s="1"/>
      <c r="AO92" s="1"/>
      <c r="AP92" s="1"/>
      <c r="AQ92" s="1"/>
      <c r="AR92" s="1"/>
      <c r="AS92" s="6"/>
      <c r="AT92" s="6"/>
      <c r="AU92" s="6"/>
      <c r="AW92" s="1"/>
      <c r="BD92" s="652"/>
      <c r="BE92" s="1"/>
      <c r="BF92" s="51"/>
      <c r="BG92" s="51"/>
      <c r="BI92" s="759"/>
      <c r="BJ92" s="897">
        <f t="shared" si="36"/>
        <v>84</v>
      </c>
      <c r="BK92" s="768" t="str">
        <f>BK86</f>
        <v xml:space="preserve">EPB </v>
      </c>
      <c r="BL92" s="765" t="str">
        <f>Table!AA16</f>
        <v>EMPH</v>
      </c>
      <c r="BM92" s="454">
        <f>Table!AB16</f>
        <v>0.4</v>
      </c>
      <c r="BN92" s="454">
        <f>BM93</f>
        <v>0.6</v>
      </c>
      <c r="BO92" s="454">
        <f>Table!AC16</f>
        <v>121</v>
      </c>
      <c r="BP92" s="924">
        <f>Table!AD16</f>
        <v>138</v>
      </c>
      <c r="BQ92" s="920"/>
      <c r="BR92" s="768" t="str">
        <f>Table!AE16</f>
        <v>ESPH</v>
      </c>
      <c r="BS92" s="454" t="str">
        <f>Table!AE17</f>
        <v>ESPH</v>
      </c>
      <c r="BT92" s="454" t="str">
        <f>Table!AF16</f>
        <v>E</v>
      </c>
      <c r="BU92" s="924" t="s">
        <v>242</v>
      </c>
      <c r="BV92" s="1230" t="str">
        <f>Table!AI84</f>
        <v>EMPH</v>
      </c>
      <c r="BW92" s="1229">
        <f>BJ92</f>
        <v>84</v>
      </c>
      <c r="BX92" s="924" t="str">
        <f>Table!AF17</f>
        <v>Double</v>
      </c>
      <c r="CH92" s="768">
        <f>IF(BN92=999,0,(BO93-BO92)/(BN92-BM92))</f>
        <v>80.000000000000014</v>
      </c>
      <c r="CI92" s="924">
        <f>IF(BN92=999,0,(BP93-BP92)/(BN92-BM92))</f>
        <v>75.000000000000014</v>
      </c>
      <c r="CJ92" s="929"/>
      <c r="CK92" s="498"/>
      <c r="CL92" s="52"/>
      <c r="EW92" s="427"/>
    </row>
    <row r="93" spans="1:153" ht="12.75" customHeight="1">
      <c r="B93" s="426"/>
      <c r="C93" s="451"/>
      <c r="D93" s="52"/>
      <c r="E93" s="52"/>
      <c r="F93" s="497"/>
      <c r="G93" s="426"/>
      <c r="H93" s="51"/>
      <c r="I93" s="426"/>
      <c r="J93" s="426"/>
      <c r="K93" s="51"/>
      <c r="L93" s="52"/>
      <c r="M93" s="51"/>
      <c r="N93" s="52"/>
      <c r="O93" s="51"/>
      <c r="P93" s="53"/>
      <c r="Q93" s="54"/>
      <c r="R93" s="52"/>
      <c r="S93" s="52"/>
      <c r="T93" s="52"/>
      <c r="U93" s="52"/>
      <c r="V93" s="52"/>
      <c r="W93" s="52"/>
      <c r="X93" s="52"/>
      <c r="Y93" s="896"/>
      <c r="Z93" s="52"/>
      <c r="AA93" s="51"/>
      <c r="AB93" s="52"/>
      <c r="AC93" s="31"/>
      <c r="AD93" s="31"/>
      <c r="AE93" s="31"/>
      <c r="AF93" s="31"/>
      <c r="AG93" s="31"/>
      <c r="AH93" s="1"/>
      <c r="AI93" s="1"/>
      <c r="AJ93" s="31"/>
      <c r="AK93" s="31"/>
      <c r="AL93" s="31"/>
      <c r="AM93" s="1"/>
      <c r="AN93" s="1"/>
      <c r="AO93" s="1"/>
      <c r="AP93" s="1"/>
      <c r="AQ93" s="1"/>
      <c r="AR93" s="1"/>
      <c r="AS93" s="6"/>
      <c r="AT93" s="6"/>
      <c r="AU93" s="6"/>
      <c r="AW93" s="1"/>
      <c r="BD93" s="652"/>
      <c r="BE93" s="1"/>
      <c r="BF93" s="51"/>
      <c r="BG93" s="51"/>
      <c r="BI93" s="759"/>
      <c r="BJ93" s="897">
        <f t="shared" si="36"/>
        <v>85</v>
      </c>
      <c r="BK93" s="764"/>
      <c r="BL93" s="766"/>
      <c r="BM93" s="455">
        <f>Table!AB17</f>
        <v>0.6</v>
      </c>
      <c r="BN93" s="455">
        <f>BM94</f>
        <v>0.8</v>
      </c>
      <c r="BO93" s="455">
        <f>Table!AC17</f>
        <v>137</v>
      </c>
      <c r="BP93" s="925">
        <f>Table!AD17</f>
        <v>153</v>
      </c>
      <c r="BR93" s="764"/>
      <c r="BS93" s="455"/>
      <c r="BT93" s="455"/>
      <c r="BU93" s="925" t="s">
        <v>242</v>
      </c>
      <c r="BV93" s="895"/>
      <c r="BW93" s="912"/>
      <c r="BX93" s="925" t="str">
        <f>Table!AF17</f>
        <v>Double</v>
      </c>
      <c r="CH93" s="764">
        <f>IF(BN93=999,0,(BO94-BO93)/(BN93-BM93))</f>
        <v>54.999999999999979</v>
      </c>
      <c r="CI93" s="925">
        <f>IF(BN93=999,0,(BP94-BP93)/(BN93-BM93))</f>
        <v>44.999999999999986</v>
      </c>
      <c r="CJ93" s="929"/>
      <c r="CK93" s="498"/>
      <c r="CL93" s="52"/>
      <c r="EW93" s="427"/>
    </row>
    <row r="94" spans="1:153" ht="12.75" customHeight="1">
      <c r="A94" s="498"/>
      <c r="B94" s="1432"/>
      <c r="C94" s="1442"/>
      <c r="D94" s="1435"/>
      <c r="E94" s="1435"/>
      <c r="F94" s="1443"/>
      <c r="G94" s="1432"/>
      <c r="H94" s="1409"/>
      <c r="I94" s="1432"/>
      <c r="J94" s="1432"/>
      <c r="K94" s="1409"/>
      <c r="L94" s="1435"/>
      <c r="M94" s="1409"/>
      <c r="N94" s="1435"/>
      <c r="O94" s="1409"/>
      <c r="P94" s="1436"/>
      <c r="Q94" s="1437"/>
      <c r="R94" s="52"/>
      <c r="S94" s="52"/>
      <c r="T94" s="52"/>
      <c r="U94" s="52"/>
      <c r="V94" s="52"/>
      <c r="W94" s="52"/>
      <c r="X94" s="52"/>
      <c r="Y94" s="896"/>
      <c r="Z94" s="52"/>
      <c r="AA94" s="51"/>
      <c r="AB94" s="52"/>
      <c r="AC94" s="31"/>
      <c r="AD94" s="31"/>
      <c r="AE94" s="31"/>
      <c r="AF94" s="31"/>
      <c r="AG94" s="31"/>
      <c r="AH94" s="1"/>
      <c r="AI94" s="1"/>
      <c r="AJ94" s="31"/>
      <c r="AK94" s="31"/>
      <c r="AL94" s="31"/>
      <c r="AM94" s="1"/>
      <c r="AN94" s="1"/>
      <c r="AO94" s="1"/>
      <c r="AP94" s="1"/>
      <c r="AQ94" s="1"/>
      <c r="AR94" s="1"/>
      <c r="AS94" s="6"/>
      <c r="AT94" s="6"/>
      <c r="AU94" s="6"/>
      <c r="AW94" s="1"/>
      <c r="BD94" s="652"/>
      <c r="BE94" s="1"/>
      <c r="BF94" s="51"/>
      <c r="BG94" s="51"/>
      <c r="BI94" s="1241"/>
      <c r="BJ94" s="897">
        <f t="shared" si="36"/>
        <v>86</v>
      </c>
      <c r="BK94" s="764"/>
      <c r="BL94" s="766"/>
      <c r="BM94" s="455">
        <f>Table!AB18</f>
        <v>0.8</v>
      </c>
      <c r="BN94" s="455">
        <f>BM95</f>
        <v>0.9</v>
      </c>
      <c r="BO94" s="455">
        <f>Table!AC18</f>
        <v>148</v>
      </c>
      <c r="BP94" s="925">
        <f>Table!AD18</f>
        <v>162</v>
      </c>
      <c r="BR94" s="764"/>
      <c r="BS94" s="455"/>
      <c r="BT94" s="455"/>
      <c r="BU94" s="925" t="s">
        <v>242</v>
      </c>
      <c r="BV94" s="895"/>
      <c r="BW94" s="912"/>
      <c r="BX94" s="925" t="str">
        <f>Table!AF17</f>
        <v>Double</v>
      </c>
      <c r="CH94" s="764">
        <f>IF(BN94=999,0,(BO95-BO94)/(BN94-BM94))</f>
        <v>140.00000000000003</v>
      </c>
      <c r="CI94" s="925">
        <f>IF(BN94=999,0,(BP95-BP94)/(BN94-BM94))</f>
        <v>50.000000000000014</v>
      </c>
      <c r="CJ94" s="1243"/>
      <c r="CK94" s="498"/>
      <c r="CL94" s="52"/>
      <c r="EW94" s="427"/>
    </row>
    <row r="95" spans="1:153" ht="15.75" hidden="1">
      <c r="A95" s="498"/>
      <c r="B95" s="1432"/>
      <c r="C95" s="1442"/>
      <c r="D95" s="1435"/>
      <c r="E95" s="1435"/>
      <c r="F95" s="1443"/>
      <c r="G95" s="1432"/>
      <c r="H95" s="1409"/>
      <c r="I95" s="1432"/>
      <c r="J95" s="1432"/>
      <c r="K95" s="1409"/>
      <c r="L95" s="1435"/>
      <c r="M95" s="1409"/>
      <c r="N95" s="1435"/>
      <c r="O95" s="1409"/>
      <c r="P95" s="1436"/>
      <c r="Q95" s="1437"/>
      <c r="R95" s="52"/>
      <c r="S95" s="52"/>
      <c r="T95" s="52"/>
      <c r="U95" s="52"/>
      <c r="V95" s="52"/>
      <c r="W95" s="52"/>
      <c r="X95" s="52"/>
      <c r="Y95" s="896"/>
      <c r="Z95" s="52"/>
      <c r="AA95" s="51"/>
      <c r="AB95" s="52"/>
      <c r="AC95" s="31"/>
      <c r="AD95" s="31"/>
      <c r="AE95" s="31"/>
      <c r="AF95" s="31"/>
      <c r="AG95" s="31"/>
      <c r="AH95" s="1"/>
      <c r="AI95" s="1"/>
      <c r="AJ95" s="31"/>
      <c r="AK95" s="31"/>
      <c r="AL95" s="31"/>
      <c r="AM95" s="1"/>
      <c r="AN95" s="1"/>
      <c r="AO95" s="1"/>
      <c r="AP95" s="1"/>
      <c r="AQ95" s="1"/>
      <c r="AR95" s="1"/>
      <c r="AS95" s="6"/>
      <c r="AT95" s="6"/>
      <c r="AU95" s="6"/>
      <c r="AW95" s="1"/>
      <c r="BD95" s="652"/>
      <c r="BE95" s="1"/>
      <c r="BF95" s="51"/>
      <c r="BG95" s="51"/>
      <c r="BI95" s="1241"/>
      <c r="BJ95" s="897">
        <f t="shared" si="36"/>
        <v>87</v>
      </c>
      <c r="BK95" s="764"/>
      <c r="BL95" s="766"/>
      <c r="BM95" s="455">
        <f>Table!AB19</f>
        <v>0.9</v>
      </c>
      <c r="BN95" s="455">
        <f>BM96</f>
        <v>1.2</v>
      </c>
      <c r="BO95" s="455">
        <f>Table!AC19</f>
        <v>162</v>
      </c>
      <c r="BP95" s="925">
        <f>Table!AD19</f>
        <v>167</v>
      </c>
      <c r="BR95" s="764"/>
      <c r="BS95" s="455"/>
      <c r="BT95" s="455"/>
      <c r="BU95" s="925" t="s">
        <v>242</v>
      </c>
      <c r="BV95" s="895"/>
      <c r="BW95" s="912"/>
      <c r="BX95" s="925" t="str">
        <f>Table!AF17</f>
        <v>Double</v>
      </c>
      <c r="CH95" s="764">
        <f>IF(BN95=999,0,(BO96-BO95)/(BN95-BM95))</f>
        <v>0</v>
      </c>
      <c r="CI95" s="925">
        <f>IF(BN95=999,0,(BP96-BP95)/(BN95-BM95))</f>
        <v>0</v>
      </c>
      <c r="CJ95" s="1241"/>
      <c r="CK95" s="498"/>
      <c r="CL95" s="52"/>
      <c r="EW95" s="427"/>
    </row>
    <row r="96" spans="1:153" ht="16.5" hidden="1" thickBot="1">
      <c r="A96" s="498"/>
      <c r="B96" s="1432"/>
      <c r="C96" s="1442"/>
      <c r="D96" s="1435"/>
      <c r="E96" s="1435"/>
      <c r="F96" s="1443"/>
      <c r="G96" s="1432"/>
      <c r="H96" s="1409"/>
      <c r="I96" s="1432"/>
      <c r="J96" s="1432"/>
      <c r="K96" s="1409"/>
      <c r="L96" s="1435"/>
      <c r="M96" s="1409"/>
      <c r="N96" s="1435"/>
      <c r="O96" s="1409"/>
      <c r="P96" s="1436"/>
      <c r="Q96" s="1437"/>
      <c r="R96" s="52"/>
      <c r="S96" s="52"/>
      <c r="T96" s="52"/>
      <c r="U96" s="52"/>
      <c r="V96" s="52"/>
      <c r="W96" s="52"/>
      <c r="X96" s="52"/>
      <c r="Y96" s="896"/>
      <c r="Z96" s="52"/>
      <c r="AA96" s="51"/>
      <c r="AB96" s="52"/>
      <c r="AC96" s="31"/>
      <c r="AD96" s="31"/>
      <c r="AE96" s="31"/>
      <c r="AF96" s="31"/>
      <c r="AG96" s="31"/>
      <c r="AH96" s="1"/>
      <c r="AI96" s="1"/>
      <c r="AJ96" s="31"/>
      <c r="AK96" s="31"/>
      <c r="AL96" s="31"/>
      <c r="AM96" s="1"/>
      <c r="AN96" s="1"/>
      <c r="AO96" s="1"/>
      <c r="AP96" s="1"/>
      <c r="AQ96" s="1"/>
      <c r="AR96" s="1"/>
      <c r="AS96" s="6"/>
      <c r="AT96" s="6"/>
      <c r="AU96" s="6"/>
      <c r="AW96" s="1"/>
      <c r="BD96" s="652"/>
      <c r="BE96" s="1"/>
      <c r="BF96" s="51"/>
      <c r="BG96" s="51"/>
      <c r="BI96" s="1241"/>
      <c r="BJ96" s="897">
        <f t="shared" si="36"/>
        <v>88</v>
      </c>
      <c r="BK96" s="908"/>
      <c r="BL96" s="767"/>
      <c r="BM96" s="776">
        <f>Table!AB20</f>
        <v>1.2</v>
      </c>
      <c r="BN96" s="776">
        <v>999</v>
      </c>
      <c r="BO96" s="776">
        <f>Table!AC20</f>
        <v>162</v>
      </c>
      <c r="BP96" s="926">
        <f>Table!AD20</f>
        <v>167</v>
      </c>
      <c r="BQ96" s="1183"/>
      <c r="BR96" s="908"/>
      <c r="BS96" s="776"/>
      <c r="BT96" s="776"/>
      <c r="BU96" s="926" t="s">
        <v>242</v>
      </c>
      <c r="BV96" s="433"/>
      <c r="BW96" s="914"/>
      <c r="BX96" s="926" t="str">
        <f>Table!AF17</f>
        <v>Double</v>
      </c>
      <c r="CH96" s="908">
        <f>IF(BN96=999,0,(#REF!-BO96)/(BN96-BM96))</f>
        <v>0</v>
      </c>
      <c r="CI96" s="926">
        <f>IF(BN96=999,0,(#REF!-BP96)/(BN96-BM96))</f>
        <v>0</v>
      </c>
      <c r="CJ96" s="1243"/>
      <c r="CK96" s="498"/>
      <c r="CL96" s="52"/>
      <c r="EW96" s="427"/>
    </row>
    <row r="97" spans="1:153" ht="12.75" hidden="1" customHeight="1">
      <c r="A97" s="498"/>
      <c r="B97" s="1432">
        <f ca="1">IF(OR(B84&lt;&gt;"",B85&lt;&gt;"",),1,0)</f>
        <v>0</v>
      </c>
      <c r="C97" s="1442"/>
      <c r="D97" s="1435"/>
      <c r="E97" s="1435"/>
      <c r="F97" s="1443"/>
      <c r="G97" s="1432">
        <f>IF(OR(G83&lt;&gt;""),0,0)</f>
        <v>0</v>
      </c>
      <c r="H97" s="1409"/>
      <c r="I97" s="1432"/>
      <c r="J97" s="1432">
        <f ca="1">IF(OR(J84&lt;&gt;"",J85&lt;&gt;"",),1,0)</f>
        <v>0</v>
      </c>
      <c r="K97" s="1409"/>
      <c r="L97" s="1435"/>
      <c r="M97" s="1409">
        <f ca="1">IF(L83&lt;&gt;"",1,0)</f>
        <v>1</v>
      </c>
      <c r="N97" s="1435"/>
      <c r="O97" s="1409">
        <f ca="1">IF(N83&lt;&gt;"",1,0)</f>
        <v>1</v>
      </c>
      <c r="P97" s="1409"/>
      <c r="Q97" s="1435">
        <f ca="1">SUM(B97:O97)</f>
        <v>2</v>
      </c>
      <c r="R97" s="52"/>
      <c r="S97" s="52"/>
      <c r="T97" s="52"/>
      <c r="U97" s="52"/>
      <c r="V97" s="52"/>
      <c r="W97" s="52"/>
      <c r="X97" s="52"/>
      <c r="Y97" s="896"/>
      <c r="Z97" s="52"/>
      <c r="AA97" s="51"/>
      <c r="AB97" s="52"/>
      <c r="AC97" s="31"/>
      <c r="AD97" s="31"/>
      <c r="AE97" s="31"/>
      <c r="AF97" s="31"/>
      <c r="AG97" s="31"/>
      <c r="AH97" s="1"/>
      <c r="AI97" s="1"/>
      <c r="AJ97" s="31"/>
      <c r="AK97" s="31"/>
      <c r="AL97" s="31"/>
      <c r="AM97" s="1"/>
      <c r="AN97" s="1"/>
      <c r="AO97" s="1"/>
      <c r="AP97" s="1"/>
      <c r="AQ97" s="1"/>
      <c r="AR97" s="1"/>
      <c r="AS97" s="6"/>
      <c r="AT97" s="6"/>
      <c r="AU97" s="6"/>
      <c r="AW97" s="1"/>
      <c r="BD97" s="652"/>
      <c r="BE97" s="1"/>
      <c r="BF97" s="51"/>
      <c r="BG97" s="51"/>
      <c r="BI97" s="1241"/>
      <c r="BJ97" s="893"/>
      <c r="BK97" s="421"/>
      <c r="BL97" s="899"/>
      <c r="BM97" s="502"/>
      <c r="BN97" s="502"/>
      <c r="BO97" s="502"/>
      <c r="BP97" s="502"/>
      <c r="BQ97" s="498"/>
      <c r="BR97" s="502"/>
      <c r="BS97" s="502"/>
      <c r="BT97" s="502"/>
      <c r="BU97" s="502"/>
      <c r="BV97" s="498"/>
      <c r="BW97" s="498"/>
      <c r="BX97" s="498"/>
      <c r="BY97" s="498"/>
      <c r="BZ97" s="498"/>
      <c r="CA97" s="498"/>
      <c r="CB97" s="498"/>
      <c r="CC97" s="498"/>
      <c r="CD97" s="498"/>
      <c r="CE97" s="498"/>
      <c r="CF97" s="498"/>
      <c r="CG97" s="498"/>
      <c r="CH97" s="502"/>
      <c r="CI97" s="502"/>
      <c r="CJ97" s="1243"/>
      <c r="CK97" s="498"/>
      <c r="CL97" s="52"/>
      <c r="EW97" s="427"/>
    </row>
    <row r="98" spans="1:153" ht="12.75" hidden="1" customHeight="1">
      <c r="A98" s="498"/>
      <c r="B98" s="1444">
        <f ca="1">IF(OR(B84&lt;&gt;"",B85&lt;&gt;"",B87&lt;&gt;"",B88&lt;&gt;"",B89&lt;&gt;""),1,0)</f>
        <v>0</v>
      </c>
      <c r="C98" s="1445"/>
      <c r="D98" s="1446"/>
      <c r="E98" s="1446"/>
      <c r="F98" s="1435"/>
      <c r="G98" s="1444">
        <f>IF(OR(G83&lt;&gt;""),0,0)</f>
        <v>0</v>
      </c>
      <c r="H98" s="1409"/>
      <c r="I98" s="1409"/>
      <c r="J98" s="1444">
        <f ca="1">IF(OR(J84&lt;&gt;"",J85&lt;&gt;"",I86&lt;&gt;"",),1,0)</f>
        <v>0</v>
      </c>
      <c r="K98" s="1409"/>
      <c r="L98" s="1438">
        <f ca="1">L99+M99</f>
        <v>1</v>
      </c>
      <c r="M98" s="1439">
        <f ca="1">IF(L83&lt;&gt;"",1,0)</f>
        <v>1</v>
      </c>
      <c r="N98" s="1438">
        <f ca="1">N99+O99</f>
        <v>1</v>
      </c>
      <c r="O98" s="1440">
        <f ca="1">IF(N83&lt;&gt;"",1,0)</f>
        <v>1</v>
      </c>
      <c r="P98" s="1436"/>
      <c r="Q98" s="1435">
        <f ca="1">SUM(B98:O98)</f>
        <v>4</v>
      </c>
      <c r="R98" s="52"/>
      <c r="S98" s="52"/>
      <c r="T98" s="52"/>
      <c r="U98" s="52"/>
      <c r="V98" s="52"/>
      <c r="W98" s="52"/>
      <c r="X98" s="52"/>
      <c r="Y98" s="896"/>
      <c r="Z98" s="52"/>
      <c r="AA98" s="51" t="s">
        <v>68</v>
      </c>
      <c r="AB98" s="52"/>
      <c r="AC98" s="31"/>
      <c r="AD98" s="31"/>
      <c r="AE98" s="31"/>
      <c r="AF98" s="31"/>
      <c r="AG98" s="31"/>
      <c r="AH98" s="1"/>
      <c r="AI98" s="1"/>
      <c r="AJ98" s="31"/>
      <c r="AK98" s="31"/>
      <c r="AL98" s="31"/>
      <c r="AM98" s="1"/>
      <c r="AN98" s="1"/>
      <c r="AO98" s="1"/>
      <c r="AP98" s="1"/>
      <c r="AQ98" s="1"/>
      <c r="AR98" s="1"/>
      <c r="AS98" s="6"/>
      <c r="AT98" s="6"/>
      <c r="AU98" s="6"/>
      <c r="AW98" s="1"/>
      <c r="BD98" s="652"/>
      <c r="BE98" s="1"/>
      <c r="BF98" s="51"/>
      <c r="BG98" s="51"/>
      <c r="BI98" s="1241"/>
      <c r="BJ98" s="893"/>
      <c r="BK98" s="421"/>
      <c r="BL98" s="899"/>
      <c r="BM98" s="502"/>
      <c r="BN98" s="502"/>
      <c r="BO98" s="502"/>
      <c r="BP98" s="502"/>
      <c r="BQ98" s="498"/>
      <c r="BR98" s="502"/>
      <c r="BS98" s="502"/>
      <c r="BT98" s="502"/>
      <c r="BU98" s="502"/>
      <c r="BV98" s="498"/>
      <c r="BW98" s="498"/>
      <c r="BX98" s="498"/>
      <c r="BY98" s="498"/>
      <c r="BZ98" s="498"/>
      <c r="CA98" s="498"/>
      <c r="CB98" s="498"/>
      <c r="CC98" s="498"/>
      <c r="CD98" s="498"/>
      <c r="CE98" s="498"/>
      <c r="CF98" s="498"/>
      <c r="CG98" s="498"/>
      <c r="CH98" s="502"/>
      <c r="CI98" s="502"/>
      <c r="CJ98" s="1243"/>
      <c r="CK98" s="498"/>
      <c r="CL98" s="52"/>
      <c r="EW98" s="427"/>
    </row>
    <row r="99" spans="1:153" ht="12.75" hidden="1" customHeight="1">
      <c r="A99" s="498"/>
      <c r="B99" s="1444"/>
      <c r="C99" s="1435"/>
      <c r="D99" s="1435"/>
      <c r="E99" s="1435"/>
      <c r="F99" s="1435"/>
      <c r="G99" s="1409"/>
      <c r="H99" s="1409"/>
      <c r="I99" s="1409"/>
      <c r="J99" s="1409"/>
      <c r="K99" s="1409"/>
      <c r="L99" s="1435">
        <f ca="1">IF((L90&lt;L92),1,0)</f>
        <v>1</v>
      </c>
      <c r="M99" s="1435">
        <f>IF((M90&lt;M92),1,0)</f>
        <v>0</v>
      </c>
      <c r="N99" s="1435">
        <f ca="1">IF((N90&lt;N92),1,0)</f>
        <v>1</v>
      </c>
      <c r="O99" s="1435">
        <f>IF((O90&lt;O92),1,0)</f>
        <v>0</v>
      </c>
      <c r="P99" s="1436"/>
      <c r="Q99" s="1437"/>
      <c r="R99" s="52"/>
      <c r="S99" s="52"/>
      <c r="T99" s="52"/>
      <c r="U99" s="52"/>
      <c r="V99" s="52"/>
      <c r="W99" s="52"/>
      <c r="X99" s="52"/>
      <c r="Y99" s="896"/>
      <c r="Z99" s="52"/>
      <c r="AA99" s="51"/>
      <c r="AB99" s="52"/>
      <c r="AC99" s="31"/>
      <c r="AD99" s="31"/>
      <c r="AE99" s="31"/>
      <c r="AJ99" s="31"/>
      <c r="AK99" s="31"/>
      <c r="AL99" s="31"/>
      <c r="AM99" s="1"/>
      <c r="AN99" s="1"/>
      <c r="AO99" s="1"/>
      <c r="AP99" s="1"/>
      <c r="AQ99" s="1"/>
      <c r="AR99" s="1"/>
      <c r="AS99" s="6"/>
      <c r="AT99" s="6"/>
      <c r="AU99" s="6"/>
      <c r="AW99" s="1"/>
      <c r="BD99" s="652"/>
      <c r="BE99" s="1"/>
      <c r="BF99" s="51"/>
      <c r="BG99" s="51"/>
      <c r="BI99" s="1241"/>
      <c r="BJ99" s="1242"/>
      <c r="BK99" s="934"/>
      <c r="BL99" s="935"/>
      <c r="BM99" s="936"/>
      <c r="BN99" s="936"/>
      <c r="BO99" s="936"/>
      <c r="BP99" s="936"/>
      <c r="BQ99" s="929"/>
      <c r="BR99" s="936"/>
      <c r="BS99" s="936"/>
      <c r="BT99" s="936"/>
      <c r="BU99" s="936"/>
      <c r="BV99" s="929"/>
      <c r="BW99" s="929"/>
      <c r="BX99" s="929"/>
      <c r="BY99" s="929"/>
      <c r="BZ99" s="929"/>
      <c r="CA99" s="929"/>
      <c r="CB99" s="929"/>
      <c r="CC99" s="929"/>
      <c r="CD99" s="929"/>
      <c r="CE99" s="929"/>
      <c r="CF99" s="929"/>
      <c r="CG99" s="929"/>
      <c r="CH99" s="936"/>
      <c r="CI99" s="936"/>
      <c r="CJ99" s="1243"/>
      <c r="CK99" s="498"/>
      <c r="CL99" s="52"/>
      <c r="EW99" s="427"/>
    </row>
    <row r="100" spans="1:153" ht="15.75" hidden="1" customHeight="1">
      <c r="A100" s="498"/>
      <c r="B100" s="1409"/>
      <c r="C100" s="1435"/>
      <c r="D100" s="1435"/>
      <c r="E100" s="1435"/>
      <c r="F100" s="1435"/>
      <c r="G100" s="1409"/>
      <c r="H100" s="1409"/>
      <c r="I100" s="1409"/>
      <c r="J100" s="1409"/>
      <c r="K100" s="1409"/>
      <c r="L100" s="1435"/>
      <c r="M100" s="1409"/>
      <c r="N100" s="1435"/>
      <c r="O100" s="1409"/>
      <c r="P100" s="1436"/>
      <c r="Q100" s="1437"/>
      <c r="R100" s="52"/>
      <c r="S100" s="52"/>
      <c r="T100" s="52"/>
      <c r="U100" s="52"/>
      <c r="V100" s="52"/>
      <c r="W100" s="52"/>
      <c r="X100" s="52"/>
      <c r="Y100" s="896"/>
      <c r="Z100" s="52"/>
      <c r="AA100" s="51"/>
      <c r="AB100" s="52"/>
      <c r="AC100" s="31"/>
      <c r="AD100" s="31"/>
      <c r="AE100" s="31"/>
      <c r="AJ100" s="31"/>
      <c r="AK100" s="31"/>
      <c r="AL100" s="31"/>
      <c r="AM100" s="1"/>
      <c r="AN100" s="1"/>
      <c r="AO100" s="1"/>
      <c r="AP100" s="1"/>
      <c r="AQ100" s="1"/>
      <c r="AR100" s="1"/>
      <c r="AS100" s="6"/>
      <c r="AT100" s="6"/>
      <c r="AU100" s="6"/>
      <c r="AW100" s="1"/>
      <c r="BD100" s="652"/>
      <c r="BE100" s="1"/>
      <c r="BF100" s="51"/>
      <c r="BG100" s="51"/>
      <c r="BJ100" s="893"/>
      <c r="BK100" s="502"/>
      <c r="BL100" s="900"/>
      <c r="BM100" s="502"/>
      <c r="BN100" s="502"/>
      <c r="BO100" s="502"/>
      <c r="BP100" s="502"/>
      <c r="BQ100" s="498"/>
      <c r="BR100" s="502"/>
      <c r="BS100" s="502"/>
      <c r="BT100" s="502"/>
      <c r="BU100" s="502"/>
      <c r="BV100" s="498"/>
      <c r="BW100" s="498"/>
      <c r="BX100" s="498"/>
      <c r="BY100" s="498"/>
      <c r="BZ100" s="498"/>
      <c r="CA100" s="498"/>
      <c r="CB100" s="498"/>
      <c r="CC100" s="498"/>
      <c r="CD100" s="498"/>
      <c r="CE100" s="498"/>
      <c r="CF100" s="498"/>
      <c r="CG100" s="498"/>
      <c r="CH100" s="502"/>
      <c r="CI100" s="502"/>
      <c r="CJ100" s="498"/>
      <c r="CK100" s="498"/>
      <c r="CL100" s="52"/>
      <c r="EW100" s="427"/>
    </row>
    <row r="101" spans="1:153" ht="15.75" hidden="1" customHeight="1">
      <c r="A101" s="498"/>
      <c r="B101" s="1409"/>
      <c r="C101" s="1435"/>
      <c r="D101" s="1435"/>
      <c r="E101" s="1435"/>
      <c r="F101" s="1435"/>
      <c r="G101" s="1409"/>
      <c r="H101" s="1409"/>
      <c r="I101" s="1409"/>
      <c r="J101" s="1409"/>
      <c r="K101" s="1436"/>
      <c r="L101" s="1437"/>
      <c r="M101" s="1436"/>
      <c r="N101" s="1437"/>
      <c r="O101" s="1436"/>
      <c r="P101" s="1409"/>
      <c r="Q101" s="1435"/>
      <c r="R101" s="52"/>
      <c r="S101" s="52"/>
      <c r="T101" s="52"/>
      <c r="U101" s="52"/>
      <c r="V101" s="52"/>
      <c r="W101" s="52"/>
      <c r="X101" s="52"/>
      <c r="Y101" s="896"/>
      <c r="Z101" s="52"/>
      <c r="AA101" s="51"/>
      <c r="AB101" s="52"/>
      <c r="AC101" s="31"/>
      <c r="AD101" s="31"/>
      <c r="AE101" s="31"/>
      <c r="AJ101" s="31"/>
      <c r="AK101" s="31"/>
      <c r="AL101" s="31"/>
      <c r="AM101" s="1"/>
      <c r="AN101" s="1"/>
      <c r="AO101" s="1"/>
      <c r="AP101" s="1"/>
      <c r="AQ101" s="1"/>
      <c r="AR101" s="1"/>
      <c r="AS101" s="6"/>
      <c r="AT101" s="6"/>
      <c r="AU101" s="6"/>
      <c r="AW101" s="1"/>
      <c r="BD101" s="652"/>
      <c r="BE101" s="1"/>
      <c r="BF101" s="51"/>
      <c r="BG101" s="51"/>
      <c r="BJ101" s="893"/>
      <c r="BK101" s="502"/>
      <c r="BL101" s="900"/>
      <c r="BM101" s="502"/>
      <c r="BN101" s="502"/>
      <c r="BO101" s="502"/>
      <c r="BP101" s="502"/>
      <c r="BQ101" s="498"/>
      <c r="BR101" s="502"/>
      <c r="BS101" s="502"/>
      <c r="BT101" s="502"/>
      <c r="BU101" s="502"/>
      <c r="BV101" s="498"/>
      <c r="BW101" s="498"/>
      <c r="BX101" s="498"/>
      <c r="BY101" s="498"/>
      <c r="BZ101" s="498"/>
      <c r="CA101" s="498"/>
      <c r="CB101" s="498"/>
      <c r="CC101" s="498"/>
      <c r="CD101" s="498"/>
      <c r="CE101" s="498"/>
      <c r="CF101" s="498"/>
      <c r="CG101" s="498"/>
      <c r="CH101" s="502"/>
      <c r="CI101" s="502"/>
      <c r="CJ101" s="498"/>
      <c r="CK101" s="498"/>
      <c r="CL101" s="52"/>
      <c r="EW101" s="427"/>
    </row>
    <row r="102" spans="1:153" ht="15.75" hidden="1" customHeight="1">
      <c r="A102" s="498"/>
      <c r="B102" s="1409"/>
      <c r="C102" s="1435"/>
      <c r="D102" s="1435"/>
      <c r="E102" s="1435"/>
      <c r="F102" s="1435"/>
      <c r="G102" s="1409"/>
      <c r="H102" s="1409"/>
      <c r="I102" s="1447"/>
      <c r="J102" s="1447"/>
      <c r="K102" s="1441"/>
      <c r="L102" s="1441"/>
      <c r="M102" s="1441"/>
      <c r="N102" s="1441"/>
      <c r="O102" s="1436"/>
      <c r="P102" s="1409"/>
      <c r="Q102" s="1435"/>
      <c r="R102" s="52"/>
      <c r="S102" s="52"/>
      <c r="T102" s="52"/>
      <c r="U102" s="52"/>
      <c r="V102" s="52"/>
      <c r="W102" s="52"/>
      <c r="X102" s="52"/>
      <c r="Y102" s="896"/>
      <c r="Z102" s="52" t="s">
        <v>8</v>
      </c>
      <c r="AA102" s="51" t="s">
        <v>8</v>
      </c>
      <c r="AB102" s="52"/>
      <c r="AC102" s="31"/>
      <c r="AD102" s="31"/>
      <c r="AE102" s="31"/>
      <c r="AF102" s="1"/>
      <c r="AG102" s="1"/>
      <c r="AH102" s="1"/>
      <c r="AI102" s="1"/>
      <c r="AJ102" s="31"/>
      <c r="AK102" s="31"/>
      <c r="AL102" s="1"/>
      <c r="AM102" s="1"/>
      <c r="AN102" s="1"/>
      <c r="AO102" s="1"/>
      <c r="AP102" s="1"/>
      <c r="AQ102" s="1"/>
      <c r="AR102" s="1"/>
      <c r="AS102" s="6"/>
      <c r="AT102" s="6"/>
      <c r="AU102" s="6"/>
      <c r="AW102" s="1"/>
      <c r="BD102" s="652"/>
      <c r="BE102" s="1"/>
      <c r="BF102" s="51"/>
      <c r="BG102" s="51"/>
      <c r="BJ102" s="893"/>
      <c r="BK102" s="502"/>
      <c r="BL102" s="900"/>
      <c r="BM102" s="502"/>
      <c r="BN102" s="502"/>
      <c r="BO102" s="502"/>
      <c r="BP102" s="502"/>
      <c r="BQ102" s="498"/>
      <c r="BR102" s="502"/>
      <c r="BS102" s="502"/>
      <c r="BT102" s="502"/>
      <c r="BU102" s="502"/>
      <c r="BV102" s="498"/>
      <c r="BW102" s="498"/>
      <c r="BX102" s="498"/>
      <c r="BY102" s="498"/>
      <c r="BZ102" s="498"/>
      <c r="CA102" s="498"/>
      <c r="CB102" s="498"/>
      <c r="CC102" s="498"/>
      <c r="CD102" s="498"/>
      <c r="CE102" s="498"/>
      <c r="CF102" s="498"/>
      <c r="CG102" s="498"/>
      <c r="CH102" s="502"/>
      <c r="CI102" s="502"/>
      <c r="CJ102" s="498"/>
      <c r="CK102" s="498"/>
      <c r="CL102" s="52"/>
      <c r="EW102" s="427"/>
    </row>
    <row r="103" spans="1:153" ht="15.75" hidden="1" customHeight="1">
      <c r="A103" s="498"/>
      <c r="B103" s="1409"/>
      <c r="C103" s="1435"/>
      <c r="D103" s="1435"/>
      <c r="E103" s="1435"/>
      <c r="F103" s="1435"/>
      <c r="G103" s="1409"/>
      <c r="H103" s="1409"/>
      <c r="I103" s="1447"/>
      <c r="J103" s="1447"/>
      <c r="K103" s="1436"/>
      <c r="L103" s="1448" t="s">
        <v>317</v>
      </c>
      <c r="M103" s="1436">
        <f>M82/2</f>
        <v>102</v>
      </c>
      <c r="N103" s="1437"/>
      <c r="O103" s="1436">
        <f>O82/2</f>
        <v>261.5</v>
      </c>
      <c r="P103" s="1409"/>
      <c r="Q103" s="1435"/>
      <c r="R103" s="52"/>
      <c r="S103" s="52"/>
      <c r="T103" s="52"/>
      <c r="U103" s="52"/>
      <c r="V103" s="52"/>
      <c r="W103" s="52"/>
      <c r="X103" s="52"/>
      <c r="Y103" s="896"/>
      <c r="Z103" s="52"/>
      <c r="AA103" s="51"/>
      <c r="AB103" s="52"/>
      <c r="AC103" s="31"/>
      <c r="AD103" s="31"/>
      <c r="AE103" s="31"/>
      <c r="AF103" s="1"/>
      <c r="AG103" s="1"/>
      <c r="AH103" s="1"/>
      <c r="AI103" s="1"/>
      <c r="AJ103" s="31"/>
      <c r="AK103" s="31"/>
      <c r="AL103" s="1"/>
      <c r="AM103" s="1"/>
      <c r="AN103" s="1"/>
      <c r="AO103" s="1"/>
      <c r="AP103" s="1"/>
      <c r="AQ103" s="1"/>
      <c r="AR103" s="1"/>
      <c r="AS103" s="6"/>
      <c r="AT103" s="6"/>
      <c r="AU103" s="6"/>
      <c r="AW103" s="1"/>
      <c r="BD103" s="652"/>
      <c r="BE103" s="1"/>
      <c r="BF103" s="51"/>
      <c r="BG103" s="51"/>
      <c r="BJ103" s="893"/>
      <c r="BK103" s="502"/>
      <c r="BL103" s="900"/>
      <c r="BM103" s="502"/>
      <c r="BN103" s="502"/>
      <c r="BO103" s="502"/>
      <c r="BP103" s="502"/>
      <c r="BQ103" s="498"/>
      <c r="BR103" s="502"/>
      <c r="BS103" s="502"/>
      <c r="BT103" s="502"/>
      <c r="BU103" s="502"/>
      <c r="BV103" s="498"/>
      <c r="BW103" s="498"/>
      <c r="BX103" s="498"/>
      <c r="BY103" s="498"/>
      <c r="BZ103" s="498"/>
      <c r="CA103" s="498"/>
      <c r="CB103" s="498"/>
      <c r="CC103" s="498"/>
      <c r="CD103" s="498"/>
      <c r="CE103" s="498"/>
      <c r="CF103" s="498"/>
      <c r="CG103" s="498"/>
      <c r="CH103" s="502"/>
      <c r="CI103" s="502"/>
      <c r="CJ103" s="498"/>
      <c r="CK103" s="498"/>
      <c r="CL103" s="52"/>
      <c r="EW103" s="427"/>
    </row>
    <row r="104" spans="1:153" ht="12.75" hidden="1" customHeight="1">
      <c r="A104" s="498"/>
      <c r="B104" s="1409"/>
      <c r="C104" s="1435"/>
      <c r="D104" s="1435"/>
      <c r="E104" s="1435"/>
      <c r="F104" s="1435"/>
      <c r="G104" s="1409"/>
      <c r="H104" s="1409"/>
      <c r="I104" s="1447"/>
      <c r="J104" s="1447"/>
      <c r="K104" s="1436"/>
      <c r="L104" s="1437" t="s">
        <v>320</v>
      </c>
      <c r="M104" s="1436">
        <f ca="1">SUM(Y8:Y74)</f>
        <v>0</v>
      </c>
      <c r="N104" s="1437"/>
      <c r="O104" s="1436">
        <f ca="1">M104</f>
        <v>0</v>
      </c>
      <c r="P104" s="1409"/>
      <c r="Q104" s="1435"/>
      <c r="R104" s="52"/>
      <c r="S104" s="52"/>
      <c r="T104" s="52"/>
      <c r="U104" s="52"/>
      <c r="V104" s="52"/>
      <c r="W104" s="52"/>
      <c r="X104" s="52"/>
      <c r="Y104" s="896"/>
      <c r="Z104" s="52"/>
      <c r="AA104" s="51"/>
      <c r="AB104" s="52"/>
      <c r="AC104" s="31"/>
      <c r="AD104" s="31"/>
      <c r="AE104" s="31"/>
      <c r="AF104" s="1"/>
      <c r="AG104" s="1"/>
      <c r="AH104" s="1"/>
      <c r="AI104" s="1"/>
      <c r="AJ104" s="31"/>
      <c r="AK104" s="31"/>
      <c r="AL104" s="1"/>
      <c r="AM104" s="1"/>
      <c r="AN104" s="1"/>
      <c r="AO104" s="1"/>
      <c r="AP104" s="1"/>
      <c r="AQ104" s="1"/>
      <c r="AR104" s="1"/>
      <c r="AS104" s="6"/>
      <c r="AT104" s="6"/>
      <c r="AU104" s="6"/>
      <c r="AW104" s="1"/>
      <c r="BD104" s="652"/>
      <c r="BE104" s="1"/>
      <c r="BF104" s="51"/>
      <c r="BG104" s="51"/>
      <c r="BJ104" s="893"/>
      <c r="BK104" s="421"/>
      <c r="BL104" s="899"/>
      <c r="BM104" s="502"/>
      <c r="BN104" s="502"/>
      <c r="BO104" s="502"/>
      <c r="BP104" s="502"/>
      <c r="BQ104" s="498"/>
      <c r="BR104" s="502"/>
      <c r="BS104" s="502"/>
      <c r="BT104" s="502"/>
      <c r="BU104" s="502"/>
      <c r="BV104" s="498"/>
      <c r="BW104" s="498"/>
      <c r="BX104" s="498"/>
      <c r="BY104" s="498"/>
      <c r="BZ104" s="498"/>
      <c r="CA104" s="498"/>
      <c r="CB104" s="498"/>
      <c r="CC104" s="498"/>
      <c r="CD104" s="498"/>
      <c r="CE104" s="498"/>
      <c r="CF104" s="498"/>
      <c r="CG104" s="498"/>
      <c r="CH104" s="502"/>
      <c r="CI104" s="502"/>
      <c r="CJ104" s="498"/>
      <c r="CK104" s="498"/>
      <c r="CL104" s="52"/>
      <c r="EW104" s="427"/>
    </row>
    <row r="105" spans="1:153" ht="12.75" hidden="1" customHeight="1">
      <c r="A105" s="498"/>
      <c r="B105" s="1409"/>
      <c r="C105" s="1435"/>
      <c r="D105" s="1435"/>
      <c r="E105" s="1435"/>
      <c r="F105" s="1435"/>
      <c r="G105" s="1409"/>
      <c r="H105" s="1409"/>
      <c r="I105" s="1447"/>
      <c r="J105" s="1447"/>
      <c r="K105" s="1436"/>
      <c r="L105" s="1437" t="s">
        <v>321</v>
      </c>
      <c r="M105" s="1436">
        <f ca="1">IF(M104&gt;0,IF(M103/M104&lt;$BF$3,$BF$3,M103/M104),0)</f>
        <v>0</v>
      </c>
      <c r="N105" s="1437"/>
      <c r="O105" s="1436">
        <f ca="1">IF(O104&gt;0,IF(O103/O104&lt;$BF$3,$BF$3,O103/O104),0)</f>
        <v>0</v>
      </c>
      <c r="P105" s="1409"/>
      <c r="Q105" s="1435"/>
      <c r="R105" s="52"/>
      <c r="S105" s="52"/>
      <c r="T105" s="52"/>
      <c r="U105" s="52"/>
      <c r="V105" s="52"/>
      <c r="W105" s="52"/>
      <c r="X105" s="52"/>
      <c r="Y105" s="896"/>
      <c r="Z105" s="52"/>
      <c r="AA105" s="51"/>
      <c r="AB105" s="52"/>
      <c r="AC105" s="31"/>
      <c r="AD105" s="31"/>
      <c r="AE105" s="31"/>
      <c r="AF105" s="1"/>
      <c r="AG105" s="1"/>
      <c r="AH105" s="1"/>
      <c r="AI105" s="1"/>
      <c r="AJ105" s="31"/>
      <c r="AK105" s="31"/>
      <c r="AL105" s="1"/>
      <c r="AM105" s="1"/>
      <c r="AN105" s="1"/>
      <c r="AO105" s="1"/>
      <c r="AP105" s="1"/>
      <c r="AQ105" s="1"/>
      <c r="AR105" s="1"/>
      <c r="AS105" s="6"/>
      <c r="AT105" s="6"/>
      <c r="AU105" s="6"/>
      <c r="AW105" s="1"/>
      <c r="BD105" s="652"/>
      <c r="BE105" s="1"/>
      <c r="BF105" s="51"/>
      <c r="BG105" s="51"/>
      <c r="BJ105" s="893"/>
      <c r="BK105" s="421"/>
      <c r="BL105" s="899"/>
      <c r="BM105" s="502"/>
      <c r="BN105" s="502"/>
      <c r="BO105" s="502"/>
      <c r="BP105" s="502"/>
      <c r="BQ105" s="498"/>
      <c r="BR105" s="502"/>
      <c r="BS105" s="502"/>
      <c r="BT105" s="502"/>
      <c r="BU105" s="502"/>
      <c r="BV105" s="498"/>
      <c r="BW105" s="498"/>
      <c r="BX105" s="498"/>
      <c r="BY105" s="498"/>
      <c r="BZ105" s="498"/>
      <c r="CA105" s="498"/>
      <c r="CB105" s="498"/>
      <c r="CC105" s="498"/>
      <c r="CD105" s="498"/>
      <c r="CE105" s="498"/>
      <c r="CF105" s="498"/>
      <c r="CG105" s="498"/>
      <c r="CH105" s="502"/>
      <c r="CI105" s="502"/>
      <c r="CJ105" s="498"/>
      <c r="CK105" s="498"/>
      <c r="CL105" s="52"/>
      <c r="EW105" s="427"/>
    </row>
    <row r="106" spans="1:153" hidden="1">
      <c r="A106" s="498"/>
      <c r="B106" s="1409"/>
      <c r="C106" s="1435"/>
      <c r="D106" s="1435"/>
      <c r="E106" s="1435"/>
      <c r="F106" s="1435"/>
      <c r="G106" s="1409"/>
      <c r="H106" s="1409"/>
      <c r="I106" s="1409"/>
      <c r="J106" s="1409"/>
      <c r="K106" s="1409"/>
      <c r="L106" s="1435"/>
      <c r="M106" s="1409"/>
      <c r="N106" s="1435"/>
      <c r="O106" s="1409"/>
      <c r="P106" s="1409"/>
      <c r="Q106" s="1435"/>
      <c r="R106" s="52"/>
      <c r="S106" s="52"/>
      <c r="T106" s="52"/>
      <c r="U106" s="52"/>
      <c r="V106" s="52"/>
      <c r="W106" s="52"/>
      <c r="X106" s="52"/>
      <c r="Y106" s="896"/>
      <c r="Z106" s="52"/>
      <c r="AA106" s="51" t="s">
        <v>68</v>
      </c>
      <c r="AB106" s="52"/>
      <c r="AC106" s="31"/>
      <c r="AD106" s="31"/>
      <c r="AE106" s="31"/>
      <c r="AJ106" s="31"/>
      <c r="AK106" s="31"/>
      <c r="AL106" s="1"/>
      <c r="AM106" s="1"/>
      <c r="AN106" s="1"/>
      <c r="AO106" s="1"/>
      <c r="AP106" s="1"/>
      <c r="AQ106" s="1"/>
      <c r="AR106" s="1"/>
      <c r="AS106" s="6"/>
      <c r="AT106" s="6"/>
      <c r="AU106" s="6"/>
      <c r="AW106" s="1"/>
      <c r="BD106" s="652"/>
      <c r="BE106" s="1"/>
      <c r="BF106" s="51"/>
      <c r="BG106" s="51"/>
      <c r="BJ106" s="893"/>
      <c r="BK106" s="421"/>
      <c r="BL106" s="899"/>
      <c r="BM106" s="502"/>
      <c r="BN106" s="502"/>
      <c r="BO106" s="502"/>
      <c r="BP106" s="502"/>
      <c r="BQ106" s="498"/>
      <c r="BR106" s="502"/>
      <c r="BS106" s="502"/>
      <c r="BT106" s="502"/>
      <c r="BU106" s="502"/>
      <c r="BV106" s="498"/>
      <c r="BW106" s="498"/>
      <c r="BX106" s="498"/>
      <c r="BY106" s="498"/>
      <c r="BZ106" s="498"/>
      <c r="CA106" s="498"/>
      <c r="CB106" s="498"/>
      <c r="CC106" s="498"/>
      <c r="CD106" s="498"/>
      <c r="CE106" s="498"/>
      <c r="CF106" s="498"/>
      <c r="CG106" s="498"/>
      <c r="CH106" s="502"/>
      <c r="CI106" s="502"/>
      <c r="CJ106" s="498"/>
      <c r="CK106" s="498"/>
      <c r="CL106" s="52"/>
      <c r="EW106" s="427"/>
    </row>
    <row r="107" spans="1:153" hidden="1">
      <c r="A107" s="31"/>
      <c r="B107" s="1409"/>
      <c r="C107" s="1435"/>
      <c r="D107" s="1435"/>
      <c r="E107" s="1435"/>
      <c r="F107" s="1435"/>
      <c r="G107" s="1409"/>
      <c r="H107" s="1409"/>
      <c r="I107" s="1409"/>
      <c r="J107" s="1409"/>
      <c r="K107" s="1409"/>
      <c r="L107" s="1435"/>
      <c r="M107" s="1409"/>
      <c r="N107" s="1435"/>
      <c r="O107" s="1409"/>
      <c r="P107" s="1409"/>
      <c r="Q107" s="1435"/>
      <c r="R107" s="52"/>
      <c r="S107" s="52"/>
      <c r="T107" s="52"/>
      <c r="U107" s="52"/>
      <c r="V107" s="52"/>
      <c r="W107" s="52"/>
      <c r="X107" s="52"/>
      <c r="Y107" s="896"/>
      <c r="Z107" s="52"/>
      <c r="AA107" s="51"/>
      <c r="AB107" s="52"/>
      <c r="AC107" s="31"/>
      <c r="AD107" s="31"/>
      <c r="AE107" s="31"/>
      <c r="AJ107" s="31"/>
      <c r="AK107" s="31"/>
      <c r="AL107" s="1"/>
      <c r="AM107" s="1"/>
      <c r="AN107" s="1"/>
      <c r="AO107" s="1"/>
      <c r="AP107" s="1"/>
      <c r="AQ107" s="1"/>
      <c r="AR107" s="1"/>
      <c r="AS107" s="6"/>
      <c r="AT107" s="6"/>
      <c r="AU107" s="6"/>
      <c r="AW107" s="1"/>
      <c r="BD107" s="652"/>
      <c r="BE107" s="1"/>
      <c r="BF107" s="51"/>
      <c r="BG107" s="51"/>
      <c r="BJ107" s="893"/>
      <c r="BK107" s="421"/>
      <c r="BL107" s="899"/>
      <c r="BM107" s="502"/>
      <c r="BN107" s="502"/>
      <c r="BO107" s="502"/>
      <c r="BP107" s="502"/>
      <c r="BQ107" s="498"/>
      <c r="BR107" s="502"/>
      <c r="BS107" s="502"/>
      <c r="BT107" s="502"/>
      <c r="BU107" s="502"/>
      <c r="BV107" s="498"/>
      <c r="BW107" s="498"/>
      <c r="BX107" s="498"/>
      <c r="BY107" s="498"/>
      <c r="BZ107" s="498"/>
      <c r="CA107" s="498"/>
      <c r="CB107" s="498"/>
      <c r="CC107" s="498"/>
      <c r="CD107" s="498"/>
      <c r="CE107" s="498"/>
      <c r="CF107" s="498"/>
      <c r="CG107" s="498"/>
      <c r="CH107" s="502"/>
      <c r="CI107" s="502"/>
      <c r="CJ107" s="498"/>
      <c r="CK107" s="498"/>
      <c r="CL107" s="52"/>
      <c r="EW107" s="427"/>
    </row>
    <row r="108" spans="1:153" hidden="1">
      <c r="A108" s="31"/>
      <c r="B108" s="1409"/>
      <c r="C108" s="1435"/>
      <c r="D108" s="1435"/>
      <c r="E108" s="1435"/>
      <c r="F108" s="1435"/>
      <c r="G108" s="1409"/>
      <c r="H108" s="1409"/>
      <c r="I108" s="1409"/>
      <c r="J108" s="1409"/>
      <c r="K108" s="1409"/>
      <c r="L108" s="1435"/>
      <c r="M108" s="1409"/>
      <c r="N108" s="1435"/>
      <c r="O108" s="1409"/>
      <c r="P108" s="1409"/>
      <c r="Q108" s="1435"/>
      <c r="R108" s="52"/>
      <c r="S108" s="52"/>
      <c r="T108" s="52"/>
      <c r="U108" s="52"/>
      <c r="V108" s="52"/>
      <c r="W108" s="52"/>
      <c r="X108" s="52"/>
      <c r="Y108" s="896"/>
      <c r="Z108" s="52"/>
      <c r="AA108" s="51"/>
      <c r="AB108" s="52"/>
      <c r="AC108" s="31"/>
      <c r="AD108" s="31"/>
      <c r="AE108" s="31"/>
      <c r="AJ108" s="31"/>
      <c r="AK108" s="31"/>
      <c r="AL108" s="1"/>
      <c r="AM108" s="1"/>
      <c r="AN108" s="1"/>
      <c r="AO108" s="1"/>
      <c r="AP108" s="1"/>
      <c r="AQ108" s="1"/>
      <c r="AR108" s="1"/>
      <c r="AS108" s="6"/>
      <c r="AT108" s="6"/>
      <c r="AU108" s="6"/>
      <c r="AW108" s="1"/>
      <c r="BD108" s="652"/>
      <c r="BE108" s="1"/>
      <c r="BF108" s="51"/>
      <c r="BG108" s="51"/>
      <c r="BJ108" s="893"/>
      <c r="BK108" s="421"/>
      <c r="BL108" s="899"/>
      <c r="BM108" s="502"/>
      <c r="BN108" s="502"/>
      <c r="BO108" s="502"/>
      <c r="BP108" s="502"/>
      <c r="BQ108" s="498"/>
      <c r="BR108" s="502"/>
      <c r="BS108" s="502"/>
      <c r="BT108" s="502"/>
      <c r="BU108" s="502"/>
      <c r="BV108" s="498"/>
      <c r="BW108" s="498"/>
      <c r="BX108" s="498"/>
      <c r="BY108" s="498"/>
      <c r="BZ108" s="498"/>
      <c r="CA108" s="498"/>
      <c r="CB108" s="498"/>
      <c r="CC108" s="498"/>
      <c r="CD108" s="498"/>
      <c r="CE108" s="498"/>
      <c r="CF108" s="498"/>
      <c r="CG108" s="498"/>
      <c r="CH108" s="502"/>
      <c r="CI108" s="502"/>
      <c r="CJ108" s="498"/>
      <c r="CK108" s="498"/>
      <c r="CL108" s="52"/>
      <c r="EW108" s="427"/>
    </row>
    <row r="109" spans="1:153" hidden="1">
      <c r="A109" s="31"/>
      <c r="B109" s="1409"/>
      <c r="C109" s="1435"/>
      <c r="D109" s="1435"/>
      <c r="E109" s="1435"/>
      <c r="F109" s="1435"/>
      <c r="G109" s="1409"/>
      <c r="H109" s="1409"/>
      <c r="I109" s="1409"/>
      <c r="J109" s="1409"/>
      <c r="K109" s="1409"/>
      <c r="L109" s="1435"/>
      <c r="M109" s="1409"/>
      <c r="N109" s="1435"/>
      <c r="O109" s="1409"/>
      <c r="P109" s="1409"/>
      <c r="Q109" s="1435"/>
      <c r="R109" s="52"/>
      <c r="S109" s="52"/>
      <c r="T109" s="52"/>
      <c r="U109" s="52"/>
      <c r="V109" s="52"/>
      <c r="W109" s="52"/>
      <c r="X109" s="52"/>
      <c r="Y109" s="896"/>
      <c r="Z109" s="52"/>
      <c r="AA109" s="51"/>
      <c r="AB109" s="52"/>
      <c r="AC109" s="1"/>
      <c r="AD109" s="1"/>
      <c r="AE109" s="1"/>
      <c r="AJ109" s="1"/>
      <c r="AK109" s="1"/>
      <c r="AL109" s="1"/>
      <c r="AM109" s="1"/>
      <c r="AN109" s="1"/>
      <c r="AO109" s="1"/>
      <c r="AP109" s="1"/>
      <c r="AQ109" s="1"/>
      <c r="AR109" s="1"/>
      <c r="AS109" s="6"/>
      <c r="AT109" s="6"/>
      <c r="AU109" s="6"/>
      <c r="AW109" s="1"/>
      <c r="BD109" s="652"/>
      <c r="BE109" s="641"/>
      <c r="BF109" s="652"/>
      <c r="BG109" s="652"/>
      <c r="BH109" s="652"/>
      <c r="BI109" s="652"/>
      <c r="BJ109" s="901"/>
      <c r="BK109" s="902"/>
      <c r="BL109" s="903"/>
      <c r="BM109" s="905"/>
      <c r="BN109" s="905"/>
      <c r="BO109" s="905"/>
      <c r="BP109" s="905"/>
      <c r="BQ109" s="904"/>
      <c r="BR109" s="905"/>
      <c r="BS109" s="905"/>
      <c r="BT109" s="905"/>
      <c r="BU109" s="905"/>
      <c r="BV109" s="904"/>
      <c r="BW109" s="904"/>
      <c r="BX109" s="904"/>
      <c r="BY109" s="904"/>
      <c r="BZ109" s="904"/>
      <c r="CA109" s="904"/>
      <c r="CB109" s="904"/>
      <c r="CC109" s="904"/>
      <c r="CD109" s="904"/>
      <c r="CE109" s="904"/>
      <c r="CF109" s="904"/>
      <c r="CG109" s="904"/>
      <c r="CH109" s="905"/>
      <c r="CI109" s="905"/>
      <c r="CJ109" s="904"/>
      <c r="CK109" s="904"/>
      <c r="CL109" s="657"/>
      <c r="CM109" s="652"/>
      <c r="CN109" s="657"/>
      <c r="CO109" s="657"/>
      <c r="CP109" s="652"/>
      <c r="CQ109" s="652"/>
      <c r="CR109" s="652"/>
      <c r="CS109" s="652"/>
      <c r="CT109" s="652"/>
      <c r="CU109" s="652"/>
      <c r="CV109" s="652"/>
      <c r="CW109" s="652"/>
      <c r="CX109" s="652"/>
      <c r="CY109" s="652"/>
      <c r="CZ109" s="652"/>
      <c r="DA109" s="652"/>
      <c r="DB109" s="652"/>
      <c r="DC109" s="994"/>
      <c r="DD109" s="652"/>
      <c r="DE109" s="652"/>
      <c r="DF109" s="652"/>
      <c r="DG109" s="427"/>
      <c r="DH109" s="427"/>
      <c r="DI109" s="427"/>
      <c r="DJ109" s="427"/>
      <c r="DK109" s="427"/>
      <c r="DL109" s="427"/>
      <c r="DM109" s="427"/>
      <c r="DN109" s="427"/>
      <c r="DO109" s="427"/>
      <c r="DP109" s="427"/>
      <c r="DQ109" s="427"/>
      <c r="DR109" s="427"/>
      <c r="DS109" s="427"/>
      <c r="DT109" s="982"/>
      <c r="DU109" s="427"/>
      <c r="DV109" s="427"/>
      <c r="DW109" s="427"/>
      <c r="DX109" s="427"/>
      <c r="DY109" s="427"/>
      <c r="DZ109" s="427"/>
      <c r="EA109" s="427"/>
      <c r="EB109" s="427"/>
      <c r="EC109" s="427"/>
      <c r="ED109" s="427"/>
      <c r="EE109" s="427"/>
      <c r="EF109" s="427"/>
      <c r="EG109" s="427"/>
      <c r="EH109" s="427"/>
      <c r="EI109" s="427"/>
      <c r="EJ109" s="427"/>
      <c r="EK109" s="427"/>
      <c r="EL109" s="427"/>
      <c r="EM109" s="427"/>
      <c r="EN109" s="427"/>
      <c r="EO109" s="427"/>
      <c r="EP109" s="428"/>
      <c r="EQ109" s="431"/>
      <c r="ER109" s="427"/>
      <c r="ES109" s="427"/>
      <c r="ET109" s="427"/>
      <c r="EU109" s="427"/>
      <c r="EV109" s="427"/>
      <c r="EW109" s="427"/>
    </row>
    <row r="110" spans="1:153" hidden="1">
      <c r="A110" s="31"/>
      <c r="B110" s="1409"/>
      <c r="C110" s="1435"/>
      <c r="D110" s="1435"/>
      <c r="E110" s="1435"/>
      <c r="F110" s="1435"/>
      <c r="G110" s="1409"/>
      <c r="H110" s="1409"/>
      <c r="I110" s="1409"/>
      <c r="J110" s="1409"/>
      <c r="K110" s="1409"/>
      <c r="L110" s="1435"/>
      <c r="M110" s="1409"/>
      <c r="N110" s="1435"/>
      <c r="O110" s="1409"/>
      <c r="P110" s="1409"/>
      <c r="Q110" s="1435"/>
      <c r="R110" s="52"/>
      <c r="S110" s="52"/>
      <c r="T110" s="52"/>
      <c r="U110" s="52"/>
      <c r="V110" s="52"/>
      <c r="W110" s="52"/>
      <c r="X110" s="52"/>
      <c r="Y110" s="896"/>
      <c r="Z110" s="52"/>
      <c r="AA110" s="51"/>
      <c r="AB110" s="52"/>
      <c r="AC110" s="1"/>
      <c r="AD110" s="1"/>
      <c r="AE110" s="1"/>
      <c r="AJ110" s="1"/>
      <c r="AK110" s="1"/>
      <c r="AL110" s="1"/>
      <c r="AM110" s="1"/>
      <c r="AN110" s="1"/>
      <c r="AO110" s="1"/>
      <c r="AP110" s="1"/>
      <c r="AQ110" s="1"/>
      <c r="AR110" s="1"/>
      <c r="AS110" s="6"/>
      <c r="AT110" s="6"/>
      <c r="AU110" s="6"/>
      <c r="AW110" s="1"/>
      <c r="BJ110" s="498"/>
      <c r="BK110" s="421"/>
      <c r="BL110" s="899"/>
      <c r="BM110" s="502"/>
      <c r="BN110" s="502"/>
      <c r="BO110" s="502"/>
      <c r="BP110" s="502"/>
      <c r="BQ110" s="498"/>
      <c r="BR110" s="502"/>
      <c r="BS110" s="502"/>
      <c r="BT110" s="502"/>
      <c r="BU110" s="502"/>
      <c r="BV110" s="498"/>
      <c r="BW110" s="498"/>
      <c r="BX110" s="498"/>
      <c r="BY110" s="498"/>
      <c r="BZ110" s="498"/>
      <c r="CA110" s="498"/>
      <c r="CB110" s="498"/>
      <c r="CC110" s="498"/>
      <c r="CD110" s="498"/>
      <c r="CE110" s="498"/>
      <c r="CF110" s="498"/>
      <c r="CG110" s="498"/>
      <c r="CH110" s="502"/>
      <c r="CI110" s="502"/>
      <c r="CJ110" s="498"/>
      <c r="CK110" s="498"/>
    </row>
    <row r="111" spans="1:153" hidden="1">
      <c r="A111" s="31"/>
      <c r="B111" s="51"/>
      <c r="C111" s="52"/>
      <c r="D111" s="52"/>
      <c r="E111" s="52"/>
      <c r="F111" s="52"/>
      <c r="G111" s="51"/>
      <c r="H111" s="51"/>
      <c r="I111" s="51"/>
      <c r="J111" s="51"/>
      <c r="K111" s="51"/>
      <c r="L111" s="52"/>
      <c r="M111" s="51"/>
      <c r="N111" s="52"/>
      <c r="O111" s="51"/>
      <c r="P111" s="51"/>
      <c r="Q111" s="52"/>
      <c r="R111" s="52"/>
      <c r="S111" s="52"/>
      <c r="T111" s="52"/>
      <c r="U111" s="52"/>
      <c r="V111" s="52"/>
      <c r="W111" s="52"/>
      <c r="X111" s="52"/>
      <c r="Y111" s="896"/>
      <c r="Z111" s="52"/>
      <c r="AA111" s="51"/>
      <c r="AB111" s="52"/>
      <c r="AC111" s="1"/>
      <c r="AD111" s="1"/>
      <c r="AE111" s="1"/>
      <c r="AJ111" s="1"/>
      <c r="AK111" s="1"/>
      <c r="AL111" s="1"/>
      <c r="AM111" s="1"/>
      <c r="AN111" s="1"/>
      <c r="AO111" s="1"/>
      <c r="AP111" s="1"/>
      <c r="AQ111" s="1"/>
      <c r="AR111" s="1"/>
      <c r="AS111" s="6"/>
      <c r="AT111" s="6"/>
      <c r="AU111" s="6"/>
      <c r="AW111" s="1"/>
    </row>
    <row r="112" spans="1:153" hidden="1">
      <c r="B112" s="51"/>
      <c r="C112" s="52"/>
      <c r="D112" s="52"/>
      <c r="E112" s="52"/>
      <c r="F112" s="52"/>
      <c r="G112" s="51"/>
      <c r="H112" s="51"/>
      <c r="I112" s="51"/>
      <c r="J112" s="51"/>
      <c r="K112" s="51"/>
      <c r="L112" s="52"/>
      <c r="M112" s="51"/>
      <c r="N112" s="52"/>
      <c r="O112" s="51"/>
      <c r="P112" s="51"/>
      <c r="Q112" s="52"/>
      <c r="R112" s="52"/>
      <c r="S112" s="52"/>
      <c r="T112" s="52"/>
      <c r="U112" s="52"/>
      <c r="V112" s="52"/>
      <c r="W112" s="52"/>
      <c r="X112" s="52"/>
      <c r="Y112" s="896"/>
      <c r="Z112" s="52"/>
      <c r="AA112" s="51"/>
      <c r="AB112" s="52"/>
      <c r="AC112" s="1"/>
      <c r="AD112" s="1"/>
      <c r="AE112" s="1"/>
      <c r="AF112" s="1"/>
      <c r="AG112" s="1"/>
      <c r="AH112" s="1"/>
      <c r="AI112" s="1"/>
      <c r="AJ112" s="1"/>
      <c r="AK112" s="1"/>
      <c r="AL112" s="1"/>
      <c r="AM112" s="1"/>
      <c r="AN112" s="1"/>
      <c r="AO112" s="1"/>
      <c r="AP112" s="1"/>
      <c r="AQ112" s="1"/>
      <c r="AR112" s="1"/>
      <c r="AS112" s="6"/>
      <c r="AT112" s="6"/>
      <c r="AU112" s="6"/>
      <c r="AW112" s="1"/>
    </row>
    <row r="113" spans="2:49" hidden="1">
      <c r="B113" s="1"/>
      <c r="C113" s="9"/>
      <c r="F113" s="9"/>
      <c r="G113" s="1"/>
      <c r="I113" s="1"/>
      <c r="J113" s="1"/>
      <c r="R113" s="52"/>
      <c r="S113" s="52"/>
      <c r="T113" s="52"/>
      <c r="U113" s="52"/>
      <c r="V113" s="52"/>
      <c r="W113" s="52"/>
      <c r="X113" s="52"/>
      <c r="Y113" s="896"/>
      <c r="Z113" s="52"/>
      <c r="AA113" s="51"/>
      <c r="AB113" s="52"/>
      <c r="AC113" s="1"/>
      <c r="AD113" s="1"/>
      <c r="AE113" s="1"/>
      <c r="AF113" s="1"/>
      <c r="AG113" s="1"/>
      <c r="AH113" s="1"/>
      <c r="AI113" s="1"/>
      <c r="AJ113" s="1"/>
      <c r="AK113" s="1"/>
      <c r="AL113" s="1"/>
      <c r="AM113" s="1"/>
      <c r="AN113" s="1"/>
      <c r="AO113" s="1"/>
      <c r="AP113" s="1"/>
      <c r="AQ113" s="1"/>
      <c r="AR113" s="1"/>
      <c r="AS113" s="6"/>
      <c r="AT113" s="6"/>
      <c r="AU113" s="6"/>
      <c r="AW113" s="1"/>
    </row>
    <row r="114" spans="2:49" hidden="1">
      <c r="B114" s="1"/>
      <c r="C114" s="9"/>
      <c r="F114" s="9"/>
      <c r="G114" s="1"/>
      <c r="I114" s="1"/>
      <c r="J114" s="1"/>
      <c r="R114" s="52"/>
      <c r="S114" s="52"/>
      <c r="T114" s="52"/>
      <c r="U114" s="52"/>
      <c r="V114" s="52"/>
      <c r="W114" s="52"/>
      <c r="X114" s="52"/>
      <c r="Y114" s="896"/>
      <c r="Z114" s="52"/>
      <c r="AA114" s="51"/>
      <c r="AB114" s="52"/>
      <c r="AC114" s="1"/>
      <c r="AD114" s="1"/>
      <c r="AE114" s="1"/>
      <c r="AF114" s="1"/>
      <c r="AG114" s="1"/>
      <c r="AH114" s="1"/>
      <c r="AI114" s="1"/>
      <c r="AJ114" s="1"/>
      <c r="AK114" s="1"/>
      <c r="AL114" s="1"/>
      <c r="AM114" s="1"/>
      <c r="AN114" s="1"/>
      <c r="AO114" s="1"/>
      <c r="AP114" s="1"/>
      <c r="AQ114" s="1"/>
      <c r="AR114" s="1"/>
      <c r="AS114" s="6"/>
      <c r="AT114" s="6"/>
      <c r="AU114" s="6"/>
      <c r="AW114" s="1"/>
    </row>
    <row r="115" spans="2:49">
      <c r="B115" s="1"/>
      <c r="C115" s="9"/>
      <c r="F115" s="9"/>
      <c r="G115" s="1"/>
      <c r="I115" s="1"/>
      <c r="J115" s="1"/>
      <c r="R115" s="52"/>
      <c r="S115" s="52"/>
      <c r="T115" s="52"/>
      <c r="U115" s="52"/>
      <c r="V115" s="52"/>
      <c r="W115" s="52"/>
      <c r="X115" s="52"/>
      <c r="Y115" s="896"/>
      <c r="Z115" s="52"/>
      <c r="AA115" s="51"/>
      <c r="AB115" s="52"/>
      <c r="AC115" s="1"/>
      <c r="AD115" s="1"/>
      <c r="AE115" s="1"/>
      <c r="AF115" s="1"/>
      <c r="AG115" s="1"/>
      <c r="AH115" s="1"/>
      <c r="AI115" s="1"/>
      <c r="AJ115" s="1"/>
      <c r="AK115" s="1"/>
      <c r="AL115" s="1"/>
      <c r="AM115" s="1"/>
      <c r="AN115" s="1"/>
      <c r="AO115" s="1"/>
      <c r="AP115" s="1"/>
      <c r="AQ115" s="1"/>
      <c r="AR115" s="1"/>
      <c r="AS115" s="6"/>
      <c r="AT115" s="6"/>
      <c r="AU115" s="6"/>
      <c r="AW115" s="1"/>
    </row>
    <row r="116" spans="2:49">
      <c r="B116" s="1"/>
      <c r="C116" s="9"/>
      <c r="F116" s="9"/>
      <c r="G116" s="1"/>
      <c r="I116" s="1"/>
      <c r="J116" s="1"/>
      <c r="R116" s="52"/>
      <c r="S116" s="52"/>
      <c r="T116" s="52"/>
      <c r="U116" s="52"/>
      <c r="V116" s="52"/>
      <c r="W116" s="52"/>
      <c r="X116" s="52"/>
      <c r="Y116" s="896"/>
      <c r="Z116" s="52"/>
      <c r="AA116" s="51"/>
      <c r="AB116" s="52"/>
      <c r="AC116" s="1"/>
      <c r="AD116" s="1"/>
      <c r="AE116" s="1"/>
      <c r="AF116" s="1"/>
      <c r="AG116" s="1"/>
      <c r="AH116" s="1"/>
      <c r="AI116" s="1"/>
      <c r="AJ116" s="1"/>
      <c r="AK116" s="1"/>
      <c r="AL116" s="1"/>
      <c r="AM116" s="1"/>
      <c r="AN116" s="1"/>
      <c r="AO116" s="1"/>
      <c r="AP116" s="1"/>
      <c r="AQ116" s="1"/>
      <c r="AR116" s="1"/>
      <c r="AS116" s="6"/>
      <c r="AT116" s="6"/>
      <c r="AU116" s="6"/>
      <c r="AW116" s="1"/>
    </row>
    <row r="117" spans="2:49">
      <c r="B117" s="1"/>
      <c r="C117" s="9"/>
      <c r="F117" s="9"/>
      <c r="G117" s="1"/>
      <c r="I117" s="1"/>
      <c r="J117" s="1"/>
      <c r="R117" s="52"/>
      <c r="S117" s="52"/>
      <c r="T117" s="52"/>
      <c r="U117" s="52"/>
      <c r="V117" s="52"/>
      <c r="W117" s="52"/>
      <c r="X117" s="52"/>
      <c r="Y117" s="896"/>
      <c r="Z117" s="52"/>
      <c r="AA117" s="51"/>
      <c r="AB117" s="52"/>
      <c r="AC117" s="1"/>
      <c r="AD117" s="1"/>
      <c r="AE117" s="1"/>
      <c r="AF117" s="1"/>
      <c r="AG117" s="1"/>
      <c r="AH117" s="1"/>
      <c r="AI117" s="1"/>
      <c r="AJ117" s="1"/>
      <c r="AK117" s="1"/>
      <c r="AL117" s="1"/>
      <c r="AM117" s="1"/>
      <c r="AN117" s="1"/>
      <c r="AO117" s="1"/>
      <c r="AP117" s="1"/>
      <c r="AQ117" s="1"/>
      <c r="AR117" s="1"/>
      <c r="AS117" s="6"/>
      <c r="AT117" s="6"/>
      <c r="AU117" s="6"/>
      <c r="AW117" s="1"/>
    </row>
    <row r="118" spans="2:49">
      <c r="B118" s="1"/>
      <c r="C118" s="9"/>
      <c r="F118" s="9"/>
      <c r="G118" s="1"/>
      <c r="I118" s="1"/>
      <c r="J118" s="1"/>
      <c r="R118" s="52"/>
      <c r="S118" s="52"/>
      <c r="T118" s="52"/>
      <c r="U118" s="52"/>
      <c r="V118" s="52"/>
      <c r="W118" s="52"/>
      <c r="X118" s="52"/>
      <c r="Y118" s="896"/>
      <c r="Z118" s="52"/>
      <c r="AA118" s="51"/>
      <c r="AB118" s="52"/>
      <c r="AC118" s="1"/>
      <c r="AD118" s="1"/>
      <c r="AE118" s="1"/>
      <c r="AF118" s="1"/>
      <c r="AG118" s="1"/>
      <c r="AH118" s="1"/>
      <c r="AI118" s="1"/>
      <c r="AJ118" s="1"/>
      <c r="AK118" s="1"/>
      <c r="AL118" s="1"/>
      <c r="AM118" s="1"/>
      <c r="AN118" s="1"/>
      <c r="AO118" s="1"/>
      <c r="AP118" s="1"/>
      <c r="AQ118" s="1"/>
      <c r="AR118" s="1"/>
      <c r="AS118" s="6"/>
      <c r="AT118" s="6"/>
      <c r="AU118" s="6"/>
      <c r="AW118" s="1"/>
    </row>
    <row r="119" spans="2:49">
      <c r="B119" s="1"/>
      <c r="C119" s="9"/>
      <c r="F119" s="9"/>
      <c r="G119" s="1"/>
      <c r="I119" s="1"/>
      <c r="J119" s="1"/>
      <c r="R119" s="52"/>
      <c r="S119" s="52"/>
      <c r="T119" s="52"/>
      <c r="U119" s="52"/>
      <c r="V119" s="52"/>
      <c r="W119" s="52"/>
      <c r="X119" s="52"/>
      <c r="Y119" s="896"/>
      <c r="Z119" s="52"/>
      <c r="AA119" s="51"/>
      <c r="AB119" s="52"/>
      <c r="AC119" s="1"/>
      <c r="AD119" s="1"/>
      <c r="AE119" s="1"/>
      <c r="AF119" s="1"/>
      <c r="AG119" s="1"/>
      <c r="AH119" s="1"/>
      <c r="AI119" s="1"/>
      <c r="AJ119" s="1"/>
      <c r="AK119" s="1"/>
      <c r="AL119" s="1"/>
      <c r="AM119" s="1"/>
      <c r="AN119" s="1"/>
      <c r="AO119" s="1"/>
      <c r="AP119" s="1"/>
      <c r="AQ119" s="1"/>
      <c r="AR119" s="1"/>
      <c r="AS119" s="6"/>
      <c r="AT119" s="6"/>
      <c r="AU119" s="6"/>
      <c r="AW119" s="1"/>
    </row>
    <row r="120" spans="2:49">
      <c r="B120" s="1"/>
      <c r="C120" s="9"/>
      <c r="F120" s="9"/>
      <c r="G120" s="1"/>
      <c r="I120" s="1"/>
      <c r="J120" s="1"/>
      <c r="R120" s="52"/>
      <c r="S120" s="52"/>
      <c r="T120" s="52"/>
      <c r="U120" s="52"/>
      <c r="V120" s="52"/>
      <c r="W120" s="52"/>
      <c r="X120" s="52"/>
      <c r="Y120" s="896"/>
      <c r="Z120" s="52"/>
      <c r="AA120" s="51"/>
      <c r="AB120" s="52"/>
      <c r="AC120" s="1"/>
      <c r="AD120" s="1"/>
      <c r="AE120" s="1"/>
      <c r="AF120" s="1"/>
      <c r="AG120" s="1"/>
      <c r="AH120" s="1"/>
      <c r="AI120" s="1"/>
      <c r="AJ120" s="1"/>
      <c r="AK120" s="1"/>
      <c r="AL120" s="1"/>
      <c r="AM120" s="1"/>
      <c r="AN120" s="1"/>
      <c r="AO120" s="1"/>
      <c r="AP120" s="1"/>
      <c r="AQ120" s="1"/>
      <c r="AR120" s="1"/>
      <c r="AS120" s="6"/>
      <c r="AT120" s="6"/>
      <c r="AU120" s="6"/>
      <c r="AW120" s="1"/>
    </row>
    <row r="121" spans="2:49">
      <c r="B121" s="1"/>
      <c r="C121" s="9"/>
      <c r="F121" s="9"/>
      <c r="G121" s="1"/>
      <c r="I121" s="1"/>
      <c r="J121" s="1"/>
      <c r="R121" s="52"/>
      <c r="S121" s="52"/>
      <c r="T121" s="52"/>
      <c r="U121" s="52"/>
      <c r="V121" s="52"/>
      <c r="W121" s="52"/>
      <c r="X121" s="52"/>
      <c r="Y121" s="896"/>
      <c r="Z121" s="52"/>
      <c r="AA121" s="51"/>
      <c r="AB121" s="52"/>
      <c r="AC121" s="1"/>
      <c r="AD121" s="1"/>
      <c r="AE121" s="1"/>
      <c r="AF121" s="1"/>
      <c r="AG121" s="1"/>
      <c r="AH121" s="1"/>
      <c r="AI121" s="1"/>
      <c r="AJ121" s="1"/>
      <c r="AK121" s="1"/>
      <c r="AL121" s="1"/>
      <c r="AM121" s="1"/>
      <c r="AN121" s="1"/>
      <c r="AO121" s="1"/>
      <c r="AP121" s="1"/>
      <c r="AQ121" s="1"/>
      <c r="AR121" s="1"/>
      <c r="AS121" s="6"/>
      <c r="AT121" s="6"/>
      <c r="AU121" s="6"/>
      <c r="AW121" s="1"/>
    </row>
    <row r="122" spans="2:49">
      <c r="B122" s="1"/>
      <c r="C122" s="9"/>
      <c r="F122" s="9"/>
      <c r="G122" s="1"/>
      <c r="I122" s="1"/>
      <c r="J122" s="1"/>
      <c r="R122" s="52"/>
      <c r="S122" s="52"/>
      <c r="T122" s="52"/>
      <c r="U122" s="52"/>
      <c r="V122" s="52"/>
      <c r="W122" s="52"/>
      <c r="X122" s="52"/>
      <c r="Y122" s="896"/>
      <c r="Z122" s="52"/>
      <c r="AA122" s="51"/>
      <c r="AB122" s="52"/>
      <c r="AC122" s="1"/>
      <c r="AD122" s="1"/>
      <c r="AE122" s="1"/>
      <c r="AF122" s="1"/>
      <c r="AG122" s="1"/>
      <c r="AH122" s="1"/>
      <c r="AI122" s="1"/>
      <c r="AJ122" s="1"/>
      <c r="AK122" s="1"/>
      <c r="AL122" s="1"/>
      <c r="AM122" s="1"/>
      <c r="AN122" s="1"/>
      <c r="AO122" s="1"/>
      <c r="AP122" s="1"/>
      <c r="AQ122" s="1"/>
      <c r="AR122" s="1"/>
      <c r="AS122" s="6"/>
      <c r="AT122" s="6"/>
      <c r="AU122" s="6"/>
      <c r="AW122" s="1"/>
    </row>
    <row r="123" spans="2:49">
      <c r="B123" s="1"/>
      <c r="C123" s="9"/>
      <c r="F123" s="9"/>
      <c r="G123" s="1"/>
      <c r="I123" s="1"/>
      <c r="J123" s="1"/>
      <c r="R123" s="52"/>
      <c r="S123" s="52"/>
      <c r="T123" s="52"/>
      <c r="U123" s="52"/>
      <c r="V123" s="52"/>
      <c r="W123" s="52"/>
      <c r="X123" s="52"/>
      <c r="Y123" s="896"/>
      <c r="Z123" s="52"/>
      <c r="AA123" s="51"/>
      <c r="AB123" s="52"/>
      <c r="AC123" s="1"/>
      <c r="AD123" s="1"/>
      <c r="AE123" s="1"/>
      <c r="AF123" s="1"/>
      <c r="AG123" s="1"/>
      <c r="AH123" s="1"/>
      <c r="AI123" s="1"/>
      <c r="AJ123" s="1"/>
      <c r="AK123" s="1"/>
      <c r="AL123" s="1"/>
      <c r="AM123" s="1"/>
      <c r="AN123" s="1"/>
      <c r="AO123" s="1"/>
      <c r="AP123" s="1"/>
      <c r="AQ123" s="1"/>
      <c r="AR123" s="1"/>
      <c r="AS123" s="6"/>
      <c r="AT123" s="6"/>
      <c r="AU123" s="6"/>
      <c r="AW123" s="1"/>
    </row>
    <row r="124" spans="2:49">
      <c r="B124" s="1"/>
      <c r="C124" s="9"/>
      <c r="F124" s="9"/>
      <c r="G124" s="1"/>
      <c r="I124" s="1"/>
      <c r="J124" s="1"/>
      <c r="R124" s="52"/>
      <c r="S124" s="52"/>
      <c r="T124" s="52"/>
      <c r="U124" s="52"/>
      <c r="V124" s="52"/>
      <c r="W124" s="52"/>
      <c r="X124" s="52"/>
      <c r="Y124" s="896"/>
      <c r="Z124" s="52"/>
      <c r="AA124" s="51"/>
      <c r="AB124" s="52"/>
      <c r="AC124" s="1"/>
      <c r="AD124" s="1"/>
      <c r="AE124" s="1"/>
      <c r="AF124" s="1"/>
      <c r="AG124" s="1"/>
      <c r="AH124" s="1"/>
      <c r="AI124" s="1"/>
      <c r="AJ124" s="1"/>
      <c r="AK124" s="1"/>
      <c r="AL124" s="1"/>
      <c r="AM124" s="1"/>
      <c r="AN124" s="1"/>
      <c r="AO124" s="1"/>
      <c r="AP124" s="1"/>
      <c r="AQ124" s="1"/>
      <c r="AR124" s="1"/>
      <c r="AS124" s="6"/>
      <c r="AT124" s="6"/>
      <c r="AU124" s="6"/>
      <c r="AW124" s="1"/>
    </row>
    <row r="125" spans="2:49">
      <c r="B125" s="1"/>
      <c r="C125" s="9"/>
      <c r="F125" s="9"/>
      <c r="G125" s="1"/>
      <c r="I125" s="1"/>
      <c r="J125" s="1"/>
      <c r="R125" s="52"/>
      <c r="S125" s="52"/>
      <c r="T125" s="52"/>
      <c r="U125" s="52"/>
      <c r="V125" s="52"/>
      <c r="W125" s="52"/>
      <c r="X125" s="52"/>
      <c r="Y125" s="896"/>
      <c r="Z125" s="52"/>
      <c r="AA125" s="51"/>
      <c r="AB125" s="52"/>
      <c r="AC125" s="1"/>
      <c r="AD125" s="1"/>
      <c r="AE125" s="1"/>
      <c r="AF125" s="1"/>
      <c r="AG125" s="1"/>
      <c r="AH125" s="1"/>
      <c r="AI125" s="1"/>
      <c r="AJ125" s="1"/>
      <c r="AK125" s="1"/>
      <c r="AL125" s="1"/>
      <c r="AM125" s="1"/>
      <c r="AN125" s="1"/>
      <c r="AO125" s="1"/>
      <c r="AP125" s="1"/>
      <c r="AQ125" s="1"/>
      <c r="AR125" s="1"/>
      <c r="AS125" s="6"/>
      <c r="AT125" s="6"/>
      <c r="AU125" s="6"/>
      <c r="AW125" s="1"/>
    </row>
    <row r="126" spans="2:49">
      <c r="B126" s="1"/>
      <c r="C126" s="9"/>
      <c r="F126" s="9"/>
      <c r="G126" s="1"/>
      <c r="I126" s="1"/>
      <c r="J126" s="1"/>
      <c r="R126" s="52"/>
      <c r="S126" s="52"/>
      <c r="T126" s="52"/>
      <c r="U126" s="52"/>
      <c r="V126" s="52"/>
      <c r="W126" s="52"/>
      <c r="X126" s="52"/>
      <c r="Y126" s="896"/>
      <c r="Z126" s="52"/>
      <c r="AA126" s="51"/>
      <c r="AB126" s="52"/>
      <c r="AC126" s="1"/>
      <c r="AD126" s="1"/>
      <c r="AE126" s="1"/>
      <c r="AF126" s="1"/>
      <c r="AG126" s="1"/>
      <c r="AH126" s="1"/>
      <c r="AI126" s="1"/>
      <c r="AJ126" s="1"/>
      <c r="AK126" s="1"/>
      <c r="AL126" s="1"/>
      <c r="AM126" s="1"/>
      <c r="AN126" s="1"/>
      <c r="AO126" s="1"/>
      <c r="AP126" s="1"/>
      <c r="AQ126" s="1"/>
      <c r="AR126" s="1"/>
      <c r="AS126" s="6"/>
      <c r="AT126" s="6"/>
      <c r="AU126" s="6"/>
      <c r="AW126" s="1"/>
    </row>
    <row r="127" spans="2:49">
      <c r="B127" s="1"/>
      <c r="C127" s="9"/>
      <c r="F127" s="9"/>
      <c r="G127" s="1"/>
      <c r="I127" s="1"/>
      <c r="J127" s="1"/>
      <c r="R127" s="52"/>
      <c r="S127" s="52"/>
      <c r="T127" s="52"/>
      <c r="U127" s="52"/>
      <c r="V127" s="52"/>
      <c r="W127" s="52"/>
      <c r="X127" s="52"/>
      <c r="Y127" s="896"/>
      <c r="Z127" s="52"/>
      <c r="AA127" s="51"/>
      <c r="AB127" s="52"/>
      <c r="AC127" s="1"/>
      <c r="AD127" s="1"/>
      <c r="AE127" s="1"/>
      <c r="AF127" s="1"/>
      <c r="AG127" s="1"/>
      <c r="AH127" s="1"/>
      <c r="AI127" s="1"/>
      <c r="AJ127" s="1"/>
      <c r="AK127" s="1"/>
      <c r="AL127" s="1"/>
      <c r="AM127" s="1"/>
      <c r="AN127" s="1"/>
      <c r="AO127" s="1"/>
      <c r="AP127" s="1"/>
      <c r="AQ127" s="1"/>
      <c r="AR127" s="1"/>
      <c r="AS127" s="6"/>
      <c r="AT127" s="6"/>
      <c r="AU127" s="6"/>
      <c r="AW127" s="1"/>
    </row>
    <row r="128" spans="2:49">
      <c r="B128" s="1"/>
      <c r="C128" s="9"/>
      <c r="F128" s="9"/>
      <c r="G128" s="1"/>
      <c r="I128" s="1"/>
      <c r="J128" s="1"/>
      <c r="R128" s="52"/>
      <c r="S128" s="52"/>
      <c r="T128" s="52"/>
      <c r="U128" s="52"/>
      <c r="V128" s="52"/>
      <c r="W128" s="52"/>
      <c r="X128" s="52"/>
      <c r="Y128" s="896"/>
      <c r="Z128" s="52"/>
      <c r="AA128" s="51"/>
      <c r="AB128" s="52"/>
      <c r="AC128" s="1"/>
      <c r="AD128" s="1"/>
      <c r="AE128" s="1"/>
      <c r="AF128" s="1"/>
      <c r="AG128" s="1"/>
      <c r="AH128" s="1"/>
      <c r="AI128" s="1"/>
      <c r="AJ128" s="1"/>
      <c r="AK128" s="1"/>
      <c r="AL128" s="1"/>
      <c r="AM128" s="1"/>
      <c r="AN128" s="1"/>
      <c r="AO128" s="1"/>
      <c r="AP128" s="1"/>
      <c r="AQ128" s="1"/>
      <c r="AR128" s="1"/>
      <c r="AS128" s="6"/>
      <c r="AT128" s="6"/>
      <c r="AU128" s="6"/>
      <c r="AW128" s="1"/>
    </row>
    <row r="129" spans="2:49">
      <c r="B129" s="1"/>
      <c r="C129" s="9"/>
      <c r="F129" s="9"/>
      <c r="G129" s="1"/>
      <c r="I129" s="1"/>
      <c r="J129" s="1"/>
      <c r="R129" s="52"/>
      <c r="S129" s="52"/>
      <c r="T129" s="52"/>
      <c r="U129" s="52"/>
      <c r="V129" s="52"/>
      <c r="W129" s="52"/>
      <c r="X129" s="52"/>
      <c r="Y129" s="896"/>
      <c r="Z129" s="52"/>
      <c r="AA129" s="51"/>
      <c r="AB129" s="52"/>
      <c r="AC129" s="1"/>
      <c r="AD129" s="1"/>
      <c r="AE129" s="1"/>
      <c r="AF129" s="1"/>
      <c r="AG129" s="1"/>
      <c r="AH129" s="1"/>
      <c r="AI129" s="1"/>
      <c r="AJ129" s="1"/>
      <c r="AK129" s="1"/>
      <c r="AL129" s="1"/>
      <c r="AM129" s="1"/>
      <c r="AN129" s="1"/>
      <c r="AO129" s="1"/>
      <c r="AP129" s="1"/>
      <c r="AQ129" s="1"/>
      <c r="AR129" s="1"/>
      <c r="AS129" s="6"/>
      <c r="AT129" s="6"/>
      <c r="AU129" s="6"/>
      <c r="AW129" s="1"/>
    </row>
    <row r="130" spans="2:49">
      <c r="B130" s="1"/>
      <c r="C130" s="9"/>
      <c r="F130" s="9"/>
      <c r="G130" s="1"/>
      <c r="I130" s="1"/>
      <c r="J130" s="1"/>
      <c r="R130" s="52"/>
      <c r="S130" s="52"/>
      <c r="T130" s="52"/>
      <c r="U130" s="52"/>
      <c r="V130" s="52"/>
      <c r="W130" s="52"/>
      <c r="X130" s="52"/>
      <c r="Y130" s="896"/>
      <c r="Z130" s="52"/>
      <c r="AA130" s="51"/>
      <c r="AB130" s="52"/>
      <c r="AC130" s="1"/>
      <c r="AD130" s="1"/>
      <c r="AE130" s="1"/>
      <c r="AF130" s="1"/>
      <c r="AG130" s="1"/>
      <c r="AH130" s="1"/>
      <c r="AI130" s="1"/>
      <c r="AJ130" s="1"/>
      <c r="AK130" s="1"/>
      <c r="AL130" s="1"/>
      <c r="AM130" s="1"/>
      <c r="AN130" s="1"/>
      <c r="AO130" s="1"/>
      <c r="AP130" s="1"/>
      <c r="AQ130" s="1"/>
      <c r="AR130" s="1"/>
      <c r="AS130" s="6"/>
      <c r="AT130" s="6"/>
      <c r="AU130" s="6"/>
      <c r="AW130" s="1"/>
    </row>
    <row r="131" spans="2:49">
      <c r="B131" s="1"/>
      <c r="C131" s="9"/>
      <c r="F131" s="9"/>
      <c r="G131" s="1"/>
      <c r="I131" s="1"/>
      <c r="J131" s="1"/>
      <c r="R131" s="52"/>
      <c r="S131" s="52"/>
      <c r="T131" s="52"/>
      <c r="U131" s="52"/>
      <c r="V131" s="52"/>
      <c r="W131" s="52"/>
      <c r="X131" s="52"/>
      <c r="Y131" s="896"/>
      <c r="Z131" s="52"/>
      <c r="AA131" s="51"/>
      <c r="AB131" s="52"/>
      <c r="AC131" s="1"/>
      <c r="AD131" s="1"/>
      <c r="AE131" s="1"/>
      <c r="AF131" s="1"/>
      <c r="AG131" s="1"/>
      <c r="AH131" s="1"/>
      <c r="AI131" s="1"/>
      <c r="AJ131" s="1"/>
      <c r="AK131" s="1"/>
      <c r="AL131" s="1"/>
      <c r="AM131" s="1"/>
      <c r="AN131" s="1"/>
      <c r="AO131" s="1"/>
      <c r="AP131" s="1"/>
      <c r="AQ131" s="1"/>
      <c r="AR131" s="1"/>
      <c r="AS131" s="6"/>
      <c r="AT131" s="6"/>
      <c r="AU131" s="6"/>
      <c r="AW131" s="1"/>
    </row>
    <row r="132" spans="2:49">
      <c r="B132" s="1"/>
      <c r="C132" s="9"/>
      <c r="F132" s="9"/>
      <c r="G132" s="1"/>
      <c r="I132" s="1"/>
      <c r="J132" s="1"/>
      <c r="R132" s="52"/>
      <c r="S132" s="52"/>
      <c r="T132" s="52"/>
      <c r="U132" s="52"/>
      <c r="V132" s="52"/>
      <c r="W132" s="52"/>
      <c r="X132" s="52"/>
      <c r="Y132" s="896"/>
      <c r="Z132" s="52"/>
      <c r="AA132" s="51"/>
      <c r="AB132" s="52"/>
      <c r="AC132" s="1"/>
      <c r="AD132" s="1"/>
      <c r="AE132" s="1"/>
      <c r="AF132" s="1"/>
      <c r="AG132" s="1"/>
      <c r="AH132" s="1"/>
      <c r="AI132" s="1"/>
      <c r="AJ132" s="1"/>
      <c r="AK132" s="1"/>
      <c r="AL132" s="1"/>
      <c r="AM132" s="1"/>
      <c r="AN132" s="1"/>
      <c r="AO132" s="1"/>
      <c r="AP132" s="1"/>
      <c r="AQ132" s="1"/>
      <c r="AR132" s="1"/>
      <c r="AS132" s="6"/>
      <c r="AT132" s="6"/>
      <c r="AU132" s="6"/>
      <c r="AW132" s="1"/>
    </row>
    <row r="133" spans="2:49">
      <c r="B133" s="1"/>
      <c r="C133" s="9"/>
      <c r="F133" s="9"/>
      <c r="G133" s="1"/>
      <c r="I133" s="1"/>
      <c r="J133" s="1"/>
      <c r="R133" s="52"/>
      <c r="S133" s="52"/>
      <c r="T133" s="52"/>
      <c r="U133" s="52"/>
      <c r="V133" s="52"/>
      <c r="W133" s="52"/>
      <c r="X133" s="52"/>
      <c r="Y133" s="896"/>
      <c r="Z133" s="52"/>
      <c r="AA133" s="51"/>
      <c r="AB133" s="52"/>
      <c r="AC133" s="1"/>
      <c r="AD133" s="1"/>
      <c r="AE133" s="1"/>
      <c r="AF133" s="1"/>
      <c r="AG133" s="1"/>
      <c r="AH133" s="1"/>
      <c r="AI133" s="1"/>
      <c r="AJ133" s="1"/>
      <c r="AK133" s="1"/>
      <c r="AL133" s="1"/>
      <c r="AM133" s="1"/>
      <c r="AN133" s="1"/>
      <c r="AO133" s="1"/>
      <c r="AP133" s="1"/>
      <c r="AQ133" s="1"/>
      <c r="AR133" s="1"/>
      <c r="AS133" s="6"/>
      <c r="AT133" s="6"/>
      <c r="AU133" s="6"/>
      <c r="AW133" s="1"/>
    </row>
    <row r="134" spans="2:49">
      <c r="B134" s="1"/>
      <c r="C134" s="9"/>
      <c r="F134" s="9"/>
      <c r="G134" s="1"/>
      <c r="I134" s="1"/>
      <c r="J134" s="1"/>
      <c r="R134" s="52"/>
      <c r="S134" s="52"/>
      <c r="T134" s="52"/>
      <c r="U134" s="52"/>
      <c r="V134" s="52"/>
      <c r="W134" s="52"/>
      <c r="X134" s="52"/>
      <c r="Y134" s="896"/>
      <c r="Z134" s="52"/>
      <c r="AA134" s="51"/>
      <c r="AB134" s="52"/>
      <c r="AC134" s="1"/>
      <c r="AD134" s="1"/>
      <c r="AE134" s="1"/>
      <c r="AF134" s="1"/>
      <c r="AG134" s="1"/>
      <c r="AH134" s="1"/>
      <c r="AI134" s="1"/>
      <c r="AJ134" s="1"/>
      <c r="AK134" s="1"/>
      <c r="AL134" s="1"/>
      <c r="AM134" s="1"/>
      <c r="AN134" s="1"/>
      <c r="AO134" s="1"/>
      <c r="AP134" s="1"/>
      <c r="AQ134" s="1"/>
      <c r="AR134" s="1"/>
      <c r="AS134" s="6"/>
      <c r="AT134" s="6"/>
      <c r="AU134" s="6"/>
      <c r="AW134" s="1"/>
    </row>
    <row r="135" spans="2:49">
      <c r="B135" s="1"/>
      <c r="C135" s="9"/>
      <c r="F135" s="9"/>
      <c r="G135" s="1"/>
      <c r="I135" s="1"/>
      <c r="J135" s="1"/>
      <c r="R135" s="52"/>
      <c r="S135" s="52"/>
      <c r="T135" s="52"/>
      <c r="U135" s="52"/>
      <c r="V135" s="52"/>
      <c r="W135" s="52"/>
      <c r="X135" s="52"/>
      <c r="Y135" s="896"/>
      <c r="Z135" s="52"/>
      <c r="AA135" s="51"/>
      <c r="AB135" s="52"/>
      <c r="AC135" s="1"/>
      <c r="AD135" s="1"/>
      <c r="AE135" s="1"/>
      <c r="AF135" s="1"/>
      <c r="AG135" s="1"/>
      <c r="AH135" s="1"/>
      <c r="AI135" s="1"/>
      <c r="AJ135" s="1"/>
      <c r="AK135" s="1"/>
      <c r="AL135" s="1"/>
      <c r="AM135" s="1"/>
      <c r="AN135" s="1"/>
      <c r="AO135" s="1"/>
      <c r="AP135" s="1"/>
      <c r="AQ135" s="1"/>
      <c r="AR135" s="1"/>
      <c r="AS135" s="6"/>
      <c r="AT135" s="6"/>
      <c r="AU135" s="6"/>
      <c r="AW135" s="1"/>
    </row>
    <row r="136" spans="2:49">
      <c r="B136" s="1"/>
      <c r="C136" s="9"/>
      <c r="F136" s="9"/>
      <c r="G136" s="1"/>
      <c r="I136" s="1"/>
      <c r="J136" s="1"/>
      <c r="R136" s="52"/>
      <c r="S136" s="52"/>
      <c r="T136" s="52"/>
      <c r="U136" s="52"/>
      <c r="V136" s="52"/>
      <c r="W136" s="52"/>
      <c r="X136" s="52"/>
      <c r="Y136" s="896"/>
      <c r="Z136" s="52"/>
      <c r="AA136" s="51"/>
      <c r="AB136" s="52"/>
      <c r="AC136" s="1"/>
      <c r="AD136" s="1"/>
      <c r="AE136" s="1"/>
      <c r="AF136" s="1"/>
      <c r="AG136" s="1"/>
      <c r="AH136" s="1"/>
      <c r="AI136" s="1"/>
      <c r="AJ136" s="1"/>
      <c r="AK136" s="1"/>
      <c r="AL136" s="1"/>
      <c r="AM136" s="1"/>
      <c r="AN136" s="1"/>
      <c r="AO136" s="1"/>
      <c r="AP136" s="1"/>
      <c r="AQ136" s="1"/>
      <c r="AR136" s="1"/>
      <c r="AS136" s="6"/>
      <c r="AT136" s="6"/>
      <c r="AU136" s="6"/>
      <c r="AW136" s="1"/>
    </row>
    <row r="137" spans="2:49">
      <c r="B137" s="1"/>
      <c r="C137" s="9"/>
      <c r="F137" s="9"/>
      <c r="G137" s="1"/>
      <c r="I137" s="1"/>
      <c r="J137" s="1"/>
      <c r="R137" s="52"/>
      <c r="S137" s="52"/>
      <c r="T137" s="52"/>
      <c r="U137" s="52"/>
      <c r="V137" s="52"/>
      <c r="W137" s="52"/>
      <c r="X137" s="52"/>
      <c r="Y137" s="896"/>
      <c r="Z137" s="52"/>
      <c r="AA137" s="51"/>
      <c r="AB137" s="52"/>
      <c r="AC137" s="1"/>
      <c r="AD137" s="1"/>
      <c r="AE137" s="1"/>
      <c r="AF137" s="1"/>
      <c r="AG137" s="1"/>
      <c r="AH137" s="1"/>
      <c r="AI137" s="1"/>
      <c r="AJ137" s="1"/>
      <c r="AK137" s="1"/>
      <c r="AL137" s="1"/>
      <c r="AM137" s="1"/>
      <c r="AN137" s="1"/>
      <c r="AO137" s="1"/>
      <c r="AP137" s="1"/>
      <c r="AQ137" s="1"/>
      <c r="AR137" s="1"/>
      <c r="AS137" s="6"/>
      <c r="AT137" s="6"/>
      <c r="AU137" s="6"/>
      <c r="AW137" s="1"/>
    </row>
    <row r="138" spans="2:49">
      <c r="B138" s="1"/>
      <c r="C138" s="9"/>
      <c r="F138" s="9"/>
      <c r="G138" s="1"/>
      <c r="I138" s="1"/>
      <c r="J138" s="1"/>
      <c r="R138" s="52"/>
      <c r="S138" s="52"/>
      <c r="T138" s="52"/>
      <c r="U138" s="52"/>
      <c r="V138" s="52"/>
      <c r="W138" s="52"/>
      <c r="X138" s="52"/>
      <c r="Y138" s="896"/>
      <c r="Z138" s="52"/>
      <c r="AA138" s="51"/>
      <c r="AB138" s="52"/>
      <c r="AC138" s="1"/>
      <c r="AD138" s="1"/>
      <c r="AE138" s="1"/>
      <c r="AF138" s="1"/>
      <c r="AG138" s="1"/>
      <c r="AH138" s="1"/>
      <c r="AI138" s="1"/>
      <c r="AJ138" s="1"/>
      <c r="AK138" s="1"/>
      <c r="AL138" s="1"/>
      <c r="AM138" s="1"/>
      <c r="AN138" s="1"/>
      <c r="AO138" s="1"/>
      <c r="AP138" s="1"/>
      <c r="AQ138" s="1"/>
      <c r="AR138" s="1"/>
      <c r="AS138" s="6"/>
      <c r="AT138" s="6"/>
      <c r="AU138" s="6"/>
      <c r="AW138" s="1"/>
    </row>
    <row r="139" spans="2:49">
      <c r="B139" s="1"/>
      <c r="C139" s="9"/>
      <c r="F139" s="9"/>
      <c r="G139" s="1"/>
      <c r="I139" s="1"/>
      <c r="J139" s="1"/>
      <c r="R139" s="52"/>
      <c r="S139" s="52"/>
      <c r="T139" s="52"/>
      <c r="U139" s="52"/>
      <c r="V139" s="52"/>
      <c r="W139" s="52"/>
      <c r="X139" s="52"/>
      <c r="Y139" s="896"/>
      <c r="Z139" s="52"/>
      <c r="AA139" s="51"/>
      <c r="AB139" s="52"/>
      <c r="AC139" s="1"/>
      <c r="AD139" s="1"/>
      <c r="AE139" s="1"/>
      <c r="AF139" s="1"/>
      <c r="AG139" s="1"/>
      <c r="AH139" s="1"/>
      <c r="AI139" s="1"/>
      <c r="AJ139" s="1"/>
      <c r="AK139" s="1"/>
      <c r="AL139" s="1"/>
      <c r="AM139" s="1"/>
      <c r="AN139" s="1"/>
      <c r="AO139" s="1"/>
      <c r="AP139" s="1"/>
      <c r="AQ139" s="1"/>
      <c r="AR139" s="1"/>
      <c r="AS139" s="6"/>
      <c r="AT139" s="6"/>
      <c r="AU139" s="6"/>
      <c r="AW139" s="1"/>
    </row>
    <row r="140" spans="2:49">
      <c r="B140" s="1"/>
      <c r="C140" s="9"/>
      <c r="F140" s="9"/>
      <c r="G140" s="1"/>
      <c r="I140" s="1"/>
      <c r="J140" s="1"/>
      <c r="R140" s="52"/>
      <c r="S140" s="52"/>
      <c r="T140" s="52"/>
      <c r="U140" s="52"/>
      <c r="V140" s="52"/>
      <c r="W140" s="52"/>
      <c r="X140" s="52"/>
      <c r="Y140" s="896"/>
      <c r="Z140" s="52"/>
      <c r="AA140" s="51"/>
      <c r="AB140" s="52"/>
      <c r="AC140" s="1"/>
      <c r="AD140" s="1"/>
      <c r="AE140" s="1"/>
      <c r="AF140" s="1"/>
      <c r="AG140" s="1"/>
      <c r="AH140" s="1"/>
      <c r="AI140" s="1"/>
      <c r="AJ140" s="1"/>
      <c r="AK140" s="1"/>
      <c r="AL140" s="1"/>
      <c r="AM140" s="1"/>
      <c r="AN140" s="1"/>
      <c r="AO140" s="1"/>
      <c r="AP140" s="1"/>
      <c r="AQ140" s="1"/>
      <c r="AR140" s="1"/>
      <c r="AS140" s="6"/>
      <c r="AT140" s="6"/>
      <c r="AU140" s="6"/>
      <c r="AW140" s="1"/>
    </row>
    <row r="141" spans="2:49">
      <c r="B141" s="1"/>
      <c r="C141" s="9"/>
      <c r="F141" s="9"/>
      <c r="G141" s="1"/>
      <c r="I141" s="1"/>
      <c r="J141" s="1"/>
      <c r="R141" s="52"/>
      <c r="S141" s="52"/>
      <c r="T141" s="52"/>
      <c r="U141" s="52"/>
      <c r="V141" s="52"/>
      <c r="W141" s="52"/>
      <c r="X141" s="52"/>
      <c r="Y141" s="896"/>
      <c r="Z141" s="52"/>
      <c r="AA141" s="51"/>
      <c r="AB141" s="52"/>
      <c r="AC141" s="1"/>
      <c r="AD141" s="1"/>
      <c r="AE141" s="1"/>
      <c r="AJ141" s="1"/>
      <c r="AK141" s="1"/>
      <c r="AL141" s="1"/>
      <c r="AM141" s="1"/>
      <c r="AN141" s="1"/>
      <c r="AO141" s="1"/>
      <c r="AP141" s="1"/>
      <c r="AQ141" s="1"/>
      <c r="AR141" s="1"/>
      <c r="AS141" s="6"/>
      <c r="AT141" s="6"/>
      <c r="AU141" s="6"/>
      <c r="AW141" s="1"/>
    </row>
    <row r="142" spans="2:49">
      <c r="B142" s="1"/>
      <c r="C142" s="9"/>
      <c r="F142" s="9"/>
      <c r="G142" s="1"/>
      <c r="I142" s="1"/>
      <c r="J142" s="1"/>
      <c r="R142" s="52"/>
      <c r="S142" s="52"/>
      <c r="T142" s="52"/>
      <c r="U142" s="52"/>
      <c r="V142" s="52"/>
      <c r="W142" s="52"/>
      <c r="X142" s="52"/>
      <c r="Y142" s="896"/>
      <c r="Z142" s="52"/>
      <c r="AA142" s="51"/>
      <c r="AB142" s="52"/>
      <c r="AC142" s="1"/>
      <c r="AD142" s="1"/>
      <c r="AE142" s="1"/>
      <c r="AJ142" s="1"/>
      <c r="AK142" s="1"/>
      <c r="AL142" s="1"/>
      <c r="AM142" s="1"/>
      <c r="AN142" s="1"/>
      <c r="AO142" s="1"/>
      <c r="AP142" s="1"/>
      <c r="AQ142" s="1"/>
      <c r="AR142" s="1"/>
      <c r="AS142" s="6"/>
      <c r="AT142" s="6"/>
      <c r="AU142" s="6"/>
      <c r="AW142" s="1"/>
    </row>
    <row r="143" spans="2:49">
      <c r="B143" s="1"/>
      <c r="C143" s="9"/>
      <c r="F143" s="9"/>
      <c r="G143" s="1"/>
      <c r="I143" s="1"/>
      <c r="J143" s="1"/>
      <c r="R143" s="52"/>
      <c r="S143" s="52"/>
      <c r="T143" s="52"/>
      <c r="U143" s="52"/>
      <c r="V143" s="52"/>
      <c r="W143" s="52"/>
      <c r="X143" s="52"/>
      <c r="Y143" s="896"/>
      <c r="Z143" s="52"/>
      <c r="AA143" s="51"/>
      <c r="AB143" s="52"/>
      <c r="AC143" s="1"/>
      <c r="AD143" s="1"/>
      <c r="AE143" s="1"/>
      <c r="AJ143" s="1"/>
      <c r="AK143" s="1"/>
      <c r="AL143" s="1"/>
      <c r="AM143" s="1"/>
      <c r="AN143" s="1"/>
      <c r="AO143" s="1"/>
      <c r="AP143" s="1"/>
      <c r="AQ143" s="1"/>
      <c r="AR143" s="1"/>
      <c r="AS143" s="6"/>
      <c r="AT143" s="6"/>
      <c r="AU143" s="6"/>
      <c r="AW143" s="1"/>
    </row>
    <row r="144" spans="2:49">
      <c r="B144" s="1"/>
      <c r="C144" s="9"/>
      <c r="F144" s="9"/>
      <c r="G144" s="1"/>
      <c r="I144" s="1"/>
      <c r="J144" s="1"/>
      <c r="R144" s="52"/>
      <c r="S144" s="52"/>
      <c r="T144" s="52"/>
      <c r="U144" s="52"/>
      <c r="V144" s="52"/>
      <c r="W144" s="52"/>
      <c r="X144" s="52"/>
      <c r="Y144" s="896"/>
      <c r="Z144" s="52"/>
      <c r="AA144" s="51"/>
      <c r="AB144" s="52"/>
      <c r="AC144" s="1"/>
      <c r="AD144" s="1"/>
      <c r="AE144" s="1"/>
      <c r="AJ144" s="1"/>
      <c r="AK144" s="1"/>
      <c r="AL144" s="1"/>
      <c r="AM144" s="1"/>
      <c r="AN144" s="1"/>
      <c r="AO144" s="1"/>
      <c r="AP144" s="1"/>
      <c r="AQ144" s="1"/>
      <c r="AR144" s="1"/>
      <c r="AS144" s="6"/>
      <c r="AT144" s="6"/>
      <c r="AU144" s="6"/>
      <c r="AW144" s="1"/>
    </row>
    <row r="145" spans="2:49">
      <c r="B145" s="1"/>
      <c r="C145" s="9"/>
      <c r="F145" s="9"/>
      <c r="G145" s="1"/>
      <c r="I145" s="1"/>
      <c r="J145" s="1"/>
      <c r="R145" s="52"/>
      <c r="S145" s="52"/>
      <c r="T145" s="52"/>
      <c r="U145" s="52"/>
      <c r="V145" s="52"/>
      <c r="W145" s="52"/>
      <c r="X145" s="52"/>
      <c r="Y145" s="896"/>
      <c r="Z145" s="52"/>
      <c r="AA145" s="51"/>
      <c r="AB145" s="52"/>
      <c r="AC145" s="1"/>
      <c r="AD145" s="1"/>
      <c r="AE145" s="1"/>
      <c r="AJ145" s="1"/>
      <c r="AK145" s="1"/>
      <c r="AL145" s="1"/>
      <c r="AM145" s="1"/>
      <c r="AN145" s="1"/>
      <c r="AO145" s="1"/>
      <c r="AP145" s="1"/>
      <c r="AQ145" s="1"/>
      <c r="AR145" s="1"/>
      <c r="AS145" s="6"/>
      <c r="AT145" s="6"/>
      <c r="AU145" s="6"/>
      <c r="AW145" s="1"/>
    </row>
    <row r="146" spans="2:49">
      <c r="B146" s="1"/>
      <c r="C146" s="9"/>
      <c r="F146" s="9"/>
      <c r="G146" s="1"/>
      <c r="I146" s="1"/>
      <c r="J146" s="1"/>
      <c r="R146" s="52"/>
      <c r="S146" s="52"/>
      <c r="T146" s="52"/>
      <c r="U146" s="52"/>
      <c r="V146" s="52"/>
      <c r="W146" s="52"/>
      <c r="X146" s="52"/>
      <c r="Y146" s="896"/>
      <c r="Z146" s="52"/>
      <c r="AA146" s="51"/>
      <c r="AB146" s="52"/>
      <c r="AC146" s="1"/>
      <c r="AD146" s="1"/>
      <c r="AE146" s="1"/>
      <c r="AJ146" s="1"/>
      <c r="AK146" s="1"/>
      <c r="AL146" s="1"/>
      <c r="AM146" s="1"/>
      <c r="AN146" s="1"/>
      <c r="AO146" s="1"/>
      <c r="AP146" s="1"/>
      <c r="AQ146" s="1"/>
      <c r="AR146" s="1"/>
      <c r="AS146" s="6"/>
      <c r="AT146" s="6"/>
      <c r="AU146" s="6"/>
      <c r="AW146" s="1"/>
    </row>
    <row r="147" spans="2:49">
      <c r="B147" s="1"/>
      <c r="C147" s="9"/>
      <c r="F147" s="9"/>
      <c r="G147" s="1"/>
      <c r="I147" s="1"/>
      <c r="J147" s="1"/>
      <c r="R147" s="52"/>
      <c r="S147" s="52"/>
      <c r="T147" s="52"/>
      <c r="U147" s="52"/>
      <c r="V147" s="52"/>
      <c r="W147" s="52"/>
      <c r="X147" s="52"/>
      <c r="Y147" s="896"/>
      <c r="Z147" s="52"/>
      <c r="AA147" s="51"/>
      <c r="AB147" s="52"/>
      <c r="AC147" s="1"/>
      <c r="AD147" s="1"/>
      <c r="AE147" s="1"/>
      <c r="AJ147" s="1"/>
      <c r="AK147" s="1"/>
      <c r="AL147" s="1"/>
      <c r="AM147" s="1"/>
      <c r="AN147" s="1"/>
      <c r="AO147" s="1"/>
      <c r="AP147" s="1"/>
      <c r="AQ147" s="1"/>
      <c r="AR147" s="1"/>
      <c r="AS147" s="6"/>
      <c r="AT147" s="6"/>
      <c r="AU147" s="6"/>
      <c r="AW147" s="1"/>
    </row>
    <row r="148" spans="2:49">
      <c r="B148" s="1"/>
      <c r="C148" s="9"/>
      <c r="F148" s="9"/>
      <c r="G148" s="1"/>
      <c r="I148" s="1"/>
      <c r="J148" s="1"/>
      <c r="R148" s="52"/>
      <c r="S148" s="52"/>
      <c r="T148" s="52"/>
      <c r="U148" s="52"/>
      <c r="V148" s="52"/>
      <c r="W148" s="52"/>
      <c r="X148" s="52"/>
      <c r="Y148" s="896"/>
      <c r="Z148" s="52"/>
      <c r="AA148" s="51"/>
      <c r="AB148" s="52"/>
      <c r="AC148" s="1"/>
      <c r="AD148" s="1"/>
      <c r="AE148" s="1"/>
      <c r="AJ148" s="1"/>
      <c r="AK148" s="1"/>
      <c r="AL148" s="1"/>
      <c r="AM148" s="1"/>
      <c r="AN148" s="1"/>
      <c r="AO148" s="1"/>
      <c r="AP148" s="1"/>
      <c r="AQ148" s="1"/>
      <c r="AR148" s="1"/>
      <c r="AS148" s="6"/>
      <c r="AT148" s="6"/>
      <c r="AU148" s="6"/>
      <c r="AW148" s="1"/>
    </row>
    <row r="149" spans="2:49">
      <c r="B149" s="1"/>
      <c r="C149" s="9"/>
      <c r="F149" s="9"/>
      <c r="G149" s="1"/>
      <c r="I149" s="1"/>
      <c r="J149" s="1"/>
      <c r="R149" s="52"/>
      <c r="S149" s="52"/>
      <c r="T149" s="52"/>
      <c r="U149" s="52"/>
      <c r="V149" s="52"/>
      <c r="W149" s="52"/>
      <c r="X149" s="52"/>
      <c r="Y149" s="896"/>
      <c r="Z149" s="52"/>
      <c r="AA149" s="51"/>
      <c r="AB149" s="52"/>
      <c r="AC149" s="1"/>
      <c r="AD149" s="1"/>
      <c r="AE149" s="1"/>
      <c r="AJ149" s="1"/>
      <c r="AK149" s="1"/>
      <c r="AL149" s="1"/>
      <c r="AM149" s="1"/>
      <c r="AN149" s="1"/>
      <c r="AO149" s="1"/>
      <c r="AP149" s="1"/>
      <c r="AQ149" s="1"/>
      <c r="AR149" s="1"/>
      <c r="AS149" s="6"/>
      <c r="AT149" s="6"/>
      <c r="AU149" s="6"/>
      <c r="AW149" s="1"/>
    </row>
    <row r="150" spans="2:49">
      <c r="B150" s="1"/>
      <c r="C150" s="9"/>
      <c r="F150" s="9"/>
      <c r="G150" s="1"/>
      <c r="I150" s="1"/>
      <c r="J150" s="1"/>
      <c r="R150" s="52"/>
      <c r="S150" s="52"/>
      <c r="T150" s="52"/>
      <c r="U150" s="52"/>
      <c r="V150" s="52"/>
      <c r="W150" s="52"/>
      <c r="X150" s="52"/>
      <c r="Y150" s="896"/>
      <c r="Z150" s="52"/>
      <c r="AA150" s="51"/>
      <c r="AB150" s="52"/>
      <c r="AC150" s="1"/>
      <c r="AD150" s="1"/>
      <c r="AE150" s="1"/>
      <c r="AJ150" s="1"/>
      <c r="AK150" s="1"/>
      <c r="AL150" s="1"/>
      <c r="AM150" s="1"/>
      <c r="AN150" s="1"/>
      <c r="AO150" s="1"/>
      <c r="AP150" s="1"/>
      <c r="AQ150" s="1"/>
      <c r="AR150" s="1"/>
      <c r="AS150" s="6"/>
      <c r="AT150" s="6"/>
      <c r="AU150" s="6"/>
      <c r="AW150" s="1"/>
    </row>
    <row r="151" spans="2:49">
      <c r="B151" s="1"/>
      <c r="C151" s="9"/>
      <c r="F151" s="9"/>
      <c r="G151" s="1"/>
      <c r="I151" s="1"/>
      <c r="J151" s="1"/>
      <c r="R151" s="52"/>
      <c r="S151" s="52"/>
      <c r="T151" s="52"/>
      <c r="U151" s="52"/>
      <c r="V151" s="52"/>
      <c r="W151" s="52"/>
      <c r="X151" s="52"/>
      <c r="Y151" s="896"/>
      <c r="Z151" s="52"/>
      <c r="AA151" s="51"/>
      <c r="AB151" s="52"/>
      <c r="AC151" s="1"/>
      <c r="AD151" s="1"/>
      <c r="AE151" s="1"/>
      <c r="AJ151" s="1"/>
      <c r="AK151" s="1"/>
      <c r="AL151" s="1"/>
      <c r="AM151" s="1"/>
      <c r="AN151" s="1"/>
      <c r="AO151" s="1"/>
      <c r="AP151" s="1"/>
      <c r="AQ151" s="1"/>
      <c r="AR151" s="1"/>
      <c r="AS151" s="6"/>
      <c r="AT151" s="6"/>
      <c r="AU151" s="6"/>
      <c r="AW151" s="1"/>
    </row>
    <row r="152" spans="2:49">
      <c r="B152" s="1"/>
      <c r="C152" s="9"/>
      <c r="F152" s="9"/>
      <c r="G152" s="1"/>
      <c r="I152" s="1"/>
      <c r="J152" s="1"/>
      <c r="R152" s="52"/>
      <c r="S152" s="52"/>
      <c r="T152" s="52"/>
      <c r="U152" s="52"/>
      <c r="V152" s="52"/>
      <c r="W152" s="52"/>
      <c r="X152" s="52"/>
      <c r="Y152" s="896"/>
      <c r="Z152" s="52"/>
      <c r="AA152" s="51"/>
      <c r="AB152" s="52"/>
      <c r="AC152" s="1"/>
      <c r="AD152" s="1"/>
      <c r="AE152" s="1"/>
      <c r="AJ152" s="1"/>
      <c r="AK152" s="1"/>
      <c r="AL152" s="1"/>
      <c r="AM152" s="1"/>
      <c r="AN152" s="1"/>
      <c r="AO152" s="1"/>
      <c r="AP152" s="1"/>
      <c r="AQ152" s="1"/>
      <c r="AR152" s="1"/>
      <c r="AS152" s="6"/>
      <c r="AT152" s="6"/>
      <c r="AU152" s="6"/>
      <c r="AW152" s="1"/>
    </row>
    <row r="153" spans="2:49">
      <c r="B153" s="1"/>
      <c r="C153" s="9"/>
      <c r="F153" s="9"/>
      <c r="G153" s="1"/>
      <c r="I153" s="1"/>
      <c r="J153" s="1"/>
      <c r="R153" s="52"/>
      <c r="S153" s="52"/>
      <c r="T153" s="52"/>
      <c r="U153" s="52"/>
      <c r="V153" s="52"/>
      <c r="W153" s="52"/>
      <c r="X153" s="52"/>
      <c r="Y153" s="896"/>
      <c r="Z153" s="52"/>
      <c r="AA153" s="51"/>
      <c r="AB153" s="52"/>
      <c r="AC153" s="1"/>
      <c r="AD153" s="1"/>
      <c r="AE153" s="1"/>
      <c r="AJ153" s="1"/>
      <c r="AK153" s="1"/>
      <c r="AL153" s="1"/>
      <c r="AM153" s="1"/>
      <c r="AN153" s="1"/>
      <c r="AO153" s="1"/>
      <c r="AP153" s="1"/>
      <c r="AQ153" s="1"/>
      <c r="AR153" s="1"/>
      <c r="AS153" s="6"/>
      <c r="AT153" s="6"/>
      <c r="AU153" s="6"/>
      <c r="AW153" s="1"/>
    </row>
    <row r="154" spans="2:49">
      <c r="B154" s="1"/>
      <c r="C154" s="9"/>
      <c r="F154" s="9"/>
      <c r="G154" s="1"/>
      <c r="I154" s="1"/>
      <c r="J154" s="1"/>
      <c r="R154" s="52"/>
      <c r="S154" s="52"/>
      <c r="T154" s="52"/>
      <c r="U154" s="52"/>
      <c r="V154" s="52"/>
      <c r="W154" s="52"/>
      <c r="X154" s="52"/>
      <c r="Y154" s="896"/>
      <c r="Z154" s="52"/>
      <c r="AA154" s="51"/>
      <c r="AB154" s="52"/>
      <c r="AC154" s="1"/>
      <c r="AD154" s="1"/>
      <c r="AE154" s="1"/>
      <c r="AJ154" s="1"/>
      <c r="AK154" s="1"/>
      <c r="AL154" s="1"/>
      <c r="AM154" s="1"/>
      <c r="AN154" s="1"/>
      <c r="AO154" s="1"/>
      <c r="AP154" s="1"/>
      <c r="AQ154" s="1"/>
      <c r="AR154" s="1"/>
      <c r="AS154" s="6"/>
      <c r="AT154" s="6"/>
      <c r="AU154" s="6"/>
      <c r="AW154" s="1"/>
    </row>
    <row r="155" spans="2:49">
      <c r="B155" s="1"/>
      <c r="C155" s="9"/>
      <c r="F155" s="9"/>
      <c r="G155" s="1"/>
      <c r="I155" s="1"/>
      <c r="J155" s="1"/>
      <c r="R155" s="52"/>
      <c r="S155" s="52"/>
      <c r="T155" s="52"/>
      <c r="U155" s="52"/>
      <c r="V155" s="52"/>
      <c r="W155" s="52"/>
      <c r="X155" s="52"/>
      <c r="Y155" s="896"/>
      <c r="Z155" s="52"/>
      <c r="AA155" s="51"/>
      <c r="AB155" s="52"/>
      <c r="AC155" s="1"/>
      <c r="AD155" s="1"/>
      <c r="AE155" s="1"/>
      <c r="AF155" s="653"/>
      <c r="AG155" s="653"/>
      <c r="AH155" s="189"/>
      <c r="AI155" s="190"/>
      <c r="AJ155" s="1"/>
      <c r="AK155" s="1"/>
      <c r="AL155" s="1"/>
      <c r="AM155" s="1"/>
      <c r="AN155" s="1"/>
      <c r="AO155" s="1"/>
      <c r="AP155" s="1"/>
      <c r="AQ155" s="1"/>
      <c r="AR155" s="1"/>
      <c r="AS155" s="6"/>
      <c r="AT155" s="6"/>
      <c r="AU155" s="6"/>
      <c r="AW155" s="1"/>
    </row>
    <row r="156" spans="2:49">
      <c r="B156" s="1"/>
      <c r="C156" s="9"/>
      <c r="F156" s="9"/>
      <c r="G156" s="1"/>
      <c r="I156" s="1"/>
      <c r="J156" s="1"/>
      <c r="R156" s="52"/>
      <c r="S156" s="52"/>
      <c r="T156" s="52"/>
      <c r="U156" s="52"/>
      <c r="V156" s="52"/>
      <c r="W156" s="52"/>
      <c r="X156" s="52"/>
      <c r="Y156" s="896"/>
      <c r="Z156" s="52"/>
      <c r="AA156" s="51"/>
      <c r="AB156" s="52"/>
      <c r="AC156" s="1"/>
      <c r="AD156" s="1"/>
      <c r="AE156" s="1"/>
      <c r="AJ156" s="1"/>
      <c r="AK156" s="1"/>
      <c r="AL156" s="1"/>
      <c r="AM156" s="1"/>
      <c r="AN156" s="1"/>
      <c r="AO156" s="1"/>
      <c r="AP156" s="1"/>
      <c r="AQ156" s="1"/>
      <c r="AR156" s="1"/>
      <c r="AS156" s="6"/>
      <c r="AT156" s="6"/>
      <c r="AU156" s="6"/>
      <c r="AW156" s="1"/>
    </row>
    <row r="157" spans="2:49">
      <c r="B157" s="1"/>
      <c r="C157" s="9"/>
      <c r="F157" s="9"/>
      <c r="G157" s="1"/>
      <c r="I157" s="1"/>
      <c r="J157" s="1"/>
      <c r="R157" s="52"/>
      <c r="S157" s="52"/>
      <c r="T157" s="52"/>
      <c r="U157" s="52"/>
      <c r="V157" s="52"/>
      <c r="W157" s="52"/>
      <c r="X157" s="52"/>
      <c r="Y157" s="896"/>
      <c r="Z157" s="52"/>
      <c r="AA157" s="51"/>
      <c r="AB157" s="52"/>
      <c r="AC157" s="1"/>
      <c r="AD157" s="1"/>
      <c r="AE157" s="1"/>
      <c r="AJ157" s="1"/>
      <c r="AK157" s="1"/>
      <c r="AL157" s="1"/>
      <c r="AM157" s="1"/>
      <c r="AN157" s="1"/>
      <c r="AO157" s="1"/>
      <c r="AP157" s="1"/>
      <c r="AQ157" s="1"/>
      <c r="AR157" s="1"/>
      <c r="AS157" s="6"/>
      <c r="AT157" s="6"/>
      <c r="AU157" s="6"/>
      <c r="AW157" s="1"/>
    </row>
    <row r="158" spans="2:49">
      <c r="B158" s="1"/>
      <c r="C158" s="9"/>
      <c r="F158" s="9"/>
      <c r="G158" s="1"/>
      <c r="I158" s="1"/>
      <c r="J158" s="1"/>
      <c r="R158" s="52"/>
      <c r="S158" s="52"/>
      <c r="T158" s="52"/>
      <c r="U158" s="52"/>
      <c r="V158" s="52"/>
      <c r="W158" s="52"/>
      <c r="X158" s="52"/>
      <c r="Y158" s="896"/>
      <c r="Z158" s="52"/>
      <c r="AA158" s="51"/>
      <c r="AB158" s="52"/>
      <c r="AC158" s="1"/>
      <c r="AD158" s="1"/>
      <c r="AE158" s="1"/>
      <c r="AJ158" s="1"/>
      <c r="AK158" s="1"/>
      <c r="AL158" s="1"/>
      <c r="AM158" s="1"/>
      <c r="AN158" s="1"/>
      <c r="AO158" s="1"/>
      <c r="AP158" s="1"/>
      <c r="AQ158" s="1"/>
      <c r="AR158" s="1"/>
      <c r="AS158" s="6"/>
      <c r="AT158" s="6"/>
      <c r="AU158" s="6"/>
      <c r="AW158" s="1"/>
    </row>
    <row r="159" spans="2:49">
      <c r="B159" s="1"/>
      <c r="C159" s="9"/>
      <c r="F159" s="9"/>
      <c r="G159" s="1"/>
      <c r="I159" s="1"/>
      <c r="J159" s="1"/>
      <c r="R159" s="52"/>
      <c r="S159" s="52"/>
      <c r="T159" s="52"/>
      <c r="U159" s="52"/>
      <c r="V159" s="52"/>
      <c r="W159" s="52"/>
      <c r="X159" s="52"/>
      <c r="Y159" s="896"/>
      <c r="Z159" s="52"/>
      <c r="AA159" s="51"/>
      <c r="AB159" s="52"/>
      <c r="AC159" s="1"/>
      <c r="AD159" s="1"/>
      <c r="AE159" s="1"/>
      <c r="AJ159" s="1"/>
      <c r="AK159" s="1"/>
      <c r="AL159" s="1"/>
      <c r="AM159" s="1"/>
      <c r="AN159" s="1"/>
      <c r="AO159" s="1"/>
      <c r="AP159" s="1"/>
      <c r="AQ159" s="1"/>
      <c r="AR159" s="1"/>
      <c r="AS159" s="6"/>
      <c r="AT159" s="6"/>
      <c r="AU159" s="6"/>
      <c r="AW159" s="1"/>
    </row>
    <row r="160" spans="2:49">
      <c r="B160" s="1"/>
      <c r="C160" s="9"/>
      <c r="F160" s="9"/>
      <c r="G160" s="1"/>
      <c r="I160" s="1"/>
      <c r="J160" s="1"/>
      <c r="R160" s="52"/>
      <c r="S160" s="52"/>
      <c r="T160" s="52"/>
      <c r="U160" s="52"/>
      <c r="V160" s="52"/>
      <c r="W160" s="52"/>
      <c r="X160" s="52"/>
      <c r="Y160" s="896"/>
      <c r="Z160" s="52"/>
      <c r="AA160" s="51"/>
      <c r="AB160" s="52"/>
      <c r="AC160" s="1"/>
      <c r="AD160" s="1"/>
      <c r="AE160" s="1"/>
      <c r="AJ160" s="1"/>
      <c r="AK160" s="1"/>
      <c r="AL160" s="1"/>
      <c r="AM160" s="1"/>
      <c r="AN160" s="1"/>
      <c r="AO160" s="1"/>
      <c r="AP160" s="1"/>
      <c r="AQ160" s="1"/>
      <c r="AR160" s="1"/>
      <c r="AS160" s="6"/>
      <c r="AT160" s="6"/>
      <c r="AU160" s="6"/>
      <c r="AW160" s="1"/>
    </row>
    <row r="161" spans="2:49">
      <c r="B161" s="1"/>
      <c r="C161" s="9"/>
      <c r="F161" s="9"/>
      <c r="G161" s="1"/>
      <c r="I161" s="1"/>
      <c r="J161" s="1"/>
      <c r="R161" s="52"/>
      <c r="S161" s="52"/>
      <c r="T161" s="52"/>
      <c r="U161" s="52"/>
      <c r="V161" s="52"/>
      <c r="W161" s="52"/>
      <c r="X161" s="52"/>
      <c r="Y161" s="896"/>
      <c r="Z161" s="52"/>
      <c r="AA161" s="51"/>
      <c r="AB161" s="52"/>
      <c r="AC161" s="1"/>
      <c r="AD161" s="1"/>
      <c r="AE161" s="1"/>
      <c r="AJ161" s="1"/>
      <c r="AK161" s="1"/>
      <c r="AL161" s="1"/>
      <c r="AM161" s="1"/>
      <c r="AN161" s="1"/>
      <c r="AO161" s="1"/>
      <c r="AP161" s="1"/>
      <c r="AQ161" s="1"/>
      <c r="AR161" s="1"/>
      <c r="AS161" s="6"/>
      <c r="AT161" s="6"/>
      <c r="AU161" s="6"/>
      <c r="AW161" s="1"/>
    </row>
    <row r="162" spans="2:49">
      <c r="B162" s="1"/>
      <c r="C162" s="9"/>
      <c r="F162" s="9"/>
      <c r="G162" s="1"/>
      <c r="I162" s="1"/>
      <c r="J162" s="1"/>
      <c r="R162" s="52"/>
      <c r="S162" s="52"/>
      <c r="T162" s="52"/>
      <c r="U162" s="52"/>
      <c r="V162" s="52"/>
      <c r="W162" s="52"/>
      <c r="X162" s="52"/>
      <c r="Y162" s="896"/>
      <c r="Z162" s="52"/>
      <c r="AA162" s="51"/>
      <c r="AB162" s="52"/>
      <c r="AC162" s="1"/>
      <c r="AD162" s="1"/>
      <c r="AE162" s="1"/>
      <c r="AJ162" s="1"/>
      <c r="AK162" s="1"/>
      <c r="AL162" s="1"/>
      <c r="AM162" s="1"/>
      <c r="AN162" s="1"/>
      <c r="AO162" s="1"/>
      <c r="AP162" s="1"/>
      <c r="AQ162" s="1"/>
      <c r="AR162" s="1"/>
      <c r="AS162" s="6"/>
      <c r="AT162" s="6"/>
      <c r="AU162" s="6"/>
      <c r="AW162" s="1"/>
    </row>
    <row r="163" spans="2:49">
      <c r="B163" s="1"/>
      <c r="C163" s="9"/>
      <c r="F163" s="9"/>
      <c r="G163" s="1"/>
      <c r="I163" s="1"/>
      <c r="J163" s="1"/>
      <c r="R163" s="52"/>
      <c r="S163" s="52"/>
      <c r="T163" s="52"/>
      <c r="U163" s="52"/>
      <c r="V163" s="52"/>
      <c r="W163" s="52"/>
      <c r="X163" s="52"/>
      <c r="Y163" s="896"/>
      <c r="Z163" s="52"/>
      <c r="AA163" s="51"/>
      <c r="AB163" s="52"/>
      <c r="AC163" s="1"/>
      <c r="AD163" s="1"/>
      <c r="AE163" s="1"/>
      <c r="AJ163" s="1"/>
      <c r="AK163" s="1"/>
      <c r="AL163" s="1"/>
      <c r="AM163" s="1"/>
      <c r="AN163" s="1"/>
      <c r="AO163" s="1"/>
      <c r="AP163" s="1"/>
      <c r="AQ163" s="1"/>
      <c r="AR163" s="1"/>
      <c r="AS163" s="6"/>
      <c r="AT163" s="6"/>
      <c r="AU163" s="6"/>
      <c r="AW163" s="1"/>
    </row>
    <row r="164" spans="2:49">
      <c r="B164" s="1"/>
      <c r="C164" s="9"/>
      <c r="F164" s="9"/>
      <c r="G164" s="1"/>
      <c r="I164" s="1"/>
      <c r="J164" s="1"/>
      <c r="R164" s="52"/>
      <c r="S164" s="52"/>
      <c r="T164" s="52"/>
      <c r="U164" s="52"/>
      <c r="V164" s="52"/>
      <c r="W164" s="52"/>
      <c r="X164" s="52"/>
      <c r="Y164" s="896"/>
      <c r="Z164" s="52"/>
      <c r="AA164" s="51"/>
      <c r="AB164" s="52"/>
      <c r="AC164" s="1"/>
      <c r="AD164" s="1"/>
      <c r="AE164" s="1"/>
      <c r="AJ164" s="1"/>
      <c r="AK164" s="1"/>
      <c r="AL164" s="1"/>
      <c r="AM164" s="1"/>
      <c r="AN164" s="1"/>
      <c r="AO164" s="1"/>
      <c r="AP164" s="1"/>
      <c r="AQ164" s="1"/>
      <c r="AR164" s="1"/>
      <c r="AS164" s="6"/>
      <c r="AT164" s="6"/>
      <c r="AU164" s="6"/>
      <c r="AW164" s="1"/>
    </row>
    <row r="165" spans="2:49">
      <c r="B165" s="1"/>
      <c r="C165" s="9"/>
      <c r="F165" s="9"/>
      <c r="G165" s="1"/>
      <c r="I165" s="1"/>
      <c r="J165" s="1"/>
      <c r="R165" s="52"/>
      <c r="S165" s="52"/>
      <c r="T165" s="52"/>
      <c r="U165" s="52"/>
      <c r="V165" s="52"/>
      <c r="W165" s="52"/>
      <c r="X165" s="52"/>
      <c r="Y165" s="896"/>
      <c r="Z165" s="52"/>
      <c r="AA165" s="51"/>
      <c r="AB165" s="52"/>
      <c r="AC165" s="1"/>
      <c r="AD165" s="1"/>
      <c r="AE165" s="1"/>
      <c r="AF165" s="456"/>
      <c r="AG165" s="456"/>
      <c r="AH165" s="189"/>
      <c r="AI165" s="190"/>
      <c r="AJ165" s="1"/>
      <c r="AK165" s="1"/>
      <c r="AL165" s="1"/>
      <c r="AM165" s="1"/>
      <c r="AN165" s="1"/>
      <c r="AO165" s="1"/>
      <c r="AP165" s="1"/>
      <c r="AQ165" s="1"/>
      <c r="AR165" s="1"/>
      <c r="AS165" s="6"/>
      <c r="AT165" s="6"/>
      <c r="AU165" s="6"/>
      <c r="AW165" s="1"/>
    </row>
    <row r="166" spans="2:49">
      <c r="B166" s="1"/>
      <c r="C166" s="9"/>
      <c r="F166" s="9"/>
      <c r="G166" s="1"/>
      <c r="I166" s="1"/>
      <c r="J166" s="1"/>
      <c r="R166" s="52"/>
      <c r="S166" s="52"/>
      <c r="T166" s="52"/>
      <c r="U166" s="52"/>
      <c r="V166" s="52"/>
      <c r="W166" s="52"/>
      <c r="X166" s="52"/>
      <c r="Y166" s="896"/>
      <c r="Z166" s="52"/>
      <c r="AA166" s="51"/>
      <c r="AB166" s="52"/>
      <c r="AC166" s="1"/>
      <c r="AD166" s="1"/>
      <c r="AE166" s="1"/>
      <c r="AJ166" s="1"/>
      <c r="AK166" s="1"/>
      <c r="AL166" s="1"/>
      <c r="AM166" s="1"/>
      <c r="AN166" s="1"/>
      <c r="AO166" s="1"/>
      <c r="AP166" s="1"/>
      <c r="AQ166" s="1"/>
      <c r="AR166" s="1"/>
      <c r="AS166" s="6"/>
      <c r="AT166" s="6"/>
      <c r="AU166" s="6"/>
      <c r="AW166" s="1"/>
    </row>
    <row r="167" spans="2:49">
      <c r="B167" s="1"/>
      <c r="C167" s="9"/>
      <c r="F167" s="9"/>
      <c r="G167" s="1"/>
      <c r="I167" s="1"/>
      <c r="J167" s="1"/>
      <c r="R167" s="52"/>
      <c r="S167" s="52"/>
      <c r="T167" s="52"/>
      <c r="U167" s="52"/>
      <c r="V167" s="52"/>
      <c r="W167" s="52"/>
      <c r="X167" s="52"/>
      <c r="Y167" s="896"/>
      <c r="Z167" s="52"/>
      <c r="AA167" s="51"/>
      <c r="AB167" s="52"/>
      <c r="AC167" s="1"/>
      <c r="AD167" s="1"/>
      <c r="AE167" s="1"/>
      <c r="AJ167" s="1"/>
      <c r="AK167" s="1"/>
      <c r="AL167" s="1"/>
      <c r="AM167" s="1"/>
      <c r="AN167" s="1"/>
      <c r="AO167" s="1"/>
      <c r="AP167" s="1"/>
      <c r="AQ167" s="1"/>
      <c r="AR167" s="1"/>
      <c r="AS167" s="6"/>
      <c r="AT167" s="6"/>
      <c r="AU167" s="6"/>
      <c r="AW167" s="1"/>
    </row>
    <row r="168" spans="2:49">
      <c r="B168" s="1"/>
      <c r="C168" s="9"/>
      <c r="F168" s="9"/>
      <c r="G168" s="1"/>
      <c r="I168" s="1"/>
      <c r="J168" s="1"/>
      <c r="R168" s="52"/>
      <c r="S168" s="52"/>
      <c r="T168" s="52"/>
      <c r="U168" s="52"/>
      <c r="V168" s="52"/>
      <c r="W168" s="52"/>
      <c r="X168" s="52"/>
      <c r="Y168" s="896"/>
      <c r="Z168" s="52"/>
      <c r="AA168" s="51"/>
      <c r="AB168" s="52"/>
      <c r="AC168" s="1"/>
      <c r="AD168" s="1"/>
      <c r="AE168" s="1"/>
      <c r="AJ168" s="1"/>
      <c r="AK168" s="1"/>
      <c r="AL168" s="1"/>
      <c r="AM168" s="1"/>
      <c r="AN168" s="1"/>
      <c r="AO168" s="1"/>
      <c r="AP168" s="1"/>
      <c r="AQ168" s="1"/>
      <c r="AR168" s="1"/>
      <c r="AS168" s="6"/>
      <c r="AT168" s="6"/>
      <c r="AU168" s="6"/>
      <c r="AW168" s="1"/>
    </row>
    <row r="169" spans="2:49">
      <c r="B169" s="1"/>
      <c r="C169" s="9"/>
      <c r="F169" s="9"/>
      <c r="G169" s="1"/>
      <c r="I169" s="1"/>
      <c r="J169" s="1"/>
      <c r="R169" s="52"/>
      <c r="S169" s="52"/>
      <c r="T169" s="52"/>
      <c r="U169" s="52"/>
      <c r="V169" s="52"/>
      <c r="W169" s="52"/>
      <c r="X169" s="52"/>
      <c r="Y169" s="896"/>
      <c r="Z169" s="52"/>
      <c r="AA169" s="51"/>
      <c r="AB169" s="52"/>
      <c r="AC169" s="1"/>
      <c r="AD169" s="1"/>
      <c r="AE169" s="1"/>
      <c r="AF169" s="1"/>
      <c r="AG169" s="1"/>
      <c r="AH169" s="1"/>
      <c r="AI169" s="1"/>
      <c r="AJ169" s="1"/>
      <c r="AK169" s="1"/>
      <c r="AL169" s="1"/>
      <c r="AM169" s="1"/>
      <c r="AN169" s="1"/>
      <c r="AO169" s="1"/>
      <c r="AP169" s="1"/>
      <c r="AQ169" s="1"/>
      <c r="AR169" s="1"/>
      <c r="AS169" s="6"/>
      <c r="AT169" s="6"/>
      <c r="AU169" s="6"/>
      <c r="AW169" s="1"/>
    </row>
    <row r="170" spans="2:49">
      <c r="B170" s="1"/>
      <c r="C170" s="9"/>
      <c r="F170" s="9"/>
      <c r="G170" s="1"/>
      <c r="I170" s="1"/>
      <c r="J170" s="1"/>
      <c r="R170" s="52"/>
      <c r="S170" s="52"/>
      <c r="T170" s="52"/>
      <c r="U170" s="52"/>
      <c r="V170" s="52"/>
      <c r="W170" s="52"/>
      <c r="X170" s="52"/>
      <c r="Y170" s="896"/>
      <c r="Z170" s="52"/>
      <c r="AA170" s="51"/>
      <c r="AB170" s="52"/>
      <c r="AC170" s="1"/>
      <c r="AD170" s="1"/>
      <c r="AE170" s="1"/>
      <c r="AF170" s="1"/>
      <c r="AG170" s="1"/>
      <c r="AH170" s="1"/>
      <c r="AI170" s="1"/>
      <c r="AJ170" s="1"/>
      <c r="AK170" s="1"/>
      <c r="AL170" s="1"/>
      <c r="AM170" s="1"/>
      <c r="AN170" s="1"/>
      <c r="AO170" s="1"/>
      <c r="AP170" s="1"/>
      <c r="AQ170" s="1"/>
      <c r="AR170" s="1"/>
      <c r="AS170" s="6"/>
      <c r="AT170" s="6"/>
      <c r="AU170" s="6"/>
      <c r="AW170" s="1"/>
    </row>
    <row r="171" spans="2:49">
      <c r="B171" s="1"/>
      <c r="C171" s="9"/>
      <c r="F171" s="9"/>
      <c r="G171" s="1"/>
      <c r="I171" s="1"/>
      <c r="J171" s="1"/>
      <c r="R171" s="52"/>
      <c r="S171" s="52"/>
      <c r="T171" s="52"/>
      <c r="U171" s="52"/>
      <c r="V171" s="52"/>
      <c r="W171" s="52"/>
      <c r="X171" s="52"/>
      <c r="Y171" s="896"/>
      <c r="Z171" s="52"/>
      <c r="AA171" s="51"/>
      <c r="AB171" s="52"/>
      <c r="AC171" s="1"/>
      <c r="AD171" s="1"/>
      <c r="AE171" s="1"/>
      <c r="AF171" s="1"/>
      <c r="AG171" s="1"/>
      <c r="AH171" s="1"/>
      <c r="AI171" s="1"/>
      <c r="AJ171" s="1"/>
      <c r="AK171" s="1"/>
      <c r="AL171" s="1"/>
      <c r="AM171" s="1"/>
      <c r="AN171" s="1"/>
      <c r="AO171" s="1"/>
      <c r="AP171" s="1"/>
      <c r="AQ171" s="1"/>
      <c r="AR171" s="1"/>
      <c r="AS171" s="6"/>
      <c r="AT171" s="6"/>
      <c r="AU171" s="6"/>
      <c r="AW171" s="1"/>
    </row>
    <row r="172" spans="2:49">
      <c r="B172" s="1"/>
      <c r="C172" s="9"/>
      <c r="F172" s="9"/>
      <c r="G172" s="1"/>
      <c r="I172" s="1"/>
      <c r="J172" s="1"/>
      <c r="R172" s="52"/>
      <c r="S172" s="52"/>
      <c r="T172" s="52"/>
      <c r="U172" s="52"/>
      <c r="V172" s="52"/>
      <c r="W172" s="52"/>
      <c r="X172" s="52"/>
      <c r="Y172" s="896"/>
      <c r="Z172" s="52"/>
      <c r="AA172" s="51"/>
      <c r="AB172" s="52"/>
      <c r="AC172" s="1"/>
      <c r="AD172" s="1"/>
      <c r="AE172" s="1"/>
      <c r="AF172" s="1"/>
      <c r="AG172" s="1"/>
      <c r="AH172" s="1"/>
      <c r="AI172" s="1"/>
      <c r="AJ172" s="1"/>
      <c r="AK172" s="1"/>
      <c r="AL172" s="1"/>
      <c r="AM172" s="1"/>
      <c r="AN172" s="1"/>
      <c r="AO172" s="1"/>
      <c r="AP172" s="1"/>
      <c r="AQ172" s="1"/>
      <c r="AR172" s="1"/>
      <c r="AS172" s="6"/>
      <c r="AT172" s="6"/>
      <c r="AU172" s="6"/>
      <c r="AW172" s="1"/>
    </row>
    <row r="173" spans="2:49">
      <c r="B173" s="1"/>
      <c r="C173" s="9"/>
      <c r="F173" s="9"/>
      <c r="G173" s="1"/>
      <c r="I173" s="1"/>
      <c r="J173" s="1"/>
      <c r="R173" s="52"/>
      <c r="S173" s="52"/>
      <c r="T173" s="52"/>
      <c r="U173" s="52"/>
      <c r="V173" s="52"/>
      <c r="W173" s="52"/>
      <c r="X173" s="52"/>
      <c r="Y173" s="896"/>
      <c r="Z173" s="52"/>
      <c r="AA173" s="51"/>
      <c r="AB173" s="52"/>
      <c r="AC173" s="1"/>
      <c r="AD173" s="1"/>
      <c r="AE173" s="1"/>
      <c r="AF173" s="1"/>
      <c r="AG173" s="1"/>
      <c r="AH173" s="1"/>
      <c r="AI173" s="1"/>
      <c r="AJ173" s="1"/>
      <c r="AK173" s="1"/>
      <c r="AL173" s="1"/>
      <c r="AM173" s="1"/>
      <c r="AN173" s="1"/>
      <c r="AO173" s="1"/>
      <c r="AP173" s="1"/>
      <c r="AQ173" s="1"/>
      <c r="AR173" s="1"/>
      <c r="AS173" s="6"/>
      <c r="AT173" s="6"/>
      <c r="AU173" s="6"/>
      <c r="AW173" s="1"/>
    </row>
    <row r="174" spans="2:49">
      <c r="B174" s="1"/>
      <c r="C174" s="9"/>
      <c r="F174" s="9"/>
      <c r="G174" s="1"/>
      <c r="I174" s="1"/>
      <c r="J174" s="1"/>
      <c r="R174" s="52"/>
      <c r="S174" s="52"/>
      <c r="T174" s="52"/>
      <c r="U174" s="52"/>
      <c r="V174" s="52"/>
      <c r="W174" s="52"/>
      <c r="X174" s="52"/>
      <c r="Y174" s="896"/>
      <c r="Z174" s="52"/>
      <c r="AA174" s="51"/>
      <c r="AB174" s="52"/>
      <c r="AC174" s="1"/>
      <c r="AD174" s="1"/>
      <c r="AE174" s="1"/>
      <c r="AF174" s="1"/>
      <c r="AG174" s="1"/>
      <c r="AH174" s="1"/>
      <c r="AI174" s="1"/>
      <c r="AJ174" s="1"/>
      <c r="AK174" s="1"/>
      <c r="AL174" s="1"/>
      <c r="AM174" s="1"/>
      <c r="AN174" s="1"/>
      <c r="AO174" s="1"/>
      <c r="AP174" s="1"/>
      <c r="AQ174" s="1"/>
      <c r="AR174" s="1"/>
      <c r="AS174" s="6"/>
      <c r="AT174" s="6"/>
      <c r="AU174" s="6"/>
      <c r="AW174" s="1"/>
    </row>
    <row r="175" spans="2:49">
      <c r="B175" s="1"/>
      <c r="C175" s="9"/>
      <c r="F175" s="9"/>
      <c r="G175" s="1"/>
      <c r="I175" s="1"/>
      <c r="J175" s="1"/>
      <c r="R175" s="52"/>
      <c r="S175" s="52"/>
      <c r="T175" s="52"/>
      <c r="U175" s="52"/>
      <c r="V175" s="52"/>
      <c r="W175" s="52"/>
      <c r="X175" s="52"/>
      <c r="Y175" s="896"/>
      <c r="Z175" s="52"/>
      <c r="AA175" s="51"/>
      <c r="AB175" s="52"/>
      <c r="AC175" s="1"/>
      <c r="AD175" s="1"/>
      <c r="AE175" s="1"/>
      <c r="AF175" s="1"/>
      <c r="AG175" s="1"/>
      <c r="AH175" s="1"/>
      <c r="AI175" s="1"/>
      <c r="AJ175" s="1"/>
      <c r="AK175" s="1"/>
      <c r="AL175" s="1"/>
      <c r="AM175" s="1"/>
      <c r="AN175" s="1"/>
      <c r="AO175" s="1"/>
      <c r="AP175" s="1"/>
      <c r="AQ175" s="1"/>
      <c r="AR175" s="1"/>
      <c r="AS175" s="6"/>
      <c r="AT175" s="6"/>
      <c r="AU175" s="6"/>
      <c r="AW175" s="1"/>
    </row>
    <row r="176" spans="2:49">
      <c r="B176" s="1"/>
      <c r="C176" s="9"/>
      <c r="F176" s="9"/>
      <c r="G176" s="1"/>
      <c r="I176" s="1"/>
      <c r="J176" s="1"/>
      <c r="R176" s="52"/>
      <c r="S176" s="52"/>
      <c r="T176" s="52"/>
      <c r="U176" s="52"/>
      <c r="V176" s="52"/>
      <c r="W176" s="52"/>
      <c r="X176" s="52"/>
      <c r="Y176" s="896"/>
      <c r="Z176" s="52"/>
      <c r="AA176" s="51"/>
      <c r="AB176" s="52"/>
      <c r="AC176" s="1"/>
      <c r="AD176" s="1"/>
      <c r="AE176" s="1"/>
      <c r="AF176" s="1"/>
      <c r="AG176" s="1"/>
      <c r="AH176" s="1"/>
      <c r="AI176" s="1"/>
      <c r="AJ176" s="1"/>
      <c r="AK176" s="1"/>
      <c r="AL176" s="1"/>
      <c r="AM176" s="1"/>
      <c r="AN176" s="1"/>
      <c r="AO176" s="1"/>
      <c r="AP176" s="1"/>
      <c r="AQ176" s="1"/>
      <c r="AR176" s="1"/>
      <c r="AS176" s="6"/>
      <c r="AT176" s="6"/>
      <c r="AU176" s="6"/>
      <c r="AW176" s="1"/>
    </row>
    <row r="177" spans="2:49">
      <c r="B177" s="1"/>
      <c r="C177" s="9"/>
      <c r="F177" s="9"/>
      <c r="G177" s="1"/>
      <c r="I177" s="1"/>
      <c r="J177" s="1"/>
      <c r="R177" s="52"/>
      <c r="S177" s="52"/>
      <c r="T177" s="52"/>
      <c r="U177" s="52"/>
      <c r="V177" s="52"/>
      <c r="W177" s="52"/>
      <c r="X177" s="52"/>
      <c r="Y177" s="896"/>
      <c r="Z177" s="52"/>
      <c r="AA177" s="51"/>
      <c r="AB177" s="52"/>
      <c r="AC177" s="1"/>
      <c r="AD177" s="1"/>
      <c r="AE177" s="1"/>
      <c r="AF177" s="1"/>
      <c r="AG177" s="1"/>
      <c r="AH177" s="1"/>
      <c r="AI177" s="1"/>
      <c r="AJ177" s="1"/>
      <c r="AK177" s="1"/>
      <c r="AL177" s="1"/>
      <c r="AM177" s="1"/>
      <c r="AN177" s="1"/>
      <c r="AO177" s="1"/>
      <c r="AP177" s="1"/>
      <c r="AQ177" s="1"/>
      <c r="AR177" s="1"/>
      <c r="AS177" s="6"/>
      <c r="AT177" s="6"/>
      <c r="AU177" s="6"/>
      <c r="AW177" s="1"/>
    </row>
    <row r="178" spans="2:49">
      <c r="B178" s="1"/>
      <c r="C178" s="9"/>
      <c r="F178" s="9"/>
      <c r="G178" s="1"/>
      <c r="I178" s="1"/>
      <c r="J178" s="1"/>
      <c r="R178" s="52"/>
      <c r="S178" s="52"/>
      <c r="T178" s="52"/>
      <c r="U178" s="52"/>
      <c r="V178" s="52"/>
      <c r="W178" s="52"/>
      <c r="X178" s="52"/>
      <c r="Y178" s="896"/>
      <c r="Z178" s="52"/>
      <c r="AA178" s="51"/>
      <c r="AB178" s="52"/>
      <c r="AC178" s="1"/>
      <c r="AD178" s="1"/>
      <c r="AE178" s="1"/>
      <c r="AF178" s="1"/>
      <c r="AG178" s="1"/>
      <c r="AH178" s="1"/>
      <c r="AI178" s="1"/>
      <c r="AJ178" s="1"/>
      <c r="AK178" s="1"/>
      <c r="AL178" s="1"/>
      <c r="AM178" s="1"/>
      <c r="AN178" s="1"/>
      <c r="AO178" s="1"/>
      <c r="AP178" s="1"/>
      <c r="AQ178" s="1"/>
      <c r="AR178" s="1"/>
      <c r="AS178" s="6"/>
      <c r="AT178" s="6"/>
      <c r="AU178" s="6"/>
      <c r="AW178" s="1"/>
    </row>
    <row r="179" spans="2:49">
      <c r="B179" s="1"/>
      <c r="C179" s="9"/>
      <c r="F179" s="9"/>
      <c r="G179" s="1"/>
      <c r="I179" s="1"/>
      <c r="J179" s="1"/>
      <c r="R179" s="52"/>
      <c r="S179" s="52"/>
      <c r="T179" s="52"/>
      <c r="U179" s="52"/>
      <c r="V179" s="52"/>
      <c r="W179" s="52"/>
      <c r="X179" s="52"/>
      <c r="Y179" s="896"/>
      <c r="Z179" s="52"/>
      <c r="AA179" s="51"/>
      <c r="AB179" s="52"/>
      <c r="AC179" s="1"/>
      <c r="AD179" s="1"/>
      <c r="AE179" s="1"/>
      <c r="AF179" s="1"/>
      <c r="AG179" s="1"/>
      <c r="AH179" s="1"/>
      <c r="AI179" s="1"/>
      <c r="AJ179" s="1"/>
      <c r="AK179" s="1"/>
      <c r="AL179" s="1"/>
      <c r="AM179" s="1"/>
      <c r="AN179" s="1"/>
      <c r="AO179" s="1"/>
      <c r="AP179" s="1"/>
      <c r="AQ179" s="1"/>
      <c r="AR179" s="1"/>
      <c r="AS179" s="6"/>
      <c r="AT179" s="6"/>
      <c r="AU179" s="6"/>
      <c r="AW179" s="1"/>
    </row>
    <row r="180" spans="2:49">
      <c r="B180" s="1"/>
      <c r="C180" s="9"/>
      <c r="F180" s="9"/>
      <c r="G180" s="1"/>
      <c r="I180" s="1"/>
      <c r="J180" s="1"/>
      <c r="R180" s="52"/>
      <c r="S180" s="52"/>
      <c r="T180" s="52"/>
      <c r="U180" s="52"/>
      <c r="V180" s="52"/>
      <c r="W180" s="52"/>
      <c r="X180" s="52"/>
      <c r="Y180" s="896"/>
      <c r="Z180" s="52"/>
      <c r="AA180" s="51"/>
      <c r="AB180" s="52"/>
      <c r="AC180" s="1"/>
      <c r="AD180" s="1"/>
      <c r="AE180" s="1"/>
      <c r="AF180" s="1"/>
      <c r="AG180" s="1"/>
      <c r="AH180" s="1"/>
      <c r="AI180" s="1"/>
      <c r="AJ180" s="1"/>
      <c r="AK180" s="1"/>
      <c r="AL180" s="1"/>
      <c r="AM180" s="1"/>
      <c r="AN180" s="1"/>
      <c r="AO180" s="1"/>
      <c r="AP180" s="1"/>
      <c r="AQ180" s="1"/>
      <c r="AR180" s="1"/>
      <c r="AS180" s="6"/>
      <c r="AT180" s="6"/>
      <c r="AU180" s="6"/>
      <c r="AW180" s="1"/>
    </row>
    <row r="181" spans="2:49">
      <c r="B181" s="1"/>
      <c r="C181" s="9"/>
      <c r="F181" s="9"/>
      <c r="G181" s="1"/>
      <c r="I181" s="1"/>
      <c r="J181" s="1"/>
      <c r="R181" s="52"/>
      <c r="S181" s="52"/>
      <c r="T181" s="52"/>
      <c r="U181" s="52"/>
      <c r="V181" s="52"/>
      <c r="W181" s="52"/>
      <c r="X181" s="52"/>
      <c r="Y181" s="896"/>
      <c r="Z181" s="52"/>
      <c r="AA181" s="51"/>
      <c r="AB181" s="52"/>
      <c r="AC181" s="1"/>
      <c r="AD181" s="1"/>
      <c r="AE181" s="1"/>
      <c r="AF181" s="1"/>
      <c r="AG181" s="1"/>
      <c r="AH181" s="1"/>
      <c r="AI181" s="1"/>
      <c r="AJ181" s="1"/>
      <c r="AK181" s="1"/>
      <c r="AL181" s="1"/>
      <c r="AM181" s="1"/>
      <c r="AN181" s="1"/>
      <c r="AO181" s="1"/>
      <c r="AP181" s="1"/>
      <c r="AQ181" s="1"/>
      <c r="AR181" s="1"/>
      <c r="AS181" s="6"/>
      <c r="AT181" s="6"/>
      <c r="AU181" s="6"/>
      <c r="AW181" s="1"/>
    </row>
    <row r="182" spans="2:49">
      <c r="B182" s="1"/>
      <c r="C182" s="9"/>
      <c r="F182" s="9"/>
      <c r="G182" s="1"/>
      <c r="I182" s="1"/>
      <c r="J182" s="1"/>
      <c r="R182" s="52"/>
      <c r="S182" s="52"/>
      <c r="T182" s="52"/>
      <c r="U182" s="52"/>
      <c r="V182" s="52"/>
      <c r="W182" s="52"/>
      <c r="X182" s="52"/>
      <c r="Y182" s="896"/>
      <c r="Z182" s="52"/>
      <c r="AA182" s="51"/>
      <c r="AB182" s="52"/>
      <c r="AC182" s="1"/>
      <c r="AD182" s="1"/>
      <c r="AE182" s="1"/>
      <c r="AF182" s="1"/>
      <c r="AG182" s="1"/>
      <c r="AH182" s="1"/>
      <c r="AI182" s="1"/>
      <c r="AJ182" s="1"/>
      <c r="AK182" s="1"/>
      <c r="AL182" s="1"/>
      <c r="AM182" s="1"/>
      <c r="AN182" s="1"/>
      <c r="AO182" s="1"/>
      <c r="AP182" s="1"/>
      <c r="AQ182" s="1"/>
      <c r="AR182" s="1"/>
      <c r="AS182" s="6"/>
      <c r="AT182" s="6"/>
      <c r="AU182" s="6"/>
      <c r="AW182" s="1"/>
    </row>
    <row r="183" spans="2:49">
      <c r="B183" s="1"/>
      <c r="C183" s="9"/>
      <c r="F183" s="9"/>
      <c r="G183" s="1"/>
      <c r="I183" s="1"/>
      <c r="J183" s="1"/>
      <c r="R183" s="52"/>
      <c r="S183" s="52"/>
      <c r="T183" s="52"/>
      <c r="U183" s="52"/>
      <c r="V183" s="52"/>
      <c r="W183" s="52"/>
      <c r="X183" s="52"/>
      <c r="Y183" s="896"/>
      <c r="Z183" s="52"/>
      <c r="AA183" s="51"/>
      <c r="AB183" s="52"/>
      <c r="AC183" s="1"/>
      <c r="AD183" s="1"/>
      <c r="AE183" s="1"/>
      <c r="AF183" s="1"/>
      <c r="AG183" s="1"/>
      <c r="AH183" s="1"/>
      <c r="AI183" s="1"/>
      <c r="AJ183" s="1"/>
      <c r="AK183" s="1"/>
      <c r="AL183" s="1"/>
      <c r="AM183" s="1"/>
      <c r="AN183" s="1"/>
      <c r="AO183" s="1"/>
      <c r="AP183" s="1"/>
      <c r="AQ183" s="1"/>
      <c r="AR183" s="1"/>
      <c r="AS183" s="6"/>
      <c r="AT183" s="6"/>
      <c r="AU183" s="6"/>
      <c r="AW183" s="1"/>
    </row>
    <row r="184" spans="2:49">
      <c r="B184" s="1"/>
      <c r="C184" s="9"/>
      <c r="F184" s="9"/>
      <c r="G184" s="1"/>
      <c r="I184" s="1"/>
      <c r="J184" s="1"/>
      <c r="R184" s="52"/>
      <c r="S184" s="52"/>
      <c r="T184" s="52"/>
      <c r="U184" s="52"/>
      <c r="V184" s="52"/>
      <c r="W184" s="52"/>
      <c r="X184" s="52"/>
      <c r="Y184" s="896"/>
      <c r="Z184" s="52"/>
      <c r="AA184" s="51"/>
      <c r="AB184" s="52"/>
      <c r="AC184" s="1"/>
      <c r="AD184" s="1"/>
      <c r="AE184" s="1"/>
      <c r="AF184" s="1"/>
      <c r="AG184" s="1"/>
      <c r="AH184" s="1"/>
      <c r="AI184" s="1"/>
      <c r="AJ184" s="1"/>
      <c r="AK184" s="1"/>
      <c r="AL184" s="1"/>
      <c r="AM184" s="1"/>
      <c r="AN184" s="1"/>
      <c r="AO184" s="1"/>
      <c r="AP184" s="1"/>
      <c r="AQ184" s="1"/>
      <c r="AR184" s="1"/>
      <c r="AS184" s="6"/>
      <c r="AT184" s="6"/>
      <c r="AU184" s="6"/>
      <c r="AW184" s="1"/>
    </row>
    <row r="185" spans="2:49">
      <c r="B185" s="1"/>
      <c r="C185" s="9"/>
      <c r="F185" s="9"/>
      <c r="G185" s="1"/>
      <c r="I185" s="1"/>
      <c r="J185" s="1"/>
      <c r="R185" s="52"/>
      <c r="S185" s="52"/>
      <c r="T185" s="52"/>
      <c r="U185" s="52"/>
      <c r="V185" s="52"/>
      <c r="W185" s="52"/>
      <c r="X185" s="52"/>
      <c r="Y185" s="896"/>
      <c r="Z185" s="52"/>
      <c r="AA185" s="51"/>
      <c r="AB185" s="52"/>
      <c r="AC185" s="1"/>
      <c r="AD185" s="1"/>
      <c r="AE185" s="1"/>
      <c r="AF185" s="1"/>
      <c r="AG185" s="1"/>
      <c r="AH185" s="1"/>
      <c r="AI185" s="1"/>
      <c r="AJ185" s="1"/>
      <c r="AK185" s="1"/>
      <c r="AL185" s="1"/>
      <c r="AM185" s="1"/>
      <c r="AN185" s="1"/>
      <c r="AO185" s="1"/>
      <c r="AP185" s="1"/>
      <c r="AQ185" s="1"/>
      <c r="AR185" s="1"/>
      <c r="AS185" s="6"/>
      <c r="AT185" s="6"/>
      <c r="AU185" s="6"/>
      <c r="AW185" s="1"/>
    </row>
    <row r="186" spans="2:49">
      <c r="B186" s="1"/>
      <c r="C186" s="9"/>
      <c r="F186" s="9"/>
      <c r="G186" s="1"/>
      <c r="I186" s="1"/>
      <c r="J186" s="1"/>
      <c r="R186" s="52"/>
      <c r="S186" s="52"/>
      <c r="T186" s="52"/>
      <c r="U186" s="52"/>
      <c r="V186" s="52"/>
      <c r="W186" s="52"/>
      <c r="X186" s="52"/>
      <c r="Y186" s="896"/>
      <c r="Z186" s="52"/>
      <c r="AA186" s="51"/>
      <c r="AB186" s="52"/>
      <c r="AC186" s="1"/>
      <c r="AD186" s="1"/>
      <c r="AE186" s="1"/>
      <c r="AF186" s="1"/>
      <c r="AG186" s="1"/>
      <c r="AH186" s="1"/>
      <c r="AI186" s="1"/>
      <c r="AJ186" s="1"/>
      <c r="AK186" s="1"/>
      <c r="AL186" s="1"/>
      <c r="AM186" s="1"/>
      <c r="AN186" s="1"/>
      <c r="AO186" s="1"/>
      <c r="AP186" s="1"/>
      <c r="AQ186" s="1"/>
      <c r="AR186" s="1"/>
      <c r="AS186" s="6"/>
      <c r="AT186" s="6"/>
      <c r="AU186" s="6"/>
      <c r="AW186" s="1"/>
    </row>
    <row r="187" spans="2:49">
      <c r="B187" s="1"/>
      <c r="C187" s="9"/>
      <c r="F187" s="9"/>
      <c r="G187" s="1"/>
      <c r="I187" s="1"/>
      <c r="J187" s="1"/>
      <c r="R187" s="52"/>
      <c r="S187" s="52"/>
      <c r="T187" s="52"/>
      <c r="U187" s="52"/>
      <c r="V187" s="52"/>
      <c r="W187" s="52"/>
      <c r="X187" s="52"/>
      <c r="Y187" s="896"/>
      <c r="Z187" s="52"/>
      <c r="AA187" s="51"/>
      <c r="AB187" s="52"/>
      <c r="AC187" s="1"/>
      <c r="AD187" s="1"/>
      <c r="AE187" s="1"/>
      <c r="AF187" s="1"/>
      <c r="AG187" s="1"/>
      <c r="AH187" s="1"/>
      <c r="AI187" s="1"/>
      <c r="AJ187" s="1"/>
      <c r="AK187" s="1"/>
      <c r="AL187" s="1"/>
      <c r="AM187" s="1"/>
      <c r="AN187" s="1"/>
      <c r="AO187" s="1"/>
      <c r="AP187" s="1"/>
      <c r="AQ187" s="1"/>
      <c r="AR187" s="1"/>
      <c r="AS187" s="6"/>
      <c r="AT187" s="6"/>
      <c r="AU187" s="6"/>
      <c r="AW187" s="1"/>
    </row>
    <row r="188" spans="2:49">
      <c r="B188" s="1"/>
      <c r="C188" s="9"/>
      <c r="F188" s="9"/>
      <c r="G188" s="1"/>
      <c r="I188" s="1"/>
      <c r="J188" s="1"/>
      <c r="R188" s="52"/>
      <c r="S188" s="52"/>
      <c r="T188" s="52"/>
      <c r="U188" s="52"/>
      <c r="V188" s="52"/>
      <c r="W188" s="52"/>
      <c r="X188" s="52"/>
      <c r="Y188" s="896"/>
      <c r="Z188" s="52"/>
      <c r="AA188" s="51"/>
      <c r="AB188" s="52"/>
      <c r="AC188" s="1"/>
      <c r="AD188" s="1"/>
      <c r="AE188" s="1"/>
      <c r="AF188" s="1"/>
      <c r="AG188" s="1"/>
      <c r="AH188" s="1"/>
      <c r="AI188" s="1"/>
      <c r="AJ188" s="1"/>
      <c r="AK188" s="1"/>
      <c r="AL188" s="1"/>
      <c r="AM188" s="1"/>
      <c r="AN188" s="1"/>
      <c r="AO188" s="1"/>
      <c r="AP188" s="1"/>
      <c r="AQ188" s="1"/>
      <c r="AR188" s="1"/>
      <c r="AS188" s="6"/>
      <c r="AT188" s="6"/>
      <c r="AU188" s="6"/>
      <c r="AW188" s="1"/>
    </row>
    <row r="189" spans="2:49">
      <c r="B189" s="1"/>
      <c r="C189" s="9"/>
      <c r="F189" s="9"/>
      <c r="G189" s="1"/>
      <c r="I189" s="1"/>
      <c r="J189" s="1"/>
      <c r="R189" s="52"/>
      <c r="S189" s="52"/>
      <c r="T189" s="52"/>
      <c r="U189" s="52"/>
      <c r="V189" s="52"/>
      <c r="W189" s="52"/>
      <c r="X189" s="52"/>
      <c r="Y189" s="896"/>
      <c r="Z189" s="52"/>
      <c r="AA189" s="51"/>
      <c r="AB189" s="52"/>
      <c r="AC189" s="1"/>
      <c r="AD189" s="1"/>
      <c r="AE189" s="1"/>
      <c r="AF189" s="1"/>
      <c r="AG189" s="1"/>
      <c r="AH189" s="1"/>
      <c r="AI189" s="1"/>
      <c r="AJ189" s="1"/>
      <c r="AK189" s="1"/>
      <c r="AL189" s="1"/>
      <c r="AM189" s="1"/>
      <c r="AN189" s="1"/>
      <c r="AO189" s="1"/>
      <c r="AP189" s="1"/>
      <c r="AQ189" s="1"/>
      <c r="AR189" s="1"/>
      <c r="AS189" s="6"/>
      <c r="AT189" s="6"/>
      <c r="AU189" s="6"/>
      <c r="AW189" s="1"/>
    </row>
    <row r="190" spans="2:49">
      <c r="B190" s="1"/>
      <c r="C190" s="9"/>
      <c r="F190" s="9"/>
      <c r="G190" s="1"/>
      <c r="I190" s="1"/>
      <c r="J190" s="1"/>
      <c r="R190" s="52"/>
      <c r="S190" s="52"/>
      <c r="T190" s="52"/>
      <c r="U190" s="52"/>
      <c r="V190" s="52"/>
      <c r="W190" s="52"/>
      <c r="X190" s="52"/>
      <c r="Y190" s="896"/>
      <c r="Z190" s="52"/>
      <c r="AA190" s="51"/>
      <c r="AB190" s="52"/>
      <c r="AC190" s="1"/>
      <c r="AD190" s="1"/>
      <c r="AE190" s="1"/>
      <c r="AF190" s="1"/>
      <c r="AG190" s="1"/>
      <c r="AH190" s="1"/>
      <c r="AI190" s="1"/>
      <c r="AJ190" s="1"/>
      <c r="AK190" s="1"/>
      <c r="AL190" s="1"/>
      <c r="AM190" s="1"/>
      <c r="AN190" s="1"/>
      <c r="AO190" s="1"/>
      <c r="AP190" s="1"/>
      <c r="AQ190" s="1"/>
      <c r="AR190" s="1"/>
      <c r="AS190" s="6"/>
      <c r="AT190" s="6"/>
      <c r="AU190" s="6"/>
      <c r="AW190" s="1"/>
    </row>
    <row r="191" spans="2:49">
      <c r="B191" s="1"/>
      <c r="C191" s="9"/>
      <c r="F191" s="9"/>
      <c r="G191" s="1"/>
      <c r="I191" s="1"/>
      <c r="J191" s="1"/>
      <c r="R191" s="52"/>
      <c r="S191" s="52"/>
      <c r="T191" s="52"/>
      <c r="U191" s="52"/>
      <c r="V191" s="52"/>
      <c r="W191" s="52"/>
      <c r="X191" s="52"/>
      <c r="Y191" s="896"/>
      <c r="Z191" s="52"/>
      <c r="AA191" s="51"/>
      <c r="AB191" s="52"/>
      <c r="AC191" s="1"/>
      <c r="AD191" s="1"/>
      <c r="AE191" s="1"/>
      <c r="AF191" s="1"/>
      <c r="AG191" s="1"/>
      <c r="AH191" s="1"/>
      <c r="AI191" s="1"/>
      <c r="AJ191" s="1"/>
      <c r="AK191" s="1"/>
      <c r="AL191" s="1"/>
      <c r="AM191" s="1"/>
      <c r="AN191" s="1"/>
      <c r="AO191" s="1"/>
      <c r="AP191" s="1"/>
      <c r="AQ191" s="1"/>
      <c r="AR191" s="1"/>
      <c r="AS191" s="6"/>
      <c r="AT191" s="6"/>
      <c r="AU191" s="6"/>
      <c r="AW191" s="1"/>
    </row>
    <row r="192" spans="2:49">
      <c r="B192" s="1"/>
      <c r="C192" s="9"/>
      <c r="F192" s="9"/>
      <c r="G192" s="1"/>
      <c r="I192" s="1"/>
      <c r="J192" s="1"/>
      <c r="R192" s="52"/>
      <c r="S192" s="52"/>
      <c r="T192" s="52"/>
      <c r="U192" s="52"/>
      <c r="V192" s="52"/>
      <c r="W192" s="52"/>
      <c r="X192" s="52"/>
      <c r="Y192" s="896"/>
      <c r="Z192" s="52"/>
      <c r="AA192" s="51"/>
      <c r="AB192" s="52"/>
      <c r="AC192" s="1"/>
      <c r="AD192" s="1"/>
      <c r="AE192" s="1"/>
      <c r="AF192" s="1"/>
      <c r="AG192" s="1"/>
      <c r="AH192" s="1"/>
      <c r="AI192" s="1"/>
      <c r="AJ192" s="1"/>
      <c r="AK192" s="1"/>
      <c r="AL192" s="1"/>
      <c r="AM192" s="1"/>
      <c r="AN192" s="1"/>
      <c r="AO192" s="1"/>
      <c r="AP192" s="1"/>
      <c r="AQ192" s="1"/>
      <c r="AR192" s="1"/>
      <c r="AS192" s="6"/>
      <c r="AT192" s="6"/>
      <c r="AU192" s="6"/>
      <c r="AW192" s="1"/>
    </row>
    <row r="193" spans="2:49">
      <c r="B193" s="1"/>
      <c r="C193" s="9"/>
      <c r="F193" s="9"/>
      <c r="G193" s="1"/>
      <c r="I193" s="1"/>
      <c r="J193" s="1"/>
      <c r="R193" s="52"/>
      <c r="S193" s="52"/>
      <c r="T193" s="52"/>
      <c r="U193" s="52"/>
      <c r="V193" s="52"/>
      <c r="W193" s="52"/>
      <c r="X193" s="52"/>
      <c r="Y193" s="896"/>
      <c r="Z193" s="52"/>
      <c r="AA193" s="51"/>
      <c r="AB193" s="52"/>
      <c r="AC193" s="1"/>
      <c r="AD193" s="1"/>
      <c r="AE193" s="1"/>
      <c r="AF193" s="1"/>
      <c r="AG193" s="1"/>
      <c r="AH193" s="1"/>
      <c r="AI193" s="1"/>
      <c r="AJ193" s="1"/>
      <c r="AK193" s="1"/>
      <c r="AL193" s="1"/>
      <c r="AM193" s="1"/>
      <c r="AN193" s="1"/>
      <c r="AO193" s="1"/>
      <c r="AP193" s="1"/>
      <c r="AQ193" s="1"/>
      <c r="AR193" s="1"/>
      <c r="AS193" s="6"/>
      <c r="AT193" s="6"/>
      <c r="AU193" s="6"/>
      <c r="AW193" s="1"/>
    </row>
    <row r="194" spans="2:49">
      <c r="B194" s="1"/>
      <c r="C194" s="9"/>
      <c r="F194" s="9"/>
      <c r="G194" s="1"/>
      <c r="I194" s="1"/>
      <c r="J194" s="1"/>
      <c r="R194" s="52"/>
      <c r="S194" s="52"/>
      <c r="T194" s="52"/>
      <c r="U194" s="52"/>
      <c r="V194" s="52"/>
      <c r="W194" s="52"/>
      <c r="X194" s="52"/>
      <c r="Y194" s="896"/>
      <c r="Z194" s="52"/>
      <c r="AA194" s="51"/>
      <c r="AB194" s="52"/>
      <c r="AC194" s="1"/>
      <c r="AD194" s="1"/>
      <c r="AE194" s="1"/>
      <c r="AF194" s="1"/>
      <c r="AG194" s="1"/>
      <c r="AH194" s="1"/>
      <c r="AI194" s="1"/>
      <c r="AJ194" s="1"/>
      <c r="AK194" s="1"/>
      <c r="AL194" s="1"/>
      <c r="AM194" s="1"/>
      <c r="AN194" s="1"/>
      <c r="AO194" s="1"/>
      <c r="AP194" s="1"/>
      <c r="AQ194" s="1"/>
      <c r="AR194" s="1"/>
      <c r="AS194" s="6"/>
      <c r="AT194" s="6"/>
      <c r="AU194" s="6"/>
      <c r="AW194" s="1"/>
    </row>
    <row r="195" spans="2:49">
      <c r="B195" s="1"/>
      <c r="C195" s="9"/>
      <c r="F195" s="9"/>
      <c r="G195" s="1"/>
      <c r="I195" s="1"/>
      <c r="J195" s="1"/>
      <c r="R195" s="52"/>
      <c r="S195" s="52"/>
      <c r="T195" s="52"/>
      <c r="U195" s="52"/>
      <c r="V195" s="52"/>
      <c r="W195" s="52"/>
      <c r="X195" s="52"/>
      <c r="Y195" s="896"/>
      <c r="Z195" s="52"/>
      <c r="AA195" s="51"/>
      <c r="AB195" s="52"/>
      <c r="AC195" s="1"/>
      <c r="AD195" s="1"/>
      <c r="AE195" s="1"/>
      <c r="AF195" s="1"/>
      <c r="AG195" s="1"/>
      <c r="AH195" s="1"/>
      <c r="AI195" s="1"/>
      <c r="AJ195" s="1"/>
      <c r="AK195" s="1"/>
      <c r="AL195" s="1"/>
      <c r="AM195" s="1"/>
      <c r="AN195" s="1"/>
      <c r="AO195" s="1"/>
      <c r="AP195" s="1"/>
      <c r="AQ195" s="1"/>
      <c r="AR195" s="1"/>
      <c r="AS195" s="6"/>
      <c r="AT195" s="6"/>
      <c r="AU195" s="6"/>
      <c r="AW195" s="1"/>
    </row>
    <row r="196" spans="2:49">
      <c r="B196" s="1"/>
      <c r="C196" s="9"/>
      <c r="F196" s="9"/>
      <c r="G196" s="1"/>
      <c r="I196" s="1"/>
      <c r="J196" s="1"/>
      <c r="R196" s="52"/>
      <c r="S196" s="52"/>
      <c r="T196" s="52"/>
      <c r="U196" s="52"/>
      <c r="V196" s="52"/>
      <c r="W196" s="52"/>
      <c r="X196" s="52"/>
      <c r="Y196" s="896"/>
      <c r="Z196" s="52"/>
      <c r="AA196" s="51"/>
      <c r="AB196" s="52"/>
      <c r="AC196" s="1"/>
      <c r="AD196" s="1"/>
      <c r="AE196" s="1"/>
      <c r="AF196" s="1"/>
      <c r="AG196" s="1"/>
      <c r="AH196" s="1"/>
      <c r="AI196" s="1"/>
      <c r="AJ196" s="1"/>
      <c r="AK196" s="1"/>
      <c r="AL196" s="1"/>
      <c r="AM196" s="1"/>
      <c r="AN196" s="1"/>
      <c r="AO196" s="1"/>
      <c r="AP196" s="1"/>
      <c r="AQ196" s="1"/>
      <c r="AR196" s="1"/>
      <c r="AS196" s="6"/>
      <c r="AT196" s="6"/>
      <c r="AU196" s="6"/>
      <c r="AW196" s="1"/>
    </row>
    <row r="197" spans="2:49">
      <c r="B197" s="1"/>
      <c r="C197" s="9"/>
      <c r="F197" s="9"/>
      <c r="G197" s="1"/>
      <c r="I197" s="1"/>
      <c r="J197" s="1"/>
      <c r="R197" s="52"/>
      <c r="S197" s="52"/>
      <c r="T197" s="52"/>
      <c r="U197" s="52"/>
      <c r="V197" s="52"/>
      <c r="W197" s="52"/>
      <c r="X197" s="52"/>
      <c r="Y197" s="896"/>
      <c r="Z197" s="52"/>
      <c r="AA197" s="51"/>
      <c r="AB197" s="52"/>
      <c r="AC197" s="1"/>
      <c r="AD197" s="1"/>
      <c r="AE197" s="1"/>
      <c r="AF197" s="1"/>
      <c r="AG197" s="1"/>
      <c r="AH197" s="1"/>
      <c r="AI197" s="1"/>
      <c r="AJ197" s="1"/>
      <c r="AK197" s="1"/>
      <c r="AL197" s="1"/>
      <c r="AM197" s="1"/>
      <c r="AN197" s="1"/>
      <c r="AO197" s="1"/>
      <c r="AP197" s="1"/>
      <c r="AQ197" s="1"/>
      <c r="AR197" s="1"/>
      <c r="AS197" s="6"/>
      <c r="AT197" s="6"/>
      <c r="AU197" s="6"/>
      <c r="AW197" s="1"/>
    </row>
    <row r="198" spans="2:49">
      <c r="B198" s="1"/>
      <c r="C198" s="9"/>
      <c r="F198" s="9"/>
      <c r="G198" s="1"/>
      <c r="I198" s="1"/>
      <c r="J198" s="1"/>
      <c r="R198" s="52"/>
      <c r="S198" s="52"/>
      <c r="T198" s="52"/>
      <c r="U198" s="52"/>
      <c r="V198" s="52"/>
      <c r="W198" s="52"/>
      <c r="X198" s="52"/>
      <c r="Y198" s="896"/>
      <c r="Z198" s="52"/>
      <c r="AA198" s="51"/>
      <c r="AB198" s="52"/>
      <c r="AC198" s="1"/>
      <c r="AD198" s="1"/>
      <c r="AE198" s="1"/>
      <c r="AF198" s="1"/>
      <c r="AG198" s="1"/>
      <c r="AH198" s="1"/>
      <c r="AI198" s="1"/>
      <c r="AJ198" s="1"/>
      <c r="AK198" s="1"/>
      <c r="AL198" s="1"/>
      <c r="AM198" s="1"/>
      <c r="AN198" s="1"/>
      <c r="AO198" s="1"/>
      <c r="AP198" s="1"/>
      <c r="AQ198" s="1"/>
      <c r="AR198" s="1"/>
      <c r="AS198" s="6"/>
      <c r="AT198" s="6"/>
      <c r="AU198" s="6"/>
      <c r="AW198" s="1"/>
    </row>
    <row r="199" spans="2:49">
      <c r="B199" s="1"/>
      <c r="C199" s="9"/>
      <c r="F199" s="9"/>
      <c r="G199" s="1"/>
      <c r="I199" s="1"/>
      <c r="J199" s="1"/>
      <c r="R199" s="52"/>
      <c r="S199" s="52"/>
      <c r="T199" s="52"/>
      <c r="U199" s="52"/>
      <c r="V199" s="52"/>
      <c r="W199" s="52"/>
      <c r="X199" s="52"/>
      <c r="Y199" s="896"/>
      <c r="Z199" s="52"/>
      <c r="AA199" s="51"/>
      <c r="AB199" s="52"/>
      <c r="AC199" s="1"/>
      <c r="AD199" s="1"/>
      <c r="AE199" s="1"/>
      <c r="AF199" s="1"/>
      <c r="AG199" s="1"/>
      <c r="AH199" s="1"/>
      <c r="AI199" s="1"/>
      <c r="AJ199" s="1"/>
      <c r="AK199" s="1"/>
      <c r="AL199" s="1"/>
      <c r="AM199" s="1"/>
      <c r="AN199" s="1"/>
      <c r="AO199" s="1"/>
      <c r="AP199" s="1"/>
      <c r="AQ199" s="1"/>
      <c r="AR199" s="1"/>
      <c r="AS199" s="6"/>
      <c r="AT199" s="6"/>
      <c r="AU199" s="6"/>
      <c r="AW199" s="1"/>
    </row>
    <row r="200" spans="2:49">
      <c r="B200" s="1"/>
      <c r="C200" s="9"/>
      <c r="F200" s="9"/>
      <c r="G200" s="1"/>
      <c r="I200" s="1"/>
      <c r="J200" s="1"/>
      <c r="R200" s="52"/>
      <c r="S200" s="52"/>
      <c r="T200" s="52"/>
      <c r="U200" s="52"/>
      <c r="V200" s="52"/>
      <c r="W200" s="52"/>
      <c r="X200" s="52"/>
      <c r="Y200" s="896"/>
      <c r="Z200" s="52"/>
      <c r="AA200" s="51"/>
      <c r="AB200" s="52"/>
      <c r="AC200" s="1"/>
      <c r="AD200" s="1"/>
      <c r="AE200" s="1"/>
      <c r="AF200" s="1"/>
      <c r="AG200" s="1"/>
      <c r="AH200" s="1"/>
      <c r="AI200" s="1"/>
      <c r="AJ200" s="1"/>
      <c r="AK200" s="1"/>
      <c r="AL200" s="1"/>
      <c r="AM200" s="1"/>
      <c r="AN200" s="1"/>
      <c r="AO200" s="1"/>
      <c r="AP200" s="1"/>
      <c r="AQ200" s="1"/>
      <c r="AR200" s="1"/>
      <c r="AS200" s="6"/>
      <c r="AT200" s="6"/>
      <c r="AU200" s="6"/>
      <c r="AW200" s="1"/>
    </row>
    <row r="201" spans="2:49">
      <c r="B201" s="1"/>
      <c r="C201" s="9"/>
      <c r="F201" s="9"/>
      <c r="G201" s="1"/>
      <c r="I201" s="1"/>
      <c r="J201" s="1"/>
      <c r="R201" s="52"/>
      <c r="S201" s="52"/>
      <c r="T201" s="52"/>
      <c r="U201" s="52"/>
      <c r="V201" s="52"/>
      <c r="W201" s="52"/>
      <c r="X201" s="52"/>
      <c r="Y201" s="896"/>
      <c r="Z201" s="52"/>
      <c r="AA201" s="51"/>
      <c r="AB201" s="52"/>
      <c r="AC201" s="1"/>
      <c r="AD201" s="1"/>
      <c r="AE201" s="1"/>
      <c r="AF201" s="1"/>
      <c r="AG201" s="1"/>
      <c r="AH201" s="1"/>
      <c r="AI201" s="1"/>
      <c r="AJ201" s="1"/>
      <c r="AK201" s="1"/>
      <c r="AL201" s="1"/>
      <c r="AM201" s="1"/>
      <c r="AN201" s="1"/>
      <c r="AO201" s="1"/>
      <c r="AP201" s="1"/>
      <c r="AQ201" s="1"/>
      <c r="AR201" s="1"/>
      <c r="AS201" s="6"/>
      <c r="AT201" s="6"/>
      <c r="AU201" s="6"/>
      <c r="AW201" s="1"/>
    </row>
    <row r="202" spans="2:49">
      <c r="B202" s="1"/>
      <c r="C202" s="9"/>
      <c r="F202" s="9"/>
      <c r="G202" s="1"/>
      <c r="I202" s="1"/>
      <c r="J202" s="1"/>
      <c r="R202" s="52"/>
      <c r="S202" s="52"/>
      <c r="T202" s="52"/>
      <c r="U202" s="52"/>
      <c r="V202" s="52"/>
      <c r="W202" s="52"/>
      <c r="X202" s="52"/>
      <c r="Y202" s="896"/>
      <c r="Z202" s="52"/>
      <c r="AA202" s="51"/>
      <c r="AB202" s="52"/>
      <c r="AC202" s="1"/>
      <c r="AD202" s="1"/>
      <c r="AE202" s="1"/>
      <c r="AF202" s="1"/>
      <c r="AG202" s="1"/>
      <c r="AH202" s="1"/>
      <c r="AI202" s="1"/>
      <c r="AJ202" s="1"/>
      <c r="AK202" s="1"/>
      <c r="AL202" s="1"/>
      <c r="AM202" s="1"/>
      <c r="AN202" s="1"/>
      <c r="AO202" s="1"/>
      <c r="AP202" s="1"/>
      <c r="AQ202" s="1"/>
      <c r="AR202" s="1"/>
      <c r="AS202" s="6"/>
      <c r="AT202" s="6"/>
      <c r="AU202" s="6"/>
      <c r="AW202" s="1"/>
    </row>
    <row r="203" spans="2:49">
      <c r="B203" s="1"/>
      <c r="C203" s="9"/>
      <c r="F203" s="9"/>
      <c r="G203" s="1"/>
      <c r="I203" s="1"/>
      <c r="J203" s="1"/>
      <c r="R203" s="52"/>
      <c r="S203" s="52"/>
      <c r="T203" s="52"/>
      <c r="U203" s="52"/>
      <c r="V203" s="52"/>
      <c r="W203" s="52"/>
      <c r="X203" s="52"/>
      <c r="Y203" s="896"/>
      <c r="Z203" s="52"/>
      <c r="AA203" s="51"/>
      <c r="AB203" s="52"/>
      <c r="AC203" s="1"/>
      <c r="AD203" s="1"/>
      <c r="AE203" s="1"/>
      <c r="AF203" s="1"/>
      <c r="AG203" s="1"/>
      <c r="AH203" s="1"/>
      <c r="AI203" s="1"/>
      <c r="AJ203" s="1"/>
      <c r="AK203" s="1"/>
      <c r="AL203" s="1"/>
      <c r="AM203" s="1"/>
      <c r="AN203" s="1"/>
      <c r="AO203" s="1"/>
      <c r="AP203" s="1"/>
      <c r="AQ203" s="1"/>
      <c r="AR203" s="1"/>
      <c r="AS203" s="6"/>
      <c r="AT203" s="6"/>
      <c r="AU203" s="6"/>
      <c r="AW203" s="1"/>
    </row>
    <row r="204" spans="2:49">
      <c r="B204" s="1"/>
      <c r="C204" s="9"/>
      <c r="F204" s="9"/>
      <c r="G204" s="1"/>
      <c r="I204" s="1"/>
      <c r="J204" s="1"/>
      <c r="R204" s="52"/>
      <c r="S204" s="52"/>
      <c r="T204" s="52"/>
      <c r="U204" s="52"/>
      <c r="V204" s="52"/>
      <c r="W204" s="52"/>
      <c r="X204" s="52"/>
      <c r="Y204" s="896"/>
      <c r="Z204" s="52"/>
      <c r="AA204" s="51"/>
      <c r="AB204" s="52"/>
      <c r="AC204" s="1"/>
      <c r="AD204" s="1"/>
      <c r="AE204" s="1"/>
      <c r="AF204" s="1"/>
      <c r="AG204" s="1"/>
      <c r="AH204" s="1"/>
      <c r="AI204" s="1"/>
      <c r="AJ204" s="1"/>
      <c r="AK204" s="1"/>
      <c r="AL204" s="1"/>
      <c r="AM204" s="1"/>
      <c r="AN204" s="1"/>
      <c r="AO204" s="1"/>
      <c r="AP204" s="1"/>
      <c r="AQ204" s="1"/>
      <c r="AR204" s="1"/>
      <c r="AS204" s="6"/>
      <c r="AT204" s="6"/>
      <c r="AU204" s="6"/>
      <c r="AW204" s="1"/>
    </row>
    <row r="205" spans="2:49">
      <c r="B205" s="1"/>
      <c r="C205" s="9"/>
      <c r="F205" s="9"/>
      <c r="G205" s="1"/>
      <c r="I205" s="1"/>
      <c r="J205" s="1"/>
      <c r="R205" s="52"/>
      <c r="S205" s="52"/>
      <c r="T205" s="52"/>
      <c r="U205" s="52"/>
      <c r="V205" s="52"/>
      <c r="W205" s="52"/>
      <c r="X205" s="52"/>
      <c r="Y205" s="896"/>
      <c r="Z205" s="52"/>
      <c r="AA205" s="51"/>
      <c r="AB205" s="52"/>
      <c r="AC205" s="1"/>
      <c r="AD205" s="1"/>
      <c r="AE205" s="1"/>
      <c r="AF205" s="1"/>
      <c r="AG205" s="1"/>
      <c r="AH205" s="1"/>
      <c r="AI205" s="1"/>
      <c r="AJ205" s="1"/>
      <c r="AK205" s="1"/>
      <c r="AL205" s="1"/>
      <c r="AM205" s="1"/>
      <c r="AN205" s="1"/>
      <c r="AO205" s="1"/>
      <c r="AP205" s="1"/>
      <c r="AQ205" s="1"/>
      <c r="AR205" s="1"/>
      <c r="AS205" s="6"/>
      <c r="AT205" s="6"/>
      <c r="AU205" s="6"/>
      <c r="AW205" s="1"/>
    </row>
    <row r="206" spans="2:49">
      <c r="B206" s="1"/>
      <c r="C206" s="9"/>
      <c r="F206" s="9"/>
      <c r="G206" s="1"/>
      <c r="I206" s="1"/>
      <c r="J206" s="1"/>
      <c r="R206" s="52"/>
      <c r="S206" s="52"/>
      <c r="T206" s="52"/>
      <c r="U206" s="52"/>
      <c r="V206" s="52"/>
      <c r="W206" s="52"/>
      <c r="X206" s="52"/>
      <c r="Y206" s="896"/>
      <c r="Z206" s="52"/>
      <c r="AA206" s="51"/>
      <c r="AB206" s="52"/>
      <c r="AC206" s="1"/>
      <c r="AD206" s="1"/>
      <c r="AE206" s="1"/>
      <c r="AF206" s="1"/>
      <c r="AG206" s="1"/>
      <c r="AH206" s="1"/>
      <c r="AI206" s="1"/>
      <c r="AJ206" s="1"/>
      <c r="AK206" s="1"/>
      <c r="AL206" s="1"/>
      <c r="AM206" s="1"/>
      <c r="AN206" s="1"/>
      <c r="AO206" s="1"/>
      <c r="AP206" s="1"/>
      <c r="AQ206" s="1"/>
      <c r="AR206" s="1"/>
      <c r="AS206" s="6"/>
      <c r="AT206" s="6"/>
      <c r="AU206" s="6"/>
      <c r="AW206" s="1"/>
    </row>
    <row r="207" spans="2:49">
      <c r="B207" s="1"/>
      <c r="C207" s="9"/>
      <c r="F207" s="9"/>
      <c r="G207" s="1"/>
      <c r="I207" s="1"/>
      <c r="J207" s="1"/>
      <c r="R207" s="52"/>
      <c r="S207" s="52"/>
      <c r="T207" s="52"/>
      <c r="U207" s="52"/>
      <c r="V207" s="52"/>
      <c r="W207" s="52"/>
      <c r="X207" s="52"/>
      <c r="Y207" s="896"/>
      <c r="Z207" s="52"/>
      <c r="AA207" s="51"/>
      <c r="AB207" s="52"/>
      <c r="AC207" s="1"/>
      <c r="AD207" s="1"/>
      <c r="AE207" s="1"/>
      <c r="AF207" s="1"/>
      <c r="AG207" s="1"/>
      <c r="AH207" s="1"/>
      <c r="AI207" s="1"/>
      <c r="AJ207" s="1"/>
      <c r="AK207" s="1"/>
      <c r="AL207" s="1"/>
      <c r="AM207" s="1"/>
      <c r="AN207" s="1"/>
      <c r="AO207" s="1"/>
      <c r="AP207" s="1"/>
      <c r="AQ207" s="1"/>
      <c r="AR207" s="1"/>
      <c r="AS207" s="6"/>
      <c r="AT207" s="6"/>
      <c r="AU207" s="6"/>
      <c r="AW207" s="1"/>
    </row>
    <row r="208" spans="2:49">
      <c r="B208" s="1"/>
      <c r="C208" s="9"/>
      <c r="F208" s="9"/>
      <c r="G208" s="1"/>
      <c r="I208" s="1"/>
      <c r="J208" s="1"/>
      <c r="R208" s="52"/>
      <c r="S208" s="52"/>
      <c r="T208" s="52"/>
      <c r="U208" s="52"/>
      <c r="V208" s="52"/>
      <c r="W208" s="52"/>
      <c r="X208" s="52"/>
      <c r="Y208" s="896"/>
      <c r="Z208" s="52"/>
      <c r="AA208" s="51"/>
      <c r="AB208" s="52"/>
      <c r="AC208" s="1"/>
      <c r="AD208" s="1"/>
      <c r="AE208" s="1"/>
      <c r="AF208" s="1"/>
      <c r="AG208" s="1"/>
      <c r="AH208" s="1"/>
      <c r="AI208" s="1"/>
      <c r="AJ208" s="1"/>
      <c r="AK208" s="1"/>
      <c r="AL208" s="1"/>
      <c r="AM208" s="1"/>
      <c r="AN208" s="1"/>
      <c r="AO208" s="1"/>
      <c r="AP208" s="1"/>
      <c r="AQ208" s="1"/>
      <c r="AR208" s="1"/>
      <c r="AS208" s="6"/>
      <c r="AT208" s="6"/>
      <c r="AU208" s="6"/>
      <c r="AW208" s="1"/>
    </row>
    <row r="209" spans="2:49">
      <c r="B209" s="1"/>
      <c r="C209" s="9"/>
      <c r="F209" s="9"/>
      <c r="G209" s="1"/>
      <c r="I209" s="1"/>
      <c r="J209" s="1"/>
      <c r="R209" s="52"/>
      <c r="S209" s="52"/>
      <c r="T209" s="52"/>
      <c r="U209" s="52"/>
      <c r="V209" s="52"/>
      <c r="W209" s="52"/>
      <c r="X209" s="52"/>
      <c r="Y209" s="896"/>
      <c r="Z209" s="52"/>
      <c r="AA209" s="51"/>
      <c r="AB209" s="52"/>
      <c r="AC209" s="1"/>
      <c r="AD209" s="1"/>
      <c r="AE209" s="1"/>
      <c r="AF209" s="1"/>
      <c r="AG209" s="1"/>
      <c r="AH209" s="1"/>
      <c r="AI209" s="1"/>
      <c r="AJ209" s="1"/>
      <c r="AK209" s="1"/>
      <c r="AL209" s="1"/>
      <c r="AM209" s="1"/>
      <c r="AN209" s="1"/>
      <c r="AO209" s="1"/>
      <c r="AP209" s="1"/>
      <c r="AQ209" s="1"/>
      <c r="AR209" s="1"/>
      <c r="AS209" s="6"/>
      <c r="AT209" s="6"/>
      <c r="AU209" s="6"/>
      <c r="AW209" s="1"/>
    </row>
    <row r="210" spans="2:49">
      <c r="B210" s="1"/>
      <c r="C210" s="9"/>
      <c r="F210" s="9"/>
      <c r="G210" s="1"/>
      <c r="I210" s="1"/>
      <c r="J210" s="1"/>
      <c r="R210" s="52"/>
      <c r="S210" s="52"/>
      <c r="T210" s="52"/>
      <c r="U210" s="52"/>
      <c r="V210" s="52"/>
      <c r="W210" s="52"/>
      <c r="X210" s="52"/>
      <c r="Y210" s="896"/>
      <c r="Z210" s="52"/>
      <c r="AA210" s="51"/>
      <c r="AB210" s="52"/>
      <c r="AC210" s="1"/>
      <c r="AD210" s="1"/>
      <c r="AE210" s="1"/>
      <c r="AF210" s="1"/>
      <c r="AG210" s="1"/>
      <c r="AH210" s="1"/>
      <c r="AI210" s="1"/>
      <c r="AJ210" s="1"/>
      <c r="AK210" s="1"/>
      <c r="AL210" s="1"/>
      <c r="AM210" s="1"/>
      <c r="AN210" s="1"/>
      <c r="AO210" s="1"/>
      <c r="AP210" s="1"/>
      <c r="AQ210" s="1"/>
      <c r="AR210" s="1"/>
      <c r="AS210" s="6"/>
      <c r="AT210" s="6"/>
      <c r="AU210" s="6"/>
      <c r="AW210" s="1"/>
    </row>
    <row r="211" spans="2:49">
      <c r="B211" s="1"/>
      <c r="C211" s="9"/>
      <c r="F211" s="9"/>
      <c r="G211" s="1"/>
      <c r="I211" s="1"/>
      <c r="J211" s="1"/>
      <c r="R211" s="52"/>
      <c r="S211" s="52"/>
      <c r="T211" s="52"/>
      <c r="U211" s="52"/>
      <c r="V211" s="52"/>
      <c r="W211" s="52"/>
      <c r="X211" s="52"/>
      <c r="Y211" s="896"/>
      <c r="Z211" s="52"/>
      <c r="AA211" s="51"/>
      <c r="AB211" s="52"/>
      <c r="AC211" s="1"/>
      <c r="AD211" s="1"/>
      <c r="AE211" s="1"/>
      <c r="AF211" s="1"/>
      <c r="AG211" s="1"/>
      <c r="AH211" s="1"/>
      <c r="AI211" s="1"/>
      <c r="AJ211" s="1"/>
      <c r="AK211" s="1"/>
      <c r="AL211" s="1"/>
      <c r="AM211" s="1"/>
      <c r="AN211" s="1"/>
      <c r="AO211" s="1"/>
      <c r="AP211" s="1"/>
      <c r="AQ211" s="1"/>
      <c r="AR211" s="1"/>
      <c r="AS211" s="6"/>
      <c r="AT211" s="6"/>
      <c r="AU211" s="6"/>
      <c r="AW211" s="1"/>
    </row>
    <row r="212" spans="2:49">
      <c r="B212" s="1"/>
      <c r="C212" s="9"/>
      <c r="F212" s="9"/>
      <c r="G212" s="1"/>
      <c r="I212" s="1"/>
      <c r="J212" s="1"/>
      <c r="R212" s="52"/>
      <c r="S212" s="52"/>
      <c r="T212" s="52"/>
      <c r="U212" s="52"/>
      <c r="V212" s="52"/>
      <c r="W212" s="52"/>
      <c r="X212" s="52"/>
      <c r="Y212" s="896"/>
      <c r="Z212" s="52"/>
      <c r="AA212" s="51"/>
      <c r="AB212" s="52"/>
      <c r="AC212" s="1"/>
      <c r="AD212" s="1"/>
      <c r="AE212" s="1"/>
      <c r="AF212" s="1"/>
      <c r="AG212" s="1"/>
      <c r="AH212" s="1"/>
      <c r="AI212" s="1"/>
      <c r="AJ212" s="1"/>
      <c r="AK212" s="1"/>
      <c r="AL212" s="1"/>
      <c r="AM212" s="1"/>
      <c r="AN212" s="1"/>
      <c r="AO212" s="1"/>
      <c r="AP212" s="1"/>
      <c r="AQ212" s="1"/>
      <c r="AR212" s="1"/>
      <c r="AS212" s="6"/>
      <c r="AT212" s="6"/>
      <c r="AU212" s="6"/>
      <c r="AW212" s="1"/>
    </row>
    <row r="213" spans="2:49">
      <c r="B213" s="1"/>
      <c r="C213" s="9"/>
      <c r="F213" s="9"/>
      <c r="G213" s="1"/>
      <c r="I213" s="1"/>
      <c r="J213" s="1"/>
      <c r="R213" s="52"/>
      <c r="S213" s="52"/>
      <c r="T213" s="52"/>
      <c r="U213" s="52"/>
      <c r="V213" s="52"/>
      <c r="W213" s="52"/>
      <c r="X213" s="52"/>
      <c r="Y213" s="896"/>
      <c r="Z213" s="52"/>
      <c r="AA213" s="51"/>
      <c r="AB213" s="52"/>
      <c r="AC213" s="1"/>
      <c r="AD213"/>
      <c r="AE213"/>
      <c r="AJ213"/>
      <c r="AK213"/>
    </row>
    <row r="214" spans="2:49">
      <c r="B214" s="1"/>
      <c r="C214" s="9"/>
      <c r="F214" s="9"/>
      <c r="G214" s="1"/>
      <c r="I214" s="1"/>
      <c r="J214" s="1"/>
      <c r="R214" s="52"/>
      <c r="S214" s="52"/>
      <c r="T214" s="52"/>
      <c r="U214" s="52"/>
      <c r="V214" s="52"/>
      <c r="W214" s="52"/>
      <c r="X214" s="52"/>
      <c r="Y214" s="896"/>
      <c r="Z214" s="52"/>
      <c r="AA214" s="51"/>
      <c r="AB214" s="52"/>
      <c r="AC214" s="1"/>
      <c r="AD214"/>
      <c r="AE214"/>
      <c r="AJ214"/>
      <c r="AK214"/>
    </row>
    <row r="215" spans="2:49">
      <c r="B215" s="1"/>
      <c r="C215" s="9"/>
      <c r="F215" s="9"/>
      <c r="G215" s="1"/>
      <c r="I215" s="1"/>
      <c r="J215" s="1"/>
      <c r="R215" s="52"/>
      <c r="S215" s="52"/>
      <c r="T215" s="52"/>
      <c r="U215" s="52"/>
      <c r="V215" s="52"/>
      <c r="W215" s="52"/>
      <c r="X215" s="52"/>
      <c r="Y215" s="896"/>
      <c r="Z215" s="52"/>
      <c r="AA215" s="51"/>
      <c r="AB215" s="52"/>
      <c r="AC215" s="1"/>
      <c r="AD215"/>
      <c r="AE215"/>
      <c r="AJ215"/>
      <c r="AK215"/>
    </row>
    <row r="216" spans="2:49">
      <c r="B216" s="1"/>
      <c r="C216" s="9"/>
      <c r="F216" s="9"/>
      <c r="G216" s="1"/>
      <c r="I216" s="1"/>
      <c r="J216" s="1"/>
      <c r="R216" s="52"/>
      <c r="S216" s="52"/>
      <c r="T216" s="52"/>
      <c r="U216" s="52"/>
      <c r="V216" s="52"/>
      <c r="W216" s="52"/>
      <c r="X216" s="52"/>
      <c r="Y216" s="896"/>
      <c r="Z216" s="52"/>
      <c r="AA216" s="51"/>
      <c r="AB216" s="52"/>
      <c r="AC216" s="1"/>
      <c r="AD216"/>
      <c r="AE216"/>
      <c r="AJ216"/>
      <c r="AK216"/>
    </row>
  </sheetData>
  <sheetProtection algorithmName="SHA-512" hashValue="iP6rXbAawCRjuMXd9+PnBdBu9bZC8f+s8W+BLvpc4DXsiiOr1ZCzp8nWMYkvZzsCPNSOLE0gzf+/mOgqaoQEqQ==" saltValue="dMU6OZmgSBxnSfOEtZGsHw==" spinCount="100000" sheet="1" objects="1" formatRows="0"/>
  <dataConsolidate/>
  <mergeCells count="184">
    <mergeCell ref="AJ5:AU5"/>
    <mergeCell ref="AJ6:AU6"/>
    <mergeCell ref="AM3:AN3"/>
    <mergeCell ref="AJ4:AK4"/>
    <mergeCell ref="AM4:AN4"/>
    <mergeCell ref="AK45:AK47"/>
    <mergeCell ref="AL45:AL47"/>
    <mergeCell ref="AM45:AM47"/>
    <mergeCell ref="AN45:AN47"/>
    <mergeCell ref="AO45:AO47"/>
    <mergeCell ref="AS36:AS38"/>
    <mergeCell ref="AU36:AU38"/>
    <mergeCell ref="AL39:AL41"/>
    <mergeCell ref="AU9:AU11"/>
    <mergeCell ref="AS39:AS41"/>
    <mergeCell ref="AU39:AU41"/>
    <mergeCell ref="AU29:AU31"/>
    <mergeCell ref="AJ12:AJ41"/>
    <mergeCell ref="AK8:AK11"/>
    <mergeCell ref="AM9:AM11"/>
    <mergeCell ref="AN9:AN11"/>
    <mergeCell ref="AO9:AO11"/>
    <mergeCell ref="AM8:AO8"/>
    <mergeCell ref="B49:C49"/>
    <mergeCell ref="H81:I81"/>
    <mergeCell ref="AK36:AK41"/>
    <mergeCell ref="AL36:AL38"/>
    <mergeCell ref="AK35:AO35"/>
    <mergeCell ref="AL20:AL22"/>
    <mergeCell ref="AQ39:AR41"/>
    <mergeCell ref="AK23:AN23"/>
    <mergeCell ref="AK12:AN12"/>
    <mergeCell ref="AR45:AR47"/>
    <mergeCell ref="AQ17:AR19"/>
    <mergeCell ref="AQ20:AR22"/>
    <mergeCell ref="AQ24:AR25"/>
    <mergeCell ref="AQ26:AR28"/>
    <mergeCell ref="AQ29:AR31"/>
    <mergeCell ref="AQ32:AR34"/>
    <mergeCell ref="AQ36:AR38"/>
    <mergeCell ref="AQ45:AQ47"/>
    <mergeCell ref="I90:K90"/>
    <mergeCell ref="AD1:AG1"/>
    <mergeCell ref="AZ45:AZ47"/>
    <mergeCell ref="AK24:AK34"/>
    <mergeCell ref="AL24:AL25"/>
    <mergeCell ref="AL29:AL31"/>
    <mergeCell ref="AL32:AL34"/>
    <mergeCell ref="AL17:AL19"/>
    <mergeCell ref="AU24:AU25"/>
    <mergeCell ref="AL26:AL28"/>
    <mergeCell ref="AU26:AU28"/>
    <mergeCell ref="AL14:AL16"/>
    <mergeCell ref="AL9:AL11"/>
    <mergeCell ref="L1:M1"/>
    <mergeCell ref="N1:O1"/>
    <mergeCell ref="K6:K7"/>
    <mergeCell ref="J6:J7"/>
    <mergeCell ref="N6:O6"/>
    <mergeCell ref="AJ8:AJ11"/>
    <mergeCell ref="AK13:AK22"/>
    <mergeCell ref="AU32:AU34"/>
    <mergeCell ref="AS20:AS22"/>
    <mergeCell ref="J81:K81"/>
    <mergeCell ref="AS45:AS47"/>
    <mergeCell ref="I92:K92"/>
    <mergeCell ref="B73:C73"/>
    <mergeCell ref="B81:C81"/>
    <mergeCell ref="B80:D80"/>
    <mergeCell ref="B55:C55"/>
    <mergeCell ref="B67:C67"/>
    <mergeCell ref="L89:M89"/>
    <mergeCell ref="B79:C79"/>
    <mergeCell ref="B85:F85"/>
    <mergeCell ref="I86:K86"/>
    <mergeCell ref="I82:K82"/>
    <mergeCell ref="L83:M83"/>
    <mergeCell ref="L87:M87"/>
    <mergeCell ref="L91:M91"/>
    <mergeCell ref="L92:M92"/>
    <mergeCell ref="L86:O86"/>
    <mergeCell ref="N87:O87"/>
    <mergeCell ref="N91:O91"/>
    <mergeCell ref="E80:K80"/>
    <mergeCell ref="N92:O92"/>
    <mergeCell ref="N83:O83"/>
    <mergeCell ref="B82:H82"/>
    <mergeCell ref="F81:G81"/>
    <mergeCell ref="N89:O89"/>
    <mergeCell ref="EU5:EU6"/>
    <mergeCell ref="CN6:CN7"/>
    <mergeCell ref="CO6:CO7"/>
    <mergeCell ref="BG7:BH7"/>
    <mergeCell ref="DI6:DJ6"/>
    <mergeCell ref="ER5:ES6"/>
    <mergeCell ref="BV6:BW7"/>
    <mergeCell ref="CS6:CT6"/>
    <mergeCell ref="DC6:DC7"/>
    <mergeCell ref="EM5:EO5"/>
    <mergeCell ref="EG5:EL5"/>
    <mergeCell ref="DW6:DX6"/>
    <mergeCell ref="DT6:DT7"/>
    <mergeCell ref="DU6:DV6"/>
    <mergeCell ref="DF6:DF7"/>
    <mergeCell ref="BE68:BH68"/>
    <mergeCell ref="BE54:BH54"/>
    <mergeCell ref="BE57:BG57"/>
    <mergeCell ref="BE58:BG58"/>
    <mergeCell ref="BE59:BG59"/>
    <mergeCell ref="BE61:BG61"/>
    <mergeCell ref="BE62:BG62"/>
    <mergeCell ref="BE64:BG64"/>
    <mergeCell ref="BE65:BG65"/>
    <mergeCell ref="BE66:BG66"/>
    <mergeCell ref="BY2:CG2"/>
    <mergeCell ref="A42:A80"/>
    <mergeCell ref="B13:C13"/>
    <mergeCell ref="B61:C61"/>
    <mergeCell ref="B31:C31"/>
    <mergeCell ref="B43:C43"/>
    <mergeCell ref="B4:C4"/>
    <mergeCell ref="B2:H2"/>
    <mergeCell ref="B3:C3"/>
    <mergeCell ref="I2:J2"/>
    <mergeCell ref="D3:F3"/>
    <mergeCell ref="G3:H3"/>
    <mergeCell ref="I3:J3"/>
    <mergeCell ref="B19:C19"/>
    <mergeCell ref="B37:C37"/>
    <mergeCell ref="B25:C25"/>
    <mergeCell ref="I4:K4"/>
    <mergeCell ref="B6:B7"/>
    <mergeCell ref="D6:D7"/>
    <mergeCell ref="E6:E7"/>
    <mergeCell ref="F6:F7"/>
    <mergeCell ref="G6:G7"/>
    <mergeCell ref="H6:H7"/>
    <mergeCell ref="I5:K5"/>
    <mergeCell ref="BF6:BF7"/>
    <mergeCell ref="DG6:DH6"/>
    <mergeCell ref="BE4:BF4"/>
    <mergeCell ref="CU6:CV6"/>
    <mergeCell ref="CL6:CL7"/>
    <mergeCell ref="BE5:BF5"/>
    <mergeCell ref="BF10:BH10"/>
    <mergeCell ref="BF9:BH9"/>
    <mergeCell ref="DF3:DF4"/>
    <mergeCell ref="BD9:BD11"/>
    <mergeCell ref="AS9:AS11"/>
    <mergeCell ref="AQ8:AR8"/>
    <mergeCell ref="AQ9:AR11"/>
    <mergeCell ref="AW9:AW11"/>
    <mergeCell ref="AX9:AX11"/>
    <mergeCell ref="AQ13:AR13"/>
    <mergeCell ref="AQ14:AR16"/>
    <mergeCell ref="BD12:BD17"/>
    <mergeCell ref="AW8:AX8"/>
    <mergeCell ref="BD19:BD27"/>
    <mergeCell ref="BD29:BD37"/>
    <mergeCell ref="AU20:AU22"/>
    <mergeCell ref="AS32:AS34"/>
    <mergeCell ref="AS14:AS16"/>
    <mergeCell ref="AS24:AS25"/>
    <mergeCell ref="AS26:AS28"/>
    <mergeCell ref="AS29:AS31"/>
    <mergeCell ref="AS17:AS19"/>
    <mergeCell ref="AU17:AU19"/>
    <mergeCell ref="AU14:AU16"/>
    <mergeCell ref="D4:H4"/>
    <mergeCell ref="AD2:AE2"/>
    <mergeCell ref="AF2:AG2"/>
    <mergeCell ref="AB6:AB7"/>
    <mergeCell ref="AF4:AG4"/>
    <mergeCell ref="AF7:AG7"/>
    <mergeCell ref="AD6:AE6"/>
    <mergeCell ref="AF6:AG6"/>
    <mergeCell ref="AD7:AE7"/>
    <mergeCell ref="AD4:AE4"/>
    <mergeCell ref="L6:M6"/>
    <mergeCell ref="T6:T7"/>
    <mergeCell ref="U6:U7"/>
    <mergeCell ref="Q6:Q7"/>
    <mergeCell ref="B5:H5"/>
    <mergeCell ref="C6:C7"/>
  </mergeCells>
  <phoneticPr fontId="15" type="noConversion"/>
  <conditionalFormatting sqref="K19">
    <cfRule type="expression" dxfId="2303" priority="1510" stopIfTrue="1">
      <formula>$B14=$B20</formula>
    </cfRule>
  </conditionalFormatting>
  <conditionalFormatting sqref="B83">
    <cfRule type="expression" dxfId="2302" priority="1156" stopIfTrue="1">
      <formula>$Q$97=0</formula>
    </cfRule>
  </conditionalFormatting>
  <conditionalFormatting sqref="B13">
    <cfRule type="expression" dxfId="2301" priority="1121" stopIfTrue="1">
      <formula>$B8=$B14</formula>
    </cfRule>
  </conditionalFormatting>
  <conditionalFormatting sqref="I3:J3">
    <cfRule type="expression" dxfId="2300" priority="2955" stopIfTrue="1">
      <formula>$BG$5="Yes"</formula>
    </cfRule>
  </conditionalFormatting>
  <conditionalFormatting sqref="L4:L5 N4:N5 O2:O3 M2:M3">
    <cfRule type="expression" dxfId="2299" priority="1079" stopIfTrue="1">
      <formula>$BE$3=1</formula>
    </cfRule>
  </conditionalFormatting>
  <conditionalFormatting sqref="M13 O13">
    <cfRule type="expression" dxfId="2298" priority="1075" stopIfTrue="1">
      <formula>$B8=$B14</formula>
    </cfRule>
  </conditionalFormatting>
  <conditionalFormatting sqref="M19 O19">
    <cfRule type="expression" dxfId="2297" priority="1074" stopIfTrue="1">
      <formula>$B14=$B20</formula>
    </cfRule>
  </conditionalFormatting>
  <conditionalFormatting sqref="M25 O25">
    <cfRule type="expression" dxfId="2296" priority="1073" stopIfTrue="1">
      <formula>$B20=$B26</formula>
    </cfRule>
  </conditionalFormatting>
  <conditionalFormatting sqref="M31 O31">
    <cfRule type="expression" dxfId="2295" priority="1072" stopIfTrue="1">
      <formula>$B26=$B32</formula>
    </cfRule>
  </conditionalFormatting>
  <conditionalFormatting sqref="M37 O37">
    <cfRule type="expression" dxfId="2294" priority="1071" stopIfTrue="1">
      <formula>$B32=$B38</formula>
    </cfRule>
  </conditionalFormatting>
  <conditionalFormatting sqref="M43 O43">
    <cfRule type="expression" dxfId="2293" priority="1070" stopIfTrue="1">
      <formula>$B38=$B44</formula>
    </cfRule>
  </conditionalFormatting>
  <conditionalFormatting sqref="M49 O49">
    <cfRule type="expression" dxfId="2292" priority="1069" stopIfTrue="1">
      <formula>$B44=$B50</formula>
    </cfRule>
  </conditionalFormatting>
  <conditionalFormatting sqref="M55 O55">
    <cfRule type="expression" dxfId="2291" priority="1068" stopIfTrue="1">
      <formula>$B50=$B56</formula>
    </cfRule>
  </conditionalFormatting>
  <conditionalFormatting sqref="M61 O61">
    <cfRule type="expression" dxfId="2290" priority="1067" stopIfTrue="1">
      <formula>$B56=$B62</formula>
    </cfRule>
  </conditionalFormatting>
  <conditionalFormatting sqref="L8:O79">
    <cfRule type="expression" dxfId="2289" priority="1066" stopIfTrue="1">
      <formula>$BE$3=2</formula>
    </cfRule>
  </conditionalFormatting>
  <conditionalFormatting sqref="AD3">
    <cfRule type="expression" dxfId="2288" priority="964" stopIfTrue="1">
      <formula>$AD$5&lt;$AD$7</formula>
    </cfRule>
  </conditionalFormatting>
  <conditionalFormatting sqref="AF3">
    <cfRule type="expression" dxfId="2287" priority="963" stopIfTrue="1">
      <formula>$AF$5&lt;$AF$7</formula>
    </cfRule>
  </conditionalFormatting>
  <conditionalFormatting sqref="J13:K13">
    <cfRule type="expression" dxfId="2286" priority="606" stopIfTrue="1">
      <formula>$B8=$B14</formula>
    </cfRule>
  </conditionalFormatting>
  <conditionalFormatting sqref="K45:K48">
    <cfRule type="expression" dxfId="2285" priority="674" stopIfTrue="1">
      <formula>$EM45="Error"</formula>
    </cfRule>
  </conditionalFormatting>
  <conditionalFormatting sqref="J13">
    <cfRule type="expression" dxfId="2284" priority="955" stopIfTrue="1">
      <formula>$M13=0</formula>
    </cfRule>
  </conditionalFormatting>
  <conditionalFormatting sqref="AD5">
    <cfRule type="expression" dxfId="2283" priority="573" stopIfTrue="1">
      <formula>$AD$5&lt;$AD$7</formula>
    </cfRule>
  </conditionalFormatting>
  <conditionalFormatting sqref="AF5">
    <cfRule type="expression" dxfId="2282" priority="571" stopIfTrue="1">
      <formula>$AF$5&lt;$AF$7</formula>
    </cfRule>
  </conditionalFormatting>
  <conditionalFormatting sqref="AE5">
    <cfRule type="expression" dxfId="2281" priority="3292" stopIfTrue="1">
      <formula>$AE$5&lt;$AD$7</formula>
    </cfRule>
  </conditionalFormatting>
  <conditionalFormatting sqref="AG5">
    <cfRule type="expression" dxfId="2280" priority="3293" stopIfTrue="1">
      <formula>$AG$5&lt;$AF$7</formula>
    </cfRule>
  </conditionalFormatting>
  <conditionalFormatting sqref="AG3">
    <cfRule type="expression" dxfId="2279" priority="3294" stopIfTrue="1">
      <formula>$AG$5&lt;$AF$7</formula>
    </cfRule>
  </conditionalFormatting>
  <conditionalFormatting sqref="AE3">
    <cfRule type="expression" dxfId="2278" priority="3295" stopIfTrue="1">
      <formula>$AE$5&lt;$AD$7</formula>
    </cfRule>
  </conditionalFormatting>
  <conditionalFormatting sqref="AN36:AP41 AN13:AP22 AN24:AP34 AN48:AP67">
    <cfRule type="expression" dxfId="2277" priority="469" stopIfTrue="1">
      <formula>$BD$3=2</formula>
    </cfRule>
  </conditionalFormatting>
  <conditionalFormatting sqref="AU67">
    <cfRule type="expression" dxfId="2276" priority="474">
      <formula>$AK67="E"</formula>
    </cfRule>
  </conditionalFormatting>
  <conditionalFormatting sqref="AU57">
    <cfRule type="expression" dxfId="2275" priority="484">
      <formula>$AK57="E"</formula>
    </cfRule>
  </conditionalFormatting>
  <conditionalFormatting sqref="AU58">
    <cfRule type="expression" dxfId="2274" priority="483">
      <formula>$AK58="E"</formula>
    </cfRule>
  </conditionalFormatting>
  <conditionalFormatting sqref="AU59">
    <cfRule type="expression" dxfId="2273" priority="482">
      <formula>$AK59="E"</formula>
    </cfRule>
  </conditionalFormatting>
  <conditionalFormatting sqref="AU60">
    <cfRule type="expression" dxfId="2272" priority="481">
      <formula>$AK60="E"</formula>
    </cfRule>
  </conditionalFormatting>
  <conditionalFormatting sqref="AU61">
    <cfRule type="expression" dxfId="2271" priority="480">
      <formula>$AK61="E"</formula>
    </cfRule>
  </conditionalFormatting>
  <conditionalFormatting sqref="AU62">
    <cfRule type="expression" dxfId="2270" priority="479">
      <formula>$AK62="E"</formula>
    </cfRule>
  </conditionalFormatting>
  <conditionalFormatting sqref="AU63">
    <cfRule type="expression" dxfId="2269" priority="478">
      <formula>$AK63="E"</formula>
    </cfRule>
  </conditionalFormatting>
  <conditionalFormatting sqref="AU64">
    <cfRule type="expression" dxfId="2268" priority="477">
      <formula>$AK64="E"</formula>
    </cfRule>
  </conditionalFormatting>
  <conditionalFormatting sqref="AU65">
    <cfRule type="expression" dxfId="2267" priority="476">
      <formula>$AK65="E"</formula>
    </cfRule>
  </conditionalFormatting>
  <conditionalFormatting sqref="AU66">
    <cfRule type="expression" dxfId="2266" priority="475">
      <formula>$AK66="E"</formula>
    </cfRule>
  </conditionalFormatting>
  <conditionalFormatting sqref="AJ3">
    <cfRule type="expression" dxfId="2265" priority="501" stopIfTrue="1">
      <formula>$L$88&lt;$L$89</formula>
    </cfRule>
  </conditionalFormatting>
  <conditionalFormatting sqref="AK3">
    <cfRule type="expression" dxfId="2264" priority="500" stopIfTrue="1">
      <formula>$AE$3&lt;$AD$4</formula>
    </cfRule>
  </conditionalFormatting>
  <conditionalFormatting sqref="AL3">
    <cfRule type="expression" dxfId="2263" priority="499" stopIfTrue="1">
      <formula>$N$88&lt;$N$89</formula>
    </cfRule>
  </conditionalFormatting>
  <conditionalFormatting sqref="AK2">
    <cfRule type="expression" dxfId="2262" priority="497" stopIfTrue="1">
      <formula>$AE$3&lt;$AD$4</formula>
    </cfRule>
  </conditionalFormatting>
  <conditionalFormatting sqref="AJ2">
    <cfRule type="expression" dxfId="2261" priority="496" stopIfTrue="1">
      <formula>$L$88&lt;$L$89</formula>
    </cfRule>
  </conditionalFormatting>
  <conditionalFormatting sqref="AL2">
    <cfRule type="expression" dxfId="2260" priority="495" stopIfTrue="1">
      <formula>$N$88&lt;$N$89</formula>
    </cfRule>
  </conditionalFormatting>
  <conditionalFormatting sqref="J19">
    <cfRule type="expression" dxfId="2259" priority="467" stopIfTrue="1">
      <formula>$B14=$B20</formula>
    </cfRule>
  </conditionalFormatting>
  <conditionalFormatting sqref="J19">
    <cfRule type="expression" dxfId="2258" priority="468" stopIfTrue="1">
      <formula>$M19=0</formula>
    </cfRule>
  </conditionalFormatting>
  <conditionalFormatting sqref="J25">
    <cfRule type="expression" dxfId="2257" priority="465" stopIfTrue="1">
      <formula>$B20=$B26</formula>
    </cfRule>
  </conditionalFormatting>
  <conditionalFormatting sqref="J25">
    <cfRule type="expression" dxfId="2256" priority="466" stopIfTrue="1">
      <formula>$M25=0</formula>
    </cfRule>
  </conditionalFormatting>
  <conditionalFormatting sqref="J31">
    <cfRule type="expression" dxfId="2255" priority="463" stopIfTrue="1">
      <formula>$B26=$B32</formula>
    </cfRule>
  </conditionalFormatting>
  <conditionalFormatting sqref="J31">
    <cfRule type="expression" dxfId="2254" priority="464" stopIfTrue="1">
      <formula>$M31=0</formula>
    </cfRule>
  </conditionalFormatting>
  <conditionalFormatting sqref="J37">
    <cfRule type="expression" dxfId="2253" priority="461" stopIfTrue="1">
      <formula>$B32=$B38</formula>
    </cfRule>
  </conditionalFormatting>
  <conditionalFormatting sqref="J37">
    <cfRule type="expression" dxfId="2252" priority="462" stopIfTrue="1">
      <formula>$M37=0</formula>
    </cfRule>
  </conditionalFormatting>
  <conditionalFormatting sqref="J43">
    <cfRule type="expression" dxfId="2251" priority="459" stopIfTrue="1">
      <formula>$B38=$B44</formula>
    </cfRule>
  </conditionalFormatting>
  <conditionalFormatting sqref="J43">
    <cfRule type="expression" dxfId="2250" priority="460" stopIfTrue="1">
      <formula>$M43=0</formula>
    </cfRule>
  </conditionalFormatting>
  <conditionalFormatting sqref="J49">
    <cfRule type="expression" dxfId="2249" priority="457" stopIfTrue="1">
      <formula>$B44=$B50</formula>
    </cfRule>
  </conditionalFormatting>
  <conditionalFormatting sqref="J49">
    <cfRule type="expression" dxfId="2248" priority="458" stopIfTrue="1">
      <formula>$M49=0</formula>
    </cfRule>
  </conditionalFormatting>
  <conditionalFormatting sqref="J55">
    <cfRule type="expression" dxfId="2247" priority="455" stopIfTrue="1">
      <formula>$B50=$B56</formula>
    </cfRule>
  </conditionalFormatting>
  <conditionalFormatting sqref="J55">
    <cfRule type="expression" dxfId="2246" priority="456" stopIfTrue="1">
      <formula>$M55=0</formula>
    </cfRule>
  </conditionalFormatting>
  <conditionalFormatting sqref="J61">
    <cfRule type="expression" dxfId="2245" priority="453" stopIfTrue="1">
      <formula>$B56=$B62</formula>
    </cfRule>
  </conditionalFormatting>
  <conditionalFormatting sqref="J61">
    <cfRule type="expression" dxfId="2244" priority="454" stopIfTrue="1">
      <formula>$M61=0</formula>
    </cfRule>
  </conditionalFormatting>
  <conditionalFormatting sqref="J67">
    <cfRule type="expression" dxfId="2243" priority="451" stopIfTrue="1">
      <formula>$B62=$B68</formula>
    </cfRule>
  </conditionalFormatting>
  <conditionalFormatting sqref="J67">
    <cfRule type="expression" dxfId="2242" priority="452" stopIfTrue="1">
      <formula>$M67=0</formula>
    </cfRule>
  </conditionalFormatting>
  <conditionalFormatting sqref="J73">
    <cfRule type="expression" dxfId="2241" priority="449" stopIfTrue="1">
      <formula>$B68=$B74</formula>
    </cfRule>
  </conditionalFormatting>
  <conditionalFormatting sqref="J73">
    <cfRule type="expression" dxfId="2240" priority="450" stopIfTrue="1">
      <formula>$M73=0</formula>
    </cfRule>
  </conditionalFormatting>
  <conditionalFormatting sqref="J79">
    <cfRule type="expression" dxfId="2239" priority="447" stopIfTrue="1">
      <formula>$B74=$B80</formula>
    </cfRule>
  </conditionalFormatting>
  <conditionalFormatting sqref="J79">
    <cfRule type="expression" dxfId="2238" priority="448" stopIfTrue="1">
      <formula>$M79=0</formula>
    </cfRule>
  </conditionalFormatting>
  <conditionalFormatting sqref="Q68:Q72">
    <cfRule type="expression" dxfId="2237" priority="426" stopIfTrue="1">
      <formula>$DE68&lt;&gt;""</formula>
    </cfRule>
    <cfRule type="expression" dxfId="2236" priority="427" stopIfTrue="1">
      <formula>$EU68=1</formula>
    </cfRule>
  </conditionalFormatting>
  <conditionalFormatting sqref="Q74:Q78">
    <cfRule type="expression" dxfId="2235" priority="424" stopIfTrue="1">
      <formula>$DE74&lt;&gt;""</formula>
    </cfRule>
    <cfRule type="expression" dxfId="2234" priority="425" stopIfTrue="1">
      <formula>$EU74=1</formula>
    </cfRule>
  </conditionalFormatting>
  <conditionalFormatting sqref="L88">
    <cfRule type="expression" dxfId="2233" priority="382" stopIfTrue="1">
      <formula>$L$90&lt;$L$92</formula>
    </cfRule>
  </conditionalFormatting>
  <conditionalFormatting sqref="N88">
    <cfRule type="expression" dxfId="2232" priority="381" stopIfTrue="1">
      <formula>$N$90&lt;$N$92</formula>
    </cfRule>
  </conditionalFormatting>
  <conditionalFormatting sqref="L90">
    <cfRule type="expression" dxfId="2231" priority="380" stopIfTrue="1">
      <formula>$L$90&lt;$L$92</formula>
    </cfRule>
  </conditionalFormatting>
  <conditionalFormatting sqref="N90">
    <cfRule type="expression" dxfId="2230" priority="379" stopIfTrue="1">
      <formula>$N$90&lt;$N$92</formula>
    </cfRule>
  </conditionalFormatting>
  <conditionalFormatting sqref="M90">
    <cfRule type="expression" dxfId="2229" priority="383" stopIfTrue="1">
      <formula>$M$90&lt;$L$92</formula>
    </cfRule>
  </conditionalFormatting>
  <conditionalFormatting sqref="O90">
    <cfRule type="expression" dxfId="2228" priority="384" stopIfTrue="1">
      <formula>$O$90&lt;$N$92</formula>
    </cfRule>
  </conditionalFormatting>
  <conditionalFormatting sqref="O88">
    <cfRule type="expression" dxfId="2227" priority="385" stopIfTrue="1">
      <formula>$O$90&lt;$N$92</formula>
    </cfRule>
  </conditionalFormatting>
  <conditionalFormatting sqref="M88">
    <cfRule type="expression" dxfId="2226" priority="386" stopIfTrue="1">
      <formula>$M$90&lt;$L$92</formula>
    </cfRule>
  </conditionalFormatting>
  <conditionalFormatting sqref="I90:K90">
    <cfRule type="expression" dxfId="2225" priority="375" stopIfTrue="1">
      <formula>$I$90="External Line Totals Not Reached"</formula>
    </cfRule>
  </conditionalFormatting>
  <conditionalFormatting sqref="B19">
    <cfRule type="expression" dxfId="2224" priority="374" stopIfTrue="1">
      <formula>$B14=$B20</formula>
    </cfRule>
  </conditionalFormatting>
  <conditionalFormatting sqref="B25">
    <cfRule type="expression" dxfId="2223" priority="373" stopIfTrue="1">
      <formula>$B20=$B26</formula>
    </cfRule>
  </conditionalFormatting>
  <conditionalFormatting sqref="B31">
    <cfRule type="expression" dxfId="2222" priority="372" stopIfTrue="1">
      <formula>$B26=$B32</formula>
    </cfRule>
  </conditionalFormatting>
  <conditionalFormatting sqref="B37">
    <cfRule type="expression" dxfId="2221" priority="371" stopIfTrue="1">
      <formula>$B32=$B38</formula>
    </cfRule>
  </conditionalFormatting>
  <conditionalFormatting sqref="B43">
    <cfRule type="expression" dxfId="2220" priority="370" stopIfTrue="1">
      <formula>$B38=$B44</formula>
    </cfRule>
  </conditionalFormatting>
  <conditionalFormatting sqref="B49">
    <cfRule type="expression" dxfId="2219" priority="369" stopIfTrue="1">
      <formula>$B44=$B50</formula>
    </cfRule>
  </conditionalFormatting>
  <conditionalFormatting sqref="B55">
    <cfRule type="expression" dxfId="2218" priority="368" stopIfTrue="1">
      <formula>$B50=$B56</formula>
    </cfRule>
  </conditionalFormatting>
  <conditionalFormatting sqref="B61">
    <cfRule type="expression" dxfId="2217" priority="367" stopIfTrue="1">
      <formula>$B56=$B62</formula>
    </cfRule>
  </conditionalFormatting>
  <conditionalFormatting sqref="B67">
    <cfRule type="expression" dxfId="2216" priority="366" stopIfTrue="1">
      <formula>$B62=$B68</formula>
    </cfRule>
  </conditionalFormatting>
  <conditionalFormatting sqref="B73">
    <cfRule type="expression" dxfId="2215" priority="365" stopIfTrue="1">
      <formula>$B68=$B74</formula>
    </cfRule>
  </conditionalFormatting>
  <conditionalFormatting sqref="B79">
    <cfRule type="expression" dxfId="2214" priority="364" stopIfTrue="1">
      <formula>$B74=$B92</formula>
    </cfRule>
  </conditionalFormatting>
  <conditionalFormatting sqref="H36">
    <cfRule type="expression" dxfId="2213" priority="320" stopIfTrue="1">
      <formula>$ES36="Changed"</formula>
    </cfRule>
  </conditionalFormatting>
  <conditionalFormatting sqref="K44">
    <cfRule type="expression" dxfId="2212" priority="360" stopIfTrue="1">
      <formula>$EM44="Error"</formula>
    </cfRule>
  </conditionalFormatting>
  <conditionalFormatting sqref="K42">
    <cfRule type="expression" dxfId="2211" priority="359" stopIfTrue="1">
      <formula>$EM42="Error"</formula>
    </cfRule>
  </conditionalFormatting>
  <conditionalFormatting sqref="K41">
    <cfRule type="expression" dxfId="2210" priority="358" stopIfTrue="1">
      <formula>$EM41="Error"</formula>
    </cfRule>
  </conditionalFormatting>
  <conditionalFormatting sqref="K40">
    <cfRule type="expression" dxfId="2209" priority="357" stopIfTrue="1">
      <formula>$EM40="Error"</formula>
    </cfRule>
  </conditionalFormatting>
  <conditionalFormatting sqref="K39">
    <cfRule type="expression" dxfId="2208" priority="356" stopIfTrue="1">
      <formula>$EM39="Error"</formula>
    </cfRule>
  </conditionalFormatting>
  <conditionalFormatting sqref="K38">
    <cfRule type="expression" dxfId="2207" priority="355" stopIfTrue="1">
      <formula>$EM38="Error"</formula>
    </cfRule>
  </conditionalFormatting>
  <conditionalFormatting sqref="K36">
    <cfRule type="expression" dxfId="2206" priority="354" stopIfTrue="1">
      <formula>$EM36="Error"</formula>
    </cfRule>
  </conditionalFormatting>
  <conditionalFormatting sqref="K35">
    <cfRule type="expression" dxfId="2205" priority="353" stopIfTrue="1">
      <formula>$EM35="Error"</formula>
    </cfRule>
  </conditionalFormatting>
  <conditionalFormatting sqref="K34">
    <cfRule type="expression" dxfId="2204" priority="352" stopIfTrue="1">
      <formula>$EM34="Error"</formula>
    </cfRule>
  </conditionalFormatting>
  <conditionalFormatting sqref="K33">
    <cfRule type="expression" dxfId="2203" priority="351" stopIfTrue="1">
      <formula>$EM33="Error"</formula>
    </cfRule>
  </conditionalFormatting>
  <conditionalFormatting sqref="K32">
    <cfRule type="expression" dxfId="2202" priority="350" stopIfTrue="1">
      <formula>$EM32="Error"</formula>
    </cfRule>
  </conditionalFormatting>
  <conditionalFormatting sqref="K30">
    <cfRule type="expression" dxfId="2201" priority="349" stopIfTrue="1">
      <formula>$EM30="Error"</formula>
    </cfRule>
  </conditionalFormatting>
  <conditionalFormatting sqref="K29">
    <cfRule type="expression" dxfId="2200" priority="348" stopIfTrue="1">
      <formula>$EM29="Error"</formula>
    </cfRule>
  </conditionalFormatting>
  <conditionalFormatting sqref="K28">
    <cfRule type="expression" dxfId="2199" priority="347" stopIfTrue="1">
      <formula>$EM28="Error"</formula>
    </cfRule>
  </conditionalFormatting>
  <conditionalFormatting sqref="K27">
    <cfRule type="expression" dxfId="2198" priority="346" stopIfTrue="1">
      <formula>$EM27="Error"</formula>
    </cfRule>
  </conditionalFormatting>
  <conditionalFormatting sqref="K26">
    <cfRule type="expression" dxfId="2197" priority="345" stopIfTrue="1">
      <formula>$EM26="Error"</formula>
    </cfRule>
  </conditionalFormatting>
  <conditionalFormatting sqref="K24">
    <cfRule type="expression" dxfId="2196" priority="344" stopIfTrue="1">
      <formula>$EM24="Error"</formula>
    </cfRule>
  </conditionalFormatting>
  <conditionalFormatting sqref="K23">
    <cfRule type="expression" dxfId="2195" priority="343" stopIfTrue="1">
      <formula>$EM23="Error"</formula>
    </cfRule>
  </conditionalFormatting>
  <conditionalFormatting sqref="K22">
    <cfRule type="expression" dxfId="2194" priority="342" stopIfTrue="1">
      <formula>$EM22="Error"</formula>
    </cfRule>
  </conditionalFormatting>
  <conditionalFormatting sqref="K21">
    <cfRule type="expression" dxfId="2193" priority="341" stopIfTrue="1">
      <formula>$EM21="Error"</formula>
    </cfRule>
  </conditionalFormatting>
  <conditionalFormatting sqref="K20">
    <cfRule type="expression" dxfId="2192" priority="340" stopIfTrue="1">
      <formula>$EM20="Error"</formula>
    </cfRule>
  </conditionalFormatting>
  <conditionalFormatting sqref="K18">
    <cfRule type="expression" dxfId="2191" priority="339" stopIfTrue="1">
      <formula>$EM18="Error"</formula>
    </cfRule>
  </conditionalFormatting>
  <conditionalFormatting sqref="K17">
    <cfRule type="expression" dxfId="2190" priority="338" stopIfTrue="1">
      <formula>$EM17="Error"</formula>
    </cfRule>
  </conditionalFormatting>
  <conditionalFormatting sqref="K16">
    <cfRule type="expression" dxfId="2189" priority="337" stopIfTrue="1">
      <formula>$EM16="Error"</formula>
    </cfRule>
  </conditionalFormatting>
  <conditionalFormatting sqref="K15">
    <cfRule type="expression" dxfId="2188" priority="336" stopIfTrue="1">
      <formula>$EM15="Error"</formula>
    </cfRule>
  </conditionalFormatting>
  <conditionalFormatting sqref="K14">
    <cfRule type="expression" dxfId="2187" priority="335" stopIfTrue="1">
      <formula>$EM14="Error"</formula>
    </cfRule>
  </conditionalFormatting>
  <conditionalFormatting sqref="H39">
    <cfRule type="expression" dxfId="2186" priority="322" stopIfTrue="1">
      <formula>$ES39="Changed"</formula>
    </cfRule>
  </conditionalFormatting>
  <conditionalFormatting sqref="H34">
    <cfRule type="expression" dxfId="2185" priority="318" stopIfTrue="1">
      <formula>$ES34="Changed"</formula>
    </cfRule>
  </conditionalFormatting>
  <conditionalFormatting sqref="H48">
    <cfRule type="expression" dxfId="2184" priority="326" stopIfTrue="1">
      <formula>$ES48="Changed"</formula>
    </cfRule>
  </conditionalFormatting>
  <conditionalFormatting sqref="H42">
    <cfRule type="expression" dxfId="2183" priority="325" stopIfTrue="1">
      <formula>$ES42="Changed"</formula>
    </cfRule>
  </conditionalFormatting>
  <conditionalFormatting sqref="H41">
    <cfRule type="expression" dxfId="2182" priority="324" stopIfTrue="1">
      <formula>$ES41="Changed"</formula>
    </cfRule>
  </conditionalFormatting>
  <conditionalFormatting sqref="H40">
    <cfRule type="expression" dxfId="2181" priority="323" stopIfTrue="1">
      <formula>$ES40="Changed"</formula>
    </cfRule>
  </conditionalFormatting>
  <conditionalFormatting sqref="H38">
    <cfRule type="expression" dxfId="2180" priority="321" stopIfTrue="1">
      <formula>$ES38="Changed"</formula>
    </cfRule>
  </conditionalFormatting>
  <conditionalFormatting sqref="H35">
    <cfRule type="expression" dxfId="2179" priority="319" stopIfTrue="1">
      <formula>$ES35="Changed"</formula>
    </cfRule>
  </conditionalFormatting>
  <conditionalFormatting sqref="H33">
    <cfRule type="expression" dxfId="2178" priority="317" stopIfTrue="1">
      <formula>$ES33="Changed"</formula>
    </cfRule>
  </conditionalFormatting>
  <conditionalFormatting sqref="H32">
    <cfRule type="expression" dxfId="2177" priority="316" stopIfTrue="1">
      <formula>$ES32="Changed"</formula>
    </cfRule>
  </conditionalFormatting>
  <conditionalFormatting sqref="H30">
    <cfRule type="expression" dxfId="2176" priority="315" stopIfTrue="1">
      <formula>$ES30="Changed"</formula>
    </cfRule>
  </conditionalFormatting>
  <conditionalFormatting sqref="H29">
    <cfRule type="expression" dxfId="2175" priority="314" stopIfTrue="1">
      <formula>$ES29="Changed"</formula>
    </cfRule>
  </conditionalFormatting>
  <conditionalFormatting sqref="H28">
    <cfRule type="expression" dxfId="2174" priority="313" stopIfTrue="1">
      <formula>$ES28="Changed"</formula>
    </cfRule>
  </conditionalFormatting>
  <conditionalFormatting sqref="H27">
    <cfRule type="expression" dxfId="2173" priority="312" stopIfTrue="1">
      <formula>$ES27="Changed"</formula>
    </cfRule>
  </conditionalFormatting>
  <conditionalFormatting sqref="H26">
    <cfRule type="expression" dxfId="2172" priority="311" stopIfTrue="1">
      <formula>$ES26="Changed"</formula>
    </cfRule>
  </conditionalFormatting>
  <conditionalFormatting sqref="H24">
    <cfRule type="expression" dxfId="2171" priority="310" stopIfTrue="1">
      <formula>$ES24="Changed"</formula>
    </cfRule>
  </conditionalFormatting>
  <conditionalFormatting sqref="H23">
    <cfRule type="expression" dxfId="2170" priority="309" stopIfTrue="1">
      <formula>$ES23="Changed"</formula>
    </cfRule>
  </conditionalFormatting>
  <conditionalFormatting sqref="H22">
    <cfRule type="expression" dxfId="2169" priority="308" stopIfTrue="1">
      <formula>$ES22="Changed"</formula>
    </cfRule>
  </conditionalFormatting>
  <conditionalFormatting sqref="H21">
    <cfRule type="expression" dxfId="2168" priority="307" stopIfTrue="1">
      <formula>$ES21="Changed"</formula>
    </cfRule>
  </conditionalFormatting>
  <conditionalFormatting sqref="H20">
    <cfRule type="expression" dxfId="2167" priority="306" stopIfTrue="1">
      <formula>$ES20="Changed"</formula>
    </cfRule>
  </conditionalFormatting>
  <conditionalFormatting sqref="H18">
    <cfRule type="expression" dxfId="2166" priority="305" stopIfTrue="1">
      <formula>$ES18="Changed"</formula>
    </cfRule>
  </conditionalFormatting>
  <conditionalFormatting sqref="H17">
    <cfRule type="expression" dxfId="2165" priority="304" stopIfTrue="1">
      <formula>$ES17="Changed"</formula>
    </cfRule>
  </conditionalFormatting>
  <conditionalFormatting sqref="H16">
    <cfRule type="expression" dxfId="2164" priority="303" stopIfTrue="1">
      <formula>$ES16="Changed"</formula>
    </cfRule>
  </conditionalFormatting>
  <conditionalFormatting sqref="H15">
    <cfRule type="expression" dxfId="2163" priority="302" stopIfTrue="1">
      <formula>$ES15="Changed"</formula>
    </cfRule>
  </conditionalFormatting>
  <conditionalFormatting sqref="H14">
    <cfRule type="expression" dxfId="2162" priority="301" stopIfTrue="1">
      <formula>$ES14="Changed"</formula>
    </cfRule>
  </conditionalFormatting>
  <conditionalFormatting sqref="H12">
    <cfRule type="expression" dxfId="2161" priority="300" stopIfTrue="1">
      <formula>$ES12="Changed"</formula>
    </cfRule>
  </conditionalFormatting>
  <conditionalFormatting sqref="K12">
    <cfRule type="expression" dxfId="2160" priority="290" stopIfTrue="1">
      <formula>$EM12="Error"</formula>
    </cfRule>
  </conditionalFormatting>
  <conditionalFormatting sqref="H47">
    <cfRule type="expression" dxfId="2159" priority="294" stopIfTrue="1">
      <formula>$ES47="Changed"</formula>
    </cfRule>
  </conditionalFormatting>
  <conditionalFormatting sqref="H46">
    <cfRule type="expression" dxfId="2158" priority="293" stopIfTrue="1">
      <formula>$ES46="Changed"</formula>
    </cfRule>
  </conditionalFormatting>
  <conditionalFormatting sqref="H45">
    <cfRule type="expression" dxfId="2157" priority="292" stopIfTrue="1">
      <formula>$ES45="Changed"</formula>
    </cfRule>
  </conditionalFormatting>
  <conditionalFormatting sqref="H44">
    <cfRule type="expression" dxfId="2156" priority="291" stopIfTrue="1">
      <formula>$ES44="Changed"</formula>
    </cfRule>
  </conditionalFormatting>
  <conditionalFormatting sqref="K8">
    <cfRule type="expression" dxfId="2155" priority="286" stopIfTrue="1">
      <formula>$EM8="Error"</formula>
    </cfRule>
  </conditionalFormatting>
  <conditionalFormatting sqref="K11">
    <cfRule type="expression" dxfId="2154" priority="289" stopIfTrue="1">
      <formula>$EM11="Error"</formula>
    </cfRule>
  </conditionalFormatting>
  <conditionalFormatting sqref="K10">
    <cfRule type="expression" dxfId="2153" priority="288" stopIfTrue="1">
      <formula>$EM10="Error"</formula>
    </cfRule>
  </conditionalFormatting>
  <conditionalFormatting sqref="K9">
    <cfRule type="expression" dxfId="2152" priority="287" stopIfTrue="1">
      <formula>$EM9="Error"</formula>
    </cfRule>
  </conditionalFormatting>
  <conditionalFormatting sqref="H54">
    <cfRule type="expression" dxfId="2151" priority="285" stopIfTrue="1">
      <formula>$ES54="Changed"</formula>
    </cfRule>
  </conditionalFormatting>
  <conditionalFormatting sqref="H53">
    <cfRule type="expression" dxfId="2150" priority="284" stopIfTrue="1">
      <formula>$ES53="Changed"</formula>
    </cfRule>
  </conditionalFormatting>
  <conditionalFormatting sqref="H52">
    <cfRule type="expression" dxfId="2149" priority="283" stopIfTrue="1">
      <formula>$ES52="Changed"</formula>
    </cfRule>
  </conditionalFormatting>
  <conditionalFormatting sqref="H51">
    <cfRule type="expression" dxfId="2148" priority="282" stopIfTrue="1">
      <formula>$ES51="Changed"</formula>
    </cfRule>
  </conditionalFormatting>
  <conditionalFormatting sqref="H50">
    <cfRule type="expression" dxfId="2147" priority="281" stopIfTrue="1">
      <formula>$ES50="Changed"</formula>
    </cfRule>
  </conditionalFormatting>
  <conditionalFormatting sqref="H60">
    <cfRule type="expression" dxfId="2146" priority="280" stopIfTrue="1">
      <formula>$ES60="Changed"</formula>
    </cfRule>
  </conditionalFormatting>
  <conditionalFormatting sqref="H59">
    <cfRule type="expression" dxfId="2145" priority="279" stopIfTrue="1">
      <formula>$ES59="Changed"</formula>
    </cfRule>
  </conditionalFormatting>
  <conditionalFormatting sqref="H58">
    <cfRule type="expression" dxfId="2144" priority="278" stopIfTrue="1">
      <formula>$ES58="Changed"</formula>
    </cfRule>
  </conditionalFormatting>
  <conditionalFormatting sqref="H57">
    <cfRule type="expression" dxfId="2143" priority="277" stopIfTrue="1">
      <formula>$ES57="Changed"</formula>
    </cfRule>
  </conditionalFormatting>
  <conditionalFormatting sqref="H56">
    <cfRule type="expression" dxfId="2142" priority="276" stopIfTrue="1">
      <formula>$ES56="Changed"</formula>
    </cfRule>
  </conditionalFormatting>
  <conditionalFormatting sqref="H66">
    <cfRule type="expression" dxfId="2141" priority="275" stopIfTrue="1">
      <formula>$ES66="Changed"</formula>
    </cfRule>
  </conditionalFormatting>
  <conditionalFormatting sqref="H65">
    <cfRule type="expression" dxfId="2140" priority="274" stopIfTrue="1">
      <formula>$ES65="Changed"</formula>
    </cfRule>
  </conditionalFormatting>
  <conditionalFormatting sqref="H64">
    <cfRule type="expression" dxfId="2139" priority="273" stopIfTrue="1">
      <formula>$ES64="Changed"</formula>
    </cfRule>
  </conditionalFormatting>
  <conditionalFormatting sqref="H63">
    <cfRule type="expression" dxfId="2138" priority="272" stopIfTrue="1">
      <formula>$ES63="Changed"</formula>
    </cfRule>
  </conditionalFormatting>
  <conditionalFormatting sqref="H62">
    <cfRule type="expression" dxfId="2137" priority="271" stopIfTrue="1">
      <formula>$ES62="Changed"</formula>
    </cfRule>
  </conditionalFormatting>
  <conditionalFormatting sqref="H72">
    <cfRule type="expression" dxfId="2136" priority="270" stopIfTrue="1">
      <formula>$ES72="Changed"</formula>
    </cfRule>
  </conditionalFormatting>
  <conditionalFormatting sqref="H71">
    <cfRule type="expression" dxfId="2135" priority="269" stopIfTrue="1">
      <formula>$ES71="Changed"</formula>
    </cfRule>
  </conditionalFormatting>
  <conditionalFormatting sqref="H70">
    <cfRule type="expression" dxfId="2134" priority="268" stopIfTrue="1">
      <formula>$ES70="Changed"</formula>
    </cfRule>
  </conditionalFormatting>
  <conditionalFormatting sqref="H69">
    <cfRule type="expression" dxfId="2133" priority="267" stopIfTrue="1">
      <formula>$ES69="Changed"</formula>
    </cfRule>
  </conditionalFormatting>
  <conditionalFormatting sqref="H68">
    <cfRule type="expression" dxfId="2132" priority="266" stopIfTrue="1">
      <formula>$ES68="Changed"</formula>
    </cfRule>
  </conditionalFormatting>
  <conditionalFormatting sqref="H78">
    <cfRule type="expression" dxfId="2131" priority="265" stopIfTrue="1">
      <formula>$ES78="Changed"</formula>
    </cfRule>
  </conditionalFormatting>
  <conditionalFormatting sqref="H77">
    <cfRule type="expression" dxfId="2130" priority="264" stopIfTrue="1">
      <formula>$ES77="Changed"</formula>
    </cfRule>
  </conditionalFormatting>
  <conditionalFormatting sqref="H76">
    <cfRule type="expression" dxfId="2129" priority="263" stopIfTrue="1">
      <formula>$ES76="Changed"</formula>
    </cfRule>
  </conditionalFormatting>
  <conditionalFormatting sqref="H75">
    <cfRule type="expression" dxfId="2128" priority="262" stopIfTrue="1">
      <formula>$ES75="Changed"</formula>
    </cfRule>
  </conditionalFormatting>
  <conditionalFormatting sqref="H74">
    <cfRule type="expression" dxfId="2127" priority="261" stopIfTrue="1">
      <formula>$ES74="Changed"</formula>
    </cfRule>
  </conditionalFormatting>
  <conditionalFormatting sqref="K51:K54">
    <cfRule type="expression" dxfId="2126" priority="260" stopIfTrue="1">
      <formula>$EM51="Error"</formula>
    </cfRule>
  </conditionalFormatting>
  <conditionalFormatting sqref="K50">
    <cfRule type="expression" dxfId="2125" priority="259" stopIfTrue="1">
      <formula>$EM50="Error"</formula>
    </cfRule>
  </conditionalFormatting>
  <conditionalFormatting sqref="K57:K60">
    <cfRule type="expression" dxfId="2124" priority="258" stopIfTrue="1">
      <formula>$EM57="Error"</formula>
    </cfRule>
  </conditionalFormatting>
  <conditionalFormatting sqref="K56">
    <cfRule type="expression" dxfId="2123" priority="257" stopIfTrue="1">
      <formula>$EM56="Error"</formula>
    </cfRule>
  </conditionalFormatting>
  <conditionalFormatting sqref="K63:K66">
    <cfRule type="expression" dxfId="2122" priority="256" stopIfTrue="1">
      <formula>$EM63="Error"</formula>
    </cfRule>
  </conditionalFormatting>
  <conditionalFormatting sqref="K62">
    <cfRule type="expression" dxfId="2121" priority="255" stopIfTrue="1">
      <formula>$EM62="Error"</formula>
    </cfRule>
  </conditionalFormatting>
  <conditionalFormatting sqref="K69:K72">
    <cfRule type="expression" dxfId="2120" priority="254" stopIfTrue="1">
      <formula>$EM69="Error"</formula>
    </cfRule>
  </conditionalFormatting>
  <conditionalFormatting sqref="K68">
    <cfRule type="expression" dxfId="2119" priority="253" stopIfTrue="1">
      <formula>$EM68="Error"</formula>
    </cfRule>
  </conditionalFormatting>
  <conditionalFormatting sqref="K75:K78">
    <cfRule type="expression" dxfId="2118" priority="252" stopIfTrue="1">
      <formula>$EM75="Error"</formula>
    </cfRule>
  </conditionalFormatting>
  <conditionalFormatting sqref="K74">
    <cfRule type="expression" dxfId="2117" priority="251" stopIfTrue="1">
      <formula>$EM74="Error"</formula>
    </cfRule>
  </conditionalFormatting>
  <conditionalFormatting sqref="Q8">
    <cfRule type="expression" dxfId="2116" priority="249" stopIfTrue="1">
      <formula>$DE8&lt;&gt;""</formula>
    </cfRule>
    <cfRule type="expression" dxfId="2115" priority="250" stopIfTrue="1">
      <formula>$EU8=1</formula>
    </cfRule>
  </conditionalFormatting>
  <conditionalFormatting sqref="Q9">
    <cfRule type="expression" dxfId="2114" priority="247" stopIfTrue="1">
      <formula>$DE9&lt;&gt;""</formula>
    </cfRule>
    <cfRule type="expression" dxfId="2113" priority="248" stopIfTrue="1">
      <formula>$EU9=1</formula>
    </cfRule>
  </conditionalFormatting>
  <conditionalFormatting sqref="Q10">
    <cfRule type="expression" dxfId="2112" priority="245" stopIfTrue="1">
      <formula>$DE10&lt;&gt;""</formula>
    </cfRule>
    <cfRule type="expression" dxfId="2111" priority="246" stopIfTrue="1">
      <formula>$EU10=1</formula>
    </cfRule>
  </conditionalFormatting>
  <conditionalFormatting sqref="Q11">
    <cfRule type="expression" dxfId="2110" priority="241" stopIfTrue="1">
      <formula>$DE11&lt;&gt;""</formula>
    </cfRule>
    <cfRule type="expression" dxfId="2109" priority="242" stopIfTrue="1">
      <formula>$EU11=1</formula>
    </cfRule>
  </conditionalFormatting>
  <conditionalFormatting sqref="Q12">
    <cfRule type="expression" dxfId="2108" priority="239" stopIfTrue="1">
      <formula>$DE12&lt;&gt;""</formula>
    </cfRule>
    <cfRule type="expression" dxfId="2107" priority="240" stopIfTrue="1">
      <formula>$EU12=1</formula>
    </cfRule>
  </conditionalFormatting>
  <conditionalFormatting sqref="Q14">
    <cfRule type="expression" dxfId="2106" priority="237" stopIfTrue="1">
      <formula>$DE14&lt;&gt;""</formula>
    </cfRule>
    <cfRule type="expression" dxfId="2105" priority="238" stopIfTrue="1">
      <formula>$EU14=1</formula>
    </cfRule>
  </conditionalFormatting>
  <conditionalFormatting sqref="Q15">
    <cfRule type="expression" dxfId="2104" priority="235" stopIfTrue="1">
      <formula>$DE15&lt;&gt;""</formula>
    </cfRule>
    <cfRule type="expression" dxfId="2103" priority="236" stopIfTrue="1">
      <formula>$EU15=1</formula>
    </cfRule>
  </conditionalFormatting>
  <conditionalFormatting sqref="Q16">
    <cfRule type="expression" dxfId="2102" priority="233" stopIfTrue="1">
      <formula>$DE16&lt;&gt;""</formula>
    </cfRule>
    <cfRule type="expression" dxfId="2101" priority="234" stopIfTrue="1">
      <formula>$EU16=1</formula>
    </cfRule>
  </conditionalFormatting>
  <conditionalFormatting sqref="Q17">
    <cfRule type="expression" dxfId="2100" priority="231" stopIfTrue="1">
      <formula>$DE17&lt;&gt;""</formula>
    </cfRule>
    <cfRule type="expression" dxfId="2099" priority="232" stopIfTrue="1">
      <formula>$EU17=1</formula>
    </cfRule>
  </conditionalFormatting>
  <conditionalFormatting sqref="Q18">
    <cfRule type="expression" dxfId="2098" priority="229" stopIfTrue="1">
      <formula>$DE18&lt;&gt;""</formula>
    </cfRule>
    <cfRule type="expression" dxfId="2097" priority="230" stopIfTrue="1">
      <formula>$EU18=1</formula>
    </cfRule>
  </conditionalFormatting>
  <conditionalFormatting sqref="Q20">
    <cfRule type="expression" dxfId="2096" priority="227" stopIfTrue="1">
      <formula>$DE20&lt;&gt;""</formula>
    </cfRule>
    <cfRule type="expression" dxfId="2095" priority="228" stopIfTrue="1">
      <formula>$EU20=1</formula>
    </cfRule>
  </conditionalFormatting>
  <conditionalFormatting sqref="Q21">
    <cfRule type="expression" dxfId="2094" priority="225" stopIfTrue="1">
      <formula>$DE21&lt;&gt;""</formula>
    </cfRule>
    <cfRule type="expression" dxfId="2093" priority="226" stopIfTrue="1">
      <formula>$EU21=1</formula>
    </cfRule>
  </conditionalFormatting>
  <conditionalFormatting sqref="Q22">
    <cfRule type="expression" dxfId="2092" priority="223" stopIfTrue="1">
      <formula>$DE22&lt;&gt;""</formula>
    </cfRule>
    <cfRule type="expression" dxfId="2091" priority="224" stopIfTrue="1">
      <formula>$EU22=1</formula>
    </cfRule>
  </conditionalFormatting>
  <conditionalFormatting sqref="Q23">
    <cfRule type="expression" dxfId="2090" priority="221" stopIfTrue="1">
      <formula>$DE23&lt;&gt;""</formula>
    </cfRule>
    <cfRule type="expression" dxfId="2089" priority="222" stopIfTrue="1">
      <formula>$EU23=1</formula>
    </cfRule>
  </conditionalFormatting>
  <conditionalFormatting sqref="Q24">
    <cfRule type="expression" dxfId="2088" priority="219" stopIfTrue="1">
      <formula>$DE24&lt;&gt;""</formula>
    </cfRule>
    <cfRule type="expression" dxfId="2087" priority="220" stopIfTrue="1">
      <formula>$EU24=1</formula>
    </cfRule>
  </conditionalFormatting>
  <conditionalFormatting sqref="Q26">
    <cfRule type="expression" dxfId="2086" priority="217" stopIfTrue="1">
      <formula>$DE26&lt;&gt;""</formula>
    </cfRule>
    <cfRule type="expression" dxfId="2085" priority="218" stopIfTrue="1">
      <formula>$EU26=1</formula>
    </cfRule>
  </conditionalFormatting>
  <conditionalFormatting sqref="Q27">
    <cfRule type="expression" dxfId="2084" priority="215" stopIfTrue="1">
      <formula>$DE27&lt;&gt;""</formula>
    </cfRule>
    <cfRule type="expression" dxfId="2083" priority="216" stopIfTrue="1">
      <formula>$EU27=1</formula>
    </cfRule>
  </conditionalFormatting>
  <conditionalFormatting sqref="Q28">
    <cfRule type="expression" dxfId="2082" priority="213" stopIfTrue="1">
      <formula>$DE28&lt;&gt;""</formula>
    </cfRule>
    <cfRule type="expression" dxfId="2081" priority="214" stopIfTrue="1">
      <formula>$EU28=1</formula>
    </cfRule>
  </conditionalFormatting>
  <conditionalFormatting sqref="Q29">
    <cfRule type="expression" dxfId="2080" priority="211" stopIfTrue="1">
      <formula>$DE29&lt;&gt;""</formula>
    </cfRule>
    <cfRule type="expression" dxfId="2079" priority="212" stopIfTrue="1">
      <formula>$EU29=1</formula>
    </cfRule>
  </conditionalFormatting>
  <conditionalFormatting sqref="Q30">
    <cfRule type="expression" dxfId="2078" priority="209" stopIfTrue="1">
      <formula>$DE30&lt;&gt;""</formula>
    </cfRule>
    <cfRule type="expression" dxfId="2077" priority="210" stopIfTrue="1">
      <formula>$EU30=1</formula>
    </cfRule>
  </conditionalFormatting>
  <conditionalFormatting sqref="Q32">
    <cfRule type="expression" dxfId="2076" priority="207" stopIfTrue="1">
      <formula>$DE32&lt;&gt;""</formula>
    </cfRule>
    <cfRule type="expression" dxfId="2075" priority="208" stopIfTrue="1">
      <formula>$EU32=1</formula>
    </cfRule>
  </conditionalFormatting>
  <conditionalFormatting sqref="Q33">
    <cfRule type="expression" dxfId="2074" priority="205" stopIfTrue="1">
      <formula>$DE33&lt;&gt;""</formula>
    </cfRule>
    <cfRule type="expression" dxfId="2073" priority="206" stopIfTrue="1">
      <formula>$EU33=1</formula>
    </cfRule>
  </conditionalFormatting>
  <conditionalFormatting sqref="Q34">
    <cfRule type="expression" dxfId="2072" priority="203" stopIfTrue="1">
      <formula>$DE34&lt;&gt;""</formula>
    </cfRule>
    <cfRule type="expression" dxfId="2071" priority="204" stopIfTrue="1">
      <formula>$EU34=1</formula>
    </cfRule>
  </conditionalFormatting>
  <conditionalFormatting sqref="Q35">
    <cfRule type="expression" dxfId="2070" priority="201" stopIfTrue="1">
      <formula>$DE35&lt;&gt;""</formula>
    </cfRule>
    <cfRule type="expression" dxfId="2069" priority="202" stopIfTrue="1">
      <formula>$EU35=1</formula>
    </cfRule>
  </conditionalFormatting>
  <conditionalFormatting sqref="Q36">
    <cfRule type="expression" dxfId="2068" priority="199" stopIfTrue="1">
      <formula>$DE36&lt;&gt;""</formula>
    </cfRule>
    <cfRule type="expression" dxfId="2067" priority="200" stopIfTrue="1">
      <formula>$EU36=1</formula>
    </cfRule>
  </conditionalFormatting>
  <conditionalFormatting sqref="Q38">
    <cfRule type="expression" dxfId="2066" priority="197" stopIfTrue="1">
      <formula>$DE38&lt;&gt;""</formula>
    </cfRule>
    <cfRule type="expression" dxfId="2065" priority="198" stopIfTrue="1">
      <formula>$EU38=1</formula>
    </cfRule>
  </conditionalFormatting>
  <conditionalFormatting sqref="Q39">
    <cfRule type="expression" dxfId="2064" priority="195" stopIfTrue="1">
      <formula>$DE39&lt;&gt;""</formula>
    </cfRule>
    <cfRule type="expression" dxfId="2063" priority="196" stopIfTrue="1">
      <formula>$EU39=1</formula>
    </cfRule>
  </conditionalFormatting>
  <conditionalFormatting sqref="Q40">
    <cfRule type="expression" dxfId="2062" priority="193" stopIfTrue="1">
      <formula>$DE40&lt;&gt;""</formula>
    </cfRule>
    <cfRule type="expression" dxfId="2061" priority="194" stopIfTrue="1">
      <formula>$EU40=1</formula>
    </cfRule>
  </conditionalFormatting>
  <conditionalFormatting sqref="Q41">
    <cfRule type="expression" dxfId="2060" priority="191" stopIfTrue="1">
      <formula>$DE41&lt;&gt;""</formula>
    </cfRule>
    <cfRule type="expression" dxfId="2059" priority="192" stopIfTrue="1">
      <formula>$EU41=1</formula>
    </cfRule>
  </conditionalFormatting>
  <conditionalFormatting sqref="Q42">
    <cfRule type="expression" dxfId="2058" priority="189" stopIfTrue="1">
      <formula>$DE42&lt;&gt;""</formula>
    </cfRule>
    <cfRule type="expression" dxfId="2057" priority="190" stopIfTrue="1">
      <formula>$EU42=1</formula>
    </cfRule>
  </conditionalFormatting>
  <conditionalFormatting sqref="Q44">
    <cfRule type="expression" dxfId="2056" priority="187" stopIfTrue="1">
      <formula>$DE44&lt;&gt;""</formula>
    </cfRule>
    <cfRule type="expression" dxfId="2055" priority="188" stopIfTrue="1">
      <formula>$EU44=1</formula>
    </cfRule>
  </conditionalFormatting>
  <conditionalFormatting sqref="Q45">
    <cfRule type="expression" dxfId="2054" priority="185" stopIfTrue="1">
      <formula>$DE45&lt;&gt;""</formula>
    </cfRule>
    <cfRule type="expression" dxfId="2053" priority="186" stopIfTrue="1">
      <formula>$EU45=1</formula>
    </cfRule>
  </conditionalFormatting>
  <conditionalFormatting sqref="Q46">
    <cfRule type="expression" dxfId="2052" priority="183" stopIfTrue="1">
      <formula>$DE46&lt;&gt;""</formula>
    </cfRule>
    <cfRule type="expression" dxfId="2051" priority="184" stopIfTrue="1">
      <formula>$EU46=1</formula>
    </cfRule>
  </conditionalFormatting>
  <conditionalFormatting sqref="Q47">
    <cfRule type="expression" dxfId="2050" priority="181" stopIfTrue="1">
      <formula>$DE47&lt;&gt;""</formula>
    </cfRule>
    <cfRule type="expression" dxfId="2049" priority="182" stopIfTrue="1">
      <formula>$EU47=1</formula>
    </cfRule>
  </conditionalFormatting>
  <conditionalFormatting sqref="Q48">
    <cfRule type="expression" dxfId="2048" priority="179" stopIfTrue="1">
      <formula>$DE48&lt;&gt;""</formula>
    </cfRule>
    <cfRule type="expression" dxfId="2047" priority="180" stopIfTrue="1">
      <formula>$EU48=1</formula>
    </cfRule>
  </conditionalFormatting>
  <conditionalFormatting sqref="Q50">
    <cfRule type="expression" dxfId="2046" priority="177" stopIfTrue="1">
      <formula>$DE50&lt;&gt;""</formula>
    </cfRule>
    <cfRule type="expression" dxfId="2045" priority="178" stopIfTrue="1">
      <formula>$EU50=1</formula>
    </cfRule>
  </conditionalFormatting>
  <conditionalFormatting sqref="Q51">
    <cfRule type="expression" dxfId="2044" priority="175" stopIfTrue="1">
      <formula>$DE51&lt;&gt;""</formula>
    </cfRule>
    <cfRule type="expression" dxfId="2043" priority="176" stopIfTrue="1">
      <formula>$EU51=1</formula>
    </cfRule>
  </conditionalFormatting>
  <conditionalFormatting sqref="Q52">
    <cfRule type="expression" dxfId="2042" priority="173" stopIfTrue="1">
      <formula>$DE52&lt;&gt;""</formula>
    </cfRule>
    <cfRule type="expression" dxfId="2041" priority="174" stopIfTrue="1">
      <formula>$EU52=1</formula>
    </cfRule>
  </conditionalFormatting>
  <conditionalFormatting sqref="Q53">
    <cfRule type="expression" dxfId="2040" priority="171" stopIfTrue="1">
      <formula>$DE53&lt;&gt;""</formula>
    </cfRule>
    <cfRule type="expression" dxfId="2039" priority="172" stopIfTrue="1">
      <formula>$EU53=1</formula>
    </cfRule>
  </conditionalFormatting>
  <conditionalFormatting sqref="Q54">
    <cfRule type="expression" dxfId="2038" priority="169" stopIfTrue="1">
      <formula>$DE54&lt;&gt;""</formula>
    </cfRule>
    <cfRule type="expression" dxfId="2037" priority="170" stopIfTrue="1">
      <formula>$EU54=1</formula>
    </cfRule>
  </conditionalFormatting>
  <conditionalFormatting sqref="Q56">
    <cfRule type="expression" dxfId="2036" priority="167" stopIfTrue="1">
      <formula>$DE56&lt;&gt;""</formula>
    </cfRule>
    <cfRule type="expression" dxfId="2035" priority="168" stopIfTrue="1">
      <formula>$EU56=1</formula>
    </cfRule>
  </conditionalFormatting>
  <conditionalFormatting sqref="Q57">
    <cfRule type="expression" dxfId="2034" priority="165" stopIfTrue="1">
      <formula>$DE57&lt;&gt;""</formula>
    </cfRule>
    <cfRule type="expression" dxfId="2033" priority="166" stopIfTrue="1">
      <formula>$EU57=1</formula>
    </cfRule>
  </conditionalFormatting>
  <conditionalFormatting sqref="Q58">
    <cfRule type="expression" dxfId="2032" priority="163" stopIfTrue="1">
      <formula>$DE58&lt;&gt;""</formula>
    </cfRule>
    <cfRule type="expression" dxfId="2031" priority="164" stopIfTrue="1">
      <formula>$EU58=1</formula>
    </cfRule>
  </conditionalFormatting>
  <conditionalFormatting sqref="Q59">
    <cfRule type="expression" dxfId="2030" priority="161" stopIfTrue="1">
      <formula>$DE59&lt;&gt;""</formula>
    </cfRule>
    <cfRule type="expression" dxfId="2029" priority="162" stopIfTrue="1">
      <formula>$EU59=1</formula>
    </cfRule>
  </conditionalFormatting>
  <conditionalFormatting sqref="Q60">
    <cfRule type="expression" dxfId="2028" priority="159" stopIfTrue="1">
      <formula>$DE60&lt;&gt;""</formula>
    </cfRule>
    <cfRule type="expression" dxfId="2027" priority="160" stopIfTrue="1">
      <formula>$EU60=1</formula>
    </cfRule>
  </conditionalFormatting>
  <conditionalFormatting sqref="Q62">
    <cfRule type="expression" dxfId="2026" priority="157" stopIfTrue="1">
      <formula>$DE62&lt;&gt;""</formula>
    </cfRule>
    <cfRule type="expression" dxfId="2025" priority="158" stopIfTrue="1">
      <formula>$EU62=1</formula>
    </cfRule>
  </conditionalFormatting>
  <conditionalFormatting sqref="Q63">
    <cfRule type="expression" dxfId="2024" priority="155" stopIfTrue="1">
      <formula>$DE63&lt;&gt;""</formula>
    </cfRule>
    <cfRule type="expression" dxfId="2023" priority="156" stopIfTrue="1">
      <formula>$EU63=1</formula>
    </cfRule>
  </conditionalFormatting>
  <conditionalFormatting sqref="Q64">
    <cfRule type="expression" dxfId="2022" priority="153" stopIfTrue="1">
      <formula>$DE64&lt;&gt;""</formula>
    </cfRule>
    <cfRule type="expression" dxfId="2021" priority="154" stopIfTrue="1">
      <formula>$EU64=1</formula>
    </cfRule>
  </conditionalFormatting>
  <conditionalFormatting sqref="Q65">
    <cfRule type="expression" dxfId="2020" priority="151" stopIfTrue="1">
      <formula>$DE65&lt;&gt;""</formula>
    </cfRule>
    <cfRule type="expression" dxfId="2019" priority="152" stopIfTrue="1">
      <formula>$EU65=1</formula>
    </cfRule>
  </conditionalFormatting>
  <conditionalFormatting sqref="Q66">
    <cfRule type="expression" dxfId="2018" priority="149" stopIfTrue="1">
      <formula>$DE66&lt;&gt;""</formula>
    </cfRule>
    <cfRule type="expression" dxfId="2017" priority="150" stopIfTrue="1">
      <formula>$EU66=1</formula>
    </cfRule>
  </conditionalFormatting>
  <conditionalFormatting sqref="H11">
    <cfRule type="expression" dxfId="2016" priority="148" stopIfTrue="1">
      <formula>$ES11="Changed"</formula>
    </cfRule>
  </conditionalFormatting>
  <conditionalFormatting sqref="H10">
    <cfRule type="expression" dxfId="2015" priority="147" stopIfTrue="1">
      <formula>$ES10="Changed"</formula>
    </cfRule>
  </conditionalFormatting>
  <conditionalFormatting sqref="H9">
    <cfRule type="expression" dxfId="2014" priority="146" stopIfTrue="1">
      <formula>$ES9="Changed"</formula>
    </cfRule>
  </conditionalFormatting>
  <conditionalFormatting sqref="H8">
    <cfRule type="expression" dxfId="2013" priority="145" stopIfTrue="1">
      <formula>$ES8="Changed"</formula>
    </cfRule>
  </conditionalFormatting>
  <conditionalFormatting sqref="L13">
    <cfRule type="expression" dxfId="2012" priority="3329" stopIfTrue="1">
      <formula>$B8=$B14</formula>
    </cfRule>
    <cfRule type="expression" dxfId="2011" priority="3330" stopIfTrue="1">
      <formula>M13=0</formula>
    </cfRule>
    <cfRule type="expression" dxfId="2010" priority="3331" stopIfTrue="1">
      <formula>L13=0</formula>
    </cfRule>
    <cfRule type="expression" dxfId="2009" priority="3332" stopIfTrue="1">
      <formula>$BE$3=1</formula>
    </cfRule>
  </conditionalFormatting>
  <conditionalFormatting sqref="L19">
    <cfRule type="expression" dxfId="2008" priority="89" stopIfTrue="1">
      <formula>B14=B20</formula>
    </cfRule>
    <cfRule type="expression" dxfId="2007" priority="90" stopIfTrue="1">
      <formula>M19=0</formula>
    </cfRule>
    <cfRule type="expression" dxfId="2006" priority="91" stopIfTrue="1">
      <formula>L19=0</formula>
    </cfRule>
    <cfRule type="expression" dxfId="2005" priority="92" stopIfTrue="1">
      <formula>$BE$3=1</formula>
    </cfRule>
  </conditionalFormatting>
  <conditionalFormatting sqref="L25">
    <cfRule type="expression" dxfId="2004" priority="85" stopIfTrue="1">
      <formula>B20=B26</formula>
    </cfRule>
    <cfRule type="expression" dxfId="2003" priority="86" stopIfTrue="1">
      <formula>M25=0</formula>
    </cfRule>
    <cfRule type="expression" dxfId="2002" priority="87" stopIfTrue="1">
      <formula>L25=0</formula>
    </cfRule>
    <cfRule type="expression" dxfId="2001" priority="88" stopIfTrue="1">
      <formula>$BE$3=1</formula>
    </cfRule>
  </conditionalFormatting>
  <conditionalFormatting sqref="L31">
    <cfRule type="expression" dxfId="2000" priority="81" stopIfTrue="1">
      <formula>B26=B32</formula>
    </cfRule>
    <cfRule type="expression" dxfId="1999" priority="82" stopIfTrue="1">
      <formula>M31=0</formula>
    </cfRule>
    <cfRule type="expression" dxfId="1998" priority="83" stopIfTrue="1">
      <formula>L31=0</formula>
    </cfRule>
    <cfRule type="expression" dxfId="1997" priority="84" stopIfTrue="1">
      <formula>$BE$3=1</formula>
    </cfRule>
  </conditionalFormatting>
  <conditionalFormatting sqref="L37">
    <cfRule type="expression" dxfId="1996" priority="77" stopIfTrue="1">
      <formula>B32=B38</formula>
    </cfRule>
    <cfRule type="expression" dxfId="1995" priority="78" stopIfTrue="1">
      <formula>M37=0</formula>
    </cfRule>
    <cfRule type="expression" dxfId="1994" priority="79" stopIfTrue="1">
      <formula>L37=0</formula>
    </cfRule>
    <cfRule type="expression" dxfId="1993" priority="80" stopIfTrue="1">
      <formula>$BE$3=1</formula>
    </cfRule>
  </conditionalFormatting>
  <conditionalFormatting sqref="L43">
    <cfRule type="expression" dxfId="1992" priority="73" stopIfTrue="1">
      <formula>B38=B44</formula>
    </cfRule>
    <cfRule type="expression" dxfId="1991" priority="74" stopIfTrue="1">
      <formula>M43=0</formula>
    </cfRule>
    <cfRule type="expression" dxfId="1990" priority="75" stopIfTrue="1">
      <formula>L43=0</formula>
    </cfRule>
    <cfRule type="expression" dxfId="1989" priority="76" stopIfTrue="1">
      <formula>$BE$3=1</formula>
    </cfRule>
  </conditionalFormatting>
  <conditionalFormatting sqref="L49">
    <cfRule type="expression" dxfId="1988" priority="69" stopIfTrue="1">
      <formula>B44=B50</formula>
    </cfRule>
    <cfRule type="expression" dxfId="1987" priority="70" stopIfTrue="1">
      <formula>M49=0</formula>
    </cfRule>
    <cfRule type="expression" dxfId="1986" priority="71" stopIfTrue="1">
      <formula>L49=0</formula>
    </cfRule>
    <cfRule type="expression" dxfId="1985" priority="72" stopIfTrue="1">
      <formula>$BE$3=1</formula>
    </cfRule>
  </conditionalFormatting>
  <conditionalFormatting sqref="L55">
    <cfRule type="expression" dxfId="1984" priority="65" stopIfTrue="1">
      <formula>B50=B56</formula>
    </cfRule>
    <cfRule type="expression" dxfId="1983" priority="66" stopIfTrue="1">
      <formula>M55=0</formula>
    </cfRule>
    <cfRule type="expression" dxfId="1982" priority="67" stopIfTrue="1">
      <formula>L55=0</formula>
    </cfRule>
    <cfRule type="expression" dxfId="1981" priority="68" stopIfTrue="1">
      <formula>$BE$3=1</formula>
    </cfRule>
  </conditionalFormatting>
  <conditionalFormatting sqref="L61">
    <cfRule type="expression" dxfId="1980" priority="61" stopIfTrue="1">
      <formula>B56=B62</formula>
    </cfRule>
    <cfRule type="expression" dxfId="1979" priority="62" stopIfTrue="1">
      <formula>M61=0</formula>
    </cfRule>
    <cfRule type="expression" dxfId="1978" priority="63" stopIfTrue="1">
      <formula>L61=0</formula>
    </cfRule>
    <cfRule type="expression" dxfId="1977" priority="64" stopIfTrue="1">
      <formula>$BE$3=1</formula>
    </cfRule>
  </conditionalFormatting>
  <conditionalFormatting sqref="L67">
    <cfRule type="expression" dxfId="1976" priority="57" stopIfTrue="1">
      <formula>B62=B68</formula>
    </cfRule>
    <cfRule type="expression" dxfId="1975" priority="58" stopIfTrue="1">
      <formula>M67=0</formula>
    </cfRule>
    <cfRule type="expression" dxfId="1974" priority="59" stopIfTrue="1">
      <formula>L67=0</formula>
    </cfRule>
    <cfRule type="expression" dxfId="1973" priority="60" stopIfTrue="1">
      <formula>$BE$3=1</formula>
    </cfRule>
  </conditionalFormatting>
  <conditionalFormatting sqref="L73">
    <cfRule type="expression" dxfId="1972" priority="53" stopIfTrue="1">
      <formula>B68=B74</formula>
    </cfRule>
    <cfRule type="expression" dxfId="1971" priority="54" stopIfTrue="1">
      <formula>M73=0</formula>
    </cfRule>
    <cfRule type="expression" dxfId="1970" priority="55" stopIfTrue="1">
      <formula>L73=0</formula>
    </cfRule>
    <cfRule type="expression" dxfId="1969" priority="56" stopIfTrue="1">
      <formula>$BE$3=1</formula>
    </cfRule>
  </conditionalFormatting>
  <conditionalFormatting sqref="L79">
    <cfRule type="expression" dxfId="1968" priority="49" stopIfTrue="1">
      <formula>B74=B80</formula>
    </cfRule>
    <cfRule type="expression" dxfId="1967" priority="50" stopIfTrue="1">
      <formula>M79=0</formula>
    </cfRule>
    <cfRule type="expression" dxfId="1966" priority="51" stopIfTrue="1">
      <formula>L79=0</formula>
    </cfRule>
    <cfRule type="expression" dxfId="1965" priority="52" stopIfTrue="1">
      <formula>$BE$3=1</formula>
    </cfRule>
  </conditionalFormatting>
  <conditionalFormatting sqref="N13">
    <cfRule type="expression" dxfId="1964" priority="45" stopIfTrue="1">
      <formula>$B8=$B14</formula>
    </cfRule>
    <cfRule type="expression" dxfId="1963" priority="46" stopIfTrue="1">
      <formula>O13=0</formula>
    </cfRule>
    <cfRule type="expression" dxfId="1962" priority="47" stopIfTrue="1">
      <formula>N13=0</formula>
    </cfRule>
    <cfRule type="expression" dxfId="1961" priority="48" stopIfTrue="1">
      <formula>$BE$3=1</formula>
    </cfRule>
  </conditionalFormatting>
  <conditionalFormatting sqref="N19">
    <cfRule type="expression" dxfId="1960" priority="41" stopIfTrue="1">
      <formula>$B14=$B20</formula>
    </cfRule>
    <cfRule type="expression" dxfId="1959" priority="42" stopIfTrue="1">
      <formula>O19=0</formula>
    </cfRule>
    <cfRule type="expression" dxfId="1958" priority="43" stopIfTrue="1">
      <formula>N19=0</formula>
    </cfRule>
    <cfRule type="expression" dxfId="1957" priority="44" stopIfTrue="1">
      <formula>$BE$3=1</formula>
    </cfRule>
  </conditionalFormatting>
  <conditionalFormatting sqref="N25">
    <cfRule type="expression" dxfId="1956" priority="37" stopIfTrue="1">
      <formula>$B20=$B26</formula>
    </cfRule>
    <cfRule type="expression" dxfId="1955" priority="38" stopIfTrue="1">
      <formula>O25=0</formula>
    </cfRule>
    <cfRule type="expression" dxfId="1954" priority="39" stopIfTrue="1">
      <formula>N25=0</formula>
    </cfRule>
    <cfRule type="expression" dxfId="1953" priority="40" stopIfTrue="1">
      <formula>$BE$3=1</formula>
    </cfRule>
  </conditionalFormatting>
  <conditionalFormatting sqref="N31">
    <cfRule type="expression" dxfId="1952" priority="33" stopIfTrue="1">
      <formula>$B26=$B32</formula>
    </cfRule>
    <cfRule type="expression" dxfId="1951" priority="34" stopIfTrue="1">
      <formula>O31=0</formula>
    </cfRule>
    <cfRule type="expression" dxfId="1950" priority="35" stopIfTrue="1">
      <formula>N31=0</formula>
    </cfRule>
    <cfRule type="expression" dxfId="1949" priority="36" stopIfTrue="1">
      <formula>$BE$3=1</formula>
    </cfRule>
  </conditionalFormatting>
  <conditionalFormatting sqref="N37">
    <cfRule type="expression" dxfId="1948" priority="29" stopIfTrue="1">
      <formula>$B32=$B38</formula>
    </cfRule>
    <cfRule type="expression" dxfId="1947" priority="30" stopIfTrue="1">
      <formula>O37=0</formula>
    </cfRule>
    <cfRule type="expression" dxfId="1946" priority="31" stopIfTrue="1">
      <formula>N37=0</formula>
    </cfRule>
    <cfRule type="expression" dxfId="1945" priority="32" stopIfTrue="1">
      <formula>$BE$3=1</formula>
    </cfRule>
  </conditionalFormatting>
  <conditionalFormatting sqref="N43">
    <cfRule type="expression" dxfId="1944" priority="25" stopIfTrue="1">
      <formula>$B38=$B44</formula>
    </cfRule>
    <cfRule type="expression" dxfId="1943" priority="26" stopIfTrue="1">
      <formula>O43=0</formula>
    </cfRule>
    <cfRule type="expression" dxfId="1942" priority="27" stopIfTrue="1">
      <formula>N43=0</formula>
    </cfRule>
    <cfRule type="expression" dxfId="1941" priority="28" stopIfTrue="1">
      <formula>$BE$3=1</formula>
    </cfRule>
  </conditionalFormatting>
  <conditionalFormatting sqref="N49">
    <cfRule type="expression" dxfId="1940" priority="21" stopIfTrue="1">
      <formula>$B44=$B50</formula>
    </cfRule>
    <cfRule type="expression" dxfId="1939" priority="22" stopIfTrue="1">
      <formula>O49=0</formula>
    </cfRule>
    <cfRule type="expression" dxfId="1938" priority="23" stopIfTrue="1">
      <formula>N49=0</formula>
    </cfRule>
    <cfRule type="expression" dxfId="1937" priority="24" stopIfTrue="1">
      <formula>$BE$3=1</formula>
    </cfRule>
  </conditionalFormatting>
  <conditionalFormatting sqref="N55">
    <cfRule type="expression" dxfId="1936" priority="17" stopIfTrue="1">
      <formula>$B50=$B56</formula>
    </cfRule>
    <cfRule type="expression" dxfId="1935" priority="18" stopIfTrue="1">
      <formula>O55=0</formula>
    </cfRule>
    <cfRule type="expression" dxfId="1934" priority="19" stopIfTrue="1">
      <formula>N55=0</formula>
    </cfRule>
    <cfRule type="expression" dxfId="1933" priority="20" stopIfTrue="1">
      <formula>$BE$3=1</formula>
    </cfRule>
  </conditionalFormatting>
  <conditionalFormatting sqref="N61">
    <cfRule type="expression" dxfId="1932" priority="13" stopIfTrue="1">
      <formula>$B56=$B62</formula>
    </cfRule>
    <cfRule type="expression" dxfId="1931" priority="14" stopIfTrue="1">
      <formula>O61=0</formula>
    </cfRule>
    <cfRule type="expression" dxfId="1930" priority="15" stopIfTrue="1">
      <formula>N61=0</formula>
    </cfRule>
    <cfRule type="expression" dxfId="1929" priority="16" stopIfTrue="1">
      <formula>$BE$3=1</formula>
    </cfRule>
  </conditionalFormatting>
  <conditionalFormatting sqref="N67">
    <cfRule type="expression" dxfId="1928" priority="9" stopIfTrue="1">
      <formula>$B62=$B68</formula>
    </cfRule>
    <cfRule type="expression" dxfId="1927" priority="10" stopIfTrue="1">
      <formula>O67=0</formula>
    </cfRule>
    <cfRule type="expression" dxfId="1926" priority="11" stopIfTrue="1">
      <formula>N67=0</formula>
    </cfRule>
    <cfRule type="expression" dxfId="1925" priority="12" stopIfTrue="1">
      <formula>$BE$3=1</formula>
    </cfRule>
  </conditionalFormatting>
  <conditionalFormatting sqref="N73">
    <cfRule type="expression" dxfId="1924" priority="5" stopIfTrue="1">
      <formula>$B68=$B74</formula>
    </cfRule>
    <cfRule type="expression" dxfId="1923" priority="6" stopIfTrue="1">
      <formula>O73=0</formula>
    </cfRule>
    <cfRule type="expression" dxfId="1922" priority="7" stopIfTrue="1">
      <formula>N73=0</formula>
    </cfRule>
    <cfRule type="expression" dxfId="1921" priority="8" stopIfTrue="1">
      <formula>$BE$3=1</formula>
    </cfRule>
  </conditionalFormatting>
  <conditionalFormatting sqref="N79">
    <cfRule type="expression" dxfId="1920" priority="1" stopIfTrue="1">
      <formula>$B74=$B80</formula>
    </cfRule>
    <cfRule type="expression" dxfId="1919" priority="2" stopIfTrue="1">
      <formula>O79=0</formula>
    </cfRule>
    <cfRule type="expression" dxfId="1918" priority="3" stopIfTrue="1">
      <formula>N79=0</formula>
    </cfRule>
    <cfRule type="expression" dxfId="1917" priority="4" stopIfTrue="1">
      <formula>$BE$3=1</formula>
    </cfRule>
  </conditionalFormatting>
  <dataValidations count="10">
    <dataValidation type="list" allowBlank="1" showErrorMessage="1" error="Select &quot;T&quot; - Tested or &quot;E&quot; - Specific Engineered" sqref="AK165:AL165 AW36:AX41 AK155:AL155" xr:uid="{00000000-0002-0000-0900-000000000000}">
      <formula1>#REF!</formula1>
    </dataValidation>
    <dataValidation type="decimal" allowBlank="1" showInputMessage="1" showErrorMessage="1" sqref="F62:F66 F14:F18 F68:F72 F20:F24 F32:F36 F26:F30 F50:F54 F56:F60 F38:F42 F44:F48 F74:F78 F8:F12" xr:uid="{00000000-0002-0000-0900-000001000000}">
      <formula1>0</formula1>
      <formula2>200</formula2>
    </dataValidation>
    <dataValidation type="decimal" allowBlank="1" showInputMessage="1" showErrorMessage="1" sqref="L13 L31 N61 N49 N43 N37 N31 N25 L67 N13 L19 N55 L73 L61 L55 L49 L43 L37 N67 L25 N19 N73 L79 N79" xr:uid="{00000000-0002-0000-0900-000002000000}">
      <formula1>0</formula1>
      <formula2>100000</formula2>
    </dataValidation>
    <dataValidation type="list" allowBlank="1" showInputMessage="1" showErrorMessage="1" sqref="D68:D72 D14:D18 D62:D66 D56:D60 D50:D54 D44:D48 D38:D42 D74:D78 D20:D24 D32:D36 D26:D30 D8:D12" xr:uid="{00000000-0002-0000-0900-000003000000}">
      <formula1>$BG$11:$BG$14</formula1>
    </dataValidation>
    <dataValidation type="list" allowBlank="1" showInputMessage="1" showErrorMessage="1" sqref="E14:E18 E32:E36 E68:E72 E62:E66 E56:E60 E50:E54 E44:E48 E38:E42 E74:E78 E26:E30 E20:E24 E8:E12" xr:uid="{00000000-0002-0000-0900-000004000000}">
      <formula1>$BG$15:$BG$17</formula1>
    </dataValidation>
    <dataValidation type="list" allowBlank="1" showInputMessage="1" showErrorMessage="1" sqref="B5" xr:uid="{00000000-0002-0000-0900-000005000000}">
      <formula1>$BF$9:$BF$10</formula1>
    </dataValidation>
    <dataValidation type="list" allowBlank="1" showInputMessage="1" showErrorMessage="1" sqref="I44:I48 I32:I36 I56:I60 I50:I54 I62:I66 I38:I42 I20:I24 I74:I78 I26:I30 I14:I18 I68:I72 I8:I12" xr:uid="{00000000-0002-0000-0900-000006000000}">
      <formula1>$BF$11:$BF$45</formula1>
    </dataValidation>
    <dataValidation type="list" allowBlank="1" showInputMessage="1" showErrorMessage="1" sqref="K50:K54 K74:K78 K56:K60 K62:K66 K68:K72 K26:K30 K32:K36 K38:K42 K44:K48 K20:K24 K8:K12 K14:K18" xr:uid="{00000000-0002-0000-0900-000007000000}">
      <formula1>$BH$12:$BH$14</formula1>
    </dataValidation>
    <dataValidation type="decimal" allowBlank="1" showInputMessage="1" showErrorMessage="1" sqref="G8:G12 G74:G78 G68:G72 G62:G66 G56:G60 G50:G54 G44:G48 G38:G42 G32:G36 G26:G30 G20:G24 G14:G18" xr:uid="{00000000-0002-0000-0900-000008000000}">
      <formula1>0</formula1>
      <formula2>90</formula2>
    </dataValidation>
    <dataValidation type="list" allowBlank="1" showInputMessage="1" showErrorMessage="1" sqref="I6" xr:uid="{00000000-0002-0000-0900-000009000000}">
      <formula1>$BG$8:$BH$8</formula1>
    </dataValidation>
  </dataValidations>
  <printOptions horizontalCentered="1"/>
  <pageMargins left="0.31496062992125984" right="0.31496062992125984" top="0.51181102362204722" bottom="0.47244094488188981" header="0.23622047244094491" footer="0.23622047244094491"/>
  <pageSetup paperSize="9" scale="55" orientation="portrait" r:id="rId1"/>
  <headerFooter>
    <oddHeader>&amp;L&amp;D&amp;C&amp;F
&amp;A&amp;RPage &amp;P of &amp;N</oddHeader>
    <oddFooter>&amp;LPage &amp;P of &amp;N&amp;C&amp;F
&amp;A&amp;R&amp;D</oddFooter>
  </headerFooter>
  <cellWatches>
    <cellWatch r="I8"/>
  </cellWatche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EX297"/>
  <sheetViews>
    <sheetView showGridLines="0" zoomScale="85" zoomScaleNormal="85" workbookViewId="0">
      <pane xSplit="1" ySplit="7" topLeftCell="B8" activePane="bottomRight" state="frozen"/>
      <selection activeCell="K9" sqref="K9"/>
      <selection pane="topRight" activeCell="K9" sqref="K9"/>
      <selection pane="bottomLeft" activeCell="K9" sqref="K9"/>
      <selection pane="bottomRight" activeCell="F8" sqref="F8"/>
    </sheetView>
  </sheetViews>
  <sheetFormatPr defaultRowHeight="12.75"/>
  <cols>
    <col min="1" max="1" width="3.7109375" style="1" customWidth="1"/>
    <col min="2" max="2" width="6.28515625" customWidth="1"/>
    <col min="3" max="3" width="8.140625" style="3" customWidth="1"/>
    <col min="4" max="4" width="12.28515625" style="9" customWidth="1"/>
    <col min="5" max="5" width="12.7109375" style="9" customWidth="1"/>
    <col min="6" max="6" width="8.7109375" style="5" customWidth="1"/>
    <col min="7" max="7" width="8.5703125" customWidth="1"/>
    <col min="8" max="8" width="8.42578125" style="1" customWidth="1"/>
    <col min="9" max="9" width="14.7109375" customWidth="1"/>
    <col min="10" max="10" width="11.7109375" customWidth="1"/>
    <col min="11" max="11" width="15.7109375" style="1" customWidth="1"/>
    <col min="12" max="12" width="9.42578125" style="9" customWidth="1"/>
    <col min="13" max="13" width="9.42578125" style="1" customWidth="1"/>
    <col min="14" max="14" width="9.42578125" style="9" customWidth="1"/>
    <col min="15" max="15" width="9.42578125" style="1" customWidth="1"/>
    <col min="16" max="16" width="1.7109375" style="1" customWidth="1"/>
    <col min="17" max="17" width="38" style="9" customWidth="1"/>
    <col min="18" max="18" width="7.5703125" style="451" hidden="1" customWidth="1"/>
    <col min="19" max="19" width="4.7109375" style="451" hidden="1" customWidth="1"/>
    <col min="20" max="20" width="8" style="451" hidden="1" customWidth="1"/>
    <col min="21" max="21" width="6.5703125" style="451" hidden="1" customWidth="1"/>
    <col min="22" max="22" width="7.5703125" style="451" hidden="1" customWidth="1"/>
    <col min="23" max="24" width="8.7109375" style="451" hidden="1" customWidth="1"/>
    <col min="25" max="25" width="6.140625" style="509" hidden="1" customWidth="1"/>
    <col min="26" max="26" width="8.7109375" style="451" hidden="1" customWidth="1"/>
    <col min="27" max="27" width="8.7109375" style="426" hidden="1" customWidth="1"/>
    <col min="28" max="28" width="11.28515625" style="426" hidden="1" customWidth="1"/>
    <col min="29" max="29" width="2.7109375" style="2" customWidth="1"/>
    <col min="30" max="31" width="8.7109375" style="2" customWidth="1"/>
    <col min="32" max="33" width="8.7109375" style="4" customWidth="1"/>
    <col min="34" max="34" width="8.7109375" style="4" hidden="1" customWidth="1"/>
    <col min="35" max="35" width="3.7109375" style="4" customWidth="1"/>
    <col min="36" max="37" width="8.7109375" style="2" hidden="1" customWidth="1"/>
    <col min="38" max="38" width="12.42578125" style="4" hidden="1" customWidth="1"/>
    <col min="39" max="41" width="8.7109375" style="4" hidden="1" customWidth="1"/>
    <col min="42" max="42" width="1.7109375" style="4" hidden="1" customWidth="1"/>
    <col min="43" max="43" width="8.28515625" style="4" hidden="1" customWidth="1"/>
    <col min="44" max="44" width="10.7109375" style="4" hidden="1" customWidth="1"/>
    <col min="45" max="45" width="10.7109375" style="10" hidden="1" customWidth="1"/>
    <col min="46" max="46" width="2.42578125" style="10" hidden="1" customWidth="1"/>
    <col min="47" max="47" width="37.140625" style="10" hidden="1" customWidth="1"/>
    <col min="48" max="48" width="2.28515625" customWidth="1"/>
    <col min="49" max="49" width="10.7109375" style="4" hidden="1" customWidth="1"/>
    <col min="50" max="50" width="10.7109375" hidden="1" customWidth="1"/>
    <col min="51" max="51" width="8.7109375" customWidth="1"/>
    <col min="52" max="52" width="11.28515625" hidden="1" customWidth="1"/>
    <col min="53" max="55" width="8.7109375" customWidth="1"/>
    <col min="56" max="56" width="2.7109375" style="430" hidden="1" customWidth="1"/>
    <col min="57" max="57" width="6.7109375" style="4" hidden="1" customWidth="1"/>
    <col min="58" max="58" width="11.85546875" style="430" hidden="1" customWidth="1"/>
    <col min="59" max="59" width="15.140625" style="430" hidden="1" customWidth="1"/>
    <col min="60" max="60" width="13.7109375" style="51" hidden="1" customWidth="1"/>
    <col min="61" max="61" width="5.140625" style="51" hidden="1" customWidth="1"/>
    <col min="62" max="62" width="7.28515625" style="51" hidden="1" customWidth="1"/>
    <col min="63" max="63" width="10.5703125" style="426" hidden="1" customWidth="1"/>
    <col min="64" max="64" width="12" style="430" hidden="1" customWidth="1"/>
    <col min="65" max="65" width="8" style="52" hidden="1" customWidth="1"/>
    <col min="66" max="66" width="8.5703125" style="52" hidden="1" customWidth="1"/>
    <col min="67" max="67" width="9.42578125" style="52" hidden="1" customWidth="1"/>
    <col min="68" max="68" width="8.7109375" style="52" hidden="1" customWidth="1"/>
    <col min="69" max="69" width="3" style="51" hidden="1" customWidth="1"/>
    <col min="70" max="70" width="9.7109375" style="52" hidden="1" customWidth="1"/>
    <col min="71" max="71" width="9.140625" style="52" hidden="1" customWidth="1"/>
    <col min="72" max="72" width="6.7109375" style="52" hidden="1" customWidth="1"/>
    <col min="73" max="73" width="7.5703125" style="52" hidden="1" customWidth="1"/>
    <col min="74" max="74" width="10.7109375" style="51" hidden="1" customWidth="1"/>
    <col min="75" max="85" width="8.7109375" style="51" hidden="1" customWidth="1"/>
    <col min="86" max="86" width="8.7109375" style="52" hidden="1" customWidth="1"/>
    <col min="87" max="87" width="9.140625" style="52" hidden="1" customWidth="1"/>
    <col min="88" max="88" width="7.5703125" style="51" hidden="1" customWidth="1"/>
    <col min="89" max="89" width="6.42578125" style="51" hidden="1" customWidth="1"/>
    <col min="90" max="90" width="16.7109375" style="779" hidden="1" customWidth="1"/>
    <col min="91" max="91" width="4.42578125" style="188" hidden="1" customWidth="1"/>
    <col min="92" max="92" width="15.5703125" style="779" hidden="1" customWidth="1"/>
    <col min="93" max="93" width="10.28515625" style="779" hidden="1" customWidth="1"/>
    <col min="94" max="104" width="9.140625" style="188" hidden="1" customWidth="1"/>
    <col min="105" max="106" width="9.140625" style="51" hidden="1" customWidth="1"/>
    <col min="107" max="107" width="10.85546875" style="993" hidden="1" customWidth="1"/>
    <col min="108" max="108" width="9.140625" style="51" hidden="1" customWidth="1"/>
    <col min="109" max="110" width="19.85546875" style="51" hidden="1" customWidth="1"/>
    <col min="111" max="122" width="9.140625" style="426" hidden="1" customWidth="1"/>
    <col min="123" max="123" width="13.140625" style="426" hidden="1" customWidth="1"/>
    <col min="124" max="124" width="17.140625" style="451" hidden="1" customWidth="1"/>
    <col min="125" max="136" width="9.140625" style="426" hidden="1" customWidth="1"/>
    <col min="137" max="137" width="13.140625" style="426" hidden="1" customWidth="1"/>
    <col min="138" max="138" width="11.28515625" style="426" hidden="1" customWidth="1"/>
    <col min="139" max="145" width="9.140625" style="426" hidden="1" customWidth="1"/>
    <col min="146" max="146" width="9.140625" style="497" hidden="1" customWidth="1"/>
    <col min="147" max="147" width="9.140625" style="430" hidden="1" customWidth="1"/>
    <col min="148" max="153" width="9.140625" style="426" hidden="1" customWidth="1"/>
    <col min="154" max="154" width="9.140625" style="426"/>
  </cols>
  <sheetData>
    <row r="1" spans="1:154" ht="24" customHeight="1" thickBot="1">
      <c r="L1" s="2638" t="s">
        <v>1</v>
      </c>
      <c r="M1" s="2639"/>
      <c r="N1" s="2638" t="s">
        <v>17</v>
      </c>
      <c r="O1" s="2788"/>
      <c r="AD1" s="2763" t="s">
        <v>1089</v>
      </c>
      <c r="AE1" s="2764"/>
      <c r="AF1" s="2764"/>
      <c r="AG1" s="2765"/>
      <c r="AH1" s="2"/>
      <c r="AL1" s="1382"/>
      <c r="AM1" s="2"/>
      <c r="AO1" s="1408"/>
      <c r="AP1" s="1408"/>
      <c r="AQ1" s="1408"/>
      <c r="AR1" s="1408"/>
      <c r="AS1" s="1408"/>
      <c r="AT1" s="1408"/>
      <c r="AU1" s="1408"/>
      <c r="AW1" s="1408"/>
      <c r="BD1" s="641"/>
      <c r="BE1" s="641"/>
      <c r="BF1" s="652"/>
      <c r="BG1" s="652"/>
      <c r="BH1" s="652"/>
      <c r="BI1" s="759"/>
      <c r="BJ1" s="759"/>
      <c r="BK1" s="931"/>
      <c r="BL1" s="759"/>
      <c r="BM1" s="760"/>
      <c r="BN1" s="760"/>
      <c r="BO1" s="760"/>
      <c r="BP1" s="760"/>
      <c r="BQ1" s="759"/>
      <c r="BR1" s="760"/>
      <c r="BS1" s="760"/>
      <c r="BT1" s="760"/>
      <c r="BU1" s="760"/>
      <c r="BV1" s="759"/>
      <c r="BW1" s="759"/>
      <c r="BX1" s="759"/>
      <c r="BY1" s="759"/>
      <c r="BZ1" s="759"/>
      <c r="CA1" s="759"/>
      <c r="CB1" s="759"/>
      <c r="CC1" s="759"/>
      <c r="CD1" s="759"/>
      <c r="CE1" s="759"/>
      <c r="CF1" s="759"/>
      <c r="CG1" s="759"/>
      <c r="CH1" s="760"/>
      <c r="CI1" s="760"/>
      <c r="CJ1" s="759"/>
      <c r="CK1" s="188"/>
      <c r="EX1"/>
    </row>
    <row r="2" spans="1:154" ht="24" customHeight="1" thickBot="1">
      <c r="B2" s="2690" t="str">
        <f>FP</f>
        <v>Elephant QuickBrace™ September 2018  V.1.0</v>
      </c>
      <c r="C2" s="2691"/>
      <c r="D2" s="2691"/>
      <c r="E2" s="2691"/>
      <c r="F2" s="2691"/>
      <c r="G2" s="2691"/>
      <c r="H2" s="2692"/>
      <c r="I2" s="2693" t="s">
        <v>358</v>
      </c>
      <c r="J2" s="2694"/>
      <c r="K2" s="123" t="s">
        <v>341</v>
      </c>
      <c r="L2" s="124">
        <f ca="1">M2/M3</f>
        <v>0</v>
      </c>
      <c r="M2" s="1544">
        <f ca="1">(SUM(M8:M12)+SUM(M14:M18)+SUM(M20:M24)+SUM(M26:M30)+SUM(M32:M36)+SUM(M38:M42)+SUM(M44:M48)+SUM(M50:M54)+SUM(M56:M60)+SUM(M62:M66)+SUM(M68:M72)+SUM(M74:M78))</f>
        <v>0</v>
      </c>
      <c r="N2" s="124">
        <f ca="1">O2/O3</f>
        <v>0</v>
      </c>
      <c r="O2" s="1545">
        <f ca="1">(SUM(O8:O12)+SUM(O14:O18)+SUM(O20:O24)+SUM(O26:O30)+SUM(O32:O36)+SUM(O38:O42)+SUM(O44:O48)+SUM(O50:O54)+SUM(O56:O60)+SUM(O62:O66)+SUM(O68:O72)+SUM(O74:O78))</f>
        <v>0</v>
      </c>
      <c r="P2" s="133"/>
      <c r="Q2" s="77" t="s">
        <v>370</v>
      </c>
      <c r="R2" s="982"/>
      <c r="S2" s="982"/>
      <c r="T2" s="982"/>
      <c r="U2" s="982"/>
      <c r="V2" s="982"/>
      <c r="W2" s="982"/>
      <c r="X2" s="982"/>
      <c r="Y2" s="1001"/>
      <c r="Z2" s="428"/>
      <c r="AA2" s="427"/>
      <c r="AB2" s="1779"/>
      <c r="AD2" s="2621" t="s">
        <v>1</v>
      </c>
      <c r="AE2" s="2622"/>
      <c r="AF2" s="2623" t="s">
        <v>17</v>
      </c>
      <c r="AG2" s="2624"/>
      <c r="AH2" s="2"/>
      <c r="AJ2" s="119"/>
      <c r="AK2" s="119"/>
      <c r="AL2" s="119"/>
      <c r="AM2" s="2"/>
      <c r="AQ2" s="14"/>
      <c r="AR2" s="14"/>
      <c r="AS2" s="6"/>
      <c r="AT2" s="6"/>
      <c r="AU2" s="6"/>
      <c r="AZ2" s="1409"/>
      <c r="BD2" s="650"/>
      <c r="BE2" s="697" t="s">
        <v>816</v>
      </c>
      <c r="BF2" s="698" t="s">
        <v>817</v>
      </c>
      <c r="BG2" s="698" t="s">
        <v>818</v>
      </c>
      <c r="BH2" s="699"/>
      <c r="BI2" s="759"/>
      <c r="BJ2" s="188"/>
      <c r="BK2" s="506"/>
      <c r="BL2" s="188"/>
      <c r="BM2" s="779"/>
      <c r="BN2" s="779"/>
      <c r="BO2" s="779"/>
      <c r="BP2" s="972"/>
      <c r="BX2" s="2843" t="s">
        <v>921</v>
      </c>
      <c r="BY2" s="2844"/>
      <c r="BZ2" s="2844"/>
      <c r="CA2" s="2844"/>
      <c r="CB2" s="2844"/>
      <c r="CC2" s="2844"/>
      <c r="CD2" s="2844"/>
      <c r="CE2" s="2844"/>
      <c r="CF2" s="2844"/>
      <c r="CG2" s="2845"/>
      <c r="CJ2" s="759"/>
      <c r="CL2" s="906" t="s">
        <v>821</v>
      </c>
      <c r="CN2" s="974"/>
      <c r="CO2" s="713" t="s">
        <v>823</v>
      </c>
      <c r="CP2" s="714" t="s">
        <v>824</v>
      </c>
      <c r="CQ2" s="712"/>
      <c r="CR2" s="714" t="s">
        <v>1123</v>
      </c>
      <c r="CS2" s="704"/>
      <c r="CT2" s="712"/>
      <c r="CU2" s="714" t="s">
        <v>777</v>
      </c>
      <c r="CV2" s="715"/>
      <c r="CW2" s="712"/>
      <c r="CX2" s="481" t="s">
        <v>784</v>
      </c>
      <c r="CY2" s="714" t="s">
        <v>825</v>
      </c>
      <c r="CZ2" s="712"/>
      <c r="DA2" s="714" t="s">
        <v>371</v>
      </c>
      <c r="DB2" s="712"/>
      <c r="DC2" s="994"/>
      <c r="DK2" s="427"/>
      <c r="DL2" s="427"/>
      <c r="DM2" s="427"/>
      <c r="DN2" s="427"/>
      <c r="DO2" s="427"/>
      <c r="DP2" s="427"/>
      <c r="DQ2" s="427"/>
      <c r="DR2" s="427"/>
      <c r="DS2" s="427"/>
      <c r="DT2" s="982"/>
      <c r="DU2" s="427"/>
      <c r="DV2" s="427"/>
      <c r="DW2" s="427"/>
      <c r="DX2" s="427"/>
      <c r="DY2" s="427"/>
      <c r="DZ2" s="427"/>
      <c r="EA2" s="427"/>
      <c r="EB2" s="427"/>
      <c r="EC2" s="427"/>
      <c r="ED2" s="427"/>
      <c r="EE2" s="427"/>
      <c r="EF2" s="427"/>
      <c r="EG2" s="427"/>
      <c r="EH2" s="427"/>
      <c r="EI2" s="427"/>
      <c r="EJ2" s="427"/>
      <c r="EK2" s="427"/>
      <c r="EL2" s="427"/>
      <c r="EM2" s="427"/>
      <c r="EN2" s="427"/>
      <c r="EO2" s="427"/>
      <c r="EP2" s="428"/>
      <c r="EQ2" s="431"/>
      <c r="ER2" s="427"/>
      <c r="ES2" s="427"/>
      <c r="ET2" s="427"/>
      <c r="EU2" s="427"/>
      <c r="EV2" s="427"/>
      <c r="EW2" s="427"/>
      <c r="EX2"/>
    </row>
    <row r="3" spans="1:154" s="21" customFormat="1" ht="24" customHeight="1" thickBot="1">
      <c r="A3" s="18"/>
      <c r="B3" s="2688" t="s">
        <v>48</v>
      </c>
      <c r="C3" s="2639"/>
      <c r="D3" s="2695" t="str">
        <f>'Project Demand'!E8</f>
        <v xml:space="preserve"> </v>
      </c>
      <c r="E3" s="2696"/>
      <c r="F3" s="2697"/>
      <c r="G3" s="2698" t="str">
        <f>'Project Demand'!E9</f>
        <v xml:space="preserve"> </v>
      </c>
      <c r="H3" s="2699"/>
      <c r="I3" s="2700" t="str">
        <f>IF('Project Demand'!AQ59=1,'Terms and Conditions'!B22,'Project Demand'!L34)</f>
        <v>QuickBrace©                        First Principles</v>
      </c>
      <c r="J3" s="2701"/>
      <c r="K3" s="1791" t="str">
        <f>IF('Project Demand'!AQ59=1,"Total Demand =","Alternative Demand =")</f>
        <v>Total Demand =</v>
      </c>
      <c r="L3" s="1792" t="str">
        <f>$BH$3</f>
        <v>Bu's</v>
      </c>
      <c r="M3" s="1793">
        <f>IF('Project Demand'!AQ59=2,'Project Demand'!M38,'FP Calcs'!E68)</f>
        <v>210</v>
      </c>
      <c r="N3" s="1792" t="str">
        <f>$BH$3</f>
        <v>Bu's</v>
      </c>
      <c r="O3" s="1794">
        <f>IF('Project Demand'!AQ59=2,'Project Demand'!M39,'FP Calcs'!E71)</f>
        <v>523</v>
      </c>
      <c r="P3" s="134"/>
      <c r="Q3" s="676" t="str">
        <f ca="1">IF(OR(M2&lt;M3,O2&lt;O3),"Total Achieved &lt; Total Demand","")</f>
        <v>Total Achieved &lt; Total Demand</v>
      </c>
      <c r="R3" s="923"/>
      <c r="S3" s="923"/>
      <c r="T3" s="923"/>
      <c r="U3" s="923"/>
      <c r="V3" s="923"/>
      <c r="W3" s="923"/>
      <c r="X3" s="923"/>
      <c r="Y3" s="1002"/>
      <c r="Z3" s="452"/>
      <c r="AC3" s="22"/>
      <c r="AD3" s="1357" t="str">
        <f>IF($BG$4=1,$BG$42,$BH$42)</f>
        <v>Left    Line</v>
      </c>
      <c r="AE3" s="1434" t="str">
        <f>IF($BG$4=1,$BG$43,$BH$43)</f>
        <v>Right  Line</v>
      </c>
      <c r="AF3" s="1449" t="str">
        <f>IF($BG$4=1,$BG$42,$BH$42)</f>
        <v>Left    Line</v>
      </c>
      <c r="AG3" s="1358" t="str">
        <f>IF($BG$4=1,$BG$43,$BH$43)</f>
        <v>Right  Line</v>
      </c>
      <c r="AJ3" s="1355"/>
      <c r="AK3" s="1355"/>
      <c r="AL3" s="1355"/>
      <c r="AM3" s="2819"/>
      <c r="AN3" s="2819"/>
      <c r="AS3" s="20"/>
      <c r="AT3" s="20"/>
      <c r="AU3" s="20"/>
      <c r="AV3" s="1356">
        <f>'Regular and QuickBrace Systems'!W2</f>
        <v>1</v>
      </c>
      <c r="BD3" s="639"/>
      <c r="BE3" s="700">
        <f>'Project Demand'!AX5</f>
        <v>1</v>
      </c>
      <c r="BF3" s="701">
        <f>IF($BE$3=1,100,5)</f>
        <v>100</v>
      </c>
      <c r="BG3" s="702">
        <f>IF($BE$3=1,15,0.75)</f>
        <v>15</v>
      </c>
      <c r="BH3" s="953" t="str">
        <f>IF($BE$3=1,CX2,CX3)</f>
        <v>Bu's</v>
      </c>
      <c r="BI3" s="931"/>
      <c r="BJ3" s="18"/>
      <c r="BM3" s="923"/>
      <c r="BP3" s="449"/>
      <c r="BT3" s="923"/>
      <c r="BU3" s="923"/>
      <c r="CH3" s="923"/>
      <c r="CI3" s="923"/>
      <c r="CJ3" s="927"/>
      <c r="CL3" s="907" t="s">
        <v>826</v>
      </c>
      <c r="CN3" s="975"/>
      <c r="CO3" s="717" t="s">
        <v>828</v>
      </c>
      <c r="CP3" s="705" t="s">
        <v>829</v>
      </c>
      <c r="CQ3" s="718"/>
      <c r="CR3" s="705" t="s">
        <v>830</v>
      </c>
      <c r="CS3" s="719"/>
      <c r="CT3" s="718"/>
      <c r="CU3" s="705" t="s">
        <v>831</v>
      </c>
      <c r="CV3" s="720"/>
      <c r="CW3" s="721"/>
      <c r="CX3" s="482" t="s">
        <v>786</v>
      </c>
      <c r="CY3" s="705" t="s">
        <v>832</v>
      </c>
      <c r="CZ3" s="718"/>
      <c r="DA3" s="705" t="s">
        <v>833</v>
      </c>
      <c r="DB3" s="718"/>
      <c r="DU3" s="651"/>
      <c r="EP3" s="1013"/>
      <c r="EQ3" s="432"/>
      <c r="EW3" s="651"/>
    </row>
    <row r="4" spans="1:154" ht="24" customHeight="1" thickBot="1">
      <c r="B4" s="2688" t="str">
        <f>IF(BH28=1,"Single Storey",IF(BH28=2,"Upper Storey",IF(BH28=3,"Double Storey","")))</f>
        <v>Upper Storey</v>
      </c>
      <c r="C4" s="2689"/>
      <c r="D4" s="2618" t="str">
        <f>'Project Demand'!E10</f>
        <v xml:space="preserve"> </v>
      </c>
      <c r="E4" s="2619"/>
      <c r="F4" s="2619"/>
      <c r="G4" s="2619"/>
      <c r="H4" s="2620"/>
      <c r="I4" s="2702" t="str">
        <f>CU4</f>
        <v>Min. Bu's per either External side of Project=</v>
      </c>
      <c r="J4" s="2703"/>
      <c r="K4" s="2704"/>
      <c r="L4" s="1785">
        <f ca="1">(IF(L5&gt;'Project Demand'!$E37*$BG$3,L5,IF('Project Demand'!$E37*$BG$3&gt;$BF$3,'Project Demand'!$E37*$BG$3,$BF$3)))</f>
        <v>100</v>
      </c>
      <c r="M4" s="1786"/>
      <c r="N4" s="1785">
        <f ca="1">(IF(N5&gt;'Project Demand'!$E37*$BG$3,N5,IF('Project Demand'!$E37*$BG$3&gt;$BF$3,'Project Demand'!$E37*$BG$3,$BF$3)))</f>
        <v>100</v>
      </c>
      <c r="O4" s="1787"/>
      <c r="P4" s="135"/>
      <c r="Q4" s="1018" t="str">
        <f ca="1">IF(OR(L4&gt;EI81,N4&gt;EJ81,L4&gt;EK81,N4&gt;EL81),"Min. Req. on Ext Lines not reached,  See Table below or at right ===&gt; ","")</f>
        <v xml:space="preserve">Min. Req. on Ext Lines not reached,  See Table below or at right ===&gt; </v>
      </c>
      <c r="T4" s="3"/>
      <c r="Z4" s="452"/>
      <c r="AD4" s="2636" t="str">
        <f ca="1">IF(AND(AD5&gt;=AD7,AE5&gt;=AD7),"Achieved","Not reached")</f>
        <v>Not reached</v>
      </c>
      <c r="AE4" s="2637"/>
      <c r="AF4" s="2626" t="str">
        <f ca="1">IF(AND(AF5&gt;=AF7,AG5&gt;=AF7),"Achieved","Not reached")</f>
        <v>Not reached</v>
      </c>
      <c r="AG4" s="2627"/>
      <c r="AJ4" s="2820"/>
      <c r="AK4" s="2820"/>
      <c r="AL4" s="1383"/>
      <c r="AM4" s="2821"/>
      <c r="AN4" s="2821"/>
      <c r="AU4" s="1"/>
      <c r="BD4" s="640"/>
      <c r="BE4" s="2673" t="s">
        <v>925</v>
      </c>
      <c r="BF4" s="2674"/>
      <c r="BG4" s="450">
        <f>'Project Demand'!AX21</f>
        <v>1</v>
      </c>
      <c r="BH4" s="703"/>
      <c r="BI4" s="932"/>
      <c r="CJ4" s="759"/>
      <c r="CL4" s="950" t="s">
        <v>834</v>
      </c>
      <c r="CN4" s="976"/>
      <c r="CO4" s="953" t="str">
        <f>IF($BE$3=1,CO2,CO3)</f>
        <v>Bu/m</v>
      </c>
      <c r="CP4" s="951" t="str">
        <f>IF($BE$3=1,CP2,CP3)</f>
        <v>Achieved Bu's</v>
      </c>
      <c r="CQ4" s="952"/>
      <c r="CR4" s="951" t="str">
        <f>IF($BE$3=1,CR2,CR3)</f>
        <v>Element Resistance Limitations</v>
      </c>
      <c r="CS4" s="930"/>
      <c r="CT4" s="952"/>
      <c r="CU4" s="951" t="str">
        <f>IF($BE$3=1,CU2,CU3)</f>
        <v>Min. Bu's per either External side of Project=</v>
      </c>
      <c r="CV4" s="954"/>
      <c r="CW4" s="952"/>
      <c r="CY4" s="951" t="str">
        <f>IF($BE$3=1,CY2,CY3)</f>
        <v>Minimum Bu's Req. on each Bracing Line =</v>
      </c>
      <c r="CZ4" s="952"/>
      <c r="DA4" s="951" t="str">
        <f>IF($BE$3=1,DA2,DA3)</f>
        <v>Achieved BU's =</v>
      </c>
      <c r="DB4" s="952"/>
      <c r="EW4" s="427"/>
      <c r="EX4"/>
    </row>
    <row r="5" spans="1:154" ht="24" customHeight="1" thickBot="1">
      <c r="A5" s="36"/>
      <c r="B5" s="2643" t="s">
        <v>1084</v>
      </c>
      <c r="C5" s="2644"/>
      <c r="D5" s="2644"/>
      <c r="E5" s="2644"/>
      <c r="F5" s="2644"/>
      <c r="G5" s="2644"/>
      <c r="H5" s="2645"/>
      <c r="I5" s="2711" t="str">
        <f>CY4</f>
        <v>Minimum Bu's Req. on each Bracing Line =</v>
      </c>
      <c r="J5" s="2712"/>
      <c r="K5" s="2713"/>
      <c r="L5" s="1788">
        <f ca="1">M105</f>
        <v>0</v>
      </c>
      <c r="M5" s="1789"/>
      <c r="N5" s="1788">
        <f ca="1">O105</f>
        <v>0</v>
      </c>
      <c r="O5" s="1790"/>
      <c r="P5" s="135"/>
      <c r="Q5" s="76" t="str">
        <f ca="1">IF(ISERROR(FIND("&lt;Min BU/",Q13&amp;Q19&amp;Q25&amp;Q31&amp;Q37&amp;Q43&amp;Q49&amp;Q55&amp;Q61&amp;Q67&amp;Q73&amp;Q79,1)),"","Min. Req. on each Bracing Line not reached")</f>
        <v/>
      </c>
      <c r="T5" s="1373" t="s">
        <v>8</v>
      </c>
      <c r="AC5"/>
      <c r="AD5" s="1780">
        <f ca="1">$EI$81</f>
        <v>0</v>
      </c>
      <c r="AE5" s="1781">
        <f>$EK$81</f>
        <v>0</v>
      </c>
      <c r="AF5" s="1782">
        <f ca="1">$EJ$81</f>
        <v>0</v>
      </c>
      <c r="AG5" s="1783">
        <f>$EL$81</f>
        <v>0</v>
      </c>
      <c r="AJ5" s="2813" t="str">
        <f>'Regular and QuickBrace Systems'!C4</f>
        <v>Elephant Plasterboard  - Regular (Nominal) Fixing Method:  Bracing Performance</v>
      </c>
      <c r="AK5" s="2814"/>
      <c r="AL5" s="2814"/>
      <c r="AM5" s="2814"/>
      <c r="AN5" s="2814"/>
      <c r="AO5" s="2814"/>
      <c r="AP5" s="2814"/>
      <c r="AQ5" s="2814"/>
      <c r="AR5" s="2814"/>
      <c r="AS5" s="2814"/>
      <c r="AT5" s="2814"/>
      <c r="AU5" s="2815"/>
      <c r="AW5" s="1591"/>
      <c r="BD5" s="641"/>
      <c r="BE5" s="2677" t="s">
        <v>815</v>
      </c>
      <c r="BF5" s="2678"/>
      <c r="BG5" s="959" t="str">
        <f>IF('Project Demand'!AQ59&lt;&gt;1,"Yes","No")</f>
        <v>No</v>
      </c>
      <c r="BI5" s="759"/>
      <c r="CJ5" s="759"/>
      <c r="CK5" s="188"/>
      <c r="CL5" s="977"/>
      <c r="CM5" s="777"/>
      <c r="CN5" s="778"/>
      <c r="CO5" s="778"/>
      <c r="CP5" s="777"/>
      <c r="CQ5" s="777"/>
      <c r="CR5" s="777"/>
      <c r="CS5" s="777"/>
      <c r="CT5" s="777"/>
      <c r="CU5" s="777"/>
      <c r="CV5" s="777"/>
      <c r="CW5" s="777"/>
      <c r="CX5" s="777"/>
      <c r="CY5" s="777"/>
      <c r="CZ5" s="777"/>
      <c r="DA5" s="920"/>
      <c r="DB5" s="920"/>
      <c r="DC5" s="997"/>
      <c r="DD5" s="920"/>
      <c r="DE5" s="920"/>
      <c r="DF5" s="920"/>
      <c r="DG5" s="955"/>
      <c r="DH5" s="955" t="s">
        <v>261</v>
      </c>
      <c r="DI5" s="955"/>
      <c r="DJ5" s="955"/>
      <c r="DK5" s="955"/>
      <c r="DL5" s="955"/>
      <c r="DM5" s="955"/>
      <c r="DN5" s="955"/>
      <c r="DO5" s="920" t="s">
        <v>250</v>
      </c>
      <c r="DP5" s="955"/>
      <c r="DQ5" s="955"/>
      <c r="DR5" s="955"/>
      <c r="DS5" s="955" t="s">
        <v>262</v>
      </c>
      <c r="DT5" s="606" t="s">
        <v>265</v>
      </c>
      <c r="DU5" s="955" t="s">
        <v>261</v>
      </c>
      <c r="DV5" s="955"/>
      <c r="DW5" s="955"/>
      <c r="DX5" s="955"/>
      <c r="DY5" s="955"/>
      <c r="DZ5" s="955"/>
      <c r="EA5" s="955"/>
      <c r="EB5" s="955"/>
      <c r="EC5" s="920" t="s">
        <v>250</v>
      </c>
      <c r="ED5" s="955"/>
      <c r="EE5" s="955"/>
      <c r="EF5" s="955"/>
      <c r="EG5" s="2738" t="s">
        <v>617</v>
      </c>
      <c r="EH5" s="2739"/>
      <c r="EI5" s="2739"/>
      <c r="EJ5" s="2739"/>
      <c r="EK5" s="2739"/>
      <c r="EL5" s="2740"/>
      <c r="EM5" s="2735" t="s">
        <v>589</v>
      </c>
      <c r="EN5" s="2736"/>
      <c r="EO5" s="2737"/>
      <c r="EP5" s="1014"/>
      <c r="EQ5" s="458"/>
      <c r="ER5" s="2726" t="s">
        <v>602</v>
      </c>
      <c r="ES5" s="2727"/>
      <c r="ET5" s="955"/>
      <c r="EU5" s="2719" t="s">
        <v>835</v>
      </c>
      <c r="EW5" s="427"/>
      <c r="EX5"/>
    </row>
    <row r="6" spans="1:154" ht="24" customHeight="1" thickBot="1">
      <c r="A6" s="37"/>
      <c r="B6" s="2705" t="s">
        <v>32</v>
      </c>
      <c r="C6" s="2646" t="s">
        <v>1051</v>
      </c>
      <c r="D6" s="2846" t="str">
        <f>IF($BG$4=1,BG39,BG40)</f>
        <v>Left ,Right OR Internal</v>
      </c>
      <c r="E6" s="2846" t="s">
        <v>1047</v>
      </c>
      <c r="F6" s="2846" t="s">
        <v>1046</v>
      </c>
      <c r="G6" s="2847" t="s">
        <v>483</v>
      </c>
      <c r="H6" s="2846" t="s">
        <v>36</v>
      </c>
      <c r="I6" s="1692" t="s">
        <v>1107</v>
      </c>
      <c r="J6" s="2791" t="s">
        <v>49</v>
      </c>
      <c r="K6" s="2789" t="str">
        <f>CR4</f>
        <v>Element Resistance Limitations</v>
      </c>
      <c r="L6" s="2638" t="s">
        <v>1</v>
      </c>
      <c r="M6" s="2639"/>
      <c r="N6" s="2638" t="s">
        <v>17</v>
      </c>
      <c r="O6" s="2788"/>
      <c r="P6" s="136"/>
      <c r="Q6" s="2641" t="str">
        <f ca="1">IF(Q98&lt;&gt;0,"Check Warnings below and at bottom of this page","")</f>
        <v>Check Warnings below and at bottom of this page</v>
      </c>
      <c r="T6" s="2640" t="s">
        <v>1070</v>
      </c>
      <c r="U6" s="2640" t="s">
        <v>1071</v>
      </c>
      <c r="W6" s="3"/>
      <c r="X6" s="3"/>
      <c r="AB6" s="2625" t="s">
        <v>1050</v>
      </c>
      <c r="AC6"/>
      <c r="AD6" s="2630" t="s">
        <v>1092</v>
      </c>
      <c r="AE6" s="2631"/>
      <c r="AF6" s="2632" t="s">
        <v>1090</v>
      </c>
      <c r="AG6" s="2633"/>
      <c r="AJ6" s="2816" t="str">
        <f>'Regular and QuickBrace Systems'!C19</f>
        <v>Elephant QuickBrace©      Bracing Systems  Performance</v>
      </c>
      <c r="AK6" s="2817"/>
      <c r="AL6" s="2817"/>
      <c r="AM6" s="2817"/>
      <c r="AN6" s="2817"/>
      <c r="AO6" s="2817"/>
      <c r="AP6" s="2817"/>
      <c r="AQ6" s="2817"/>
      <c r="AR6" s="2817"/>
      <c r="AS6" s="2817"/>
      <c r="AT6" s="2817"/>
      <c r="AU6" s="2818"/>
      <c r="AW6" s="1591"/>
      <c r="BD6" s="642"/>
      <c r="BE6" s="25"/>
      <c r="BF6" s="2670" t="s">
        <v>547</v>
      </c>
      <c r="BG6" s="918" t="s">
        <v>610</v>
      </c>
      <c r="BH6" s="919">
        <f>'Regular and QuickBrace Systems'!W2</f>
        <v>1</v>
      </c>
      <c r="BI6" s="933"/>
      <c r="BJ6" s="898"/>
      <c r="BL6" s="119" t="s">
        <v>8</v>
      </c>
      <c r="BR6" s="450" t="s">
        <v>248</v>
      </c>
      <c r="BS6" s="450" t="s">
        <v>248</v>
      </c>
      <c r="BT6" s="450" t="s">
        <v>323</v>
      </c>
      <c r="BU6" s="450" t="s">
        <v>267</v>
      </c>
      <c r="BV6" s="2730" t="s">
        <v>919</v>
      </c>
      <c r="BW6" s="2731"/>
      <c r="CH6" s="52" t="s">
        <v>235</v>
      </c>
      <c r="CI6" s="52" t="s">
        <v>235</v>
      </c>
      <c r="CJ6" s="759"/>
      <c r="CK6" s="188"/>
      <c r="CL6" s="2675" t="s">
        <v>670</v>
      </c>
      <c r="CN6" s="2721" t="s">
        <v>918</v>
      </c>
      <c r="CO6" s="2723"/>
      <c r="CR6" s="51"/>
      <c r="CS6" s="2672" t="s">
        <v>1</v>
      </c>
      <c r="CT6" s="2672"/>
      <c r="CU6" s="2672" t="s">
        <v>229</v>
      </c>
      <c r="CV6" s="2672"/>
      <c r="CW6" s="51"/>
      <c r="CX6" s="51"/>
      <c r="CY6" s="51"/>
      <c r="CZ6" s="51"/>
      <c r="DC6" s="2734" t="s">
        <v>924</v>
      </c>
      <c r="DD6" s="603" t="s">
        <v>323</v>
      </c>
      <c r="DE6" s="51" t="s">
        <v>1049</v>
      </c>
      <c r="DF6" s="2743" t="s">
        <v>1048</v>
      </c>
      <c r="DG6" s="2672" t="s">
        <v>1</v>
      </c>
      <c r="DH6" s="2672"/>
      <c r="DI6" s="2672" t="s">
        <v>229</v>
      </c>
      <c r="DJ6" s="2672"/>
      <c r="DK6" s="51"/>
      <c r="DL6" s="51"/>
      <c r="DM6" s="51"/>
      <c r="DN6" s="51"/>
      <c r="DO6" s="426" t="s">
        <v>1</v>
      </c>
      <c r="DQ6" s="426" t="s">
        <v>230</v>
      </c>
      <c r="DT6" s="2741" t="s">
        <v>670</v>
      </c>
      <c r="DU6" s="2672" t="s">
        <v>1</v>
      </c>
      <c r="DV6" s="2672"/>
      <c r="DW6" s="2672" t="s">
        <v>229</v>
      </c>
      <c r="DX6" s="2672"/>
      <c r="DY6" s="51"/>
      <c r="DZ6" s="51"/>
      <c r="EA6" s="51"/>
      <c r="EB6" s="51"/>
      <c r="EC6" s="426" t="s">
        <v>1</v>
      </c>
      <c r="EE6" s="426" t="s">
        <v>230</v>
      </c>
      <c r="EG6" s="601"/>
      <c r="EH6" s="465"/>
      <c r="EI6" s="604" t="s">
        <v>642</v>
      </c>
      <c r="EJ6" s="605"/>
      <c r="EK6" s="606" t="s">
        <v>644</v>
      </c>
      <c r="EL6" s="607"/>
      <c r="EM6" s="426" t="s">
        <v>368</v>
      </c>
      <c r="ER6" s="2728"/>
      <c r="ES6" s="2729"/>
      <c r="EU6" s="2720"/>
      <c r="EW6" s="427"/>
      <c r="EX6"/>
    </row>
    <row r="7" spans="1:154" ht="24" customHeight="1" thickBot="1">
      <c r="B7" s="2706"/>
      <c r="C7" s="2647"/>
      <c r="D7" s="2708"/>
      <c r="E7" s="2708"/>
      <c r="F7" s="2708"/>
      <c r="G7" s="2710"/>
      <c r="H7" s="2708"/>
      <c r="I7" s="1685" t="str">
        <f>IF(I6=BG8,"Suggested Systems","Select Systems")</f>
        <v>Suggested Systems</v>
      </c>
      <c r="J7" s="2792"/>
      <c r="K7" s="2790"/>
      <c r="L7" s="722" t="str">
        <f>CO4</f>
        <v>Bu/m</v>
      </c>
      <c r="M7" s="690" t="str">
        <f>CP4</f>
        <v>Achieved Bu's</v>
      </c>
      <c r="N7" s="722" t="str">
        <f>CO4</f>
        <v>Bu/m</v>
      </c>
      <c r="O7" s="723" t="str">
        <f>CP4</f>
        <v>Achieved Bu's</v>
      </c>
      <c r="P7" s="137"/>
      <c r="Q7" s="2642"/>
      <c r="R7" s="451">
        <v>1</v>
      </c>
      <c r="T7" s="2640"/>
      <c r="U7" s="2640"/>
      <c r="W7" s="451">
        <v>0</v>
      </c>
      <c r="Z7" s="429" t="s">
        <v>269</v>
      </c>
      <c r="AB7" s="2625"/>
      <c r="AD7" s="2634">
        <f ca="1">$L$4</f>
        <v>100</v>
      </c>
      <c r="AE7" s="2635"/>
      <c r="AF7" s="2628">
        <f ca="1">$N$4</f>
        <v>100</v>
      </c>
      <c r="AG7" s="2629"/>
      <c r="AJ7" s="1458"/>
      <c r="AK7" s="1458"/>
      <c r="AL7" s="1457"/>
      <c r="AM7" s="1459"/>
      <c r="AN7" s="1459"/>
      <c r="AO7" s="1459"/>
      <c r="AP7" s="1457"/>
      <c r="AQ7" s="1457"/>
      <c r="AR7" s="1457"/>
      <c r="AS7" s="1460"/>
      <c r="AT7" s="1460"/>
      <c r="AU7" s="1460"/>
      <c r="BD7" s="643"/>
      <c r="BF7" s="2842"/>
      <c r="BG7" s="2724" t="s">
        <v>920</v>
      </c>
      <c r="BH7" s="2725"/>
      <c r="BI7" s="759"/>
      <c r="BJ7" s="915" t="s">
        <v>863</v>
      </c>
      <c r="BK7" s="862" t="s">
        <v>49</v>
      </c>
      <c r="BL7" s="973" t="s">
        <v>37</v>
      </c>
      <c r="BM7" s="52" t="s">
        <v>41</v>
      </c>
      <c r="BN7" s="52" t="s">
        <v>40</v>
      </c>
      <c r="BO7" s="52" t="s">
        <v>42</v>
      </c>
      <c r="BP7" s="52" t="s">
        <v>43</v>
      </c>
      <c r="BR7" s="450" t="s">
        <v>263</v>
      </c>
      <c r="BS7" s="450" t="s">
        <v>264</v>
      </c>
      <c r="BT7" s="450" t="s">
        <v>324</v>
      </c>
      <c r="BU7" s="450" t="s">
        <v>268</v>
      </c>
      <c r="BV7" s="2732"/>
      <c r="BW7" s="2733"/>
      <c r="CH7" s="52" t="s">
        <v>1</v>
      </c>
      <c r="CI7" s="52" t="s">
        <v>236</v>
      </c>
      <c r="CJ7" s="759"/>
      <c r="CK7" s="188"/>
      <c r="CL7" s="2676"/>
      <c r="CN7" s="2722"/>
      <c r="CO7" s="2723" t="s">
        <v>249</v>
      </c>
      <c r="CR7" s="52" t="s">
        <v>226</v>
      </c>
      <c r="CS7" s="956" t="s">
        <v>227</v>
      </c>
      <c r="CT7" s="52" t="s">
        <v>228</v>
      </c>
      <c r="CU7" s="956" t="s">
        <v>227</v>
      </c>
      <c r="CV7" s="52" t="s">
        <v>228</v>
      </c>
      <c r="CW7" s="52" t="s">
        <v>253</v>
      </c>
      <c r="CX7" s="52" t="s">
        <v>1</v>
      </c>
      <c r="CY7" s="52" t="s">
        <v>254</v>
      </c>
      <c r="CZ7" s="52" t="s">
        <v>230</v>
      </c>
      <c r="DA7" s="52" t="s">
        <v>255</v>
      </c>
      <c r="DB7" s="52" t="s">
        <v>256</v>
      </c>
      <c r="DC7" s="2734"/>
      <c r="DD7" s="602" t="s">
        <v>324</v>
      </c>
      <c r="DF7" s="2743"/>
      <c r="DG7" s="956" t="s">
        <v>227</v>
      </c>
      <c r="DH7" s="52" t="s">
        <v>228</v>
      </c>
      <c r="DI7" s="956" t="s">
        <v>227</v>
      </c>
      <c r="DJ7" s="52" t="s">
        <v>228</v>
      </c>
      <c r="DK7" s="51"/>
      <c r="DL7" s="51" t="s">
        <v>1</v>
      </c>
      <c r="DM7" s="51"/>
      <c r="DN7" s="51" t="s">
        <v>230</v>
      </c>
      <c r="DO7" s="51" t="s">
        <v>251</v>
      </c>
      <c r="DP7" s="51" t="s">
        <v>252</v>
      </c>
      <c r="DQ7" s="51" t="s">
        <v>251</v>
      </c>
      <c r="DR7" s="51" t="s">
        <v>252</v>
      </c>
      <c r="DT7" s="2742"/>
      <c r="DU7" s="956" t="s">
        <v>227</v>
      </c>
      <c r="DV7" s="52" t="s">
        <v>228</v>
      </c>
      <c r="DW7" s="956" t="s">
        <v>227</v>
      </c>
      <c r="DX7" s="52" t="s">
        <v>228</v>
      </c>
      <c r="DY7" s="51"/>
      <c r="DZ7" s="51" t="s">
        <v>1</v>
      </c>
      <c r="EA7" s="51"/>
      <c r="EB7" s="51" t="s">
        <v>230</v>
      </c>
      <c r="EC7" s="51" t="s">
        <v>251</v>
      </c>
      <c r="ED7" s="51" t="s">
        <v>252</v>
      </c>
      <c r="EE7" s="51" t="s">
        <v>251</v>
      </c>
      <c r="EF7" s="51" t="s">
        <v>252</v>
      </c>
      <c r="EG7" s="433"/>
      <c r="EH7" s="602"/>
      <c r="EI7" s="608" t="s">
        <v>1</v>
      </c>
      <c r="EJ7" s="609" t="s">
        <v>643</v>
      </c>
      <c r="EK7" s="610" t="s">
        <v>1</v>
      </c>
      <c r="EL7" s="609" t="s">
        <v>230</v>
      </c>
      <c r="EM7" s="51" t="s">
        <v>369</v>
      </c>
      <c r="ER7" s="981">
        <f>'Project Demand'!E35</f>
        <v>2.4</v>
      </c>
      <c r="ES7" s="434"/>
      <c r="EU7" s="957"/>
      <c r="EW7" s="427"/>
      <c r="EX7"/>
    </row>
    <row r="8" spans="1:154" ht="17.100000000000001" customHeight="1" thickBot="1">
      <c r="B8" s="689" t="s">
        <v>7</v>
      </c>
      <c r="C8" s="684" t="str">
        <f>IF(OR(F8=0,I8="",I8=" ")," ",$V8)</f>
        <v xml:space="preserve"> </v>
      </c>
      <c r="D8" s="1413" t="str">
        <f>BG$12</f>
        <v>Left External</v>
      </c>
      <c r="E8" s="1360"/>
      <c r="F8" s="201"/>
      <c r="G8" s="1416"/>
      <c r="H8" s="199" t="str">
        <f ca="1">IF(OR(F8=0,Z8="E",Z8="f")," ",'Project Demand'!E$35)</f>
        <v xml:space="preserve"> </v>
      </c>
      <c r="I8" s="631" t="str">
        <f>IF($I$6&lt;&gt;$BG$8," ",AB8)</f>
        <v xml:space="preserve"> </v>
      </c>
      <c r="J8" s="43" t="str">
        <f ca="1">IF(OR(I8=" ",I8="")," ",OFFSET($BO$9,CL8-1,0-4,1,1))</f>
        <v xml:space="preserve"> </v>
      </c>
      <c r="K8" s="55" t="str">
        <f>IF(OR(I8=" ",I8="")," ",IF(OR(Z8="e",Z8="h"),"SD",BG$24))</f>
        <v xml:space="preserve"> </v>
      </c>
      <c r="L8" s="725">
        <f ca="1">CW8</f>
        <v>0</v>
      </c>
      <c r="M8" s="446">
        <f ca="1">CY8</f>
        <v>0</v>
      </c>
      <c r="N8" s="445">
        <f t="shared" ref="N8:O12" ca="1" si="0">DA8</f>
        <v>0</v>
      </c>
      <c r="O8" s="728">
        <f t="shared" ca="1" si="0"/>
        <v>0</v>
      </c>
      <c r="P8" s="138"/>
      <c r="Q8" s="752" t="str">
        <f ca="1">IF(AND(OR(Z8="t",Z8="f"),K8=$BH$11),"No Floor!  Change Floor Type",IF(OR(I8=" ",I8="")," ",IF(F8&lt;OFFSET($BM$9,CL8-1,0,1,1),"check L(m)",DE8&amp;IF(AND(DP8&gt;=CY8,DR8&gt;=DB8),IF(AND(ED8&gt;=DP8,EF8&gt;=DR8),CONCATENATE(DS8," will provide same result"),CONCATENATE(CO8," will provide same result")),IF((DP8&gt;=CY8),CONCATENATE(CO8," provides same result in WIND"),IF((DR8&gt;=DB8),CONCATENATE(CO8," provides same result in EQ"),""))))))&amp;IF(ISERROR(FIND("pile",I8,1)),"",IF(INT(F8)&lt;&gt;F8,"Pile!  Use Whole Numbers Only",""))</f>
        <v xml:space="preserve"> </v>
      </c>
      <c r="R8" s="52">
        <f ca="1">COLUMN(INDIRECT(B8&amp;1))</f>
        <v>13</v>
      </c>
      <c r="S8" s="1372" t="str">
        <f ca="1">SUBSTITUTE(ADDRESS(1,R8,4),"1","")</f>
        <v>M</v>
      </c>
      <c r="T8" s="451">
        <f>IF(AND(ISTEXT(B8),SUBSTITUTE(SUBSTITUTE(SUBSTITUTE(SUBSTITUTE(SUBSTITUTE(SUBSTITUTE(SUBSTITUTE(SUBSTITUTE(SUBSTITUTE(SUBSTITUTE(SUBSTITUTE(SUBSTITUTE(SUBSTITUTE(SUBSTITUTE(SUBSTITUTE(SUBSTITUTE(SUBSTITUTE(SUBSTITUTE(SUBSTITUTE(SUBSTITUTE(SUBSTITUTE(SUBSTITUTE(SUBSTITUTE(SUBSTITUTE(SUBSTITUTE(SUBSTITUTE(LOWER(B8),"a",),"b",),"c",),"d",),"e",),"f",),"g",),"h",),"i",),"j",),"k",),"l",),"m",),"n",),"o",),"p",),"q",),"r",),"s",),"t",),"u",),"v",),"w",),"x",),"y",),"z",)=""),1,2)</f>
        <v>1</v>
      </c>
      <c r="U8" s="1377">
        <v>13</v>
      </c>
      <c r="V8" s="52" t="str">
        <f>IF(AND(B$5=$BF$9,OR(I8=BH$16,I8=BH$17))," ",IF(ISNUMBER(B$8),(CONCATENATE(B$8,".",W8)),(CONCATENATE(B$8,W8))))</f>
        <v>M0</v>
      </c>
      <c r="W8" s="9">
        <f>W7+X8</f>
        <v>0</v>
      </c>
      <c r="X8" s="9">
        <f>IF(AND(B$5=$BF$9,OR($I8=$BH$16,$I8=$BH$17,$I8=" ",$I8="",$F8=0)),0,IF(OR($I8=" ",$I8="",$F8=0),0,1))</f>
        <v>0</v>
      </c>
      <c r="Y8" s="896">
        <f ca="1">IF(AND(M13&gt;0,B8&lt;&gt;B14),1,0)</f>
        <v>0</v>
      </c>
      <c r="Z8" s="52" t="str">
        <f ca="1">IF(I8=" "," ",OFFSET($BM$9,$CL8-1,8,1,1))</f>
        <v xml:space="preserve"> </v>
      </c>
      <c r="AA8" s="51" t="str">
        <f>IF(G8&gt;=45,"WA","")</f>
        <v/>
      </c>
      <c r="AB8" s="1364" t="str">
        <f>IF(F8&lt;&gt;"",IF(OR(D8=$BG$12,D8=$BG$13),IF(E8&lt;&gt;$BG$17,$BF$12,$BF$13),IF(E8&lt;&gt;$BG$17,$BF$12,$BF$13))," ")</f>
        <v xml:space="preserve"> </v>
      </c>
      <c r="AC8" s="1"/>
      <c r="AJ8" s="2185" t="str">
        <f>'Regular and QuickBrace Systems'!C5</f>
        <v>Supplier</v>
      </c>
      <c r="AK8" s="2831" t="str">
        <f>'Regular and QuickBrace Systems'!D5</f>
        <v>Internal or External Usage</v>
      </c>
      <c r="AL8" s="1816" t="str">
        <f>'Regular and QuickBrace Systems'!E5</f>
        <v>Regular Code</v>
      </c>
      <c r="AM8" s="2836" t="str">
        <f>'Regular and QuickBrace Systems'!F5</f>
        <v xml:space="preserve"> Performance</v>
      </c>
      <c r="AN8" s="2836"/>
      <c r="AO8" s="2837"/>
      <c r="AP8" s="1592" t="str">
        <f>'Regular and QuickBrace Systems'!O5</f>
        <v xml:space="preserve"> </v>
      </c>
      <c r="AQ8" s="2652" t="str">
        <f>'Regular and QuickBrace Systems'!I5</f>
        <v>Fixing Method</v>
      </c>
      <c r="AR8" s="2653"/>
      <c r="AS8" s="1597" t="str">
        <f>'Regular and QuickBrace Systems'!K5</f>
        <v>Panel Hold Downs?</v>
      </c>
      <c r="AT8" s="1152"/>
      <c r="AU8" s="1456" t="str">
        <f>'Regular and QuickBrace Systems'!M5</f>
        <v xml:space="preserve">Lining Requirements </v>
      </c>
      <c r="AW8" s="2668" t="str">
        <f>'Regular and QuickBrace Systems'!O5</f>
        <v xml:space="preserve"> </v>
      </c>
      <c r="AX8" s="2669"/>
      <c r="BD8" s="641"/>
      <c r="BE8" s="457" t="s">
        <v>1069</v>
      </c>
      <c r="BF8" s="1379"/>
      <c r="BG8" s="430" t="s">
        <v>1107</v>
      </c>
      <c r="BH8" s="51" t="s">
        <v>1108</v>
      </c>
      <c r="BI8" s="759"/>
      <c r="BJ8" s="896"/>
      <c r="BK8" s="51"/>
      <c r="BL8" s="51"/>
      <c r="BM8" s="966" t="s">
        <v>8</v>
      </c>
      <c r="CJ8" s="759"/>
      <c r="CK8" s="188"/>
      <c r="CL8" s="978">
        <f>VLOOKUP(I8,Prodlink,2,0)</f>
        <v>0</v>
      </c>
      <c r="CN8" s="497">
        <f ca="1">VLOOKUP(CO8,Prodlink,2,0)</f>
        <v>0</v>
      </c>
      <c r="CO8" s="497">
        <f ca="1">OFFSET($CH$9,CL8-1,-15,1,1)</f>
        <v>0</v>
      </c>
      <c r="CQ8" s="51">
        <v>0</v>
      </c>
      <c r="CR8" s="51">
        <f>IF(K8=$BH$12,$BH$23,IF(K8=$BH$13,$BH$24,10000))</f>
        <v>10000</v>
      </c>
      <c r="CS8" s="51">
        <f ca="1">IF(F8&lt;OFFSET($BM$9,CL8-1,0,1,1),0,IF(F8&lt;OFFSET($BN$9,CL8-1,0,1,1),((F8-OFFSET($BM$9,CL8-1,0,1,1))*OFFSET($CH$9,CL8-1,0,1,1))+OFFSET($BO$9,CL8-1,CQ8,1,1),IF(F8&lt;OFFSET($BN$9,CL8+0,0,1,1),((F8-OFFSET($BM$9,CL8+0,0,1,1))*OFFSET($CH$9,CL8+0,0,1,1))+OFFSET($BO$9,CL8+0,CQ8,1,1),IF(F8&lt;OFFSET($BN$9,CL8+1,0,1,1),((F8-OFFSET($BM$9,CL8+1,0,1,1))*OFFSET($CH$9,CL8+1,0,1,1))+OFFSET($BO$9,CL8+1,CQ8,1,1),IF(F8&lt;OFFSET($BN$9,CL8+2,0,1,1),((F8-OFFSET($BM$9,CL8+2,0,1,1))*OFFSET($CH$9,CL8+2,0,1,1))+OFFSET($BO$9,CL8+2,CQ8,1,1),IF(F8&lt;OFFSET($BN$9,CL8+3,0,1,1),((F8-OFFSET($BM$9,CL8+3,0,1,1))*OFFSET($CH$9,CL8+3,0,1,1))+OFFSET($BO$9,CL8+3,CQ8,1,1),0))))))</f>
        <v>0</v>
      </c>
      <c r="CT8" s="51">
        <f ca="1">IF($F8&lt;OFFSET($BM$9,$CL8-1,0,1,1),0,IF($F8&lt;OFFSET($BN$9,$CL8-1,0,1,1),IF(AND($H8&gt;2.4,Z8&lt;&gt;"e",Z8&lt;&gt;"f"),CX8*2.4/$H8,CX8),IF($F8&lt;OFFSET($BN$9,$CL8+0,0,1,1),IF(AND($H8&gt;2.4,Z8&lt;&gt;"e",Z8&lt;&gt;"f"),CX8*2.4/$H8,CX8),IF($F8&lt;OFFSET($BN$9,$CL8+1,0,1,1),IF(AND($H8&gt;2.4,Z8&lt;&gt;"e",Z8&lt;&gt;"f"),CX8*2.4/$H8,CX8),IF($F8&lt;OFFSET($BN$9,CL8+2,0,1,1),IF(AND($H8&gt;2.4,Z8&lt;&gt;"e",Z8&lt;&gt;"f"),CX8*2.4/$H8,CX8),IF($F8&lt;OFFSET($BN$9,CL8+3,0,1,1),IF(AND($H8&gt;2.4,Z8&lt;&gt;"e",Z8&lt;&gt;"f"),CX8*2.4/$H8,CX8),0)))))*COS(RADIANS($G8)))</f>
        <v>0</v>
      </c>
      <c r="CU8" s="51">
        <f ca="1">IF(F8&lt;OFFSET($BM$9,CL8-1,0,1,1),0,IF(F8&lt;OFFSET($BN$9,CL8-1,0,1,1),((F8-OFFSET($BM$9,CL8-1,0,1,1))*OFFSET($CI$9,CL8-1,0,1,1))+OFFSET($BP$9,CL8-1,CQ8,1,1),IF(F8&lt;OFFSET($BN$9,CL8+0,0,1,1),((F8-OFFSET($BM$9,CL8+0,0,1,1))*OFFSET($CI$9,CL8+0,0,1,1))+OFFSET($BP$9,CL8+0,CQ8,1,1),IF(F8&lt;OFFSET($BN$9,CL8+1,0,1,1),((F8-OFFSET($BM$9,CL8+1,0,1,1))*OFFSET($CI$9,CL8+1,0,1,1))+OFFSET($BP$9,CL8+1,CQ8,1,1),IF(F8&lt;OFFSET($BN$9,CL8+2,0,1,1),((F8-OFFSET($BM$9,CL8+2,0,1,1))*OFFSET($CI$9,CL8+2,0,1,1))+OFFSET($BP$9,CL8+2,CQ8,1,1),IF(F8&lt;OFFSET($BN$9,CL8+3,0,1,1),((F8-OFFSET($BM$9,CL8+3,0,1,1))*OFFSET($CI$9,CL8+3,0,1,1))+OFFSET($BP$9,CL8+3,CQ8,1,1),0))))))</f>
        <v>0</v>
      </c>
      <c r="CV8" s="51">
        <f ca="1">IF($F8&lt;OFFSET($BM$9,$CL8-1,0,1,1),0,IF($F8&lt;OFFSET($BN$9,$CL8-1,0,1,1),IF(AND($H8&gt;2.4,Z8&lt;&gt;"e",Z8&lt;&gt;"f"),CZ8*2.4/$H8,CZ8),IF($F8&lt;OFFSET($BN$9,$CL8+0,0,1,1),IF(AND($H8&gt;2.4,Z8&lt;&gt;"e",Z8&lt;&gt;"f"),CZ8*2.4/$H8,CZ8),IF($F8&lt;OFFSET($BN$9,$CL8+1,0,1,1),IF(AND($H8&gt;2.4,Z8&lt;&gt;"e",Z8&lt;&gt;"f"),CZ8*2.4/$H8,CZ8),IF($F8&lt;OFFSET($BN$9,$CL8+2,0,1,1),IF(AND($H8&gt;2.4,Z8&lt;&gt;"e",Z8&lt;&gt;"f"),CZ8*2.4/$H8,CZ8),IF($F8&lt;OFFSET($BN$9,$CL8+3,0,1,1),IF(AND($H8&gt;2.4,Z8&lt;&gt;"e",Z8&lt;&gt;"f"),CZ8*2.4/$H8,CZ8),0)))))*COS(RADIANS($G8)))</f>
        <v>0</v>
      </c>
      <c r="CW8" s="51">
        <f ca="1">IF(CT8&gt;CR8,CR8,CT8)</f>
        <v>0</v>
      </c>
      <c r="CX8" s="51">
        <f ca="1">IF(CS8&gt;$CR8,$CR8,CS8)</f>
        <v>0</v>
      </c>
      <c r="CY8" s="51">
        <f ca="1">CW8*F8</f>
        <v>0</v>
      </c>
      <c r="CZ8" s="51">
        <f ca="1">IF($CU8&gt;$CR8,$CR8,$CU8)</f>
        <v>0</v>
      </c>
      <c r="DA8" s="51">
        <f ca="1">IF(CV8&gt;CR8,CR8,CV8)</f>
        <v>0</v>
      </c>
      <c r="DB8" s="51">
        <f ca="1">DA8*F8</f>
        <v>0</v>
      </c>
      <c r="DC8" s="993">
        <v>2</v>
      </c>
      <c r="DD8" s="758" t="str">
        <f>IF(OR(D8=BG$12,D8=BG$13),"External",IF(D8=BG$14,"Internal"," "))</f>
        <v>External</v>
      </c>
      <c r="DE8" s="51" t="str">
        <f ca="1">IF(AND(OFFSET($CH$9,CL8-1,-14,1,1)="I",DD8="External"),BE$66,IF(AND(OFFSET($CH$9,CL8-1,-14,1,1)="M",DD8="Internal"),BE$65,IF(AND(OFFSET($CH$9,CL8-1,-14,1,1)="M",DD8=" "),BE$64,IF(AND(OFFSET($CH$9,CL8-1,-14,1,1)="E",DD8="Internal"),BE$62,IF(AND(OFFSET($CH$9,CL8-1,-14,1,1)="E",DD8=" "),BE$61,IF(AND(DF8="Double",E8=$BG$16),BE$67,""))))))</f>
        <v/>
      </c>
      <c r="DF8" s="52" t="str">
        <f ca="1">IF(I8=" "," ",OFFSET($BM$9,$CL8-1,11,1,1))</f>
        <v xml:space="preserve"> </v>
      </c>
      <c r="DG8" s="51">
        <f ca="1">IF(F8&lt;OFFSET($BM$9,CN8-1,0,1,1),0,IF(F8&lt;OFFSET($BN$9,CN8-1,0,1,1),((F8-OFFSET($BM$9,CN8-1,0,1,1))*OFFSET($CH$9,CN8-1,0,1,1))+OFFSET($BO$9,CN8-1,CQ8,1,1),IF(F8&lt;OFFSET($BN$9,CN8+0,0,1,1),((F8-OFFSET($BM$9,CN8+0,0,1,1))*OFFSET($CH$9,CN8+0,0,1,1))+OFFSET($BO$9,CN8+0,CQ8,1,1),IF(F8&lt;OFFSET($BN$9,CN8+1,0,1,1),((F8-OFFSET($BM$9,CN8+1,0,1,1))*OFFSET($CH$9,CN8+1,0,1,1))+OFFSET($BO$9,CN8+1,CQ8,1,1),IF(F8&lt;OFFSET($BN$9,CN8+2,0,1,1),((F8-OFFSET($BM$9,CN8+2,0,1,1))*OFFSET($CH$9,CN8+2,0,1,1))+OFFSET($BO$9,CN8+2,CQ8,1,1),IF(F8&lt;OFFSET($BN$9,CN8+3,0,1,1),((F8-OFFSET($BM$9,CN8+3,0,1,1))*OFFSET($CH$9,CN8+3,0,1,1))+OFFSET($BO$9,CN8+3,CQ8,1,1),0))))))</f>
        <v>0</v>
      </c>
      <c r="DH8" s="51">
        <f ca="1">IF($F8&lt;OFFSET($BM$9,$CN8-1,0,1,1),0,IF($F8&lt;OFFSET($BN$9,$CN8-1,0,1,1),IF(AND($H8&gt;2.4,Z8&lt;&gt;"e",Z8&lt;&gt;"f"),DL8*2.4/$H8,DL8),IF($F8&lt;OFFSET($BN$9,$CN8+0,0,1,1),IF(AND($H8&gt;2.4,Z8&lt;&gt;"e",Z8&lt;&gt;"f"),DL8*2.4/$H8,DL8),IF($F8&lt;OFFSET($BN$9,$CN8+1,0,1,1),IF(AND($H8&gt;2.4,Z8&lt;&gt;"e",Z8&lt;&gt;"f"),DL8*2.4/$H8,DL8),IF($F8&lt;OFFSET($BN$9,$CN8+2,0,1,1),IF(AND($H8&gt;2.4,Z8&lt;&gt;"e",Z8&lt;&gt;"f"),DL8*2.4/$H8,DL8),IF($F8&lt;OFFSET($BN$9,$CN8+3,0,1,1),IF(AND($H8&gt;2.4,Z8&lt;&gt;"e",Z8&lt;&gt;"f"),DL8*2.4/$H8,DL8),0)))))*COS(RADIANS($G8)))</f>
        <v>0</v>
      </c>
      <c r="DI8" s="51">
        <f ca="1">IF(F8&lt;OFFSET($BM$9,CN8-1,0,1,1),0,IF(F8&lt;OFFSET($BN$9,CN8-1,0,1,1),((F8-OFFSET($BM$9,CN8-1,0,1,1))*OFFSET($CI$9,CN8-1,0,1,1))+OFFSET($BP$9,CN8-1,CQ8,1,1),IF(F8&lt;OFFSET($BN$9,CN8+0,0,1,1),((F8-OFFSET($BM$9,CN8+0,0,1,1))*OFFSET($CI$9,CN8+0,0,1,1))+OFFSET($BP$9,CN8+0,CQ8,1,1),IF(F8&lt;OFFSET($BN$9,CN8+1,0,1,1),((F8-OFFSET($BM$9,CN8+1,0,1,1))*OFFSET($CI$9,CN8+1,0,1,1))+OFFSET($BP$9,CN8+1,CQ8,1,1),IF(F8&lt;OFFSET($BN$9,CN8+2,0,1,1),((F8-OFFSET($BM$9,CN8+2,0,1,1))*OFFSET($CI$9,CN8+2,0,1,1))+OFFSET($BP$9,CN8+2,CQ8,1,1),IF(F8&lt;OFFSET($BN$9,CN8+3,0,1,1),((F8-OFFSET($BM$9,CN8+3,0,1,1))*OFFSET($CI$9,CN8+3,0,1,1))+OFFSET($BP$9,CN8+3,CQ8,1,1),0))))))</f>
        <v>0</v>
      </c>
      <c r="DJ8" s="51">
        <f ca="1">IF($F8&lt;OFFSET($BM$9,$CN8-1,0,1,1),0,IF($F8&lt;OFFSET($BN$9,$CN8-1,0,1,1),IF(AND($H8&gt;2.4,Z8&lt;&gt;"e",Z8&lt;&gt;"f"),DN8*2.4/$H8,DN8),IF($F8&lt;OFFSET($BN$9,$CN8+0,0,1,1),IF(AND($H8&gt;2.4,Z8&lt;&gt;"e",Z8&lt;&gt;"f"),DN8*2.4/$H8,DN8),IF($F8&lt;OFFSET($BN$9,$CN8+1,0,1,1),IF(AND($H8&gt;2.4,Z8&lt;&gt;"e",Z8&lt;&gt;"f"),DN8*2.4/$H8,DN8),IF($F8&lt;OFFSET($BN$9,$CN8+2,0,1,1),IF(AND($H8&gt;2.4,Z8&lt;&gt;"e",Z8&lt;&gt;"f"),DN8*2.4/$H8,DN8),IF($F8&lt;OFFSET($BN$9,$CN8+3,0,1,1),IF(AND($H8&gt;2.4,Z8&lt;&gt;"e",Z8&lt;&gt;"f"),DN8*2.4/$H8,DN8),0)))))*COS(RADIANS($G8)))</f>
        <v>0</v>
      </c>
      <c r="DK8" s="51"/>
      <c r="DL8" s="51">
        <f ca="1">IF(DG8&gt;$CR8,$CR8,DG8)</f>
        <v>0</v>
      </c>
      <c r="DM8" s="51"/>
      <c r="DN8" s="51">
        <f ca="1">IF(DI8&gt;$CR8,$CR8,DI8)</f>
        <v>0</v>
      </c>
      <c r="DO8" s="435">
        <f ca="1">IF(DH8&gt;$CR8,$CR8,DH8)</f>
        <v>0</v>
      </c>
      <c r="DP8" s="435">
        <f ca="1">DO8*F8</f>
        <v>0</v>
      </c>
      <c r="DQ8" s="436">
        <f ca="1">IF(DJ8&gt;$CR8,$CR8,DJ8)</f>
        <v>0</v>
      </c>
      <c r="DR8" s="437">
        <f ca="1">DQ8*F8</f>
        <v>0</v>
      </c>
      <c r="DS8" s="426">
        <f ca="1">OFFSET($CH$9,CL8-1,-15,1,1)</f>
        <v>0</v>
      </c>
      <c r="DT8" s="451">
        <f t="shared" ref="DT8:DT39" ca="1" si="1">VLOOKUP(DS8,Prodlink,2,0)</f>
        <v>0</v>
      </c>
      <c r="DU8" s="188">
        <f ca="1">IF(F8&lt;OFFSET($BM$9,DT8-1,0,1,1),0,IF(F8&lt;OFFSET($BN$9,DT8-1,0,1,1),((F8-OFFSET($BM$9,DT8-1,0,1,1))*OFFSET($CH$9,DT8-1,0,1,1))+OFFSET($BO$9,DT8-1,CQ8,1,1),IF(F8&lt;OFFSET($BN$9,DT8+0,0,1,1),((F8-OFFSET($BM$9,DT8+0,0,1,1))*OFFSET($CH$9,DT8+0,0,1,1))+OFFSET($BO$9,DT8+0,CQ8,1,1),IF(F8&lt;OFFSET($BN$9,DT8+1,0,1,1),((F8-OFFSET($BM$9,DT8+1,0,1,1))*OFFSET($CH$9,DT8+1,0,1,1))+OFFSET($BO$9,DT8+1,CQ8,1,1),IF(F8&lt;OFFSET($BN$9,DT8+2,0,1,1),((F8-OFFSET($BM$9,DT8+2,0,1,1))*OFFSET($CH$9,DT8+2,0,1,1))+OFFSET($BO$9,DT8+2,CQ8,1,1),IF(F8&lt;OFFSET($BN$9,DT8+3,0,1,1),((F8-OFFSET($BM$9,DT8+3,0,1,1))*OFFSET($CH$9,DT8+3,0,1,1))+OFFSET($BO$9,DT8+3,CQ8,1,1),0))))))</f>
        <v>0</v>
      </c>
      <c r="DV8" s="51">
        <f ca="1">IF($F8&lt;OFFSET($BM$9,$DT8-1,0,1,1),0,IF($F8&lt;OFFSET($BN$9,$DT8-1,0,1,1),IF(AND($H8&gt;2.4,Z8&lt;&gt;"e",Z8&lt;&gt;"f"),DZ8*2.4/$H8,DZ8),IF($F8&lt;OFFSET($BN$9,$DT8+0,0,1,1),IF(AND($H8&gt;2.4,Z8&lt;&gt;"e",Z8&lt;&gt;"f"),DZ8*2.4/$H8,DZ8),IF($F8&lt;OFFSET($BN$9,$DT8+1,0,1,1),IF(AND($H8&gt;2.4,Z8&lt;&gt;"e",Z8&lt;&gt;"f"),DZ8*2.4/$H8,DZ8),IF($F8&lt;OFFSET($BN$9,$DT8+2,0,1,1),IF(AND($H8&gt;2.4,Z8&lt;&gt;"e",Z8&lt;&gt;"f"),DZ8*2.4/$H8,DZ8),IF($F8&lt;OFFSET($BN$9,$DT8+3,0,1,1),IF(AND($H8&gt;2.4,Z8&lt;&gt;"e",Z8&lt;&gt;"f"),DZ8*2.4/$H8,DZ8),0)))))*COS(RADIANS($G8)))</f>
        <v>0</v>
      </c>
      <c r="DW8" s="188">
        <f ca="1">IF(F8&lt;OFFSET($BM$9,DT8-1,0,1,1),0,IF(F8&lt;OFFSET($BN$9,DT8-1,0,1,1),((F8-OFFSET($BM$9,DT8-1,0,1,1))*OFFSET($CI$9,DT8-1,0,1,1))+OFFSET($BP$9,DT8-1,CQ8,1,1),IF(F8&lt;OFFSET($BN$9,DT8+0,0,1,1),((F8-OFFSET($BM$9,DT8+0,0,1,1))*OFFSET($CI$9,DT8+0,0,1,1))+OFFSET($BP$9,DT8+0,CQ8,1,1),IF(F8&lt;OFFSET($BN$9,DT8+1,0,1,1),((F8-OFFSET($BM$9,DT8+1,0,1,1))*OFFSET($CI$9,DT8+1,0,1,1))+OFFSET($BP$9,DT8+1,CQ8,1,1),IF(F8&lt;OFFSET($BN$9,DT8+2,0,1,1),((F8-OFFSET($BM$9,DT8+2,0,1,1))*OFFSET($CI$9,DT8+2,0,1,1))+OFFSET($BP$9,DT8+2,CQ8,1,1),IF(F8&lt;OFFSET($BN$9,DT8+3,0,1,1),((F8-OFFSET($BM$9,DT8+3,0,1,1))*OFFSET($CI$9,DT8+3,0,1,1))+OFFSET($BP$9,DT8+3,CQ8,1,1),0))))))</f>
        <v>0</v>
      </c>
      <c r="DX8" s="51">
        <f ca="1">IF($F8&lt;OFFSET($BM$9,$DT8-1,0,1,1),0,IF($F8&lt;OFFSET($BN$9,$DT8-1,0,1,1),IF(AND($H8&gt;2.4,Z8&lt;&gt;"e",Z8&lt;&gt;"f"),EB8*2.4/$H8,EB8),IF($F8&lt;OFFSET($BN$9,$DT8+0,0,1,1),IF(AND($H8&gt;2.4,Z8&lt;&gt;"e",Z8&lt;&gt;"f"),EB8*2.4/$H8,EB8),IF($F8&lt;OFFSET($BN$9,$DT8+1,0,1,1),IF(AND($H8&gt;2.4,Z8&lt;&gt;"e",Z8&lt;&gt;"f"),EB8*2.4/$H8,EB8),IF($F8&lt;OFFSET($BN$9,$DT8+2,0,1,1),IF(AND($H8&gt;2.4,Z8&lt;&gt;"e",Z8&lt;&gt;"f"),EB8*2.4/$H8,EB8),IF($F8&lt;OFFSET($BN$9,$DT8+3,0,1,1),IF(AND($H8&gt;2.4,Z8&lt;&gt;"e",Z8&lt;&gt;"f"),EB8*2.4/$H8,EB8),0)))))*COS(RADIANS($G8)))</f>
        <v>0</v>
      </c>
      <c r="DY8" s="188"/>
      <c r="DZ8" s="188">
        <f ca="1">IF(DU8&gt;$CR8,$CR8,DU8)</f>
        <v>0</v>
      </c>
      <c r="EA8" s="188"/>
      <c r="EB8" s="188">
        <f ca="1">IF(DW8&gt;$CR8,$CR8,DW8)</f>
        <v>0</v>
      </c>
      <c r="EC8" s="435">
        <f ca="1">IF(DV8&gt;$CR8,$CR8,DV8)</f>
        <v>0</v>
      </c>
      <c r="ED8" s="435">
        <f ca="1">EC8*F8</f>
        <v>0</v>
      </c>
      <c r="EE8" s="436">
        <f ca="1">IF(DX8&gt;$CR8,$CR8,DX8)</f>
        <v>0</v>
      </c>
      <c r="EF8" s="437">
        <f ca="1">EE8*F8</f>
        <v>0</v>
      </c>
      <c r="EG8" s="613" t="str">
        <f>IF(D8=BG$12,BG$12,"")</f>
        <v>Left External</v>
      </c>
      <c r="EH8" s="614" t="str">
        <f>IF(D8=BG$13,BG$13,"")</f>
        <v/>
      </c>
      <c r="EI8" s="611">
        <f ca="1">IF(EG8=BG$12,M8,0)</f>
        <v>0</v>
      </c>
      <c r="EJ8" s="451">
        <f ca="1">IF(EG8=BG$12,O8,0)</f>
        <v>0</v>
      </c>
      <c r="EK8" s="451">
        <f>IF(EH8=BG$13,M8,0)</f>
        <v>0</v>
      </c>
      <c r="EL8" s="612">
        <f>IF(EH8=BG$13,O8,0)</f>
        <v>0</v>
      </c>
      <c r="EM8" s="426" t="str">
        <f ca="1">IF(AND(Z8&lt;&gt;"t",Z8&lt;&gt;"f"),"",IF(AND(EN8=$BH$13,K8=$BH$12),"NotOpt",IF(K8&lt;&gt;EN8,"Error","")))</f>
        <v/>
      </c>
      <c r="EN8" s="491" t="str">
        <f>IF(AND($BH$28=1,$BG$28=1),$BH$13,$BH$12)</f>
        <v>120 BU's</v>
      </c>
      <c r="EO8" s="426" t="str">
        <f>K8</f>
        <v xml:space="preserve"> </v>
      </c>
      <c r="EP8" s="497">
        <v>1</v>
      </c>
      <c r="EQ8" s="430" t="str">
        <f ca="1">IF(EP8=1," ",OFFSET(BF$15,EP8-2,0,1,1))</f>
        <v xml:space="preserve"> </v>
      </c>
      <c r="ER8" s="439" t="str">
        <f ca="1">IF(H8=0," ",H8)</f>
        <v xml:space="preserve"> </v>
      </c>
      <c r="ES8" s="440" t="str">
        <f ca="1">IF(ER8&lt;&gt;" ",IF(ER8&lt;&gt;ER$7,"Changed",""),"")</f>
        <v/>
      </c>
      <c r="ET8" s="440">
        <f ca="1">IF(ER8&lt;&gt;" ",IF(ER8&lt;&gt;ER$7,1,0),0)</f>
        <v>0</v>
      </c>
      <c r="EU8" s="957" t="str">
        <f ca="1">IF(I8=" "," ",IF(F8&lt;OFFSET($BM$9,CL8-1,0,1,1),1,""))</f>
        <v xml:space="preserve"> </v>
      </c>
      <c r="EW8" s="427"/>
      <c r="EX8"/>
    </row>
    <row r="9" spans="1:154" ht="17.100000000000001" customHeight="1" thickBot="1">
      <c r="B9" s="689" t="s">
        <v>246</v>
      </c>
      <c r="C9" s="684" t="str">
        <f>IF(OR(F9=0,I9="",I9=" ")," ",$V9)</f>
        <v xml:space="preserve"> </v>
      </c>
      <c r="D9" s="1033"/>
      <c r="E9" s="1360"/>
      <c r="F9" s="201"/>
      <c r="G9" s="1416"/>
      <c r="H9" s="199" t="str">
        <f ca="1">IF(OR(F9=0,Z9="E",Z9="f")," ",'Project Demand'!E$35)</f>
        <v xml:space="preserve"> </v>
      </c>
      <c r="I9" s="631" t="str">
        <f>IF($I$6&lt;&gt;$BG$8," ",AB9)</f>
        <v xml:space="preserve"> </v>
      </c>
      <c r="J9" s="44" t="str">
        <f ca="1">IF(OR(I9=" ",I9="")," ",OFFSET($BO$9,CL9-1,0-4,1,1))</f>
        <v xml:space="preserve"> </v>
      </c>
      <c r="K9" s="55" t="str">
        <f>IF(OR(I9=" ",I9="")," ",IF(OR(Z9="e",Z9="h"),"SD",BG$24))</f>
        <v xml:space="preserve"> </v>
      </c>
      <c r="L9" s="725">
        <f ca="1">CW9</f>
        <v>0</v>
      </c>
      <c r="M9" s="726">
        <f ca="1">CY9</f>
        <v>0</v>
      </c>
      <c r="N9" s="445">
        <f t="shared" ca="1" si="0"/>
        <v>0</v>
      </c>
      <c r="O9" s="728">
        <f t="shared" ca="1" si="0"/>
        <v>0</v>
      </c>
      <c r="P9" s="138"/>
      <c r="Q9" s="752" t="str">
        <f ca="1">IF(AND(OR(Z9="t",Z9="f"),K9=$BH$11),"No Floor!  Change Floor Type",IF(OR(I9=" ",I9="")," ",IF(F9&lt;OFFSET($BM$9,CL9-1,0,1,1),"check L(m)",DE9&amp;IF(AND(DP9&gt;=CY9,DR9&gt;=DB9),IF(AND(ED9&gt;=DP9,EF9&gt;=DR9),CONCATENATE(DS9," will provide same result"),CONCATENATE(CO9," will provide same result")),IF((DP9&gt;=CY9),CONCATENATE(CO9," provides same result in WIND"),IF((DR9&gt;=DB9),CONCATENATE(CO9," provides same result in EQ"),""))))))&amp;IF(ISERROR(FIND("pile",I9,1)),"",IF(INT(F9)&lt;&gt;F9,"Pile!  Use Whole Numbers Only",""))</f>
        <v xml:space="preserve"> </v>
      </c>
      <c r="R9" s="52"/>
      <c r="S9" s="1372"/>
      <c r="T9" s="52"/>
      <c r="U9" s="1377"/>
      <c r="V9" s="52" t="str">
        <f>IF(AND(B$5=$BF$9,OR(I9=BH$16,I9=BH$17))," ",IF(ISNUMBER(B$8),(CONCATENATE(B$8,".",W9)),(CONCATENATE(B$8,W9))))</f>
        <v>M0</v>
      </c>
      <c r="W9" s="9">
        <f>W8+X9</f>
        <v>0</v>
      </c>
      <c r="X9" s="9">
        <f>IF(AND(B$5=$BF$9,OR($I9=$BH$16,$I9=$BH$17,$I9=" ",$I9="",$F9=0)),0,IF(OR($I9=" ",$I9="",$F9=0),0,1))</f>
        <v>0</v>
      </c>
      <c r="Y9" s="896"/>
      <c r="Z9" s="52" t="str">
        <f ca="1">IF(I9=" "," ",OFFSET($BM$9,$CL9-1,8,1,1))</f>
        <v xml:space="preserve"> </v>
      </c>
      <c r="AA9" s="51" t="str">
        <f>IF(G9&gt;=45,"WA","")</f>
        <v/>
      </c>
      <c r="AB9" s="1364" t="str">
        <f>IF(F9&lt;&gt;"",IF(OR(D9=$BG$12,D9=$BG$13),IF(E9&lt;&gt;$BG$17,$BF$12,$BF$13),IF(E9&lt;&gt;$BG$17,$BF$12,$BF$13))," ")</f>
        <v xml:space="preserve"> </v>
      </c>
      <c r="AC9" s="1"/>
      <c r="AJ9" s="2185"/>
      <c r="AK9" s="2831"/>
      <c r="AL9" s="2786" t="str">
        <f>'Regular and QuickBrace Systems'!E20</f>
        <v>QuickBrace©  System Number</v>
      </c>
      <c r="AM9" s="2833" t="str">
        <f>'Regular and QuickBrace Systems'!F6</f>
        <v>Min Length (m)</v>
      </c>
      <c r="AN9" s="2251" t="str">
        <f>'Regular and QuickBrace Systems'!G6</f>
        <v>BU's/m   Wind</v>
      </c>
      <c r="AO9" s="2251" t="str">
        <f>'Regular and QuickBrace Systems'!H6</f>
        <v>BU's/m   EQ</v>
      </c>
      <c r="AP9" s="1244"/>
      <c r="AQ9" s="2654" t="str">
        <f>'Regular and QuickBrace Systems'!I20</f>
        <v>Specialised QuickBrace Corner &amp; Perimeter Pattern</v>
      </c>
      <c r="AR9" s="2655"/>
      <c r="AS9" s="2650"/>
      <c r="AT9" s="1152"/>
      <c r="AU9" s="2023" t="str">
        <f>'Regular and QuickBrace Systems'!M6</f>
        <v xml:space="preserve">Elephant Plasterboard       </v>
      </c>
      <c r="AW9" s="2658" t="str">
        <f>'Regular and QuickBrace Systems'!$O$6</f>
        <v>Height Dependant</v>
      </c>
      <c r="AX9" s="2233" t="str">
        <f>'Regular and QuickBrace Systems'!$Q$6</f>
        <v>Foundation Dependant</v>
      </c>
      <c r="BD9" s="2649"/>
      <c r="BE9" s="1380"/>
      <c r="BF9" s="2679" t="s">
        <v>1084</v>
      </c>
      <c r="BG9" s="2679"/>
      <c r="BH9" s="2679"/>
      <c r="BI9" s="759"/>
      <c r="BJ9" s="896">
        <v>1</v>
      </c>
      <c r="BK9" s="119"/>
      <c r="BL9" s="916"/>
      <c r="BM9" s="967">
        <v>0</v>
      </c>
      <c r="BN9" s="966"/>
      <c r="BO9" s="966">
        <v>0</v>
      </c>
      <c r="BP9" s="966"/>
      <c r="BR9" s="450"/>
      <c r="BS9" s="450"/>
      <c r="BT9" s="450"/>
      <c r="BU9" s="450"/>
      <c r="BV9" s="51" t="s">
        <v>8</v>
      </c>
      <c r="CH9" s="966" t="s">
        <v>8</v>
      </c>
      <c r="CI9" s="966"/>
      <c r="CJ9" s="928"/>
      <c r="CK9" s="937"/>
      <c r="CL9" s="979">
        <f>VLOOKUP(I9,Prodlink,2,0)</f>
        <v>0</v>
      </c>
      <c r="CN9" s="497">
        <f ca="1">VLOOKUP(CO9,Prodlink,2,0)</f>
        <v>0</v>
      </c>
      <c r="CO9" s="497">
        <f ca="1">OFFSET($CH$9,CL9-1,-15,1,1)</f>
        <v>0</v>
      </c>
      <c r="CQ9" s="51">
        <v>0</v>
      </c>
      <c r="CR9" s="51">
        <f>IF(K9=$BH$12,$BH$23,IF(K9=$BH$13,$BH$24,10000))</f>
        <v>10000</v>
      </c>
      <c r="CS9" s="51">
        <f ca="1">IF(F9&lt;OFFSET($BM$9,CL9-1,0,1,1),0,IF(F9&lt;OFFSET($BN$9,CL9-1,0,1,1),((F9-OFFSET($BM$9,CL9-1,0,1,1))*OFFSET($CH$9,CL9-1,0,1,1))+OFFSET($BO$9,CL9-1,CQ9,1,1),IF(F9&lt;OFFSET($BN$9,CL9+0,0,1,1),((F9-OFFSET($BM$9,CL9+0,0,1,1))*OFFSET($CH$9,CL9+0,0,1,1))+OFFSET($BO$9,CL9+0,CQ9,1,1),IF(F9&lt;OFFSET($BN$9,CL9+1,0,1,1),((F9-OFFSET($BM$9,CL9+1,0,1,1))*OFFSET($CH$9,CL9+1,0,1,1))+OFFSET($BO$9,CL9+1,CQ9,1,1),IF(F9&lt;OFFSET($BN$9,CL9+2,0,1,1),((F9-OFFSET($BM$9,CL9+2,0,1,1))*OFFSET($CH$9,CL9+2,0,1,1))+OFFSET($BO$9,CL9+2,CQ9,1,1),IF(F9&lt;OFFSET($BN$9,CL9+3,0,1,1),((F9-OFFSET($BM$9,CL9+3,0,1,1))*OFFSET($CH$9,CL9+3,0,1,1))+OFFSET($BO$9,CL9+3,CQ9,1,1),0))))))</f>
        <v>0</v>
      </c>
      <c r="CT9" s="51">
        <f ca="1">IF($F9&lt;OFFSET($BM$9,$CL9-1,0,1,1),0,IF($F9&lt;OFFSET($BN$9,$CL9-1,0,1,1),IF(AND($H9&gt;2.4,Z9&lt;&gt;"e",Z9&lt;&gt;"f"),CX9*2.4/$H9,CX9),IF($F9&lt;OFFSET($BN$9,$CL9+0,0,1,1),IF(AND($H9&gt;2.4,Z9&lt;&gt;"e",Z9&lt;&gt;"f"),CX9*2.4/$H9,CX9),IF($F9&lt;OFFSET($BN$9,$CL9+1,0,1,1),IF(AND($H9&gt;2.4,Z9&lt;&gt;"e",Z9&lt;&gt;"f"),CX9*2.4/$H9,CX9),IF($F9&lt;OFFSET($BN$9,CL9+2,0,1,1),IF(AND($H9&gt;2.4,Z9&lt;&gt;"e",Z9&lt;&gt;"f"),CX9*2.4/$H9,CX9),IF($F9&lt;OFFSET($BN$9,CL9+3,0,1,1),IF(AND($H9&gt;2.4,Z9&lt;&gt;"e",Z9&lt;&gt;"f"),CX9*2.4/$H9,CX9),0)))))*COS(RADIANS($G9)))</f>
        <v>0</v>
      </c>
      <c r="CU9" s="51">
        <f ca="1">IF(F9&lt;OFFSET($BM$9,CL9-1,0,1,1),0,IF(F9&lt;OFFSET($BN$9,CL9-1,0,1,1),((F9-OFFSET($BM$9,CL9-1,0,1,1))*OFFSET($CI$9,CL9-1,0,1,1))+OFFSET($BP$9,CL9-1,CQ9,1,1),IF(F9&lt;OFFSET($BN$9,CL9+0,0,1,1),((F9-OFFSET($BM$9,CL9+0,0,1,1))*OFFSET($CI$9,CL9+0,0,1,1))+OFFSET($BP$9,CL9+0,CQ9,1,1),IF(F9&lt;OFFSET($BN$9,CL9+1,0,1,1),((F9-OFFSET($BM$9,CL9+1,0,1,1))*OFFSET($CI$9,CL9+1,0,1,1))+OFFSET($BP$9,CL9+1,CQ9,1,1),IF(F9&lt;OFFSET($BN$9,CL9+2,0,1,1),((F9-OFFSET($BM$9,CL9+2,0,1,1))*OFFSET($CI$9,CL9+2,0,1,1))+OFFSET($BP$9,CL9+2,CQ9,1,1),IF(F9&lt;OFFSET($BN$9,CL9+3,0,1,1),((F9-OFFSET($BM$9,CL9+3,0,1,1))*OFFSET($CI$9,CL9+3,0,1,1))+OFFSET($BP$9,CL9+3,CQ9,1,1),0))))))</f>
        <v>0</v>
      </c>
      <c r="CV9" s="51">
        <f ca="1">IF($F9&lt;OFFSET($BM$9,$CL9-1,0,1,1),0,IF($F9&lt;OFFSET($BN$9,$CL9-1,0,1,1),IF(AND($H9&gt;2.4,Z9&lt;&gt;"e",Z9&lt;&gt;"f"),CZ9*2.4/$H9,CZ9),IF($F9&lt;OFFSET($BN$9,$CL9+0,0,1,1),IF(AND($H9&gt;2.4,Z9&lt;&gt;"e",Z9&lt;&gt;"f"),CZ9*2.4/$H9,CZ9),IF($F9&lt;OFFSET($BN$9,$CL9+1,0,1,1),IF(AND($H9&gt;2.4,Z9&lt;&gt;"e",Z9&lt;&gt;"f"),CZ9*2.4/$H9,CZ9),IF($F9&lt;OFFSET($BN$9,$CL9+2,0,1,1),IF(AND($H9&gt;2.4,Z9&lt;&gt;"e",Z9&lt;&gt;"f"),CZ9*2.4/$H9,CZ9),IF($F9&lt;OFFSET($BN$9,$CL9+3,0,1,1),IF(AND($H9&gt;2.4,Z9&lt;&gt;"e",Z9&lt;&gt;"f"),CZ9*2.4/$H9,CZ9),0)))))*COS(RADIANS($G9)))</f>
        <v>0</v>
      </c>
      <c r="CW9" s="51">
        <f ca="1">IF(CT9&gt;CR9,CR9,CT9)</f>
        <v>0</v>
      </c>
      <c r="CX9" s="51">
        <f ca="1">IF(CS9&gt;$CR9,$CR9,CS9)</f>
        <v>0</v>
      </c>
      <c r="CY9" s="51">
        <f ca="1">CW9*F9</f>
        <v>0</v>
      </c>
      <c r="CZ9" s="51">
        <f ca="1">IF($CU9&gt;$CR9,$CR9,$CU9)</f>
        <v>0</v>
      </c>
      <c r="DA9" s="51">
        <f ca="1">IF(CV9&gt;CR9,CR9,CV9)</f>
        <v>0</v>
      </c>
      <c r="DB9" s="51">
        <f ca="1">DA9*F9</f>
        <v>0</v>
      </c>
      <c r="DC9" s="993">
        <v>1</v>
      </c>
      <c r="DD9" s="758" t="str">
        <f>IF(OR(D9=BG$12,D9=BG$13),"External",IF(D9=BG$14,"Internal"," "))</f>
        <v xml:space="preserve"> </v>
      </c>
      <c r="DE9" s="51" t="str">
        <f t="shared" ref="DE9:DE72" ca="1" si="2">IF(AND(OFFSET($CH$9,CL9-1,-14,1,1)="I",DD9="External"),BE$66,IF(AND(OFFSET($CH$9,CL9-1,-14,1,1)="M",DD9="Internal"),BE$65,IF(AND(OFFSET($CH$9,CL9-1,-14,1,1)="M",DD9=" "),BE$64,IF(AND(OFFSET($CH$9,CL9-1,-14,1,1)="E",DD9="Internal"),BE$62,IF(AND(OFFSET($CH$9,CL9-1,-14,1,1)="E",DD9=" "),BE$61,IF(AND(DF9="Double",E9=$BG$16),BE$67,""))))))</f>
        <v/>
      </c>
      <c r="DF9" s="52" t="str">
        <f t="shared" ref="DF9:DF72" ca="1" si="3">IF(I9=" "," ",OFFSET($BM$9,$CL9-1,11,1,1))</f>
        <v xml:space="preserve"> </v>
      </c>
      <c r="DG9" s="51">
        <f ca="1">IF(F9&lt;OFFSET($BM$9,CN9-1,0,1,1),0,IF(F9&lt;OFFSET($BN$9,CN9-1,0,1,1),((F9-OFFSET($BM$9,CN9-1,0,1,1))*OFFSET($CH$9,CN9-1,0,1,1))+OFFSET($BO$9,CN9-1,CQ9,1,1),IF(F9&lt;OFFSET($BN$9,CN9+0,0,1,1),((F9-OFFSET($BM$9,CN9+0,0,1,1))*OFFSET($CH$9,CN9+0,0,1,1))+OFFSET($BO$9,CN9+0,CQ9,1,1),IF(F9&lt;OFFSET($BN$9,CN9+1,0,1,1),((F9-OFFSET($BM$9,CN9+1,0,1,1))*OFFSET($CH$9,CN9+1,0,1,1))+OFFSET($BO$9,CN9+1,CQ9,1,1),IF(F9&lt;OFFSET($BN$9,CN9+2,0,1,1),((F9-OFFSET($BM$9,CN9+2,0,1,1))*OFFSET($CH$9,CN9+2,0,1,1))+OFFSET($BO$9,CN9+2,CQ9,1,1),IF(F9&lt;OFFSET($BN$9,CN9+3,0,1,1),((F9-OFFSET($BM$9,CN9+3,0,1,1))*OFFSET($CH$9,CN9+3,0,1,1))+OFFSET($BO$9,CN9+3,CQ9,1,1),0))))))</f>
        <v>0</v>
      </c>
      <c r="DH9" s="51">
        <f ca="1">IF($F9&lt;OFFSET($BM$9,$CN9-1,0,1,1),0,IF($F9&lt;OFFSET($BN$9,$CN9-1,0,1,1),IF(AND($H9&gt;2.4,Z9&lt;&gt;"e",Z9&lt;&gt;"f"),DL9*2.4/$H9,DL9),IF($F9&lt;OFFSET($BN$9,$CN9+0,0,1,1),IF(AND($H9&gt;2.4,Z9&lt;&gt;"e",Z9&lt;&gt;"f"),DL9*2.4/$H9,DL9),IF($F9&lt;OFFSET($BN$9,$CN9+1,0,1,1),IF(AND($H9&gt;2.4,Z9&lt;&gt;"e",Z9&lt;&gt;"f"),DL9*2.4/$H9,DL9),IF($F9&lt;OFFSET($BN$9,$CN9+2,0,1,1),IF(AND($H9&gt;2.4,Z9&lt;&gt;"e",Z9&lt;&gt;"f"),DL9*2.4/$H9,DL9),IF($F9&lt;OFFSET($BN$9,$CN9+3,0,1,1),IF(AND($H9&gt;2.4,Z9&lt;&gt;"e",Z9&lt;&gt;"f"),DL9*2.4/$H9,DL9),0)))))*COS(RADIANS($G9)))</f>
        <v>0</v>
      </c>
      <c r="DI9" s="51">
        <f ca="1">IF(F9&lt;OFFSET($BM$9,CN9-1,0,1,1),0,IF(F9&lt;OFFSET($BN$9,CN9-1,0,1,1),((F9-OFFSET($BM$9,CN9-1,0,1,1))*OFFSET($CI$9,CN9-1,0,1,1))+OFFSET($BP$9,CN9-1,CQ9,1,1),IF(F9&lt;OFFSET($BN$9,CN9+0,0,1,1),((F9-OFFSET($BM$9,CN9+0,0,1,1))*OFFSET($CI$9,CN9+0,0,1,1))+OFFSET($BP$9,CN9+0,CQ9,1,1),IF(F9&lt;OFFSET($BN$9,CN9+1,0,1,1),((F9-OFFSET($BM$9,CN9+1,0,1,1))*OFFSET($CI$9,CN9+1,0,1,1))+OFFSET($BP$9,CN9+1,CQ9,1,1),IF(F9&lt;OFFSET($BN$9,CN9+2,0,1,1),((F9-OFFSET($BM$9,CN9+2,0,1,1))*OFFSET($CI$9,CN9+2,0,1,1))+OFFSET($BP$9,CN9+2,CQ9,1,1),IF(F9&lt;OFFSET($BN$9,CN9+3,0,1,1),((F9-OFFSET($BM$9,CN9+3,0,1,1))*OFFSET($CI$9,CN9+3,0,1,1))+OFFSET($BP$9,CN9+3,CQ9,1,1),0))))))</f>
        <v>0</v>
      </c>
      <c r="DJ9" s="51">
        <f ca="1">IF($F9&lt;OFFSET($BM$9,$CN9-1,0,1,1),0,IF($F9&lt;OFFSET($BN$9,$CN9-1,0,1,1),IF(AND($H9&gt;2.4,Z9&lt;&gt;"e",Z9&lt;&gt;"f"),DN9*2.4/$H9,DN9),IF($F9&lt;OFFSET($BN$9,$CN9+0,0,1,1),IF(AND($H9&gt;2.4,Z9&lt;&gt;"e",Z9&lt;&gt;"f"),DN9*2.4/$H9,DN9),IF($F9&lt;OFFSET($BN$9,$CN9+1,0,1,1),IF(AND($H9&gt;2.4,Z9&lt;&gt;"e",Z9&lt;&gt;"f"),DN9*2.4/$H9,DN9),IF($F9&lt;OFFSET($BN$9,$CN9+2,0,1,1),IF(AND($H9&gt;2.4,Z9&lt;&gt;"e",Z9&lt;&gt;"f"),DN9*2.4/$H9,DN9),IF($F9&lt;OFFSET($BN$9,$CN9+3,0,1,1),IF(AND($H9&gt;2.4,Z9&lt;&gt;"e",Z9&lt;&gt;"f"),DN9*2.4/$H9,DN9),0)))))*COS(RADIANS($G9)))</f>
        <v>0</v>
      </c>
      <c r="DK9" s="51"/>
      <c r="DL9" s="51">
        <f ca="1">IF(DG9&gt;$CR9,$CR9,DG9)</f>
        <v>0</v>
      </c>
      <c r="DM9" s="51"/>
      <c r="DN9" s="51">
        <f ca="1">IF(DI9&gt;$CR9,$CR9,DI9)</f>
        <v>0</v>
      </c>
      <c r="DO9" s="435">
        <f ca="1">IF(DH9&gt;$CR9,$CR9,DH9)</f>
        <v>0</v>
      </c>
      <c r="DP9" s="435">
        <f ca="1">DO9*F9</f>
        <v>0</v>
      </c>
      <c r="DQ9" s="436">
        <f ca="1">IF(DJ9&gt;$CR9,$CR9,DJ9)</f>
        <v>0</v>
      </c>
      <c r="DR9" s="437">
        <f ca="1">DQ9*F9</f>
        <v>0</v>
      </c>
      <c r="DS9" s="426">
        <f ca="1">OFFSET($CH$9,CL9-1,-15,1,1)</f>
        <v>0</v>
      </c>
      <c r="DT9" s="451">
        <f t="shared" ca="1" si="1"/>
        <v>0</v>
      </c>
      <c r="DU9" s="188">
        <f ca="1">IF(F9&lt;OFFSET($BM$9,DT9-1,0,1,1),0,IF(F9&lt;OFFSET($BN$9,DT9-1,0,1,1),((F9-OFFSET($BM$9,DT9-1,0,1,1))*OFFSET($CH$9,DT9-1,0,1,1))+OFFSET($BO$9,DT9-1,CQ9,1,1),IF(F9&lt;OFFSET($BN$9,DT9+0,0,1,1),((F9-OFFSET($BM$9,DT9+0,0,1,1))*OFFSET($CH$9,DT9+0,0,1,1))+OFFSET($BO$9,DT9+0,CQ9,1,1),IF(F9&lt;OFFSET($BN$9,DT9+1,0,1,1),((F9-OFFSET($BM$9,DT9+1,0,1,1))*OFFSET($CH$9,DT9+1,0,1,1))+OFFSET($BO$9,DT9+1,CQ9,1,1),IF(F9&lt;OFFSET($BN$9,DT9+2,0,1,1),((F9-OFFSET($BM$9,DT9+2,0,1,1))*OFFSET($CH$9,DT9+2,0,1,1))+OFFSET($BO$9,DT9+2,CQ9,1,1),IF(F9&lt;OFFSET($BN$9,DT9+3,0,1,1),((F9-OFFSET($BM$9,DT9+3,0,1,1))*OFFSET($CH$9,DT9+3,0,1,1))+OFFSET($BO$9,DT9+3,CQ9,1,1),0))))))</f>
        <v>0</v>
      </c>
      <c r="DV9" s="51">
        <f ca="1">IF($F9&lt;OFFSET($BM$9,$DT9-1,0,1,1),0,IF($F9&lt;OFFSET($BN$9,$DT9-1,0,1,1),IF(AND($H9&gt;2.4,Z9&lt;&gt;"e",Z9&lt;&gt;"f"),DZ9*2.4/$H9,DZ9),IF($F9&lt;OFFSET($BN$9,$DT9+0,0,1,1),IF(AND($H9&gt;2.4,Z9&lt;&gt;"e",Z9&lt;&gt;"f"),DZ9*2.4/$H9,DZ9),IF($F9&lt;OFFSET($BN$9,$DT9+1,0,1,1),IF(AND($H9&gt;2.4,Z9&lt;&gt;"e",Z9&lt;&gt;"f"),DZ9*2.4/$H9,DZ9),IF($F9&lt;OFFSET($BN$9,$DT9+2,0,1,1),IF(AND($H9&gt;2.4,Z9&lt;&gt;"e",Z9&lt;&gt;"f"),DZ9*2.4/$H9,DZ9),IF($F9&lt;OFFSET($BN$9,$DT9+3,0,1,1),IF(AND($H9&gt;2.4,Z9&lt;&gt;"e",Z9&lt;&gt;"f"),DZ9*2.4/$H9,DZ9),0)))))*COS(RADIANS($G9)))</f>
        <v>0</v>
      </c>
      <c r="DW9" s="188">
        <f ca="1">IF(F9&lt;OFFSET($BM$9,DT9-1,0,1,1),0,IF(F9&lt;OFFSET($BN$9,DT9-1,0,1,1),((F9-OFFSET($BM$9,DT9-1,0,1,1))*OFFSET($CI$9,DT9-1,0,1,1))+OFFSET($BP$9,DT9-1,CQ9,1,1),IF(F9&lt;OFFSET($BN$9,DT9+0,0,1,1),((F9-OFFSET($BM$9,DT9+0,0,1,1))*OFFSET($CI$9,DT9+0,0,1,1))+OFFSET($BP$9,DT9+0,CQ9,1,1),IF(F9&lt;OFFSET($BN$9,DT9+1,0,1,1),((F9-OFFSET($BM$9,DT9+1,0,1,1))*OFFSET($CI$9,DT9+1,0,1,1))+OFFSET($BP$9,DT9+1,CQ9,1,1),IF(F9&lt;OFFSET($BN$9,DT9+2,0,1,1),((F9-OFFSET($BM$9,DT9+2,0,1,1))*OFFSET($CI$9,DT9+2,0,1,1))+OFFSET($BP$9,DT9+2,CQ9,1,1),IF(F9&lt;OFFSET($BN$9,DT9+3,0,1,1),((F9-OFFSET($BM$9,DT9+3,0,1,1))*OFFSET($CI$9,DT9+3,0,1,1))+OFFSET($BP$9,DT9+3,CQ9,1,1),0))))))</f>
        <v>0</v>
      </c>
      <c r="DX9" s="51">
        <f ca="1">IF($F9&lt;OFFSET($BM$9,$DT9-1,0,1,1),0,IF($F9&lt;OFFSET($BN$9,$DT9-1,0,1,1),IF(AND($H9&gt;2.4,Z9&lt;&gt;"e",Z9&lt;&gt;"f"),EB9*2.4/$H9,EB9),IF($F9&lt;OFFSET($BN$9,$DT9+0,0,1,1),IF(AND($H9&gt;2.4,Z9&lt;&gt;"e",Z9&lt;&gt;"f"),EB9*2.4/$H9,EB9),IF($F9&lt;OFFSET($BN$9,$DT9+1,0,1,1),IF(AND($H9&gt;2.4,Z9&lt;&gt;"e",Z9&lt;&gt;"f"),EB9*2.4/$H9,EB9),IF($F9&lt;OFFSET($BN$9,$DT9+2,0,1,1),IF(AND($H9&gt;2.4,Z9&lt;&gt;"e",Z9&lt;&gt;"f"),EB9*2.4/$H9,EB9),IF($F9&lt;OFFSET($BN$9,$DT9+3,0,1,1),IF(AND($H9&gt;2.4,Z9&lt;&gt;"e",Z9&lt;&gt;"f"),EB9*2.4/$H9,EB9),0)))))*COS(RADIANS($G9)))</f>
        <v>0</v>
      </c>
      <c r="DY9" s="188"/>
      <c r="DZ9" s="188">
        <f ca="1">IF(DU9&gt;$CR9,$CR9,DU9)</f>
        <v>0</v>
      </c>
      <c r="EA9" s="188"/>
      <c r="EB9" s="188">
        <f ca="1">IF(DW9&gt;$CR9,$CR9,DW9)</f>
        <v>0</v>
      </c>
      <c r="EC9" s="435">
        <f ca="1">IF(DV9&gt;$CR9,$CR9,DV9)</f>
        <v>0</v>
      </c>
      <c r="ED9" s="435">
        <f ca="1">EC9*F9</f>
        <v>0</v>
      </c>
      <c r="EE9" s="436">
        <f ca="1">IF(DX9&gt;$CR9,$CR9,DX9)</f>
        <v>0</v>
      </c>
      <c r="EF9" s="437">
        <f ca="1">EE9*F9</f>
        <v>0</v>
      </c>
      <c r="EG9" s="613" t="str">
        <f>IF(D9=BG$12,BG$12,"")</f>
        <v/>
      </c>
      <c r="EH9" s="614" t="str">
        <f>IF(D9=BG$13,BG$13,"")</f>
        <v/>
      </c>
      <c r="EI9" s="611">
        <f>IF(EG9=BG$12,M9,0)</f>
        <v>0</v>
      </c>
      <c r="EJ9" s="451">
        <f>IF(EG9=BG$12,O9,0)</f>
        <v>0</v>
      </c>
      <c r="EK9" s="451">
        <f>IF(EH9=BG$13,M9,0)</f>
        <v>0</v>
      </c>
      <c r="EL9" s="612">
        <f>IF(EH9=BG$13,O9,0)</f>
        <v>0</v>
      </c>
      <c r="EM9" s="426" t="str">
        <f ca="1">IF(AND(Z9&lt;&gt;"t",Z9&lt;&gt;"f"),"",IF(AND(EN9=$BH$13,K9=$BH$12),"NotOpt",IF(K9&lt;&gt;EN9,"Error","")))</f>
        <v/>
      </c>
      <c r="EN9" s="491" t="str">
        <f>IF(AND($BH$28=1,$BG$28=1),$BH$13,$BH$12)</f>
        <v>120 BU's</v>
      </c>
      <c r="EO9" s="426" t="str">
        <f>K9</f>
        <v xml:space="preserve"> </v>
      </c>
      <c r="EP9" s="497">
        <v>1</v>
      </c>
      <c r="EQ9" s="430" t="str">
        <f ca="1">IF(EP9=1," ",OFFSET(BF$15,EP9-2,0,1,1))</f>
        <v xml:space="preserve"> </v>
      </c>
      <c r="ER9" s="439" t="str">
        <f ca="1">IF(H9=0," ",H9)</f>
        <v xml:space="preserve"> </v>
      </c>
      <c r="ES9" s="440" t="str">
        <f ca="1">IF(ER9&lt;&gt;" ",IF(ER9&lt;&gt;ER$7,"Changed",""),"")</f>
        <v/>
      </c>
      <c r="ET9" s="440">
        <f ca="1">IF(ER9&lt;&gt;" ",IF(ER9&lt;&gt;ER$7,1,0),0)</f>
        <v>0</v>
      </c>
      <c r="EU9" s="957" t="str">
        <f ca="1">IF(I9=" "," ",IF(F9&lt;OFFSET($BM$9,CL9-1,0,1,1),1,""))</f>
        <v xml:space="preserve"> </v>
      </c>
      <c r="EW9" s="427"/>
      <c r="EX9"/>
    </row>
    <row r="10" spans="1:154" ht="17.100000000000001" customHeight="1" thickBot="1">
      <c r="B10" s="689" t="s">
        <v>246</v>
      </c>
      <c r="C10" s="684" t="str">
        <f>IF(OR(F10=0,I10="",I10=" ")," ",$V10)</f>
        <v xml:space="preserve"> </v>
      </c>
      <c r="D10" s="1033"/>
      <c r="E10" s="1360"/>
      <c r="F10" s="201"/>
      <c r="G10" s="1416"/>
      <c r="H10" s="199" t="str">
        <f ca="1">IF(OR(F10=0,Z10="E",Z10="f")," ",'Project Demand'!E$35)</f>
        <v xml:space="preserve"> </v>
      </c>
      <c r="I10" s="631" t="str">
        <f>IF($I$6&lt;&gt;$BG$8," ",AB10)</f>
        <v xml:space="preserve"> </v>
      </c>
      <c r="J10" s="44" t="str">
        <f ca="1">IF(OR(I10=" ",I10="")," ",OFFSET($BO$9,CL10-1,0-4,1,1))</f>
        <v xml:space="preserve"> </v>
      </c>
      <c r="K10" s="55" t="str">
        <f>IF(OR(I10=" ",I10="")," ",IF(OR(Z10="e",Z10="h"),"SD",BG$24))</f>
        <v xml:space="preserve"> </v>
      </c>
      <c r="L10" s="725">
        <f ca="1">CW10</f>
        <v>0</v>
      </c>
      <c r="M10" s="726">
        <f ca="1">CY10</f>
        <v>0</v>
      </c>
      <c r="N10" s="445">
        <f t="shared" ca="1" si="0"/>
        <v>0</v>
      </c>
      <c r="O10" s="728">
        <f t="shared" ca="1" si="0"/>
        <v>0</v>
      </c>
      <c r="P10" s="138"/>
      <c r="Q10" s="752" t="str">
        <f ca="1">IF(AND(OR(Z10="t",Z10="f"),K10=$BH$11),"No Floor!  Change Floor Type",IF(OR(I10=" ",I10="")," ",IF(F10&lt;OFFSET($BM$9,CL10-1,0,1,1),"check L(m)",DE10&amp;IF(AND(DP10&gt;=CY10,DR10&gt;=DB10),IF(AND(ED10&gt;=DP10,EF10&gt;=DR10),CONCATENATE(DS10," will provide same result"),CONCATENATE(CO10," will provide same result")),IF((DP10&gt;=CY10),CONCATENATE(CO10," provides same result in WIND"),IF((DR10&gt;=DB10),CONCATENATE(CO10," provides same result in EQ"),""))))))&amp;IF(ISERROR(FIND("pile",I10,1)),"",IF(INT(F10)&lt;&gt;F10,"Pile!  Use Whole Numbers Only",""))</f>
        <v xml:space="preserve"> </v>
      </c>
      <c r="R10" s="52"/>
      <c r="S10" s="1372"/>
      <c r="T10" s="52"/>
      <c r="U10" s="1377"/>
      <c r="V10" s="52" t="str">
        <f>IF(AND(B$5=$BF$9,OR(I10=BH$16,I10=BH$17))," ",IF(ISNUMBER(B$8),(CONCATENATE(B$8,".",W10)),(CONCATENATE(B$8,W10))))</f>
        <v>M0</v>
      </c>
      <c r="W10" s="9">
        <f>W9+X10</f>
        <v>0</v>
      </c>
      <c r="X10" s="9">
        <f>IF(AND(B$5=$BF$9,OR($I10=$BH$16,$I10=$BH$17,$I10=" ",$I10="",$F10=0)),0,IF(OR($I10=" ",$I10="",$F10=0),0,1))</f>
        <v>0</v>
      </c>
      <c r="Y10" s="896"/>
      <c r="Z10" s="52" t="str">
        <f ca="1">IF(I10=" "," ",OFFSET($BM$9,$CL10-1,8,1,1))</f>
        <v xml:space="preserve"> </v>
      </c>
      <c r="AA10" s="51" t="str">
        <f>IF(G10&gt;=45,"WA","")</f>
        <v/>
      </c>
      <c r="AB10" s="1364" t="str">
        <f>IF(F10&lt;&gt;"",IF(OR(D10=$BG$12,D10=$BG$13),IF(E10&lt;&gt;$BG$17,$BF$12,$BF$13),IF(E10&lt;&gt;$BG$17,$BF$12,$BF$13))," ")</f>
        <v xml:space="preserve"> </v>
      </c>
      <c r="AC10" s="1"/>
      <c r="AJ10" s="2185"/>
      <c r="AK10" s="2831"/>
      <c r="AL10" s="2786"/>
      <c r="AM10" s="2834"/>
      <c r="AN10" s="2252"/>
      <c r="AO10" s="2252"/>
      <c r="AP10" s="1244"/>
      <c r="AQ10" s="2654"/>
      <c r="AR10" s="2655"/>
      <c r="AS10" s="2650"/>
      <c r="AT10" s="1152"/>
      <c r="AU10" s="2023"/>
      <c r="AW10" s="2658"/>
      <c r="AX10" s="2233"/>
      <c r="BD10" s="2649"/>
      <c r="BE10" s="1381"/>
      <c r="BF10" s="2679" t="s">
        <v>1085</v>
      </c>
      <c r="BG10" s="2679"/>
      <c r="BH10" s="2679"/>
      <c r="BI10" s="759"/>
      <c r="BJ10" s="896">
        <f>BJ9+1</f>
        <v>2</v>
      </c>
      <c r="BK10" s="917"/>
      <c r="BL10" s="898"/>
      <c r="BM10" s="968"/>
      <c r="BV10" s="51" t="s">
        <v>8</v>
      </c>
      <c r="BW10" s="51" t="s">
        <v>8</v>
      </c>
      <c r="CJ10" s="759"/>
      <c r="CK10" s="188"/>
      <c r="CL10" s="979">
        <f>VLOOKUP(I10,Prodlink,2,0)</f>
        <v>0</v>
      </c>
      <c r="CN10" s="497">
        <f ca="1">VLOOKUP(CO10,Prodlink,2,0)</f>
        <v>0</v>
      </c>
      <c r="CO10" s="497">
        <f ca="1">OFFSET($CH$9,CL10-1,-15,1,1)</f>
        <v>0</v>
      </c>
      <c r="CQ10" s="51">
        <v>0</v>
      </c>
      <c r="CR10" s="51">
        <f>IF(K10=$BH$12,$BH$23,IF(K10=$BH$13,$BH$24,10000))</f>
        <v>10000</v>
      </c>
      <c r="CS10" s="51">
        <f ca="1">IF(F10&lt;OFFSET($BM$9,CL10-1,0,1,1),0,IF(F10&lt;OFFSET($BN$9,CL10-1,0,1,1),((F10-OFFSET($BM$9,CL10-1,0,1,1))*OFFSET($CH$9,CL10-1,0,1,1))+OFFSET($BO$9,CL10-1,CQ10,1,1),IF(F10&lt;OFFSET($BN$9,CL10+0,0,1,1),((F10-OFFSET($BM$9,CL10+0,0,1,1))*OFFSET($CH$9,CL10+0,0,1,1))+OFFSET($BO$9,CL10+0,CQ10,1,1),IF(F10&lt;OFFSET($BN$9,CL10+1,0,1,1),((F10-OFFSET($BM$9,CL10+1,0,1,1))*OFFSET($CH$9,CL10+1,0,1,1))+OFFSET($BO$9,CL10+1,CQ10,1,1),IF(F10&lt;OFFSET($BN$9,CL10+2,0,1,1),((F10-OFFSET($BM$9,CL10+2,0,1,1))*OFFSET($CH$9,CL10+2,0,1,1))+OFFSET($BO$9,CL10+2,CQ10,1,1),IF(F10&lt;OFFSET($BN$9,CL10+3,0,1,1),((F10-OFFSET($BM$9,CL10+3,0,1,1))*OFFSET($CH$9,CL10+3,0,1,1))+OFFSET($BO$9,CL10+3,CQ10,1,1),0))))))</f>
        <v>0</v>
      </c>
      <c r="CT10" s="51">
        <f ca="1">IF($F10&lt;OFFSET($BM$9,$CL10-1,0,1,1),0,IF($F10&lt;OFFSET($BN$9,$CL10-1,0,1,1),IF(AND($H10&gt;2.4,Z10&lt;&gt;"e",Z10&lt;&gt;"f"),CX10*2.4/$H10,CX10),IF($F10&lt;OFFSET($BN$9,$CL10+0,0,1,1),IF(AND($H10&gt;2.4,Z10&lt;&gt;"e",Z10&lt;&gt;"f"),CX10*2.4/$H10,CX10),IF($F10&lt;OFFSET($BN$9,$CL10+1,0,1,1),IF(AND($H10&gt;2.4,Z10&lt;&gt;"e",Z10&lt;&gt;"f"),CX10*2.4/$H10,CX10),IF($F10&lt;OFFSET($BN$9,CL10+2,0,1,1),IF(AND($H10&gt;2.4,Z10&lt;&gt;"e",Z10&lt;&gt;"f"),CX10*2.4/$H10,CX10),IF($F10&lt;OFFSET($BN$9,CL10+3,0,1,1),IF(AND($H10&gt;2.4,Z10&lt;&gt;"e",Z10&lt;&gt;"f"),CX10*2.4/$H10,CX10),0)))))*COS(RADIANS($G10)))</f>
        <v>0</v>
      </c>
      <c r="CU10" s="51">
        <f ca="1">IF(F10&lt;OFFSET($BM$9,CL10-1,0,1,1),0,IF(F10&lt;OFFSET($BN$9,CL10-1,0,1,1),((F10-OFFSET($BM$9,CL10-1,0,1,1))*OFFSET($CI$9,CL10-1,0,1,1))+OFFSET($BP$9,CL10-1,CQ10,1,1),IF(F10&lt;OFFSET($BN$9,CL10+0,0,1,1),((F10-OFFSET($BM$9,CL10+0,0,1,1))*OFFSET($CI$9,CL10+0,0,1,1))+OFFSET($BP$9,CL10+0,CQ10,1,1),IF(F10&lt;OFFSET($BN$9,CL10+1,0,1,1),((F10-OFFSET($BM$9,CL10+1,0,1,1))*OFFSET($CI$9,CL10+1,0,1,1))+OFFSET($BP$9,CL10+1,CQ10,1,1),IF(F10&lt;OFFSET($BN$9,CL10+2,0,1,1),((F10-OFFSET($BM$9,CL10+2,0,1,1))*OFFSET($CI$9,CL10+2,0,1,1))+OFFSET($BP$9,CL10+2,CQ10,1,1),IF(F10&lt;OFFSET($BN$9,CL10+3,0,1,1),((F10-OFFSET($BM$9,CL10+3,0,1,1))*OFFSET($CI$9,CL10+3,0,1,1))+OFFSET($BP$9,CL10+3,CQ10,1,1),0))))))</f>
        <v>0</v>
      </c>
      <c r="CV10" s="51">
        <f ca="1">IF($F10&lt;OFFSET($BM$9,$CL10-1,0,1,1),0,IF($F10&lt;OFFSET($BN$9,$CL10-1,0,1,1),IF(AND($H10&gt;2.4,Z10&lt;&gt;"e",Z10&lt;&gt;"f"),CZ10*2.4/$H10,CZ10),IF($F10&lt;OFFSET($BN$9,$CL10+0,0,1,1),IF(AND($H10&gt;2.4,Z10&lt;&gt;"e",Z10&lt;&gt;"f"),CZ10*2.4/$H10,CZ10),IF($F10&lt;OFFSET($BN$9,$CL10+1,0,1,1),IF(AND($H10&gt;2.4,Z10&lt;&gt;"e",Z10&lt;&gt;"f"),CZ10*2.4/$H10,CZ10),IF($F10&lt;OFFSET($BN$9,$CL10+2,0,1,1),IF(AND($H10&gt;2.4,Z10&lt;&gt;"e",Z10&lt;&gt;"f"),CZ10*2.4/$H10,CZ10),IF($F10&lt;OFFSET($BN$9,$CL10+3,0,1,1),IF(AND($H10&gt;2.4,Z10&lt;&gt;"e",Z10&lt;&gt;"f"),CZ10*2.4/$H10,CZ10),0)))))*COS(RADIANS($G10)))</f>
        <v>0</v>
      </c>
      <c r="CW10" s="51">
        <f ca="1">IF(CT10&gt;CR10,CR10,CT10)</f>
        <v>0</v>
      </c>
      <c r="CX10" s="51">
        <f ca="1">IF(CS10&gt;$CR10,$CR10,CS10)</f>
        <v>0</v>
      </c>
      <c r="CY10" s="51">
        <f ca="1">CW10*F10</f>
        <v>0</v>
      </c>
      <c r="CZ10" s="51">
        <f ca="1">IF($CU10&gt;$CR10,$CR10,$CU10)</f>
        <v>0</v>
      </c>
      <c r="DA10" s="51">
        <f ca="1">IF(CV10&gt;CR10,CR10,CV10)</f>
        <v>0</v>
      </c>
      <c r="DB10" s="51">
        <f ca="1">DA10*F10</f>
        <v>0</v>
      </c>
      <c r="DC10" s="993">
        <v>2</v>
      </c>
      <c r="DD10" s="758" t="str">
        <f>IF(OR(D10=BG$12,D10=BG$13),"External",IF(D10=BG$14,"Internal"," "))</f>
        <v xml:space="preserve"> </v>
      </c>
      <c r="DE10" s="51" t="str">
        <f t="shared" ca="1" si="2"/>
        <v/>
      </c>
      <c r="DF10" s="52" t="str">
        <f t="shared" ca="1" si="3"/>
        <v xml:space="preserve"> </v>
      </c>
      <c r="DG10" s="51">
        <f ca="1">IF(F10&lt;OFFSET($BM$9,CN10-1,0,1,1),0,IF(F10&lt;OFFSET($BN$9,CN10-1,0,1,1),((F10-OFFSET($BM$9,CN10-1,0,1,1))*OFFSET($CH$9,CN10-1,0,1,1))+OFFSET($BO$9,CN10-1,CQ10,1,1),IF(F10&lt;OFFSET($BN$9,CN10+0,0,1,1),((F10-OFFSET($BM$9,CN10+0,0,1,1))*OFFSET($CH$9,CN10+0,0,1,1))+OFFSET($BO$9,CN10+0,CQ10,1,1),IF(F10&lt;OFFSET($BN$9,CN10+1,0,1,1),((F10-OFFSET($BM$9,CN10+1,0,1,1))*OFFSET($CH$9,CN10+1,0,1,1))+OFFSET($BO$9,CN10+1,CQ10,1,1),IF(F10&lt;OFFSET($BN$9,CN10+2,0,1,1),((F10-OFFSET($BM$9,CN10+2,0,1,1))*OFFSET($CH$9,CN10+2,0,1,1))+OFFSET($BO$9,CN10+2,CQ10,1,1),IF(F10&lt;OFFSET($BN$9,CN10+3,0,1,1),((F10-OFFSET($BM$9,CN10+3,0,1,1))*OFFSET($CH$9,CN10+3,0,1,1))+OFFSET($BO$9,CN10+3,CQ10,1,1),0))))))</f>
        <v>0</v>
      </c>
      <c r="DH10" s="51">
        <f ca="1">IF($F10&lt;OFFSET($BM$9,$CN10-1,0,1,1),0,IF($F10&lt;OFFSET($BN$9,$CN10-1,0,1,1),IF(AND($H10&gt;2.4,Z10&lt;&gt;"e",Z10&lt;&gt;"f"),DL10*2.4/$H10,DL10),IF($F10&lt;OFFSET($BN$9,$CN10+0,0,1,1),IF(AND($H10&gt;2.4,Z10&lt;&gt;"e",Z10&lt;&gt;"f"),DL10*2.4/$H10,DL10),IF($F10&lt;OFFSET($BN$9,$CN10+1,0,1,1),IF(AND($H10&gt;2.4,Z10&lt;&gt;"e",Z10&lt;&gt;"f"),DL10*2.4/$H10,DL10),IF($F10&lt;OFFSET($BN$9,$CN10+2,0,1,1),IF(AND($H10&gt;2.4,Z10&lt;&gt;"e",Z10&lt;&gt;"f"),DL10*2.4/$H10,DL10),IF($F10&lt;OFFSET($BN$9,$CN10+3,0,1,1),IF(AND($H10&gt;2.4,Z10&lt;&gt;"e",Z10&lt;&gt;"f"),DL10*2.4/$H10,DL10),0)))))*COS(RADIANS($G10)))</f>
        <v>0</v>
      </c>
      <c r="DI10" s="51">
        <f ca="1">IF(F10&lt;OFFSET($BM$9,CN10-1,0,1,1),0,IF(F10&lt;OFFSET($BN$9,CN10-1,0,1,1),((F10-OFFSET($BM$9,CN10-1,0,1,1))*OFFSET($CI$9,CN10-1,0,1,1))+OFFSET($BP$9,CN10-1,CQ10,1,1),IF(F10&lt;OFFSET($BN$9,CN10+0,0,1,1),((F10-OFFSET($BM$9,CN10+0,0,1,1))*OFFSET($CI$9,CN10+0,0,1,1))+OFFSET($BP$9,CN10+0,CQ10,1,1),IF(F10&lt;OFFSET($BN$9,CN10+1,0,1,1),((F10-OFFSET($BM$9,CN10+1,0,1,1))*OFFSET($CI$9,CN10+1,0,1,1))+OFFSET($BP$9,CN10+1,CQ10,1,1),IF(F10&lt;OFFSET($BN$9,CN10+2,0,1,1),((F10-OFFSET($BM$9,CN10+2,0,1,1))*OFFSET($CI$9,CN10+2,0,1,1))+OFFSET($BP$9,CN10+2,CQ10,1,1),IF(F10&lt;OFFSET($BN$9,CN10+3,0,1,1),((F10-OFFSET($BM$9,CN10+3,0,1,1))*OFFSET($CI$9,CN10+3,0,1,1))+OFFSET($BP$9,CN10+3,CQ10,1,1),0))))))</f>
        <v>0</v>
      </c>
      <c r="DJ10" s="51">
        <f ca="1">IF($F10&lt;OFFSET($BM$9,$CN10-1,0,1,1),0,IF($F10&lt;OFFSET($BN$9,$CN10-1,0,1,1),IF(AND($H10&gt;2.4,Z10&lt;&gt;"e",Z10&lt;&gt;"f"),DN10*2.4/$H10,DN10),IF($F10&lt;OFFSET($BN$9,$CN10+0,0,1,1),IF(AND($H10&gt;2.4,Z10&lt;&gt;"e",Z10&lt;&gt;"f"),DN10*2.4/$H10,DN10),IF($F10&lt;OFFSET($BN$9,$CN10+1,0,1,1),IF(AND($H10&gt;2.4,Z10&lt;&gt;"e",Z10&lt;&gt;"f"),DN10*2.4/$H10,DN10),IF($F10&lt;OFFSET($BN$9,$CN10+2,0,1,1),IF(AND($H10&gt;2.4,Z10&lt;&gt;"e",Z10&lt;&gt;"f"),DN10*2.4/$H10,DN10),IF($F10&lt;OFFSET($BN$9,$CN10+3,0,1,1),IF(AND($H10&gt;2.4,Z10&lt;&gt;"e",Z10&lt;&gt;"f"),DN10*2.4/$H10,DN10),0)))))*COS(RADIANS($G10)))</f>
        <v>0</v>
      </c>
      <c r="DK10" s="51"/>
      <c r="DL10" s="51">
        <f ca="1">IF(DG10&gt;$CR10,$CR10,DG10)</f>
        <v>0</v>
      </c>
      <c r="DM10" s="51"/>
      <c r="DN10" s="51">
        <f ca="1">IF(DI10&gt;$CR10,$CR10,DI10)</f>
        <v>0</v>
      </c>
      <c r="DO10" s="435">
        <f ca="1">IF(DH10&gt;$CR10,$CR10,DH10)</f>
        <v>0</v>
      </c>
      <c r="DP10" s="435">
        <f ca="1">DO10*F10</f>
        <v>0</v>
      </c>
      <c r="DQ10" s="436">
        <f ca="1">IF(DJ10&gt;$CR10,$CR10,DJ10)</f>
        <v>0</v>
      </c>
      <c r="DR10" s="437">
        <f ca="1">DQ10*F10</f>
        <v>0</v>
      </c>
      <c r="DS10" s="426">
        <f ca="1">OFFSET($CH$9,CL10-1,-15,1,1)</f>
        <v>0</v>
      </c>
      <c r="DT10" s="451">
        <f t="shared" ca="1" si="1"/>
        <v>0</v>
      </c>
      <c r="DU10" s="188">
        <f ca="1">IF(F10&lt;OFFSET($BM$9,DT10-1,0,1,1),0,IF(F10&lt;OFFSET($BN$9,DT10-1,0,1,1),((F10-OFFSET($BM$9,DT10-1,0,1,1))*OFFSET($CH$9,DT10-1,0,1,1))+OFFSET($BO$9,DT10-1,CQ10,1,1),IF(F10&lt;OFFSET($BN$9,DT10+0,0,1,1),((F10-OFFSET($BM$9,DT10+0,0,1,1))*OFFSET($CH$9,DT10+0,0,1,1))+OFFSET($BO$9,DT10+0,CQ10,1,1),IF(F10&lt;OFFSET($BN$9,DT10+1,0,1,1),((F10-OFFSET($BM$9,DT10+1,0,1,1))*OFFSET($CH$9,DT10+1,0,1,1))+OFFSET($BO$9,DT10+1,CQ10,1,1),IF(F10&lt;OFFSET($BN$9,DT10+2,0,1,1),((F10-OFFSET($BM$9,DT10+2,0,1,1))*OFFSET($CH$9,DT10+2,0,1,1))+OFFSET($BO$9,DT10+2,CQ10,1,1),IF(F10&lt;OFFSET($BN$9,DT10+3,0,1,1),((F10-OFFSET($BM$9,DT10+3,0,1,1))*OFFSET($CH$9,DT10+3,0,1,1))+OFFSET($BO$9,DT10+3,CQ10,1,1),0))))))</f>
        <v>0</v>
      </c>
      <c r="DV10" s="51">
        <f ca="1">IF($F10&lt;OFFSET($BM$9,$DT10-1,0,1,1),0,IF($F10&lt;OFFSET($BN$9,$DT10-1,0,1,1),IF(AND($H10&gt;2.4,Z10&lt;&gt;"e",Z10&lt;&gt;"f"),DZ10*2.4/$H10,DZ10),IF($F10&lt;OFFSET($BN$9,$DT10+0,0,1,1),IF(AND($H10&gt;2.4,Z10&lt;&gt;"e",Z10&lt;&gt;"f"),DZ10*2.4/$H10,DZ10),IF($F10&lt;OFFSET($BN$9,$DT10+1,0,1,1),IF(AND($H10&gt;2.4,Z10&lt;&gt;"e",Z10&lt;&gt;"f"),DZ10*2.4/$H10,DZ10),IF($F10&lt;OFFSET($BN$9,$DT10+2,0,1,1),IF(AND($H10&gt;2.4,Z10&lt;&gt;"e",Z10&lt;&gt;"f"),DZ10*2.4/$H10,DZ10),IF($F10&lt;OFFSET($BN$9,$DT10+3,0,1,1),IF(AND($H10&gt;2.4,Z10&lt;&gt;"e",Z10&lt;&gt;"f"),DZ10*2.4/$H10,DZ10),0)))))*COS(RADIANS($G10)))</f>
        <v>0</v>
      </c>
      <c r="DW10" s="188">
        <f ca="1">IF(F10&lt;OFFSET($BM$9,DT10-1,0,1,1),0,IF(F10&lt;OFFSET($BN$9,DT10-1,0,1,1),((F10-OFFSET($BM$9,DT10-1,0,1,1))*OFFSET($CI$9,DT10-1,0,1,1))+OFFSET($BP$9,DT10-1,CQ10,1,1),IF(F10&lt;OFFSET($BN$9,DT10+0,0,1,1),((F10-OFFSET($BM$9,DT10+0,0,1,1))*OFFSET($CI$9,DT10+0,0,1,1))+OFFSET($BP$9,DT10+0,CQ10,1,1),IF(F10&lt;OFFSET($BN$9,DT10+1,0,1,1),((F10-OFFSET($BM$9,DT10+1,0,1,1))*OFFSET($CI$9,DT10+1,0,1,1))+OFFSET($BP$9,DT10+1,CQ10,1,1),IF(F10&lt;OFFSET($BN$9,DT10+2,0,1,1),((F10-OFFSET($BM$9,DT10+2,0,1,1))*OFFSET($CI$9,DT10+2,0,1,1))+OFFSET($BP$9,DT10+2,CQ10,1,1),IF(F10&lt;OFFSET($BN$9,DT10+3,0,1,1),((F10-OFFSET($BM$9,DT10+3,0,1,1))*OFFSET($CI$9,DT10+3,0,1,1))+OFFSET($BP$9,DT10+3,CQ10,1,1),0))))))</f>
        <v>0</v>
      </c>
      <c r="DX10" s="51">
        <f ca="1">IF($F10&lt;OFFSET($BM$9,$DT10-1,0,1,1),0,IF($F10&lt;OFFSET($BN$9,$DT10-1,0,1,1),IF(AND($H10&gt;2.4,Z10&lt;&gt;"e",Z10&lt;&gt;"f"),EB10*2.4/$H10,EB10),IF($F10&lt;OFFSET($BN$9,$DT10+0,0,1,1),IF(AND($H10&gt;2.4,Z10&lt;&gt;"e",Z10&lt;&gt;"f"),EB10*2.4/$H10,EB10),IF($F10&lt;OFFSET($BN$9,$DT10+1,0,1,1),IF(AND($H10&gt;2.4,Z10&lt;&gt;"e",Z10&lt;&gt;"f"),EB10*2.4/$H10,EB10),IF($F10&lt;OFFSET($BN$9,$DT10+2,0,1,1),IF(AND($H10&gt;2.4,Z10&lt;&gt;"e",Z10&lt;&gt;"f"),EB10*2.4/$H10,EB10),IF($F10&lt;OFFSET($BN$9,$DT10+3,0,1,1),IF(AND($H10&gt;2.4,Z10&lt;&gt;"e",Z10&lt;&gt;"f"),EB10*2.4/$H10,EB10),0)))))*COS(RADIANS($G10)))</f>
        <v>0</v>
      </c>
      <c r="DY10" s="188"/>
      <c r="DZ10" s="188">
        <f ca="1">IF(DU10&gt;$CR10,$CR10,DU10)</f>
        <v>0</v>
      </c>
      <c r="EA10" s="188"/>
      <c r="EB10" s="188">
        <f ca="1">IF(DW10&gt;$CR10,$CR10,DW10)</f>
        <v>0</v>
      </c>
      <c r="EC10" s="435">
        <f ca="1">IF(DV10&gt;$CR10,$CR10,DV10)</f>
        <v>0</v>
      </c>
      <c r="ED10" s="435">
        <f ca="1">EC10*F10</f>
        <v>0</v>
      </c>
      <c r="EE10" s="436">
        <f ca="1">IF(DX10&gt;$CR10,$CR10,DX10)</f>
        <v>0</v>
      </c>
      <c r="EF10" s="437">
        <f ca="1">EE10*F10</f>
        <v>0</v>
      </c>
      <c r="EG10" s="613" t="str">
        <f>IF(D10=BG$12,BG$12,"")</f>
        <v/>
      </c>
      <c r="EH10" s="614" t="str">
        <f>IF(D10=BG$13,BG$13,"")</f>
        <v/>
      </c>
      <c r="EI10" s="611">
        <f>IF(EG10=BG$12,M10,0)</f>
        <v>0</v>
      </c>
      <c r="EJ10" s="451">
        <f>IF(EG10=BG$12,O10,0)</f>
        <v>0</v>
      </c>
      <c r="EK10" s="451">
        <f>IF(EH10=BG$13,M10,0)</f>
        <v>0</v>
      </c>
      <c r="EL10" s="612">
        <f>IF(EH10=BG$13,O10,0)</f>
        <v>0</v>
      </c>
      <c r="EM10" s="426" t="str">
        <f ca="1">IF(AND(Z10&lt;&gt;"t",Z10&lt;&gt;"f"),"",IF(AND(EN10=$BH$13,K10=$BH$12),"NotOpt",IF(K10&lt;&gt;EN10,"Error","")))</f>
        <v/>
      </c>
      <c r="EN10" s="491" t="str">
        <f>IF(AND($BH$28=1,$BG$28=1),$BH$13,$BH$12)</f>
        <v>120 BU's</v>
      </c>
      <c r="EO10" s="426" t="str">
        <f>K10</f>
        <v xml:space="preserve"> </v>
      </c>
      <c r="EP10" s="497">
        <v>1</v>
      </c>
      <c r="EQ10" s="430" t="str">
        <f ca="1">IF(EP10=1," ",OFFSET(BF$15,EP10-2,0,1,1))</f>
        <v xml:space="preserve"> </v>
      </c>
      <c r="ER10" s="439" t="str">
        <f ca="1">IF(H10=0," ",H10)</f>
        <v xml:space="preserve"> </v>
      </c>
      <c r="ES10" s="440" t="str">
        <f ca="1">IF(ER10&lt;&gt;" ",IF(ER10&lt;&gt;ER$7,"Changed",""),"")</f>
        <v/>
      </c>
      <c r="ET10" s="440">
        <f ca="1">IF(ER10&lt;&gt;" ",IF(ER10&lt;&gt;ER$7,1,0),0)</f>
        <v>0</v>
      </c>
      <c r="EU10" s="957" t="str">
        <f ca="1">IF(I10=" "," ",IF(F10&lt;OFFSET($BM$9,CL10-1,0,1,1),1,""))</f>
        <v xml:space="preserve"> </v>
      </c>
      <c r="EW10" s="427"/>
      <c r="EX10"/>
    </row>
    <row r="11" spans="1:154" ht="17.100000000000001" customHeight="1" thickBot="1">
      <c r="B11" s="689" t="s">
        <v>246</v>
      </c>
      <c r="C11" s="684" t="str">
        <f>IF(OR(F11=0,I11="",I11=" ")," ",$V11)</f>
        <v xml:space="preserve"> </v>
      </c>
      <c r="D11" s="1033"/>
      <c r="E11" s="1360"/>
      <c r="F11" s="201"/>
      <c r="G11" s="1416"/>
      <c r="H11" s="199" t="str">
        <f ca="1">IF(OR(F11=0,Z11="E",Z11="f")," ",'Project Demand'!E$35)</f>
        <v xml:space="preserve"> </v>
      </c>
      <c r="I11" s="631" t="str">
        <f>IF($I$6&lt;&gt;$BG$8," ",AB11)</f>
        <v xml:space="preserve"> </v>
      </c>
      <c r="J11" s="44" t="str">
        <f ca="1">IF(OR(I11=" ",I11="")," ",OFFSET($BO$9,CL11-1,0-4,1,1))</f>
        <v xml:space="preserve"> </v>
      </c>
      <c r="K11" s="55" t="str">
        <f>IF(OR(I11=" ",I11="")," ",IF(OR(Z11="e",Z11="h"),"SD",BG$24))</f>
        <v xml:space="preserve"> </v>
      </c>
      <c r="L11" s="725">
        <f ca="1">CW11</f>
        <v>0</v>
      </c>
      <c r="M11" s="726">
        <f ca="1">CY11</f>
        <v>0</v>
      </c>
      <c r="N11" s="445">
        <f t="shared" ca="1" si="0"/>
        <v>0</v>
      </c>
      <c r="O11" s="728">
        <f t="shared" ca="1" si="0"/>
        <v>0</v>
      </c>
      <c r="P11" s="138"/>
      <c r="Q11" s="752" t="str">
        <f ca="1">IF(AND(OR(Z11="t",Z11="f"),K11=$BH$11),"No Floor!  Change Floor Type",IF(OR(I11=" ",I11="")," ",IF(F11&lt;OFFSET($BM$9,CL11-1,0,1,1),"check L(m)",DE11&amp;IF(AND(DP11&gt;=CY11,DR11&gt;=DB11),IF(AND(ED11&gt;=DP11,EF11&gt;=DR11),CONCATENATE(DS11," will provide same result"),CONCATENATE(CO11," will provide same result")),IF((DP11&gt;=CY11),CONCATENATE(CO11," provides same result in WIND"),IF((DR11&gt;=DB11),CONCATENATE(CO11," provides same result in EQ"),""))))))&amp;IF(ISERROR(FIND("pile",I11,1)),"",IF(INT(F11)&lt;&gt;F11,"Pile!  Use Whole Numbers Only",""))</f>
        <v xml:space="preserve"> </v>
      </c>
      <c r="R11" s="52"/>
      <c r="S11" s="1372"/>
      <c r="T11" s="52"/>
      <c r="U11" s="1377"/>
      <c r="V11" s="52" t="str">
        <f>IF(AND(B$5=$BF$9,OR(I11=BH$16,I11=BH$17))," ",IF(ISNUMBER(B$8),(CONCATENATE(B$8,".",W11)),(CONCATENATE(B$8,W11))))</f>
        <v>M0</v>
      </c>
      <c r="W11" s="9">
        <f>W10+X11</f>
        <v>0</v>
      </c>
      <c r="X11" s="9">
        <f>IF(AND(B$5=$BF$9,OR($I11=$BH$16,$I11=$BH$17,$I11=" ",$I11="",$F11=0)),0,IF(OR($I11=" ",$I11="",$F11=0),0,1))</f>
        <v>0</v>
      </c>
      <c r="Y11" s="896"/>
      <c r="Z11" s="52" t="str">
        <f ca="1">IF(I11=" "," ",OFFSET($BM$9,$CL11-1,8,1,1))</f>
        <v xml:space="preserve"> </v>
      </c>
      <c r="AA11" s="51" t="str">
        <f>IF(G11&gt;=45,"WA","")</f>
        <v/>
      </c>
      <c r="AB11" s="1364" t="str">
        <f>IF(F11&lt;&gt;"",IF(OR(D11=$BG$12,D11=$BG$13),IF(E11&lt;&gt;$BG$17,$BF$12,$BF$13),IF(E11&lt;&gt;$BG$17,$BF$12,$BF$13))," ")</f>
        <v xml:space="preserve"> </v>
      </c>
      <c r="AC11" s="1"/>
      <c r="AJ11" s="2198"/>
      <c r="AK11" s="2832"/>
      <c r="AL11" s="2787"/>
      <c r="AM11" s="2835"/>
      <c r="AN11" s="2253"/>
      <c r="AO11" s="2253"/>
      <c r="AP11" s="1593"/>
      <c r="AQ11" s="2656"/>
      <c r="AR11" s="2657"/>
      <c r="AS11" s="2651"/>
      <c r="AT11" s="1152"/>
      <c r="AU11" s="2188"/>
      <c r="AW11" s="2658"/>
      <c r="AX11" s="2233"/>
      <c r="BD11" s="2649"/>
      <c r="BF11" s="444" t="s">
        <v>8</v>
      </c>
      <c r="BG11" s="1029" t="s">
        <v>8</v>
      </c>
      <c r="BI11" s="759"/>
      <c r="BJ11" s="922">
        <f>BJ10+1</f>
        <v>3</v>
      </c>
      <c r="BM11" s="52">
        <v>0</v>
      </c>
      <c r="BN11" s="52">
        <v>999</v>
      </c>
      <c r="BO11" s="52">
        <f>AS10</f>
        <v>0</v>
      </c>
      <c r="BP11" s="52">
        <v>0</v>
      </c>
      <c r="BR11" s="52">
        <f>Table!G4</f>
        <v>0</v>
      </c>
      <c r="BS11" s="52">
        <f>Table!G5</f>
        <v>0</v>
      </c>
      <c r="BT11" s="52" t="str">
        <f>Table!H4</f>
        <v>B</v>
      </c>
      <c r="BU11" s="52" t="s">
        <v>242</v>
      </c>
      <c r="BV11" s="909" t="s">
        <v>8</v>
      </c>
      <c r="BW11" s="921">
        <v>0</v>
      </c>
      <c r="CH11" s="768">
        <f>IF(BN11=999,0,(BO12-BO11)/(BN11-BM11))</f>
        <v>0</v>
      </c>
      <c r="CI11" s="924">
        <f>IF(BN11=999,0,(BP12-BP11)/(BN11-BM11))</f>
        <v>0</v>
      </c>
      <c r="CJ11" s="759"/>
      <c r="CK11" s="188"/>
      <c r="CL11" s="979">
        <f>VLOOKUP(I11,Prodlink,2,0)</f>
        <v>0</v>
      </c>
      <c r="CN11" s="497">
        <f ca="1">VLOOKUP(CO11,Prodlink,2,0)</f>
        <v>0</v>
      </c>
      <c r="CO11" s="497">
        <f ca="1">OFFSET($CH$9,CL11-1,-15,1,1)</f>
        <v>0</v>
      </c>
      <c r="CQ11" s="51">
        <v>0</v>
      </c>
      <c r="CR11" s="51">
        <f>IF(K11=$BH$12,$BH$23,IF(K11=$BH$13,$BH$24,10000))</f>
        <v>10000</v>
      </c>
      <c r="CS11" s="51">
        <f ca="1">IF(F11&lt;OFFSET($BM$9,CL11-1,0,1,1),0,IF(F11&lt;OFFSET($BN$9,CL11-1,0,1,1),((F11-OFFSET($BM$9,CL11-1,0,1,1))*OFFSET($CH$9,CL11-1,0,1,1))+OFFSET($BO$9,CL11-1,CQ11,1,1),IF(F11&lt;OFFSET($BN$9,CL11+0,0,1,1),((F11-OFFSET($BM$9,CL11+0,0,1,1))*OFFSET($CH$9,CL11+0,0,1,1))+OFFSET($BO$9,CL11+0,CQ11,1,1),IF(F11&lt;OFFSET($BN$9,CL11+1,0,1,1),((F11-OFFSET($BM$9,CL11+1,0,1,1))*OFFSET($CH$9,CL11+1,0,1,1))+OFFSET($BO$9,CL11+1,CQ11,1,1),IF(F11&lt;OFFSET($BN$9,CL11+2,0,1,1),((F11-OFFSET($BM$9,CL11+2,0,1,1))*OFFSET($CH$9,CL11+2,0,1,1))+OFFSET($BO$9,CL11+2,CQ11,1,1),IF(F11&lt;OFFSET($BN$9,CL11+3,0,1,1),((F11-OFFSET($BM$9,CL11+3,0,1,1))*OFFSET($CH$9,CL11+3,0,1,1))+OFFSET($BO$9,CL11+3,CQ11,1,1),0))))))</f>
        <v>0</v>
      </c>
      <c r="CT11" s="51">
        <f ca="1">IF($F11&lt;OFFSET($BM$9,$CL11-1,0,1,1),0,IF($F11&lt;OFFSET($BN$9,$CL11-1,0,1,1),IF(AND($H11&gt;2.4,Z11&lt;&gt;"e",Z11&lt;&gt;"f"),CX11*2.4/$H11,CX11),IF($F11&lt;OFFSET($BN$9,$CL11+0,0,1,1),IF(AND($H11&gt;2.4,Z11&lt;&gt;"e",Z11&lt;&gt;"f"),CX11*2.4/$H11,CX11),IF($F11&lt;OFFSET($BN$9,$CL11+1,0,1,1),IF(AND($H11&gt;2.4,Z11&lt;&gt;"e",Z11&lt;&gt;"f"),CX11*2.4/$H11,CX11),IF($F11&lt;OFFSET($BN$9,CL11+2,0,1,1),IF(AND($H11&gt;2.4,Z11&lt;&gt;"e",Z11&lt;&gt;"f"),CX11*2.4/$H11,CX11),IF($F11&lt;OFFSET($BN$9,CL11+3,0,1,1),IF(AND($H11&gt;2.4,Z11&lt;&gt;"e",Z11&lt;&gt;"f"),CX11*2.4/$H11,CX11),0)))))*COS(RADIANS($G11)))</f>
        <v>0</v>
      </c>
      <c r="CU11" s="51">
        <f ca="1">IF(F11&lt;OFFSET($BM$9,CL11-1,0,1,1),0,IF(F11&lt;OFFSET($BN$9,CL11-1,0,1,1),((F11-OFFSET($BM$9,CL11-1,0,1,1))*OFFSET($CI$9,CL11-1,0,1,1))+OFFSET($BP$9,CL11-1,CQ11,1,1),IF(F11&lt;OFFSET($BN$9,CL11+0,0,1,1),((F11-OFFSET($BM$9,CL11+0,0,1,1))*OFFSET($CI$9,CL11+0,0,1,1))+OFFSET($BP$9,CL11+0,CQ11,1,1),IF(F11&lt;OFFSET($BN$9,CL11+1,0,1,1),((F11-OFFSET($BM$9,CL11+1,0,1,1))*OFFSET($CI$9,CL11+1,0,1,1))+OFFSET($BP$9,CL11+1,CQ11,1,1),IF(F11&lt;OFFSET($BN$9,CL11+2,0,1,1),((F11-OFFSET($BM$9,CL11+2,0,1,1))*OFFSET($CI$9,CL11+2,0,1,1))+OFFSET($BP$9,CL11+2,CQ11,1,1),IF(F11&lt;OFFSET($BN$9,CL11+3,0,1,1),((F11-OFFSET($BM$9,CL11+3,0,1,1))*OFFSET($CI$9,CL11+3,0,1,1))+OFFSET($BP$9,CL11+3,CQ11,1,1),0))))))</f>
        <v>0</v>
      </c>
      <c r="CV11" s="51">
        <f ca="1">IF($F11&lt;OFFSET($BM$9,$CL11-1,0,1,1),0,IF($F11&lt;OFFSET($BN$9,$CL11-1,0,1,1),IF(AND($H11&gt;2.4,Z11&lt;&gt;"e",Z11&lt;&gt;"f"),CZ11*2.4/$H11,CZ11),IF($F11&lt;OFFSET($BN$9,$CL11+0,0,1,1),IF(AND($H11&gt;2.4,Z11&lt;&gt;"e",Z11&lt;&gt;"f"),CZ11*2.4/$H11,CZ11),IF($F11&lt;OFFSET($BN$9,$CL11+1,0,1,1),IF(AND($H11&gt;2.4,Z11&lt;&gt;"e",Z11&lt;&gt;"f"),CZ11*2.4/$H11,CZ11),IF($F11&lt;OFFSET($BN$9,$CL11+2,0,1,1),IF(AND($H11&gt;2.4,Z11&lt;&gt;"e",Z11&lt;&gt;"f"),CZ11*2.4/$H11,CZ11),IF($F11&lt;OFFSET($BN$9,$CL11+3,0,1,1),IF(AND($H11&gt;2.4,Z11&lt;&gt;"e",Z11&lt;&gt;"f"),CZ11*2.4/$H11,CZ11),0)))))*COS(RADIANS($G11)))</f>
        <v>0</v>
      </c>
      <c r="CW11" s="51">
        <f ca="1">IF(CT11&gt;CR11,CR11,CT11)</f>
        <v>0</v>
      </c>
      <c r="CX11" s="51">
        <f ca="1">IF(CS11&gt;$CR11,$CR11,CS11)</f>
        <v>0</v>
      </c>
      <c r="CY11" s="51">
        <f ca="1">CW11*F11</f>
        <v>0</v>
      </c>
      <c r="CZ11" s="51">
        <f ca="1">IF($CU11&gt;$CR11,$CR11,$CU11)</f>
        <v>0</v>
      </c>
      <c r="DA11" s="51">
        <f ca="1">IF(CV11&gt;CR11,CR11,CV11)</f>
        <v>0</v>
      </c>
      <c r="DB11" s="51">
        <f ca="1">DA11*F11</f>
        <v>0</v>
      </c>
      <c r="DC11" s="993">
        <v>1</v>
      </c>
      <c r="DD11" s="758" t="str">
        <f>IF(OR(D11=BG$12,D11=BG$13),"External",IF(D11=BG$14,"Internal"," "))</f>
        <v xml:space="preserve"> </v>
      </c>
      <c r="DE11" s="51" t="str">
        <f t="shared" ca="1" si="2"/>
        <v/>
      </c>
      <c r="DF11" s="52" t="str">
        <f t="shared" ca="1" si="3"/>
        <v xml:space="preserve"> </v>
      </c>
      <c r="DG11" s="51">
        <f ca="1">IF(F11&lt;OFFSET($BM$9,CN11-1,0,1,1),0,IF(F11&lt;OFFSET($BN$9,CN11-1,0,1,1),((F11-OFFSET($BM$9,CN11-1,0,1,1))*OFFSET($CH$9,CN11-1,0,1,1))+OFFSET($BO$9,CN11-1,CQ11,1,1),IF(F11&lt;OFFSET($BN$9,CN11+0,0,1,1),((F11-OFFSET($BM$9,CN11+0,0,1,1))*OFFSET($CH$9,CN11+0,0,1,1))+OFFSET($BO$9,CN11+0,CQ11,1,1),IF(F11&lt;OFFSET($BN$9,CN11+1,0,1,1),((F11-OFFSET($BM$9,CN11+1,0,1,1))*OFFSET($CH$9,CN11+1,0,1,1))+OFFSET($BO$9,CN11+1,CQ11,1,1),IF(F11&lt;OFFSET($BN$9,CN11+2,0,1,1),((F11-OFFSET($BM$9,CN11+2,0,1,1))*OFFSET($CH$9,CN11+2,0,1,1))+OFFSET($BO$9,CN11+2,CQ11,1,1),IF(F11&lt;OFFSET($BN$9,CN11+3,0,1,1),((F11-OFFSET($BM$9,CN11+3,0,1,1))*OFFSET($CH$9,CN11+3,0,1,1))+OFFSET($BO$9,CN11+3,CQ11,1,1),0))))))</f>
        <v>0</v>
      </c>
      <c r="DH11" s="51">
        <f ca="1">IF($F11&lt;OFFSET($BM$9,$CN11-1,0,1,1),0,IF($F11&lt;OFFSET($BN$9,$CN11-1,0,1,1),IF(AND($H11&gt;2.4,Z11&lt;&gt;"e",Z11&lt;&gt;"f"),DL11*2.4/$H11,DL11),IF($F11&lt;OFFSET($BN$9,$CN11+0,0,1,1),IF(AND($H11&gt;2.4,Z11&lt;&gt;"e",Z11&lt;&gt;"f"),DL11*2.4/$H11,DL11),IF($F11&lt;OFFSET($BN$9,$CN11+1,0,1,1),IF(AND($H11&gt;2.4,Z11&lt;&gt;"e",Z11&lt;&gt;"f"),DL11*2.4/$H11,DL11),IF($F11&lt;OFFSET($BN$9,$CN11+2,0,1,1),IF(AND($H11&gt;2.4,Z11&lt;&gt;"e",Z11&lt;&gt;"f"),DL11*2.4/$H11,DL11),IF($F11&lt;OFFSET($BN$9,$CN11+3,0,1,1),IF(AND($H11&gt;2.4,Z11&lt;&gt;"e",Z11&lt;&gt;"f"),DL11*2.4/$H11,DL11),0)))))*COS(RADIANS($G11)))</f>
        <v>0</v>
      </c>
      <c r="DI11" s="51">
        <f ca="1">IF(F11&lt;OFFSET($BM$9,CN11-1,0,1,1),0,IF(F11&lt;OFFSET($BN$9,CN11-1,0,1,1),((F11-OFFSET($BM$9,CN11-1,0,1,1))*OFFSET($CI$9,CN11-1,0,1,1))+OFFSET($BP$9,CN11-1,CQ11,1,1),IF(F11&lt;OFFSET($BN$9,CN11+0,0,1,1),((F11-OFFSET($BM$9,CN11+0,0,1,1))*OFFSET($CI$9,CN11+0,0,1,1))+OFFSET($BP$9,CN11+0,CQ11,1,1),IF(F11&lt;OFFSET($BN$9,CN11+1,0,1,1),((F11-OFFSET($BM$9,CN11+1,0,1,1))*OFFSET($CI$9,CN11+1,0,1,1))+OFFSET($BP$9,CN11+1,CQ11,1,1),IF(F11&lt;OFFSET($BN$9,CN11+2,0,1,1),((F11-OFFSET($BM$9,CN11+2,0,1,1))*OFFSET($CI$9,CN11+2,0,1,1))+OFFSET($BP$9,CN11+2,CQ11,1,1),IF(F11&lt;OFFSET($BN$9,CN11+3,0,1,1),((F11-OFFSET($BM$9,CN11+3,0,1,1))*OFFSET($CI$9,CN11+3,0,1,1))+OFFSET($BP$9,CN11+3,CQ11,1,1),0))))))</f>
        <v>0</v>
      </c>
      <c r="DJ11" s="51">
        <f ca="1">IF($F11&lt;OFFSET($BM$9,$CN11-1,0,1,1),0,IF($F11&lt;OFFSET($BN$9,$CN11-1,0,1,1),IF(AND($H11&gt;2.4,Z11&lt;&gt;"e",Z11&lt;&gt;"f"),DN11*2.4/$H11,DN11),IF($F11&lt;OFFSET($BN$9,$CN11+0,0,1,1),IF(AND($H11&gt;2.4,Z11&lt;&gt;"e",Z11&lt;&gt;"f"),DN11*2.4/$H11,DN11),IF($F11&lt;OFFSET($BN$9,$CN11+1,0,1,1),IF(AND($H11&gt;2.4,Z11&lt;&gt;"e",Z11&lt;&gt;"f"),DN11*2.4/$H11,DN11),IF($F11&lt;OFFSET($BN$9,$CN11+2,0,1,1),IF(AND($H11&gt;2.4,Z11&lt;&gt;"e",Z11&lt;&gt;"f"),DN11*2.4/$H11,DN11),IF($F11&lt;OFFSET($BN$9,$CN11+3,0,1,1),IF(AND($H11&gt;2.4,Z11&lt;&gt;"e",Z11&lt;&gt;"f"),DN11*2.4/$H11,DN11),0)))))*COS(RADIANS($G11)))</f>
        <v>0</v>
      </c>
      <c r="DK11" s="51"/>
      <c r="DL11" s="51">
        <f ca="1">IF(DG11&gt;$CR11,$CR11,DG11)</f>
        <v>0</v>
      </c>
      <c r="DM11" s="51"/>
      <c r="DN11" s="51">
        <f ca="1">IF(DI11&gt;$CR11,$CR11,DI11)</f>
        <v>0</v>
      </c>
      <c r="DO11" s="435">
        <f ca="1">IF(DH11&gt;$CR11,$CR11,DH11)</f>
        <v>0</v>
      </c>
      <c r="DP11" s="435">
        <f ca="1">DO11*F11</f>
        <v>0</v>
      </c>
      <c r="DQ11" s="436">
        <f ca="1">IF(DJ11&gt;$CR11,$CR11,DJ11)</f>
        <v>0</v>
      </c>
      <c r="DR11" s="437">
        <f ca="1">DQ11*F11</f>
        <v>0</v>
      </c>
      <c r="DS11" s="426">
        <f ca="1">OFFSET($CH$9,CL11-1,-15,1,1)</f>
        <v>0</v>
      </c>
      <c r="DT11" s="451">
        <f t="shared" ca="1" si="1"/>
        <v>0</v>
      </c>
      <c r="DU11" s="188">
        <f ca="1">IF(F11&lt;OFFSET($BM$9,DT11-1,0,1,1),0,IF(F11&lt;OFFSET($BN$9,DT11-1,0,1,1),((F11-OFFSET($BM$9,DT11-1,0,1,1))*OFFSET($CH$9,DT11-1,0,1,1))+OFFSET($BO$9,DT11-1,CQ11,1,1),IF(F11&lt;OFFSET($BN$9,DT11+0,0,1,1),((F11-OFFSET($BM$9,DT11+0,0,1,1))*OFFSET($CH$9,DT11+0,0,1,1))+OFFSET($BO$9,DT11+0,CQ11,1,1),IF(F11&lt;OFFSET($BN$9,DT11+1,0,1,1),((F11-OFFSET($BM$9,DT11+1,0,1,1))*OFFSET($CH$9,DT11+1,0,1,1))+OFFSET($BO$9,DT11+1,CQ11,1,1),IF(F11&lt;OFFSET($BN$9,DT11+2,0,1,1),((F11-OFFSET($BM$9,DT11+2,0,1,1))*OFFSET($CH$9,DT11+2,0,1,1))+OFFSET($BO$9,DT11+2,CQ11,1,1),IF(F11&lt;OFFSET($BN$9,DT11+3,0,1,1),((F11-OFFSET($BM$9,DT11+3,0,1,1))*OFFSET($CH$9,DT11+3,0,1,1))+OFFSET($BO$9,DT11+3,CQ11,1,1),0))))))</f>
        <v>0</v>
      </c>
      <c r="DV11" s="51">
        <f ca="1">IF($F11&lt;OFFSET($BM$9,$DT11-1,0,1,1),0,IF($F11&lt;OFFSET($BN$9,$DT11-1,0,1,1),IF(AND($H11&gt;2.4,Z11&lt;&gt;"e",Z11&lt;&gt;"f"),DZ11*2.4/$H11,DZ11),IF($F11&lt;OFFSET($BN$9,$DT11+0,0,1,1),IF(AND($H11&gt;2.4,Z11&lt;&gt;"e",Z11&lt;&gt;"f"),DZ11*2.4/$H11,DZ11),IF($F11&lt;OFFSET($BN$9,$DT11+1,0,1,1),IF(AND($H11&gt;2.4,Z11&lt;&gt;"e",Z11&lt;&gt;"f"),DZ11*2.4/$H11,DZ11),IF($F11&lt;OFFSET($BN$9,$DT11+2,0,1,1),IF(AND($H11&gt;2.4,Z11&lt;&gt;"e",Z11&lt;&gt;"f"),DZ11*2.4/$H11,DZ11),IF($F11&lt;OFFSET($BN$9,$DT11+3,0,1,1),IF(AND($H11&gt;2.4,Z11&lt;&gt;"e",Z11&lt;&gt;"f"),DZ11*2.4/$H11,DZ11),0)))))*COS(RADIANS($G11)))</f>
        <v>0</v>
      </c>
      <c r="DW11" s="188">
        <f ca="1">IF(F11&lt;OFFSET($BM$9,DT11-1,0,1,1),0,IF(F11&lt;OFFSET($BN$9,DT11-1,0,1,1),((F11-OFFSET($BM$9,DT11-1,0,1,1))*OFFSET($CI$9,DT11-1,0,1,1))+OFFSET($BP$9,DT11-1,CQ11,1,1),IF(F11&lt;OFFSET($BN$9,DT11+0,0,1,1),((F11-OFFSET($BM$9,DT11+0,0,1,1))*OFFSET($CI$9,DT11+0,0,1,1))+OFFSET($BP$9,DT11+0,CQ11,1,1),IF(F11&lt;OFFSET($BN$9,DT11+1,0,1,1),((F11-OFFSET($BM$9,DT11+1,0,1,1))*OFFSET($CI$9,DT11+1,0,1,1))+OFFSET($BP$9,DT11+1,CQ11,1,1),IF(F11&lt;OFFSET($BN$9,DT11+2,0,1,1),((F11-OFFSET($BM$9,DT11+2,0,1,1))*OFFSET($CI$9,DT11+2,0,1,1))+OFFSET($BP$9,DT11+2,CQ11,1,1),IF(F11&lt;OFFSET($BN$9,DT11+3,0,1,1),((F11-OFFSET($BM$9,DT11+3,0,1,1))*OFFSET($CI$9,DT11+3,0,1,1))+OFFSET($BP$9,DT11+3,CQ11,1,1),0))))))</f>
        <v>0</v>
      </c>
      <c r="DX11" s="51">
        <f ca="1">IF($F11&lt;OFFSET($BM$9,$DT11-1,0,1,1),0,IF($F11&lt;OFFSET($BN$9,$DT11-1,0,1,1),IF(AND($H11&gt;2.4,Z11&lt;&gt;"e",Z11&lt;&gt;"f"),EB11*2.4/$H11,EB11),IF($F11&lt;OFFSET($BN$9,$DT11+0,0,1,1),IF(AND($H11&gt;2.4,Z11&lt;&gt;"e",Z11&lt;&gt;"f"),EB11*2.4/$H11,EB11),IF($F11&lt;OFFSET($BN$9,$DT11+1,0,1,1),IF(AND($H11&gt;2.4,Z11&lt;&gt;"e",Z11&lt;&gt;"f"),EB11*2.4/$H11,EB11),IF($F11&lt;OFFSET($BN$9,$DT11+2,0,1,1),IF(AND($H11&gt;2.4,Z11&lt;&gt;"e",Z11&lt;&gt;"f"),EB11*2.4/$H11,EB11),IF($F11&lt;OFFSET($BN$9,$DT11+3,0,1,1),IF(AND($H11&gt;2.4,Z11&lt;&gt;"e",Z11&lt;&gt;"f"),EB11*2.4/$H11,EB11),0)))))*COS(RADIANS($G11)))</f>
        <v>0</v>
      </c>
      <c r="DY11" s="188"/>
      <c r="DZ11" s="188">
        <f ca="1">IF(DU11&gt;$CR11,$CR11,DU11)</f>
        <v>0</v>
      </c>
      <c r="EA11" s="188"/>
      <c r="EB11" s="188">
        <f ca="1">IF(DW11&gt;$CR11,$CR11,DW11)</f>
        <v>0</v>
      </c>
      <c r="EC11" s="435">
        <f ca="1">IF(DV11&gt;$CR11,$CR11,DV11)</f>
        <v>0</v>
      </c>
      <c r="ED11" s="435">
        <f ca="1">EC11*F11</f>
        <v>0</v>
      </c>
      <c r="EE11" s="436">
        <f ca="1">IF(DX11&gt;$CR11,$CR11,DX11)</f>
        <v>0</v>
      </c>
      <c r="EF11" s="437">
        <f ca="1">EE11*F11</f>
        <v>0</v>
      </c>
      <c r="EG11" s="613" t="str">
        <f>IF(D11=BG$12,BG$12,"")</f>
        <v/>
      </c>
      <c r="EH11" s="614" t="str">
        <f>IF(D11=BG$13,BG$13,"")</f>
        <v/>
      </c>
      <c r="EI11" s="611">
        <f>IF(EG11=BG$12,M11,0)</f>
        <v>0</v>
      </c>
      <c r="EJ11" s="451">
        <f>IF(EG11=BG$12,O11,0)</f>
        <v>0</v>
      </c>
      <c r="EK11" s="451">
        <f>IF(EH11=BG$13,M11,0)</f>
        <v>0</v>
      </c>
      <c r="EL11" s="612">
        <f>IF(EH11=BG$13,O11,0)</f>
        <v>0</v>
      </c>
      <c r="EM11" s="426" t="str">
        <f ca="1">IF(AND(Z11&lt;&gt;"t",Z11&lt;&gt;"f"),"",IF(AND(EN11=$BH$13,K11=$BH$12),"NotOpt",IF(K11&lt;&gt;EN11,"Error","")))</f>
        <v/>
      </c>
      <c r="EN11" s="491" t="str">
        <f>IF(AND($BH$28=1,$BG$28=1),$BH$13,$BH$12)</f>
        <v>120 BU's</v>
      </c>
      <c r="EO11" s="426" t="str">
        <f>K11</f>
        <v xml:space="preserve"> </v>
      </c>
      <c r="EP11" s="497">
        <v>1</v>
      </c>
      <c r="EQ11" s="430" t="str">
        <f ca="1">IF(EP11=1," ",OFFSET(BF$15,EP11-2,0,1,1))</f>
        <v xml:space="preserve"> </v>
      </c>
      <c r="ER11" s="439" t="str">
        <f ca="1">IF(H11=0," ",H11)</f>
        <v xml:space="preserve"> </v>
      </c>
      <c r="ES11" s="440" t="str">
        <f ca="1">IF(ER11&lt;&gt;" ",IF(ER11&lt;&gt;ER$7,"Changed",""),"")</f>
        <v/>
      </c>
      <c r="ET11" s="440">
        <f ca="1">IF(ER11&lt;&gt;" ",IF(ER11&lt;&gt;ER$7,1,0),0)</f>
        <v>0</v>
      </c>
      <c r="EU11" s="957" t="str">
        <f ca="1">IF(I11=" "," ",IF(F11&lt;OFFSET($BM$9,CL11-1,0,1,1),1,""))</f>
        <v xml:space="preserve"> </v>
      </c>
      <c r="EW11" s="427"/>
      <c r="EX11"/>
    </row>
    <row r="12" spans="1:154" ht="17.100000000000001" customHeight="1" thickBot="1">
      <c r="B12" s="689" t="s">
        <v>246</v>
      </c>
      <c r="C12" s="684" t="str">
        <f>IF(OR(F12=0,I12="",I12=" ")," ",$V12)</f>
        <v xml:space="preserve"> </v>
      </c>
      <c r="D12" s="1418"/>
      <c r="E12" s="1034"/>
      <c r="F12" s="201"/>
      <c r="G12" s="1416"/>
      <c r="H12" s="199" t="str">
        <f ca="1">IF(OR(F12=0,Z12="E",Z12="f")," ",'Project Demand'!E$35)</f>
        <v xml:space="preserve"> </v>
      </c>
      <c r="I12" s="631" t="str">
        <f>IF($I$6&lt;&gt;$BG$8," ",AB12)</f>
        <v xml:space="preserve"> </v>
      </c>
      <c r="J12" s="44" t="str">
        <f ca="1">IF(OR(I12=" ",I12="")," ",OFFSET($BO$9,CL12-1,0-4,1,1))</f>
        <v xml:space="preserve"> </v>
      </c>
      <c r="K12" s="55" t="str">
        <f>IF(OR(I12=" ",I12="")," ",IF(OR(Z12="e",Z12="h"),"SD",BG$24))</f>
        <v xml:space="preserve"> </v>
      </c>
      <c r="L12" s="725">
        <f ca="1">CW12</f>
        <v>0</v>
      </c>
      <c r="M12" s="727">
        <f ca="1">CY12</f>
        <v>0</v>
      </c>
      <c r="N12" s="445">
        <f t="shared" ca="1" si="0"/>
        <v>0</v>
      </c>
      <c r="O12" s="728">
        <f t="shared" ca="1" si="0"/>
        <v>0</v>
      </c>
      <c r="P12" s="138"/>
      <c r="Q12" s="752" t="str">
        <f ca="1">IF(AND(OR(Z12="t",Z12="f"),K12=$BH$11),"No Floor!  Change Floor Type",IF(OR(I12=" ",I12="")," ",IF(F12&lt;OFFSET($BM$9,CL12-1,0,1,1),"check L(m)",DE12&amp;IF(AND(DP12&gt;=CY12,DR12&gt;=DB12),IF(AND(ED12&gt;=DP12,EF12&gt;=DR12),CONCATENATE(DS12," will provide same result"),CONCATENATE(CO12," will provide same result")),IF((DP12&gt;=CY12),CONCATENATE(CO12," provides same result in WIND"),IF((DR12&gt;=DB12),CONCATENATE(CO12," provides same result in EQ"),""))))))&amp;IF(ISERROR(FIND("pile",I12,1)),"",IF(INT(F12)&lt;&gt;F12,"Pile!  Use Whole Numbers Only",""))</f>
        <v xml:space="preserve"> </v>
      </c>
      <c r="T12" s="52"/>
      <c r="U12" s="1377"/>
      <c r="V12" s="52" t="str">
        <f>IF(AND(B$5=$BF$9,OR(I12=BH$16,I12=BH$17))," ",IF(ISNUMBER(B$8),(CONCATENATE(B$8,".",W12)),(CONCATENATE(B$8,W12))))</f>
        <v>M0</v>
      </c>
      <c r="W12" s="9">
        <f>W11+X12</f>
        <v>0</v>
      </c>
      <c r="X12" s="9">
        <f>IF(AND(B$5=$BF$9,OR($I12=$BH$16,$I12=$BH$17,$I12=" ",$I12="",$F12=0)),0,IF(OR($I12=" ",$I12="",$F12=0),0,1))</f>
        <v>0</v>
      </c>
      <c r="Y12" s="896"/>
      <c r="Z12" s="52" t="str">
        <f ca="1">IF(I12=" "," ",OFFSET($BM$9,$CL12-1,8,1,1))</f>
        <v xml:space="preserve"> </v>
      </c>
      <c r="AA12" s="51" t="str">
        <f>IF(G12&gt;=45,"WA","")</f>
        <v/>
      </c>
      <c r="AB12" s="1364" t="str">
        <f>IF(F12&lt;&gt;"",IF(OR(D12=$BG$12,D12=$BG$13),IF(E12&lt;&gt;$BG$17,$BF$12,$BF$13),IF(E12&lt;&gt;$BG$17,$BF$12,$BF$13))," ")</f>
        <v xml:space="preserve"> </v>
      </c>
      <c r="AC12" s="1"/>
      <c r="AJ12" s="2229" t="str">
        <f>'Regular and QuickBrace Systems'!C24</f>
        <v xml:space="preserve">Elephant Plasterboard ®  (EPB)  </v>
      </c>
      <c r="AK12" s="2805" t="str">
        <f>'Regular and QuickBrace Systems'!D24</f>
        <v>Plasterboard on One Side</v>
      </c>
      <c r="AL12" s="2806"/>
      <c r="AM12" s="2806"/>
      <c r="AN12" s="2806"/>
      <c r="AO12" s="1302"/>
      <c r="AP12" s="1302"/>
      <c r="AQ12" s="1303"/>
      <c r="AR12" s="1303"/>
      <c r="AS12" s="1334"/>
      <c r="AT12" s="1188"/>
      <c r="AU12" s="1354"/>
      <c r="AW12" s="1582"/>
      <c r="AX12" s="1571"/>
      <c r="BD12" s="2667"/>
      <c r="BF12" s="598" t="str">
        <f>Table!AI72</f>
        <v>ER1</v>
      </c>
      <c r="BG12" s="1026" t="str">
        <f>IF('Project Demand'!AX21=1,BG32,BG35)</f>
        <v>Left External</v>
      </c>
      <c r="BH12" s="709" t="str">
        <f>IF($BE$3=1,BH$19,BG$19)</f>
        <v>120 BU's</v>
      </c>
      <c r="BI12" s="759"/>
      <c r="BJ12" s="897">
        <f t="shared" ref="BJ12:BJ40" si="4">BJ11+1</f>
        <v>4</v>
      </c>
      <c r="BK12" s="769" t="str">
        <f t="shared" ref="BK12:BK31" si="5">AK48</f>
        <v xml:space="preserve">  </v>
      </c>
      <c r="BL12" s="770" t="str">
        <f t="shared" ref="BL12:BL31" si="6">AL48</f>
        <v>Custom1</v>
      </c>
      <c r="BM12" s="454">
        <f t="shared" ref="BM12:BM31" si="7">AM48</f>
        <v>9.9999999999999996E-76</v>
      </c>
      <c r="BN12" s="454">
        <v>999</v>
      </c>
      <c r="BO12" s="454">
        <f t="shared" ref="BO12:BO31" si="8">AN48</f>
        <v>0</v>
      </c>
      <c r="BP12" s="924">
        <f t="shared" ref="BP12:BP31" si="9">AO48</f>
        <v>0</v>
      </c>
      <c r="BR12" s="768"/>
      <c r="BS12" s="454"/>
      <c r="BT12" s="454" t="str">
        <f t="shared" ref="BT12:BT31" si="10">AP48</f>
        <v>B</v>
      </c>
      <c r="BU12" s="924" t="str">
        <f t="shared" ref="BU12:BU31" si="11">AZ48</f>
        <v>T</v>
      </c>
      <c r="BV12" s="483" t="str">
        <f t="shared" ref="BV12:BV31" si="12">AL48</f>
        <v>Custom1</v>
      </c>
      <c r="BW12" s="910">
        <v>4</v>
      </c>
      <c r="BX12" s="924" t="str">
        <f>AQ48</f>
        <v>Single</v>
      </c>
      <c r="CH12" s="768">
        <f t="shared" ref="CH12:CH31" si="13">IF(BN12=999,0,(BO13-BO12)/(BN12-BM12))</f>
        <v>0</v>
      </c>
      <c r="CI12" s="924">
        <f t="shared" ref="CI12:CI31" si="14">IF(BN12=999,0,(BP13-BP12)/(BN12-BM12))</f>
        <v>0</v>
      </c>
      <c r="CJ12" s="759"/>
      <c r="CK12" s="188"/>
      <c r="CL12" s="979">
        <f>VLOOKUP(I12,Prodlink,2,0)</f>
        <v>0</v>
      </c>
      <c r="CN12" s="497">
        <f ca="1">VLOOKUP(CO12,Prodlink,2,0)</f>
        <v>0</v>
      </c>
      <c r="CO12" s="497">
        <f ca="1">OFFSET($CH$9,CL12-1,-15,1,1)</f>
        <v>0</v>
      </c>
      <c r="CQ12" s="51">
        <v>0</v>
      </c>
      <c r="CR12" s="51">
        <f>IF(K12=$BH$12,$BH$23,IF(K12=$BH$13,$BH$24,10000))</f>
        <v>10000</v>
      </c>
      <c r="CS12" s="51">
        <f ca="1">IF(F12&lt;OFFSET($BM$9,CL12-1,0,1,1),0,IF(F12&lt;OFFSET($BN$9,CL12-1,0,1,1),((F12-OFFSET($BM$9,CL12-1,0,1,1))*OFFSET($CH$9,CL12-1,0,1,1))+OFFSET($BO$9,CL12-1,CQ12,1,1),IF(F12&lt;OFFSET($BN$9,CL12+0,0,1,1),((F12-OFFSET($BM$9,CL12+0,0,1,1))*OFFSET($CH$9,CL12+0,0,1,1))+OFFSET($BO$9,CL12+0,CQ12,1,1),IF(F12&lt;OFFSET($BN$9,CL12+1,0,1,1),((F12-OFFSET($BM$9,CL12+1,0,1,1))*OFFSET($CH$9,CL12+1,0,1,1))+OFFSET($BO$9,CL12+1,CQ12,1,1),IF(F12&lt;OFFSET($BN$9,CL12+2,0,1,1),((F12-OFFSET($BM$9,CL12+2,0,1,1))*OFFSET($CH$9,CL12+2,0,1,1))+OFFSET($BO$9,CL12+2,CQ12,1,1),IF(F12&lt;OFFSET($BN$9,CL12+3,0,1,1),((F12-OFFSET($BM$9,CL12+3,0,1,1))*OFFSET($CH$9,CL12+3,0,1,1))+OFFSET($BO$9,CL12+3,CQ12,1,1),0))))))</f>
        <v>0</v>
      </c>
      <c r="CT12" s="51">
        <f ca="1">IF($F12&lt;OFFSET($BM$9,$CL12-1,0,1,1),0,IF($F12&lt;OFFSET($BN$9,$CL12-1,0,1,1),IF(AND($H12&gt;2.4,Z12&lt;&gt;"e",Z12&lt;&gt;"f"),CX12*2.4/$H12,CX12),IF($F12&lt;OFFSET($BN$9,$CL12+0,0,1,1),IF(AND($H12&gt;2.4,Z12&lt;&gt;"e",Z12&lt;&gt;"f"),CX12*2.4/$H12,CX12),IF($F12&lt;OFFSET($BN$9,$CL12+1,0,1,1),IF(AND($H12&gt;2.4,Z12&lt;&gt;"e",Z12&lt;&gt;"f"),CX12*2.4/$H12,CX12),IF($F12&lt;OFFSET($BN$9,CL12+2,0,1,1),IF(AND($H12&gt;2.4,Z12&lt;&gt;"e",Z12&lt;&gt;"f"),CX12*2.4/$H12,CX12),IF($F12&lt;OFFSET($BN$9,CL12+3,0,1,1),IF(AND($H12&gt;2.4,Z12&lt;&gt;"e",Z12&lt;&gt;"f"),CX12*2.4/$H12,CX12),0)))))*COS(RADIANS($G12)))</f>
        <v>0</v>
      </c>
      <c r="CU12" s="51">
        <f ca="1">IF(F12&lt;OFFSET($BM$9,CL12-1,0,1,1),0,IF(F12&lt;OFFSET($BN$9,CL12-1,0,1,1),((F12-OFFSET($BM$9,CL12-1,0,1,1))*OFFSET($CI$9,CL12-1,0,1,1))+OFFSET($BP$9,CL12-1,CQ12,1,1),IF(F12&lt;OFFSET($BN$9,CL12+0,0,1,1),((F12-OFFSET($BM$9,CL12+0,0,1,1))*OFFSET($CI$9,CL12+0,0,1,1))+OFFSET($BP$9,CL12+0,CQ12,1,1),IF(F12&lt;OFFSET($BN$9,CL12+1,0,1,1),((F12-OFFSET($BM$9,CL12+1,0,1,1))*OFFSET($CI$9,CL12+1,0,1,1))+OFFSET($BP$9,CL12+1,CQ12,1,1),IF(F12&lt;OFFSET($BN$9,CL12+2,0,1,1),((F12-OFFSET($BM$9,CL12+2,0,1,1))*OFFSET($CI$9,CL12+2,0,1,1))+OFFSET($BP$9,CL12+2,CQ12,1,1),IF(F12&lt;OFFSET($BN$9,CL12+3,0,1,1),((F12-OFFSET($BM$9,CL12+3,0,1,1))*OFFSET($CI$9,CL12+3,0,1,1))+OFFSET($BP$9,CL12+3,CQ12,1,1),0))))))</f>
        <v>0</v>
      </c>
      <c r="CV12" s="51">
        <f ca="1">IF($F12&lt;OFFSET($BM$9,$CL12-1,0,1,1),0,IF($F12&lt;OFFSET($BN$9,$CL12-1,0,1,1),IF(AND($H12&gt;2.4,Z12&lt;&gt;"e",Z12&lt;&gt;"f"),CZ12*2.4/$H12,CZ12),IF($F12&lt;OFFSET($BN$9,$CL12+0,0,1,1),IF(AND($H12&gt;2.4,Z12&lt;&gt;"e",Z12&lt;&gt;"f"),CZ12*2.4/$H12,CZ12),IF($F12&lt;OFFSET($BN$9,$CL12+1,0,1,1),IF(AND($H12&gt;2.4,Z12&lt;&gt;"e",Z12&lt;&gt;"f"),CZ12*2.4/$H12,CZ12),IF($F12&lt;OFFSET($BN$9,$CL12+2,0,1,1),IF(AND($H12&gt;2.4,Z12&lt;&gt;"e",Z12&lt;&gt;"f"),CZ12*2.4/$H12,CZ12),IF($F12&lt;OFFSET($BN$9,$CL12+3,0,1,1),IF(AND($H12&gt;2.4,Z12&lt;&gt;"e",Z12&lt;&gt;"f"),CZ12*2.4/$H12,CZ12),0)))))*COS(RADIANS($G12)))</f>
        <v>0</v>
      </c>
      <c r="CW12" s="51">
        <f ca="1">IF(CT12&gt;CR12,CR12,CT12)</f>
        <v>0</v>
      </c>
      <c r="CX12" s="51">
        <f ca="1">IF(CS12&gt;$CR12,$CR12,CS12)</f>
        <v>0</v>
      </c>
      <c r="CY12" s="51">
        <f ca="1">CW12*F12</f>
        <v>0</v>
      </c>
      <c r="CZ12" s="51">
        <f ca="1">IF($CU12&gt;$CR12,$CR12,$CU12)</f>
        <v>0</v>
      </c>
      <c r="DA12" s="51">
        <f ca="1">IF(CV12&gt;CR12,CR12,CV12)</f>
        <v>0</v>
      </c>
      <c r="DB12" s="51">
        <f ca="1">DA12*F12</f>
        <v>0</v>
      </c>
      <c r="DC12" s="993">
        <v>1</v>
      </c>
      <c r="DD12" s="758" t="str">
        <f>IF(OR(D12=BG$12,D12=BG$13),"External",IF(D12=BG$14,"Internal"," "))</f>
        <v xml:space="preserve"> </v>
      </c>
      <c r="DE12" s="51" t="str">
        <f t="shared" ca="1" si="2"/>
        <v/>
      </c>
      <c r="DF12" s="52" t="str">
        <f t="shared" ca="1" si="3"/>
        <v xml:space="preserve"> </v>
      </c>
      <c r="DG12" s="51">
        <f ca="1">IF(F12&lt;OFFSET($BM$9,CN12-1,0,1,1),0,IF(F12&lt;OFFSET($BN$9,CN12-1,0,1,1),((F12-OFFSET($BM$9,CN12-1,0,1,1))*OFFSET($CH$9,CN12-1,0,1,1))+OFFSET($BO$9,CN12-1,CQ12,1,1),IF(F12&lt;OFFSET($BN$9,CN12+0,0,1,1),((F12-OFFSET($BM$9,CN12+0,0,1,1))*OFFSET($CH$9,CN12+0,0,1,1))+OFFSET($BO$9,CN12+0,CQ12,1,1),IF(F12&lt;OFFSET($BN$9,CN12+1,0,1,1),((F12-OFFSET($BM$9,CN12+1,0,1,1))*OFFSET($CH$9,CN12+1,0,1,1))+OFFSET($BO$9,CN12+1,CQ12,1,1),IF(F12&lt;OFFSET($BN$9,CN12+2,0,1,1),((F12-OFFSET($BM$9,CN12+2,0,1,1))*OFFSET($CH$9,CN12+2,0,1,1))+OFFSET($BO$9,CN12+2,CQ12,1,1),IF(F12&lt;OFFSET($BN$9,CN12+3,0,1,1),((F12-OFFSET($BM$9,CN12+3,0,1,1))*OFFSET($CH$9,CN12+3,0,1,1))+OFFSET($BO$9,CN12+3,CQ12,1,1),0))))))</f>
        <v>0</v>
      </c>
      <c r="DH12" s="51">
        <f ca="1">IF($F12&lt;OFFSET($BM$9,$CN12-1,0,1,1),0,IF($F12&lt;OFFSET($BN$9,$CN12-1,0,1,1),IF(AND($H12&gt;2.4,Z12&lt;&gt;"e",Z12&lt;&gt;"f"),DL12*2.4/$H12,DL12),IF($F12&lt;OFFSET($BN$9,$CN12+0,0,1,1),IF(AND($H12&gt;2.4,Z12&lt;&gt;"e",Z12&lt;&gt;"f"),DL12*2.4/$H12,DL12),IF($F12&lt;OFFSET($BN$9,$CN12+1,0,1,1),IF(AND($H12&gt;2.4,Z12&lt;&gt;"e",Z12&lt;&gt;"f"),DL12*2.4/$H12,DL12),IF($F12&lt;OFFSET($BN$9,$CN12+2,0,1,1),IF(AND($H12&gt;2.4,Z12&lt;&gt;"e",Z12&lt;&gt;"f"),DL12*2.4/$H12,DL12),IF($F12&lt;OFFSET($BN$9,$CN12+3,0,1,1),IF(AND($H12&gt;2.4,Z12&lt;&gt;"e",Z12&lt;&gt;"f"),DL12*2.4/$H12,DL12),0)))))*COS(RADIANS($G12)))</f>
        <v>0</v>
      </c>
      <c r="DI12" s="51">
        <f ca="1">IF(F12&lt;OFFSET($BM$9,CN12-1,0,1,1),0,IF(F12&lt;OFFSET($BN$9,CN12-1,0,1,1),((F12-OFFSET($BM$9,CN12-1,0,1,1))*OFFSET($CI$9,CN12-1,0,1,1))+OFFSET($BP$9,CN12-1,CQ12,1,1),IF(F12&lt;OFFSET($BN$9,CN12+0,0,1,1),((F12-OFFSET($BM$9,CN12+0,0,1,1))*OFFSET($CI$9,CN12+0,0,1,1))+OFFSET($BP$9,CN12+0,CQ12,1,1),IF(F12&lt;OFFSET($BN$9,CN12+1,0,1,1),((F12-OFFSET($BM$9,CN12+1,0,1,1))*OFFSET($CI$9,CN12+1,0,1,1))+OFFSET($BP$9,CN12+1,CQ12,1,1),IF(F12&lt;OFFSET($BN$9,CN12+2,0,1,1),((F12-OFFSET($BM$9,CN12+2,0,1,1))*OFFSET($CI$9,CN12+2,0,1,1))+OFFSET($BP$9,CN12+2,CQ12,1,1),IF(F12&lt;OFFSET($BN$9,CN12+3,0,1,1),((F12-OFFSET($BM$9,CN12+3,0,1,1))*OFFSET($CI$9,CN12+3,0,1,1))+OFFSET($BP$9,CN12+3,CQ12,1,1),0))))))</f>
        <v>0</v>
      </c>
      <c r="DJ12" s="51">
        <f ca="1">IF($F12&lt;OFFSET($BM$9,$CN12-1,0,1,1),0,IF($F12&lt;OFFSET($BN$9,$CN12-1,0,1,1),IF(AND($H12&gt;2.4,Z12&lt;&gt;"e",Z12&lt;&gt;"f"),DN12*2.4/$H12,DN12),IF($F12&lt;OFFSET($BN$9,$CN12+0,0,1,1),IF(AND($H12&gt;2.4,Z12&lt;&gt;"e",Z12&lt;&gt;"f"),DN12*2.4/$H12,DN12),IF($F12&lt;OFFSET($BN$9,$CN12+1,0,1,1),IF(AND($H12&gt;2.4,Z12&lt;&gt;"e",Z12&lt;&gt;"f"),DN12*2.4/$H12,DN12),IF($F12&lt;OFFSET($BN$9,$CN12+2,0,1,1),IF(AND($H12&gt;2.4,Z12&lt;&gt;"e",Z12&lt;&gt;"f"),DN12*2.4/$H12,DN12),IF($F12&lt;OFFSET($BN$9,$CN12+3,0,1,1),IF(AND($H12&gt;2.4,Z12&lt;&gt;"e",Z12&lt;&gt;"f"),DN12*2.4/$H12,DN12),0)))))*COS(RADIANS($G12)))</f>
        <v>0</v>
      </c>
      <c r="DK12" s="51"/>
      <c r="DL12" s="51">
        <f ca="1">IF(DG12&gt;$CR12,$CR12,DG12)</f>
        <v>0</v>
      </c>
      <c r="DM12" s="51"/>
      <c r="DN12" s="51">
        <f ca="1">IF(DI12&gt;$CR12,$CR12,DI12)</f>
        <v>0</v>
      </c>
      <c r="DO12" s="435">
        <f ca="1">IF(DH12&gt;$CR12,$CR12,DH12)</f>
        <v>0</v>
      </c>
      <c r="DP12" s="435">
        <f ca="1">DO12*F12</f>
        <v>0</v>
      </c>
      <c r="DQ12" s="436">
        <f ca="1">IF(DJ12&gt;$CR12,$CR12,DJ12)</f>
        <v>0</v>
      </c>
      <c r="DR12" s="437">
        <f ca="1">DQ12*F12</f>
        <v>0</v>
      </c>
      <c r="DS12" s="426">
        <f ca="1">OFFSET($CH$9,CL12-1,-15,1,1)</f>
        <v>0</v>
      </c>
      <c r="DT12" s="451">
        <f t="shared" ca="1" si="1"/>
        <v>0</v>
      </c>
      <c r="DU12" s="188">
        <f ca="1">IF(F12&lt;OFFSET($BM$9,DT12-1,0,1,1),0,IF(F12&lt;OFFSET($BN$9,DT12-1,0,1,1),((F12-OFFSET($BM$9,DT12-1,0,1,1))*OFFSET($CH$9,DT12-1,0,1,1))+OFFSET($BO$9,DT12-1,CQ12,1,1),IF(F12&lt;OFFSET($BN$9,DT12+0,0,1,1),((F12-OFFSET($BM$9,DT12+0,0,1,1))*OFFSET($CH$9,DT12+0,0,1,1))+OFFSET($BO$9,DT12+0,CQ12,1,1),IF(F12&lt;OFFSET($BN$9,DT12+1,0,1,1),((F12-OFFSET($BM$9,DT12+1,0,1,1))*OFFSET($CH$9,DT12+1,0,1,1))+OFFSET($BO$9,DT12+1,CQ12,1,1),IF(F12&lt;OFFSET($BN$9,DT12+2,0,1,1),((F12-OFFSET($BM$9,DT12+2,0,1,1))*OFFSET($CH$9,DT12+2,0,1,1))+OFFSET($BO$9,DT12+2,CQ12,1,1),IF(F12&lt;OFFSET($BN$9,DT12+3,0,1,1),((F12-OFFSET($BM$9,DT12+3,0,1,1))*OFFSET($CH$9,DT12+3,0,1,1))+OFFSET($BO$9,DT12+3,CQ12,1,1),0))))))</f>
        <v>0</v>
      </c>
      <c r="DV12" s="51">
        <f ca="1">IF($F12&lt;OFFSET($BM$9,$DT12-1,0,1,1),0,IF($F12&lt;OFFSET($BN$9,$DT12-1,0,1,1),IF(AND($H12&gt;2.4,Z12&lt;&gt;"e",Z12&lt;&gt;"f"),DZ12*2.4/$H12,DZ12),IF($F12&lt;OFFSET($BN$9,$DT12+0,0,1,1),IF(AND($H12&gt;2.4,Z12&lt;&gt;"e",Z12&lt;&gt;"f"),DZ12*2.4/$H12,DZ12),IF($F12&lt;OFFSET($BN$9,$DT12+1,0,1,1),IF(AND($H12&gt;2.4,Z12&lt;&gt;"e",Z12&lt;&gt;"f"),DZ12*2.4/$H12,DZ12),IF($F12&lt;OFFSET($BN$9,$DT12+2,0,1,1),IF(AND($H12&gt;2.4,Z12&lt;&gt;"e",Z12&lt;&gt;"f"),DZ12*2.4/$H12,DZ12),IF($F12&lt;OFFSET($BN$9,$DT12+3,0,1,1),IF(AND($H12&gt;2.4,Z12&lt;&gt;"e",Z12&lt;&gt;"f"),DZ12*2.4/$H12,DZ12),0)))))*COS(RADIANS($G12)))</f>
        <v>0</v>
      </c>
      <c r="DW12" s="188">
        <f ca="1">IF(F12&lt;OFFSET($BM$9,DT12-1,0,1,1),0,IF(F12&lt;OFFSET($BN$9,DT12-1,0,1,1),((F12-OFFSET($BM$9,DT12-1,0,1,1))*OFFSET($CI$9,DT12-1,0,1,1))+OFFSET($BP$9,DT12-1,CQ12,1,1),IF(F12&lt;OFFSET($BN$9,DT12+0,0,1,1),((F12-OFFSET($BM$9,DT12+0,0,1,1))*OFFSET($CI$9,DT12+0,0,1,1))+OFFSET($BP$9,DT12+0,CQ12,1,1),IF(F12&lt;OFFSET($BN$9,DT12+1,0,1,1),((F12-OFFSET($BM$9,DT12+1,0,1,1))*OFFSET($CI$9,DT12+1,0,1,1))+OFFSET($BP$9,DT12+1,CQ12,1,1),IF(F12&lt;OFFSET($BN$9,DT12+2,0,1,1),((F12-OFFSET($BM$9,DT12+2,0,1,1))*OFFSET($CI$9,DT12+2,0,1,1))+OFFSET($BP$9,DT12+2,CQ12,1,1),IF(F12&lt;OFFSET($BN$9,DT12+3,0,1,1),((F12-OFFSET($BM$9,DT12+3,0,1,1))*OFFSET($CI$9,DT12+3,0,1,1))+OFFSET($BP$9,DT12+3,CQ12,1,1),0))))))</f>
        <v>0</v>
      </c>
      <c r="DX12" s="51">
        <f ca="1">IF($F12&lt;OFFSET($BM$9,$DT12-1,0,1,1),0,IF($F12&lt;OFFSET($BN$9,$DT12-1,0,1,1),IF(AND($H12&gt;2.4,Z12&lt;&gt;"e",Z12&lt;&gt;"f"),EB12*2.4/$H12,EB12),IF($F12&lt;OFFSET($BN$9,$DT12+0,0,1,1),IF(AND($H12&gt;2.4,Z12&lt;&gt;"e",Z12&lt;&gt;"f"),EB12*2.4/$H12,EB12),IF($F12&lt;OFFSET($BN$9,$DT12+1,0,1,1),IF(AND($H12&gt;2.4,Z12&lt;&gt;"e",Z12&lt;&gt;"f"),EB12*2.4/$H12,EB12),IF($F12&lt;OFFSET($BN$9,$DT12+2,0,1,1),IF(AND($H12&gt;2.4,Z12&lt;&gt;"e",Z12&lt;&gt;"f"),EB12*2.4/$H12,EB12),IF($F12&lt;OFFSET($BN$9,$DT12+3,0,1,1),IF(AND($H12&gt;2.4,Z12&lt;&gt;"e",Z12&lt;&gt;"f"),EB12*2.4/$H12,EB12),0)))))*COS(RADIANS($G12)))</f>
        <v>0</v>
      </c>
      <c r="DY12" s="188"/>
      <c r="DZ12" s="188">
        <f ca="1">IF(DU12&gt;$CR12,$CR12,DU12)</f>
        <v>0</v>
      </c>
      <c r="EA12" s="188"/>
      <c r="EB12" s="188">
        <f ca="1">IF(DW12&gt;$CR12,$CR12,DW12)</f>
        <v>0</v>
      </c>
      <c r="EC12" s="435">
        <f ca="1">IF(DV12&gt;$CR12,$CR12,DV12)</f>
        <v>0</v>
      </c>
      <c r="ED12" s="435">
        <f ca="1">EC12*F12</f>
        <v>0</v>
      </c>
      <c r="EE12" s="436">
        <f ca="1">IF(DX12&gt;$CR12,$CR12,DX12)</f>
        <v>0</v>
      </c>
      <c r="EF12" s="437">
        <f ca="1">EE12*F12</f>
        <v>0</v>
      </c>
      <c r="EG12" s="613" t="str">
        <f>IF(D12=BG$12,BG$12,"")</f>
        <v/>
      </c>
      <c r="EH12" s="614" t="str">
        <f>IF(D12=BG$13,BG$13,"")</f>
        <v/>
      </c>
      <c r="EI12" s="611">
        <f>IF(EG12=BG$12,M12,0)</f>
        <v>0</v>
      </c>
      <c r="EJ12" s="451">
        <f>IF(EG12=BG$12,O12,0)</f>
        <v>0</v>
      </c>
      <c r="EK12" s="451">
        <f>IF(EH12=BG$13,M12,0)</f>
        <v>0</v>
      </c>
      <c r="EL12" s="612">
        <f>IF(EH12=BG$13,O12,0)</f>
        <v>0</v>
      </c>
      <c r="EM12" s="426" t="str">
        <f ca="1">IF(AND(Z12&lt;&gt;"t",Z12&lt;&gt;"f"),"",IF(AND(EN12=$BH$13,K12=$BH$12),"NotOpt",IF(K12&lt;&gt;EN12,"Error","")))</f>
        <v/>
      </c>
      <c r="EN12" s="491" t="str">
        <f>IF(AND($BH$28=1,$BG$28=1),$BH$13,$BH$12)</f>
        <v>120 BU's</v>
      </c>
      <c r="EO12" s="426" t="str">
        <f>K12</f>
        <v xml:space="preserve"> </v>
      </c>
      <c r="EP12" s="497">
        <v>1</v>
      </c>
      <c r="EQ12" s="430" t="str">
        <f ca="1">IF(EP12=1," ",OFFSET(BF$15,EP12-2,0,1,1))</f>
        <v xml:space="preserve"> </v>
      </c>
      <c r="ER12" s="439" t="str">
        <f ca="1">IF(H12=0," ",H12)</f>
        <v xml:space="preserve"> </v>
      </c>
      <c r="ES12" s="440" t="str">
        <f ca="1">IF(ER12&lt;&gt;" ",IF(ER12&lt;&gt;ER$7,"Changed",""),"")</f>
        <v/>
      </c>
      <c r="ET12" s="440">
        <f t="shared" ref="ET12:ET66" ca="1" si="15">IF(ER12&lt;&gt;" ",IF(ER12&lt;&gt;ER$7,1,0),0)</f>
        <v>0</v>
      </c>
      <c r="EU12" s="957" t="str">
        <f ca="1">IF(I12=" "," ",IF(F12&lt;OFFSET($BM$9,CL12-1,0,1,1),1,""))</f>
        <v xml:space="preserve"> </v>
      </c>
      <c r="EW12" s="427"/>
      <c r="EX12"/>
    </row>
    <row r="13" spans="1:154" ht="17.100000000000001" customHeight="1" thickBot="1">
      <c r="B13" s="2686" t="s">
        <v>8</v>
      </c>
      <c r="C13" s="2687"/>
      <c r="D13" s="1461" t="s">
        <v>8</v>
      </c>
      <c r="E13" s="659"/>
      <c r="F13" s="659"/>
      <c r="G13" s="659"/>
      <c r="H13" s="659"/>
      <c r="I13" s="1462"/>
      <c r="J13" s="1365" t="str">
        <f>(CONCATENATE(B8,$BE$54))</f>
        <v>M  Line:  Min. Requirement</v>
      </c>
      <c r="K13" s="865"/>
      <c r="L13" s="1019">
        <f ca="1">L$5</f>
        <v>0</v>
      </c>
      <c r="M13" s="48">
        <f ca="1">SUM(M8:M12)</f>
        <v>0</v>
      </c>
      <c r="N13" s="1019">
        <f ca="1">N$5</f>
        <v>0</v>
      </c>
      <c r="O13" s="866">
        <f ca="1">SUM(O8:O12)</f>
        <v>0</v>
      </c>
      <c r="P13" s="139"/>
      <c r="Q13" s="42" t="str">
        <f ca="1">IF(B8=B14,"",IF(AND(M13&gt;0,L13=L$5,OR(M13&lt;$M$105,M13&lt;$BF$3)),"Achieved &lt; Min Req per Line",IF(AND(O13&gt;0,N13=N$5,OR(O13&lt;$O$105,O13&lt;$BF$3)),"Achieved &lt; Min Req per Line",IF(AND(M13&gt;0,L13&gt;M13),"More Required on this line",IF(AND(O13&gt;0,N13&gt;O13),"More Required on this line",IF(AND(L13&gt;0,L13&lt;$BF$3),$BE$59,IF(AND(N13&gt;0,N13&lt;$BF$3),$BE$59,"")))))))</f>
        <v/>
      </c>
      <c r="R13" s="52"/>
      <c r="S13" s="52"/>
      <c r="T13" s="52"/>
      <c r="U13" s="1378"/>
      <c r="V13" s="52"/>
      <c r="W13" s="9"/>
      <c r="X13" s="9"/>
      <c r="Y13" s="896"/>
      <c r="Z13" s="52"/>
      <c r="AA13" s="51"/>
      <c r="AB13" s="1364"/>
      <c r="AC13" s="1"/>
      <c r="AJ13" s="2230"/>
      <c r="AK13" s="2793" t="str">
        <f>'Regular and QuickBrace Systems'!D25</f>
        <v xml:space="preserve"> Internal or External</v>
      </c>
      <c r="AL13" s="1817" t="str">
        <f>'Regular and QuickBrace Systems'!E25</f>
        <v>ER1</v>
      </c>
      <c r="AM13" s="1175">
        <f>'Regular and QuickBrace Systems'!F25</f>
        <v>0.4</v>
      </c>
      <c r="AN13" s="1270">
        <f>'Regular and QuickBrace Systems'!G25</f>
        <v>40</v>
      </c>
      <c r="AO13" s="1271">
        <f>'Regular and QuickBrace Systems'!H25</f>
        <v>30</v>
      </c>
      <c r="AP13" s="1271"/>
      <c r="AQ13" s="2659" t="str">
        <f>'Regular and QuickBrace Systems'!I25</f>
        <v>Regular Fixing</v>
      </c>
      <c r="AR13" s="2660"/>
      <c r="AS13" s="1335" t="str">
        <f>'Regular and QuickBrace Systems'!K25</f>
        <v>No</v>
      </c>
      <c r="AT13" s="1339"/>
      <c r="AU13" s="1331" t="str">
        <f>'Regular and QuickBrace Systems'!M10</f>
        <v>Any Elephant Plasterboard on One side</v>
      </c>
      <c r="AW13" s="1583" t="str">
        <f>'Regular and QuickBrace Systems'!O10</f>
        <v>Yes</v>
      </c>
      <c r="AX13" s="1572" t="str">
        <f>'Regular and QuickBrace Systems'!Q10</f>
        <v>No</v>
      </c>
      <c r="BD13" s="2667"/>
      <c r="BF13" s="598" t="str">
        <f>Table!AI77</f>
        <v>ER2</v>
      </c>
      <c r="BG13" s="1026" t="str">
        <f>IF('Project Demand'!AX21=1,BG33,BG36)</f>
        <v>Right External</v>
      </c>
      <c r="BH13" s="709" t="str">
        <f>IF($BE$3=1,BH$20,BG$20)</f>
        <v>150 BU's</v>
      </c>
      <c r="BI13" s="759"/>
      <c r="BJ13" s="897">
        <f>BJ12+1</f>
        <v>5</v>
      </c>
      <c r="BK13" s="769" t="str">
        <f t="shared" si="5"/>
        <v xml:space="preserve">  </v>
      </c>
      <c r="BL13" s="771" t="str">
        <f t="shared" si="6"/>
        <v>Custom2</v>
      </c>
      <c r="BM13" s="455">
        <f t="shared" si="7"/>
        <v>9.9999999999999996E-76</v>
      </c>
      <c r="BN13" s="455">
        <v>999</v>
      </c>
      <c r="BO13" s="455">
        <f t="shared" si="8"/>
        <v>0</v>
      </c>
      <c r="BP13" s="925">
        <f t="shared" si="9"/>
        <v>0</v>
      </c>
      <c r="BR13" s="764"/>
      <c r="BS13" s="455"/>
      <c r="BT13" s="455" t="str">
        <f t="shared" si="10"/>
        <v>B</v>
      </c>
      <c r="BU13" s="925" t="str">
        <f t="shared" si="11"/>
        <v>T</v>
      </c>
      <c r="BV13" s="483" t="str">
        <f t="shared" si="12"/>
        <v>Custom2</v>
      </c>
      <c r="BW13" s="910">
        <f>BW12+1</f>
        <v>5</v>
      </c>
      <c r="BX13" s="925" t="str">
        <f t="shared" ref="BX13:BX31" si="16">AQ49</f>
        <v>Single</v>
      </c>
      <c r="CH13" s="764">
        <f t="shared" si="13"/>
        <v>0</v>
      </c>
      <c r="CI13" s="925">
        <f t="shared" si="14"/>
        <v>0</v>
      </c>
      <c r="CJ13" s="759"/>
      <c r="CK13" s="188"/>
      <c r="CL13" s="979"/>
      <c r="CN13" s="497"/>
      <c r="CO13" s="497" t="s">
        <v>8</v>
      </c>
      <c r="CQ13" s="51" t="s">
        <v>8</v>
      </c>
      <c r="CR13" s="51" t="s">
        <v>8</v>
      </c>
      <c r="CS13" s="51" t="s">
        <v>8</v>
      </c>
      <c r="CT13" s="51" t="s">
        <v>8</v>
      </c>
      <c r="CU13" s="51" t="s">
        <v>8</v>
      </c>
      <c r="CV13" s="51" t="s">
        <v>8</v>
      </c>
      <c r="CW13" s="51" t="s">
        <v>8</v>
      </c>
      <c r="CX13" s="51" t="s">
        <v>8</v>
      </c>
      <c r="CY13" s="51" t="s">
        <v>8</v>
      </c>
      <c r="CZ13" s="51" t="s">
        <v>8</v>
      </c>
      <c r="DA13" s="51" t="s">
        <v>8</v>
      </c>
      <c r="DB13" s="51" t="s">
        <v>8</v>
      </c>
      <c r="DD13" s="758"/>
      <c r="DF13" s="52"/>
      <c r="DG13" s="51"/>
      <c r="DH13" s="51"/>
      <c r="DI13" s="51"/>
      <c r="DJ13" s="51"/>
      <c r="DK13" s="51"/>
      <c r="DL13" s="51" t="s">
        <v>8</v>
      </c>
      <c r="DM13" s="51"/>
      <c r="DN13" s="51" t="s">
        <v>8</v>
      </c>
      <c r="DO13" s="435" t="s">
        <v>8</v>
      </c>
      <c r="DP13" s="435" t="s">
        <v>8</v>
      </c>
      <c r="DQ13" s="868" t="s">
        <v>8</v>
      </c>
      <c r="DR13" s="868" t="s">
        <v>8</v>
      </c>
      <c r="DS13" s="426" t="s">
        <v>8</v>
      </c>
      <c r="DT13" s="451" t="s">
        <v>8</v>
      </c>
      <c r="DU13" s="188" t="s">
        <v>8</v>
      </c>
      <c r="DV13" s="188" t="s">
        <v>8</v>
      </c>
      <c r="DW13" s="188" t="s">
        <v>8</v>
      </c>
      <c r="DX13" s="188" t="s">
        <v>8</v>
      </c>
      <c r="DY13" s="188"/>
      <c r="DZ13" s="188" t="s">
        <v>8</v>
      </c>
      <c r="EA13" s="188"/>
      <c r="EB13" s="188" t="s">
        <v>8</v>
      </c>
      <c r="EC13" s="435" t="s">
        <v>8</v>
      </c>
      <c r="ED13" s="435" t="s">
        <v>8</v>
      </c>
      <c r="EE13" s="868" t="s">
        <v>8</v>
      </c>
      <c r="EF13" s="867" t="s">
        <v>8</v>
      </c>
      <c r="EG13" s="613"/>
      <c r="EH13" s="614"/>
      <c r="EI13" s="613"/>
      <c r="EJ13" s="435"/>
      <c r="EK13" s="451"/>
      <c r="EL13" s="612"/>
      <c r="EN13" s="947"/>
      <c r="ER13" s="441"/>
      <c r="ES13" s="440"/>
      <c r="ET13" s="440"/>
      <c r="EU13" s="957"/>
      <c r="EW13" s="427"/>
      <c r="EX13"/>
    </row>
    <row r="14" spans="1:154" ht="17.100000000000001" customHeight="1" thickBot="1">
      <c r="B14" s="1369" t="str">
        <f ca="1">S14</f>
        <v>N</v>
      </c>
      <c r="C14" s="1375" t="str">
        <f>IF(OR(F14=0,I14="",I14=" ")," ",$V14)</f>
        <v xml:space="preserve"> </v>
      </c>
      <c r="D14" s="1033"/>
      <c r="E14" s="1034"/>
      <c r="F14" s="201"/>
      <c r="G14" s="1416"/>
      <c r="H14" s="199" t="str">
        <f ca="1">IF(OR(F14=0,Z14="E",Z14="f")," ",'Project Demand'!E$35)</f>
        <v xml:space="preserve"> </v>
      </c>
      <c r="I14" s="631" t="str">
        <f>IF($I$6&lt;&gt;$BG$8," ",AB14)</f>
        <v xml:space="preserve"> </v>
      </c>
      <c r="J14" s="43" t="str">
        <f ca="1">IF(OR(I14=" ",I14="")," ",OFFSET($BO$9,CL14-1,0-4,1,1))</f>
        <v xml:space="preserve"> </v>
      </c>
      <c r="K14" s="55" t="str">
        <f>IF(OR(I14=" ",I14="")," ",IF(OR(Z14="e",Z14="h"),"SD",BG$24))</f>
        <v xml:space="preserve"> </v>
      </c>
      <c r="L14" s="49">
        <f ca="1">CW14</f>
        <v>0</v>
      </c>
      <c r="M14" s="49">
        <f ca="1">CY14</f>
        <v>0</v>
      </c>
      <c r="N14" s="50">
        <f t="shared" ref="N14:O18" ca="1" si="17">DA14</f>
        <v>0</v>
      </c>
      <c r="O14" s="126">
        <f t="shared" ca="1" si="17"/>
        <v>0</v>
      </c>
      <c r="P14" s="140"/>
      <c r="Q14" s="752" t="str">
        <f ca="1">IF(AND(OR(Z14="t",Z14="f"),K14=$BH$11),"No Floor!  Change Floor Type",IF(OR(I14=" ",I14="")," ",IF(F14&lt;OFFSET($BM$9,CL14-1,0,1,1),"check L(m)",DE14&amp;IF(AND(DP14&gt;=CY14,DR14&gt;=DB14),IF(AND(ED14&gt;=DP14,EF14&gt;=DR14),CONCATENATE(DS14," will provide same result"),CONCATENATE(CO14," will provide same result")),IF((DP14&gt;=CY14),CONCATENATE(CO14," provides same result in WIND"),IF((DR14&gt;=DB14),CONCATENATE(CO14," provides same result in EQ"),""))))))&amp;IF(ISERROR(FIND("pile",I14,1)),"",IF(INT(F14)&lt;&gt;F14,"Pile!  Use Whole Numbers Only",""))</f>
        <v xml:space="preserve"> </v>
      </c>
      <c r="R14" s="52">
        <f ca="1">IF(T8&lt;&gt;2,(COLUMN(INDIRECT(B8&amp;1))+1),U14)</f>
        <v>14</v>
      </c>
      <c r="S14" s="1372" t="str">
        <f ca="1">SUBSTITUTE(ADDRESS(1,R14,4),"1","")</f>
        <v>N</v>
      </c>
      <c r="T14" s="451">
        <f ca="1">IF(AND(ISTEXT(B14),SUBSTITUTE(SUBSTITUTE(SUBSTITUTE(SUBSTITUTE(SUBSTITUTE(SUBSTITUTE(SUBSTITUTE(SUBSTITUTE(SUBSTITUTE(SUBSTITUTE(SUBSTITUTE(SUBSTITUTE(SUBSTITUTE(SUBSTITUTE(SUBSTITUTE(SUBSTITUTE(SUBSTITUTE(SUBSTITUTE(SUBSTITUTE(SUBSTITUTE(SUBSTITUTE(SUBSTITUTE(SUBSTITUTE(SUBSTITUTE(SUBSTITUTE(SUBSTITUTE(LOWER(B14),"a",),"b",),"c",),"d",),"e",),"f",),"g",),"h",),"i",),"j",),"k",),"l",),"m",),"n",),"o",),"p",),"q",),"r",),"s",),"t",),"u",),"v",),"w",),"x",),"y",),"z",)=""),1,2)</f>
        <v>1</v>
      </c>
      <c r="U14" s="1377">
        <v>14</v>
      </c>
      <c r="V14" s="52" t="str">
        <f ca="1">IF(AND(B$5=$BF$9,OR(I14=BH$16,I14=BH$17))," ",IF(ISNUMBER(B$14),(CONCATENATE(B$14,".",W14)),(CONCATENATE(B$14,W14))))</f>
        <v>N0</v>
      </c>
      <c r="W14" s="9">
        <f ca="1">IF(B8=B14,W12+X14,X14)</f>
        <v>0</v>
      </c>
      <c r="X14" s="9">
        <f>IF(AND(B$5=$BF$9,OR($I14=$BH$16,$I14=$BH$17,$I14=" ",$I14="",$F14=0)),0,IF(OR($I14=" ",$I14="",$F14=0),0,1))</f>
        <v>0</v>
      </c>
      <c r="Y14" s="896">
        <f ca="1">IF(AND(M19&gt;0,B14&lt;&gt;B20),1,0)</f>
        <v>0</v>
      </c>
      <c r="Z14" s="52" t="str">
        <f ca="1">IF(I14=" "," ",OFFSET($BM$9,$CL14-1,8,1,1))</f>
        <v xml:space="preserve"> </v>
      </c>
      <c r="AA14" s="51" t="str">
        <f>IF(G14&gt;=45,"WA","")</f>
        <v/>
      </c>
      <c r="AB14" s="1364" t="str">
        <f>IF(F14&lt;&gt;"",IF(OR(D14=$BG$12,D14=$BG$13),IF(E14&lt;&gt;$BG$17,$BF$12,$BF$13),IF(E14&lt;&gt;$BG$17,$BF$12,$BF$13))," ")</f>
        <v xml:space="preserve"> </v>
      </c>
      <c r="AC14" s="1"/>
      <c r="AJ14" s="2230"/>
      <c r="AK14" s="2793"/>
      <c r="AL14" s="2783" t="str">
        <f>'Regular and QuickBrace Systems'!E28</f>
        <v>ES-N</v>
      </c>
      <c r="AM14" s="1176">
        <f>'Regular and QuickBrace Systems'!F28</f>
        <v>0.4</v>
      </c>
      <c r="AN14" s="1272">
        <f>'Regular and QuickBrace Systems'!G28</f>
        <v>66</v>
      </c>
      <c r="AO14" s="1273">
        <f>'Regular and QuickBrace Systems'!H28</f>
        <v>61</v>
      </c>
      <c r="AP14" s="1594"/>
      <c r="AQ14" s="2661" t="str">
        <f>'Regular and QuickBrace Systems'!I28</f>
        <v>Specialised QuickBrace Pattern</v>
      </c>
      <c r="AR14" s="2662"/>
      <c r="AS14" s="2030" t="str">
        <f>'Regular and QuickBrace Systems'!K28</f>
        <v>No</v>
      </c>
      <c r="AT14" s="1339"/>
      <c r="AU14" s="2131" t="str">
        <f>'Regular and QuickBrace Systems'!M28</f>
        <v xml:space="preserve">Elephant Standard-Plus board One side </v>
      </c>
      <c r="AW14" s="1567" t="str">
        <f>'Regular and QuickBrace Systems'!O28</f>
        <v>Yes</v>
      </c>
      <c r="AX14" s="1573" t="str">
        <f>'Regular and QuickBrace Systems'!Q28</f>
        <v>No</v>
      </c>
      <c r="BD14" s="2667"/>
      <c r="BF14" s="1363" t="s">
        <v>8</v>
      </c>
      <c r="BG14" s="949" t="s">
        <v>318</v>
      </c>
      <c r="BH14" s="1395" t="s">
        <v>189</v>
      </c>
      <c r="BI14" s="759"/>
      <c r="BJ14" s="897">
        <f t="shared" si="4"/>
        <v>6</v>
      </c>
      <c r="BK14" s="769" t="str">
        <f t="shared" si="5"/>
        <v xml:space="preserve">  </v>
      </c>
      <c r="BL14" s="771" t="str">
        <f t="shared" si="6"/>
        <v>Custom3</v>
      </c>
      <c r="BM14" s="455">
        <f t="shared" si="7"/>
        <v>9.9999999999999996E-76</v>
      </c>
      <c r="BN14" s="455">
        <v>999</v>
      </c>
      <c r="BO14" s="455">
        <f t="shared" si="8"/>
        <v>0</v>
      </c>
      <c r="BP14" s="925">
        <f t="shared" si="9"/>
        <v>0</v>
      </c>
      <c r="BR14" s="764"/>
      <c r="BS14" s="455"/>
      <c r="BT14" s="455" t="str">
        <f t="shared" si="10"/>
        <v>B</v>
      </c>
      <c r="BU14" s="925" t="str">
        <f t="shared" si="11"/>
        <v>T</v>
      </c>
      <c r="BV14" s="483" t="str">
        <f t="shared" si="12"/>
        <v>Custom3</v>
      </c>
      <c r="BW14" s="910">
        <f t="shared" ref="BW14:BW31" si="18">BW13+1</f>
        <v>6</v>
      </c>
      <c r="BX14" s="925" t="str">
        <f t="shared" si="16"/>
        <v>Single</v>
      </c>
      <c r="CH14" s="764">
        <f t="shared" si="13"/>
        <v>0</v>
      </c>
      <c r="CI14" s="925">
        <f t="shared" si="14"/>
        <v>0</v>
      </c>
      <c r="CJ14" s="759"/>
      <c r="CK14" s="188"/>
      <c r="CL14" s="979">
        <f>VLOOKUP(I14,Prodlink,2,0)</f>
        <v>0</v>
      </c>
      <c r="CN14" s="497">
        <f ca="1">VLOOKUP(CO14,Prodlink,2,0)</f>
        <v>0</v>
      </c>
      <c r="CO14" s="497">
        <f ca="1">OFFSET($CH$9,CL14-1,-15,1,1)</f>
        <v>0</v>
      </c>
      <c r="CQ14" s="51">
        <v>0</v>
      </c>
      <c r="CR14" s="51">
        <f>IF(K14=$BH$12,$BH$23,IF(K14=$BH$13,$BH$24,10000))</f>
        <v>10000</v>
      </c>
      <c r="CS14" s="51">
        <f ca="1">IF(F14&lt;OFFSET($BM$9,CL14-1,0,1,1),0,IF(F14&lt;OFFSET($BN$9,CL14-1,0,1,1),((F14-OFFSET($BM$9,CL14-1,0,1,1))*OFFSET($CH$9,CL14-1,0,1,1))+OFFSET($BO$9,CL14-1,CQ14,1,1),IF(F14&lt;OFFSET($BN$9,CL14+0,0,1,1),((F14-OFFSET($BM$9,CL14+0,0,1,1))*OFFSET($CH$9,CL14+0,0,1,1))+OFFSET($BO$9,CL14+0,CQ14,1,1),IF(F14&lt;OFFSET($BN$9,CL14+1,0,1,1),((F14-OFFSET($BM$9,CL14+1,0,1,1))*OFFSET($CH$9,CL14+1,0,1,1))+OFFSET($BO$9,CL14+1,CQ14,1,1),IF(F14&lt;OFFSET($BN$9,CL14+2,0,1,1),((F14-OFFSET($BM$9,CL14+2,0,1,1))*OFFSET($CH$9,CL14+2,0,1,1))+OFFSET($BO$9,CL14+2,CQ14,1,1),IF(F14&lt;OFFSET($BN$9,CL14+3,0,1,1),((F14-OFFSET($BM$9,CL14+3,0,1,1))*OFFSET($CH$9,CL14+3,0,1,1))+OFFSET($BO$9,CL14+3,CQ14,1,1),0))))))</f>
        <v>0</v>
      </c>
      <c r="CT14" s="51">
        <f ca="1">IF($F14&lt;OFFSET($BM$9,$CL14-1,0,1,1),0,IF($F14&lt;OFFSET($BN$9,$CL14-1,0,1,1),IF(AND($H14&gt;2.4,Z14&lt;&gt;"e",Z14&lt;&gt;"f"),CX14*2.4/$H14,CX14),IF($F14&lt;OFFSET($BN$9,$CL14+0,0,1,1),IF(AND($H14&gt;2.4,Z14&lt;&gt;"e",Z14&lt;&gt;"f"),CX14*2.4/$H14,CX14),IF($F14&lt;OFFSET($BN$9,$CL14+1,0,1,1),IF(AND($H14&gt;2.4,Z14&lt;&gt;"e",Z14&lt;&gt;"f"),CX14*2.4/$H14,CX14),IF($F14&lt;OFFSET($BN$9,CL14+2,0,1,1),IF(AND($H14&gt;2.4,Z14&lt;&gt;"e",Z14&lt;&gt;"f"),CX14*2.4/$H14,CX14),IF($F14&lt;OFFSET($BN$9,CL14+3,0,1,1),IF(AND($H14&gt;2.4,Z14&lt;&gt;"e",Z14&lt;&gt;"f"),CX14*2.4/$H14,CX14),0)))))*COS(RADIANS($G14)))</f>
        <v>0</v>
      </c>
      <c r="CU14" s="51">
        <f ca="1">IF(F14&lt;OFFSET($BM$9,CL14-1,0,1,1),0,IF(F14&lt;OFFSET($BN$9,CL14-1,0,1,1),((F14-OFFSET($BM$9,CL14-1,0,1,1))*OFFSET($CI$9,CL14-1,0,1,1))+OFFSET($BP$9,CL14-1,CQ14,1,1),IF(F14&lt;OFFSET($BN$9,CL14+0,0,1,1),((F14-OFFSET($BM$9,CL14+0,0,1,1))*OFFSET($CI$9,CL14+0,0,1,1))+OFFSET($BP$9,CL14+0,CQ14,1,1),IF(F14&lt;OFFSET($BN$9,CL14+1,0,1,1),((F14-OFFSET($BM$9,CL14+1,0,1,1))*OFFSET($CI$9,CL14+1,0,1,1))+OFFSET($BP$9,CL14+1,CQ14,1,1),IF(F14&lt;OFFSET($BN$9,CL14+2,0,1,1),((F14-OFFSET($BM$9,CL14+2,0,1,1))*OFFSET($CI$9,CL14+2,0,1,1))+OFFSET($BP$9,CL14+2,CQ14,1,1),IF(F14&lt;OFFSET($BN$9,CL14+3,0,1,1),((F14-OFFSET($BM$9,CL14+3,0,1,1))*OFFSET($CI$9,CL14+3,0,1,1))+OFFSET($BP$9,CL14+3,CQ14,1,1),0))))))</f>
        <v>0</v>
      </c>
      <c r="CV14" s="51">
        <f ca="1">IF($F14&lt;OFFSET($BM$9,$CL14-1,0,1,1),0,IF($F14&lt;OFFSET($BN$9,$CL14-1,0,1,1),IF(AND($H14&gt;2.4,Z14&lt;&gt;"e",Z14&lt;&gt;"f"),CZ14*2.4/$H14,CZ14),IF($F14&lt;OFFSET($BN$9,$CL14+0,0,1,1),IF(AND($H14&gt;2.4,Z14&lt;&gt;"e",Z14&lt;&gt;"f"),CZ14*2.4/$H14,CZ14),IF($F14&lt;OFFSET($BN$9,$CL14+1,0,1,1),IF(AND($H14&gt;2.4,Z14&lt;&gt;"e",Z14&lt;&gt;"f"),CZ14*2.4/$H14,CZ14),IF($F14&lt;OFFSET($BN$9,$CL14+2,0,1,1),IF(AND($H14&gt;2.4,Z14&lt;&gt;"e",Z14&lt;&gt;"f"),CZ14*2.4/$H14,CZ14),IF($F14&lt;OFFSET($BN$9,$CL14+3,0,1,1),IF(AND($H14&gt;2.4,Z14&lt;&gt;"e",Z14&lt;&gt;"f"),CZ14*2.4/$H14,CZ14),0)))))*COS(RADIANS($G14)))</f>
        <v>0</v>
      </c>
      <c r="CW14" s="51">
        <f ca="1">IF(CT14&gt;CR14,CR14,CT14)</f>
        <v>0</v>
      </c>
      <c r="CX14" s="51">
        <f ca="1">IF(CS14&gt;$CR14,$CR14,CS14)</f>
        <v>0</v>
      </c>
      <c r="CY14" s="51">
        <f ca="1">CW14*F14</f>
        <v>0</v>
      </c>
      <c r="CZ14" s="51">
        <f ca="1">IF($CU14&gt;$CR14,$CR14,$CU14)</f>
        <v>0</v>
      </c>
      <c r="DA14" s="51">
        <f ca="1">IF(CV14&gt;CR14,CR14,CV14)</f>
        <v>0</v>
      </c>
      <c r="DB14" s="51">
        <f ca="1">DA14*F14</f>
        <v>0</v>
      </c>
      <c r="DC14" s="993">
        <v>1</v>
      </c>
      <c r="DD14" s="758" t="str">
        <f>IF(OR(D14=BG$12,D14=BG$13),"External",IF(D14=BG$14,"Internal"," "))</f>
        <v xml:space="preserve"> </v>
      </c>
      <c r="DE14" s="51" t="str">
        <f t="shared" ca="1" si="2"/>
        <v/>
      </c>
      <c r="DF14" s="52" t="str">
        <f t="shared" ca="1" si="3"/>
        <v xml:space="preserve"> </v>
      </c>
      <c r="DG14" s="51">
        <f ca="1">IF(F14&lt;OFFSET($BM$9,CN14-1,0,1,1),0,IF(F14&lt;OFFSET($BN$9,CN14-1,0,1,1),((F14-OFFSET($BM$9,CN14-1,0,1,1))*OFFSET($CH$9,CN14-1,0,1,1))+OFFSET($BO$9,CN14-1,CQ14,1,1),IF(F14&lt;OFFSET($BN$9,CN14+0,0,1,1),((F14-OFFSET($BM$9,CN14+0,0,1,1))*OFFSET($CH$9,CN14+0,0,1,1))+OFFSET($BO$9,CN14+0,CQ14,1,1),IF(F14&lt;OFFSET($BN$9,CN14+1,0,1,1),((F14-OFFSET($BM$9,CN14+1,0,1,1))*OFFSET($CH$9,CN14+1,0,1,1))+OFFSET($BO$9,CN14+1,CQ14,1,1),IF(F14&lt;OFFSET($BN$9,CN14+2,0,1,1),((F14-OFFSET($BM$9,CN14+2,0,1,1))*OFFSET($CH$9,CN14+2,0,1,1))+OFFSET($BO$9,CN14+2,CQ14,1,1),IF(F14&lt;OFFSET($BN$9,CN14+3,0,1,1),((F14-OFFSET($BM$9,CN14+3,0,1,1))*OFFSET($CH$9,CN14+3,0,1,1))+OFFSET($BO$9,CN14+3,CQ14,1,1),0))))))</f>
        <v>0</v>
      </c>
      <c r="DH14" s="51">
        <f ca="1">IF($F14&lt;OFFSET($BM$9,$CN14-1,0,1,1),0,IF($F14&lt;OFFSET($BN$9,$CN14-1,0,1,1),IF(AND($H14&gt;2.4,Z14&lt;&gt;"e",Z14&lt;&gt;"f"),DL14*2.4/$H14,DL14),IF($F14&lt;OFFSET($BN$9,$CN14+0,0,1,1),IF(AND($H14&gt;2.4,Z14&lt;&gt;"e",Z14&lt;&gt;"f"),DL14*2.4/$H14,DL14),IF($F14&lt;OFFSET($BN$9,$CN14+1,0,1,1),IF(AND($H14&gt;2.4,Z14&lt;&gt;"e",Z14&lt;&gt;"f"),DL14*2.4/$H14,DL14),IF($F14&lt;OFFSET($BN$9,$CN14+2,0,1,1),IF(AND($H14&gt;2.4,Z14&lt;&gt;"e",Z14&lt;&gt;"f"),DL14*2.4/$H14,DL14),IF($F14&lt;OFFSET($BN$9,$CN14+3,0,1,1),IF(AND($H14&gt;2.4,Z14&lt;&gt;"e",Z14&lt;&gt;"f"),DL14*2.4/$H14,DL14),0)))))*COS(RADIANS($G14)))</f>
        <v>0</v>
      </c>
      <c r="DI14" s="51">
        <f ca="1">IF(F14&lt;OFFSET($BM$9,CN14-1,0,1,1),0,IF(F14&lt;OFFSET($BN$9,CN14-1,0,1,1),((F14-OFFSET($BM$9,CN14-1,0,1,1))*OFFSET($CI$9,CN14-1,0,1,1))+OFFSET($BP$9,CN14-1,CQ14,1,1),IF(F14&lt;OFFSET($BN$9,CN14+0,0,1,1),((F14-OFFSET($BM$9,CN14+0,0,1,1))*OFFSET($CI$9,CN14+0,0,1,1))+OFFSET($BP$9,CN14+0,CQ14,1,1),IF(F14&lt;OFFSET($BN$9,CN14+1,0,1,1),((F14-OFFSET($BM$9,CN14+1,0,1,1))*OFFSET($CI$9,CN14+1,0,1,1))+OFFSET($BP$9,CN14+1,CQ14,1,1),IF(F14&lt;OFFSET($BN$9,CN14+2,0,1,1),((F14-OFFSET($BM$9,CN14+2,0,1,1))*OFFSET($CI$9,CN14+2,0,1,1))+OFFSET($BP$9,CN14+2,CQ14,1,1),IF(F14&lt;OFFSET($BN$9,CN14+3,0,1,1),((F14-OFFSET($BM$9,CN14+3,0,1,1))*OFFSET($CI$9,CN14+3,0,1,1))+OFFSET($BP$9,CN14+3,CQ14,1,1),0))))))</f>
        <v>0</v>
      </c>
      <c r="DJ14" s="51">
        <f ca="1">IF($F14&lt;OFFSET($BM$9,$CN14-1,0,1,1),0,IF($F14&lt;OFFSET($BN$9,$CN14-1,0,1,1),IF(AND($H14&gt;2.4,Z14&lt;&gt;"e",Z14&lt;&gt;"f"),DN14*2.4/$H14,DN14),IF($F14&lt;OFFSET($BN$9,$CN14+0,0,1,1),IF(AND($H14&gt;2.4,Z14&lt;&gt;"e",Z14&lt;&gt;"f"),DN14*2.4/$H14,DN14),IF($F14&lt;OFFSET($BN$9,$CN14+1,0,1,1),IF(AND($H14&gt;2.4,Z14&lt;&gt;"e",Z14&lt;&gt;"f"),DN14*2.4/$H14,DN14),IF($F14&lt;OFFSET($BN$9,$CN14+2,0,1,1),IF(AND($H14&gt;2.4,Z14&lt;&gt;"e",Z14&lt;&gt;"f"),DN14*2.4/$H14,DN14),IF($F14&lt;OFFSET($BN$9,$CN14+3,0,1,1),IF(AND($H14&gt;2.4,Z14&lt;&gt;"e",Z14&lt;&gt;"f"),DN14*2.4/$H14,DN14),0)))))*COS(RADIANS($G14)))</f>
        <v>0</v>
      </c>
      <c r="DK14" s="51"/>
      <c r="DL14" s="51">
        <f ca="1">IF(DG14&gt;$CR14,$CR14,DG14)</f>
        <v>0</v>
      </c>
      <c r="DM14" s="51"/>
      <c r="DN14" s="51">
        <f ca="1">IF(DI14&gt;$CR14,$CR14,DI14)</f>
        <v>0</v>
      </c>
      <c r="DO14" s="435">
        <f ca="1">IF(DH14&gt;$CR14,$CR14,DH14)</f>
        <v>0</v>
      </c>
      <c r="DP14" s="435">
        <f ca="1">DO14*F14</f>
        <v>0</v>
      </c>
      <c r="DQ14" s="436">
        <f ca="1">IF(DJ14&gt;$CR14,$CR14,DJ14)</f>
        <v>0</v>
      </c>
      <c r="DR14" s="437">
        <f ca="1">DQ14*F14</f>
        <v>0</v>
      </c>
      <c r="DS14" s="426">
        <f ca="1">OFFSET($CH$9,CL14-1,-15,1,1)</f>
        <v>0</v>
      </c>
      <c r="DT14" s="451">
        <f t="shared" ca="1" si="1"/>
        <v>0</v>
      </c>
      <c r="DU14" s="188">
        <f ca="1">IF(F14&lt;OFFSET($BM$9,DT14-1,0,1,1),0,IF(F14&lt;OFFSET($BN$9,DT14-1,0,1,1),((F14-OFFSET($BM$9,DT14-1,0,1,1))*OFFSET($CH$9,DT14-1,0,1,1))+OFFSET($BO$9,DT14-1,CQ14,1,1),IF(F14&lt;OFFSET($BN$9,DT14+0,0,1,1),((F14-OFFSET($BM$9,DT14+0,0,1,1))*OFFSET($CH$9,DT14+0,0,1,1))+OFFSET($BO$9,DT14+0,CQ14,1,1),IF(F14&lt;OFFSET($BN$9,DT14+1,0,1,1),((F14-OFFSET($BM$9,DT14+1,0,1,1))*OFFSET($CH$9,DT14+1,0,1,1))+OFFSET($BO$9,DT14+1,CQ14,1,1),IF(F14&lt;OFFSET($BN$9,DT14+2,0,1,1),((F14-OFFSET($BM$9,DT14+2,0,1,1))*OFFSET($CH$9,DT14+2,0,1,1))+OFFSET($BO$9,DT14+2,CQ14,1,1),IF(F14&lt;OFFSET($BN$9,DT14+3,0,1,1),((F14-OFFSET($BM$9,DT14+3,0,1,1))*OFFSET($CH$9,DT14+3,0,1,1))+OFFSET($BO$9,DT14+3,CQ14,1,1),0))))))</f>
        <v>0</v>
      </c>
      <c r="DV14" s="51">
        <f ca="1">IF($F14&lt;OFFSET($BM$9,$DT14-1,0,1,1),0,IF($F14&lt;OFFSET($BN$9,$DT14-1,0,1,1),IF(AND($H14&gt;2.4,Z14&lt;&gt;"e",Z14&lt;&gt;"f"),DZ14*2.4/$H14,DZ14),IF($F14&lt;OFFSET($BN$9,$DT14+0,0,1,1),IF(AND($H14&gt;2.4,Z14&lt;&gt;"e",Z14&lt;&gt;"f"),DZ14*2.4/$H14,DZ14),IF($F14&lt;OFFSET($BN$9,$DT14+1,0,1,1),IF(AND($H14&gt;2.4,Z14&lt;&gt;"e",Z14&lt;&gt;"f"),DZ14*2.4/$H14,DZ14),IF($F14&lt;OFFSET($BN$9,$DT14+2,0,1,1),IF(AND($H14&gt;2.4,Z14&lt;&gt;"e",Z14&lt;&gt;"f"),DZ14*2.4/$H14,DZ14),IF($F14&lt;OFFSET($BN$9,$DT14+3,0,1,1),IF(AND($H14&gt;2.4,Z14&lt;&gt;"e",Z14&lt;&gt;"f"),DZ14*2.4/$H14,DZ14),0)))))*COS(RADIANS($G14)))</f>
        <v>0</v>
      </c>
      <c r="DW14" s="188">
        <f ca="1">IF(F14&lt;OFFSET($BM$9,DT14-1,0,1,1),0,IF(F14&lt;OFFSET($BN$9,DT14-1,0,1,1),((F14-OFFSET($BM$9,DT14-1,0,1,1))*OFFSET($CI$9,DT14-1,0,1,1))+OFFSET($BP$9,DT14-1,CQ14,1,1),IF(F14&lt;OFFSET($BN$9,DT14+0,0,1,1),((F14-OFFSET($BM$9,DT14+0,0,1,1))*OFFSET($CI$9,DT14+0,0,1,1))+OFFSET($BP$9,DT14+0,CQ14,1,1),IF(F14&lt;OFFSET($BN$9,DT14+1,0,1,1),((F14-OFFSET($BM$9,DT14+1,0,1,1))*OFFSET($CI$9,DT14+1,0,1,1))+OFFSET($BP$9,DT14+1,CQ14,1,1),IF(F14&lt;OFFSET($BN$9,DT14+2,0,1,1),((F14-OFFSET($BM$9,DT14+2,0,1,1))*OFFSET($CI$9,DT14+2,0,1,1))+OFFSET($BP$9,DT14+2,CQ14,1,1),IF(F14&lt;OFFSET($BN$9,DT14+3,0,1,1),((F14-OFFSET($BM$9,DT14+3,0,1,1))*OFFSET($CI$9,DT14+3,0,1,1))+OFFSET($BP$9,DT14+3,CQ14,1,1),0))))))</f>
        <v>0</v>
      </c>
      <c r="DX14" s="51">
        <f ca="1">IF($F14&lt;OFFSET($BM$9,$DT14-1,0,1,1),0,IF($F14&lt;OFFSET($BN$9,$DT14-1,0,1,1),IF(AND($H14&gt;2.4,Z14&lt;&gt;"e",Z14&lt;&gt;"f"),EB14*2.4/$H14,EB14),IF($F14&lt;OFFSET($BN$9,$DT14+0,0,1,1),IF(AND($H14&gt;2.4,Z14&lt;&gt;"e",Z14&lt;&gt;"f"),EB14*2.4/$H14,EB14),IF($F14&lt;OFFSET($BN$9,$DT14+1,0,1,1),IF(AND($H14&gt;2.4,Z14&lt;&gt;"e",Z14&lt;&gt;"f"),EB14*2.4/$H14,EB14),IF($F14&lt;OFFSET($BN$9,$DT14+2,0,1,1),IF(AND($H14&gt;2.4,Z14&lt;&gt;"e",Z14&lt;&gt;"f"),EB14*2.4/$H14,EB14),IF($F14&lt;OFFSET($BN$9,$DT14+3,0,1,1),IF(AND($H14&gt;2.4,Z14&lt;&gt;"e",Z14&lt;&gt;"f"),EB14*2.4/$H14,EB14),0)))))*COS(RADIANS($G14)))</f>
        <v>0</v>
      </c>
      <c r="DY14" s="188"/>
      <c r="DZ14" s="188">
        <f ca="1">IF(DU14&gt;$CR14,$CR14,DU14)</f>
        <v>0</v>
      </c>
      <c r="EA14" s="188"/>
      <c r="EB14" s="188">
        <f ca="1">IF(DW14&gt;$CR14,$CR14,DW14)</f>
        <v>0</v>
      </c>
      <c r="EC14" s="435">
        <f ca="1">IF(DV14&gt;$CR14,$CR14,DV14)</f>
        <v>0</v>
      </c>
      <c r="ED14" s="435">
        <f ca="1">EC14*F14</f>
        <v>0</v>
      </c>
      <c r="EE14" s="436">
        <f ca="1">IF(DX14&gt;$CR14,$CR14,DX14)</f>
        <v>0</v>
      </c>
      <c r="EF14" s="437">
        <f ca="1">EE14*F14</f>
        <v>0</v>
      </c>
      <c r="EG14" s="613" t="str">
        <f>IF(D14=BG$12,BG$12,"")</f>
        <v/>
      </c>
      <c r="EH14" s="614" t="str">
        <f>IF(D14=BG$13,BG$13,"")</f>
        <v/>
      </c>
      <c r="EI14" s="611">
        <f>IF(EG14=BG$12,M14,0)</f>
        <v>0</v>
      </c>
      <c r="EJ14" s="451">
        <f>IF(EG14=BG$12,O14,0)</f>
        <v>0</v>
      </c>
      <c r="EK14" s="451">
        <f>IF(EH14=BG$13,M14,0)</f>
        <v>0</v>
      </c>
      <c r="EL14" s="612">
        <f>IF(EH14=BG$13,O14,0)</f>
        <v>0</v>
      </c>
      <c r="EM14" s="426" t="str">
        <f ca="1">IF(AND(Z14&lt;&gt;"t",Z14&lt;&gt;"f"),"",IF(AND(EN14=$BH$13,K14=$BH$12),"NotOpt",IF(K14&lt;&gt;EN14,"Error","")))</f>
        <v/>
      </c>
      <c r="EN14" s="491" t="str">
        <f>IF(AND($BH$28=1,$BG$28=1),$BH$13,$BH$12)</f>
        <v>120 BU's</v>
      </c>
      <c r="EO14" s="426" t="str">
        <f>K14</f>
        <v xml:space="preserve"> </v>
      </c>
      <c r="EP14" s="497">
        <v>1</v>
      </c>
      <c r="EQ14" s="430" t="str">
        <f ca="1">IF(EP14=1," ",OFFSET(BF$15,EP14-2,0,1,1))</f>
        <v xml:space="preserve"> </v>
      </c>
      <c r="ER14" s="439" t="str">
        <f ca="1">IF(H14=0," ",H14)</f>
        <v xml:space="preserve"> </v>
      </c>
      <c r="ES14" s="440" t="str">
        <f ca="1">IF(ER14&lt;&gt;" ",IF(ER14&lt;&gt;ER$7,"Changed",""),"")</f>
        <v/>
      </c>
      <c r="ET14" s="440">
        <f t="shared" ca="1" si="15"/>
        <v>0</v>
      </c>
      <c r="EU14" s="957" t="str">
        <f ca="1">IF(I14=" "," ",IF(F14&lt;OFFSET($BM$9,CL14-1,0,1,1),1,""))</f>
        <v xml:space="preserve"> </v>
      </c>
      <c r="EW14" s="427"/>
      <c r="EX14"/>
    </row>
    <row r="15" spans="1:154" ht="17.100000000000001" customHeight="1">
      <c r="B15" s="689" t="s">
        <v>246</v>
      </c>
      <c r="C15" s="684" t="str">
        <f>IF(OR(F15=0,I15="",I15=" ")," ",$V15)</f>
        <v xml:space="preserve"> </v>
      </c>
      <c r="D15" s="1033"/>
      <c r="E15" s="1034"/>
      <c r="F15" s="201"/>
      <c r="G15" s="1416"/>
      <c r="H15" s="199" t="str">
        <f ca="1">IF(OR(F15=0,Z15="E",Z15="f")," ",'Project Demand'!E$35)</f>
        <v xml:space="preserve"> </v>
      </c>
      <c r="I15" s="631" t="str">
        <f>IF($I$6&lt;&gt;$BG$8," ",AB15)</f>
        <v xml:space="preserve"> </v>
      </c>
      <c r="J15" s="44" t="str">
        <f ca="1">IF(OR(I15=" ",I15="")," ",OFFSET($BO$9,CL15-1,0-4,1,1))</f>
        <v xml:space="preserve"> </v>
      </c>
      <c r="K15" s="55" t="str">
        <f>IF(OR(I15=" ",I15="")," ",IF(OR(Z15="e",Z15="h"),"SD",BG$24))</f>
        <v xml:space="preserve"> </v>
      </c>
      <c r="L15" s="49">
        <f ca="1">CW15</f>
        <v>0</v>
      </c>
      <c r="M15" s="49">
        <f ca="1">CY15</f>
        <v>0</v>
      </c>
      <c r="N15" s="50">
        <f t="shared" ca="1" si="17"/>
        <v>0</v>
      </c>
      <c r="O15" s="126">
        <f t="shared" ca="1" si="17"/>
        <v>0</v>
      </c>
      <c r="P15" s="140"/>
      <c r="Q15" s="752" t="str">
        <f ca="1">IF(AND(OR(Z15="t",Z15="f"),K15=$BH$11),"No Floor!  Change Floor Type",IF(OR(I15=" ",I15="")," ",IF(F15&lt;OFFSET($BM$9,CL15-1,0,1,1),"check L(m)",DE15&amp;IF(AND(DP15&gt;=CY15,DR15&gt;=DB15),IF(AND(ED15&gt;=DP15,EF15&gt;=DR15),CONCATENATE(DS15," will provide same result"),CONCATENATE(CO15," will provide same result")),IF((DP15&gt;=CY15),CONCATENATE(CO15," provides same result in WIND"),IF((DR15&gt;=DB15),CONCATENATE(CO15," provides same result in EQ"),""))))))&amp;IF(ISERROR(FIND("pile",I15,1)),"",IF(INT(F15)&lt;&gt;F15,"Pile!  Use Whole Numbers Only",""))</f>
        <v xml:space="preserve"> </v>
      </c>
      <c r="R15" s="52"/>
      <c r="S15" s="1372"/>
      <c r="T15" s="52"/>
      <c r="U15" s="1377"/>
      <c r="V15" s="52" t="str">
        <f ca="1">IF(AND(B$5=$BF$9,OR(I15=BH$16,I15=BH$17))," ",IF(ISNUMBER(B$14),(CONCATENATE(B$14,".",W15)),(CONCATENATE(B$14,W15))))</f>
        <v>N0</v>
      </c>
      <c r="W15" s="9">
        <f ca="1">W14+X15</f>
        <v>0</v>
      </c>
      <c r="X15" s="9">
        <f>IF(AND(B$5=$BF$9,OR($I15=$BH$16,$I15=$BH$17,$I15=" ",$I15="",$F15=0)),0,IF(OR($I15=" ",$I15="",$F15=0),0,1))</f>
        <v>0</v>
      </c>
      <c r="Y15" s="896"/>
      <c r="Z15" s="52" t="str">
        <f ca="1">IF(I15=" "," ",OFFSET($BM$9,$CL15-1,8,1,1))</f>
        <v xml:space="preserve"> </v>
      </c>
      <c r="AA15" s="51" t="str">
        <f>IF(G15&gt;=45,"WA","")</f>
        <v/>
      </c>
      <c r="AB15" s="1364" t="str">
        <f>IF(F15&lt;&gt;"",IF(OR(D15=$BG$12,D15=$BG$13),IF(E15&lt;&gt;$BG$17,$BF$12,$BF$13),IF(E15&lt;&gt;$BG$17,$BF$12,$BF$13))," ")</f>
        <v xml:space="preserve"> </v>
      </c>
      <c r="AC15" s="1"/>
      <c r="AJ15" s="2230"/>
      <c r="AK15" s="2793"/>
      <c r="AL15" s="2784"/>
      <c r="AM15" s="11">
        <f>'Regular and QuickBrace Systems'!F29</f>
        <v>1.2</v>
      </c>
      <c r="AN15" s="1336">
        <f>'Regular and QuickBrace Systems'!G29</f>
        <v>72</v>
      </c>
      <c r="AO15" s="26">
        <f>'Regular and QuickBrace Systems'!H29</f>
        <v>64</v>
      </c>
      <c r="AP15" s="1595"/>
      <c r="AQ15" s="2663"/>
      <c r="AR15" s="2664"/>
      <c r="AS15" s="2031"/>
      <c r="AT15" s="1339"/>
      <c r="AU15" s="2090"/>
      <c r="AW15" s="1569" t="str">
        <f>'Regular and QuickBrace Systems'!O29</f>
        <v>Yes</v>
      </c>
      <c r="AX15" s="442" t="str">
        <f>'Regular and QuickBrace Systems'!Q29</f>
        <v>No</v>
      </c>
      <c r="BD15" s="2667"/>
      <c r="BF15" s="598" t="str">
        <f>Table!AI73</f>
        <v>ES-N</v>
      </c>
      <c r="BG15" s="1029" t="s">
        <v>8</v>
      </c>
      <c r="BH15" s="1396"/>
      <c r="BI15" s="759"/>
      <c r="BJ15" s="897">
        <f t="shared" si="4"/>
        <v>7</v>
      </c>
      <c r="BK15" s="769" t="str">
        <f t="shared" si="5"/>
        <v xml:space="preserve">  </v>
      </c>
      <c r="BL15" s="771" t="str">
        <f t="shared" si="6"/>
        <v>Custom4</v>
      </c>
      <c r="BM15" s="455">
        <f t="shared" si="7"/>
        <v>9.9999999999999996E-76</v>
      </c>
      <c r="BN15" s="455">
        <v>999</v>
      </c>
      <c r="BO15" s="455">
        <f t="shared" si="8"/>
        <v>0</v>
      </c>
      <c r="BP15" s="925">
        <f t="shared" si="9"/>
        <v>0</v>
      </c>
      <c r="BR15" s="764"/>
      <c r="BS15" s="455"/>
      <c r="BT15" s="455" t="str">
        <f t="shared" si="10"/>
        <v>B</v>
      </c>
      <c r="BU15" s="925" t="str">
        <f t="shared" si="11"/>
        <v>T</v>
      </c>
      <c r="BV15" s="483" t="str">
        <f t="shared" si="12"/>
        <v>Custom4</v>
      </c>
      <c r="BW15" s="910">
        <f t="shared" si="18"/>
        <v>7</v>
      </c>
      <c r="BX15" s="925" t="str">
        <f t="shared" si="16"/>
        <v>Single</v>
      </c>
      <c r="CH15" s="764">
        <f t="shared" si="13"/>
        <v>0</v>
      </c>
      <c r="CI15" s="925">
        <f t="shared" si="14"/>
        <v>0</v>
      </c>
      <c r="CJ15" s="759"/>
      <c r="CK15" s="188"/>
      <c r="CL15" s="979">
        <f>VLOOKUP(I15,Prodlink,2,0)</f>
        <v>0</v>
      </c>
      <c r="CN15" s="497">
        <f ca="1">VLOOKUP(CO15,Prodlink,2,0)</f>
        <v>0</v>
      </c>
      <c r="CO15" s="497">
        <f ca="1">OFFSET($CH$9,CL15-1,-15,1,1)</f>
        <v>0</v>
      </c>
      <c r="CQ15" s="51">
        <v>0</v>
      </c>
      <c r="CR15" s="51">
        <f>IF(K15=$BH$12,$BH$23,IF(K15=$BH$13,$BH$24,10000))</f>
        <v>10000</v>
      </c>
      <c r="CS15" s="51">
        <f ca="1">IF(F15&lt;OFFSET($BM$9,CL15-1,0,1,1),0,IF(F15&lt;OFFSET($BN$9,CL15-1,0,1,1),((F15-OFFSET($BM$9,CL15-1,0,1,1))*OFFSET($CH$9,CL15-1,0,1,1))+OFFSET($BO$9,CL15-1,CQ15,1,1),IF(F15&lt;OFFSET($BN$9,CL15+0,0,1,1),((F15-OFFSET($BM$9,CL15+0,0,1,1))*OFFSET($CH$9,CL15+0,0,1,1))+OFFSET($BO$9,CL15+0,CQ15,1,1),IF(F15&lt;OFFSET($BN$9,CL15+1,0,1,1),((F15-OFFSET($BM$9,CL15+1,0,1,1))*OFFSET($CH$9,CL15+1,0,1,1))+OFFSET($BO$9,CL15+1,CQ15,1,1),IF(F15&lt;OFFSET($BN$9,CL15+2,0,1,1),((F15-OFFSET($BM$9,CL15+2,0,1,1))*OFFSET($CH$9,CL15+2,0,1,1))+OFFSET($BO$9,CL15+2,CQ15,1,1),IF(F15&lt;OFFSET($BN$9,CL15+3,0,1,1),((F15-OFFSET($BM$9,CL15+3,0,1,1))*OFFSET($CH$9,CL15+3,0,1,1))+OFFSET($BO$9,CL15+3,CQ15,1,1),0))))))</f>
        <v>0</v>
      </c>
      <c r="CT15" s="51">
        <f ca="1">IF($F15&lt;OFFSET($BM$9,$CL15-1,0,1,1),0,IF($F15&lt;OFFSET($BN$9,$CL15-1,0,1,1),IF(AND($H15&gt;2.4,Z15&lt;&gt;"e",Z15&lt;&gt;"f"),CX15*2.4/$H15,CX15),IF($F15&lt;OFFSET($BN$9,$CL15+0,0,1,1),IF(AND($H15&gt;2.4,Z15&lt;&gt;"e",Z15&lt;&gt;"f"),CX15*2.4/$H15,CX15),IF($F15&lt;OFFSET($BN$9,$CL15+1,0,1,1),IF(AND($H15&gt;2.4,Z15&lt;&gt;"e",Z15&lt;&gt;"f"),CX15*2.4/$H15,CX15),IF($F15&lt;OFFSET($BN$9,CL15+2,0,1,1),IF(AND($H15&gt;2.4,Z15&lt;&gt;"e",Z15&lt;&gt;"f"),CX15*2.4/$H15,CX15),IF($F15&lt;OFFSET($BN$9,CL15+3,0,1,1),IF(AND($H15&gt;2.4,Z15&lt;&gt;"e",Z15&lt;&gt;"f"),CX15*2.4/$H15,CX15),0)))))*COS(RADIANS($G15)))</f>
        <v>0</v>
      </c>
      <c r="CU15" s="51">
        <f ca="1">IF(F15&lt;OFFSET($BM$9,CL15-1,0,1,1),0,IF(F15&lt;OFFSET($BN$9,CL15-1,0,1,1),((F15-OFFSET($BM$9,CL15-1,0,1,1))*OFFSET($CI$9,CL15-1,0,1,1))+OFFSET($BP$9,CL15-1,CQ15,1,1),IF(F15&lt;OFFSET($BN$9,CL15+0,0,1,1),((F15-OFFSET($BM$9,CL15+0,0,1,1))*OFFSET($CI$9,CL15+0,0,1,1))+OFFSET($BP$9,CL15+0,CQ15,1,1),IF(F15&lt;OFFSET($BN$9,CL15+1,0,1,1),((F15-OFFSET($BM$9,CL15+1,0,1,1))*OFFSET($CI$9,CL15+1,0,1,1))+OFFSET($BP$9,CL15+1,CQ15,1,1),IF(F15&lt;OFFSET($BN$9,CL15+2,0,1,1),((F15-OFFSET($BM$9,CL15+2,0,1,1))*OFFSET($CI$9,CL15+2,0,1,1))+OFFSET($BP$9,CL15+2,CQ15,1,1),IF(F15&lt;OFFSET($BN$9,CL15+3,0,1,1),((F15-OFFSET($BM$9,CL15+3,0,1,1))*OFFSET($CI$9,CL15+3,0,1,1))+OFFSET($BP$9,CL15+3,CQ15,1,1),0))))))</f>
        <v>0</v>
      </c>
      <c r="CV15" s="51">
        <f ca="1">IF($F15&lt;OFFSET($BM$9,$CL15-1,0,1,1),0,IF($F15&lt;OFFSET($BN$9,$CL15-1,0,1,1),IF(AND($H15&gt;2.4,Z15&lt;&gt;"e",Z15&lt;&gt;"f"),CZ15*2.4/$H15,CZ15),IF($F15&lt;OFFSET($BN$9,$CL15+0,0,1,1),IF(AND($H15&gt;2.4,Z15&lt;&gt;"e",Z15&lt;&gt;"f"),CZ15*2.4/$H15,CZ15),IF($F15&lt;OFFSET($BN$9,$CL15+1,0,1,1),IF(AND($H15&gt;2.4,Z15&lt;&gt;"e",Z15&lt;&gt;"f"),CZ15*2.4/$H15,CZ15),IF($F15&lt;OFFSET($BN$9,$CL15+2,0,1,1),IF(AND($H15&gt;2.4,Z15&lt;&gt;"e",Z15&lt;&gt;"f"),CZ15*2.4/$H15,CZ15),IF($F15&lt;OFFSET($BN$9,$CL15+3,0,1,1),IF(AND($H15&gt;2.4,Z15&lt;&gt;"e",Z15&lt;&gt;"f"),CZ15*2.4/$H15,CZ15),0)))))*COS(RADIANS($G15)))</f>
        <v>0</v>
      </c>
      <c r="CW15" s="51">
        <f ca="1">IF(CT15&gt;CR15,CR15,CT15)</f>
        <v>0</v>
      </c>
      <c r="CX15" s="51">
        <f ca="1">IF(CS15&gt;$CR15,$CR15,CS15)</f>
        <v>0</v>
      </c>
      <c r="CY15" s="51">
        <f ca="1">CW15*F15</f>
        <v>0</v>
      </c>
      <c r="CZ15" s="51">
        <f ca="1">IF($CU15&gt;$CR15,$CR15,$CU15)</f>
        <v>0</v>
      </c>
      <c r="DA15" s="51">
        <f ca="1">IF(CV15&gt;CR15,CR15,CV15)</f>
        <v>0</v>
      </c>
      <c r="DB15" s="51">
        <f ca="1">DA15*F15</f>
        <v>0</v>
      </c>
      <c r="DC15" s="993">
        <v>1</v>
      </c>
      <c r="DD15" s="758" t="str">
        <f>IF(OR(D15=BG$12,D15=BG$13),"External",IF(D15=BG$14,"Internal"," "))</f>
        <v xml:space="preserve"> </v>
      </c>
      <c r="DE15" s="51" t="str">
        <f t="shared" ca="1" si="2"/>
        <v/>
      </c>
      <c r="DF15" s="52" t="str">
        <f t="shared" ca="1" si="3"/>
        <v xml:space="preserve"> </v>
      </c>
      <c r="DG15" s="51">
        <f ca="1">IF(F15&lt;OFFSET($BM$9,CN15-1,0,1,1),0,IF(F15&lt;OFFSET($BN$9,CN15-1,0,1,1),((F15-OFFSET($BM$9,CN15-1,0,1,1))*OFFSET($CH$9,CN15-1,0,1,1))+OFFSET($BO$9,CN15-1,CQ15,1,1),IF(F15&lt;OFFSET($BN$9,CN15+0,0,1,1),((F15-OFFSET($BM$9,CN15+0,0,1,1))*OFFSET($CH$9,CN15+0,0,1,1))+OFFSET($BO$9,CN15+0,CQ15,1,1),IF(F15&lt;OFFSET($BN$9,CN15+1,0,1,1),((F15-OFFSET($BM$9,CN15+1,0,1,1))*OFFSET($CH$9,CN15+1,0,1,1))+OFFSET($BO$9,CN15+1,CQ15,1,1),IF(F15&lt;OFFSET($BN$9,CN15+2,0,1,1),((F15-OFFSET($BM$9,CN15+2,0,1,1))*OFFSET($CH$9,CN15+2,0,1,1))+OFFSET($BO$9,CN15+2,CQ15,1,1),IF(F15&lt;OFFSET($BN$9,CN15+3,0,1,1),((F15-OFFSET($BM$9,CN15+3,0,1,1))*OFFSET($CH$9,CN15+3,0,1,1))+OFFSET($BO$9,CN15+3,CQ15,1,1),0))))))</f>
        <v>0</v>
      </c>
      <c r="DH15" s="51">
        <f ca="1">IF($F15&lt;OFFSET($BM$9,$CN15-1,0,1,1),0,IF($F15&lt;OFFSET($BN$9,$CN15-1,0,1,1),IF(AND($H15&gt;2.4,Z15&lt;&gt;"e",Z15&lt;&gt;"f"),DL15*2.4/$H15,DL15),IF($F15&lt;OFFSET($BN$9,$CN15+0,0,1,1),IF(AND($H15&gt;2.4,Z15&lt;&gt;"e",Z15&lt;&gt;"f"),DL15*2.4/$H15,DL15),IF($F15&lt;OFFSET($BN$9,$CN15+1,0,1,1),IF(AND($H15&gt;2.4,Z15&lt;&gt;"e",Z15&lt;&gt;"f"),DL15*2.4/$H15,DL15),IF($F15&lt;OFFSET($BN$9,$CN15+2,0,1,1),IF(AND($H15&gt;2.4,Z15&lt;&gt;"e",Z15&lt;&gt;"f"),DL15*2.4/$H15,DL15),IF($F15&lt;OFFSET($BN$9,$CN15+3,0,1,1),IF(AND($H15&gt;2.4,Z15&lt;&gt;"e",Z15&lt;&gt;"f"),DL15*2.4/$H15,DL15),0)))))*COS(RADIANS($G15)))</f>
        <v>0</v>
      </c>
      <c r="DI15" s="51">
        <f ca="1">IF(F15&lt;OFFSET($BM$9,CN15-1,0,1,1),0,IF(F15&lt;OFFSET($BN$9,CN15-1,0,1,1),((F15-OFFSET($BM$9,CN15-1,0,1,1))*OFFSET($CI$9,CN15-1,0,1,1))+OFFSET($BP$9,CN15-1,CQ15,1,1),IF(F15&lt;OFFSET($BN$9,CN15+0,0,1,1),((F15-OFFSET($BM$9,CN15+0,0,1,1))*OFFSET($CI$9,CN15+0,0,1,1))+OFFSET($BP$9,CN15+0,CQ15,1,1),IF(F15&lt;OFFSET($BN$9,CN15+1,0,1,1),((F15-OFFSET($BM$9,CN15+1,0,1,1))*OFFSET($CI$9,CN15+1,0,1,1))+OFFSET($BP$9,CN15+1,CQ15,1,1),IF(F15&lt;OFFSET($BN$9,CN15+2,0,1,1),((F15-OFFSET($BM$9,CN15+2,0,1,1))*OFFSET($CI$9,CN15+2,0,1,1))+OFFSET($BP$9,CN15+2,CQ15,1,1),IF(F15&lt;OFFSET($BN$9,CN15+3,0,1,1),((F15-OFFSET($BM$9,CN15+3,0,1,1))*OFFSET($CI$9,CN15+3,0,1,1))+OFFSET($BP$9,CN15+3,CQ15,1,1),0))))))</f>
        <v>0</v>
      </c>
      <c r="DJ15" s="51">
        <f ca="1">IF($F15&lt;OFFSET($BM$9,$CN15-1,0,1,1),0,IF($F15&lt;OFFSET($BN$9,$CN15-1,0,1,1),IF(AND($H15&gt;2.4,Z15&lt;&gt;"e",Z15&lt;&gt;"f"),DN15*2.4/$H15,DN15),IF($F15&lt;OFFSET($BN$9,$CN15+0,0,1,1),IF(AND($H15&gt;2.4,Z15&lt;&gt;"e",Z15&lt;&gt;"f"),DN15*2.4/$H15,DN15),IF($F15&lt;OFFSET($BN$9,$CN15+1,0,1,1),IF(AND($H15&gt;2.4,Z15&lt;&gt;"e",Z15&lt;&gt;"f"),DN15*2.4/$H15,DN15),IF($F15&lt;OFFSET($BN$9,$CN15+2,0,1,1),IF(AND($H15&gt;2.4,Z15&lt;&gt;"e",Z15&lt;&gt;"f"),DN15*2.4/$H15,DN15),IF($F15&lt;OFFSET($BN$9,$CN15+3,0,1,1),IF(AND($H15&gt;2.4,Z15&lt;&gt;"e",Z15&lt;&gt;"f"),DN15*2.4/$H15,DN15),0)))))*COS(RADIANS($G15)))</f>
        <v>0</v>
      </c>
      <c r="DK15" s="51"/>
      <c r="DL15" s="51">
        <f ca="1">IF(DG15&gt;$CR15,$CR15,DG15)</f>
        <v>0</v>
      </c>
      <c r="DM15" s="51"/>
      <c r="DN15" s="51">
        <f ca="1">IF(DI15&gt;$CR15,$CR15,DI15)</f>
        <v>0</v>
      </c>
      <c r="DO15" s="435">
        <f ca="1">IF(DH15&gt;$CR15,$CR15,DH15)</f>
        <v>0</v>
      </c>
      <c r="DP15" s="435">
        <f ca="1">DO15*F15</f>
        <v>0</v>
      </c>
      <c r="DQ15" s="436">
        <f ca="1">IF(DJ15&gt;$CR15,$CR15,DJ15)</f>
        <v>0</v>
      </c>
      <c r="DR15" s="437">
        <f ca="1">DQ15*F15</f>
        <v>0</v>
      </c>
      <c r="DS15" s="426">
        <f ca="1">OFFSET($CH$9,CL15-1,-15,1,1)</f>
        <v>0</v>
      </c>
      <c r="DT15" s="451">
        <f t="shared" ca="1" si="1"/>
        <v>0</v>
      </c>
      <c r="DU15" s="188">
        <f ca="1">IF(F15&lt;OFFSET($BM$9,DT15-1,0,1,1),0,IF(F15&lt;OFFSET($BN$9,DT15-1,0,1,1),((F15-OFFSET($BM$9,DT15-1,0,1,1))*OFFSET($CH$9,DT15-1,0,1,1))+OFFSET($BO$9,DT15-1,CQ15,1,1),IF(F15&lt;OFFSET($BN$9,DT15+0,0,1,1),((F15-OFFSET($BM$9,DT15+0,0,1,1))*OFFSET($CH$9,DT15+0,0,1,1))+OFFSET($BO$9,DT15+0,CQ15,1,1),IF(F15&lt;OFFSET($BN$9,DT15+1,0,1,1),((F15-OFFSET($BM$9,DT15+1,0,1,1))*OFFSET($CH$9,DT15+1,0,1,1))+OFFSET($BO$9,DT15+1,CQ15,1,1),IF(F15&lt;OFFSET($BN$9,DT15+2,0,1,1),((F15-OFFSET($BM$9,DT15+2,0,1,1))*OFFSET($CH$9,DT15+2,0,1,1))+OFFSET($BO$9,DT15+2,CQ15,1,1),IF(F15&lt;OFFSET($BN$9,DT15+3,0,1,1),((F15-OFFSET($BM$9,DT15+3,0,1,1))*OFFSET($CH$9,DT15+3,0,1,1))+OFFSET($BO$9,DT15+3,CQ15,1,1),0))))))</f>
        <v>0</v>
      </c>
      <c r="DV15" s="51">
        <f ca="1">IF($F15&lt;OFFSET($BM$9,$DT15-1,0,1,1),0,IF($F15&lt;OFFSET($BN$9,$DT15-1,0,1,1),IF(AND($H15&gt;2.4,Z15&lt;&gt;"e",Z15&lt;&gt;"f"),DZ15*2.4/$H15,DZ15),IF($F15&lt;OFFSET($BN$9,$DT15+0,0,1,1),IF(AND($H15&gt;2.4,Z15&lt;&gt;"e",Z15&lt;&gt;"f"),DZ15*2.4/$H15,DZ15),IF($F15&lt;OFFSET($BN$9,$DT15+1,0,1,1),IF(AND($H15&gt;2.4,Z15&lt;&gt;"e",Z15&lt;&gt;"f"),DZ15*2.4/$H15,DZ15),IF($F15&lt;OFFSET($BN$9,$DT15+2,0,1,1),IF(AND($H15&gt;2.4,Z15&lt;&gt;"e",Z15&lt;&gt;"f"),DZ15*2.4/$H15,DZ15),IF($F15&lt;OFFSET($BN$9,$DT15+3,0,1,1),IF(AND($H15&gt;2.4,Z15&lt;&gt;"e",Z15&lt;&gt;"f"),DZ15*2.4/$H15,DZ15),0)))))*COS(RADIANS($G15)))</f>
        <v>0</v>
      </c>
      <c r="DW15" s="188">
        <f ca="1">IF(F15&lt;OFFSET($BM$9,DT15-1,0,1,1),0,IF(F15&lt;OFFSET($BN$9,DT15-1,0,1,1),((F15-OFFSET($BM$9,DT15-1,0,1,1))*OFFSET($CI$9,DT15-1,0,1,1))+OFFSET($BP$9,DT15-1,CQ15,1,1),IF(F15&lt;OFFSET($BN$9,DT15+0,0,1,1),((F15-OFFSET($BM$9,DT15+0,0,1,1))*OFFSET($CI$9,DT15+0,0,1,1))+OFFSET($BP$9,DT15+0,CQ15,1,1),IF(F15&lt;OFFSET($BN$9,DT15+1,0,1,1),((F15-OFFSET($BM$9,DT15+1,0,1,1))*OFFSET($CI$9,DT15+1,0,1,1))+OFFSET($BP$9,DT15+1,CQ15,1,1),IF(F15&lt;OFFSET($BN$9,DT15+2,0,1,1),((F15-OFFSET($BM$9,DT15+2,0,1,1))*OFFSET($CI$9,DT15+2,0,1,1))+OFFSET($BP$9,DT15+2,CQ15,1,1),IF(F15&lt;OFFSET($BN$9,DT15+3,0,1,1),((F15-OFFSET($BM$9,DT15+3,0,1,1))*OFFSET($CI$9,DT15+3,0,1,1))+OFFSET($BP$9,DT15+3,CQ15,1,1),0))))))</f>
        <v>0</v>
      </c>
      <c r="DX15" s="51">
        <f ca="1">IF($F15&lt;OFFSET($BM$9,$DT15-1,0,1,1),0,IF($F15&lt;OFFSET($BN$9,$DT15-1,0,1,1),IF(AND($H15&gt;2.4,Z15&lt;&gt;"e",Z15&lt;&gt;"f"),EB15*2.4/$H15,EB15),IF($F15&lt;OFFSET($BN$9,$DT15+0,0,1,1),IF(AND($H15&gt;2.4,Z15&lt;&gt;"e",Z15&lt;&gt;"f"),EB15*2.4/$H15,EB15),IF($F15&lt;OFFSET($BN$9,$DT15+1,0,1,1),IF(AND($H15&gt;2.4,Z15&lt;&gt;"e",Z15&lt;&gt;"f"),EB15*2.4/$H15,EB15),IF($F15&lt;OFFSET($BN$9,$DT15+2,0,1,1),IF(AND($H15&gt;2.4,Z15&lt;&gt;"e",Z15&lt;&gt;"f"),EB15*2.4/$H15,EB15),IF($F15&lt;OFFSET($BN$9,$DT15+3,0,1,1),IF(AND($H15&gt;2.4,Z15&lt;&gt;"e",Z15&lt;&gt;"f"),EB15*2.4/$H15,EB15),0)))))*COS(RADIANS($G15)))</f>
        <v>0</v>
      </c>
      <c r="DY15" s="188"/>
      <c r="DZ15" s="188">
        <f ca="1">IF(DU15&gt;$CR15,$CR15,DU15)</f>
        <v>0</v>
      </c>
      <c r="EA15" s="188"/>
      <c r="EB15" s="188">
        <f ca="1">IF(DW15&gt;$CR15,$CR15,DW15)</f>
        <v>0</v>
      </c>
      <c r="EC15" s="435">
        <f ca="1">IF(DV15&gt;$CR15,$CR15,DV15)</f>
        <v>0</v>
      </c>
      <c r="ED15" s="435">
        <f ca="1">EC15*F15</f>
        <v>0</v>
      </c>
      <c r="EE15" s="436">
        <f ca="1">IF(DX15&gt;$CR15,$CR15,DX15)</f>
        <v>0</v>
      </c>
      <c r="EF15" s="437">
        <f ca="1">EE15*F15</f>
        <v>0</v>
      </c>
      <c r="EG15" s="613" t="str">
        <f>IF(D15=BG$12,BG$12,"")</f>
        <v/>
      </c>
      <c r="EH15" s="614" t="str">
        <f>IF(D15=BG$13,BG$13,"")</f>
        <v/>
      </c>
      <c r="EI15" s="611">
        <f>IF(EG15=BG$12,M15,0)</f>
        <v>0</v>
      </c>
      <c r="EJ15" s="451">
        <f>IF(EG15=BG$12,O15,0)</f>
        <v>0</v>
      </c>
      <c r="EK15" s="451">
        <f>IF(EH15=BG$13,M15,0)</f>
        <v>0</v>
      </c>
      <c r="EL15" s="612">
        <f>IF(EH15=BG$13,O15,0)</f>
        <v>0</v>
      </c>
      <c r="EM15" s="426" t="str">
        <f ca="1">IF(AND(Z15&lt;&gt;"t",Z15&lt;&gt;"f"),"",IF(AND(EN15=$BH$13,K15=$BH$12),"NotOpt",IF(K15&lt;&gt;EN15,"Error","")))</f>
        <v/>
      </c>
      <c r="EN15" s="491" t="str">
        <f>IF(AND($BH$28=1,$BG$28=1),$BH$13,$BH$12)</f>
        <v>120 BU's</v>
      </c>
      <c r="EO15" s="426" t="str">
        <f>K15</f>
        <v xml:space="preserve"> </v>
      </c>
      <c r="EP15" s="497">
        <v>1</v>
      </c>
      <c r="EQ15" s="430" t="str">
        <f ca="1">IF(EP15=1," ",OFFSET(BF$15,EP15-2,0,1,1))</f>
        <v xml:space="preserve"> </v>
      </c>
      <c r="ER15" s="439" t="str">
        <f ca="1">IF(H15=0," ",H15)</f>
        <v xml:space="preserve"> </v>
      </c>
      <c r="ES15" s="440" t="str">
        <f ca="1">IF(ER15&lt;&gt;" ",IF(ER15&lt;&gt;ER$7,"Changed",""),"")</f>
        <v/>
      </c>
      <c r="ET15" s="440">
        <f t="shared" ca="1" si="15"/>
        <v>0</v>
      </c>
      <c r="EU15" s="957" t="str">
        <f ca="1">IF(I15=" "," ",IF(F15&lt;OFFSET($BM$9,CL15-1,0,1,1),1,""))</f>
        <v xml:space="preserve"> </v>
      </c>
      <c r="EW15" s="427"/>
      <c r="EX15"/>
    </row>
    <row r="16" spans="1:154" ht="17.100000000000001" customHeight="1" thickBot="1">
      <c r="B16" s="689" t="s">
        <v>246</v>
      </c>
      <c r="C16" s="684" t="str">
        <f>IF(OR(F16=0,I16="",I16=" ")," ",$V16)</f>
        <v xml:space="preserve"> </v>
      </c>
      <c r="D16" s="1033"/>
      <c r="E16" s="1034"/>
      <c r="F16" s="201"/>
      <c r="G16" s="1416"/>
      <c r="H16" s="199" t="str">
        <f ca="1">IF(OR(F16=0,Z16="E",Z16="f")," ",'Project Demand'!E$35)</f>
        <v xml:space="preserve"> </v>
      </c>
      <c r="I16" s="631" t="str">
        <f>IF($I$6&lt;&gt;$BG$8," ",AB16)</f>
        <v xml:space="preserve"> </v>
      </c>
      <c r="J16" s="44" t="str">
        <f ca="1">IF(OR(I16=" ",I16="")," ",OFFSET($BO$9,CL16-1,0-4,1,1))</f>
        <v xml:space="preserve"> </v>
      </c>
      <c r="K16" s="55" t="str">
        <f>IF(OR(I16=" ",I16="")," ",IF(OR(Z16="e",Z16="h"),"SD",BG$24))</f>
        <v xml:space="preserve"> </v>
      </c>
      <c r="L16" s="49">
        <f ca="1">CW16</f>
        <v>0</v>
      </c>
      <c r="M16" s="49">
        <f ca="1">CY16</f>
        <v>0</v>
      </c>
      <c r="N16" s="50">
        <f t="shared" ca="1" si="17"/>
        <v>0</v>
      </c>
      <c r="O16" s="126">
        <f t="shared" ca="1" si="17"/>
        <v>0</v>
      </c>
      <c r="P16" s="140"/>
      <c r="Q16" s="752" t="str">
        <f ca="1">IF(AND(OR(Z16="t",Z16="f"),K16=$BH$11),"No Floor!  Change Floor Type",IF(OR(I16=" ",I16="")," ",IF(F16&lt;OFFSET($BM$9,CL16-1,0,1,1),"check L(m)",DE16&amp;IF(AND(DP16&gt;=CY16,DR16&gt;=DB16),IF(AND(ED16&gt;=DP16,EF16&gt;=DR16),CONCATENATE(DS16," will provide same result"),CONCATENATE(CO16," will provide same result")),IF((DP16&gt;=CY16),CONCATENATE(CO16," provides same result in WIND"),IF((DR16&gt;=DB16),CONCATENATE(CO16," provides same result in EQ"),""))))))&amp;IF(ISERROR(FIND("pile",I16,1)),"",IF(INT(F16)&lt;&gt;F16,"Pile!  Use Whole Numbers Only",""))</f>
        <v xml:space="preserve"> </v>
      </c>
      <c r="R16" s="52"/>
      <c r="S16" s="1372"/>
      <c r="T16" s="52"/>
      <c r="U16" s="1377"/>
      <c r="V16" s="52" t="str">
        <f ca="1">IF(AND(B$5=$BF$9,OR(I16=BH$16,I16=BH$17))," ",IF(ISNUMBER(B$14),(CONCATENATE(B$14,".",W16)),(CONCATENATE(B$14,W16))))</f>
        <v>N0</v>
      </c>
      <c r="W16" s="9">
        <f ca="1">W15+X16</f>
        <v>0</v>
      </c>
      <c r="X16" s="9">
        <f>IF(AND(B$5=$BF$9,OR($I16=$BH$16,$I16=$BH$17,$I16=" ",$I16="",$F16=0)),0,IF(OR($I16=" ",$I16="",$F16=0),0,1))</f>
        <v>0</v>
      </c>
      <c r="Y16" s="896"/>
      <c r="Z16" s="52" t="str">
        <f ca="1">IF(I16=" "," ",OFFSET($BM$9,$CL16-1,8,1,1))</f>
        <v xml:space="preserve"> </v>
      </c>
      <c r="AA16" s="51" t="str">
        <f>IF(G16&gt;=45,"WA","")</f>
        <v/>
      </c>
      <c r="AB16" s="1364" t="str">
        <f>IF(F16&lt;&gt;"",IF(OR(D16=$BG$12,D16=$BG$13),IF(E16&lt;&gt;$BG$17,$BF$12,$BF$13),IF(E16&lt;&gt;$BG$17,$BF$12,$BF$13))," ")</f>
        <v xml:space="preserve"> </v>
      </c>
      <c r="AC16" s="1"/>
      <c r="AJ16" s="2230"/>
      <c r="AK16" s="2793"/>
      <c r="AL16" s="2785"/>
      <c r="AM16" s="1177">
        <f>'Regular and QuickBrace Systems'!F30</f>
        <v>1.8</v>
      </c>
      <c r="AN16" s="1274">
        <f>'Regular and QuickBrace Systems'!G30</f>
        <v>83</v>
      </c>
      <c r="AO16" s="1275">
        <f>'Regular and QuickBrace Systems'!H30</f>
        <v>64</v>
      </c>
      <c r="AP16" s="1277"/>
      <c r="AQ16" s="2665"/>
      <c r="AR16" s="2666"/>
      <c r="AS16" s="2032"/>
      <c r="AT16" s="1339"/>
      <c r="AU16" s="2132"/>
      <c r="AW16" s="1570" t="str">
        <f>'Regular and QuickBrace Systems'!O30</f>
        <v>Yes</v>
      </c>
      <c r="AX16" s="1574" t="str">
        <f>'Regular and QuickBrace Systems'!Q30</f>
        <v>No</v>
      </c>
      <c r="BD16" s="2667"/>
      <c r="BF16" s="598" t="str">
        <f>Table!AI74</f>
        <v>ES-H</v>
      </c>
      <c r="BG16" s="1026" t="s">
        <v>1044</v>
      </c>
      <c r="BH16" s="1394" t="str">
        <f>Table!AI72</f>
        <v>ER1</v>
      </c>
      <c r="BI16" s="759"/>
      <c r="BJ16" s="897">
        <f t="shared" si="4"/>
        <v>8</v>
      </c>
      <c r="BK16" s="769" t="str">
        <f t="shared" si="5"/>
        <v xml:space="preserve">  </v>
      </c>
      <c r="BL16" s="771" t="str">
        <f t="shared" si="6"/>
        <v>Custom5</v>
      </c>
      <c r="BM16" s="455">
        <f t="shared" si="7"/>
        <v>9.9999999999999996E-76</v>
      </c>
      <c r="BN16" s="455">
        <v>999</v>
      </c>
      <c r="BO16" s="455">
        <f t="shared" si="8"/>
        <v>0</v>
      </c>
      <c r="BP16" s="925">
        <f t="shared" si="9"/>
        <v>0</v>
      </c>
      <c r="BR16" s="764"/>
      <c r="BS16" s="455"/>
      <c r="BT16" s="455" t="str">
        <f t="shared" si="10"/>
        <v>B</v>
      </c>
      <c r="BU16" s="925" t="str">
        <f t="shared" si="11"/>
        <v>T</v>
      </c>
      <c r="BV16" s="483" t="str">
        <f t="shared" si="12"/>
        <v>Custom5</v>
      </c>
      <c r="BW16" s="910">
        <f t="shared" si="18"/>
        <v>8</v>
      </c>
      <c r="BX16" s="925" t="str">
        <f t="shared" si="16"/>
        <v>Single</v>
      </c>
      <c r="CH16" s="764">
        <f t="shared" si="13"/>
        <v>0</v>
      </c>
      <c r="CI16" s="925">
        <f t="shared" si="14"/>
        <v>0</v>
      </c>
      <c r="CJ16" s="759"/>
      <c r="CK16" s="188"/>
      <c r="CL16" s="979">
        <f>VLOOKUP(I16,Prodlink,2,0)</f>
        <v>0</v>
      </c>
      <c r="CN16" s="497">
        <f ca="1">VLOOKUP(CO16,Prodlink,2,0)</f>
        <v>0</v>
      </c>
      <c r="CO16" s="497">
        <f ca="1">OFFSET($CH$9,CL16-1,-15,1,1)</f>
        <v>0</v>
      </c>
      <c r="CQ16" s="51">
        <v>0</v>
      </c>
      <c r="CR16" s="51">
        <f>IF(K16=$BH$12,$BH$23,IF(K16=$BH$13,$BH$24,10000))</f>
        <v>10000</v>
      </c>
      <c r="CS16" s="51">
        <f ca="1">IF(F16&lt;OFFSET($BM$9,CL16-1,0,1,1),0,IF(F16&lt;OFFSET($BN$9,CL16-1,0,1,1),((F16-OFFSET($BM$9,CL16-1,0,1,1))*OFFSET($CH$9,CL16-1,0,1,1))+OFFSET($BO$9,CL16-1,CQ16,1,1),IF(F16&lt;OFFSET($BN$9,CL16+0,0,1,1),((F16-OFFSET($BM$9,CL16+0,0,1,1))*OFFSET($CH$9,CL16+0,0,1,1))+OFFSET($BO$9,CL16+0,CQ16,1,1),IF(F16&lt;OFFSET($BN$9,CL16+1,0,1,1),((F16-OFFSET($BM$9,CL16+1,0,1,1))*OFFSET($CH$9,CL16+1,0,1,1))+OFFSET($BO$9,CL16+1,CQ16,1,1),IF(F16&lt;OFFSET($BN$9,CL16+2,0,1,1),((F16-OFFSET($BM$9,CL16+2,0,1,1))*OFFSET($CH$9,CL16+2,0,1,1))+OFFSET($BO$9,CL16+2,CQ16,1,1),IF(F16&lt;OFFSET($BN$9,CL16+3,0,1,1),((F16-OFFSET($BM$9,CL16+3,0,1,1))*OFFSET($CH$9,CL16+3,0,1,1))+OFFSET($BO$9,CL16+3,CQ16,1,1),0))))))</f>
        <v>0</v>
      </c>
      <c r="CT16" s="51">
        <f ca="1">IF($F16&lt;OFFSET($BM$9,$CL16-1,0,1,1),0,IF($F16&lt;OFFSET($BN$9,$CL16-1,0,1,1),IF(AND($H16&gt;2.4,Z16&lt;&gt;"e",Z16&lt;&gt;"f"),CX16*2.4/$H16,CX16),IF($F16&lt;OFFSET($BN$9,$CL16+0,0,1,1),IF(AND($H16&gt;2.4,Z16&lt;&gt;"e",Z16&lt;&gt;"f"),CX16*2.4/$H16,CX16),IF($F16&lt;OFFSET($BN$9,$CL16+1,0,1,1),IF(AND($H16&gt;2.4,Z16&lt;&gt;"e",Z16&lt;&gt;"f"),CX16*2.4/$H16,CX16),IF($F16&lt;OFFSET($BN$9,CL16+2,0,1,1),IF(AND($H16&gt;2.4,Z16&lt;&gt;"e",Z16&lt;&gt;"f"),CX16*2.4/$H16,CX16),IF($F16&lt;OFFSET($BN$9,CL16+3,0,1,1),IF(AND($H16&gt;2.4,Z16&lt;&gt;"e",Z16&lt;&gt;"f"),CX16*2.4/$H16,CX16),0)))))*COS(RADIANS($G16)))</f>
        <v>0</v>
      </c>
      <c r="CU16" s="51">
        <f ca="1">IF(F16&lt;OFFSET($BM$9,CL16-1,0,1,1),0,IF(F16&lt;OFFSET($BN$9,CL16-1,0,1,1),((F16-OFFSET($BM$9,CL16-1,0,1,1))*OFFSET($CI$9,CL16-1,0,1,1))+OFFSET($BP$9,CL16-1,CQ16,1,1),IF(F16&lt;OFFSET($BN$9,CL16+0,0,1,1),((F16-OFFSET($BM$9,CL16+0,0,1,1))*OFFSET($CI$9,CL16+0,0,1,1))+OFFSET($BP$9,CL16+0,CQ16,1,1),IF(F16&lt;OFFSET($BN$9,CL16+1,0,1,1),((F16-OFFSET($BM$9,CL16+1,0,1,1))*OFFSET($CI$9,CL16+1,0,1,1))+OFFSET($BP$9,CL16+1,CQ16,1,1),IF(F16&lt;OFFSET($BN$9,CL16+2,0,1,1),((F16-OFFSET($BM$9,CL16+2,0,1,1))*OFFSET($CI$9,CL16+2,0,1,1))+OFFSET($BP$9,CL16+2,CQ16,1,1),IF(F16&lt;OFFSET($BN$9,CL16+3,0,1,1),((F16-OFFSET($BM$9,CL16+3,0,1,1))*OFFSET($CI$9,CL16+3,0,1,1))+OFFSET($BP$9,CL16+3,CQ16,1,1),0))))))</f>
        <v>0</v>
      </c>
      <c r="CV16" s="51">
        <f ca="1">IF($F16&lt;OFFSET($BM$9,$CL16-1,0,1,1),0,IF($F16&lt;OFFSET($BN$9,$CL16-1,0,1,1),IF(AND($H16&gt;2.4,Z16&lt;&gt;"e",Z16&lt;&gt;"f"),CZ16*2.4/$H16,CZ16),IF($F16&lt;OFFSET($BN$9,$CL16+0,0,1,1),IF(AND($H16&gt;2.4,Z16&lt;&gt;"e",Z16&lt;&gt;"f"),CZ16*2.4/$H16,CZ16),IF($F16&lt;OFFSET($BN$9,$CL16+1,0,1,1),IF(AND($H16&gt;2.4,Z16&lt;&gt;"e",Z16&lt;&gt;"f"),CZ16*2.4/$H16,CZ16),IF($F16&lt;OFFSET($BN$9,$CL16+2,0,1,1),IF(AND($H16&gt;2.4,Z16&lt;&gt;"e",Z16&lt;&gt;"f"),CZ16*2.4/$H16,CZ16),IF($F16&lt;OFFSET($BN$9,$CL16+3,0,1,1),IF(AND($H16&gt;2.4,Z16&lt;&gt;"e",Z16&lt;&gt;"f"),CZ16*2.4/$H16,CZ16),0)))))*COS(RADIANS($G16)))</f>
        <v>0</v>
      </c>
      <c r="CW16" s="51">
        <f ca="1">IF(CT16&gt;CR16,CR16,CT16)</f>
        <v>0</v>
      </c>
      <c r="CX16" s="51">
        <f ca="1">IF(CS16&gt;$CR16,$CR16,CS16)</f>
        <v>0</v>
      </c>
      <c r="CY16" s="51">
        <f ca="1">CW16*F16</f>
        <v>0</v>
      </c>
      <c r="CZ16" s="51">
        <f ca="1">IF($CU16&gt;$CR16,$CR16,$CU16)</f>
        <v>0</v>
      </c>
      <c r="DA16" s="51">
        <f ca="1">IF(CV16&gt;CR16,CR16,CV16)</f>
        <v>0</v>
      </c>
      <c r="DB16" s="51">
        <f ca="1">DA16*F16</f>
        <v>0</v>
      </c>
      <c r="DC16" s="993">
        <v>1</v>
      </c>
      <c r="DD16" s="758" t="str">
        <f>IF(OR(D16=BG$12,D16=BG$13),"External",IF(D16=BG$14,"Internal"," "))</f>
        <v xml:space="preserve"> </v>
      </c>
      <c r="DE16" s="51" t="str">
        <f t="shared" ca="1" si="2"/>
        <v/>
      </c>
      <c r="DF16" s="52" t="str">
        <f t="shared" ca="1" si="3"/>
        <v xml:space="preserve"> </v>
      </c>
      <c r="DG16" s="51">
        <f ca="1">IF(F16&lt;OFFSET($BM$9,CN16-1,0,1,1),0,IF(F16&lt;OFFSET($BN$9,CN16-1,0,1,1),((F16-OFFSET($BM$9,CN16-1,0,1,1))*OFFSET($CH$9,CN16-1,0,1,1))+OFFSET($BO$9,CN16-1,CQ16,1,1),IF(F16&lt;OFFSET($BN$9,CN16+0,0,1,1),((F16-OFFSET($BM$9,CN16+0,0,1,1))*OFFSET($CH$9,CN16+0,0,1,1))+OFFSET($BO$9,CN16+0,CQ16,1,1),IF(F16&lt;OFFSET($BN$9,CN16+1,0,1,1),((F16-OFFSET($BM$9,CN16+1,0,1,1))*OFFSET($CH$9,CN16+1,0,1,1))+OFFSET($BO$9,CN16+1,CQ16,1,1),IF(F16&lt;OFFSET($BN$9,CN16+2,0,1,1),((F16-OFFSET($BM$9,CN16+2,0,1,1))*OFFSET($CH$9,CN16+2,0,1,1))+OFFSET($BO$9,CN16+2,CQ16,1,1),IF(F16&lt;OFFSET($BN$9,CN16+3,0,1,1),((F16-OFFSET($BM$9,CN16+3,0,1,1))*OFFSET($CH$9,CN16+3,0,1,1))+OFFSET($BO$9,CN16+3,CQ16,1,1),0))))))</f>
        <v>0</v>
      </c>
      <c r="DH16" s="51">
        <f ca="1">IF($F16&lt;OFFSET($BM$9,$CN16-1,0,1,1),0,IF($F16&lt;OFFSET($BN$9,$CN16-1,0,1,1),IF(AND($H16&gt;2.4,Z16&lt;&gt;"e",Z16&lt;&gt;"f"),DL16*2.4/$H16,DL16),IF($F16&lt;OFFSET($BN$9,$CN16+0,0,1,1),IF(AND($H16&gt;2.4,Z16&lt;&gt;"e",Z16&lt;&gt;"f"),DL16*2.4/$H16,DL16),IF($F16&lt;OFFSET($BN$9,$CN16+1,0,1,1),IF(AND($H16&gt;2.4,Z16&lt;&gt;"e",Z16&lt;&gt;"f"),DL16*2.4/$H16,DL16),IF($F16&lt;OFFSET($BN$9,$CN16+2,0,1,1),IF(AND($H16&gt;2.4,Z16&lt;&gt;"e",Z16&lt;&gt;"f"),DL16*2.4/$H16,DL16),IF($F16&lt;OFFSET($BN$9,$CN16+3,0,1,1),IF(AND($H16&gt;2.4,Z16&lt;&gt;"e",Z16&lt;&gt;"f"),DL16*2.4/$H16,DL16),0)))))*COS(RADIANS($G16)))</f>
        <v>0</v>
      </c>
      <c r="DI16" s="51">
        <f ca="1">IF(F16&lt;OFFSET($BM$9,CN16-1,0,1,1),0,IF(F16&lt;OFFSET($BN$9,CN16-1,0,1,1),((F16-OFFSET($BM$9,CN16-1,0,1,1))*OFFSET($CI$9,CN16-1,0,1,1))+OFFSET($BP$9,CN16-1,CQ16,1,1),IF(F16&lt;OFFSET($BN$9,CN16+0,0,1,1),((F16-OFFSET($BM$9,CN16+0,0,1,1))*OFFSET($CI$9,CN16+0,0,1,1))+OFFSET($BP$9,CN16+0,CQ16,1,1),IF(F16&lt;OFFSET($BN$9,CN16+1,0,1,1),((F16-OFFSET($BM$9,CN16+1,0,1,1))*OFFSET($CI$9,CN16+1,0,1,1))+OFFSET($BP$9,CN16+1,CQ16,1,1),IF(F16&lt;OFFSET($BN$9,CN16+2,0,1,1),((F16-OFFSET($BM$9,CN16+2,0,1,1))*OFFSET($CI$9,CN16+2,0,1,1))+OFFSET($BP$9,CN16+2,CQ16,1,1),IF(F16&lt;OFFSET($BN$9,CN16+3,0,1,1),((F16-OFFSET($BM$9,CN16+3,0,1,1))*OFFSET($CI$9,CN16+3,0,1,1))+OFFSET($BP$9,CN16+3,CQ16,1,1),0))))))</f>
        <v>0</v>
      </c>
      <c r="DJ16" s="51">
        <f ca="1">IF($F16&lt;OFFSET($BM$9,$CN16-1,0,1,1),0,IF($F16&lt;OFFSET($BN$9,$CN16-1,0,1,1),IF(AND($H16&gt;2.4,Z16&lt;&gt;"e",Z16&lt;&gt;"f"),DN16*2.4/$H16,DN16),IF($F16&lt;OFFSET($BN$9,$CN16+0,0,1,1),IF(AND($H16&gt;2.4,Z16&lt;&gt;"e",Z16&lt;&gt;"f"),DN16*2.4/$H16,DN16),IF($F16&lt;OFFSET($BN$9,$CN16+1,0,1,1),IF(AND($H16&gt;2.4,Z16&lt;&gt;"e",Z16&lt;&gt;"f"),DN16*2.4/$H16,DN16),IF($F16&lt;OFFSET($BN$9,$CN16+2,0,1,1),IF(AND($H16&gt;2.4,Z16&lt;&gt;"e",Z16&lt;&gt;"f"),DN16*2.4/$H16,DN16),IF($F16&lt;OFFSET($BN$9,$CN16+3,0,1,1),IF(AND($H16&gt;2.4,Z16&lt;&gt;"e",Z16&lt;&gt;"f"),DN16*2.4/$H16,DN16),0)))))*COS(RADIANS($G16)))</f>
        <v>0</v>
      </c>
      <c r="DK16" s="51"/>
      <c r="DL16" s="51">
        <f ca="1">IF(DG16&gt;$CR16,$CR16,DG16)</f>
        <v>0</v>
      </c>
      <c r="DM16" s="51"/>
      <c r="DN16" s="51">
        <f ca="1">IF(DI16&gt;$CR16,$CR16,DI16)</f>
        <v>0</v>
      </c>
      <c r="DO16" s="435">
        <f ca="1">IF(DH16&gt;$CR16,$CR16,DH16)</f>
        <v>0</v>
      </c>
      <c r="DP16" s="435">
        <f ca="1">DO16*F16</f>
        <v>0</v>
      </c>
      <c r="DQ16" s="436">
        <f ca="1">IF(DJ16&gt;$CR16,$CR16,DJ16)</f>
        <v>0</v>
      </c>
      <c r="DR16" s="437">
        <f ca="1">DQ16*F16</f>
        <v>0</v>
      </c>
      <c r="DS16" s="426">
        <f ca="1">OFFSET($CH$9,CL16-1,-15,1,1)</f>
        <v>0</v>
      </c>
      <c r="DT16" s="451">
        <f t="shared" ca="1" si="1"/>
        <v>0</v>
      </c>
      <c r="DU16" s="188">
        <f ca="1">IF(F16&lt;OFFSET($BM$9,DT16-1,0,1,1),0,IF(F16&lt;OFFSET($BN$9,DT16-1,0,1,1),((F16-OFFSET($BM$9,DT16-1,0,1,1))*OFFSET($CH$9,DT16-1,0,1,1))+OFFSET($BO$9,DT16-1,CQ16,1,1),IF(F16&lt;OFFSET($BN$9,DT16+0,0,1,1),((F16-OFFSET($BM$9,DT16+0,0,1,1))*OFFSET($CH$9,DT16+0,0,1,1))+OFFSET($BO$9,DT16+0,CQ16,1,1),IF(F16&lt;OFFSET($BN$9,DT16+1,0,1,1),((F16-OFFSET($BM$9,DT16+1,0,1,1))*OFFSET($CH$9,DT16+1,0,1,1))+OFFSET($BO$9,DT16+1,CQ16,1,1),IF(F16&lt;OFFSET($BN$9,DT16+2,0,1,1),((F16-OFFSET($BM$9,DT16+2,0,1,1))*OFFSET($CH$9,DT16+2,0,1,1))+OFFSET($BO$9,DT16+2,CQ16,1,1),IF(F16&lt;OFFSET($BN$9,DT16+3,0,1,1),((F16-OFFSET($BM$9,DT16+3,0,1,1))*OFFSET($CH$9,DT16+3,0,1,1))+OFFSET($BO$9,DT16+3,CQ16,1,1),0))))))</f>
        <v>0</v>
      </c>
      <c r="DV16" s="51">
        <f ca="1">IF($F16&lt;OFFSET($BM$9,$DT16-1,0,1,1),0,IF($F16&lt;OFFSET($BN$9,$DT16-1,0,1,1),IF(AND($H16&gt;2.4,Z16&lt;&gt;"e",Z16&lt;&gt;"f"),DZ16*2.4/$H16,DZ16),IF($F16&lt;OFFSET($BN$9,$DT16+0,0,1,1),IF(AND($H16&gt;2.4,Z16&lt;&gt;"e",Z16&lt;&gt;"f"),DZ16*2.4/$H16,DZ16),IF($F16&lt;OFFSET($BN$9,$DT16+1,0,1,1),IF(AND($H16&gt;2.4,Z16&lt;&gt;"e",Z16&lt;&gt;"f"),DZ16*2.4/$H16,DZ16),IF($F16&lt;OFFSET($BN$9,$DT16+2,0,1,1),IF(AND($H16&gt;2.4,Z16&lt;&gt;"e",Z16&lt;&gt;"f"),DZ16*2.4/$H16,DZ16),IF($F16&lt;OFFSET($BN$9,$DT16+3,0,1,1),IF(AND($H16&gt;2.4,Z16&lt;&gt;"e",Z16&lt;&gt;"f"),DZ16*2.4/$H16,DZ16),0)))))*COS(RADIANS($G16)))</f>
        <v>0</v>
      </c>
      <c r="DW16" s="188">
        <f ca="1">IF(F16&lt;OFFSET($BM$9,DT16-1,0,1,1),0,IF(F16&lt;OFFSET($BN$9,DT16-1,0,1,1),((F16-OFFSET($BM$9,DT16-1,0,1,1))*OFFSET($CI$9,DT16-1,0,1,1))+OFFSET($BP$9,DT16-1,CQ16,1,1),IF(F16&lt;OFFSET($BN$9,DT16+0,0,1,1),((F16-OFFSET($BM$9,DT16+0,0,1,1))*OFFSET($CI$9,DT16+0,0,1,1))+OFFSET($BP$9,DT16+0,CQ16,1,1),IF(F16&lt;OFFSET($BN$9,DT16+1,0,1,1),((F16-OFFSET($BM$9,DT16+1,0,1,1))*OFFSET($CI$9,DT16+1,0,1,1))+OFFSET($BP$9,DT16+1,CQ16,1,1),IF(F16&lt;OFFSET($BN$9,DT16+2,0,1,1),((F16-OFFSET($BM$9,DT16+2,0,1,1))*OFFSET($CI$9,DT16+2,0,1,1))+OFFSET($BP$9,DT16+2,CQ16,1,1),IF(F16&lt;OFFSET($BN$9,DT16+3,0,1,1),((F16-OFFSET($BM$9,DT16+3,0,1,1))*OFFSET($CI$9,DT16+3,0,1,1))+OFFSET($BP$9,DT16+3,CQ16,1,1),0))))))</f>
        <v>0</v>
      </c>
      <c r="DX16" s="51">
        <f ca="1">IF($F16&lt;OFFSET($BM$9,$DT16-1,0,1,1),0,IF($F16&lt;OFFSET($BN$9,$DT16-1,0,1,1),IF(AND($H16&gt;2.4,Z16&lt;&gt;"e",Z16&lt;&gt;"f"),EB16*2.4/$H16,EB16),IF($F16&lt;OFFSET($BN$9,$DT16+0,0,1,1),IF(AND($H16&gt;2.4,Z16&lt;&gt;"e",Z16&lt;&gt;"f"),EB16*2.4/$H16,EB16),IF($F16&lt;OFFSET($BN$9,$DT16+1,0,1,1),IF(AND($H16&gt;2.4,Z16&lt;&gt;"e",Z16&lt;&gt;"f"),EB16*2.4/$H16,EB16),IF($F16&lt;OFFSET($BN$9,$DT16+2,0,1,1),IF(AND($H16&gt;2.4,Z16&lt;&gt;"e",Z16&lt;&gt;"f"),EB16*2.4/$H16,EB16),IF($F16&lt;OFFSET($BN$9,$DT16+3,0,1,1),IF(AND($H16&gt;2.4,Z16&lt;&gt;"e",Z16&lt;&gt;"f"),EB16*2.4/$H16,EB16),0)))))*COS(RADIANS($G16)))</f>
        <v>0</v>
      </c>
      <c r="DY16" s="188"/>
      <c r="DZ16" s="188">
        <f ca="1">IF(DU16&gt;$CR16,$CR16,DU16)</f>
        <v>0</v>
      </c>
      <c r="EA16" s="188"/>
      <c r="EB16" s="188">
        <f ca="1">IF(DW16&gt;$CR16,$CR16,DW16)</f>
        <v>0</v>
      </c>
      <c r="EC16" s="435">
        <f ca="1">IF(DV16&gt;$CR16,$CR16,DV16)</f>
        <v>0</v>
      </c>
      <c r="ED16" s="435">
        <f ca="1">EC16*F16</f>
        <v>0</v>
      </c>
      <c r="EE16" s="436">
        <f ca="1">IF(DX16&gt;$CR16,$CR16,DX16)</f>
        <v>0</v>
      </c>
      <c r="EF16" s="437">
        <f ca="1">EE16*F16</f>
        <v>0</v>
      </c>
      <c r="EG16" s="613" t="str">
        <f>IF(D16=BG$12,BG$12,"")</f>
        <v/>
      </c>
      <c r="EH16" s="614" t="str">
        <f>IF(D16=BG$13,BG$13,"")</f>
        <v/>
      </c>
      <c r="EI16" s="611">
        <f>IF(EG16=BG$12,M16,0)</f>
        <v>0</v>
      </c>
      <c r="EJ16" s="451">
        <f>IF(EG16=BG$12,O16,0)</f>
        <v>0</v>
      </c>
      <c r="EK16" s="451">
        <f>IF(EH16=BG$13,M16,0)</f>
        <v>0</v>
      </c>
      <c r="EL16" s="612">
        <f>IF(EH16=BG$13,O16,0)</f>
        <v>0</v>
      </c>
      <c r="EM16" s="426" t="str">
        <f ca="1">IF(AND(Z16&lt;&gt;"t",Z16&lt;&gt;"f"),"",IF(AND(EN16=$BH$13,K16=$BH$12),"NotOpt",IF(K16&lt;&gt;EN16,"Error","")))</f>
        <v/>
      </c>
      <c r="EN16" s="491" t="str">
        <f>IF(AND($BH$28=1,$BG$28=1),$BH$13,$BH$12)</f>
        <v>120 BU's</v>
      </c>
      <c r="EO16" s="426" t="str">
        <f>K16</f>
        <v xml:space="preserve"> </v>
      </c>
      <c r="EP16" s="497">
        <v>1</v>
      </c>
      <c r="EQ16" s="430" t="str">
        <f ca="1">IF(EP16=1," ",OFFSET(BF$15,EP16-2,0,1,1))</f>
        <v xml:space="preserve"> </v>
      </c>
      <c r="ER16" s="439" t="str">
        <f ca="1">IF(H16=0," ",H16)</f>
        <v xml:space="preserve"> </v>
      </c>
      <c r="ES16" s="440" t="str">
        <f ca="1">IF(ER16&lt;&gt;" ",IF(ER16&lt;&gt;ER$7,"Changed",""),"")</f>
        <v/>
      </c>
      <c r="ET16" s="440">
        <f t="shared" ca="1" si="15"/>
        <v>0</v>
      </c>
      <c r="EU16" s="957" t="str">
        <f ca="1">IF(I16=" "," ",IF(F16&lt;OFFSET($BM$9,CL16-1,0,1,1),1,""))</f>
        <v xml:space="preserve"> </v>
      </c>
      <c r="EW16" s="427"/>
      <c r="EX16"/>
    </row>
    <row r="17" spans="2:154" ht="17.100000000000001" customHeight="1">
      <c r="B17" s="689" t="s">
        <v>246</v>
      </c>
      <c r="C17" s="684" t="str">
        <f>IF(OR(F17=0,I17="",I17=" ")," ",$V17)</f>
        <v xml:space="preserve"> </v>
      </c>
      <c r="D17" s="1033"/>
      <c r="E17" s="1360"/>
      <c r="F17" s="201"/>
      <c r="G17" s="1416"/>
      <c r="H17" s="199" t="str">
        <f ca="1">IF(OR(F17=0,Z17="E",Z17="f")," ",'Project Demand'!E$35)</f>
        <v xml:space="preserve"> </v>
      </c>
      <c r="I17" s="631" t="str">
        <f>IF($I$6&lt;&gt;$BG$8," ",AB17)</f>
        <v xml:space="preserve"> </v>
      </c>
      <c r="J17" s="44" t="str">
        <f ca="1">IF(OR(I17=" ",I17="")," ",OFFSET($BO$9,CL17-1,0-4,1,1))</f>
        <v xml:space="preserve"> </v>
      </c>
      <c r="K17" s="55" t="str">
        <f>IF(OR(I17=" ",I17="")," ",IF(OR(Z17="e",Z17="h"),"SD",BG$24))</f>
        <v xml:space="preserve"> </v>
      </c>
      <c r="L17" s="49">
        <f ca="1">CW17</f>
        <v>0</v>
      </c>
      <c r="M17" s="49">
        <f ca="1">CY17</f>
        <v>0</v>
      </c>
      <c r="N17" s="50">
        <f t="shared" ca="1" si="17"/>
        <v>0</v>
      </c>
      <c r="O17" s="126">
        <f t="shared" ca="1" si="17"/>
        <v>0</v>
      </c>
      <c r="P17" s="140"/>
      <c r="Q17" s="752" t="str">
        <f ca="1">IF(AND(OR(Z17="t",Z17="f"),K17=$BH$11),"No Floor!  Change Floor Type",IF(OR(I17=" ",I17="")," ",IF(F17&lt;OFFSET($BM$9,CL17-1,0,1,1),"check L(m)",DE17&amp;IF(AND(DP17&gt;=CY17,DR17&gt;=DB17),IF(AND(ED17&gt;=DP17,EF17&gt;=DR17),CONCATENATE(DS17," will provide same result"),CONCATENATE(CO17," will provide same result")),IF((DP17&gt;=CY17),CONCATENATE(CO17," provides same result in WIND"),IF((DR17&gt;=DB17),CONCATENATE(CO17," provides same result in EQ"),""))))))&amp;IF(ISERROR(FIND("pile",I17,1)),"",IF(INT(F17)&lt;&gt;F17,"Pile!  Use Whole Numbers Only",""))</f>
        <v xml:space="preserve"> </v>
      </c>
      <c r="R17" s="52"/>
      <c r="S17" s="1372"/>
      <c r="T17" s="52"/>
      <c r="U17" s="1377"/>
      <c r="V17" s="52" t="str">
        <f ca="1">IF(AND(B$5=$BF$9,OR(I17=BH$16,I17=BH$17))," ",IF(ISNUMBER(B$14),(CONCATENATE(B$14,".",W17)),(CONCATENATE(B$14,W17))))</f>
        <v>N0</v>
      </c>
      <c r="W17" s="9">
        <f ca="1">W16+X17</f>
        <v>0</v>
      </c>
      <c r="X17" s="9">
        <f>IF(AND(B$5=$BF$9,OR($I17=$BH$16,$I17=$BH$17,$I17=" ",$I17="",$F17=0)),0,IF(OR($I17=" ",$I17="",$F17=0),0,1))</f>
        <v>0</v>
      </c>
      <c r="Y17" s="896"/>
      <c r="Z17" s="52" t="str">
        <f ca="1">IF(I17=" "," ",OFFSET($BM$9,$CL17-1,8,1,1))</f>
        <v xml:space="preserve"> </v>
      </c>
      <c r="AA17" s="51" t="str">
        <f>IF(G17&gt;=45,"WA","")</f>
        <v/>
      </c>
      <c r="AB17" s="1364" t="str">
        <f>IF(F17&lt;&gt;"",IF(OR(D17=$BG$12,D17=$BG$13),IF(E17&lt;&gt;$BG$17,$BF$12,$BF$13),IF(E17&lt;&gt;$BG$17,$BF$12,$BF$13))," ")</f>
        <v xml:space="preserve"> </v>
      </c>
      <c r="AC17" s="1"/>
      <c r="AJ17" s="2230"/>
      <c r="AK17" s="2793"/>
      <c r="AL17" s="2783" t="str">
        <f>'Regular and QuickBrace Systems'!E31</f>
        <v>ES-H</v>
      </c>
      <c r="AM17" s="1176">
        <f>'Regular and QuickBrace Systems'!F31</f>
        <v>0.4</v>
      </c>
      <c r="AN17" s="1272">
        <f>'Regular and QuickBrace Systems'!G31</f>
        <v>75</v>
      </c>
      <c r="AO17" s="1273">
        <f>'Regular and QuickBrace Systems'!H31</f>
        <v>75</v>
      </c>
      <c r="AP17" s="1594"/>
      <c r="AQ17" s="2661" t="str">
        <f>'Regular and QuickBrace Systems'!I28</f>
        <v>Specialised QuickBrace Pattern</v>
      </c>
      <c r="AR17" s="2662"/>
      <c r="AS17" s="2030" t="str">
        <f>'Regular and QuickBrace Systems'!K31</f>
        <v>Yes</v>
      </c>
      <c r="AT17" s="1339"/>
      <c r="AU17" s="2131" t="str">
        <f>'Regular and QuickBrace Systems'!M31</f>
        <v>Elephant Standard-Plus board One side</v>
      </c>
      <c r="AW17" s="1567" t="str">
        <f>'Regular and QuickBrace Systems'!O31</f>
        <v>Yes</v>
      </c>
      <c r="AX17" s="1573" t="str">
        <f>'Regular and QuickBrace Systems'!Q31</f>
        <v>No</v>
      </c>
      <c r="BD17" s="2667"/>
      <c r="BF17" s="598" t="str">
        <f>Table!AI75</f>
        <v>EM-H</v>
      </c>
      <c r="BG17" s="1026" t="s">
        <v>1045</v>
      </c>
      <c r="BH17" s="1394" t="str">
        <f>Table!AI77</f>
        <v>ER2</v>
      </c>
      <c r="BI17" s="759"/>
      <c r="BJ17" s="897">
        <f t="shared" si="4"/>
        <v>9</v>
      </c>
      <c r="BK17" s="769" t="str">
        <f t="shared" si="5"/>
        <v xml:space="preserve">  </v>
      </c>
      <c r="BL17" s="771" t="str">
        <f t="shared" si="6"/>
        <v>Custom6</v>
      </c>
      <c r="BM17" s="455">
        <f t="shared" si="7"/>
        <v>9.9999999999999996E-76</v>
      </c>
      <c r="BN17" s="455">
        <v>999</v>
      </c>
      <c r="BO17" s="455">
        <f t="shared" si="8"/>
        <v>0</v>
      </c>
      <c r="BP17" s="925">
        <f t="shared" si="9"/>
        <v>0</v>
      </c>
      <c r="BR17" s="764"/>
      <c r="BS17" s="455"/>
      <c r="BT17" s="455" t="str">
        <f t="shared" si="10"/>
        <v>B</v>
      </c>
      <c r="BU17" s="925" t="str">
        <f t="shared" si="11"/>
        <v>T</v>
      </c>
      <c r="BV17" s="483" t="str">
        <f t="shared" si="12"/>
        <v>Custom6</v>
      </c>
      <c r="BW17" s="910">
        <f t="shared" si="18"/>
        <v>9</v>
      </c>
      <c r="BX17" s="925" t="str">
        <f t="shared" si="16"/>
        <v>Single</v>
      </c>
      <c r="CH17" s="764">
        <f t="shared" si="13"/>
        <v>0</v>
      </c>
      <c r="CI17" s="925">
        <f t="shared" si="14"/>
        <v>0</v>
      </c>
      <c r="CJ17" s="759"/>
      <c r="CK17" s="188"/>
      <c r="CL17" s="979">
        <f>VLOOKUP(I17,Prodlink,2,0)</f>
        <v>0</v>
      </c>
      <c r="CN17" s="497">
        <f ca="1">VLOOKUP(CO17,Prodlink,2,0)</f>
        <v>0</v>
      </c>
      <c r="CO17" s="497">
        <f ca="1">OFFSET($CH$9,CL17-1,-15,1,1)</f>
        <v>0</v>
      </c>
      <c r="CQ17" s="51">
        <v>0</v>
      </c>
      <c r="CR17" s="51">
        <f>IF(K17=$BH$12,$BH$23,IF(K17=$BH$13,$BH$24,10000))</f>
        <v>10000</v>
      </c>
      <c r="CS17" s="51">
        <f ca="1">IF(F17&lt;OFFSET($BM$9,CL17-1,0,1,1),0,IF(F17&lt;OFFSET($BN$9,CL17-1,0,1,1),((F17-OFFSET($BM$9,CL17-1,0,1,1))*OFFSET($CH$9,CL17-1,0,1,1))+OFFSET($BO$9,CL17-1,CQ17,1,1),IF(F17&lt;OFFSET($BN$9,CL17+0,0,1,1),((F17-OFFSET($BM$9,CL17+0,0,1,1))*OFFSET($CH$9,CL17+0,0,1,1))+OFFSET($BO$9,CL17+0,CQ17,1,1),IF(F17&lt;OFFSET($BN$9,CL17+1,0,1,1),((F17-OFFSET($BM$9,CL17+1,0,1,1))*OFFSET($CH$9,CL17+1,0,1,1))+OFFSET($BO$9,CL17+1,CQ17,1,1),IF(F17&lt;OFFSET($BN$9,CL17+2,0,1,1),((F17-OFFSET($BM$9,CL17+2,0,1,1))*OFFSET($CH$9,CL17+2,0,1,1))+OFFSET($BO$9,CL17+2,CQ17,1,1),IF(F17&lt;OFFSET($BN$9,CL17+3,0,1,1),((F17-OFFSET($BM$9,CL17+3,0,1,1))*OFFSET($CH$9,CL17+3,0,1,1))+OFFSET($BO$9,CL17+3,CQ17,1,1),0))))))</f>
        <v>0</v>
      </c>
      <c r="CT17" s="51">
        <f ca="1">IF($F17&lt;OFFSET($BM$9,$CL17-1,0,1,1),0,IF($F17&lt;OFFSET($BN$9,$CL17-1,0,1,1),IF(AND($H17&gt;2.4,Z17&lt;&gt;"e",Z17&lt;&gt;"f"),CX17*2.4/$H17,CX17),IF($F17&lt;OFFSET($BN$9,$CL17+0,0,1,1),IF(AND($H17&gt;2.4,Z17&lt;&gt;"e",Z17&lt;&gt;"f"),CX17*2.4/$H17,CX17),IF($F17&lt;OFFSET($BN$9,$CL17+1,0,1,1),IF(AND($H17&gt;2.4,Z17&lt;&gt;"e",Z17&lt;&gt;"f"),CX17*2.4/$H17,CX17),IF($F17&lt;OFFSET($BN$9,CL17+2,0,1,1),IF(AND($H17&gt;2.4,Z17&lt;&gt;"e",Z17&lt;&gt;"f"),CX17*2.4/$H17,CX17),IF($F17&lt;OFFSET($BN$9,CL17+3,0,1,1),IF(AND($H17&gt;2.4,Z17&lt;&gt;"e",Z17&lt;&gt;"f"),CX17*2.4/$H17,CX17),0)))))*COS(RADIANS($G17)))</f>
        <v>0</v>
      </c>
      <c r="CU17" s="51">
        <f ca="1">IF(F17&lt;OFFSET($BM$9,CL17-1,0,1,1),0,IF(F17&lt;OFFSET($BN$9,CL17-1,0,1,1),((F17-OFFSET($BM$9,CL17-1,0,1,1))*OFFSET($CI$9,CL17-1,0,1,1))+OFFSET($BP$9,CL17-1,CQ17,1,1),IF(F17&lt;OFFSET($BN$9,CL17+0,0,1,1),((F17-OFFSET($BM$9,CL17+0,0,1,1))*OFFSET($CI$9,CL17+0,0,1,1))+OFFSET($BP$9,CL17+0,CQ17,1,1),IF(F17&lt;OFFSET($BN$9,CL17+1,0,1,1),((F17-OFFSET($BM$9,CL17+1,0,1,1))*OFFSET($CI$9,CL17+1,0,1,1))+OFFSET($BP$9,CL17+1,CQ17,1,1),IF(F17&lt;OFFSET($BN$9,CL17+2,0,1,1),((F17-OFFSET($BM$9,CL17+2,0,1,1))*OFFSET($CI$9,CL17+2,0,1,1))+OFFSET($BP$9,CL17+2,CQ17,1,1),IF(F17&lt;OFFSET($BN$9,CL17+3,0,1,1),((F17-OFFSET($BM$9,CL17+3,0,1,1))*OFFSET($CI$9,CL17+3,0,1,1))+OFFSET($BP$9,CL17+3,CQ17,1,1),0))))))</f>
        <v>0</v>
      </c>
      <c r="CV17" s="51">
        <f ca="1">IF($F17&lt;OFFSET($BM$9,$CL17-1,0,1,1),0,IF($F17&lt;OFFSET($BN$9,$CL17-1,0,1,1),IF(AND($H17&gt;2.4,Z17&lt;&gt;"e",Z17&lt;&gt;"f"),CZ17*2.4/$H17,CZ17),IF($F17&lt;OFFSET($BN$9,$CL17+0,0,1,1),IF(AND($H17&gt;2.4,Z17&lt;&gt;"e",Z17&lt;&gt;"f"),CZ17*2.4/$H17,CZ17),IF($F17&lt;OFFSET($BN$9,$CL17+1,0,1,1),IF(AND($H17&gt;2.4,Z17&lt;&gt;"e",Z17&lt;&gt;"f"),CZ17*2.4/$H17,CZ17),IF($F17&lt;OFFSET($BN$9,$CL17+2,0,1,1),IF(AND($H17&gt;2.4,Z17&lt;&gt;"e",Z17&lt;&gt;"f"),CZ17*2.4/$H17,CZ17),IF($F17&lt;OFFSET($BN$9,$CL17+3,0,1,1),IF(AND($H17&gt;2.4,Z17&lt;&gt;"e",Z17&lt;&gt;"f"),CZ17*2.4/$H17,CZ17),0)))))*COS(RADIANS($G17)))</f>
        <v>0</v>
      </c>
      <c r="CW17" s="51">
        <f ca="1">IF(CT17&gt;CR17,CR17,CT17)</f>
        <v>0</v>
      </c>
      <c r="CX17" s="51">
        <f ca="1">IF(CS17&gt;$CR17,$CR17,CS17)</f>
        <v>0</v>
      </c>
      <c r="CY17" s="51">
        <f ca="1">CW17*F17</f>
        <v>0</v>
      </c>
      <c r="CZ17" s="51">
        <f ca="1">IF($CU17&gt;$CR17,$CR17,$CU17)</f>
        <v>0</v>
      </c>
      <c r="DA17" s="51">
        <f ca="1">IF(CV17&gt;CR17,CR17,CV17)</f>
        <v>0</v>
      </c>
      <c r="DB17" s="51">
        <f ca="1">DA17*F17</f>
        <v>0</v>
      </c>
      <c r="DC17" s="993">
        <v>1</v>
      </c>
      <c r="DD17" s="758" t="str">
        <f>IF(OR(D17=BG$12,D17=BG$13),"External",IF(D17=BG$14,"Internal"," "))</f>
        <v xml:space="preserve"> </v>
      </c>
      <c r="DE17" s="51" t="str">
        <f t="shared" ca="1" si="2"/>
        <v/>
      </c>
      <c r="DF17" s="52" t="str">
        <f t="shared" ca="1" si="3"/>
        <v xml:space="preserve"> </v>
      </c>
      <c r="DG17" s="51">
        <f ca="1">IF(F17&lt;OFFSET($BM$9,CN17-1,0,1,1),0,IF(F17&lt;OFFSET($BN$9,CN17-1,0,1,1),((F17-OFFSET($BM$9,CN17-1,0,1,1))*OFFSET($CH$9,CN17-1,0,1,1))+OFFSET($BO$9,CN17-1,CQ17,1,1),IF(F17&lt;OFFSET($BN$9,CN17+0,0,1,1),((F17-OFFSET($BM$9,CN17+0,0,1,1))*OFFSET($CH$9,CN17+0,0,1,1))+OFFSET($BO$9,CN17+0,CQ17,1,1),IF(F17&lt;OFFSET($BN$9,CN17+1,0,1,1),((F17-OFFSET($BM$9,CN17+1,0,1,1))*OFFSET($CH$9,CN17+1,0,1,1))+OFFSET($BO$9,CN17+1,CQ17,1,1),IF(F17&lt;OFFSET($BN$9,CN17+2,0,1,1),((F17-OFFSET($BM$9,CN17+2,0,1,1))*OFFSET($CH$9,CN17+2,0,1,1))+OFFSET($BO$9,CN17+2,CQ17,1,1),IF(F17&lt;OFFSET($BN$9,CN17+3,0,1,1),((F17-OFFSET($BM$9,CN17+3,0,1,1))*OFFSET($CH$9,CN17+3,0,1,1))+OFFSET($BO$9,CN17+3,CQ17,1,1),0))))))</f>
        <v>0</v>
      </c>
      <c r="DH17" s="51">
        <f ca="1">IF($F17&lt;OFFSET($BM$9,$CN17-1,0,1,1),0,IF($F17&lt;OFFSET($BN$9,$CN17-1,0,1,1),IF(AND($H17&gt;2.4,Z17&lt;&gt;"e",Z17&lt;&gt;"f"),DL17*2.4/$H17,DL17),IF($F17&lt;OFFSET($BN$9,$CN17+0,0,1,1),IF(AND($H17&gt;2.4,Z17&lt;&gt;"e",Z17&lt;&gt;"f"),DL17*2.4/$H17,DL17),IF($F17&lt;OFFSET($BN$9,$CN17+1,0,1,1),IF(AND($H17&gt;2.4,Z17&lt;&gt;"e",Z17&lt;&gt;"f"),DL17*2.4/$H17,DL17),IF($F17&lt;OFFSET($BN$9,$CN17+2,0,1,1),IF(AND($H17&gt;2.4,Z17&lt;&gt;"e",Z17&lt;&gt;"f"),DL17*2.4/$H17,DL17),IF($F17&lt;OFFSET($BN$9,$CN17+3,0,1,1),IF(AND($H17&gt;2.4,Z17&lt;&gt;"e",Z17&lt;&gt;"f"),DL17*2.4/$H17,DL17),0)))))*COS(RADIANS($G17)))</f>
        <v>0</v>
      </c>
      <c r="DI17" s="51">
        <f ca="1">IF(F17&lt;OFFSET($BM$9,CN17-1,0,1,1),0,IF(F17&lt;OFFSET($BN$9,CN17-1,0,1,1),((F17-OFFSET($BM$9,CN17-1,0,1,1))*OFFSET($CI$9,CN17-1,0,1,1))+OFFSET($BP$9,CN17-1,CQ17,1,1),IF(F17&lt;OFFSET($BN$9,CN17+0,0,1,1),((F17-OFFSET($BM$9,CN17+0,0,1,1))*OFFSET($CI$9,CN17+0,0,1,1))+OFFSET($BP$9,CN17+0,CQ17,1,1),IF(F17&lt;OFFSET($BN$9,CN17+1,0,1,1),((F17-OFFSET($BM$9,CN17+1,0,1,1))*OFFSET($CI$9,CN17+1,0,1,1))+OFFSET($BP$9,CN17+1,CQ17,1,1),IF(F17&lt;OFFSET($BN$9,CN17+2,0,1,1),((F17-OFFSET($BM$9,CN17+2,0,1,1))*OFFSET($CI$9,CN17+2,0,1,1))+OFFSET($BP$9,CN17+2,CQ17,1,1),IF(F17&lt;OFFSET($BN$9,CN17+3,0,1,1),((F17-OFFSET($BM$9,CN17+3,0,1,1))*OFFSET($CI$9,CN17+3,0,1,1))+OFFSET($BP$9,CN17+3,CQ17,1,1),0))))))</f>
        <v>0</v>
      </c>
      <c r="DJ17" s="51">
        <f ca="1">IF($F17&lt;OFFSET($BM$9,$CN17-1,0,1,1),0,IF($F17&lt;OFFSET($BN$9,$CN17-1,0,1,1),IF(AND($H17&gt;2.4,Z17&lt;&gt;"e",Z17&lt;&gt;"f"),DN17*2.4/$H17,DN17),IF($F17&lt;OFFSET($BN$9,$CN17+0,0,1,1),IF(AND($H17&gt;2.4,Z17&lt;&gt;"e",Z17&lt;&gt;"f"),DN17*2.4/$H17,DN17),IF($F17&lt;OFFSET($BN$9,$CN17+1,0,1,1),IF(AND($H17&gt;2.4,Z17&lt;&gt;"e",Z17&lt;&gt;"f"),DN17*2.4/$H17,DN17),IF($F17&lt;OFFSET($BN$9,$CN17+2,0,1,1),IF(AND($H17&gt;2.4,Z17&lt;&gt;"e",Z17&lt;&gt;"f"),DN17*2.4/$H17,DN17),IF($F17&lt;OFFSET($BN$9,$CN17+3,0,1,1),IF(AND($H17&gt;2.4,Z17&lt;&gt;"e",Z17&lt;&gt;"f"),DN17*2.4/$H17,DN17),0)))))*COS(RADIANS($G17)))</f>
        <v>0</v>
      </c>
      <c r="DK17" s="51"/>
      <c r="DL17" s="51">
        <f ca="1">IF(DG17&gt;$CR17,$CR17,DG17)</f>
        <v>0</v>
      </c>
      <c r="DM17" s="51"/>
      <c r="DN17" s="51">
        <f ca="1">IF(DI17&gt;$CR17,$CR17,DI17)</f>
        <v>0</v>
      </c>
      <c r="DO17" s="435">
        <f ca="1">IF(DH17&gt;$CR17,$CR17,DH17)</f>
        <v>0</v>
      </c>
      <c r="DP17" s="435">
        <f ca="1">DO17*F17</f>
        <v>0</v>
      </c>
      <c r="DQ17" s="436">
        <f ca="1">IF(DJ17&gt;$CR17,$CR17,DJ17)</f>
        <v>0</v>
      </c>
      <c r="DR17" s="437">
        <f ca="1">DQ17*F17</f>
        <v>0</v>
      </c>
      <c r="DS17" s="426">
        <f ca="1">OFFSET($CH$9,CL17-1,-15,1,1)</f>
        <v>0</v>
      </c>
      <c r="DT17" s="451">
        <f t="shared" ca="1" si="1"/>
        <v>0</v>
      </c>
      <c r="DU17" s="188">
        <f ca="1">IF(F17&lt;OFFSET($BM$9,DT17-1,0,1,1),0,IF(F17&lt;OFFSET($BN$9,DT17-1,0,1,1),((F17-OFFSET($BM$9,DT17-1,0,1,1))*OFFSET($CH$9,DT17-1,0,1,1))+OFFSET($BO$9,DT17-1,CQ17,1,1),IF(F17&lt;OFFSET($BN$9,DT17+0,0,1,1),((F17-OFFSET($BM$9,DT17+0,0,1,1))*OFFSET($CH$9,DT17+0,0,1,1))+OFFSET($BO$9,DT17+0,CQ17,1,1),IF(F17&lt;OFFSET($BN$9,DT17+1,0,1,1),((F17-OFFSET($BM$9,DT17+1,0,1,1))*OFFSET($CH$9,DT17+1,0,1,1))+OFFSET($BO$9,DT17+1,CQ17,1,1),IF(F17&lt;OFFSET($BN$9,DT17+2,0,1,1),((F17-OFFSET($BM$9,DT17+2,0,1,1))*OFFSET($CH$9,DT17+2,0,1,1))+OFFSET($BO$9,DT17+2,CQ17,1,1),IF(F17&lt;OFFSET($BN$9,DT17+3,0,1,1),((F17-OFFSET($BM$9,DT17+3,0,1,1))*OFFSET($CH$9,DT17+3,0,1,1))+OFFSET($BO$9,DT17+3,CQ17,1,1),0))))))</f>
        <v>0</v>
      </c>
      <c r="DV17" s="51">
        <f ca="1">IF($F17&lt;OFFSET($BM$9,$DT17-1,0,1,1),0,IF($F17&lt;OFFSET($BN$9,$DT17-1,0,1,1),IF(AND($H17&gt;2.4,Z17&lt;&gt;"e",Z17&lt;&gt;"f"),DZ17*2.4/$H17,DZ17),IF($F17&lt;OFFSET($BN$9,$DT17+0,0,1,1),IF(AND($H17&gt;2.4,Z17&lt;&gt;"e",Z17&lt;&gt;"f"),DZ17*2.4/$H17,DZ17),IF($F17&lt;OFFSET($BN$9,$DT17+1,0,1,1),IF(AND($H17&gt;2.4,Z17&lt;&gt;"e",Z17&lt;&gt;"f"),DZ17*2.4/$H17,DZ17),IF($F17&lt;OFFSET($BN$9,$DT17+2,0,1,1),IF(AND($H17&gt;2.4,Z17&lt;&gt;"e",Z17&lt;&gt;"f"),DZ17*2.4/$H17,DZ17),IF($F17&lt;OFFSET($BN$9,$DT17+3,0,1,1),IF(AND($H17&gt;2.4,Z17&lt;&gt;"e",Z17&lt;&gt;"f"),DZ17*2.4/$H17,DZ17),0)))))*COS(RADIANS($G17)))</f>
        <v>0</v>
      </c>
      <c r="DW17" s="188">
        <f ca="1">IF(F17&lt;OFFSET($BM$9,DT17-1,0,1,1),0,IF(F17&lt;OFFSET($BN$9,DT17-1,0,1,1),((F17-OFFSET($BM$9,DT17-1,0,1,1))*OFFSET($CI$9,DT17-1,0,1,1))+OFFSET($BP$9,DT17-1,CQ17,1,1),IF(F17&lt;OFFSET($BN$9,DT17+0,0,1,1),((F17-OFFSET($BM$9,DT17+0,0,1,1))*OFFSET($CI$9,DT17+0,0,1,1))+OFFSET($BP$9,DT17+0,CQ17,1,1),IF(F17&lt;OFFSET($BN$9,DT17+1,0,1,1),((F17-OFFSET($BM$9,DT17+1,0,1,1))*OFFSET($CI$9,DT17+1,0,1,1))+OFFSET($BP$9,DT17+1,CQ17,1,1),IF(F17&lt;OFFSET($BN$9,DT17+2,0,1,1),((F17-OFFSET($BM$9,DT17+2,0,1,1))*OFFSET($CI$9,DT17+2,0,1,1))+OFFSET($BP$9,DT17+2,CQ17,1,1),IF(F17&lt;OFFSET($BN$9,DT17+3,0,1,1),((F17-OFFSET($BM$9,DT17+3,0,1,1))*OFFSET($CI$9,DT17+3,0,1,1))+OFFSET($BP$9,DT17+3,CQ17,1,1),0))))))</f>
        <v>0</v>
      </c>
      <c r="DX17" s="51">
        <f ca="1">IF($F17&lt;OFFSET($BM$9,$DT17-1,0,1,1),0,IF($F17&lt;OFFSET($BN$9,$DT17-1,0,1,1),IF(AND($H17&gt;2.4,Z17&lt;&gt;"e",Z17&lt;&gt;"f"),EB17*2.4/$H17,EB17),IF($F17&lt;OFFSET($BN$9,$DT17+0,0,1,1),IF(AND($H17&gt;2.4,Z17&lt;&gt;"e",Z17&lt;&gt;"f"),EB17*2.4/$H17,EB17),IF($F17&lt;OFFSET($BN$9,$DT17+1,0,1,1),IF(AND($H17&gt;2.4,Z17&lt;&gt;"e",Z17&lt;&gt;"f"),EB17*2.4/$H17,EB17),IF($F17&lt;OFFSET($BN$9,$DT17+2,0,1,1),IF(AND($H17&gt;2.4,Z17&lt;&gt;"e",Z17&lt;&gt;"f"),EB17*2.4/$H17,EB17),IF($F17&lt;OFFSET($BN$9,$DT17+3,0,1,1),IF(AND($H17&gt;2.4,Z17&lt;&gt;"e",Z17&lt;&gt;"f"),EB17*2.4/$H17,EB17),0)))))*COS(RADIANS($G17)))</f>
        <v>0</v>
      </c>
      <c r="DY17" s="188"/>
      <c r="DZ17" s="188">
        <f ca="1">IF(DU17&gt;$CR17,$CR17,DU17)</f>
        <v>0</v>
      </c>
      <c r="EA17" s="188"/>
      <c r="EB17" s="188">
        <f ca="1">IF(DW17&gt;$CR17,$CR17,DW17)</f>
        <v>0</v>
      </c>
      <c r="EC17" s="435">
        <f ca="1">IF(DV17&gt;$CR17,$CR17,DV17)</f>
        <v>0</v>
      </c>
      <c r="ED17" s="435">
        <f ca="1">EC17*F17</f>
        <v>0</v>
      </c>
      <c r="EE17" s="436">
        <f ca="1">IF(DX17&gt;$CR17,$CR17,DX17)</f>
        <v>0</v>
      </c>
      <c r="EF17" s="437">
        <f ca="1">EE17*F17</f>
        <v>0</v>
      </c>
      <c r="EG17" s="613" t="str">
        <f>IF(D17=BG$12,BG$12,"")</f>
        <v/>
      </c>
      <c r="EH17" s="614" t="str">
        <f>IF(D17=BG$13,BG$13,"")</f>
        <v/>
      </c>
      <c r="EI17" s="611">
        <f>IF(EG17=BG$12,M17,0)</f>
        <v>0</v>
      </c>
      <c r="EJ17" s="451">
        <f>IF(EG17=BG$12,O17,0)</f>
        <v>0</v>
      </c>
      <c r="EK17" s="451">
        <f>IF(EH17=BG$13,M17,0)</f>
        <v>0</v>
      </c>
      <c r="EL17" s="612">
        <f>IF(EH17=BG$13,O17,0)</f>
        <v>0</v>
      </c>
      <c r="EM17" s="426" t="str">
        <f ca="1">IF(AND(Z17&lt;&gt;"t",Z17&lt;&gt;"f"),"",IF(AND(EN17=$BH$13,K17=$BH$12),"NotOpt",IF(K17&lt;&gt;EN17,"Error","")))</f>
        <v/>
      </c>
      <c r="EN17" s="491" t="str">
        <f>IF(AND($BH$28=1,$BG$28=1),$BH$13,$BH$12)</f>
        <v>120 BU's</v>
      </c>
      <c r="EO17" s="426" t="str">
        <f>K17</f>
        <v xml:space="preserve"> </v>
      </c>
      <c r="EP17" s="497">
        <v>1</v>
      </c>
      <c r="EQ17" s="430" t="str">
        <f ca="1">IF(EP17=1," ",OFFSET(BF$15,EP17-2,0,1,1))</f>
        <v xml:space="preserve"> </v>
      </c>
      <c r="ER17" s="439" t="str">
        <f ca="1">IF(H17=0," ",H17)</f>
        <v xml:space="preserve"> </v>
      </c>
      <c r="ES17" s="440" t="str">
        <f ca="1">IF(ER17&lt;&gt;" ",IF(ER17&lt;&gt;ER$7,"Changed",""),"")</f>
        <v/>
      </c>
      <c r="ET17" s="440">
        <f t="shared" ca="1" si="15"/>
        <v>0</v>
      </c>
      <c r="EU17" s="957" t="str">
        <f ca="1">IF(I17=" "," ",IF(F17&lt;OFFSET($BM$9,CL17-1,0,1,1),1,""))</f>
        <v xml:space="preserve"> </v>
      </c>
      <c r="EW17" s="427"/>
      <c r="EX17"/>
    </row>
    <row r="18" spans="2:154" ht="17.100000000000001" customHeight="1" thickBot="1">
      <c r="B18" s="689" t="s">
        <v>246</v>
      </c>
      <c r="C18" s="684" t="str">
        <f>IF(OR(F18=0,I18="",I18=" ")," ",$V18)</f>
        <v xml:space="preserve"> </v>
      </c>
      <c r="D18" s="1419"/>
      <c r="E18" s="1034"/>
      <c r="F18" s="201"/>
      <c r="G18" s="1416"/>
      <c r="H18" s="199" t="str">
        <f ca="1">IF(OR(F18=0,Z18="E",Z18="f")," ",'Project Demand'!E$35)</f>
        <v xml:space="preserve"> </v>
      </c>
      <c r="I18" s="631" t="str">
        <f>IF($I$6&lt;&gt;$BG$8," ",AB18)</f>
        <v xml:space="preserve"> </v>
      </c>
      <c r="J18" s="44" t="str">
        <f ca="1">IF(OR(I18=" ",I18="")," ",OFFSET($BO$9,CL18-1,0-4,1,1))</f>
        <v xml:space="preserve"> </v>
      </c>
      <c r="K18" s="55" t="str">
        <f>IF(OR(I18=" ",I18="")," ",IF(OR(Z18="e",Z18="h"),"SD",BG$24))</f>
        <v xml:space="preserve"> </v>
      </c>
      <c r="L18" s="49">
        <f ca="1">CW18</f>
        <v>0</v>
      </c>
      <c r="M18" s="49">
        <f ca="1">CY18</f>
        <v>0</v>
      </c>
      <c r="N18" s="50">
        <f t="shared" ca="1" si="17"/>
        <v>0</v>
      </c>
      <c r="O18" s="126">
        <f t="shared" ca="1" si="17"/>
        <v>0</v>
      </c>
      <c r="P18" s="140"/>
      <c r="Q18" s="752" t="str">
        <f ca="1">IF(AND(OR(Z18="t",Z18="f"),K18=$BH$11),"No Floor!  Change Floor Type",IF(OR(I18=" ",I18="")," ",IF(F18&lt;OFFSET($BM$9,CL18-1,0,1,1),"check L(m)",DE18&amp;IF(AND(DP18&gt;=CY18,DR18&gt;=DB18),IF(AND(ED18&gt;=DP18,EF18&gt;=DR18),CONCATENATE(DS18," will provide same result"),CONCATENATE(CO18," will provide same result")),IF((DP18&gt;=CY18),CONCATENATE(CO18," provides same result in WIND"),IF((DR18&gt;=DB18),CONCATENATE(CO18," provides same result in EQ"),""))))))&amp;IF(ISERROR(FIND("pile",I18,1)),"",IF(INT(F18)&lt;&gt;F18,"Pile!  Use Whole Numbers Only",""))</f>
        <v xml:space="preserve"> </v>
      </c>
      <c r="T18" s="52"/>
      <c r="U18" s="1377"/>
      <c r="V18" s="52" t="str">
        <f ca="1">IF(AND(B$5=$BF$9,OR(I18=BH$16,I18=BH$17))," ",IF(ISNUMBER(B$14),(CONCATENATE(B$14,".",W18)),(CONCATENATE(B$14,W18))))</f>
        <v>N0</v>
      </c>
      <c r="W18" s="9">
        <f ca="1">W17+X18</f>
        <v>0</v>
      </c>
      <c r="X18" s="9">
        <f>IF(AND(B$5=$BF$9,OR($I18=$BH$16,$I18=$BH$17,$I18=" ",$I18="",$F18=0)),0,IF(OR($I18=" ",$I18="",$F18=0),0,1))</f>
        <v>0</v>
      </c>
      <c r="Y18" s="896"/>
      <c r="Z18" s="52" t="str">
        <f ca="1">IF(I18=" "," ",OFFSET($BM$9,$CL18-1,8,1,1))</f>
        <v xml:space="preserve"> </v>
      </c>
      <c r="AA18" s="51" t="str">
        <f>IF(G18&gt;=45,"WA","")</f>
        <v/>
      </c>
      <c r="AB18" s="1364" t="str">
        <f>IF(F18&lt;&gt;"",IF(OR(D18=$BG$12,D18=$BG$13),IF(E18&lt;&gt;$BG$17,$BF$12,$BF$13),IF(E18&lt;&gt;$BG$17,$BF$12,$BF$13))," ")</f>
        <v xml:space="preserve"> </v>
      </c>
      <c r="AC18" s="1"/>
      <c r="AJ18" s="2230"/>
      <c r="AK18" s="2793"/>
      <c r="AL18" s="2784"/>
      <c r="AM18" s="11">
        <f>'Regular and QuickBrace Systems'!F32</f>
        <v>0.8</v>
      </c>
      <c r="AN18" s="1336">
        <f>'Regular and QuickBrace Systems'!G32</f>
        <v>95</v>
      </c>
      <c r="AO18" s="26">
        <f>'Regular and QuickBrace Systems'!H32</f>
        <v>83</v>
      </c>
      <c r="AP18" s="1595"/>
      <c r="AQ18" s="2663"/>
      <c r="AR18" s="2664"/>
      <c r="AS18" s="2031"/>
      <c r="AT18" s="1339"/>
      <c r="AU18" s="2090"/>
      <c r="AW18" s="1569" t="str">
        <f>'Regular and QuickBrace Systems'!O32</f>
        <v>Yes</v>
      </c>
      <c r="AX18" s="442" t="str">
        <f>'Regular and QuickBrace Systems'!Q32</f>
        <v>No</v>
      </c>
      <c r="BD18" s="638"/>
      <c r="BF18" s="598" t="str">
        <f>Table!AI78</f>
        <v>ESSN</v>
      </c>
      <c r="BG18" s="949"/>
      <c r="BI18" s="759"/>
      <c r="BJ18" s="897">
        <f t="shared" si="4"/>
        <v>10</v>
      </c>
      <c r="BK18" s="769" t="str">
        <f t="shared" si="5"/>
        <v xml:space="preserve">  </v>
      </c>
      <c r="BL18" s="771" t="str">
        <f t="shared" si="6"/>
        <v>Custom7</v>
      </c>
      <c r="BM18" s="455">
        <f t="shared" si="7"/>
        <v>9.9999999999999996E-76</v>
      </c>
      <c r="BN18" s="455">
        <v>999</v>
      </c>
      <c r="BO18" s="455">
        <f t="shared" si="8"/>
        <v>0</v>
      </c>
      <c r="BP18" s="925">
        <f t="shared" si="9"/>
        <v>0</v>
      </c>
      <c r="BR18" s="764"/>
      <c r="BS18" s="455"/>
      <c r="BT18" s="455" t="str">
        <f t="shared" si="10"/>
        <v>B</v>
      </c>
      <c r="BU18" s="925" t="str">
        <f t="shared" si="11"/>
        <v>T</v>
      </c>
      <c r="BV18" s="483" t="str">
        <f t="shared" si="12"/>
        <v>Custom7</v>
      </c>
      <c r="BW18" s="910">
        <f t="shared" si="18"/>
        <v>10</v>
      </c>
      <c r="BX18" s="925" t="str">
        <f t="shared" si="16"/>
        <v>Single</v>
      </c>
      <c r="CH18" s="764">
        <f t="shared" si="13"/>
        <v>0</v>
      </c>
      <c r="CI18" s="925">
        <f t="shared" si="14"/>
        <v>0</v>
      </c>
      <c r="CJ18" s="759"/>
      <c r="CK18" s="188"/>
      <c r="CL18" s="979">
        <f>VLOOKUP(I18,Prodlink,2,0)</f>
        <v>0</v>
      </c>
      <c r="CN18" s="497">
        <f ca="1">VLOOKUP(CO18,Prodlink,2,0)</f>
        <v>0</v>
      </c>
      <c r="CO18" s="497">
        <f ca="1">OFFSET($CH$9,CL18-1,-15,1,1)</f>
        <v>0</v>
      </c>
      <c r="CQ18" s="51">
        <v>0</v>
      </c>
      <c r="CR18" s="51">
        <f>IF(K18=$BH$12,$BH$23,IF(K18=$BH$13,$BH$24,10000))</f>
        <v>10000</v>
      </c>
      <c r="CS18" s="51">
        <f ca="1">IF(F18&lt;OFFSET($BM$9,CL18-1,0,1,1),0,IF(F18&lt;OFFSET($BN$9,CL18-1,0,1,1),((F18-OFFSET($BM$9,CL18-1,0,1,1))*OFFSET($CH$9,CL18-1,0,1,1))+OFFSET($BO$9,CL18-1,CQ18,1,1),IF(F18&lt;OFFSET($BN$9,CL18+0,0,1,1),((F18-OFFSET($BM$9,CL18+0,0,1,1))*OFFSET($CH$9,CL18+0,0,1,1))+OFFSET($BO$9,CL18+0,CQ18,1,1),IF(F18&lt;OFFSET($BN$9,CL18+1,0,1,1),((F18-OFFSET($BM$9,CL18+1,0,1,1))*OFFSET($CH$9,CL18+1,0,1,1))+OFFSET($BO$9,CL18+1,CQ18,1,1),IF(F18&lt;OFFSET($BN$9,CL18+2,0,1,1),((F18-OFFSET($BM$9,CL18+2,0,1,1))*OFFSET($CH$9,CL18+2,0,1,1))+OFFSET($BO$9,CL18+2,CQ18,1,1),IF(F18&lt;OFFSET($BN$9,CL18+3,0,1,1),((F18-OFFSET($BM$9,CL18+3,0,1,1))*OFFSET($CH$9,CL18+3,0,1,1))+OFFSET($BO$9,CL18+3,CQ18,1,1),0))))))</f>
        <v>0</v>
      </c>
      <c r="CT18" s="51">
        <f ca="1">IF($F18&lt;OFFSET($BM$9,$CL18-1,0,1,1),0,IF($F18&lt;OFFSET($BN$9,$CL18-1,0,1,1),IF(AND($H18&gt;2.4,Z18&lt;&gt;"e",Z18&lt;&gt;"f"),CX18*2.4/$H18,CX18),IF($F18&lt;OFFSET($BN$9,$CL18+0,0,1,1),IF(AND($H18&gt;2.4,Z18&lt;&gt;"e",Z18&lt;&gt;"f"),CX18*2.4/$H18,CX18),IF($F18&lt;OFFSET($BN$9,$CL18+1,0,1,1),IF(AND($H18&gt;2.4,Z18&lt;&gt;"e",Z18&lt;&gt;"f"),CX18*2.4/$H18,CX18),IF($F18&lt;OFFSET($BN$9,CL18+2,0,1,1),IF(AND($H18&gt;2.4,Z18&lt;&gt;"e",Z18&lt;&gt;"f"),CX18*2.4/$H18,CX18),IF($F18&lt;OFFSET($BN$9,CL18+3,0,1,1),IF(AND($H18&gt;2.4,Z18&lt;&gt;"e",Z18&lt;&gt;"f"),CX18*2.4/$H18,CX18),0)))))*COS(RADIANS($G18)))</f>
        <v>0</v>
      </c>
      <c r="CU18" s="51">
        <f ca="1">IF(F18&lt;OFFSET($BM$9,CL18-1,0,1,1),0,IF(F18&lt;OFFSET($BN$9,CL18-1,0,1,1),((F18-OFFSET($BM$9,CL18-1,0,1,1))*OFFSET($CI$9,CL18-1,0,1,1))+OFFSET($BP$9,CL18-1,CQ18,1,1),IF(F18&lt;OFFSET($BN$9,CL18+0,0,1,1),((F18-OFFSET($BM$9,CL18+0,0,1,1))*OFFSET($CI$9,CL18+0,0,1,1))+OFFSET($BP$9,CL18+0,CQ18,1,1),IF(F18&lt;OFFSET($BN$9,CL18+1,0,1,1),((F18-OFFSET($BM$9,CL18+1,0,1,1))*OFFSET($CI$9,CL18+1,0,1,1))+OFFSET($BP$9,CL18+1,CQ18,1,1),IF(F18&lt;OFFSET($BN$9,CL18+2,0,1,1),((F18-OFFSET($BM$9,CL18+2,0,1,1))*OFFSET($CI$9,CL18+2,0,1,1))+OFFSET($BP$9,CL18+2,CQ18,1,1),IF(F18&lt;OFFSET($BN$9,CL18+3,0,1,1),((F18-OFFSET($BM$9,CL18+3,0,1,1))*OFFSET($CI$9,CL18+3,0,1,1))+OFFSET($BP$9,CL18+3,CQ18,1,1),0))))))</f>
        <v>0</v>
      </c>
      <c r="CV18" s="51">
        <f ca="1">IF($F18&lt;OFFSET($BM$9,$CL18-1,0,1,1),0,IF($F18&lt;OFFSET($BN$9,$CL18-1,0,1,1),IF(AND($H18&gt;2.4,Z18&lt;&gt;"e",Z18&lt;&gt;"f"),CZ18*2.4/$H18,CZ18),IF($F18&lt;OFFSET($BN$9,$CL18+0,0,1,1),IF(AND($H18&gt;2.4,Z18&lt;&gt;"e",Z18&lt;&gt;"f"),CZ18*2.4/$H18,CZ18),IF($F18&lt;OFFSET($BN$9,$CL18+1,0,1,1),IF(AND($H18&gt;2.4,Z18&lt;&gt;"e",Z18&lt;&gt;"f"),CZ18*2.4/$H18,CZ18),IF($F18&lt;OFFSET($BN$9,$CL18+2,0,1,1),IF(AND($H18&gt;2.4,Z18&lt;&gt;"e",Z18&lt;&gt;"f"),CZ18*2.4/$H18,CZ18),IF($F18&lt;OFFSET($BN$9,$CL18+3,0,1,1),IF(AND($H18&gt;2.4,Z18&lt;&gt;"e",Z18&lt;&gt;"f"),CZ18*2.4/$H18,CZ18),0)))))*COS(RADIANS($G18)))</f>
        <v>0</v>
      </c>
      <c r="CW18" s="51">
        <f ca="1">IF(CT18&gt;CR18,CR18,CT18)</f>
        <v>0</v>
      </c>
      <c r="CX18" s="51">
        <f ca="1">IF(CS18&gt;$CR18,$CR18,CS18)</f>
        <v>0</v>
      </c>
      <c r="CY18" s="51">
        <f ca="1">CW18*F18</f>
        <v>0</v>
      </c>
      <c r="CZ18" s="51">
        <f ca="1">IF($CU18&gt;$CR18,$CR18,$CU18)</f>
        <v>0</v>
      </c>
      <c r="DA18" s="51">
        <f ca="1">IF(CV18&gt;CR18,CR18,CV18)</f>
        <v>0</v>
      </c>
      <c r="DB18" s="51">
        <f ca="1">DA18*F18</f>
        <v>0</v>
      </c>
      <c r="DC18" s="993">
        <v>1</v>
      </c>
      <c r="DD18" s="758" t="str">
        <f>IF(OR(D18=BG$12,D18=BG$13),"External",IF(D18=BG$14,"Internal"," "))</f>
        <v xml:space="preserve"> </v>
      </c>
      <c r="DE18" s="51" t="str">
        <f t="shared" ca="1" si="2"/>
        <v/>
      </c>
      <c r="DF18" s="52" t="str">
        <f t="shared" ca="1" si="3"/>
        <v xml:space="preserve"> </v>
      </c>
      <c r="DG18" s="51">
        <f ca="1">IF(F18&lt;OFFSET($BM$9,CN18-1,0,1,1),0,IF(F18&lt;OFFSET($BN$9,CN18-1,0,1,1),((F18-OFFSET($BM$9,CN18-1,0,1,1))*OFFSET($CH$9,CN18-1,0,1,1))+OFFSET($BO$9,CN18-1,CQ18,1,1),IF(F18&lt;OFFSET($BN$9,CN18+0,0,1,1),((F18-OFFSET($BM$9,CN18+0,0,1,1))*OFFSET($CH$9,CN18+0,0,1,1))+OFFSET($BO$9,CN18+0,CQ18,1,1),IF(F18&lt;OFFSET($BN$9,CN18+1,0,1,1),((F18-OFFSET($BM$9,CN18+1,0,1,1))*OFFSET($CH$9,CN18+1,0,1,1))+OFFSET($BO$9,CN18+1,CQ18,1,1),IF(F18&lt;OFFSET($BN$9,CN18+2,0,1,1),((F18-OFFSET($BM$9,CN18+2,0,1,1))*OFFSET($CH$9,CN18+2,0,1,1))+OFFSET($BO$9,CN18+2,CQ18,1,1),IF(F18&lt;OFFSET($BN$9,CN18+3,0,1,1),((F18-OFFSET($BM$9,CN18+3,0,1,1))*OFFSET($CH$9,CN18+3,0,1,1))+OFFSET($BO$9,CN18+3,CQ18,1,1),0))))))</f>
        <v>0</v>
      </c>
      <c r="DH18" s="51">
        <f ca="1">IF($F18&lt;OFFSET($BM$9,$CN18-1,0,1,1),0,IF($F18&lt;OFFSET($BN$9,$CN18-1,0,1,1),IF(AND($H18&gt;2.4,Z18&lt;&gt;"e",Z18&lt;&gt;"f"),DL18*2.4/$H18,DL18),IF($F18&lt;OFFSET($BN$9,$CN18+0,0,1,1),IF(AND($H18&gt;2.4,Z18&lt;&gt;"e",Z18&lt;&gt;"f"),DL18*2.4/$H18,DL18),IF($F18&lt;OFFSET($BN$9,$CN18+1,0,1,1),IF(AND($H18&gt;2.4,Z18&lt;&gt;"e",Z18&lt;&gt;"f"),DL18*2.4/$H18,DL18),IF($F18&lt;OFFSET($BN$9,$CN18+2,0,1,1),IF(AND($H18&gt;2.4,Z18&lt;&gt;"e",Z18&lt;&gt;"f"),DL18*2.4/$H18,DL18),IF($F18&lt;OFFSET($BN$9,$CN18+3,0,1,1),IF(AND($H18&gt;2.4,Z18&lt;&gt;"e",Z18&lt;&gt;"f"),DL18*2.4/$H18,DL18),0)))))*COS(RADIANS($G18)))</f>
        <v>0</v>
      </c>
      <c r="DI18" s="51">
        <f ca="1">IF(F18&lt;OFFSET($BM$9,CN18-1,0,1,1),0,IF(F18&lt;OFFSET($BN$9,CN18-1,0,1,1),((F18-OFFSET($BM$9,CN18-1,0,1,1))*OFFSET($CI$9,CN18-1,0,1,1))+OFFSET($BP$9,CN18-1,CQ18,1,1),IF(F18&lt;OFFSET($BN$9,CN18+0,0,1,1),((F18-OFFSET($BM$9,CN18+0,0,1,1))*OFFSET($CI$9,CN18+0,0,1,1))+OFFSET($BP$9,CN18+0,CQ18,1,1),IF(F18&lt;OFFSET($BN$9,CN18+1,0,1,1),((F18-OFFSET($BM$9,CN18+1,0,1,1))*OFFSET($CI$9,CN18+1,0,1,1))+OFFSET($BP$9,CN18+1,CQ18,1,1),IF(F18&lt;OFFSET($BN$9,CN18+2,0,1,1),((F18-OFFSET($BM$9,CN18+2,0,1,1))*OFFSET($CI$9,CN18+2,0,1,1))+OFFSET($BP$9,CN18+2,CQ18,1,1),IF(F18&lt;OFFSET($BN$9,CN18+3,0,1,1),((F18-OFFSET($BM$9,CN18+3,0,1,1))*OFFSET($CI$9,CN18+3,0,1,1))+OFFSET($BP$9,CN18+3,CQ18,1,1),0))))))</f>
        <v>0</v>
      </c>
      <c r="DJ18" s="51">
        <f ca="1">IF($F18&lt;OFFSET($BM$9,$CN18-1,0,1,1),0,IF($F18&lt;OFFSET($BN$9,$CN18-1,0,1,1),IF(AND($H18&gt;2.4,Z18&lt;&gt;"e",Z18&lt;&gt;"f"),DN18*2.4/$H18,DN18),IF($F18&lt;OFFSET($BN$9,$CN18+0,0,1,1),IF(AND($H18&gt;2.4,Z18&lt;&gt;"e",Z18&lt;&gt;"f"),DN18*2.4/$H18,DN18),IF($F18&lt;OFFSET($BN$9,$CN18+1,0,1,1),IF(AND($H18&gt;2.4,Z18&lt;&gt;"e",Z18&lt;&gt;"f"),DN18*2.4/$H18,DN18),IF($F18&lt;OFFSET($BN$9,$CN18+2,0,1,1),IF(AND($H18&gt;2.4,Z18&lt;&gt;"e",Z18&lt;&gt;"f"),DN18*2.4/$H18,DN18),IF($F18&lt;OFFSET($BN$9,$CN18+3,0,1,1),IF(AND($H18&gt;2.4,Z18&lt;&gt;"e",Z18&lt;&gt;"f"),DN18*2.4/$H18,DN18),0)))))*COS(RADIANS($G18)))</f>
        <v>0</v>
      </c>
      <c r="DK18" s="51"/>
      <c r="DL18" s="51">
        <f ca="1">IF(DG18&gt;$CR18,$CR18,DG18)</f>
        <v>0</v>
      </c>
      <c r="DM18" s="51"/>
      <c r="DN18" s="51">
        <f ca="1">IF(DI18&gt;$CR18,$CR18,DI18)</f>
        <v>0</v>
      </c>
      <c r="DO18" s="435">
        <f ca="1">IF(DH18&gt;$CR18,$CR18,DH18)</f>
        <v>0</v>
      </c>
      <c r="DP18" s="435">
        <f ca="1">DO18*F18</f>
        <v>0</v>
      </c>
      <c r="DQ18" s="436">
        <f ca="1">IF(DJ18&gt;$CR18,$CR18,DJ18)</f>
        <v>0</v>
      </c>
      <c r="DR18" s="437">
        <f ca="1">DQ18*F18</f>
        <v>0</v>
      </c>
      <c r="DS18" s="426">
        <f ca="1">OFFSET($CH$9,CL18-1,-15,1,1)</f>
        <v>0</v>
      </c>
      <c r="DT18" s="451">
        <f t="shared" ca="1" si="1"/>
        <v>0</v>
      </c>
      <c r="DU18" s="188">
        <f ca="1">IF(F18&lt;OFFSET($BM$9,DT18-1,0,1,1),0,IF(F18&lt;OFFSET($BN$9,DT18-1,0,1,1),((F18-OFFSET($BM$9,DT18-1,0,1,1))*OFFSET($CH$9,DT18-1,0,1,1))+OFFSET($BO$9,DT18-1,CQ18,1,1),IF(F18&lt;OFFSET($BN$9,DT18+0,0,1,1),((F18-OFFSET($BM$9,DT18+0,0,1,1))*OFFSET($CH$9,DT18+0,0,1,1))+OFFSET($BO$9,DT18+0,CQ18,1,1),IF(F18&lt;OFFSET($BN$9,DT18+1,0,1,1),((F18-OFFSET($BM$9,DT18+1,0,1,1))*OFFSET($CH$9,DT18+1,0,1,1))+OFFSET($BO$9,DT18+1,CQ18,1,1),IF(F18&lt;OFFSET($BN$9,DT18+2,0,1,1),((F18-OFFSET($BM$9,DT18+2,0,1,1))*OFFSET($CH$9,DT18+2,0,1,1))+OFFSET($BO$9,DT18+2,CQ18,1,1),IF(F18&lt;OFFSET($BN$9,DT18+3,0,1,1),((F18-OFFSET($BM$9,DT18+3,0,1,1))*OFFSET($CH$9,DT18+3,0,1,1))+OFFSET($BO$9,DT18+3,CQ18,1,1),0))))))</f>
        <v>0</v>
      </c>
      <c r="DV18" s="51">
        <f ca="1">IF($F18&lt;OFFSET($BM$9,$DT18-1,0,1,1),0,IF($F18&lt;OFFSET($BN$9,$DT18-1,0,1,1),IF(AND($H18&gt;2.4,Z18&lt;&gt;"e",Z18&lt;&gt;"f"),DZ18*2.4/$H18,DZ18),IF($F18&lt;OFFSET($BN$9,$DT18+0,0,1,1),IF(AND($H18&gt;2.4,Z18&lt;&gt;"e",Z18&lt;&gt;"f"),DZ18*2.4/$H18,DZ18),IF($F18&lt;OFFSET($BN$9,$DT18+1,0,1,1),IF(AND($H18&gt;2.4,Z18&lt;&gt;"e",Z18&lt;&gt;"f"),DZ18*2.4/$H18,DZ18),IF($F18&lt;OFFSET($BN$9,$DT18+2,0,1,1),IF(AND($H18&gt;2.4,Z18&lt;&gt;"e",Z18&lt;&gt;"f"),DZ18*2.4/$H18,DZ18),IF($F18&lt;OFFSET($BN$9,$DT18+3,0,1,1),IF(AND($H18&gt;2.4,Z18&lt;&gt;"e",Z18&lt;&gt;"f"),DZ18*2.4/$H18,DZ18),0)))))*COS(RADIANS($G18)))</f>
        <v>0</v>
      </c>
      <c r="DW18" s="188">
        <f ca="1">IF(F18&lt;OFFSET($BM$9,DT18-1,0,1,1),0,IF(F18&lt;OFFSET($BN$9,DT18-1,0,1,1),((F18-OFFSET($BM$9,DT18-1,0,1,1))*OFFSET($CI$9,DT18-1,0,1,1))+OFFSET($BP$9,DT18-1,CQ18,1,1),IF(F18&lt;OFFSET($BN$9,DT18+0,0,1,1),((F18-OFFSET($BM$9,DT18+0,0,1,1))*OFFSET($CI$9,DT18+0,0,1,1))+OFFSET($BP$9,DT18+0,CQ18,1,1),IF(F18&lt;OFFSET($BN$9,DT18+1,0,1,1),((F18-OFFSET($BM$9,DT18+1,0,1,1))*OFFSET($CI$9,DT18+1,0,1,1))+OFFSET($BP$9,DT18+1,CQ18,1,1),IF(F18&lt;OFFSET($BN$9,DT18+2,0,1,1),((F18-OFFSET($BM$9,DT18+2,0,1,1))*OFFSET($CI$9,DT18+2,0,1,1))+OFFSET($BP$9,DT18+2,CQ18,1,1),IF(F18&lt;OFFSET($BN$9,DT18+3,0,1,1),((F18-OFFSET($BM$9,DT18+3,0,1,1))*OFFSET($CI$9,DT18+3,0,1,1))+OFFSET($BP$9,DT18+3,CQ18,1,1),0))))))</f>
        <v>0</v>
      </c>
      <c r="DX18" s="51">
        <f ca="1">IF($F18&lt;OFFSET($BM$9,$DT18-1,0,1,1),0,IF($F18&lt;OFFSET($BN$9,$DT18-1,0,1,1),IF(AND($H18&gt;2.4,Z18&lt;&gt;"e",Z18&lt;&gt;"f"),EB18*2.4/$H18,EB18),IF($F18&lt;OFFSET($BN$9,$DT18+0,0,1,1),IF(AND($H18&gt;2.4,Z18&lt;&gt;"e",Z18&lt;&gt;"f"),EB18*2.4/$H18,EB18),IF($F18&lt;OFFSET($BN$9,$DT18+1,0,1,1),IF(AND($H18&gt;2.4,Z18&lt;&gt;"e",Z18&lt;&gt;"f"),EB18*2.4/$H18,EB18),IF($F18&lt;OFFSET($BN$9,$DT18+2,0,1,1),IF(AND($H18&gt;2.4,Z18&lt;&gt;"e",Z18&lt;&gt;"f"),EB18*2.4/$H18,EB18),IF($F18&lt;OFFSET($BN$9,$DT18+3,0,1,1),IF(AND($H18&gt;2.4,Z18&lt;&gt;"e",Z18&lt;&gt;"f"),EB18*2.4/$H18,EB18),0)))))*COS(RADIANS($G18)))</f>
        <v>0</v>
      </c>
      <c r="DY18" s="188"/>
      <c r="DZ18" s="188">
        <f ca="1">IF(DU18&gt;$CR18,$CR18,DU18)</f>
        <v>0</v>
      </c>
      <c r="EA18" s="188"/>
      <c r="EB18" s="188">
        <f ca="1">IF(DW18&gt;$CR18,$CR18,DW18)</f>
        <v>0</v>
      </c>
      <c r="EC18" s="435">
        <f ca="1">IF(DV18&gt;$CR18,$CR18,DV18)</f>
        <v>0</v>
      </c>
      <c r="ED18" s="435">
        <f ca="1">EC18*F18</f>
        <v>0</v>
      </c>
      <c r="EE18" s="436">
        <f ca="1">IF(DX18&gt;$CR18,$CR18,DX18)</f>
        <v>0</v>
      </c>
      <c r="EF18" s="437">
        <f ca="1">EE18*F18</f>
        <v>0</v>
      </c>
      <c r="EG18" s="613" t="str">
        <f>IF(D18=BG$12,BG$12,"")</f>
        <v/>
      </c>
      <c r="EH18" s="614" t="str">
        <f>IF(D18=BG$13,BG$13,"")</f>
        <v/>
      </c>
      <c r="EI18" s="611">
        <f>IF(EG18=BG$12,M18,0)</f>
        <v>0</v>
      </c>
      <c r="EJ18" s="451">
        <f>IF(EG18=BG$12,O18,0)</f>
        <v>0</v>
      </c>
      <c r="EK18" s="451">
        <f>IF(EH18=BG$13,M18,0)</f>
        <v>0</v>
      </c>
      <c r="EL18" s="612">
        <f>IF(EH18=BG$13,O18,0)</f>
        <v>0</v>
      </c>
      <c r="EM18" s="426" t="str">
        <f ca="1">IF(AND(Z18&lt;&gt;"t",Z18&lt;&gt;"f"),"",IF(AND(EN18=$BH$13,K18=$BH$12),"NotOpt",IF(K18&lt;&gt;EN18,"Error","")))</f>
        <v/>
      </c>
      <c r="EN18" s="491" t="str">
        <f>IF(AND($BH$28=1,$BG$28=1),$BH$13,$BH$12)</f>
        <v>120 BU's</v>
      </c>
      <c r="EO18" s="426" t="str">
        <f>K18</f>
        <v xml:space="preserve"> </v>
      </c>
      <c r="EP18" s="497">
        <v>1</v>
      </c>
      <c r="EQ18" s="430" t="str">
        <f ca="1">IF(EP18=1," ",OFFSET(BF$15,EP18-2,0,1,1))</f>
        <v xml:space="preserve"> </v>
      </c>
      <c r="ER18" s="439" t="str">
        <f ca="1">IF(H18=0," ",H18)</f>
        <v xml:space="preserve"> </v>
      </c>
      <c r="ES18" s="440" t="str">
        <f ca="1">IF(ER18&lt;&gt;" ",IF(ER18&lt;&gt;ER$7,"Changed",""),"")</f>
        <v/>
      </c>
      <c r="ET18" s="440">
        <f t="shared" ca="1" si="15"/>
        <v>0</v>
      </c>
      <c r="EU18" s="957" t="str">
        <f ca="1">IF(I18=" "," ",IF(F18&lt;OFFSET($BM$9,CL18-1,0,1,1),1,""))</f>
        <v xml:space="preserve"> </v>
      </c>
      <c r="EW18" s="427"/>
      <c r="EX18"/>
    </row>
    <row r="19" spans="2:154" ht="17.100000000000001" customHeight="1" thickBot="1">
      <c r="B19" s="2686" t="s">
        <v>8</v>
      </c>
      <c r="C19" s="2687"/>
      <c r="D19" s="1461" t="s">
        <v>8</v>
      </c>
      <c r="E19" s="659"/>
      <c r="F19" s="659"/>
      <c r="G19" s="659"/>
      <c r="H19" s="659"/>
      <c r="I19" s="1462"/>
      <c r="J19" s="1365" t="str">
        <f ca="1">(CONCATENATE(B14,$BE$54))</f>
        <v>N  Line:  Min. Requirement</v>
      </c>
      <c r="K19" s="23"/>
      <c r="L19" s="1019">
        <f ca="1">L$5</f>
        <v>0</v>
      </c>
      <c r="M19" s="48">
        <f ca="1">IF(B14=B8,SUM(M14:M18)+M13,SUM(M14:M18))</f>
        <v>0</v>
      </c>
      <c r="N19" s="1019">
        <f ca="1">N$5</f>
        <v>0</v>
      </c>
      <c r="O19" s="125">
        <f ca="1">IF(B14=B8,SUM(O14:O18)+O13,SUM(O14:O18))</f>
        <v>0</v>
      </c>
      <c r="P19" s="139"/>
      <c r="Q19" s="42" t="str">
        <f ca="1">IF(B14=B20,"",IF(AND(M19&gt;0,L19=L$5,OR(M19&lt;$M$105,M19&lt;$BF$3)),"Achieved &lt; Min Req per Line",IF(AND(O19&gt;0,N19=N$5,OR(O19&lt;$O$105,O19&lt;$BF$3)),"Achieved &lt; Min Req per Line",IF(AND(M19&gt;0,L19&gt;M19),"More Required on this line",IF(AND(O19&gt;0,N19&gt;O19),"More Required on this line",IF(AND(L19&gt;0,L19&lt;$BF$3),$BE$59,IF(AND(N19&gt;0,N19&lt;$BF$3),$BE$59,"")))))))</f>
        <v/>
      </c>
      <c r="R19" s="52"/>
      <c r="S19" s="52"/>
      <c r="T19" s="52"/>
      <c r="U19" s="1378"/>
      <c r="V19" s="52"/>
      <c r="W19" s="9"/>
      <c r="X19" s="9"/>
      <c r="Y19" s="896"/>
      <c r="Z19" s="52"/>
      <c r="AA19" s="51"/>
      <c r="AB19" s="1364"/>
      <c r="AC19" s="1"/>
      <c r="AJ19" s="2230"/>
      <c r="AK19" s="2793"/>
      <c r="AL19" s="2785"/>
      <c r="AM19" s="1177">
        <f>'Regular and QuickBrace Systems'!F33</f>
        <v>1.8</v>
      </c>
      <c r="AN19" s="1274">
        <f>'Regular and QuickBrace Systems'!G33</f>
        <v>110</v>
      </c>
      <c r="AO19" s="1275">
        <f>'Regular and QuickBrace Systems'!H33</f>
        <v>84</v>
      </c>
      <c r="AP19" s="1277"/>
      <c r="AQ19" s="2665"/>
      <c r="AR19" s="2666"/>
      <c r="AS19" s="2032"/>
      <c r="AT19" s="1339"/>
      <c r="AU19" s="2132"/>
      <c r="AW19" s="1570" t="str">
        <f>'Regular and QuickBrace Systems'!O33</f>
        <v>Yes</v>
      </c>
      <c r="AX19" s="1574" t="str">
        <f>'Regular and QuickBrace Systems'!Q33</f>
        <v>No</v>
      </c>
      <c r="BD19" s="2648"/>
      <c r="BF19" s="598" t="str">
        <f>Table!AI79</f>
        <v>ESSH</v>
      </c>
      <c r="BG19" s="706" t="s">
        <v>819</v>
      </c>
      <c r="BH19" s="961" t="s">
        <v>221</v>
      </c>
      <c r="BI19" s="759"/>
      <c r="BJ19" s="897">
        <f t="shared" si="4"/>
        <v>11</v>
      </c>
      <c r="BK19" s="769" t="str">
        <f t="shared" si="5"/>
        <v xml:space="preserve">  </v>
      </c>
      <c r="BL19" s="771" t="str">
        <f t="shared" si="6"/>
        <v>Custom8</v>
      </c>
      <c r="BM19" s="455">
        <f t="shared" si="7"/>
        <v>9.9999999999999996E-76</v>
      </c>
      <c r="BN19" s="455">
        <v>999</v>
      </c>
      <c r="BO19" s="455">
        <f t="shared" si="8"/>
        <v>0</v>
      </c>
      <c r="BP19" s="925">
        <f t="shared" si="9"/>
        <v>0</v>
      </c>
      <c r="BR19" s="764"/>
      <c r="BS19" s="455"/>
      <c r="BT19" s="455" t="str">
        <f t="shared" si="10"/>
        <v>B</v>
      </c>
      <c r="BU19" s="925" t="str">
        <f t="shared" si="11"/>
        <v>T</v>
      </c>
      <c r="BV19" s="483" t="str">
        <f t="shared" si="12"/>
        <v>Custom8</v>
      </c>
      <c r="BW19" s="910">
        <f t="shared" si="18"/>
        <v>11</v>
      </c>
      <c r="BX19" s="925" t="str">
        <f t="shared" si="16"/>
        <v>Single</v>
      </c>
      <c r="CH19" s="764">
        <f t="shared" si="13"/>
        <v>0</v>
      </c>
      <c r="CI19" s="925">
        <f t="shared" si="14"/>
        <v>0</v>
      </c>
      <c r="CJ19" s="759"/>
      <c r="CK19" s="188"/>
      <c r="CL19" s="979"/>
      <c r="CN19" s="497"/>
      <c r="CO19" s="497" t="s">
        <v>8</v>
      </c>
      <c r="CQ19" s="51" t="s">
        <v>8</v>
      </c>
      <c r="CR19" s="51" t="s">
        <v>8</v>
      </c>
      <c r="CS19" s="51" t="s">
        <v>8</v>
      </c>
      <c r="CT19" s="51" t="s">
        <v>8</v>
      </c>
      <c r="CU19" s="51" t="s">
        <v>8</v>
      </c>
      <c r="CV19" s="51" t="s">
        <v>8</v>
      </c>
      <c r="CW19" s="51" t="s">
        <v>8</v>
      </c>
      <c r="CX19" s="51" t="s">
        <v>8</v>
      </c>
      <c r="CY19" s="51" t="s">
        <v>8</v>
      </c>
      <c r="CZ19" s="51" t="s">
        <v>8</v>
      </c>
      <c r="DA19" s="51" t="s">
        <v>8</v>
      </c>
      <c r="DD19" s="758"/>
      <c r="DF19" s="52"/>
      <c r="DG19" s="51" t="s">
        <v>8</v>
      </c>
      <c r="DH19" s="51"/>
      <c r="DI19" s="51" t="s">
        <v>8</v>
      </c>
      <c r="DJ19" s="51"/>
      <c r="DK19" s="51"/>
      <c r="DL19" s="51" t="s">
        <v>8</v>
      </c>
      <c r="DM19" s="51"/>
      <c r="DN19" s="51" t="s">
        <v>8</v>
      </c>
      <c r="DO19" s="435" t="s">
        <v>8</v>
      </c>
      <c r="DP19" s="435"/>
      <c r="DQ19" s="868" t="s">
        <v>8</v>
      </c>
      <c r="DR19" s="868"/>
      <c r="DS19" s="426" t="s">
        <v>8</v>
      </c>
      <c r="DT19" s="451" t="s">
        <v>8</v>
      </c>
      <c r="DU19" s="188" t="s">
        <v>8</v>
      </c>
      <c r="DV19" s="188" t="s">
        <v>8</v>
      </c>
      <c r="DW19" s="188" t="s">
        <v>8</v>
      </c>
      <c r="DX19" s="188" t="s">
        <v>8</v>
      </c>
      <c r="DY19" s="188"/>
      <c r="DZ19" s="188" t="s">
        <v>8</v>
      </c>
      <c r="EA19" s="188" t="s">
        <v>8</v>
      </c>
      <c r="EB19" s="188" t="s">
        <v>8</v>
      </c>
      <c r="EC19" s="435" t="s">
        <v>8</v>
      </c>
      <c r="ED19" s="435" t="s">
        <v>8</v>
      </c>
      <c r="EE19" s="868" t="s">
        <v>8</v>
      </c>
      <c r="EF19" s="867" t="s">
        <v>8</v>
      </c>
      <c r="EG19" s="613"/>
      <c r="EH19" s="614"/>
      <c r="EI19" s="613"/>
      <c r="EJ19" s="435"/>
      <c r="EK19" s="451"/>
      <c r="EL19" s="612"/>
      <c r="EN19" s="947"/>
      <c r="ER19" s="441"/>
      <c r="ES19" s="440"/>
      <c r="ET19" s="440"/>
      <c r="EU19" s="957"/>
      <c r="EW19" s="427"/>
      <c r="EX19"/>
    </row>
    <row r="20" spans="2:154" ht="17.100000000000001" customHeight="1">
      <c r="B20" s="1369" t="str">
        <f ca="1">S20</f>
        <v>O</v>
      </c>
      <c r="C20" s="684" t="str">
        <f>IF(OR(F20=0,I20="",I20=" ")," ",$V20)</f>
        <v xml:space="preserve"> </v>
      </c>
      <c r="D20" s="1033"/>
      <c r="E20" s="1034"/>
      <c r="F20" s="202"/>
      <c r="G20" s="1416"/>
      <c r="H20" s="199" t="str">
        <f ca="1">IF(OR(F20=0,Z20="E",Z20="f")," ",'Project Demand'!E$35)</f>
        <v xml:space="preserve"> </v>
      </c>
      <c r="I20" s="631" t="str">
        <f>IF($I$6&lt;&gt;$BG$8," ",AB20)</f>
        <v xml:space="preserve"> </v>
      </c>
      <c r="J20" s="43" t="str">
        <f ca="1">IF(OR(I20=" ",I20="")," ",OFFSET($BO$9,CL20-1,0-4,1,1))</f>
        <v xml:space="preserve"> </v>
      </c>
      <c r="K20" s="55" t="str">
        <f>IF(OR(I20=" ",I20="")," ",IF(OR(Z20="e",Z20="h"),"SD",BG$24))</f>
        <v xml:space="preserve"> </v>
      </c>
      <c r="L20" s="49">
        <f ca="1">CW20</f>
        <v>0</v>
      </c>
      <c r="M20" s="49">
        <f ca="1">CY20</f>
        <v>0</v>
      </c>
      <c r="N20" s="50">
        <f t="shared" ref="N20:O24" ca="1" si="19">DA20</f>
        <v>0</v>
      </c>
      <c r="O20" s="126">
        <f t="shared" ca="1" si="19"/>
        <v>0</v>
      </c>
      <c r="P20" s="140"/>
      <c r="Q20" s="752" t="str">
        <f ca="1">IF(AND(OR(Z20="t",Z20="f"),K20=$BH$11),"No Floor!  Change Floor Type",IF(OR(I20=" ",I20="")," ",IF(F20&lt;OFFSET($BM$9,CL20-1,0,1,1),"check L(m)",DE20&amp;IF(AND(DP20&gt;=CY20,DR20&gt;=DB20),IF(AND(ED20&gt;=DP20,EF20&gt;=DR20),CONCATENATE(DS20," will provide same result"),CONCATENATE(CO20," will provide same result")),IF((DP20&gt;=CY20),CONCATENATE(CO20," provides same result in WIND"),IF((DR20&gt;=DB20),CONCATENATE(CO20," provides same result in EQ"),""))))))&amp;IF(ISERROR(FIND("pile",I20,1)),"",IF(INT(F20)&lt;&gt;F20,"Pile!  Use Whole Numbers Only",""))</f>
        <v xml:space="preserve"> </v>
      </c>
      <c r="R20" s="52">
        <f ca="1">IF(T14&lt;&gt;2,(COLUMN(INDIRECT(B14&amp;1))+1),U20)</f>
        <v>15</v>
      </c>
      <c r="S20" s="1372" t="str">
        <f ca="1">SUBSTITUTE(ADDRESS(1,R20,4),"1","")</f>
        <v>O</v>
      </c>
      <c r="T20" s="451">
        <f ca="1">IF(AND(ISTEXT(B20),SUBSTITUTE(SUBSTITUTE(SUBSTITUTE(SUBSTITUTE(SUBSTITUTE(SUBSTITUTE(SUBSTITUTE(SUBSTITUTE(SUBSTITUTE(SUBSTITUTE(SUBSTITUTE(SUBSTITUTE(SUBSTITUTE(SUBSTITUTE(SUBSTITUTE(SUBSTITUTE(SUBSTITUTE(SUBSTITUTE(SUBSTITUTE(SUBSTITUTE(SUBSTITUTE(SUBSTITUTE(SUBSTITUTE(SUBSTITUTE(SUBSTITUTE(SUBSTITUTE(LOWER(B20),"a",),"b",),"c",),"d",),"e",),"f",),"g",),"h",),"i",),"j",),"k",),"l",),"m",),"n",),"o",),"p",),"q",),"r",),"s",),"t",),"u",),"v",),"w",),"x",),"y",),"z",)=""),1,2)</f>
        <v>1</v>
      </c>
      <c r="U20" s="1377">
        <v>15</v>
      </c>
      <c r="V20" s="52" t="str">
        <f ca="1">IF(AND(B$5=$BF$9,OR(I20=BH$16,I20=BH$17))," ",IF(ISNUMBER(B$20),(CONCATENATE(B$20,".",W20)),(CONCATENATE(B$20,W20))))</f>
        <v>O0</v>
      </c>
      <c r="W20" s="9">
        <f ca="1">IF(B14=B20,W18+X20,X20)</f>
        <v>0</v>
      </c>
      <c r="X20" s="9">
        <f>IF(AND(B$5=$BF$9,OR($I20=$BH$16,$I20=$BH$17,$I20=" ",$I20="",$F20=0)),0,IF(OR($I20=" ",$I20="",$F20=0),0,1))</f>
        <v>0</v>
      </c>
      <c r="Y20" s="896">
        <f ca="1">IF(AND(M25&gt;0,B20&lt;&gt;B26),1,0)</f>
        <v>0</v>
      </c>
      <c r="Z20" s="52" t="str">
        <f ca="1">IF(I20=" "," ",OFFSET($BM$9,$CL20-1,8,1,1))</f>
        <v xml:space="preserve"> </v>
      </c>
      <c r="AA20" s="51" t="str">
        <f>IF(G20&gt;=45,"WA","")</f>
        <v/>
      </c>
      <c r="AB20" s="1364" t="str">
        <f>IF(F20&lt;&gt;"",IF(OR(D20=$BG$12,D20=$BG$13),IF(E20&lt;&gt;$BG$17,$BF$12,$BF$13),IF(E20&lt;&gt;$BG$17,$BF$12,$BF$13))," ")</f>
        <v xml:space="preserve"> </v>
      </c>
      <c r="AC20" s="1"/>
      <c r="AJ20" s="2230"/>
      <c r="AK20" s="2793"/>
      <c r="AL20" s="2783" t="str">
        <f>'Regular and QuickBrace Systems'!E34</f>
        <v>EM-H</v>
      </c>
      <c r="AM20" s="1178">
        <f>'Regular and QuickBrace Systems'!F34</f>
        <v>0.4</v>
      </c>
      <c r="AN20" s="1272">
        <f>'Regular and QuickBrace Systems'!G34</f>
        <v>98</v>
      </c>
      <c r="AO20" s="1273">
        <f>'Regular and QuickBrace Systems'!H34</f>
        <v>100</v>
      </c>
      <c r="AP20" s="1594"/>
      <c r="AQ20" s="2661" t="str">
        <f>'Regular and QuickBrace Systems'!I28</f>
        <v>Specialised QuickBrace Pattern</v>
      </c>
      <c r="AR20" s="2662"/>
      <c r="AS20" s="2030" t="str">
        <f>'Regular and QuickBrace Systems'!K31</f>
        <v>Yes</v>
      </c>
      <c r="AT20" s="1339"/>
      <c r="AU20" s="2133" t="str">
        <f>'Regular and QuickBrace Systems'!M34</f>
        <v>Elephant Multiboard One side</v>
      </c>
      <c r="AW20" s="1584" t="str">
        <f>'Regular and QuickBrace Systems'!O34</f>
        <v>Yes</v>
      </c>
      <c r="AX20" s="1575" t="str">
        <f>'Regular and QuickBrace Systems'!Q34</f>
        <v>No</v>
      </c>
      <c r="BD20" s="2648"/>
      <c r="BF20" s="598" t="str">
        <f>Table!AI80</f>
        <v>EMSH</v>
      </c>
      <c r="BG20" s="708" t="s">
        <v>820</v>
      </c>
      <c r="BH20" s="961" t="s">
        <v>222</v>
      </c>
      <c r="BI20" s="759"/>
      <c r="BJ20" s="897">
        <f t="shared" si="4"/>
        <v>12</v>
      </c>
      <c r="BK20" s="769" t="str">
        <f t="shared" si="5"/>
        <v xml:space="preserve">  </v>
      </c>
      <c r="BL20" s="771" t="str">
        <f t="shared" si="6"/>
        <v>Custom9</v>
      </c>
      <c r="BM20" s="455">
        <f t="shared" si="7"/>
        <v>9.9999999999999996E-76</v>
      </c>
      <c r="BN20" s="455">
        <v>999</v>
      </c>
      <c r="BO20" s="455">
        <f t="shared" si="8"/>
        <v>0</v>
      </c>
      <c r="BP20" s="925">
        <f t="shared" si="9"/>
        <v>0</v>
      </c>
      <c r="BR20" s="764"/>
      <c r="BS20" s="455"/>
      <c r="BT20" s="455" t="str">
        <f t="shared" si="10"/>
        <v>B</v>
      </c>
      <c r="BU20" s="925" t="str">
        <f t="shared" si="11"/>
        <v>T</v>
      </c>
      <c r="BV20" s="483" t="str">
        <f t="shared" si="12"/>
        <v>Custom9</v>
      </c>
      <c r="BW20" s="910">
        <f t="shared" si="18"/>
        <v>12</v>
      </c>
      <c r="BX20" s="925" t="str">
        <f t="shared" si="16"/>
        <v>Single</v>
      </c>
      <c r="CH20" s="764">
        <f t="shared" si="13"/>
        <v>0</v>
      </c>
      <c r="CI20" s="925">
        <f t="shared" si="14"/>
        <v>0</v>
      </c>
      <c r="CJ20" s="759"/>
      <c r="CK20" s="188"/>
      <c r="CL20" s="979">
        <f>VLOOKUP(I20,Prodlink,2,0)</f>
        <v>0</v>
      </c>
      <c r="CN20" s="497">
        <f ca="1">VLOOKUP(CO20,Prodlink,2,0)</f>
        <v>0</v>
      </c>
      <c r="CO20" s="497">
        <f ca="1">OFFSET($CH$9,CL20-1,-15,1,1)</f>
        <v>0</v>
      </c>
      <c r="CQ20" s="51">
        <v>0</v>
      </c>
      <c r="CR20" s="51">
        <f>IF(K20=$BH$12,$BH$23,IF(K20=$BH$13,$BH$24,10000))</f>
        <v>10000</v>
      </c>
      <c r="CS20" s="51">
        <f ca="1">IF(F20&lt;OFFSET($BM$9,CL20-1,0,1,1),0,IF(F20&lt;OFFSET($BN$9,CL20-1,0,1,1),((F20-OFFSET($BM$9,CL20-1,0,1,1))*OFFSET($CH$9,CL20-1,0,1,1))+OFFSET($BO$9,CL20-1,CQ20,1,1),IF(F20&lt;OFFSET($BN$9,CL20+0,0,1,1),((F20-OFFSET($BM$9,CL20+0,0,1,1))*OFFSET($CH$9,CL20+0,0,1,1))+OFFSET($BO$9,CL20+0,CQ20,1,1),IF(F20&lt;OFFSET($BN$9,CL20+1,0,1,1),((F20-OFFSET($BM$9,CL20+1,0,1,1))*OFFSET($CH$9,CL20+1,0,1,1))+OFFSET($BO$9,CL20+1,CQ20,1,1),IF(F20&lt;OFFSET($BN$9,CL20+2,0,1,1),((F20-OFFSET($BM$9,CL20+2,0,1,1))*OFFSET($CH$9,CL20+2,0,1,1))+OFFSET($BO$9,CL20+2,CQ20,1,1),IF(F20&lt;OFFSET($BN$9,CL20+3,0,1,1),((F20-OFFSET($BM$9,CL20+3,0,1,1))*OFFSET($CH$9,CL20+3,0,1,1))+OFFSET($BO$9,CL20+3,CQ20,1,1),0))))))</f>
        <v>0</v>
      </c>
      <c r="CT20" s="51">
        <f ca="1">IF($F20&lt;OFFSET($BM$9,$CL20-1,0,1,1),0,IF($F20&lt;OFFSET($BN$9,$CL20-1,0,1,1),IF(AND($H20&gt;2.4,Z20&lt;&gt;"e",Z20&lt;&gt;"f"),CX20*2.4/$H20,CX20),IF($F20&lt;OFFSET($BN$9,$CL20+0,0,1,1),IF(AND($H20&gt;2.4,Z20&lt;&gt;"e",Z20&lt;&gt;"f"),CX20*2.4/$H20,CX20),IF($F20&lt;OFFSET($BN$9,$CL20+1,0,1,1),IF(AND($H20&gt;2.4,Z20&lt;&gt;"e",Z20&lt;&gt;"f"),CX20*2.4/$H20,CX20),IF($F20&lt;OFFSET($BN$9,CL20+2,0,1,1),IF(AND($H20&gt;2.4,Z20&lt;&gt;"e",Z20&lt;&gt;"f"),CX20*2.4/$H20,CX20),IF($F20&lt;OFFSET($BN$9,CL20+3,0,1,1),IF(AND($H20&gt;2.4,Z20&lt;&gt;"e",Z20&lt;&gt;"f"),CX20*2.4/$H20,CX20),0)))))*COS(RADIANS($G20)))</f>
        <v>0</v>
      </c>
      <c r="CU20" s="51">
        <f ca="1">IF(F20&lt;OFFSET($BM$9,CL20-1,0,1,1),0,IF(F20&lt;OFFSET($BN$9,CL20-1,0,1,1),((F20-OFFSET($BM$9,CL20-1,0,1,1))*OFFSET($CI$9,CL20-1,0,1,1))+OFFSET($BP$9,CL20-1,CQ20,1,1),IF(F20&lt;OFFSET($BN$9,CL20+0,0,1,1),((F20-OFFSET($BM$9,CL20+0,0,1,1))*OFFSET($CI$9,CL20+0,0,1,1))+OFFSET($BP$9,CL20+0,CQ20,1,1),IF(F20&lt;OFFSET($BN$9,CL20+1,0,1,1),((F20-OFFSET($BM$9,CL20+1,0,1,1))*OFFSET($CI$9,CL20+1,0,1,1))+OFFSET($BP$9,CL20+1,CQ20,1,1),IF(F20&lt;OFFSET($BN$9,CL20+2,0,1,1),((F20-OFFSET($BM$9,CL20+2,0,1,1))*OFFSET($CI$9,CL20+2,0,1,1))+OFFSET($BP$9,CL20+2,CQ20,1,1),IF(F20&lt;OFFSET($BN$9,CL20+3,0,1,1),((F20-OFFSET($BM$9,CL20+3,0,1,1))*OFFSET($CI$9,CL20+3,0,1,1))+OFFSET($BP$9,CL20+3,CQ20,1,1),0))))))</f>
        <v>0</v>
      </c>
      <c r="CV20" s="51">
        <f ca="1">IF($F20&lt;OFFSET($BM$9,$CL20-1,0,1,1),0,IF($F20&lt;OFFSET($BN$9,$CL20-1,0,1,1),IF(AND($H20&gt;2.4,Z20&lt;&gt;"e",Z20&lt;&gt;"f"),CZ20*2.4/$H20,CZ20),IF($F20&lt;OFFSET($BN$9,$CL20+0,0,1,1),IF(AND($H20&gt;2.4,Z20&lt;&gt;"e",Z20&lt;&gt;"f"),CZ20*2.4/$H20,CZ20),IF($F20&lt;OFFSET($BN$9,$CL20+1,0,1,1),IF(AND($H20&gt;2.4,Z20&lt;&gt;"e",Z20&lt;&gt;"f"),CZ20*2.4/$H20,CZ20),IF($F20&lt;OFFSET($BN$9,$CL20+2,0,1,1),IF(AND($H20&gt;2.4,Z20&lt;&gt;"e",Z20&lt;&gt;"f"),CZ20*2.4/$H20,CZ20),IF($F20&lt;OFFSET($BN$9,$CL20+3,0,1,1),IF(AND($H20&gt;2.4,Z20&lt;&gt;"e",Z20&lt;&gt;"f"),CZ20*2.4/$H20,CZ20),0)))))*COS(RADIANS($G20)))</f>
        <v>0</v>
      </c>
      <c r="CW20" s="51">
        <f ca="1">IF(CT20&gt;CR20,CR20,CT20)</f>
        <v>0</v>
      </c>
      <c r="CX20" s="51">
        <f ca="1">IF(CS20&gt;$CR20,$CR20,CS20)</f>
        <v>0</v>
      </c>
      <c r="CY20" s="51">
        <f ca="1">CW20*F20</f>
        <v>0</v>
      </c>
      <c r="CZ20" s="51">
        <f ca="1">IF($CU20&gt;$CR20,$CR20,$CU20)</f>
        <v>0</v>
      </c>
      <c r="DA20" s="51">
        <f ca="1">IF(CV20&gt;CR20,CR20,CV20)</f>
        <v>0</v>
      </c>
      <c r="DB20" s="51">
        <f ca="1">DA20*F20</f>
        <v>0</v>
      </c>
      <c r="DC20" s="993">
        <v>1</v>
      </c>
      <c r="DD20" s="758" t="str">
        <f>IF(OR(D20=BG$12,D20=BG$13),"External",IF(D20=BG$14,"Internal"," "))</f>
        <v xml:space="preserve"> </v>
      </c>
      <c r="DE20" s="51" t="str">
        <f t="shared" ca="1" si="2"/>
        <v/>
      </c>
      <c r="DF20" s="52" t="str">
        <f t="shared" ca="1" si="3"/>
        <v xml:space="preserve"> </v>
      </c>
      <c r="DG20" s="51">
        <f ca="1">IF(F20&lt;OFFSET($BM$9,CN20-1,0,1,1),0,IF(F20&lt;OFFSET($BN$9,CN20-1,0,1,1),((F20-OFFSET($BM$9,CN20-1,0,1,1))*OFFSET($CH$9,CN20-1,0,1,1))+OFFSET($BO$9,CN20-1,CQ20,1,1),IF(F20&lt;OFFSET($BN$9,CN20+0,0,1,1),((F20-OFFSET($BM$9,CN20+0,0,1,1))*OFFSET($CH$9,CN20+0,0,1,1))+OFFSET($BO$9,CN20+0,CQ20,1,1),IF(F20&lt;OFFSET($BN$9,CN20+1,0,1,1),((F20-OFFSET($BM$9,CN20+1,0,1,1))*OFFSET($CH$9,CN20+1,0,1,1))+OFFSET($BO$9,CN20+1,CQ20,1,1),IF(F20&lt;OFFSET($BN$9,CN20+2,0,1,1),((F20-OFFSET($BM$9,CN20+2,0,1,1))*OFFSET($CH$9,CN20+2,0,1,1))+OFFSET($BO$9,CN20+2,CQ20,1,1),IF(F20&lt;OFFSET($BN$9,CN20+3,0,1,1),((F20-OFFSET($BM$9,CN20+3,0,1,1))*OFFSET($CH$9,CN20+3,0,1,1))+OFFSET($BO$9,CN20+3,CQ20,1,1),0))))))</f>
        <v>0</v>
      </c>
      <c r="DH20" s="51">
        <f ca="1">IF($F20&lt;OFFSET($BM$9,$CN20-1,0,1,1),0,IF($F20&lt;OFFSET($BN$9,$CN20-1,0,1,1),IF(AND($H20&gt;2.4,Z20&lt;&gt;"e",Z20&lt;&gt;"f"),DL20*2.4/$H20,DL20),IF($F20&lt;OFFSET($BN$9,$CN20+0,0,1,1),IF(AND($H20&gt;2.4,Z20&lt;&gt;"e",Z20&lt;&gt;"f"),DL20*2.4/$H20,DL20),IF($F20&lt;OFFSET($BN$9,$CN20+1,0,1,1),IF(AND($H20&gt;2.4,Z20&lt;&gt;"e",Z20&lt;&gt;"f"),DL20*2.4/$H20,DL20),IF($F20&lt;OFFSET($BN$9,$CN20+2,0,1,1),IF(AND($H20&gt;2.4,Z20&lt;&gt;"e",Z20&lt;&gt;"f"),DL20*2.4/$H20,DL20),IF($F20&lt;OFFSET($BN$9,$CN20+3,0,1,1),IF(AND($H20&gt;2.4,Z20&lt;&gt;"e",Z20&lt;&gt;"f"),DL20*2.4/$H20,DL20),0)))))*COS(RADIANS($G20)))</f>
        <v>0</v>
      </c>
      <c r="DI20" s="51">
        <f ca="1">IF(F20&lt;OFFSET($BM$9,CN20-1,0,1,1),0,IF(F20&lt;OFFSET($BN$9,CN20-1,0,1,1),((F20-OFFSET($BM$9,CN20-1,0,1,1))*OFFSET($CI$9,CN20-1,0,1,1))+OFFSET($BP$9,CN20-1,CQ20,1,1),IF(F20&lt;OFFSET($BN$9,CN20+0,0,1,1),((F20-OFFSET($BM$9,CN20+0,0,1,1))*OFFSET($CI$9,CN20+0,0,1,1))+OFFSET($BP$9,CN20+0,CQ20,1,1),IF(F20&lt;OFFSET($BN$9,CN20+1,0,1,1),((F20-OFFSET($BM$9,CN20+1,0,1,1))*OFFSET($CI$9,CN20+1,0,1,1))+OFFSET($BP$9,CN20+1,CQ20,1,1),IF(F20&lt;OFFSET($BN$9,CN20+2,0,1,1),((F20-OFFSET($BM$9,CN20+2,0,1,1))*OFFSET($CI$9,CN20+2,0,1,1))+OFFSET($BP$9,CN20+2,CQ20,1,1),IF(F20&lt;OFFSET($BN$9,CN20+3,0,1,1),((F20-OFFSET($BM$9,CN20+3,0,1,1))*OFFSET($CI$9,CN20+3,0,1,1))+OFFSET($BP$9,CN20+3,CQ20,1,1),0))))))</f>
        <v>0</v>
      </c>
      <c r="DJ20" s="51">
        <f ca="1">IF($F20&lt;OFFSET($BM$9,$CN20-1,0,1,1),0,IF($F20&lt;OFFSET($BN$9,$CN20-1,0,1,1),IF(AND($H20&gt;2.4,Z20&lt;&gt;"e",Z20&lt;&gt;"f"),DN20*2.4/$H20,DN20),IF($F20&lt;OFFSET($BN$9,$CN20+0,0,1,1),IF(AND($H20&gt;2.4,Z20&lt;&gt;"e",Z20&lt;&gt;"f"),DN20*2.4/$H20,DN20),IF($F20&lt;OFFSET($BN$9,$CN20+1,0,1,1),IF(AND($H20&gt;2.4,Z20&lt;&gt;"e",Z20&lt;&gt;"f"),DN20*2.4/$H20,DN20),IF($F20&lt;OFFSET($BN$9,$CN20+2,0,1,1),IF(AND($H20&gt;2.4,Z20&lt;&gt;"e",Z20&lt;&gt;"f"),DN20*2.4/$H20,DN20),IF($F20&lt;OFFSET($BN$9,$CN20+3,0,1,1),IF(AND($H20&gt;2.4,Z20&lt;&gt;"e",Z20&lt;&gt;"f"),DN20*2.4/$H20,DN20),0)))))*COS(RADIANS($G20)))</f>
        <v>0</v>
      </c>
      <c r="DK20" s="51"/>
      <c r="DL20" s="51">
        <f ca="1">IF(DG20&gt;$CR20,$CR20,DG20)</f>
        <v>0</v>
      </c>
      <c r="DM20" s="51"/>
      <c r="DN20" s="51">
        <f ca="1">IF(DI20&gt;$CR20,$CR20,DI20)</f>
        <v>0</v>
      </c>
      <c r="DO20" s="435">
        <f ca="1">IF(DH20&gt;$CR20,$CR20,DH20)</f>
        <v>0</v>
      </c>
      <c r="DP20" s="435">
        <f ca="1">DO20*F20</f>
        <v>0</v>
      </c>
      <c r="DQ20" s="436">
        <f ca="1">IF(DJ20&gt;$CR20,$CR20,DJ20)</f>
        <v>0</v>
      </c>
      <c r="DR20" s="437">
        <f ca="1">DQ20*F20</f>
        <v>0</v>
      </c>
      <c r="DS20" s="426">
        <f ca="1">OFFSET($CH$9,CL20-1,-15,1,1)</f>
        <v>0</v>
      </c>
      <c r="DT20" s="451">
        <f t="shared" ca="1" si="1"/>
        <v>0</v>
      </c>
      <c r="DU20" s="188">
        <f ca="1">IF(F20&lt;OFFSET($BM$9,DT20-1,0,1,1),0,IF(F20&lt;OFFSET($BN$9,DT20-1,0,1,1),((F20-OFFSET($BM$9,DT20-1,0,1,1))*OFFSET($CH$9,DT20-1,0,1,1))+OFFSET($BO$9,DT20-1,CQ20,1,1),IF(F20&lt;OFFSET($BN$9,DT20+0,0,1,1),((F20-OFFSET($BM$9,DT20+0,0,1,1))*OFFSET($CH$9,DT20+0,0,1,1))+OFFSET($BO$9,DT20+0,CQ20,1,1),IF(F20&lt;OFFSET($BN$9,DT20+1,0,1,1),((F20-OFFSET($BM$9,DT20+1,0,1,1))*OFFSET($CH$9,DT20+1,0,1,1))+OFFSET($BO$9,DT20+1,CQ20,1,1),IF(F20&lt;OFFSET($BN$9,DT20+2,0,1,1),((F20-OFFSET($BM$9,DT20+2,0,1,1))*OFFSET($CH$9,DT20+2,0,1,1))+OFFSET($BO$9,DT20+2,CQ20,1,1),IF(F20&lt;OFFSET($BN$9,DT20+3,0,1,1),((F20-OFFSET($BM$9,DT20+3,0,1,1))*OFFSET($CH$9,DT20+3,0,1,1))+OFFSET($BO$9,DT20+3,CQ20,1,1),0))))))</f>
        <v>0</v>
      </c>
      <c r="DV20" s="51">
        <f ca="1">IF($F20&lt;OFFSET($BM$9,$DT20-1,0,1,1),0,IF($F20&lt;OFFSET($BN$9,$DT20-1,0,1,1),IF(AND($H20&gt;2.4,Z20&lt;&gt;"e",Z20&lt;&gt;"f"),DZ20*2.4/$H20,DZ20),IF($F20&lt;OFFSET($BN$9,$DT20+0,0,1,1),IF(AND($H20&gt;2.4,Z20&lt;&gt;"e",Z20&lt;&gt;"f"),DZ20*2.4/$H20,DZ20),IF($F20&lt;OFFSET($BN$9,$DT20+1,0,1,1),IF(AND($H20&gt;2.4,Z20&lt;&gt;"e",Z20&lt;&gt;"f"),DZ20*2.4/$H20,DZ20),IF($F20&lt;OFFSET($BN$9,$DT20+2,0,1,1),IF(AND($H20&gt;2.4,Z20&lt;&gt;"e",Z20&lt;&gt;"f"),DZ20*2.4/$H20,DZ20),IF($F20&lt;OFFSET($BN$9,$DT20+3,0,1,1),IF(AND($H20&gt;2.4,Z20&lt;&gt;"e",Z20&lt;&gt;"f"),DZ20*2.4/$H20,DZ20),0)))))*COS(RADIANS($G20)))</f>
        <v>0</v>
      </c>
      <c r="DW20" s="188">
        <f ca="1">IF(F20&lt;OFFSET($BM$9,DT20-1,0,1,1),0,IF(F20&lt;OFFSET($BN$9,DT20-1,0,1,1),((F20-OFFSET($BM$9,DT20-1,0,1,1))*OFFSET($CI$9,DT20-1,0,1,1))+OFFSET($BP$9,DT20-1,CQ20,1,1),IF(F20&lt;OFFSET($BN$9,DT20+0,0,1,1),((F20-OFFSET($BM$9,DT20+0,0,1,1))*OFFSET($CI$9,DT20+0,0,1,1))+OFFSET($BP$9,DT20+0,CQ20,1,1),IF(F20&lt;OFFSET($BN$9,DT20+1,0,1,1),((F20-OFFSET($BM$9,DT20+1,0,1,1))*OFFSET($CI$9,DT20+1,0,1,1))+OFFSET($BP$9,DT20+1,CQ20,1,1),IF(F20&lt;OFFSET($BN$9,DT20+2,0,1,1),((F20-OFFSET($BM$9,DT20+2,0,1,1))*OFFSET($CI$9,DT20+2,0,1,1))+OFFSET($BP$9,DT20+2,CQ20,1,1),IF(F20&lt;OFFSET($BN$9,DT20+3,0,1,1),((F20-OFFSET($BM$9,DT20+3,0,1,1))*OFFSET($CI$9,DT20+3,0,1,1))+OFFSET($BP$9,DT20+3,CQ20,1,1),0))))))</f>
        <v>0</v>
      </c>
      <c r="DX20" s="51">
        <f ca="1">IF($F20&lt;OFFSET($BM$9,$DT20-1,0,1,1),0,IF($F20&lt;OFFSET($BN$9,$DT20-1,0,1,1),IF(AND($H20&gt;2.4,Z20&lt;&gt;"e",Z20&lt;&gt;"f"),EB20*2.4/$H20,EB20),IF($F20&lt;OFFSET($BN$9,$DT20+0,0,1,1),IF(AND($H20&gt;2.4,Z20&lt;&gt;"e",Z20&lt;&gt;"f"),EB20*2.4/$H20,EB20),IF($F20&lt;OFFSET($BN$9,$DT20+1,0,1,1),IF(AND($H20&gt;2.4,Z20&lt;&gt;"e",Z20&lt;&gt;"f"),EB20*2.4/$H20,EB20),IF($F20&lt;OFFSET($BN$9,$DT20+2,0,1,1),IF(AND($H20&gt;2.4,Z20&lt;&gt;"e",Z20&lt;&gt;"f"),EB20*2.4/$H20,EB20),IF($F20&lt;OFFSET($BN$9,$DT20+3,0,1,1),IF(AND($H20&gt;2.4,Z20&lt;&gt;"e",Z20&lt;&gt;"f"),EB20*2.4/$H20,EB20),0)))))*COS(RADIANS($G20)))</f>
        <v>0</v>
      </c>
      <c r="DY20" s="188"/>
      <c r="DZ20" s="188">
        <f ca="1">IF(DU20&gt;$CR20,$CR20,DU20)</f>
        <v>0</v>
      </c>
      <c r="EA20" s="188"/>
      <c r="EB20" s="188">
        <f ca="1">IF(DW20&gt;$CR20,$CR20,DW20)</f>
        <v>0</v>
      </c>
      <c r="EC20" s="435">
        <f ca="1">IF(DV20&gt;$CR20,$CR20,DV20)</f>
        <v>0</v>
      </c>
      <c r="ED20" s="435">
        <f ca="1">EC20*F20</f>
        <v>0</v>
      </c>
      <c r="EE20" s="436">
        <f ca="1">IF(DX20&gt;$CR20,$CR20,DX20)</f>
        <v>0</v>
      </c>
      <c r="EF20" s="437">
        <f ca="1">EE20*F20</f>
        <v>0</v>
      </c>
      <c r="EG20" s="613" t="str">
        <f>IF(D20=BG$12,BG$12,"")</f>
        <v/>
      </c>
      <c r="EH20" s="614" t="str">
        <f>IF(D20=BG$13,BG$13,"")</f>
        <v/>
      </c>
      <c r="EI20" s="611">
        <f>IF(EG20=BG$12,M20,0)</f>
        <v>0</v>
      </c>
      <c r="EJ20" s="451">
        <f>IF(EG20=BG$12,O20,0)</f>
        <v>0</v>
      </c>
      <c r="EK20" s="451">
        <f>IF(EH20=BG$13,M20,0)</f>
        <v>0</v>
      </c>
      <c r="EL20" s="612">
        <f>IF(EH20=BG$13,O20,0)</f>
        <v>0</v>
      </c>
      <c r="EM20" s="426" t="str">
        <f ca="1">IF(AND(Z20&lt;&gt;"t",Z20&lt;&gt;"f"),"",IF(AND(EN20=$BH$13,K20=$BH$12),"NotOpt",IF(K20&lt;&gt;EN20,"Error","")))</f>
        <v/>
      </c>
      <c r="EN20" s="491" t="str">
        <f>IF(AND($BH$28=1,$BG$28=1),$BH$13,$BH$12)</f>
        <v>120 BU's</v>
      </c>
      <c r="EO20" s="426" t="str">
        <f>K20</f>
        <v xml:space="preserve"> </v>
      </c>
      <c r="EP20" s="497">
        <v>1</v>
      </c>
      <c r="EQ20" s="430" t="str">
        <f ca="1">IF(EP20=1," ",OFFSET(BF$15,EP20-2,0,1,1))</f>
        <v xml:space="preserve"> </v>
      </c>
      <c r="ER20" s="439" t="str">
        <f ca="1">IF(H20=0," ",H20)</f>
        <v xml:space="preserve"> </v>
      </c>
      <c r="ES20" s="440" t="str">
        <f ca="1">IF(ER20&lt;&gt;" ",IF(ER20&lt;&gt;ER$7,"Changed",""),"")</f>
        <v/>
      </c>
      <c r="ET20" s="440">
        <f t="shared" ca="1" si="15"/>
        <v>0</v>
      </c>
      <c r="EU20" s="957" t="str">
        <f ca="1">IF(I20=" "," ",IF(F20&lt;OFFSET($BM$9,CL20-1,0,1,1),1,""))</f>
        <v xml:space="preserve"> </v>
      </c>
      <c r="EW20" s="427"/>
      <c r="EX20"/>
    </row>
    <row r="21" spans="2:154" ht="17.100000000000001" customHeight="1">
      <c r="B21" s="689" t="s">
        <v>246</v>
      </c>
      <c r="C21" s="684" t="str">
        <f>IF(OR(F21=0,I21="",I21=" ")," ",$V21)</f>
        <v xml:space="preserve"> </v>
      </c>
      <c r="D21" s="1033"/>
      <c r="E21" s="1034"/>
      <c r="F21" s="202"/>
      <c r="G21" s="1416"/>
      <c r="H21" s="199" t="str">
        <f ca="1">IF(OR(F21=0,Z21="E",Z21="f")," ",'Project Demand'!E$35)</f>
        <v xml:space="preserve"> </v>
      </c>
      <c r="I21" s="631" t="str">
        <f>IF($I$6&lt;&gt;$BG$8," ",AB21)</f>
        <v xml:space="preserve"> </v>
      </c>
      <c r="J21" s="44" t="str">
        <f ca="1">IF(OR(I21=" ",I21="")," ",OFFSET($BO$9,CL21-1,0-4,1,1))</f>
        <v xml:space="preserve"> </v>
      </c>
      <c r="K21" s="55" t="str">
        <f>IF(OR(I21=" ",I21="")," ",IF(OR(Z21="e",Z21="h"),"SD",BG$24))</f>
        <v xml:space="preserve"> </v>
      </c>
      <c r="L21" s="49">
        <f ca="1">CW21</f>
        <v>0</v>
      </c>
      <c r="M21" s="49">
        <f ca="1">CY21</f>
        <v>0</v>
      </c>
      <c r="N21" s="50">
        <f t="shared" ca="1" si="19"/>
        <v>0</v>
      </c>
      <c r="O21" s="126">
        <f t="shared" ca="1" si="19"/>
        <v>0</v>
      </c>
      <c r="P21" s="140"/>
      <c r="Q21" s="752" t="str">
        <f ca="1">IF(AND(OR(Z21="t",Z21="f"),K21=$BH$11),"No Floor!  Change Floor Type",IF(OR(I21=" ",I21="")," ",IF(F21&lt;OFFSET($BM$9,CL21-1,0,1,1),"check L(m)",DE21&amp;IF(AND(DP21&gt;=CY21,DR21&gt;=DB21),IF(AND(ED21&gt;=DP21,EF21&gt;=DR21),CONCATENATE(DS21," will provide same result"),CONCATENATE(CO21," will provide same result")),IF((DP21&gt;=CY21),CONCATENATE(CO21," provides same result in WIND"),IF((DR21&gt;=DB21),CONCATENATE(CO21," provides same result in EQ"),""))))))&amp;IF(ISERROR(FIND("pile",I21,1)),"",IF(INT(F21)&lt;&gt;F21,"Pile!  Use Whole Numbers Only",""))</f>
        <v xml:space="preserve"> </v>
      </c>
      <c r="R21" s="52"/>
      <c r="S21" s="1372"/>
      <c r="T21" s="52"/>
      <c r="U21" s="1377"/>
      <c r="V21" s="52" t="str">
        <f ca="1">IF(AND(B$5=$BF$9,OR(I21=BH$16,I21=BH$17))," ",IF(ISNUMBER(B$20),(CONCATENATE(B$20,".",W21)),(CONCATENATE(B$20,W21))))</f>
        <v>O0</v>
      </c>
      <c r="W21" s="9">
        <f ca="1">W20+X21</f>
        <v>0</v>
      </c>
      <c r="X21" s="9">
        <f>IF(AND(B$5=$BF$9,OR($I21=$BH$16,$I21=$BH$17,$I21=" ",$I21="",$F21=0)),0,IF(OR($I21=" ",$I21="",$F21=0),0,1))</f>
        <v>0</v>
      </c>
      <c r="Y21" s="896"/>
      <c r="Z21" s="52" t="str">
        <f ca="1">IF(I21=" "," ",OFFSET($BM$9,$CL21-1,8,1,1))</f>
        <v xml:space="preserve"> </v>
      </c>
      <c r="AA21" s="51" t="str">
        <f>IF(G21&gt;=45,"WA","")</f>
        <v/>
      </c>
      <c r="AB21" s="1364" t="str">
        <f>IF(F21&lt;&gt;"",IF(OR(D21=$BG$12,D21=$BG$13),IF(E21&lt;&gt;$BG$17,$BF$12,$BF$13),IF(E21&lt;&gt;$BG$17,$BF$12,$BF$13))," ")</f>
        <v xml:space="preserve"> </v>
      </c>
      <c r="AC21" s="1"/>
      <c r="AJ21" s="2230"/>
      <c r="AK21" s="2793"/>
      <c r="AL21" s="2784"/>
      <c r="AM21" s="11">
        <f>'Regular and QuickBrace Systems'!F35</f>
        <v>0.8</v>
      </c>
      <c r="AN21" s="1336">
        <f>'Regular and QuickBrace Systems'!G35</f>
        <v>120</v>
      </c>
      <c r="AO21" s="26">
        <f>'Regular and QuickBrace Systems'!H35</f>
        <v>109</v>
      </c>
      <c r="AP21" s="1595"/>
      <c r="AQ21" s="2663"/>
      <c r="AR21" s="2664"/>
      <c r="AS21" s="2031"/>
      <c r="AT21" s="1339"/>
      <c r="AU21" s="2123"/>
      <c r="AW21" s="1569" t="str">
        <f>'Regular and QuickBrace Systems'!O35</f>
        <v>Yes</v>
      </c>
      <c r="AX21" s="442" t="str">
        <f>'Regular and QuickBrace Systems'!Q35</f>
        <v>Yes</v>
      </c>
      <c r="BD21" s="2648"/>
      <c r="BF21" s="482" t="s">
        <v>8</v>
      </c>
      <c r="BI21" s="759"/>
      <c r="BJ21" s="897">
        <f t="shared" si="4"/>
        <v>13</v>
      </c>
      <c r="BK21" s="769" t="str">
        <f t="shared" si="5"/>
        <v xml:space="preserve">  </v>
      </c>
      <c r="BL21" s="771" t="str">
        <f t="shared" si="6"/>
        <v>Custom10</v>
      </c>
      <c r="BM21" s="455">
        <f t="shared" si="7"/>
        <v>9.9999999999999996E-76</v>
      </c>
      <c r="BN21" s="455">
        <v>999</v>
      </c>
      <c r="BO21" s="455">
        <f t="shared" si="8"/>
        <v>0</v>
      </c>
      <c r="BP21" s="925">
        <f t="shared" si="9"/>
        <v>0</v>
      </c>
      <c r="BR21" s="764"/>
      <c r="BS21" s="455"/>
      <c r="BT21" s="455" t="str">
        <f t="shared" si="10"/>
        <v>B</v>
      </c>
      <c r="BU21" s="925" t="str">
        <f t="shared" si="11"/>
        <v>T</v>
      </c>
      <c r="BV21" s="483" t="str">
        <f t="shared" si="12"/>
        <v>Custom10</v>
      </c>
      <c r="BW21" s="910">
        <f t="shared" si="18"/>
        <v>13</v>
      </c>
      <c r="BX21" s="925" t="str">
        <f t="shared" si="16"/>
        <v>Single</v>
      </c>
      <c r="CH21" s="764">
        <f t="shared" si="13"/>
        <v>0</v>
      </c>
      <c r="CI21" s="925">
        <f t="shared" si="14"/>
        <v>0</v>
      </c>
      <c r="CJ21" s="759"/>
      <c r="CK21" s="188"/>
      <c r="CL21" s="979">
        <f>VLOOKUP(I21,Prodlink,2,0)</f>
        <v>0</v>
      </c>
      <c r="CN21" s="497">
        <f ca="1">VLOOKUP(CO21,Prodlink,2,0)</f>
        <v>0</v>
      </c>
      <c r="CO21" s="497">
        <f ca="1">OFFSET($CH$9,CL21-1,-15,1,1)</f>
        <v>0</v>
      </c>
      <c r="CQ21" s="51">
        <v>0</v>
      </c>
      <c r="CR21" s="51">
        <f>IF(K21=$BH$12,$BH$23,IF(K21=$BH$13,$BH$24,10000))</f>
        <v>10000</v>
      </c>
      <c r="CS21" s="51">
        <f ca="1">IF(F21&lt;OFFSET($BM$9,CL21-1,0,1,1),0,IF(F21&lt;OFFSET($BN$9,CL21-1,0,1,1),((F21-OFFSET($BM$9,CL21-1,0,1,1))*OFFSET($CH$9,CL21-1,0,1,1))+OFFSET($BO$9,CL21-1,CQ21,1,1),IF(F21&lt;OFFSET($BN$9,CL21+0,0,1,1),((F21-OFFSET($BM$9,CL21+0,0,1,1))*OFFSET($CH$9,CL21+0,0,1,1))+OFFSET($BO$9,CL21+0,CQ21,1,1),IF(F21&lt;OFFSET($BN$9,CL21+1,0,1,1),((F21-OFFSET($BM$9,CL21+1,0,1,1))*OFFSET($CH$9,CL21+1,0,1,1))+OFFSET($BO$9,CL21+1,CQ21,1,1),IF(F21&lt;OFFSET($BN$9,CL21+2,0,1,1),((F21-OFFSET($BM$9,CL21+2,0,1,1))*OFFSET($CH$9,CL21+2,0,1,1))+OFFSET($BO$9,CL21+2,CQ21,1,1),IF(F21&lt;OFFSET($BN$9,CL21+3,0,1,1),((F21-OFFSET($BM$9,CL21+3,0,1,1))*OFFSET($CH$9,CL21+3,0,1,1))+OFFSET($BO$9,CL21+3,CQ21,1,1),0))))))</f>
        <v>0</v>
      </c>
      <c r="CT21" s="51">
        <f ca="1">IF($F21&lt;OFFSET($BM$9,$CL21-1,0,1,1),0,IF($F21&lt;OFFSET($BN$9,$CL21-1,0,1,1),IF(AND($H21&gt;2.4,Z21&lt;&gt;"e",Z21&lt;&gt;"f"),CX21*2.4/$H21,CX21),IF($F21&lt;OFFSET($BN$9,$CL21+0,0,1,1),IF(AND($H21&gt;2.4,Z21&lt;&gt;"e",Z21&lt;&gt;"f"),CX21*2.4/$H21,CX21),IF($F21&lt;OFFSET($BN$9,$CL21+1,0,1,1),IF(AND($H21&gt;2.4,Z21&lt;&gt;"e",Z21&lt;&gt;"f"),CX21*2.4/$H21,CX21),IF($F21&lt;OFFSET($BN$9,CL21+2,0,1,1),IF(AND($H21&gt;2.4,Z21&lt;&gt;"e",Z21&lt;&gt;"f"),CX21*2.4/$H21,CX21),IF($F21&lt;OFFSET($BN$9,CL21+3,0,1,1),IF(AND($H21&gt;2.4,Z21&lt;&gt;"e",Z21&lt;&gt;"f"),CX21*2.4/$H21,CX21),0)))))*COS(RADIANS($G21)))</f>
        <v>0</v>
      </c>
      <c r="CU21" s="51">
        <f ca="1">IF(F21&lt;OFFSET($BM$9,CL21-1,0,1,1),0,IF(F21&lt;OFFSET($BN$9,CL21-1,0,1,1),((F21-OFFSET($BM$9,CL21-1,0,1,1))*OFFSET($CI$9,CL21-1,0,1,1))+OFFSET($BP$9,CL21-1,CQ21,1,1),IF(F21&lt;OFFSET($BN$9,CL21+0,0,1,1),((F21-OFFSET($BM$9,CL21+0,0,1,1))*OFFSET($CI$9,CL21+0,0,1,1))+OFFSET($BP$9,CL21+0,CQ21,1,1),IF(F21&lt;OFFSET($BN$9,CL21+1,0,1,1),((F21-OFFSET($BM$9,CL21+1,0,1,1))*OFFSET($CI$9,CL21+1,0,1,1))+OFFSET($BP$9,CL21+1,CQ21,1,1),IF(F21&lt;OFFSET($BN$9,CL21+2,0,1,1),((F21-OFFSET($BM$9,CL21+2,0,1,1))*OFFSET($CI$9,CL21+2,0,1,1))+OFFSET($BP$9,CL21+2,CQ21,1,1),IF(F21&lt;OFFSET($BN$9,CL21+3,0,1,1),((F21-OFFSET($BM$9,CL21+3,0,1,1))*OFFSET($CI$9,CL21+3,0,1,1))+OFFSET($BP$9,CL21+3,CQ21,1,1),0))))))</f>
        <v>0</v>
      </c>
      <c r="CV21" s="51">
        <f ca="1">IF($F21&lt;OFFSET($BM$9,$CL21-1,0,1,1),0,IF($F21&lt;OFFSET($BN$9,$CL21-1,0,1,1),IF(AND($H21&gt;2.4,Z21&lt;&gt;"e",Z21&lt;&gt;"f"),CZ21*2.4/$H21,CZ21),IF($F21&lt;OFFSET($BN$9,$CL21+0,0,1,1),IF(AND($H21&gt;2.4,Z21&lt;&gt;"e",Z21&lt;&gt;"f"),CZ21*2.4/$H21,CZ21),IF($F21&lt;OFFSET($BN$9,$CL21+1,0,1,1),IF(AND($H21&gt;2.4,Z21&lt;&gt;"e",Z21&lt;&gt;"f"),CZ21*2.4/$H21,CZ21),IF($F21&lt;OFFSET($BN$9,$CL21+2,0,1,1),IF(AND($H21&gt;2.4,Z21&lt;&gt;"e",Z21&lt;&gt;"f"),CZ21*2.4/$H21,CZ21),IF($F21&lt;OFFSET($BN$9,$CL21+3,0,1,1),IF(AND($H21&gt;2.4,Z21&lt;&gt;"e",Z21&lt;&gt;"f"),CZ21*2.4/$H21,CZ21),0)))))*COS(RADIANS($G21)))</f>
        <v>0</v>
      </c>
      <c r="CW21" s="51">
        <f ca="1">IF(CT21&gt;CR21,CR21,CT21)</f>
        <v>0</v>
      </c>
      <c r="CX21" s="51">
        <f ca="1">IF(CS21&gt;$CR21,$CR21,CS21)</f>
        <v>0</v>
      </c>
      <c r="CY21" s="51">
        <f ca="1">CW21*F21</f>
        <v>0</v>
      </c>
      <c r="CZ21" s="51">
        <f ca="1">IF($CU21&gt;$CR21,$CR21,$CU21)</f>
        <v>0</v>
      </c>
      <c r="DA21" s="51">
        <f ca="1">IF(CV21&gt;CR21,CR21,CV21)</f>
        <v>0</v>
      </c>
      <c r="DB21" s="51">
        <f ca="1">DA21*F21</f>
        <v>0</v>
      </c>
      <c r="DC21" s="993">
        <v>1</v>
      </c>
      <c r="DD21" s="758" t="str">
        <f>IF(OR(D21=BG$12,D21=BG$13),"External",IF(D21=BG$14,"Internal"," "))</f>
        <v xml:space="preserve"> </v>
      </c>
      <c r="DE21" s="51" t="str">
        <f t="shared" ca="1" si="2"/>
        <v/>
      </c>
      <c r="DF21" s="52" t="str">
        <f t="shared" ca="1" si="3"/>
        <v xml:space="preserve"> </v>
      </c>
      <c r="DG21" s="51">
        <f ca="1">IF(F21&lt;OFFSET($BM$9,CN21-1,0,1,1),0,IF(F21&lt;OFFSET($BN$9,CN21-1,0,1,1),((F21-OFFSET($BM$9,CN21-1,0,1,1))*OFFSET($CH$9,CN21-1,0,1,1))+OFFSET($BO$9,CN21-1,CQ21,1,1),IF(F21&lt;OFFSET($BN$9,CN21+0,0,1,1),((F21-OFFSET($BM$9,CN21+0,0,1,1))*OFFSET($CH$9,CN21+0,0,1,1))+OFFSET($BO$9,CN21+0,CQ21,1,1),IF(F21&lt;OFFSET($BN$9,CN21+1,0,1,1),((F21-OFFSET($BM$9,CN21+1,0,1,1))*OFFSET($CH$9,CN21+1,0,1,1))+OFFSET($BO$9,CN21+1,CQ21,1,1),IF(F21&lt;OFFSET($BN$9,CN21+2,0,1,1),((F21-OFFSET($BM$9,CN21+2,0,1,1))*OFFSET($CH$9,CN21+2,0,1,1))+OFFSET($BO$9,CN21+2,CQ21,1,1),IF(F21&lt;OFFSET($BN$9,CN21+3,0,1,1),((F21-OFFSET($BM$9,CN21+3,0,1,1))*OFFSET($CH$9,CN21+3,0,1,1))+OFFSET($BO$9,CN21+3,CQ21,1,1),0))))))</f>
        <v>0</v>
      </c>
      <c r="DH21" s="51">
        <f ca="1">IF($F21&lt;OFFSET($BM$9,$CN21-1,0,1,1),0,IF($F21&lt;OFFSET($BN$9,$CN21-1,0,1,1),IF(AND($H21&gt;2.4,Z21&lt;&gt;"e",Z21&lt;&gt;"f"),DL21*2.4/$H21,DL21),IF($F21&lt;OFFSET($BN$9,$CN21+0,0,1,1),IF(AND($H21&gt;2.4,Z21&lt;&gt;"e",Z21&lt;&gt;"f"),DL21*2.4/$H21,DL21),IF($F21&lt;OFFSET($BN$9,$CN21+1,0,1,1),IF(AND($H21&gt;2.4,Z21&lt;&gt;"e",Z21&lt;&gt;"f"),DL21*2.4/$H21,DL21),IF($F21&lt;OFFSET($BN$9,$CN21+2,0,1,1),IF(AND($H21&gt;2.4,Z21&lt;&gt;"e",Z21&lt;&gt;"f"),DL21*2.4/$H21,DL21),IF($F21&lt;OFFSET($BN$9,$CN21+3,0,1,1),IF(AND($H21&gt;2.4,Z21&lt;&gt;"e",Z21&lt;&gt;"f"),DL21*2.4/$H21,DL21),0)))))*COS(RADIANS($G21)))</f>
        <v>0</v>
      </c>
      <c r="DI21" s="51">
        <f ca="1">IF(F21&lt;OFFSET($BM$9,CN21-1,0,1,1),0,IF(F21&lt;OFFSET($BN$9,CN21-1,0,1,1),((F21-OFFSET($BM$9,CN21-1,0,1,1))*OFFSET($CI$9,CN21-1,0,1,1))+OFFSET($BP$9,CN21-1,CQ21,1,1),IF(F21&lt;OFFSET($BN$9,CN21+0,0,1,1),((F21-OFFSET($BM$9,CN21+0,0,1,1))*OFFSET($CI$9,CN21+0,0,1,1))+OFFSET($BP$9,CN21+0,CQ21,1,1),IF(F21&lt;OFFSET($BN$9,CN21+1,0,1,1),((F21-OFFSET($BM$9,CN21+1,0,1,1))*OFFSET($CI$9,CN21+1,0,1,1))+OFFSET($BP$9,CN21+1,CQ21,1,1),IF(F21&lt;OFFSET($BN$9,CN21+2,0,1,1),((F21-OFFSET($BM$9,CN21+2,0,1,1))*OFFSET($CI$9,CN21+2,0,1,1))+OFFSET($BP$9,CN21+2,CQ21,1,1),IF(F21&lt;OFFSET($BN$9,CN21+3,0,1,1),((F21-OFFSET($BM$9,CN21+3,0,1,1))*OFFSET($CI$9,CN21+3,0,1,1))+OFFSET($BP$9,CN21+3,CQ21,1,1),0))))))</f>
        <v>0</v>
      </c>
      <c r="DJ21" s="51">
        <f ca="1">IF($F21&lt;OFFSET($BM$9,$CN21-1,0,1,1),0,IF($F21&lt;OFFSET($BN$9,$CN21-1,0,1,1),IF(AND($H21&gt;2.4,Z21&lt;&gt;"e",Z21&lt;&gt;"f"),DN21*2.4/$H21,DN21),IF($F21&lt;OFFSET($BN$9,$CN21+0,0,1,1),IF(AND($H21&gt;2.4,Z21&lt;&gt;"e",Z21&lt;&gt;"f"),DN21*2.4/$H21,DN21),IF($F21&lt;OFFSET($BN$9,$CN21+1,0,1,1),IF(AND($H21&gt;2.4,Z21&lt;&gt;"e",Z21&lt;&gt;"f"),DN21*2.4/$H21,DN21),IF($F21&lt;OFFSET($BN$9,$CN21+2,0,1,1),IF(AND($H21&gt;2.4,Z21&lt;&gt;"e",Z21&lt;&gt;"f"),DN21*2.4/$H21,DN21),IF($F21&lt;OFFSET($BN$9,$CN21+3,0,1,1),IF(AND($H21&gt;2.4,Z21&lt;&gt;"e",Z21&lt;&gt;"f"),DN21*2.4/$H21,DN21),0)))))*COS(RADIANS($G21)))</f>
        <v>0</v>
      </c>
      <c r="DK21" s="51"/>
      <c r="DL21" s="51">
        <f ca="1">IF(DG21&gt;$CR21,$CR21,DG21)</f>
        <v>0</v>
      </c>
      <c r="DM21" s="51"/>
      <c r="DN21" s="51">
        <f ca="1">IF(DI21&gt;$CR21,$CR21,DI21)</f>
        <v>0</v>
      </c>
      <c r="DO21" s="435">
        <f ca="1">IF(DH21&gt;$CR21,$CR21,DH21)</f>
        <v>0</v>
      </c>
      <c r="DP21" s="435">
        <f ca="1">DO21*F21</f>
        <v>0</v>
      </c>
      <c r="DQ21" s="436">
        <f ca="1">IF(DJ21&gt;$CR21,$CR21,DJ21)</f>
        <v>0</v>
      </c>
      <c r="DR21" s="437">
        <f ca="1">DQ21*F21</f>
        <v>0</v>
      </c>
      <c r="DS21" s="426">
        <f ca="1">OFFSET($CH$9,CL21-1,-15,1,1)</f>
        <v>0</v>
      </c>
      <c r="DT21" s="451">
        <f t="shared" ca="1" si="1"/>
        <v>0</v>
      </c>
      <c r="DU21" s="188">
        <f ca="1">IF(F21&lt;OFFSET($BM$9,DT21-1,0,1,1),0,IF(F21&lt;OFFSET($BN$9,DT21-1,0,1,1),((F21-OFFSET($BM$9,DT21-1,0,1,1))*OFFSET($CH$9,DT21-1,0,1,1))+OFFSET($BO$9,DT21-1,CQ21,1,1),IF(F21&lt;OFFSET($BN$9,DT21+0,0,1,1),((F21-OFFSET($BM$9,DT21+0,0,1,1))*OFFSET($CH$9,DT21+0,0,1,1))+OFFSET($BO$9,DT21+0,CQ21,1,1),IF(F21&lt;OFFSET($BN$9,DT21+1,0,1,1),((F21-OFFSET($BM$9,DT21+1,0,1,1))*OFFSET($CH$9,DT21+1,0,1,1))+OFFSET($BO$9,DT21+1,CQ21,1,1),IF(F21&lt;OFFSET($BN$9,DT21+2,0,1,1),((F21-OFFSET($BM$9,DT21+2,0,1,1))*OFFSET($CH$9,DT21+2,0,1,1))+OFFSET($BO$9,DT21+2,CQ21,1,1),IF(F21&lt;OFFSET($BN$9,DT21+3,0,1,1),((F21-OFFSET($BM$9,DT21+3,0,1,1))*OFFSET($CH$9,DT21+3,0,1,1))+OFFSET($BO$9,DT21+3,CQ21,1,1),0))))))</f>
        <v>0</v>
      </c>
      <c r="DV21" s="51">
        <f ca="1">IF($F21&lt;OFFSET($BM$9,$DT21-1,0,1,1),0,IF($F21&lt;OFFSET($BN$9,$DT21-1,0,1,1),IF(AND($H21&gt;2.4,Z21&lt;&gt;"e",Z21&lt;&gt;"f"),DZ21*2.4/$H21,DZ21),IF($F21&lt;OFFSET($BN$9,$DT21+0,0,1,1),IF(AND($H21&gt;2.4,Z21&lt;&gt;"e",Z21&lt;&gt;"f"),DZ21*2.4/$H21,DZ21),IF($F21&lt;OFFSET($BN$9,$DT21+1,0,1,1),IF(AND($H21&gt;2.4,Z21&lt;&gt;"e",Z21&lt;&gt;"f"),DZ21*2.4/$H21,DZ21),IF($F21&lt;OFFSET($BN$9,$DT21+2,0,1,1),IF(AND($H21&gt;2.4,Z21&lt;&gt;"e",Z21&lt;&gt;"f"),DZ21*2.4/$H21,DZ21),IF($F21&lt;OFFSET($BN$9,$DT21+3,0,1,1),IF(AND($H21&gt;2.4,Z21&lt;&gt;"e",Z21&lt;&gt;"f"),DZ21*2.4/$H21,DZ21),0)))))*COS(RADIANS($G21)))</f>
        <v>0</v>
      </c>
      <c r="DW21" s="188">
        <f ca="1">IF(F21&lt;OFFSET($BM$9,DT21-1,0,1,1),0,IF(F21&lt;OFFSET($BN$9,DT21-1,0,1,1),((F21-OFFSET($BM$9,DT21-1,0,1,1))*OFFSET($CI$9,DT21-1,0,1,1))+OFFSET($BP$9,DT21-1,CQ21,1,1),IF(F21&lt;OFFSET($BN$9,DT21+0,0,1,1),((F21-OFFSET($BM$9,DT21+0,0,1,1))*OFFSET($CI$9,DT21+0,0,1,1))+OFFSET($BP$9,DT21+0,CQ21,1,1),IF(F21&lt;OFFSET($BN$9,DT21+1,0,1,1),((F21-OFFSET($BM$9,DT21+1,0,1,1))*OFFSET($CI$9,DT21+1,0,1,1))+OFFSET($BP$9,DT21+1,CQ21,1,1),IF(F21&lt;OFFSET($BN$9,DT21+2,0,1,1),((F21-OFFSET($BM$9,DT21+2,0,1,1))*OFFSET($CI$9,DT21+2,0,1,1))+OFFSET($BP$9,DT21+2,CQ21,1,1),IF(F21&lt;OFFSET($BN$9,DT21+3,0,1,1),((F21-OFFSET($BM$9,DT21+3,0,1,1))*OFFSET($CI$9,DT21+3,0,1,1))+OFFSET($BP$9,DT21+3,CQ21,1,1),0))))))</f>
        <v>0</v>
      </c>
      <c r="DX21" s="51">
        <f ca="1">IF($F21&lt;OFFSET($BM$9,$DT21-1,0,1,1),0,IF($F21&lt;OFFSET($BN$9,$DT21-1,0,1,1),IF(AND($H21&gt;2.4,Z21&lt;&gt;"e",Z21&lt;&gt;"f"),EB21*2.4/$H21,EB21),IF($F21&lt;OFFSET($BN$9,$DT21+0,0,1,1),IF(AND($H21&gt;2.4,Z21&lt;&gt;"e",Z21&lt;&gt;"f"),EB21*2.4/$H21,EB21),IF($F21&lt;OFFSET($BN$9,$DT21+1,0,1,1),IF(AND($H21&gt;2.4,Z21&lt;&gt;"e",Z21&lt;&gt;"f"),EB21*2.4/$H21,EB21),IF($F21&lt;OFFSET($BN$9,$DT21+2,0,1,1),IF(AND($H21&gt;2.4,Z21&lt;&gt;"e",Z21&lt;&gt;"f"),EB21*2.4/$H21,EB21),IF($F21&lt;OFFSET($BN$9,$DT21+3,0,1,1),IF(AND($H21&gt;2.4,Z21&lt;&gt;"e",Z21&lt;&gt;"f"),EB21*2.4/$H21,EB21),0)))))*COS(RADIANS($G21)))</f>
        <v>0</v>
      </c>
      <c r="DY21" s="188"/>
      <c r="DZ21" s="188">
        <f ca="1">IF(DU21&gt;$CR21,$CR21,DU21)</f>
        <v>0</v>
      </c>
      <c r="EA21" s="188"/>
      <c r="EB21" s="188">
        <f ca="1">IF(DW21&gt;$CR21,$CR21,DW21)</f>
        <v>0</v>
      </c>
      <c r="EC21" s="435">
        <f ca="1">IF(DV21&gt;$CR21,$CR21,DV21)</f>
        <v>0</v>
      </c>
      <c r="ED21" s="435">
        <f ca="1">EC21*F21</f>
        <v>0</v>
      </c>
      <c r="EE21" s="436">
        <f ca="1">IF(DX21&gt;$CR21,$CR21,DX21)</f>
        <v>0</v>
      </c>
      <c r="EF21" s="437">
        <f ca="1">EE21*F21</f>
        <v>0</v>
      </c>
      <c r="EG21" s="613" t="str">
        <f>IF(D21=BG$12,BG$12,"")</f>
        <v/>
      </c>
      <c r="EH21" s="614" t="str">
        <f>IF(D21=BG$13,BG$13,"")</f>
        <v/>
      </c>
      <c r="EI21" s="611">
        <f>IF(EG21=BG$12,M21,0)</f>
        <v>0</v>
      </c>
      <c r="EJ21" s="451">
        <f>IF(EG21=BG$12,O21,0)</f>
        <v>0</v>
      </c>
      <c r="EK21" s="451">
        <f>IF(EH21=BG$13,M21,0)</f>
        <v>0</v>
      </c>
      <c r="EL21" s="612">
        <f>IF(EH21=BG$13,O21,0)</f>
        <v>0</v>
      </c>
      <c r="EM21" s="426" t="str">
        <f ca="1">IF(AND(Z21&lt;&gt;"t",Z21&lt;&gt;"f"),"",IF(AND(EN21=$BH$13,K21=$BH$12),"NotOpt",IF(K21&lt;&gt;EN21,"Error","")))</f>
        <v/>
      </c>
      <c r="EN21" s="491" t="str">
        <f>IF(AND($BH$28=1,$BG$28=1),$BH$13,$BH$12)</f>
        <v>120 BU's</v>
      </c>
      <c r="EO21" s="426" t="str">
        <f>K21</f>
        <v xml:space="preserve"> </v>
      </c>
      <c r="EP21" s="497">
        <v>1</v>
      </c>
      <c r="EQ21" s="430" t="str">
        <f ca="1">IF(EP21=1," ",OFFSET(BF$15,EP21-2,0,1,1))</f>
        <v xml:space="preserve"> </v>
      </c>
      <c r="ER21" s="439" t="str">
        <f ca="1">IF(H21=0," ",H21)</f>
        <v xml:space="preserve"> </v>
      </c>
      <c r="ES21" s="440" t="str">
        <f ca="1">IF(ER21&lt;&gt;" ",IF(ER21&lt;&gt;ER$7,"Changed",""),"")</f>
        <v/>
      </c>
      <c r="ET21" s="440">
        <f t="shared" ca="1" si="15"/>
        <v>0</v>
      </c>
      <c r="EU21" s="957" t="str">
        <f ca="1">IF(I21=" "," ",IF(F21&lt;OFFSET($BM$9,CL21-1,0,1,1),1,""))</f>
        <v xml:space="preserve"> </v>
      </c>
      <c r="EW21" s="427"/>
      <c r="EX21"/>
    </row>
    <row r="22" spans="2:154" ht="17.100000000000001" customHeight="1" thickBot="1">
      <c r="B22" s="689" t="s">
        <v>246</v>
      </c>
      <c r="C22" s="684" t="str">
        <f>IF(OR(F22=0,I22="",I22=" ")," ",$V22)</f>
        <v xml:space="preserve"> </v>
      </c>
      <c r="D22" s="1033"/>
      <c r="E22" s="1034"/>
      <c r="F22" s="202"/>
      <c r="G22" s="1416"/>
      <c r="H22" s="199" t="str">
        <f ca="1">IF(OR(F22=0,Z22="E",Z22="f")," ",'Project Demand'!E$35)</f>
        <v xml:space="preserve"> </v>
      </c>
      <c r="I22" s="631" t="str">
        <f>IF($I$6&lt;&gt;$BG$8," ",AB22)</f>
        <v xml:space="preserve"> </v>
      </c>
      <c r="J22" s="44" t="str">
        <f ca="1">IF(OR(I22=" ",I22="")," ",OFFSET($BO$9,CL22-1,0-4,1,1))</f>
        <v xml:space="preserve"> </v>
      </c>
      <c r="K22" s="55" t="str">
        <f>IF(OR(I22=" ",I22="")," ",IF(OR(Z22="e",Z22="h"),"SD",BG$24))</f>
        <v xml:space="preserve"> </v>
      </c>
      <c r="L22" s="49">
        <f ca="1">CW22</f>
        <v>0</v>
      </c>
      <c r="M22" s="49">
        <f ca="1">CY22</f>
        <v>0</v>
      </c>
      <c r="N22" s="50">
        <f t="shared" ca="1" si="19"/>
        <v>0</v>
      </c>
      <c r="O22" s="126">
        <f t="shared" ca="1" si="19"/>
        <v>0</v>
      </c>
      <c r="P22" s="140"/>
      <c r="Q22" s="752" t="str">
        <f ca="1">IF(AND(OR(Z22="t",Z22="f"),K22=$BH$11),"No Floor!  Change Floor Type",IF(OR(I22=" ",I22="")," ",IF(F22&lt;OFFSET($BM$9,CL22-1,0,1,1),"check L(m)",DE22&amp;IF(AND(DP22&gt;=CY22,DR22&gt;=DB22),IF(AND(ED22&gt;=DP22,EF22&gt;=DR22),CONCATENATE(DS22," will provide same result"),CONCATENATE(CO22," will provide same result")),IF((DP22&gt;=CY22),CONCATENATE(CO22," provides same result in WIND"),IF((DR22&gt;=DB22),CONCATENATE(CO22," provides same result in EQ"),""))))))&amp;IF(ISERROR(FIND("pile",I22,1)),"",IF(INT(F22)&lt;&gt;F22,"Pile!  Use Whole Numbers Only",""))</f>
        <v xml:space="preserve"> </v>
      </c>
      <c r="R22" s="52"/>
      <c r="S22" s="1372"/>
      <c r="T22" s="52"/>
      <c r="U22" s="1377"/>
      <c r="V22" s="52" t="str">
        <f ca="1">IF(AND(B$5=$BF$9,OR(I22=BH$16,I22=BH$17))," ",IF(ISNUMBER(B$20),(CONCATENATE(B$20,".",W22)),(CONCATENATE(B$20,W22))))</f>
        <v>O0</v>
      </c>
      <c r="W22" s="9">
        <f ca="1">W21+X22</f>
        <v>0</v>
      </c>
      <c r="X22" s="9">
        <f>IF(AND(B$5=$BF$9,OR($I22=$BH$16,$I22=$BH$17,$I22=" ",$I22="",$F22=0)),0,IF(OR($I22=" ",$I22="",$F22=0),0,1))</f>
        <v>0</v>
      </c>
      <c r="Y22" s="896"/>
      <c r="Z22" s="52" t="str">
        <f ca="1">IF(I22=" "," ",OFFSET($BM$9,$CL22-1,8,1,1))</f>
        <v xml:space="preserve"> </v>
      </c>
      <c r="AA22" s="51" t="str">
        <f>IF(G22&gt;=45,"WA","")</f>
        <v/>
      </c>
      <c r="AB22" s="1364" t="str">
        <f>IF(F22&lt;&gt;"",IF(OR(D22=$BG$12,D22=$BG$13),IF(E22&lt;&gt;$BG$17,$BF$12,$BF$13),IF(E22&lt;&gt;$BG$17,$BF$12,$BF$13))," ")</f>
        <v xml:space="preserve"> </v>
      </c>
      <c r="AC22" s="1"/>
      <c r="AJ22" s="2230"/>
      <c r="AK22" s="2794"/>
      <c r="AL22" s="2785"/>
      <c r="AM22" s="1177">
        <f>'Regular and QuickBrace Systems'!F36</f>
        <v>1.2</v>
      </c>
      <c r="AN22" s="1274">
        <f>'Regular and QuickBrace Systems'!G36</f>
        <v>140</v>
      </c>
      <c r="AO22" s="1275">
        <f>'Regular and QuickBrace Systems'!H36</f>
        <v>115</v>
      </c>
      <c r="AP22" s="1277"/>
      <c r="AQ22" s="2665"/>
      <c r="AR22" s="2666"/>
      <c r="AS22" s="2032"/>
      <c r="AT22" s="1339"/>
      <c r="AU22" s="2124"/>
      <c r="AW22" s="1570" t="str">
        <f>'Regular and QuickBrace Systems'!O36</f>
        <v>Yes</v>
      </c>
      <c r="AX22" s="1574" t="str">
        <f>'Regular and QuickBrace Systems'!Q36</f>
        <v>Yes</v>
      </c>
      <c r="BD22" s="2648"/>
      <c r="BF22" s="598" t="str">
        <f>Table!AI83</f>
        <v>ESPH</v>
      </c>
      <c r="BG22" s="1003" t="s">
        <v>674</v>
      </c>
      <c r="BH22" s="1004"/>
      <c r="BI22" s="759"/>
      <c r="BJ22" s="897">
        <f t="shared" si="4"/>
        <v>14</v>
      </c>
      <c r="BK22" s="769" t="str">
        <f t="shared" si="5"/>
        <v xml:space="preserve">  </v>
      </c>
      <c r="BL22" s="771" t="str">
        <f t="shared" si="6"/>
        <v>Custom11</v>
      </c>
      <c r="BM22" s="455">
        <f t="shared" si="7"/>
        <v>9.9999999999999996E-76</v>
      </c>
      <c r="BN22" s="455">
        <v>999</v>
      </c>
      <c r="BO22" s="455">
        <f t="shared" si="8"/>
        <v>0</v>
      </c>
      <c r="BP22" s="925">
        <f t="shared" si="9"/>
        <v>0</v>
      </c>
      <c r="BR22" s="764"/>
      <c r="BS22" s="455"/>
      <c r="BT22" s="455" t="str">
        <f t="shared" si="10"/>
        <v>B</v>
      </c>
      <c r="BU22" s="925" t="str">
        <f t="shared" si="11"/>
        <v>T</v>
      </c>
      <c r="BV22" s="483" t="str">
        <f t="shared" si="12"/>
        <v>Custom11</v>
      </c>
      <c r="BW22" s="910">
        <f t="shared" si="18"/>
        <v>14</v>
      </c>
      <c r="BX22" s="925" t="str">
        <f t="shared" si="16"/>
        <v>Single</v>
      </c>
      <c r="CH22" s="764">
        <f t="shared" si="13"/>
        <v>0</v>
      </c>
      <c r="CI22" s="925">
        <f t="shared" si="14"/>
        <v>0</v>
      </c>
      <c r="CJ22" s="759"/>
      <c r="CK22" s="188"/>
      <c r="CL22" s="979">
        <f>VLOOKUP(I22,Prodlink,2,0)</f>
        <v>0</v>
      </c>
      <c r="CN22" s="497">
        <f ca="1">VLOOKUP(CO22,Prodlink,2,0)</f>
        <v>0</v>
      </c>
      <c r="CO22" s="497">
        <f ca="1">OFFSET($CH$9,CL22-1,-15,1,1)</f>
        <v>0</v>
      </c>
      <c r="CQ22" s="51">
        <v>0</v>
      </c>
      <c r="CR22" s="51">
        <f>IF(K22=$BH$12,$BH$23,IF(K22=$BH$13,$BH$24,10000))</f>
        <v>10000</v>
      </c>
      <c r="CS22" s="51">
        <f ca="1">IF(F22&lt;OFFSET($BM$9,CL22-1,0,1,1),0,IF(F22&lt;OFFSET($BN$9,CL22-1,0,1,1),((F22-OFFSET($BM$9,CL22-1,0,1,1))*OFFSET($CH$9,CL22-1,0,1,1))+OFFSET($BO$9,CL22-1,CQ22,1,1),IF(F22&lt;OFFSET($BN$9,CL22+0,0,1,1),((F22-OFFSET($BM$9,CL22+0,0,1,1))*OFFSET($CH$9,CL22+0,0,1,1))+OFFSET($BO$9,CL22+0,CQ22,1,1),IF(F22&lt;OFFSET($BN$9,CL22+1,0,1,1),((F22-OFFSET($BM$9,CL22+1,0,1,1))*OFFSET($CH$9,CL22+1,0,1,1))+OFFSET($BO$9,CL22+1,CQ22,1,1),IF(F22&lt;OFFSET($BN$9,CL22+2,0,1,1),((F22-OFFSET($BM$9,CL22+2,0,1,1))*OFFSET($CH$9,CL22+2,0,1,1))+OFFSET($BO$9,CL22+2,CQ22,1,1),IF(F22&lt;OFFSET($BN$9,CL22+3,0,1,1),((F22-OFFSET($BM$9,CL22+3,0,1,1))*OFFSET($CH$9,CL22+3,0,1,1))+OFFSET($BO$9,CL22+3,CQ22,1,1),0))))))</f>
        <v>0</v>
      </c>
      <c r="CT22" s="51">
        <f ca="1">IF($F22&lt;OFFSET($BM$9,$CL22-1,0,1,1),0,IF($F22&lt;OFFSET($BN$9,$CL22-1,0,1,1),IF(AND($H22&gt;2.4,Z22&lt;&gt;"e",Z22&lt;&gt;"f"),CX22*2.4/$H22,CX22),IF($F22&lt;OFFSET($BN$9,$CL22+0,0,1,1),IF(AND($H22&gt;2.4,Z22&lt;&gt;"e",Z22&lt;&gt;"f"),CX22*2.4/$H22,CX22),IF($F22&lt;OFFSET($BN$9,$CL22+1,0,1,1),IF(AND($H22&gt;2.4,Z22&lt;&gt;"e",Z22&lt;&gt;"f"),CX22*2.4/$H22,CX22),IF($F22&lt;OFFSET($BN$9,CL22+2,0,1,1),IF(AND($H22&gt;2.4,Z22&lt;&gt;"e",Z22&lt;&gt;"f"),CX22*2.4/$H22,CX22),IF($F22&lt;OFFSET($BN$9,CL22+3,0,1,1),IF(AND($H22&gt;2.4,Z22&lt;&gt;"e",Z22&lt;&gt;"f"),CX22*2.4/$H22,CX22),0)))))*COS(RADIANS($G22)))</f>
        <v>0</v>
      </c>
      <c r="CU22" s="51">
        <f ca="1">IF(F22&lt;OFFSET($BM$9,CL22-1,0,1,1),0,IF(F22&lt;OFFSET($BN$9,CL22-1,0,1,1),((F22-OFFSET($BM$9,CL22-1,0,1,1))*OFFSET($CI$9,CL22-1,0,1,1))+OFFSET($BP$9,CL22-1,CQ22,1,1),IF(F22&lt;OFFSET($BN$9,CL22+0,0,1,1),((F22-OFFSET($BM$9,CL22+0,0,1,1))*OFFSET($CI$9,CL22+0,0,1,1))+OFFSET($BP$9,CL22+0,CQ22,1,1),IF(F22&lt;OFFSET($BN$9,CL22+1,0,1,1),((F22-OFFSET($BM$9,CL22+1,0,1,1))*OFFSET($CI$9,CL22+1,0,1,1))+OFFSET($BP$9,CL22+1,CQ22,1,1),IF(F22&lt;OFFSET($BN$9,CL22+2,0,1,1),((F22-OFFSET($BM$9,CL22+2,0,1,1))*OFFSET($CI$9,CL22+2,0,1,1))+OFFSET($BP$9,CL22+2,CQ22,1,1),IF(F22&lt;OFFSET($BN$9,CL22+3,0,1,1),((F22-OFFSET($BM$9,CL22+3,0,1,1))*OFFSET($CI$9,CL22+3,0,1,1))+OFFSET($BP$9,CL22+3,CQ22,1,1),0))))))</f>
        <v>0</v>
      </c>
      <c r="CV22" s="51">
        <f ca="1">IF($F22&lt;OFFSET($BM$9,$CL22-1,0,1,1),0,IF($F22&lt;OFFSET($BN$9,$CL22-1,0,1,1),IF(AND($H22&gt;2.4,Z22&lt;&gt;"e",Z22&lt;&gt;"f"),CZ22*2.4/$H22,CZ22),IF($F22&lt;OFFSET($BN$9,$CL22+0,0,1,1),IF(AND($H22&gt;2.4,Z22&lt;&gt;"e",Z22&lt;&gt;"f"),CZ22*2.4/$H22,CZ22),IF($F22&lt;OFFSET($BN$9,$CL22+1,0,1,1),IF(AND($H22&gt;2.4,Z22&lt;&gt;"e",Z22&lt;&gt;"f"),CZ22*2.4/$H22,CZ22),IF($F22&lt;OFFSET($BN$9,$CL22+2,0,1,1),IF(AND($H22&gt;2.4,Z22&lt;&gt;"e",Z22&lt;&gt;"f"),CZ22*2.4/$H22,CZ22),IF($F22&lt;OFFSET($BN$9,$CL22+3,0,1,1),IF(AND($H22&gt;2.4,Z22&lt;&gt;"e",Z22&lt;&gt;"f"),CZ22*2.4/$H22,CZ22),0)))))*COS(RADIANS($G22)))</f>
        <v>0</v>
      </c>
      <c r="CW22" s="51">
        <f ca="1">IF(CT22&gt;CR22,CR22,CT22)</f>
        <v>0</v>
      </c>
      <c r="CX22" s="51">
        <f ca="1">IF(CS22&gt;$CR22,$CR22,CS22)</f>
        <v>0</v>
      </c>
      <c r="CY22" s="51">
        <f ca="1">CW22*F22</f>
        <v>0</v>
      </c>
      <c r="CZ22" s="51">
        <f ca="1">IF($CU22&gt;$CR22,$CR22,$CU22)</f>
        <v>0</v>
      </c>
      <c r="DA22" s="51">
        <f ca="1">IF(CV22&gt;CR22,CR22,CV22)</f>
        <v>0</v>
      </c>
      <c r="DB22" s="51">
        <f ca="1">DA22*F22</f>
        <v>0</v>
      </c>
      <c r="DC22" s="993">
        <v>4</v>
      </c>
      <c r="DD22" s="758" t="str">
        <f>IF(OR(D22=BG$12,D22=BG$13),"External",IF(D22=BG$14,"Internal"," "))</f>
        <v xml:space="preserve"> </v>
      </c>
      <c r="DE22" s="51" t="str">
        <f t="shared" ca="1" si="2"/>
        <v/>
      </c>
      <c r="DF22" s="52" t="str">
        <f t="shared" ca="1" si="3"/>
        <v xml:space="preserve"> </v>
      </c>
      <c r="DG22" s="51">
        <f ca="1">IF(F22&lt;OFFSET($BM$9,CN22-1,0,1,1),0,IF(F22&lt;OFFSET($BN$9,CN22-1,0,1,1),((F22-OFFSET($BM$9,CN22-1,0,1,1))*OFFSET($CH$9,CN22-1,0,1,1))+OFFSET($BO$9,CN22-1,CQ22,1,1),IF(F22&lt;OFFSET($BN$9,CN22+0,0,1,1),((F22-OFFSET($BM$9,CN22+0,0,1,1))*OFFSET($CH$9,CN22+0,0,1,1))+OFFSET($BO$9,CN22+0,CQ22,1,1),IF(F22&lt;OFFSET($BN$9,CN22+1,0,1,1),((F22-OFFSET($BM$9,CN22+1,0,1,1))*OFFSET($CH$9,CN22+1,0,1,1))+OFFSET($BO$9,CN22+1,CQ22,1,1),IF(F22&lt;OFFSET($BN$9,CN22+2,0,1,1),((F22-OFFSET($BM$9,CN22+2,0,1,1))*OFFSET($CH$9,CN22+2,0,1,1))+OFFSET($BO$9,CN22+2,CQ22,1,1),IF(F22&lt;OFFSET($BN$9,CN22+3,0,1,1),((F22-OFFSET($BM$9,CN22+3,0,1,1))*OFFSET($CH$9,CN22+3,0,1,1))+OFFSET($BO$9,CN22+3,CQ22,1,1),0))))))</f>
        <v>0</v>
      </c>
      <c r="DH22" s="51">
        <f ca="1">IF($F22&lt;OFFSET($BM$9,$CN22-1,0,1,1),0,IF($F22&lt;OFFSET($BN$9,$CN22-1,0,1,1),IF(AND($H22&gt;2.4,Z22&lt;&gt;"e",Z22&lt;&gt;"f"),DL22*2.4/$H22,DL22),IF($F22&lt;OFFSET($BN$9,$CN22+0,0,1,1),IF(AND($H22&gt;2.4,Z22&lt;&gt;"e",Z22&lt;&gt;"f"),DL22*2.4/$H22,DL22),IF($F22&lt;OFFSET($BN$9,$CN22+1,0,1,1),IF(AND($H22&gt;2.4,Z22&lt;&gt;"e",Z22&lt;&gt;"f"),DL22*2.4/$H22,DL22),IF($F22&lt;OFFSET($BN$9,$CN22+2,0,1,1),IF(AND($H22&gt;2.4,Z22&lt;&gt;"e",Z22&lt;&gt;"f"),DL22*2.4/$H22,DL22),IF($F22&lt;OFFSET($BN$9,$CN22+3,0,1,1),IF(AND($H22&gt;2.4,Z22&lt;&gt;"e",Z22&lt;&gt;"f"),DL22*2.4/$H22,DL22),0)))))*COS(RADIANS($G22)))</f>
        <v>0</v>
      </c>
      <c r="DI22" s="51">
        <f ca="1">IF(F22&lt;OFFSET($BM$9,CN22-1,0,1,1),0,IF(F22&lt;OFFSET($BN$9,CN22-1,0,1,1),((F22-OFFSET($BM$9,CN22-1,0,1,1))*OFFSET($CI$9,CN22-1,0,1,1))+OFFSET($BP$9,CN22-1,CQ22,1,1),IF(F22&lt;OFFSET($BN$9,CN22+0,0,1,1),((F22-OFFSET($BM$9,CN22+0,0,1,1))*OFFSET($CI$9,CN22+0,0,1,1))+OFFSET($BP$9,CN22+0,CQ22,1,1),IF(F22&lt;OFFSET($BN$9,CN22+1,0,1,1),((F22-OFFSET($BM$9,CN22+1,0,1,1))*OFFSET($CI$9,CN22+1,0,1,1))+OFFSET($BP$9,CN22+1,CQ22,1,1),IF(F22&lt;OFFSET($BN$9,CN22+2,0,1,1),((F22-OFFSET($BM$9,CN22+2,0,1,1))*OFFSET($CI$9,CN22+2,0,1,1))+OFFSET($BP$9,CN22+2,CQ22,1,1),IF(F22&lt;OFFSET($BN$9,CN22+3,0,1,1),((F22-OFFSET($BM$9,CN22+3,0,1,1))*OFFSET($CI$9,CN22+3,0,1,1))+OFFSET($BP$9,CN22+3,CQ22,1,1),0))))))</f>
        <v>0</v>
      </c>
      <c r="DJ22" s="51">
        <f ca="1">IF($F22&lt;OFFSET($BM$9,$CN22-1,0,1,1),0,IF($F22&lt;OFFSET($BN$9,$CN22-1,0,1,1),IF(AND($H22&gt;2.4,Z22&lt;&gt;"e",Z22&lt;&gt;"f"),DN22*2.4/$H22,DN22),IF($F22&lt;OFFSET($BN$9,$CN22+0,0,1,1),IF(AND($H22&gt;2.4,Z22&lt;&gt;"e",Z22&lt;&gt;"f"),DN22*2.4/$H22,DN22),IF($F22&lt;OFFSET($BN$9,$CN22+1,0,1,1),IF(AND($H22&gt;2.4,Z22&lt;&gt;"e",Z22&lt;&gt;"f"),DN22*2.4/$H22,DN22),IF($F22&lt;OFFSET($BN$9,$CN22+2,0,1,1),IF(AND($H22&gt;2.4,Z22&lt;&gt;"e",Z22&lt;&gt;"f"),DN22*2.4/$H22,DN22),IF($F22&lt;OFFSET($BN$9,$CN22+3,0,1,1),IF(AND($H22&gt;2.4,Z22&lt;&gt;"e",Z22&lt;&gt;"f"),DN22*2.4/$H22,DN22),0)))))*COS(RADIANS($G22)))</f>
        <v>0</v>
      </c>
      <c r="DK22" s="51"/>
      <c r="DL22" s="51">
        <f ca="1">IF(DG22&gt;$CR22,$CR22,DG22)</f>
        <v>0</v>
      </c>
      <c r="DM22" s="51"/>
      <c r="DN22" s="51">
        <f ca="1">IF(DI22&gt;$CR22,$CR22,DI22)</f>
        <v>0</v>
      </c>
      <c r="DO22" s="435">
        <f ca="1">IF(DH22&gt;$CR22,$CR22,DH22)</f>
        <v>0</v>
      </c>
      <c r="DP22" s="435">
        <f ca="1">DO22*F22</f>
        <v>0</v>
      </c>
      <c r="DQ22" s="436">
        <f ca="1">IF(DJ22&gt;$CR22,$CR22,DJ22)</f>
        <v>0</v>
      </c>
      <c r="DR22" s="437">
        <f ca="1">DQ22*F22</f>
        <v>0</v>
      </c>
      <c r="DS22" s="426">
        <f ca="1">OFFSET($CH$9,CL22-1,-15,1,1)</f>
        <v>0</v>
      </c>
      <c r="DT22" s="451">
        <f t="shared" ca="1" si="1"/>
        <v>0</v>
      </c>
      <c r="DU22" s="188">
        <f ca="1">IF(F22&lt;OFFSET($BM$9,DT22-1,0,1,1),0,IF(F22&lt;OFFSET($BN$9,DT22-1,0,1,1),((F22-OFFSET($BM$9,DT22-1,0,1,1))*OFFSET($CH$9,DT22-1,0,1,1))+OFFSET($BO$9,DT22-1,CQ22,1,1),IF(F22&lt;OFFSET($BN$9,DT22+0,0,1,1),((F22-OFFSET($BM$9,DT22+0,0,1,1))*OFFSET($CH$9,DT22+0,0,1,1))+OFFSET($BO$9,DT22+0,CQ22,1,1),IF(F22&lt;OFFSET($BN$9,DT22+1,0,1,1),((F22-OFFSET($BM$9,DT22+1,0,1,1))*OFFSET($CH$9,DT22+1,0,1,1))+OFFSET($BO$9,DT22+1,CQ22,1,1),IF(F22&lt;OFFSET($BN$9,DT22+2,0,1,1),((F22-OFFSET($BM$9,DT22+2,0,1,1))*OFFSET($CH$9,DT22+2,0,1,1))+OFFSET($BO$9,DT22+2,CQ22,1,1),IF(F22&lt;OFFSET($BN$9,DT22+3,0,1,1),((F22-OFFSET($BM$9,DT22+3,0,1,1))*OFFSET($CH$9,DT22+3,0,1,1))+OFFSET($BO$9,DT22+3,CQ22,1,1),0))))))</f>
        <v>0</v>
      </c>
      <c r="DV22" s="51">
        <f ca="1">IF($F22&lt;OFFSET($BM$9,$DT22-1,0,1,1),0,IF($F22&lt;OFFSET($BN$9,$DT22-1,0,1,1),IF(AND($H22&gt;2.4,Z22&lt;&gt;"e",Z22&lt;&gt;"f"),DZ22*2.4/$H22,DZ22),IF($F22&lt;OFFSET($BN$9,$DT22+0,0,1,1),IF(AND($H22&gt;2.4,Z22&lt;&gt;"e",Z22&lt;&gt;"f"),DZ22*2.4/$H22,DZ22),IF($F22&lt;OFFSET($BN$9,$DT22+1,0,1,1),IF(AND($H22&gt;2.4,Z22&lt;&gt;"e",Z22&lt;&gt;"f"),DZ22*2.4/$H22,DZ22),IF($F22&lt;OFFSET($BN$9,$DT22+2,0,1,1),IF(AND($H22&gt;2.4,Z22&lt;&gt;"e",Z22&lt;&gt;"f"),DZ22*2.4/$H22,DZ22),IF($F22&lt;OFFSET($BN$9,$DT22+3,0,1,1),IF(AND($H22&gt;2.4,Z22&lt;&gt;"e",Z22&lt;&gt;"f"),DZ22*2.4/$H22,DZ22),0)))))*COS(RADIANS($G22)))</f>
        <v>0</v>
      </c>
      <c r="DW22" s="188">
        <f ca="1">IF(F22&lt;OFFSET($BM$9,DT22-1,0,1,1),0,IF(F22&lt;OFFSET($BN$9,DT22-1,0,1,1),((F22-OFFSET($BM$9,DT22-1,0,1,1))*OFFSET($CI$9,DT22-1,0,1,1))+OFFSET($BP$9,DT22-1,CQ22,1,1),IF(F22&lt;OFFSET($BN$9,DT22+0,0,1,1),((F22-OFFSET($BM$9,DT22+0,0,1,1))*OFFSET($CI$9,DT22+0,0,1,1))+OFFSET($BP$9,DT22+0,CQ22,1,1),IF(F22&lt;OFFSET($BN$9,DT22+1,0,1,1),((F22-OFFSET($BM$9,DT22+1,0,1,1))*OFFSET($CI$9,DT22+1,0,1,1))+OFFSET($BP$9,DT22+1,CQ22,1,1),IF(F22&lt;OFFSET($BN$9,DT22+2,0,1,1),((F22-OFFSET($BM$9,DT22+2,0,1,1))*OFFSET($CI$9,DT22+2,0,1,1))+OFFSET($BP$9,DT22+2,CQ22,1,1),IF(F22&lt;OFFSET($BN$9,DT22+3,0,1,1),((F22-OFFSET($BM$9,DT22+3,0,1,1))*OFFSET($CI$9,DT22+3,0,1,1))+OFFSET($BP$9,DT22+3,CQ22,1,1),0))))))</f>
        <v>0</v>
      </c>
      <c r="DX22" s="51">
        <f ca="1">IF($F22&lt;OFFSET($BM$9,$DT22-1,0,1,1),0,IF($F22&lt;OFFSET($BN$9,$DT22-1,0,1,1),IF(AND($H22&gt;2.4,Z22&lt;&gt;"e",Z22&lt;&gt;"f"),EB22*2.4/$H22,EB22),IF($F22&lt;OFFSET($BN$9,$DT22+0,0,1,1),IF(AND($H22&gt;2.4,Z22&lt;&gt;"e",Z22&lt;&gt;"f"),EB22*2.4/$H22,EB22),IF($F22&lt;OFFSET($BN$9,$DT22+1,0,1,1),IF(AND($H22&gt;2.4,Z22&lt;&gt;"e",Z22&lt;&gt;"f"),EB22*2.4/$H22,EB22),IF($F22&lt;OFFSET($BN$9,$DT22+2,0,1,1),IF(AND($H22&gt;2.4,Z22&lt;&gt;"e",Z22&lt;&gt;"f"),EB22*2.4/$H22,EB22),IF($F22&lt;OFFSET($BN$9,$DT22+3,0,1,1),IF(AND($H22&gt;2.4,Z22&lt;&gt;"e",Z22&lt;&gt;"f"),EB22*2.4/$H22,EB22),0)))))*COS(RADIANS($G22)))</f>
        <v>0</v>
      </c>
      <c r="DY22" s="188"/>
      <c r="DZ22" s="188">
        <f ca="1">IF(DU22&gt;$CR22,$CR22,DU22)</f>
        <v>0</v>
      </c>
      <c r="EA22" s="188"/>
      <c r="EB22" s="188">
        <f ca="1">IF(DW22&gt;$CR22,$CR22,DW22)</f>
        <v>0</v>
      </c>
      <c r="EC22" s="435">
        <f ca="1">IF(DV22&gt;$CR22,$CR22,DV22)</f>
        <v>0</v>
      </c>
      <c r="ED22" s="435">
        <f ca="1">EC22*F22</f>
        <v>0</v>
      </c>
      <c r="EE22" s="436">
        <f ca="1">IF(DX22&gt;$CR22,$CR22,DX22)</f>
        <v>0</v>
      </c>
      <c r="EF22" s="437">
        <f ca="1">EE22*F22</f>
        <v>0</v>
      </c>
      <c r="EG22" s="613" t="str">
        <f>IF(D22=BG$12,BG$12,"")</f>
        <v/>
      </c>
      <c r="EH22" s="614" t="str">
        <f>IF(D22=BG$13,BG$13,"")</f>
        <v/>
      </c>
      <c r="EI22" s="611">
        <f>IF(EG22=BG$12,M22,0)</f>
        <v>0</v>
      </c>
      <c r="EJ22" s="451">
        <f>IF(EG22=BG$12,O22,0)</f>
        <v>0</v>
      </c>
      <c r="EK22" s="451">
        <f>IF(EH22=BG$13,M22,0)</f>
        <v>0</v>
      </c>
      <c r="EL22" s="612">
        <f>IF(EH22=BG$13,O22,0)</f>
        <v>0</v>
      </c>
      <c r="EM22" s="426" t="str">
        <f ca="1">IF(AND(Z22&lt;&gt;"t",Z22&lt;&gt;"f"),"",IF(AND(EN22=$BH$13,K22=$BH$12),"NotOpt",IF(K22&lt;&gt;EN22,"Error","")))</f>
        <v/>
      </c>
      <c r="EN22" s="491" t="str">
        <f>IF(AND($BH$28=1,$BG$28=1),$BH$13,$BH$12)</f>
        <v>120 BU's</v>
      </c>
      <c r="EO22" s="426" t="str">
        <f>K22</f>
        <v xml:space="preserve"> </v>
      </c>
      <c r="EP22" s="497">
        <v>1</v>
      </c>
      <c r="EQ22" s="430" t="str">
        <f ca="1">IF(EP22=1," ",OFFSET(BF$15,EP22-2,0,1,1))</f>
        <v xml:space="preserve"> </v>
      </c>
      <c r="ER22" s="439" t="str">
        <f ca="1">IF(H22=0," ",H22)</f>
        <v xml:space="preserve"> </v>
      </c>
      <c r="ES22" s="440" t="str">
        <f ca="1">IF(ER22&lt;&gt;" ",IF(ER22&lt;&gt;ER$7,"Changed",""),"")</f>
        <v/>
      </c>
      <c r="ET22" s="440">
        <f t="shared" ca="1" si="15"/>
        <v>0</v>
      </c>
      <c r="EU22" s="957" t="str">
        <f ca="1">IF(I22=" "," ",IF(F22&lt;OFFSET($BM$9,CL22-1,0,1,1),1,""))</f>
        <v xml:space="preserve"> </v>
      </c>
      <c r="EW22" s="427"/>
      <c r="EX22"/>
    </row>
    <row r="23" spans="2:154" ht="17.100000000000001" customHeight="1" thickBot="1">
      <c r="B23" s="689" t="s">
        <v>246</v>
      </c>
      <c r="C23" s="684" t="str">
        <f>IF(OR(F23=0,I23="",I23=" ")," ",$V23)</f>
        <v xml:space="preserve"> </v>
      </c>
      <c r="D23" s="1033"/>
      <c r="E23" s="1360"/>
      <c r="F23" s="202"/>
      <c r="G23" s="1416"/>
      <c r="H23" s="199" t="str">
        <f ca="1">IF(OR(F23=0,Z23="E",Z23="f")," ",'Project Demand'!E$35)</f>
        <v xml:space="preserve"> </v>
      </c>
      <c r="I23" s="631" t="str">
        <f>IF($I$6&lt;&gt;$BG$8," ",AB23)</f>
        <v xml:space="preserve"> </v>
      </c>
      <c r="J23" s="44" t="str">
        <f ca="1">IF(OR(I23=" ",I23="")," ",OFFSET($BO$9,CL23-1,0-4,1,1))</f>
        <v xml:space="preserve"> </v>
      </c>
      <c r="K23" s="55" t="str">
        <f>IF(OR(I23=" ",I23="")," ",IF(OR(Z23="e",Z23="h"),"SD",BG$24))</f>
        <v xml:space="preserve"> </v>
      </c>
      <c r="L23" s="49">
        <f ca="1">CW23</f>
        <v>0</v>
      </c>
      <c r="M23" s="49">
        <f ca="1">CY23</f>
        <v>0</v>
      </c>
      <c r="N23" s="50">
        <f t="shared" ca="1" si="19"/>
        <v>0</v>
      </c>
      <c r="O23" s="126">
        <f t="shared" ca="1" si="19"/>
        <v>0</v>
      </c>
      <c r="P23" s="140"/>
      <c r="Q23" s="752" t="str">
        <f ca="1">IF(AND(OR(Z23="t",Z23="f"),K23=$BH$11),"No Floor!  Change Floor Type",IF(OR(I23=" ",I23="")," ",IF(F23&lt;OFFSET($BM$9,CL23-1,0,1,1),"check L(m)",DE23&amp;IF(AND(DP23&gt;=CY23,DR23&gt;=DB23),IF(AND(ED23&gt;=DP23,EF23&gt;=DR23),CONCATENATE(DS23," will provide same result"),CONCATENATE(CO23," will provide same result")),IF((DP23&gt;=CY23),CONCATENATE(CO23," provides same result in WIND"),IF((DR23&gt;=DB23),CONCATENATE(CO23," provides same result in EQ"),""))))))&amp;IF(ISERROR(FIND("pile",I23,1)),"",IF(INT(F23)&lt;&gt;F23,"Pile!  Use Whole Numbers Only",""))</f>
        <v xml:space="preserve"> </v>
      </c>
      <c r="R23" s="52"/>
      <c r="S23" s="1372"/>
      <c r="T23" s="52"/>
      <c r="U23" s="1377"/>
      <c r="V23" s="52" t="str">
        <f ca="1">IF(AND(B$5=$BF$9,OR(I23=BH$16,I23=BH$17))," ",IF(ISNUMBER(B$20),(CONCATENATE(B$20,".",W23)),(CONCATENATE(B$20,W23))))</f>
        <v>O0</v>
      </c>
      <c r="W23" s="9">
        <f ca="1">W22+X23</f>
        <v>0</v>
      </c>
      <c r="X23" s="9">
        <f>IF(AND(B$5=$BF$9,OR($I23=$BH$16,$I23=$BH$17,$I23=" ",$I23="",$F23=0)),0,IF(OR($I23=" ",$I23="",$F23=0),0,1))</f>
        <v>0</v>
      </c>
      <c r="Y23" s="896"/>
      <c r="Z23" s="52" t="str">
        <f ca="1">IF(I23=" "," ",OFFSET($BM$9,$CL23-1,8,1,1))</f>
        <v xml:space="preserve"> </v>
      </c>
      <c r="AA23" s="51" t="str">
        <f>IF(G23&gt;=45,"WA","")</f>
        <v/>
      </c>
      <c r="AB23" s="1364" t="str">
        <f>IF(F23&lt;&gt;"",IF(OR(D23=$BG$12,D23=$BG$13),IF(E23&lt;&gt;$BG$17,$BF$12,$BF$13),IF(E23&lt;&gt;$BG$17,$BF$12,$BF$13))," ")</f>
        <v xml:space="preserve"> </v>
      </c>
      <c r="AC23" s="1"/>
      <c r="AJ23" s="2230"/>
      <c r="AK23" s="2803" t="str">
        <f>'Regular and QuickBrace Systems'!D37</f>
        <v>Plasterboard on Both Sides</v>
      </c>
      <c r="AL23" s="2804"/>
      <c r="AM23" s="2804"/>
      <c r="AN23" s="2804"/>
      <c r="AO23" s="1304"/>
      <c r="AP23" s="1304"/>
      <c r="AQ23" s="1305"/>
      <c r="AR23" s="1305"/>
      <c r="AS23" s="1337"/>
      <c r="AT23" s="1188"/>
      <c r="AU23" s="1332"/>
      <c r="AW23" s="1585"/>
      <c r="AX23" s="1576"/>
      <c r="BD23" s="2648"/>
      <c r="BF23" s="598" t="str">
        <f>Table!AI84</f>
        <v>EMPH</v>
      </c>
      <c r="BG23" s="1011">
        <f>'Project Demand'!AX72</f>
        <v>1</v>
      </c>
      <c r="BH23" s="655">
        <f>IF(BE$3=1,120,6)</f>
        <v>120</v>
      </c>
      <c r="BI23" s="759"/>
      <c r="BJ23" s="897">
        <f t="shared" si="4"/>
        <v>15</v>
      </c>
      <c r="BK23" s="769" t="str">
        <f t="shared" si="5"/>
        <v xml:space="preserve">  </v>
      </c>
      <c r="BL23" s="771" t="str">
        <f t="shared" si="6"/>
        <v>Custom12</v>
      </c>
      <c r="BM23" s="455">
        <f t="shared" si="7"/>
        <v>9.9999999999999996E-76</v>
      </c>
      <c r="BN23" s="455">
        <v>999</v>
      </c>
      <c r="BO23" s="455">
        <f t="shared" si="8"/>
        <v>0</v>
      </c>
      <c r="BP23" s="925">
        <f t="shared" si="9"/>
        <v>0</v>
      </c>
      <c r="BR23" s="764"/>
      <c r="BS23" s="455"/>
      <c r="BT23" s="455" t="str">
        <f t="shared" si="10"/>
        <v>B</v>
      </c>
      <c r="BU23" s="925" t="str">
        <f t="shared" si="11"/>
        <v>T</v>
      </c>
      <c r="BV23" s="483" t="str">
        <f t="shared" si="12"/>
        <v>Custom12</v>
      </c>
      <c r="BW23" s="910">
        <f t="shared" si="18"/>
        <v>15</v>
      </c>
      <c r="BX23" s="925" t="str">
        <f t="shared" si="16"/>
        <v>Single</v>
      </c>
      <c r="CH23" s="764">
        <f t="shared" si="13"/>
        <v>0</v>
      </c>
      <c r="CI23" s="925">
        <f t="shared" si="14"/>
        <v>0</v>
      </c>
      <c r="CJ23" s="759"/>
      <c r="CK23" s="188"/>
      <c r="CL23" s="979">
        <f>VLOOKUP(I23,Prodlink,2,0)</f>
        <v>0</v>
      </c>
      <c r="CN23" s="497">
        <f ca="1">VLOOKUP(CO23,Prodlink,2,0)</f>
        <v>0</v>
      </c>
      <c r="CO23" s="497">
        <f ca="1">OFFSET($CH$9,CL23-1,-15,1,1)</f>
        <v>0</v>
      </c>
      <c r="CQ23" s="51">
        <v>0</v>
      </c>
      <c r="CR23" s="51">
        <f>IF(K23=$BH$12,$BH$23,IF(K23=$BH$13,$BH$24,10000))</f>
        <v>10000</v>
      </c>
      <c r="CS23" s="51">
        <f ca="1">IF(F23&lt;OFFSET($BM$9,CL23-1,0,1,1),0,IF(F23&lt;OFFSET($BN$9,CL23-1,0,1,1),((F23-OFFSET($BM$9,CL23-1,0,1,1))*OFFSET($CH$9,CL23-1,0,1,1))+OFFSET($BO$9,CL23-1,CQ23,1,1),IF(F23&lt;OFFSET($BN$9,CL23+0,0,1,1),((F23-OFFSET($BM$9,CL23+0,0,1,1))*OFFSET($CH$9,CL23+0,0,1,1))+OFFSET($BO$9,CL23+0,CQ23,1,1),IF(F23&lt;OFFSET($BN$9,CL23+1,0,1,1),((F23-OFFSET($BM$9,CL23+1,0,1,1))*OFFSET($CH$9,CL23+1,0,1,1))+OFFSET($BO$9,CL23+1,CQ23,1,1),IF(F23&lt;OFFSET($BN$9,CL23+2,0,1,1),((F23-OFFSET($BM$9,CL23+2,0,1,1))*OFFSET($CH$9,CL23+2,0,1,1))+OFFSET($BO$9,CL23+2,CQ23,1,1),IF(F23&lt;OFFSET($BN$9,CL23+3,0,1,1),((F23-OFFSET($BM$9,CL23+3,0,1,1))*OFFSET($CH$9,CL23+3,0,1,1))+OFFSET($BO$9,CL23+3,CQ23,1,1),0))))))</f>
        <v>0</v>
      </c>
      <c r="CT23" s="51">
        <f ca="1">IF($F23&lt;OFFSET($BM$9,$CL23-1,0,1,1),0,IF($F23&lt;OFFSET($BN$9,$CL23-1,0,1,1),IF(AND($H23&gt;2.4,Z23&lt;&gt;"e",Z23&lt;&gt;"f"),CX23*2.4/$H23,CX23),IF($F23&lt;OFFSET($BN$9,$CL23+0,0,1,1),IF(AND($H23&gt;2.4,Z23&lt;&gt;"e",Z23&lt;&gt;"f"),CX23*2.4/$H23,CX23),IF($F23&lt;OFFSET($BN$9,$CL23+1,0,1,1),IF(AND($H23&gt;2.4,Z23&lt;&gt;"e",Z23&lt;&gt;"f"),CX23*2.4/$H23,CX23),IF($F23&lt;OFFSET($BN$9,CL23+2,0,1,1),IF(AND($H23&gt;2.4,Z23&lt;&gt;"e",Z23&lt;&gt;"f"),CX23*2.4/$H23,CX23),IF($F23&lt;OFFSET($BN$9,CL23+3,0,1,1),IF(AND($H23&gt;2.4,Z23&lt;&gt;"e",Z23&lt;&gt;"f"),CX23*2.4/$H23,CX23),0)))))*COS(RADIANS($G23)))</f>
        <v>0</v>
      </c>
      <c r="CU23" s="51">
        <f ca="1">IF(F23&lt;OFFSET($BM$9,CL23-1,0,1,1),0,IF(F23&lt;OFFSET($BN$9,CL23-1,0,1,1),((F23-OFFSET($BM$9,CL23-1,0,1,1))*OFFSET($CI$9,CL23-1,0,1,1))+OFFSET($BP$9,CL23-1,CQ23,1,1),IF(F23&lt;OFFSET($BN$9,CL23+0,0,1,1),((F23-OFFSET($BM$9,CL23+0,0,1,1))*OFFSET($CI$9,CL23+0,0,1,1))+OFFSET($BP$9,CL23+0,CQ23,1,1),IF(F23&lt;OFFSET($BN$9,CL23+1,0,1,1),((F23-OFFSET($BM$9,CL23+1,0,1,1))*OFFSET($CI$9,CL23+1,0,1,1))+OFFSET($BP$9,CL23+1,CQ23,1,1),IF(F23&lt;OFFSET($BN$9,CL23+2,0,1,1),((F23-OFFSET($BM$9,CL23+2,0,1,1))*OFFSET($CI$9,CL23+2,0,1,1))+OFFSET($BP$9,CL23+2,CQ23,1,1),IF(F23&lt;OFFSET($BN$9,CL23+3,0,1,1),((F23-OFFSET($BM$9,CL23+3,0,1,1))*OFFSET($CI$9,CL23+3,0,1,1))+OFFSET($BP$9,CL23+3,CQ23,1,1),0))))))</f>
        <v>0</v>
      </c>
      <c r="CV23" s="51">
        <f ca="1">IF($F23&lt;OFFSET($BM$9,$CL23-1,0,1,1),0,IF($F23&lt;OFFSET($BN$9,$CL23-1,0,1,1),IF(AND($H23&gt;2.4,Z23&lt;&gt;"e",Z23&lt;&gt;"f"),CZ23*2.4/$H23,CZ23),IF($F23&lt;OFFSET($BN$9,$CL23+0,0,1,1),IF(AND($H23&gt;2.4,Z23&lt;&gt;"e",Z23&lt;&gt;"f"),CZ23*2.4/$H23,CZ23),IF($F23&lt;OFFSET($BN$9,$CL23+1,0,1,1),IF(AND($H23&gt;2.4,Z23&lt;&gt;"e",Z23&lt;&gt;"f"),CZ23*2.4/$H23,CZ23),IF($F23&lt;OFFSET($BN$9,$CL23+2,0,1,1),IF(AND($H23&gt;2.4,Z23&lt;&gt;"e",Z23&lt;&gt;"f"),CZ23*2.4/$H23,CZ23),IF($F23&lt;OFFSET($BN$9,$CL23+3,0,1,1),IF(AND($H23&gt;2.4,Z23&lt;&gt;"e",Z23&lt;&gt;"f"),CZ23*2.4/$H23,CZ23),0)))))*COS(RADIANS($G23)))</f>
        <v>0</v>
      </c>
      <c r="CW23" s="51">
        <f ca="1">IF(CT23&gt;CR23,CR23,CT23)</f>
        <v>0</v>
      </c>
      <c r="CX23" s="51">
        <f ca="1">IF(CS23&gt;$CR23,$CR23,CS23)</f>
        <v>0</v>
      </c>
      <c r="CY23" s="51">
        <f ca="1">CW23*F23</f>
        <v>0</v>
      </c>
      <c r="CZ23" s="51">
        <f ca="1">IF($CU23&gt;$CR23,$CR23,$CU23)</f>
        <v>0</v>
      </c>
      <c r="DA23" s="51">
        <f ca="1">IF(CV23&gt;CR23,CR23,CV23)</f>
        <v>0</v>
      </c>
      <c r="DB23" s="51">
        <f ca="1">DA23*F23</f>
        <v>0</v>
      </c>
      <c r="DC23" s="993">
        <v>1</v>
      </c>
      <c r="DD23" s="758" t="str">
        <f>IF(OR(D23=BG$12,D23=BG$13),"External",IF(D23=BG$14,"Internal"," "))</f>
        <v xml:space="preserve"> </v>
      </c>
      <c r="DE23" s="51" t="str">
        <f t="shared" ca="1" si="2"/>
        <v/>
      </c>
      <c r="DF23" s="52" t="str">
        <f t="shared" ca="1" si="3"/>
        <v xml:space="preserve"> </v>
      </c>
      <c r="DG23" s="51">
        <f ca="1">IF(F23&lt;OFFSET($BM$9,CN23-1,0,1,1),0,IF(F23&lt;OFFSET($BN$9,CN23-1,0,1,1),((F23-OFFSET($BM$9,CN23-1,0,1,1))*OFFSET($CH$9,CN23-1,0,1,1))+OFFSET($BO$9,CN23-1,CQ23,1,1),IF(F23&lt;OFFSET($BN$9,CN23+0,0,1,1),((F23-OFFSET($BM$9,CN23+0,0,1,1))*OFFSET($CH$9,CN23+0,0,1,1))+OFFSET($BO$9,CN23+0,CQ23,1,1),IF(F23&lt;OFFSET($BN$9,CN23+1,0,1,1),((F23-OFFSET($BM$9,CN23+1,0,1,1))*OFFSET($CH$9,CN23+1,0,1,1))+OFFSET($BO$9,CN23+1,CQ23,1,1),IF(F23&lt;OFFSET($BN$9,CN23+2,0,1,1),((F23-OFFSET($BM$9,CN23+2,0,1,1))*OFFSET($CH$9,CN23+2,0,1,1))+OFFSET($BO$9,CN23+2,CQ23,1,1),IF(F23&lt;OFFSET($BN$9,CN23+3,0,1,1),((F23-OFFSET($BM$9,CN23+3,0,1,1))*OFFSET($CH$9,CN23+3,0,1,1))+OFFSET($BO$9,CN23+3,CQ23,1,1),0))))))</f>
        <v>0</v>
      </c>
      <c r="DH23" s="51">
        <f ca="1">IF($F23&lt;OFFSET($BM$9,$CN23-1,0,1,1),0,IF($F23&lt;OFFSET($BN$9,$CN23-1,0,1,1),IF(AND($H23&gt;2.4,Z23&lt;&gt;"e",Z23&lt;&gt;"f"),DL23*2.4/$H23,DL23),IF($F23&lt;OFFSET($BN$9,$CN23+0,0,1,1),IF(AND($H23&gt;2.4,Z23&lt;&gt;"e",Z23&lt;&gt;"f"),DL23*2.4/$H23,DL23),IF($F23&lt;OFFSET($BN$9,$CN23+1,0,1,1),IF(AND($H23&gt;2.4,Z23&lt;&gt;"e",Z23&lt;&gt;"f"),DL23*2.4/$H23,DL23),IF($F23&lt;OFFSET($BN$9,$CN23+2,0,1,1),IF(AND($H23&gt;2.4,Z23&lt;&gt;"e",Z23&lt;&gt;"f"),DL23*2.4/$H23,DL23),IF($F23&lt;OFFSET($BN$9,$CN23+3,0,1,1),IF(AND($H23&gt;2.4,Z23&lt;&gt;"e",Z23&lt;&gt;"f"),DL23*2.4/$H23,DL23),0)))))*COS(RADIANS($G23)))</f>
        <v>0</v>
      </c>
      <c r="DI23" s="51">
        <f ca="1">IF(F23&lt;OFFSET($BM$9,CN23-1,0,1,1),0,IF(F23&lt;OFFSET($BN$9,CN23-1,0,1,1),((F23-OFFSET($BM$9,CN23-1,0,1,1))*OFFSET($CI$9,CN23-1,0,1,1))+OFFSET($BP$9,CN23-1,CQ23,1,1),IF(F23&lt;OFFSET($BN$9,CN23+0,0,1,1),((F23-OFFSET($BM$9,CN23+0,0,1,1))*OFFSET($CI$9,CN23+0,0,1,1))+OFFSET($BP$9,CN23+0,CQ23,1,1),IF(F23&lt;OFFSET($BN$9,CN23+1,0,1,1),((F23-OFFSET($BM$9,CN23+1,0,1,1))*OFFSET($CI$9,CN23+1,0,1,1))+OFFSET($BP$9,CN23+1,CQ23,1,1),IF(F23&lt;OFFSET($BN$9,CN23+2,0,1,1),((F23-OFFSET($BM$9,CN23+2,0,1,1))*OFFSET($CI$9,CN23+2,0,1,1))+OFFSET($BP$9,CN23+2,CQ23,1,1),IF(F23&lt;OFFSET($BN$9,CN23+3,0,1,1),((F23-OFFSET($BM$9,CN23+3,0,1,1))*OFFSET($CI$9,CN23+3,0,1,1))+OFFSET($BP$9,CN23+3,CQ23,1,1),0))))))</f>
        <v>0</v>
      </c>
      <c r="DJ23" s="51">
        <f ca="1">IF($F23&lt;OFFSET($BM$9,$CN23-1,0,1,1),0,IF($F23&lt;OFFSET($BN$9,$CN23-1,0,1,1),IF(AND($H23&gt;2.4,Z23&lt;&gt;"e",Z23&lt;&gt;"f"),DN23*2.4/$H23,DN23),IF($F23&lt;OFFSET($BN$9,$CN23+0,0,1,1),IF(AND($H23&gt;2.4,Z23&lt;&gt;"e",Z23&lt;&gt;"f"),DN23*2.4/$H23,DN23),IF($F23&lt;OFFSET($BN$9,$CN23+1,0,1,1),IF(AND($H23&gt;2.4,Z23&lt;&gt;"e",Z23&lt;&gt;"f"),DN23*2.4/$H23,DN23),IF($F23&lt;OFFSET($BN$9,$CN23+2,0,1,1),IF(AND($H23&gt;2.4,Z23&lt;&gt;"e",Z23&lt;&gt;"f"),DN23*2.4/$H23,DN23),IF($F23&lt;OFFSET($BN$9,$CN23+3,0,1,1),IF(AND($H23&gt;2.4,Z23&lt;&gt;"e",Z23&lt;&gt;"f"),DN23*2.4/$H23,DN23),0)))))*COS(RADIANS($G23)))</f>
        <v>0</v>
      </c>
      <c r="DK23" s="51"/>
      <c r="DL23" s="51">
        <f ca="1">IF(DG23&gt;$CR23,$CR23,DG23)</f>
        <v>0</v>
      </c>
      <c r="DM23" s="51"/>
      <c r="DN23" s="51">
        <f ca="1">IF(DI23&gt;$CR23,$CR23,DI23)</f>
        <v>0</v>
      </c>
      <c r="DO23" s="435">
        <f ca="1">IF(DH23&gt;$CR23,$CR23,DH23)</f>
        <v>0</v>
      </c>
      <c r="DP23" s="435">
        <f ca="1">DO23*F23</f>
        <v>0</v>
      </c>
      <c r="DQ23" s="436">
        <f ca="1">IF(DJ23&gt;$CR23,$CR23,DJ23)</f>
        <v>0</v>
      </c>
      <c r="DR23" s="437">
        <f ca="1">DQ23*F23</f>
        <v>0</v>
      </c>
      <c r="DS23" s="426">
        <f ca="1">OFFSET($CH$9,CL23-1,-15,1,1)</f>
        <v>0</v>
      </c>
      <c r="DT23" s="451">
        <f t="shared" ca="1" si="1"/>
        <v>0</v>
      </c>
      <c r="DU23" s="188">
        <f ca="1">IF(F23&lt;OFFSET($BM$9,DT23-1,0,1,1),0,IF(F23&lt;OFFSET($BN$9,DT23-1,0,1,1),((F23-OFFSET($BM$9,DT23-1,0,1,1))*OFFSET($CH$9,DT23-1,0,1,1))+OFFSET($BO$9,DT23-1,CQ23,1,1),IF(F23&lt;OFFSET($BN$9,DT23+0,0,1,1),((F23-OFFSET($BM$9,DT23+0,0,1,1))*OFFSET($CH$9,DT23+0,0,1,1))+OFFSET($BO$9,DT23+0,CQ23,1,1),IF(F23&lt;OFFSET($BN$9,DT23+1,0,1,1),((F23-OFFSET($BM$9,DT23+1,0,1,1))*OFFSET($CH$9,DT23+1,0,1,1))+OFFSET($BO$9,DT23+1,CQ23,1,1),IF(F23&lt;OFFSET($BN$9,DT23+2,0,1,1),((F23-OFFSET($BM$9,DT23+2,0,1,1))*OFFSET($CH$9,DT23+2,0,1,1))+OFFSET($BO$9,DT23+2,CQ23,1,1),IF(F23&lt;OFFSET($BN$9,DT23+3,0,1,1),((F23-OFFSET($BM$9,DT23+3,0,1,1))*OFFSET($CH$9,DT23+3,0,1,1))+OFFSET($BO$9,DT23+3,CQ23,1,1),0))))))</f>
        <v>0</v>
      </c>
      <c r="DV23" s="51">
        <f ca="1">IF($F23&lt;OFFSET($BM$9,$DT23-1,0,1,1),0,IF($F23&lt;OFFSET($BN$9,$DT23-1,0,1,1),IF(AND($H23&gt;2.4,Z23&lt;&gt;"e",Z23&lt;&gt;"f"),DZ23*2.4/$H23,DZ23),IF($F23&lt;OFFSET($BN$9,$DT23+0,0,1,1),IF(AND($H23&gt;2.4,Z23&lt;&gt;"e",Z23&lt;&gt;"f"),DZ23*2.4/$H23,DZ23),IF($F23&lt;OFFSET($BN$9,$DT23+1,0,1,1),IF(AND($H23&gt;2.4,Z23&lt;&gt;"e",Z23&lt;&gt;"f"),DZ23*2.4/$H23,DZ23),IF($F23&lt;OFFSET($BN$9,$DT23+2,0,1,1),IF(AND($H23&gt;2.4,Z23&lt;&gt;"e",Z23&lt;&gt;"f"),DZ23*2.4/$H23,DZ23),IF($F23&lt;OFFSET($BN$9,$DT23+3,0,1,1),IF(AND($H23&gt;2.4,Z23&lt;&gt;"e",Z23&lt;&gt;"f"),DZ23*2.4/$H23,DZ23),0)))))*COS(RADIANS($G23)))</f>
        <v>0</v>
      </c>
      <c r="DW23" s="188">
        <f ca="1">IF(F23&lt;OFFSET($BM$9,DT23-1,0,1,1),0,IF(F23&lt;OFFSET($BN$9,DT23-1,0,1,1),((F23-OFFSET($BM$9,DT23-1,0,1,1))*OFFSET($CI$9,DT23-1,0,1,1))+OFFSET($BP$9,DT23-1,CQ23,1,1),IF(F23&lt;OFFSET($BN$9,DT23+0,0,1,1),((F23-OFFSET($BM$9,DT23+0,0,1,1))*OFFSET($CI$9,DT23+0,0,1,1))+OFFSET($BP$9,DT23+0,CQ23,1,1),IF(F23&lt;OFFSET($BN$9,DT23+1,0,1,1),((F23-OFFSET($BM$9,DT23+1,0,1,1))*OFFSET($CI$9,DT23+1,0,1,1))+OFFSET($BP$9,DT23+1,CQ23,1,1),IF(F23&lt;OFFSET($BN$9,DT23+2,0,1,1),((F23-OFFSET($BM$9,DT23+2,0,1,1))*OFFSET($CI$9,DT23+2,0,1,1))+OFFSET($BP$9,DT23+2,CQ23,1,1),IF(F23&lt;OFFSET($BN$9,DT23+3,0,1,1),((F23-OFFSET($BM$9,DT23+3,0,1,1))*OFFSET($CI$9,DT23+3,0,1,1))+OFFSET($BP$9,DT23+3,CQ23,1,1),0))))))</f>
        <v>0</v>
      </c>
      <c r="DX23" s="51">
        <f ca="1">IF($F23&lt;OFFSET($BM$9,$DT23-1,0,1,1),0,IF($F23&lt;OFFSET($BN$9,$DT23-1,0,1,1),IF(AND($H23&gt;2.4,Z23&lt;&gt;"e",Z23&lt;&gt;"f"),EB23*2.4/$H23,EB23),IF($F23&lt;OFFSET($BN$9,$DT23+0,0,1,1),IF(AND($H23&gt;2.4,Z23&lt;&gt;"e",Z23&lt;&gt;"f"),EB23*2.4/$H23,EB23),IF($F23&lt;OFFSET($BN$9,$DT23+1,0,1,1),IF(AND($H23&gt;2.4,Z23&lt;&gt;"e",Z23&lt;&gt;"f"),EB23*2.4/$H23,EB23),IF($F23&lt;OFFSET($BN$9,$DT23+2,0,1,1),IF(AND($H23&gt;2.4,Z23&lt;&gt;"e",Z23&lt;&gt;"f"),EB23*2.4/$H23,EB23),IF($F23&lt;OFFSET($BN$9,$DT23+3,0,1,1),IF(AND($H23&gt;2.4,Z23&lt;&gt;"e",Z23&lt;&gt;"f"),EB23*2.4/$H23,EB23),0)))))*COS(RADIANS($G23)))</f>
        <v>0</v>
      </c>
      <c r="DY23" s="188"/>
      <c r="DZ23" s="188">
        <f ca="1">IF(DU23&gt;$CR23,$CR23,DU23)</f>
        <v>0</v>
      </c>
      <c r="EA23" s="188"/>
      <c r="EB23" s="188">
        <f ca="1">IF(DW23&gt;$CR23,$CR23,DW23)</f>
        <v>0</v>
      </c>
      <c r="EC23" s="435">
        <f ca="1">IF(DV23&gt;$CR23,$CR23,DV23)</f>
        <v>0</v>
      </c>
      <c r="ED23" s="435">
        <f ca="1">EC23*F23</f>
        <v>0</v>
      </c>
      <c r="EE23" s="436">
        <f ca="1">IF(DX23&gt;$CR23,$CR23,DX23)</f>
        <v>0</v>
      </c>
      <c r="EF23" s="437">
        <f ca="1">EE23*F23</f>
        <v>0</v>
      </c>
      <c r="EG23" s="613" t="str">
        <f>IF(D23=BG$12,BG$12,"")</f>
        <v/>
      </c>
      <c r="EH23" s="614" t="str">
        <f>IF(D23=BG$13,BG$13,"")</f>
        <v/>
      </c>
      <c r="EI23" s="611">
        <f>IF(EG23=BG$12,M23,0)</f>
        <v>0</v>
      </c>
      <c r="EJ23" s="451">
        <f>IF(EG23=BG$12,O23,0)</f>
        <v>0</v>
      </c>
      <c r="EK23" s="451">
        <f>IF(EH23=BG$13,M23,0)</f>
        <v>0</v>
      </c>
      <c r="EL23" s="612">
        <f>IF(EH23=BG$13,O23,0)</f>
        <v>0</v>
      </c>
      <c r="EM23" s="426" t="str">
        <f ca="1">IF(AND(Z23&lt;&gt;"t",Z23&lt;&gt;"f"),"",IF(AND(EN23=$BH$13,K23=$BH$12),"NotOpt",IF(K23&lt;&gt;EN23,"Error","")))</f>
        <v/>
      </c>
      <c r="EN23" s="491" t="str">
        <f>IF(AND($BH$28=1,$BG$28=1),$BH$13,$BH$12)</f>
        <v>120 BU's</v>
      </c>
      <c r="EO23" s="426" t="str">
        <f>K23</f>
        <v xml:space="preserve"> </v>
      </c>
      <c r="EP23" s="497">
        <v>1</v>
      </c>
      <c r="EQ23" s="430" t="str">
        <f ca="1">IF(EP23=1," ",OFFSET(BF$15,EP23-2,0,1,1))</f>
        <v xml:space="preserve"> </v>
      </c>
      <c r="ER23" s="439" t="str">
        <f ca="1">IF(H23=0," ",H23)</f>
        <v xml:space="preserve"> </v>
      </c>
      <c r="ES23" s="440" t="str">
        <f ca="1">IF(ER23&lt;&gt;" ",IF(ER23&lt;&gt;ER$7,"Changed",""),"")</f>
        <v/>
      </c>
      <c r="ET23" s="440">
        <f t="shared" ca="1" si="15"/>
        <v>0</v>
      </c>
      <c r="EU23" s="957" t="str">
        <f ca="1">IF(I23=" "," ",IF(F23&lt;OFFSET($BM$9,CL23-1,0,1,1),1,""))</f>
        <v xml:space="preserve"> </v>
      </c>
      <c r="EW23" s="427"/>
      <c r="EX23"/>
    </row>
    <row r="24" spans="2:154" ht="17.100000000000001" customHeight="1" thickBot="1">
      <c r="B24" s="689" t="s">
        <v>246</v>
      </c>
      <c r="C24" s="684" t="str">
        <f>IF(OR(F24=0,I24="",I24=" ")," ",$V24)</f>
        <v xml:space="preserve"> </v>
      </c>
      <c r="D24" s="1419"/>
      <c r="E24" s="1034"/>
      <c r="F24" s="202"/>
      <c r="G24" s="1416"/>
      <c r="H24" s="199" t="str">
        <f ca="1">IF(OR(F24=0,Z24="E",Z24="f")," ",'Project Demand'!E$35)</f>
        <v xml:space="preserve"> </v>
      </c>
      <c r="I24" s="631" t="str">
        <f>IF($I$6&lt;&gt;$BG$8," ",AB24)</f>
        <v xml:space="preserve"> </v>
      </c>
      <c r="J24" s="44" t="str">
        <f ca="1">IF(OR(I24=" ",I24="")," ",OFFSET($BO$9,CL24-1,0-4,1,1))</f>
        <v xml:space="preserve"> </v>
      </c>
      <c r="K24" s="55" t="str">
        <f>IF(OR(I24=" ",I24="")," ",IF(OR(Z24="e",Z24="h"),"SD",BG$24))</f>
        <v xml:space="preserve"> </v>
      </c>
      <c r="L24" s="49">
        <f ca="1">CW24</f>
        <v>0</v>
      </c>
      <c r="M24" s="49">
        <f ca="1">CY24</f>
        <v>0</v>
      </c>
      <c r="N24" s="50">
        <f t="shared" ca="1" si="19"/>
        <v>0</v>
      </c>
      <c r="O24" s="126">
        <f t="shared" ca="1" si="19"/>
        <v>0</v>
      </c>
      <c r="P24" s="140"/>
      <c r="Q24" s="752" t="str">
        <f ca="1">IF(AND(OR(Z24="t",Z24="f"),K24=$BH$11),"No Floor!  Change Floor Type",IF(OR(I24=" ",I24="")," ",IF(F24&lt;OFFSET($BM$9,CL24-1,0,1,1),"check L(m)",DE24&amp;IF(AND(DP24&gt;=CY24,DR24&gt;=DB24),IF(AND(ED24&gt;=DP24,EF24&gt;=DR24),CONCATENATE(DS24," will provide same result"),CONCATENATE(CO24," will provide same result")),IF((DP24&gt;=CY24),CONCATENATE(CO24," provides same result in WIND"),IF((DR24&gt;=DB24),CONCATENATE(CO24," provides same result in EQ"),""))))))&amp;IF(ISERROR(FIND("pile",I24,1)),"",IF(INT(F24)&lt;&gt;F24,"Pile!  Use Whole Numbers Only",""))</f>
        <v xml:space="preserve"> </v>
      </c>
      <c r="T24" s="52"/>
      <c r="U24" s="1377"/>
      <c r="V24" s="52" t="str">
        <f ca="1">IF(AND(B$5=$BF$9,OR(I24=BH$16,I24=BH$17))," ",IF(ISNUMBER(B$20),(CONCATENATE(B$20,".",W24)),(CONCATENATE(B$20,W24))))</f>
        <v>O0</v>
      </c>
      <c r="W24" s="9">
        <f ca="1">W23+X24</f>
        <v>0</v>
      </c>
      <c r="X24" s="9">
        <f>IF(AND(B$5=$BF$9,OR($I24=$BH$16,$I24=$BH$17,$I24=" ",$I24="",$F24=0)),0,IF(OR($I24=" ",$I24="",$F24=0),0,1))</f>
        <v>0</v>
      </c>
      <c r="Y24" s="896"/>
      <c r="Z24" s="52" t="str">
        <f ca="1">IF(I24=" "," ",OFFSET($BM$9,$CL24-1,8,1,1))</f>
        <v xml:space="preserve"> </v>
      </c>
      <c r="AA24" s="51" t="str">
        <f>IF(G24&gt;=45,"WA","")</f>
        <v/>
      </c>
      <c r="AB24" s="1364" t="str">
        <f>IF(F24&lt;&gt;"",IF(OR(D24=$BG$12,D24=$BG$13),IF(E24&lt;&gt;$BG$17,$BF$12,$BF$13),IF(E24&lt;&gt;$BG$17,$BF$12,$BF$13))," ")</f>
        <v xml:space="preserve"> </v>
      </c>
      <c r="AC24" s="1"/>
      <c r="AJ24" s="2230"/>
      <c r="AK24" s="2779" t="str">
        <f>'Regular and QuickBrace Systems'!D38</f>
        <v>Internal</v>
      </c>
      <c r="AL24" s="2781" t="str">
        <f>'Regular and QuickBrace Systems'!E38</f>
        <v>ER2</v>
      </c>
      <c r="AM24" s="1176">
        <f>'Regular and QuickBrace Systems'!F38</f>
        <v>0.4</v>
      </c>
      <c r="AN24" s="1272">
        <f>'Regular and QuickBrace Systems'!G38</f>
        <v>56</v>
      </c>
      <c r="AO24" s="1273">
        <f>'Regular and QuickBrace Systems'!H38</f>
        <v>51</v>
      </c>
      <c r="AP24" s="1594"/>
      <c r="AQ24" s="2808" t="str">
        <f>'Regular and QuickBrace Systems'!I38</f>
        <v>Regular Fixing</v>
      </c>
      <c r="AR24" s="2809"/>
      <c r="AS24" s="2030" t="str">
        <f>'Regular and QuickBrace Systems'!K38</f>
        <v>No</v>
      </c>
      <c r="AT24" s="1339"/>
      <c r="AU24" s="2131" t="str">
        <f>'Regular and QuickBrace Systems'!M14</f>
        <v>Any Elephant Plasterboard on Both sides</v>
      </c>
      <c r="AW24" s="1567" t="str">
        <f>'Regular and QuickBrace Systems'!O14</f>
        <v>Yes</v>
      </c>
      <c r="AX24" s="1573" t="str">
        <f>'Regular and QuickBrace Systems'!Q14</f>
        <v>No</v>
      </c>
      <c r="BD24" s="2648"/>
      <c r="BF24" s="482" t="s">
        <v>8</v>
      </c>
      <c r="BG24" s="655" t="str">
        <f>IF(BG$23=1,BH12,IF(BG$23=2,BH13,IF(BG$23=3,BH14," ")))</f>
        <v>120 BU's</v>
      </c>
      <c r="BH24" s="710">
        <f>IF($BE$3=1,150,7.5)</f>
        <v>150</v>
      </c>
      <c r="BI24" s="759"/>
      <c r="BJ24" s="897">
        <f t="shared" si="4"/>
        <v>16</v>
      </c>
      <c r="BK24" s="769" t="str">
        <f t="shared" si="5"/>
        <v xml:space="preserve">  </v>
      </c>
      <c r="BL24" s="771" t="str">
        <f t="shared" si="6"/>
        <v>Custom13</v>
      </c>
      <c r="BM24" s="455">
        <f t="shared" si="7"/>
        <v>9.9999999999999996E-76</v>
      </c>
      <c r="BN24" s="455">
        <v>999</v>
      </c>
      <c r="BO24" s="455">
        <f t="shared" si="8"/>
        <v>0</v>
      </c>
      <c r="BP24" s="925">
        <f t="shared" si="9"/>
        <v>0</v>
      </c>
      <c r="BR24" s="764"/>
      <c r="BS24" s="455"/>
      <c r="BT24" s="455" t="str">
        <f t="shared" si="10"/>
        <v>B</v>
      </c>
      <c r="BU24" s="925" t="str">
        <f t="shared" si="11"/>
        <v>T</v>
      </c>
      <c r="BV24" s="483" t="str">
        <f t="shared" si="12"/>
        <v>Custom13</v>
      </c>
      <c r="BW24" s="910">
        <f t="shared" si="18"/>
        <v>16</v>
      </c>
      <c r="BX24" s="925" t="str">
        <f t="shared" si="16"/>
        <v>Single</v>
      </c>
      <c r="CH24" s="764">
        <f t="shared" si="13"/>
        <v>0</v>
      </c>
      <c r="CI24" s="925">
        <f t="shared" si="14"/>
        <v>0</v>
      </c>
      <c r="CJ24" s="759"/>
      <c r="CK24" s="188"/>
      <c r="CL24" s="979">
        <f>VLOOKUP(I24,Prodlink,2,0)</f>
        <v>0</v>
      </c>
      <c r="CN24" s="497">
        <f ca="1">VLOOKUP(CO24,Prodlink,2,0)</f>
        <v>0</v>
      </c>
      <c r="CO24" s="497">
        <f ca="1">OFFSET($CH$9,CL24-1,-15,1,1)</f>
        <v>0</v>
      </c>
      <c r="CQ24" s="51">
        <v>0</v>
      </c>
      <c r="CR24" s="51">
        <f>IF(K24=$BH$12,$BH$23,IF(K24=$BH$13,$BH$24,10000))</f>
        <v>10000</v>
      </c>
      <c r="CS24" s="51">
        <f ca="1">IF(F24&lt;OFFSET($BM$9,CL24-1,0,1,1),0,IF(F24&lt;OFFSET($BN$9,CL24-1,0,1,1),((F24-OFFSET($BM$9,CL24-1,0,1,1))*OFFSET($CH$9,CL24-1,0,1,1))+OFFSET($BO$9,CL24-1,CQ24,1,1),IF(F24&lt;OFFSET($BN$9,CL24+0,0,1,1),((F24-OFFSET($BM$9,CL24+0,0,1,1))*OFFSET($CH$9,CL24+0,0,1,1))+OFFSET($BO$9,CL24+0,CQ24,1,1),IF(F24&lt;OFFSET($BN$9,CL24+1,0,1,1),((F24-OFFSET($BM$9,CL24+1,0,1,1))*OFFSET($CH$9,CL24+1,0,1,1))+OFFSET($BO$9,CL24+1,CQ24,1,1),IF(F24&lt;OFFSET($BN$9,CL24+2,0,1,1),((F24-OFFSET($BM$9,CL24+2,0,1,1))*OFFSET($CH$9,CL24+2,0,1,1))+OFFSET($BO$9,CL24+2,CQ24,1,1),IF(F24&lt;OFFSET($BN$9,CL24+3,0,1,1),((F24-OFFSET($BM$9,CL24+3,0,1,1))*OFFSET($CH$9,CL24+3,0,1,1))+OFFSET($BO$9,CL24+3,CQ24,1,1),0))))))</f>
        <v>0</v>
      </c>
      <c r="CT24" s="51">
        <f ca="1">IF($F24&lt;OFFSET($BM$9,$CL24-1,0,1,1),0,IF($F24&lt;OFFSET($BN$9,$CL24-1,0,1,1),IF(AND($H24&gt;2.4,Z24&lt;&gt;"e",Z24&lt;&gt;"f"),CX24*2.4/$H24,CX24),IF($F24&lt;OFFSET($BN$9,$CL24+0,0,1,1),IF(AND($H24&gt;2.4,Z24&lt;&gt;"e",Z24&lt;&gt;"f"),CX24*2.4/$H24,CX24),IF($F24&lt;OFFSET($BN$9,$CL24+1,0,1,1),IF(AND($H24&gt;2.4,Z24&lt;&gt;"e",Z24&lt;&gt;"f"),CX24*2.4/$H24,CX24),IF($F24&lt;OFFSET($BN$9,CL24+2,0,1,1),IF(AND($H24&gt;2.4,Z24&lt;&gt;"e",Z24&lt;&gt;"f"),CX24*2.4/$H24,CX24),IF($F24&lt;OFFSET($BN$9,CL24+3,0,1,1),IF(AND($H24&gt;2.4,Z24&lt;&gt;"e",Z24&lt;&gt;"f"),CX24*2.4/$H24,CX24),0)))))*COS(RADIANS($G24)))</f>
        <v>0</v>
      </c>
      <c r="CU24" s="51">
        <f ca="1">IF(F24&lt;OFFSET($BM$9,CL24-1,0,1,1),0,IF(F24&lt;OFFSET($BN$9,CL24-1,0,1,1),((F24-OFFSET($BM$9,CL24-1,0,1,1))*OFFSET($CI$9,CL24-1,0,1,1))+OFFSET($BP$9,CL24-1,CQ24,1,1),IF(F24&lt;OFFSET($BN$9,CL24+0,0,1,1),((F24-OFFSET($BM$9,CL24+0,0,1,1))*OFFSET($CI$9,CL24+0,0,1,1))+OFFSET($BP$9,CL24+0,CQ24,1,1),IF(F24&lt;OFFSET($BN$9,CL24+1,0,1,1),((F24-OFFSET($BM$9,CL24+1,0,1,1))*OFFSET($CI$9,CL24+1,0,1,1))+OFFSET($BP$9,CL24+1,CQ24,1,1),IF(F24&lt;OFFSET($BN$9,CL24+2,0,1,1),((F24-OFFSET($BM$9,CL24+2,0,1,1))*OFFSET($CI$9,CL24+2,0,1,1))+OFFSET($BP$9,CL24+2,CQ24,1,1),IF(F24&lt;OFFSET($BN$9,CL24+3,0,1,1),((F24-OFFSET($BM$9,CL24+3,0,1,1))*OFFSET($CI$9,CL24+3,0,1,1))+OFFSET($BP$9,CL24+3,CQ24,1,1),0))))))</f>
        <v>0</v>
      </c>
      <c r="CV24" s="51">
        <f ca="1">IF($F24&lt;OFFSET($BM$9,$CL24-1,0,1,1),0,IF($F24&lt;OFFSET($BN$9,$CL24-1,0,1,1),IF(AND($H24&gt;2.4,Z24&lt;&gt;"e",Z24&lt;&gt;"f"),CZ24*2.4/$H24,CZ24),IF($F24&lt;OFFSET($BN$9,$CL24+0,0,1,1),IF(AND($H24&gt;2.4,Z24&lt;&gt;"e",Z24&lt;&gt;"f"),CZ24*2.4/$H24,CZ24),IF($F24&lt;OFFSET($BN$9,$CL24+1,0,1,1),IF(AND($H24&gt;2.4,Z24&lt;&gt;"e",Z24&lt;&gt;"f"),CZ24*2.4/$H24,CZ24),IF($F24&lt;OFFSET($BN$9,$CL24+2,0,1,1),IF(AND($H24&gt;2.4,Z24&lt;&gt;"e",Z24&lt;&gt;"f"),CZ24*2.4/$H24,CZ24),IF($F24&lt;OFFSET($BN$9,$CL24+3,0,1,1),IF(AND($H24&gt;2.4,Z24&lt;&gt;"e",Z24&lt;&gt;"f"),CZ24*2.4/$H24,CZ24),0)))))*COS(RADIANS($G24)))</f>
        <v>0</v>
      </c>
      <c r="CW24" s="51">
        <f ca="1">IF(CT24&gt;CR24,CR24,CT24)</f>
        <v>0</v>
      </c>
      <c r="CX24" s="51">
        <f ca="1">IF(CS24&gt;$CR24,$CR24,CS24)</f>
        <v>0</v>
      </c>
      <c r="CY24" s="51">
        <f ca="1">CW24*F24</f>
        <v>0</v>
      </c>
      <c r="CZ24" s="51">
        <f ca="1">IF($CU24&gt;$CR24,$CR24,$CU24)</f>
        <v>0</v>
      </c>
      <c r="DA24" s="51">
        <f ca="1">IF(CV24&gt;CR24,CR24,CV24)</f>
        <v>0</v>
      </c>
      <c r="DB24" s="51">
        <f ca="1">DA24*F24</f>
        <v>0</v>
      </c>
      <c r="DC24" s="993">
        <v>1</v>
      </c>
      <c r="DD24" s="758" t="str">
        <f>IF(OR(D24=BG$12,D24=BG$13),"External",IF(D24=BG$14,"Internal"," "))</f>
        <v xml:space="preserve"> </v>
      </c>
      <c r="DE24" s="51" t="str">
        <f t="shared" ca="1" si="2"/>
        <v/>
      </c>
      <c r="DF24" s="52" t="str">
        <f t="shared" ca="1" si="3"/>
        <v xml:space="preserve"> </v>
      </c>
      <c r="DG24" s="51">
        <f ca="1">IF(F24&lt;OFFSET($BM$9,CN24-1,0,1,1),0,IF(F24&lt;OFFSET($BN$9,CN24-1,0,1,1),((F24-OFFSET($BM$9,CN24-1,0,1,1))*OFFSET($CH$9,CN24-1,0,1,1))+OFFSET($BO$9,CN24-1,CQ24,1,1),IF(F24&lt;OFFSET($BN$9,CN24+0,0,1,1),((F24-OFFSET($BM$9,CN24+0,0,1,1))*OFFSET($CH$9,CN24+0,0,1,1))+OFFSET($BO$9,CN24+0,CQ24,1,1),IF(F24&lt;OFFSET($BN$9,CN24+1,0,1,1),((F24-OFFSET($BM$9,CN24+1,0,1,1))*OFFSET($CH$9,CN24+1,0,1,1))+OFFSET($BO$9,CN24+1,CQ24,1,1),IF(F24&lt;OFFSET($BN$9,CN24+2,0,1,1),((F24-OFFSET($BM$9,CN24+2,0,1,1))*OFFSET($CH$9,CN24+2,0,1,1))+OFFSET($BO$9,CN24+2,CQ24,1,1),IF(F24&lt;OFFSET($BN$9,CN24+3,0,1,1),((F24-OFFSET($BM$9,CN24+3,0,1,1))*OFFSET($CH$9,CN24+3,0,1,1))+OFFSET($BO$9,CN24+3,CQ24,1,1),0))))))</f>
        <v>0</v>
      </c>
      <c r="DH24" s="51">
        <f ca="1">IF($F24&lt;OFFSET($BM$9,$CN24-1,0,1,1),0,IF($F24&lt;OFFSET($BN$9,$CN24-1,0,1,1),IF(AND($H24&gt;2.4,Z24&lt;&gt;"e",Z24&lt;&gt;"f"),DL24*2.4/$H24,DL24),IF($F24&lt;OFFSET($BN$9,$CN24+0,0,1,1),IF(AND($H24&gt;2.4,Z24&lt;&gt;"e",Z24&lt;&gt;"f"),DL24*2.4/$H24,DL24),IF($F24&lt;OFFSET($BN$9,$CN24+1,0,1,1),IF(AND($H24&gt;2.4,Z24&lt;&gt;"e",Z24&lt;&gt;"f"),DL24*2.4/$H24,DL24),IF($F24&lt;OFFSET($BN$9,$CN24+2,0,1,1),IF(AND($H24&gt;2.4,Z24&lt;&gt;"e",Z24&lt;&gt;"f"),DL24*2.4/$H24,DL24),IF($F24&lt;OFFSET($BN$9,$CN24+3,0,1,1),IF(AND($H24&gt;2.4,Z24&lt;&gt;"e",Z24&lt;&gt;"f"),DL24*2.4/$H24,DL24),0)))))*COS(RADIANS($G24)))</f>
        <v>0</v>
      </c>
      <c r="DI24" s="51">
        <f ca="1">IF(F24&lt;OFFSET($BM$9,CN24-1,0,1,1),0,IF(F24&lt;OFFSET($BN$9,CN24-1,0,1,1),((F24-OFFSET($BM$9,CN24-1,0,1,1))*OFFSET($CI$9,CN24-1,0,1,1))+OFFSET($BP$9,CN24-1,CQ24,1,1),IF(F24&lt;OFFSET($BN$9,CN24+0,0,1,1),((F24-OFFSET($BM$9,CN24+0,0,1,1))*OFFSET($CI$9,CN24+0,0,1,1))+OFFSET($BP$9,CN24+0,CQ24,1,1),IF(F24&lt;OFFSET($BN$9,CN24+1,0,1,1),((F24-OFFSET($BM$9,CN24+1,0,1,1))*OFFSET($CI$9,CN24+1,0,1,1))+OFFSET($BP$9,CN24+1,CQ24,1,1),IF(F24&lt;OFFSET($BN$9,CN24+2,0,1,1),((F24-OFFSET($BM$9,CN24+2,0,1,1))*OFFSET($CI$9,CN24+2,0,1,1))+OFFSET($BP$9,CN24+2,CQ24,1,1),IF(F24&lt;OFFSET($BN$9,CN24+3,0,1,1),((F24-OFFSET($BM$9,CN24+3,0,1,1))*OFFSET($CI$9,CN24+3,0,1,1))+OFFSET($BP$9,CN24+3,CQ24,1,1),0))))))</f>
        <v>0</v>
      </c>
      <c r="DJ24" s="51">
        <f ca="1">IF($F24&lt;OFFSET($BM$9,$CN24-1,0,1,1),0,IF($F24&lt;OFFSET($BN$9,$CN24-1,0,1,1),IF(AND($H24&gt;2.4,Z24&lt;&gt;"e",Z24&lt;&gt;"f"),DN24*2.4/$H24,DN24),IF($F24&lt;OFFSET($BN$9,$CN24+0,0,1,1),IF(AND($H24&gt;2.4,Z24&lt;&gt;"e",Z24&lt;&gt;"f"),DN24*2.4/$H24,DN24),IF($F24&lt;OFFSET($BN$9,$CN24+1,0,1,1),IF(AND($H24&gt;2.4,Z24&lt;&gt;"e",Z24&lt;&gt;"f"),DN24*2.4/$H24,DN24),IF($F24&lt;OFFSET($BN$9,$CN24+2,0,1,1),IF(AND($H24&gt;2.4,Z24&lt;&gt;"e",Z24&lt;&gt;"f"),DN24*2.4/$H24,DN24),IF($F24&lt;OFFSET($BN$9,$CN24+3,0,1,1),IF(AND($H24&gt;2.4,Z24&lt;&gt;"e",Z24&lt;&gt;"f"),DN24*2.4/$H24,DN24),0)))))*COS(RADIANS($G24)))</f>
        <v>0</v>
      </c>
      <c r="DK24" s="51"/>
      <c r="DL24" s="51">
        <f ca="1">IF(DG24&gt;$CR24,$CR24,DG24)</f>
        <v>0</v>
      </c>
      <c r="DM24" s="51"/>
      <c r="DN24" s="51">
        <f ca="1">IF(DI24&gt;$CR24,$CR24,DI24)</f>
        <v>0</v>
      </c>
      <c r="DO24" s="435">
        <f ca="1">IF(DH24&gt;$CR24,$CR24,DH24)</f>
        <v>0</v>
      </c>
      <c r="DP24" s="435">
        <f ca="1">DO24*F24</f>
        <v>0</v>
      </c>
      <c r="DQ24" s="436">
        <f ca="1">IF(DJ24&gt;$CR24,$CR24,DJ24)</f>
        <v>0</v>
      </c>
      <c r="DR24" s="437">
        <f ca="1">DQ24*F24</f>
        <v>0</v>
      </c>
      <c r="DS24" s="426">
        <f ca="1">OFFSET($CH$9,CL24-1,-15,1,1)</f>
        <v>0</v>
      </c>
      <c r="DT24" s="451">
        <f t="shared" ca="1" si="1"/>
        <v>0</v>
      </c>
      <c r="DU24" s="188">
        <f ca="1">IF(F24&lt;OFFSET($BM$9,DT24-1,0,1,1),0,IF(F24&lt;OFFSET($BN$9,DT24-1,0,1,1),((F24-OFFSET($BM$9,DT24-1,0,1,1))*OFFSET($CH$9,DT24-1,0,1,1))+OFFSET($BO$9,DT24-1,CQ24,1,1),IF(F24&lt;OFFSET($BN$9,DT24+0,0,1,1),((F24-OFFSET($BM$9,DT24+0,0,1,1))*OFFSET($CH$9,DT24+0,0,1,1))+OFFSET($BO$9,DT24+0,CQ24,1,1),IF(F24&lt;OFFSET($BN$9,DT24+1,0,1,1),((F24-OFFSET($BM$9,DT24+1,0,1,1))*OFFSET($CH$9,DT24+1,0,1,1))+OFFSET($BO$9,DT24+1,CQ24,1,1),IF(F24&lt;OFFSET($BN$9,DT24+2,0,1,1),((F24-OFFSET($BM$9,DT24+2,0,1,1))*OFFSET($CH$9,DT24+2,0,1,1))+OFFSET($BO$9,DT24+2,CQ24,1,1),IF(F24&lt;OFFSET($BN$9,DT24+3,0,1,1),((F24-OFFSET($BM$9,DT24+3,0,1,1))*OFFSET($CH$9,DT24+3,0,1,1))+OFFSET($BO$9,DT24+3,CQ24,1,1),0))))))</f>
        <v>0</v>
      </c>
      <c r="DV24" s="51">
        <f ca="1">IF($F24&lt;OFFSET($BM$9,$DT24-1,0,1,1),0,IF($F24&lt;OFFSET($BN$9,$DT24-1,0,1,1),IF(AND($H24&gt;2.4,Z24&lt;&gt;"e",Z24&lt;&gt;"f"),DZ24*2.4/$H24,DZ24),IF($F24&lt;OFFSET($BN$9,$DT24+0,0,1,1),IF(AND($H24&gt;2.4,Z24&lt;&gt;"e",Z24&lt;&gt;"f"),DZ24*2.4/$H24,DZ24),IF($F24&lt;OFFSET($BN$9,$DT24+1,0,1,1),IF(AND($H24&gt;2.4,Z24&lt;&gt;"e",Z24&lt;&gt;"f"),DZ24*2.4/$H24,DZ24),IF($F24&lt;OFFSET($BN$9,$DT24+2,0,1,1),IF(AND($H24&gt;2.4,Z24&lt;&gt;"e",Z24&lt;&gt;"f"),DZ24*2.4/$H24,DZ24),IF($F24&lt;OFFSET($BN$9,$DT24+3,0,1,1),IF(AND($H24&gt;2.4,Z24&lt;&gt;"e",Z24&lt;&gt;"f"),DZ24*2.4/$H24,DZ24),0)))))*COS(RADIANS($G24)))</f>
        <v>0</v>
      </c>
      <c r="DW24" s="188">
        <f ca="1">IF(F24&lt;OFFSET($BM$9,DT24-1,0,1,1),0,IF(F24&lt;OFFSET($BN$9,DT24-1,0,1,1),((F24-OFFSET($BM$9,DT24-1,0,1,1))*OFFSET($CI$9,DT24-1,0,1,1))+OFFSET($BP$9,DT24-1,CQ24,1,1),IF(F24&lt;OFFSET($BN$9,DT24+0,0,1,1),((F24-OFFSET($BM$9,DT24+0,0,1,1))*OFFSET($CI$9,DT24+0,0,1,1))+OFFSET($BP$9,DT24+0,CQ24,1,1),IF(F24&lt;OFFSET($BN$9,DT24+1,0,1,1),((F24-OFFSET($BM$9,DT24+1,0,1,1))*OFFSET($CI$9,DT24+1,0,1,1))+OFFSET($BP$9,DT24+1,CQ24,1,1),IF(F24&lt;OFFSET($BN$9,DT24+2,0,1,1),((F24-OFFSET($BM$9,DT24+2,0,1,1))*OFFSET($CI$9,DT24+2,0,1,1))+OFFSET($BP$9,DT24+2,CQ24,1,1),IF(F24&lt;OFFSET($BN$9,DT24+3,0,1,1),((F24-OFFSET($BM$9,DT24+3,0,1,1))*OFFSET($CI$9,DT24+3,0,1,1))+OFFSET($BP$9,DT24+3,CQ24,1,1),0))))))</f>
        <v>0</v>
      </c>
      <c r="DX24" s="51">
        <f ca="1">IF($F24&lt;OFFSET($BM$9,$DT24-1,0,1,1),0,IF($F24&lt;OFFSET($BN$9,$DT24-1,0,1,1),IF(AND($H24&gt;2.4,Z24&lt;&gt;"e",Z24&lt;&gt;"f"),EB24*2.4/$H24,EB24),IF($F24&lt;OFFSET($BN$9,$DT24+0,0,1,1),IF(AND($H24&gt;2.4,Z24&lt;&gt;"e",Z24&lt;&gt;"f"),EB24*2.4/$H24,EB24),IF($F24&lt;OFFSET($BN$9,$DT24+1,0,1,1),IF(AND($H24&gt;2.4,Z24&lt;&gt;"e",Z24&lt;&gt;"f"),EB24*2.4/$H24,EB24),IF($F24&lt;OFFSET($BN$9,$DT24+2,0,1,1),IF(AND($H24&gt;2.4,Z24&lt;&gt;"e",Z24&lt;&gt;"f"),EB24*2.4/$H24,EB24),IF($F24&lt;OFFSET($BN$9,$DT24+3,0,1,1),IF(AND($H24&gt;2.4,Z24&lt;&gt;"e",Z24&lt;&gt;"f"),EB24*2.4/$H24,EB24),0)))))*COS(RADIANS($G24)))</f>
        <v>0</v>
      </c>
      <c r="DY24" s="188"/>
      <c r="DZ24" s="188">
        <f ca="1">IF(DU24&gt;$CR24,$CR24,DU24)</f>
        <v>0</v>
      </c>
      <c r="EA24" s="188"/>
      <c r="EB24" s="188">
        <f ca="1">IF(DW24&gt;$CR24,$CR24,DW24)</f>
        <v>0</v>
      </c>
      <c r="EC24" s="435">
        <f ca="1">IF(DV24&gt;$CR24,$CR24,DV24)</f>
        <v>0</v>
      </c>
      <c r="ED24" s="435">
        <f ca="1">EC24*F24</f>
        <v>0</v>
      </c>
      <c r="EE24" s="436">
        <f ca="1">IF(DX24&gt;$CR24,$CR24,DX24)</f>
        <v>0</v>
      </c>
      <c r="EF24" s="437">
        <f ca="1">EE24*F24</f>
        <v>0</v>
      </c>
      <c r="EG24" s="613" t="str">
        <f>IF(D24=BG$12,BG$12,"")</f>
        <v/>
      </c>
      <c r="EH24" s="614" t="str">
        <f>IF(D24=BG$13,BG$13,"")</f>
        <v/>
      </c>
      <c r="EI24" s="611">
        <f>IF(EG24=BG$12,M24,0)</f>
        <v>0</v>
      </c>
      <c r="EJ24" s="451">
        <f>IF(EG24=BG$12,O24,0)</f>
        <v>0</v>
      </c>
      <c r="EK24" s="451">
        <f>IF(EH24=BG$13,M24,0)</f>
        <v>0</v>
      </c>
      <c r="EL24" s="612">
        <f>IF(EH24=BG$13,O24,0)</f>
        <v>0</v>
      </c>
      <c r="EM24" s="426" t="str">
        <f ca="1">IF(AND(Z24&lt;&gt;"t",Z24&lt;&gt;"f"),"",IF(AND(EN24=$BH$13,K24=$BH$12),"NotOpt",IF(K24&lt;&gt;EN24,"Error","")))</f>
        <v/>
      </c>
      <c r="EN24" s="491" t="str">
        <f>IF(AND($BH$28=1,$BG$28=1),$BH$13,$BH$12)</f>
        <v>120 BU's</v>
      </c>
      <c r="EO24" s="426" t="str">
        <f>K24</f>
        <v xml:space="preserve"> </v>
      </c>
      <c r="EP24" s="497">
        <v>1</v>
      </c>
      <c r="EQ24" s="430" t="str">
        <f ca="1">IF(EP24=1," ",OFFSET(BF$15,EP24-2,0,1,1))</f>
        <v xml:space="preserve"> </v>
      </c>
      <c r="ER24" s="439" t="str">
        <f ca="1">IF(H24=0," ",H24)</f>
        <v xml:space="preserve"> </v>
      </c>
      <c r="ES24" s="440" t="str">
        <f ca="1">IF(ER24&lt;&gt;" ",IF(ER24&lt;&gt;ER$7,"Changed",""),"")</f>
        <v/>
      </c>
      <c r="ET24" s="440">
        <f t="shared" ca="1" si="15"/>
        <v>0</v>
      </c>
      <c r="EU24" s="957" t="str">
        <f ca="1">IF(I24=" "," ",IF(F24&lt;OFFSET($BM$9,CL24-1,0,1,1),1,""))</f>
        <v xml:space="preserve"> </v>
      </c>
      <c r="EW24" s="427"/>
      <c r="EX24"/>
    </row>
    <row r="25" spans="2:154" ht="17.100000000000001" customHeight="1" thickBot="1">
      <c r="B25" s="2686" t="s">
        <v>8</v>
      </c>
      <c r="C25" s="2687"/>
      <c r="D25" s="1461" t="s">
        <v>8</v>
      </c>
      <c r="E25" s="659"/>
      <c r="F25" s="659"/>
      <c r="G25" s="659"/>
      <c r="H25" s="659"/>
      <c r="I25" s="1462"/>
      <c r="J25" s="1365" t="str">
        <f ca="1">(CONCATENATE(B20,$BE$54))</f>
        <v>O  Line:  Min. Requirement</v>
      </c>
      <c r="K25" s="23"/>
      <c r="L25" s="1019">
        <f ca="1">L$5</f>
        <v>0</v>
      </c>
      <c r="M25" s="48">
        <f ca="1">IF(B20=B14,SUM(M20:M24)+M19,SUM(M20:M24))</f>
        <v>0</v>
      </c>
      <c r="N25" s="1019">
        <f ca="1">N$5</f>
        <v>0</v>
      </c>
      <c r="O25" s="125">
        <f ca="1">IF(B20=B14,SUM(O20:O24)+O19,SUM(O20:O24))</f>
        <v>0</v>
      </c>
      <c r="P25" s="139"/>
      <c r="Q25" s="42" t="str">
        <f ca="1">IF(B20=B26,"",IF(AND(M25&gt;0,L25=L$5,OR(M25&lt;$M$105,M25&lt;$BF$3)),"Achieved &lt; Min Req per Line",IF(AND(O25&gt;0,N25=N$5,OR(O25&lt;$O$105,O25&lt;$BF$3)),"Achieved &lt; Min Req per Line",IF(AND(M25&gt;0,L25&gt;M25),"More Required on this line",IF(AND(O25&gt;0,N25&gt;O25),"More Required on this line",IF(AND(L25&gt;0,L25&lt;$BF$3),$BE$59,IF(AND(N25&gt;0,N25&lt;$BF$3),$BE$59,"")))))))</f>
        <v/>
      </c>
      <c r="R25" s="52"/>
      <c r="S25" s="52"/>
      <c r="T25" s="52"/>
      <c r="U25" s="1378"/>
      <c r="V25" s="52"/>
      <c r="W25" s="898"/>
      <c r="X25" s="898"/>
      <c r="Y25" s="896"/>
      <c r="Z25" s="52"/>
      <c r="AA25" s="51"/>
      <c r="AB25" s="1364"/>
      <c r="AC25" s="1"/>
      <c r="AJ25" s="2230"/>
      <c r="AK25" s="2779"/>
      <c r="AL25" s="2782"/>
      <c r="AM25" s="1207">
        <f>'Regular and QuickBrace Systems'!F40</f>
        <v>1.2</v>
      </c>
      <c r="AN25" s="1276">
        <f>'Regular and QuickBrace Systems'!G40</f>
        <v>60</v>
      </c>
      <c r="AO25" s="1277">
        <f>'Regular and QuickBrace Systems'!H40</f>
        <v>55</v>
      </c>
      <c r="AP25" s="1277"/>
      <c r="AQ25" s="2810"/>
      <c r="AR25" s="2811"/>
      <c r="AS25" s="2032"/>
      <c r="AT25" s="1339"/>
      <c r="AU25" s="2132"/>
      <c r="AW25" s="1568" t="str">
        <f>'Regular and QuickBrace Systems'!O16</f>
        <v>Yes</v>
      </c>
      <c r="AX25" s="1577" t="str">
        <f>'Regular and QuickBrace Systems'!Q16</f>
        <v>No</v>
      </c>
      <c r="BD25" s="2648"/>
      <c r="BF25" s="599" t="str">
        <f>'Custom Elements'!C9</f>
        <v>Custom1</v>
      </c>
      <c r="BI25" s="759"/>
      <c r="BJ25" s="897">
        <f t="shared" si="4"/>
        <v>17</v>
      </c>
      <c r="BK25" s="769" t="str">
        <f t="shared" si="5"/>
        <v xml:space="preserve">  </v>
      </c>
      <c r="BL25" s="771" t="str">
        <f t="shared" si="6"/>
        <v>Custom14</v>
      </c>
      <c r="BM25" s="455">
        <f t="shared" si="7"/>
        <v>9.9999999999999996E-76</v>
      </c>
      <c r="BN25" s="455">
        <v>999</v>
      </c>
      <c r="BO25" s="455">
        <f t="shared" si="8"/>
        <v>0</v>
      </c>
      <c r="BP25" s="925">
        <f t="shared" si="9"/>
        <v>0</v>
      </c>
      <c r="BR25" s="764"/>
      <c r="BS25" s="455"/>
      <c r="BT25" s="455" t="str">
        <f t="shared" si="10"/>
        <v>B</v>
      </c>
      <c r="BU25" s="925" t="str">
        <f t="shared" si="11"/>
        <v>T</v>
      </c>
      <c r="BV25" s="483" t="str">
        <f t="shared" si="12"/>
        <v>Custom14</v>
      </c>
      <c r="BW25" s="910">
        <f t="shared" si="18"/>
        <v>17</v>
      </c>
      <c r="BX25" s="925" t="str">
        <f t="shared" si="16"/>
        <v>Single</v>
      </c>
      <c r="CH25" s="764">
        <f t="shared" si="13"/>
        <v>0</v>
      </c>
      <c r="CI25" s="925">
        <f t="shared" si="14"/>
        <v>0</v>
      </c>
      <c r="CJ25" s="759"/>
      <c r="CK25" s="188"/>
      <c r="CL25" s="979"/>
      <c r="CN25" s="497"/>
      <c r="CO25" s="497" t="s">
        <v>8</v>
      </c>
      <c r="CQ25" s="51" t="s">
        <v>8</v>
      </c>
      <c r="CR25" s="51" t="s">
        <v>8</v>
      </c>
      <c r="CS25" s="51" t="s">
        <v>8</v>
      </c>
      <c r="CT25" s="51" t="s">
        <v>8</v>
      </c>
      <c r="CU25" s="51" t="s">
        <v>8</v>
      </c>
      <c r="CV25" s="51" t="s">
        <v>8</v>
      </c>
      <c r="CW25" s="51" t="s">
        <v>8</v>
      </c>
      <c r="CX25" s="51" t="s">
        <v>8</v>
      </c>
      <c r="CY25" s="51" t="s">
        <v>8</v>
      </c>
      <c r="CZ25" s="51" t="s">
        <v>8</v>
      </c>
      <c r="DA25" s="51" t="s">
        <v>8</v>
      </c>
      <c r="DD25" s="758"/>
      <c r="DF25" s="52"/>
      <c r="DG25" s="51" t="s">
        <v>8</v>
      </c>
      <c r="DH25" s="51"/>
      <c r="DI25" s="51" t="s">
        <v>8</v>
      </c>
      <c r="DJ25" s="51"/>
      <c r="DK25" s="51"/>
      <c r="DL25" s="51" t="s">
        <v>8</v>
      </c>
      <c r="DM25" s="51"/>
      <c r="DN25" s="51" t="s">
        <v>8</v>
      </c>
      <c r="DO25" s="435" t="s">
        <v>8</v>
      </c>
      <c r="DP25" s="435"/>
      <c r="DQ25" s="868" t="s">
        <v>8</v>
      </c>
      <c r="DR25" s="868"/>
      <c r="DS25" s="426" t="s">
        <v>8</v>
      </c>
      <c r="DT25" s="451" t="s">
        <v>8</v>
      </c>
      <c r="DU25" s="188" t="s">
        <v>8</v>
      </c>
      <c r="DV25" s="188" t="s">
        <v>8</v>
      </c>
      <c r="DW25" s="188" t="s">
        <v>8</v>
      </c>
      <c r="DX25" s="188" t="s">
        <v>8</v>
      </c>
      <c r="DY25" s="188"/>
      <c r="DZ25" s="188" t="s">
        <v>8</v>
      </c>
      <c r="EA25" s="188" t="s">
        <v>8</v>
      </c>
      <c r="EB25" s="188" t="s">
        <v>8</v>
      </c>
      <c r="EC25" s="435" t="s">
        <v>8</v>
      </c>
      <c r="ED25" s="435" t="s">
        <v>8</v>
      </c>
      <c r="EE25" s="868" t="s">
        <v>8</v>
      </c>
      <c r="EF25" s="867" t="s">
        <v>8</v>
      </c>
      <c r="EG25" s="613"/>
      <c r="EH25" s="614"/>
      <c r="EI25" s="613"/>
      <c r="EJ25" s="435"/>
      <c r="EK25" s="451"/>
      <c r="EL25" s="612"/>
      <c r="EN25" s="947"/>
      <c r="ER25" s="441"/>
      <c r="ES25" s="440"/>
      <c r="ET25" s="440"/>
      <c r="EU25" s="957"/>
      <c r="EW25" s="427"/>
      <c r="EX25"/>
    </row>
    <row r="26" spans="2:154" ht="17.100000000000001" customHeight="1">
      <c r="B26" s="1369" t="str">
        <f ca="1">S26</f>
        <v>P</v>
      </c>
      <c r="C26" s="684" t="str">
        <f>IF(OR(F26=0,I26="",I26=" ")," ",$V26)</f>
        <v xml:space="preserve"> </v>
      </c>
      <c r="D26" s="1033"/>
      <c r="E26" s="1360" t="s">
        <v>8</v>
      </c>
      <c r="F26" s="202"/>
      <c r="G26" s="1416"/>
      <c r="H26" s="199" t="str">
        <f ca="1">IF(OR(F26=0,Z26="E",Z26="f")," ",'Project Demand'!E$35)</f>
        <v xml:space="preserve"> </v>
      </c>
      <c r="I26" s="631" t="str">
        <f>IF($I$6&lt;&gt;$BG$8," ",AB26)</f>
        <v xml:space="preserve"> </v>
      </c>
      <c r="J26" s="43" t="str">
        <f ca="1">IF(OR(I26=" ",I26="")," ",OFFSET($BO$9,CL26-1,0-4,1,1))</f>
        <v xml:space="preserve"> </v>
      </c>
      <c r="K26" s="55" t="str">
        <f>IF(OR(I26=" ",I26="")," ",IF(OR(Z26="e",Z26="h"),"SD",BG$24))</f>
        <v xml:space="preserve"> </v>
      </c>
      <c r="L26" s="49">
        <f ca="1">CW26</f>
        <v>0</v>
      </c>
      <c r="M26" s="49">
        <f ca="1">CY26</f>
        <v>0</v>
      </c>
      <c r="N26" s="50">
        <f t="shared" ref="N26:O30" ca="1" si="20">DA26</f>
        <v>0</v>
      </c>
      <c r="O26" s="126">
        <f t="shared" ca="1" si="20"/>
        <v>0</v>
      </c>
      <c r="P26" s="140"/>
      <c r="Q26" s="752" t="str">
        <f ca="1">IF(AND(OR(Z26="t",Z26="f"),K26=$BH$11),"No Floor!  Change Floor Type",IF(OR(I26=" ",I26="")," ",IF(F26&lt;OFFSET($BM$9,CL26-1,0,1,1),"check L(m)",DE26&amp;IF(AND(DP26&gt;=CY26,DR26&gt;=DB26),IF(AND(ED26&gt;=DP26,EF26&gt;=DR26),CONCATENATE(DS26," will provide same result"),CONCATENATE(CO26," will provide same result")),IF((DP26&gt;=CY26),CONCATENATE(CO26," provides same result in WIND"),IF((DR26&gt;=DB26),CONCATENATE(CO26," provides same result in EQ"),""))))))&amp;IF(ISERROR(FIND("pile",I26,1)),"",IF(INT(F26)&lt;&gt;F26,"Pile!  Use Whole Numbers Only",""))</f>
        <v xml:space="preserve"> </v>
      </c>
      <c r="R26" s="52">
        <f ca="1">IF(T20&lt;&gt;2,(COLUMN(INDIRECT(B20&amp;1))+1),U26)</f>
        <v>16</v>
      </c>
      <c r="S26" s="1372" t="str">
        <f ca="1">SUBSTITUTE(ADDRESS(1,R26,4),"1","")</f>
        <v>P</v>
      </c>
      <c r="T26" s="451">
        <f ca="1">IF(AND(ISTEXT(B26),SUBSTITUTE(SUBSTITUTE(SUBSTITUTE(SUBSTITUTE(SUBSTITUTE(SUBSTITUTE(SUBSTITUTE(SUBSTITUTE(SUBSTITUTE(SUBSTITUTE(SUBSTITUTE(SUBSTITUTE(SUBSTITUTE(SUBSTITUTE(SUBSTITUTE(SUBSTITUTE(SUBSTITUTE(SUBSTITUTE(SUBSTITUTE(SUBSTITUTE(SUBSTITUTE(SUBSTITUTE(SUBSTITUTE(SUBSTITUTE(SUBSTITUTE(SUBSTITUTE(LOWER(B26),"a",),"b",),"c",),"d",),"e",),"f",),"g",),"h",),"i",),"j",),"k",),"l",),"m",),"n",),"o",),"p",),"q",),"r",),"s",),"t",),"u",),"v",),"w",),"x",),"y",),"z",)=""),1,2)</f>
        <v>1</v>
      </c>
      <c r="U26" s="1377">
        <v>16</v>
      </c>
      <c r="V26" s="52" t="str">
        <f ca="1">IF(AND(B$5=$BF$9,OR(I26=BH$16,I26=BH$17))," ",IF(ISNUMBER(B$26),(CONCATENATE(B$26,".",W26)),(CONCATENATE(B$26,W26))))</f>
        <v>P0</v>
      </c>
      <c r="W26" s="9">
        <f ca="1">IF(B20=B26,W24+X26,X26)</f>
        <v>0</v>
      </c>
      <c r="X26" s="9">
        <f>IF(AND(B$5=$BF$9,OR($I26=$BH$16,$I26=$BH$17,$I26=" ",$I26="",$F26=0)),0,IF(OR($I26=" ",$I26="",$F26=0),0,1))</f>
        <v>0</v>
      </c>
      <c r="Y26" s="896">
        <f ca="1">IF(AND(M31&gt;0,B26&lt;&gt;B32),1,0)</f>
        <v>0</v>
      </c>
      <c r="Z26" s="52" t="str">
        <f ca="1">IF(I26=" "," ",OFFSET($BM$9,$CL26-1,8,1,1))</f>
        <v xml:space="preserve"> </v>
      </c>
      <c r="AA26" s="51" t="str">
        <f>IF(G26&gt;=45,"WA","")</f>
        <v/>
      </c>
      <c r="AB26" s="1364" t="str">
        <f>IF(F26&lt;&gt;"",IF(OR(D26=$BG$12,D26=$BG$13),IF(E26&lt;&gt;$BG$17,$BF$12,$BF$13),IF(E26&lt;&gt;$BG$17,$BF$12,$BF$13))," ")</f>
        <v xml:space="preserve"> </v>
      </c>
      <c r="AC26" s="1"/>
      <c r="AJ26" s="2230"/>
      <c r="AK26" s="2779"/>
      <c r="AL26" s="2783" t="str">
        <f>'Regular and QuickBrace Systems'!E41</f>
        <v>ESSN</v>
      </c>
      <c r="AM26" s="1176">
        <f>'Regular and QuickBrace Systems'!F41</f>
        <v>0.4</v>
      </c>
      <c r="AN26" s="1272">
        <f>'Regular and QuickBrace Systems'!G41</f>
        <v>79</v>
      </c>
      <c r="AO26" s="1273">
        <f>'Regular and QuickBrace Systems'!H41</f>
        <v>74</v>
      </c>
      <c r="AP26" s="1594"/>
      <c r="AQ26" s="2661" t="str">
        <f>'Regular and QuickBrace Systems'!I41</f>
        <v>Specialised QuickBrace Pattern</v>
      </c>
      <c r="AR26" s="2662"/>
      <c r="AS26" s="2030" t="str">
        <f>'Regular and QuickBrace Systems'!K41</f>
        <v>No</v>
      </c>
      <c r="AT26" s="1339"/>
      <c r="AU26" s="2131" t="str">
        <f>'Regular and QuickBrace Systems'!M41</f>
        <v xml:space="preserve">Elephant Standard-Plus board Both sides </v>
      </c>
      <c r="AW26" s="1567" t="str">
        <f>'Regular and QuickBrace Systems'!O41</f>
        <v>Yes</v>
      </c>
      <c r="AX26" s="1573" t="str">
        <f>'Regular and QuickBrace Systems'!Q41</f>
        <v>No</v>
      </c>
      <c r="BD26" s="2648"/>
      <c r="BF26" s="599" t="str">
        <f>'Custom Elements'!C10</f>
        <v>Custom2</v>
      </c>
      <c r="BI26" s="759"/>
      <c r="BJ26" s="897">
        <f t="shared" si="4"/>
        <v>18</v>
      </c>
      <c r="BK26" s="769" t="str">
        <f t="shared" si="5"/>
        <v xml:space="preserve">  </v>
      </c>
      <c r="BL26" s="771" t="str">
        <f t="shared" si="6"/>
        <v>Custom15</v>
      </c>
      <c r="BM26" s="455">
        <f t="shared" si="7"/>
        <v>9.9999999999999996E-76</v>
      </c>
      <c r="BN26" s="455">
        <v>999</v>
      </c>
      <c r="BO26" s="455">
        <f t="shared" si="8"/>
        <v>0</v>
      </c>
      <c r="BP26" s="925">
        <f t="shared" si="9"/>
        <v>0</v>
      </c>
      <c r="BR26" s="764"/>
      <c r="BS26" s="455"/>
      <c r="BT26" s="455" t="str">
        <f t="shared" si="10"/>
        <v>B</v>
      </c>
      <c r="BU26" s="925" t="str">
        <f t="shared" si="11"/>
        <v>T</v>
      </c>
      <c r="BV26" s="483" t="str">
        <f t="shared" si="12"/>
        <v>Custom15</v>
      </c>
      <c r="BW26" s="910">
        <f t="shared" si="18"/>
        <v>18</v>
      </c>
      <c r="BX26" s="925" t="str">
        <f t="shared" si="16"/>
        <v>Single</v>
      </c>
      <c r="CH26" s="764">
        <f t="shared" si="13"/>
        <v>0</v>
      </c>
      <c r="CI26" s="925">
        <f t="shared" si="14"/>
        <v>0</v>
      </c>
      <c r="CJ26" s="759"/>
      <c r="CK26" s="188"/>
      <c r="CL26" s="979">
        <f>VLOOKUP(I26,Prodlink,2,0)</f>
        <v>0</v>
      </c>
      <c r="CN26" s="497">
        <f ca="1">VLOOKUP(CO26,Prodlink,2,0)</f>
        <v>0</v>
      </c>
      <c r="CO26" s="497">
        <f ca="1">OFFSET($CH$9,CL26-1,-15,1,1)</f>
        <v>0</v>
      </c>
      <c r="CQ26" s="51">
        <v>0</v>
      </c>
      <c r="CR26" s="51">
        <f>IF(K26=$BH$12,$BH$23,IF(K26=$BH$13,$BH$24,10000))</f>
        <v>10000</v>
      </c>
      <c r="CS26" s="51">
        <f ca="1">IF(F26&lt;OFFSET($BM$9,CL26-1,0,1,1),0,IF(F26&lt;OFFSET($BN$9,CL26-1,0,1,1),((F26-OFFSET($BM$9,CL26-1,0,1,1))*OFFSET($CH$9,CL26-1,0,1,1))+OFFSET($BO$9,CL26-1,CQ26,1,1),IF(F26&lt;OFFSET($BN$9,CL26+0,0,1,1),((F26-OFFSET($BM$9,CL26+0,0,1,1))*OFFSET($CH$9,CL26+0,0,1,1))+OFFSET($BO$9,CL26+0,CQ26,1,1),IF(F26&lt;OFFSET($BN$9,CL26+1,0,1,1),((F26-OFFSET($BM$9,CL26+1,0,1,1))*OFFSET($CH$9,CL26+1,0,1,1))+OFFSET($BO$9,CL26+1,CQ26,1,1),IF(F26&lt;OFFSET($BN$9,CL26+2,0,1,1),((F26-OFFSET($BM$9,CL26+2,0,1,1))*OFFSET($CH$9,CL26+2,0,1,1))+OFFSET($BO$9,CL26+2,CQ26,1,1),IF(F26&lt;OFFSET($BN$9,CL26+3,0,1,1),((F26-OFFSET($BM$9,CL26+3,0,1,1))*OFFSET($CH$9,CL26+3,0,1,1))+OFFSET($BO$9,CL26+3,CQ26,1,1),0))))))</f>
        <v>0</v>
      </c>
      <c r="CT26" s="51">
        <f ca="1">IF($F26&lt;OFFSET($BM$9,$CL26-1,0,1,1),0,IF($F26&lt;OFFSET($BN$9,$CL26-1,0,1,1),IF(AND($H26&gt;2.4,Z26&lt;&gt;"e",Z26&lt;&gt;"f"),CX26*2.4/$H26,CX26),IF($F26&lt;OFFSET($BN$9,$CL26+0,0,1,1),IF(AND($H26&gt;2.4,Z26&lt;&gt;"e",Z26&lt;&gt;"f"),CX26*2.4/$H26,CX26),IF($F26&lt;OFFSET($BN$9,$CL26+1,0,1,1),IF(AND($H26&gt;2.4,Z26&lt;&gt;"e",Z26&lt;&gt;"f"),CX26*2.4/$H26,CX26),IF($F26&lt;OFFSET($BN$9,CL26+2,0,1,1),IF(AND($H26&gt;2.4,Z26&lt;&gt;"e",Z26&lt;&gt;"f"),CX26*2.4/$H26,CX26),IF($F26&lt;OFFSET($BN$9,CL26+3,0,1,1),IF(AND($H26&gt;2.4,Z26&lt;&gt;"e",Z26&lt;&gt;"f"),CX26*2.4/$H26,CX26),0)))))*COS(RADIANS($G26)))</f>
        <v>0</v>
      </c>
      <c r="CU26" s="51">
        <f ca="1">IF(F26&lt;OFFSET($BM$9,CL26-1,0,1,1),0,IF(F26&lt;OFFSET($BN$9,CL26-1,0,1,1),((F26-OFFSET($BM$9,CL26-1,0,1,1))*OFFSET($CI$9,CL26-1,0,1,1))+OFFSET($BP$9,CL26-1,CQ26,1,1),IF(F26&lt;OFFSET($BN$9,CL26+0,0,1,1),((F26-OFFSET($BM$9,CL26+0,0,1,1))*OFFSET($CI$9,CL26+0,0,1,1))+OFFSET($BP$9,CL26+0,CQ26,1,1),IF(F26&lt;OFFSET($BN$9,CL26+1,0,1,1),((F26-OFFSET($BM$9,CL26+1,0,1,1))*OFFSET($CI$9,CL26+1,0,1,1))+OFFSET($BP$9,CL26+1,CQ26,1,1),IF(F26&lt;OFFSET($BN$9,CL26+2,0,1,1),((F26-OFFSET($BM$9,CL26+2,0,1,1))*OFFSET($CI$9,CL26+2,0,1,1))+OFFSET($BP$9,CL26+2,CQ26,1,1),IF(F26&lt;OFFSET($BN$9,CL26+3,0,1,1),((F26-OFFSET($BM$9,CL26+3,0,1,1))*OFFSET($CI$9,CL26+3,0,1,1))+OFFSET($BP$9,CL26+3,CQ26,1,1),0))))))</f>
        <v>0</v>
      </c>
      <c r="CV26" s="51">
        <f ca="1">IF($F26&lt;OFFSET($BM$9,$CL26-1,0,1,1),0,IF($F26&lt;OFFSET($BN$9,$CL26-1,0,1,1),IF(AND($H26&gt;2.4,Z26&lt;&gt;"e",Z26&lt;&gt;"f"),CZ26*2.4/$H26,CZ26),IF($F26&lt;OFFSET($BN$9,$CL26+0,0,1,1),IF(AND($H26&gt;2.4,Z26&lt;&gt;"e",Z26&lt;&gt;"f"),CZ26*2.4/$H26,CZ26),IF($F26&lt;OFFSET($BN$9,$CL26+1,0,1,1),IF(AND($H26&gt;2.4,Z26&lt;&gt;"e",Z26&lt;&gt;"f"),CZ26*2.4/$H26,CZ26),IF($F26&lt;OFFSET($BN$9,$CL26+2,0,1,1),IF(AND($H26&gt;2.4,Z26&lt;&gt;"e",Z26&lt;&gt;"f"),CZ26*2.4/$H26,CZ26),IF($F26&lt;OFFSET($BN$9,$CL26+3,0,1,1),IF(AND($H26&gt;2.4,Z26&lt;&gt;"e",Z26&lt;&gt;"f"),CZ26*2.4/$H26,CZ26),0)))))*COS(RADIANS($G26)))</f>
        <v>0</v>
      </c>
      <c r="CW26" s="51">
        <f ca="1">IF(CT26&gt;CR26,CR26,CT26)</f>
        <v>0</v>
      </c>
      <c r="CX26" s="51">
        <f ca="1">IF(CS26&gt;$CR26,$CR26,CS26)</f>
        <v>0</v>
      </c>
      <c r="CY26" s="51">
        <f ca="1">CW26*F26</f>
        <v>0</v>
      </c>
      <c r="CZ26" s="51">
        <f ca="1">IF($CU26&gt;$CR26,$CR26,$CU26)</f>
        <v>0</v>
      </c>
      <c r="DA26" s="51">
        <f ca="1">IF(CV26&gt;CR26,CR26,CV26)</f>
        <v>0</v>
      </c>
      <c r="DB26" s="51">
        <f ca="1">DA26*F26</f>
        <v>0</v>
      </c>
      <c r="DC26" s="993">
        <v>3</v>
      </c>
      <c r="DD26" s="758" t="str">
        <f>IF(OR(D26=BG$12,D26=BG$13),"External",IF(D26=BG$14,"Internal"," "))</f>
        <v xml:space="preserve"> </v>
      </c>
      <c r="DE26" s="51" t="str">
        <f t="shared" ca="1" si="2"/>
        <v/>
      </c>
      <c r="DF26" s="52" t="str">
        <f t="shared" ca="1" si="3"/>
        <v xml:space="preserve"> </v>
      </c>
      <c r="DG26" s="51">
        <f ca="1">IF(F26&lt;OFFSET($BM$9,CN26-1,0,1,1),0,IF(F26&lt;OFFSET($BN$9,CN26-1,0,1,1),((F26-OFFSET($BM$9,CN26-1,0,1,1))*OFFSET($CH$9,CN26-1,0,1,1))+OFFSET($BO$9,CN26-1,CQ26,1,1),IF(F26&lt;OFFSET($BN$9,CN26+0,0,1,1),((F26-OFFSET($BM$9,CN26+0,0,1,1))*OFFSET($CH$9,CN26+0,0,1,1))+OFFSET($BO$9,CN26+0,CQ26,1,1),IF(F26&lt;OFFSET($BN$9,CN26+1,0,1,1),((F26-OFFSET($BM$9,CN26+1,0,1,1))*OFFSET($CH$9,CN26+1,0,1,1))+OFFSET($BO$9,CN26+1,CQ26,1,1),IF(F26&lt;OFFSET($BN$9,CN26+2,0,1,1),((F26-OFFSET($BM$9,CN26+2,0,1,1))*OFFSET($CH$9,CN26+2,0,1,1))+OFFSET($BO$9,CN26+2,CQ26,1,1),IF(F26&lt;OFFSET($BN$9,CN26+3,0,1,1),((F26-OFFSET($BM$9,CN26+3,0,1,1))*OFFSET($CH$9,CN26+3,0,1,1))+OFFSET($BO$9,CN26+3,CQ26,1,1),0))))))</f>
        <v>0</v>
      </c>
      <c r="DH26" s="51">
        <f ca="1">IF($F26&lt;OFFSET($BM$9,$CN26-1,0,1,1),0,IF($F26&lt;OFFSET($BN$9,$CN26-1,0,1,1),IF(AND($H26&gt;2.4,Z26&lt;&gt;"e",Z26&lt;&gt;"f"),DL26*2.4/$H26,DL26),IF($F26&lt;OFFSET($BN$9,$CN26+0,0,1,1),IF(AND($H26&gt;2.4,Z26&lt;&gt;"e",Z26&lt;&gt;"f"),DL26*2.4/$H26,DL26),IF($F26&lt;OFFSET($BN$9,$CN26+1,0,1,1),IF(AND($H26&gt;2.4,Z26&lt;&gt;"e",Z26&lt;&gt;"f"),DL26*2.4/$H26,DL26),IF($F26&lt;OFFSET($BN$9,$CN26+2,0,1,1),IF(AND($H26&gt;2.4,Z26&lt;&gt;"e",Z26&lt;&gt;"f"),DL26*2.4/$H26,DL26),IF($F26&lt;OFFSET($BN$9,$CN26+3,0,1,1),IF(AND($H26&gt;2.4,Z26&lt;&gt;"e",Z26&lt;&gt;"f"),DL26*2.4/$H26,DL26),0)))))*COS(RADIANS($G26)))</f>
        <v>0</v>
      </c>
      <c r="DI26" s="51">
        <f ca="1">IF(F26&lt;OFFSET($BM$9,CN26-1,0,1,1),0,IF(F26&lt;OFFSET($BN$9,CN26-1,0,1,1),((F26-OFFSET($BM$9,CN26-1,0,1,1))*OFFSET($CI$9,CN26-1,0,1,1))+OFFSET($BP$9,CN26-1,CQ26,1,1),IF(F26&lt;OFFSET($BN$9,CN26+0,0,1,1),((F26-OFFSET($BM$9,CN26+0,0,1,1))*OFFSET($CI$9,CN26+0,0,1,1))+OFFSET($BP$9,CN26+0,CQ26,1,1),IF(F26&lt;OFFSET($BN$9,CN26+1,0,1,1),((F26-OFFSET($BM$9,CN26+1,0,1,1))*OFFSET($CI$9,CN26+1,0,1,1))+OFFSET($BP$9,CN26+1,CQ26,1,1),IF(F26&lt;OFFSET($BN$9,CN26+2,0,1,1),((F26-OFFSET($BM$9,CN26+2,0,1,1))*OFFSET($CI$9,CN26+2,0,1,1))+OFFSET($BP$9,CN26+2,CQ26,1,1),IF(F26&lt;OFFSET($BN$9,CN26+3,0,1,1),((F26-OFFSET($BM$9,CN26+3,0,1,1))*OFFSET($CI$9,CN26+3,0,1,1))+OFFSET($BP$9,CN26+3,CQ26,1,1),0))))))</f>
        <v>0</v>
      </c>
      <c r="DJ26" s="51">
        <f ca="1">IF($F26&lt;OFFSET($BM$9,$CN26-1,0,1,1),0,IF($F26&lt;OFFSET($BN$9,$CN26-1,0,1,1),IF(AND($H26&gt;2.4,Z26&lt;&gt;"e",Z26&lt;&gt;"f"),DN26*2.4/$H26,DN26),IF($F26&lt;OFFSET($BN$9,$CN26+0,0,1,1),IF(AND($H26&gt;2.4,Z26&lt;&gt;"e",Z26&lt;&gt;"f"),DN26*2.4/$H26,DN26),IF($F26&lt;OFFSET($BN$9,$CN26+1,0,1,1),IF(AND($H26&gt;2.4,Z26&lt;&gt;"e",Z26&lt;&gt;"f"),DN26*2.4/$H26,DN26),IF($F26&lt;OFFSET($BN$9,$CN26+2,0,1,1),IF(AND($H26&gt;2.4,Z26&lt;&gt;"e",Z26&lt;&gt;"f"),DN26*2.4/$H26,DN26),IF($F26&lt;OFFSET($BN$9,$CN26+3,0,1,1),IF(AND($H26&gt;2.4,Z26&lt;&gt;"e",Z26&lt;&gt;"f"),DN26*2.4/$H26,DN26),0)))))*COS(RADIANS($G26)))</f>
        <v>0</v>
      </c>
      <c r="DK26" s="51"/>
      <c r="DL26" s="51">
        <f ca="1">IF(DG26&gt;$CR26,$CR26,DG26)</f>
        <v>0</v>
      </c>
      <c r="DM26" s="51"/>
      <c r="DN26" s="51">
        <f ca="1">IF(DI26&gt;$CR26,$CR26,DI26)</f>
        <v>0</v>
      </c>
      <c r="DO26" s="435">
        <f ca="1">IF(DH26&gt;$CR26,$CR26,DH26)</f>
        <v>0</v>
      </c>
      <c r="DP26" s="435">
        <f ca="1">DO26*F26</f>
        <v>0</v>
      </c>
      <c r="DQ26" s="436">
        <f ca="1">IF(DJ26&gt;$CR26,$CR26,DJ26)</f>
        <v>0</v>
      </c>
      <c r="DR26" s="437">
        <f ca="1">DQ26*F26</f>
        <v>0</v>
      </c>
      <c r="DS26" s="426">
        <f ca="1">OFFSET($CH$9,CL26-1,-15,1,1)</f>
        <v>0</v>
      </c>
      <c r="DT26" s="451">
        <f t="shared" ca="1" si="1"/>
        <v>0</v>
      </c>
      <c r="DU26" s="188">
        <f ca="1">IF(F26&lt;OFFSET($BM$9,DT26-1,0,1,1),0,IF(F26&lt;OFFSET($BN$9,DT26-1,0,1,1),((F26-OFFSET($BM$9,DT26-1,0,1,1))*OFFSET($CH$9,DT26-1,0,1,1))+OFFSET($BO$9,DT26-1,CQ26,1,1),IF(F26&lt;OFFSET($BN$9,DT26+0,0,1,1),((F26-OFFSET($BM$9,DT26+0,0,1,1))*OFFSET($CH$9,DT26+0,0,1,1))+OFFSET($BO$9,DT26+0,CQ26,1,1),IF(F26&lt;OFFSET($BN$9,DT26+1,0,1,1),((F26-OFFSET($BM$9,DT26+1,0,1,1))*OFFSET($CH$9,DT26+1,0,1,1))+OFFSET($BO$9,DT26+1,CQ26,1,1),IF(F26&lt;OFFSET($BN$9,DT26+2,0,1,1),((F26-OFFSET($BM$9,DT26+2,0,1,1))*OFFSET($CH$9,DT26+2,0,1,1))+OFFSET($BO$9,DT26+2,CQ26,1,1),IF(F26&lt;OFFSET($BN$9,DT26+3,0,1,1),((F26-OFFSET($BM$9,DT26+3,0,1,1))*OFFSET($CH$9,DT26+3,0,1,1))+OFFSET($BO$9,DT26+3,CQ26,1,1),0))))))</f>
        <v>0</v>
      </c>
      <c r="DV26" s="51">
        <f ca="1">IF($F26&lt;OFFSET($BM$9,$DT26-1,0,1,1),0,IF($F26&lt;OFFSET($BN$9,$DT26-1,0,1,1),IF(AND($H26&gt;2.4,Z26&lt;&gt;"e",Z26&lt;&gt;"f"),DZ26*2.4/$H26,DZ26),IF($F26&lt;OFFSET($BN$9,$DT26+0,0,1,1),IF(AND($H26&gt;2.4,Z26&lt;&gt;"e",Z26&lt;&gt;"f"),DZ26*2.4/$H26,DZ26),IF($F26&lt;OFFSET($BN$9,$DT26+1,0,1,1),IF(AND($H26&gt;2.4,Z26&lt;&gt;"e",Z26&lt;&gt;"f"),DZ26*2.4/$H26,DZ26),IF($F26&lt;OFFSET($BN$9,$DT26+2,0,1,1),IF(AND($H26&gt;2.4,Z26&lt;&gt;"e",Z26&lt;&gt;"f"),DZ26*2.4/$H26,DZ26),IF($F26&lt;OFFSET($BN$9,$DT26+3,0,1,1),IF(AND($H26&gt;2.4,Z26&lt;&gt;"e",Z26&lt;&gt;"f"),DZ26*2.4/$H26,DZ26),0)))))*COS(RADIANS($G26)))</f>
        <v>0</v>
      </c>
      <c r="DW26" s="188">
        <f ca="1">IF(F26&lt;OFFSET($BM$9,DT26-1,0,1,1),0,IF(F26&lt;OFFSET($BN$9,DT26-1,0,1,1),((F26-OFFSET($BM$9,DT26-1,0,1,1))*OFFSET($CI$9,DT26-1,0,1,1))+OFFSET($BP$9,DT26-1,CQ26,1,1),IF(F26&lt;OFFSET($BN$9,DT26+0,0,1,1),((F26-OFFSET($BM$9,DT26+0,0,1,1))*OFFSET($CI$9,DT26+0,0,1,1))+OFFSET($BP$9,DT26+0,CQ26,1,1),IF(F26&lt;OFFSET($BN$9,DT26+1,0,1,1),((F26-OFFSET($BM$9,DT26+1,0,1,1))*OFFSET($CI$9,DT26+1,0,1,1))+OFFSET($BP$9,DT26+1,CQ26,1,1),IF(F26&lt;OFFSET($BN$9,DT26+2,0,1,1),((F26-OFFSET($BM$9,DT26+2,0,1,1))*OFFSET($CI$9,DT26+2,0,1,1))+OFFSET($BP$9,DT26+2,CQ26,1,1),IF(F26&lt;OFFSET($BN$9,DT26+3,0,1,1),((F26-OFFSET($BM$9,DT26+3,0,1,1))*OFFSET($CI$9,DT26+3,0,1,1))+OFFSET($BP$9,DT26+3,CQ26,1,1),0))))))</f>
        <v>0</v>
      </c>
      <c r="DX26" s="51">
        <f ca="1">IF($F26&lt;OFFSET($BM$9,$DT26-1,0,1,1),0,IF($F26&lt;OFFSET($BN$9,$DT26-1,0,1,1),IF(AND($H26&gt;2.4,Z26&lt;&gt;"e",Z26&lt;&gt;"f"),EB26*2.4/$H26,EB26),IF($F26&lt;OFFSET($BN$9,$DT26+0,0,1,1),IF(AND($H26&gt;2.4,Z26&lt;&gt;"e",Z26&lt;&gt;"f"),EB26*2.4/$H26,EB26),IF($F26&lt;OFFSET($BN$9,$DT26+1,0,1,1),IF(AND($H26&gt;2.4,Z26&lt;&gt;"e",Z26&lt;&gt;"f"),EB26*2.4/$H26,EB26),IF($F26&lt;OFFSET($BN$9,$DT26+2,0,1,1),IF(AND($H26&gt;2.4,Z26&lt;&gt;"e",Z26&lt;&gt;"f"),EB26*2.4/$H26,EB26),IF($F26&lt;OFFSET($BN$9,$DT26+3,0,1,1),IF(AND($H26&gt;2.4,Z26&lt;&gt;"e",Z26&lt;&gt;"f"),EB26*2.4/$H26,EB26),0)))))*COS(RADIANS($G26)))</f>
        <v>0</v>
      </c>
      <c r="DY26" s="188"/>
      <c r="DZ26" s="188">
        <f ca="1">IF(DU26&gt;$CR26,$CR26,DU26)</f>
        <v>0</v>
      </c>
      <c r="EA26" s="188"/>
      <c r="EB26" s="188">
        <f ca="1">IF(DW26&gt;$CR26,$CR26,DW26)</f>
        <v>0</v>
      </c>
      <c r="EC26" s="435">
        <f ca="1">IF(DV26&gt;$CR26,$CR26,DV26)</f>
        <v>0</v>
      </c>
      <c r="ED26" s="435">
        <f ca="1">EC26*F26</f>
        <v>0</v>
      </c>
      <c r="EE26" s="436">
        <f ca="1">IF(DX26&gt;$CR26,$CR26,DX26)</f>
        <v>0</v>
      </c>
      <c r="EF26" s="437">
        <f ca="1">EE26*F26</f>
        <v>0</v>
      </c>
      <c r="EG26" s="613" t="str">
        <f>IF(D26=BG$12,BG$12,"")</f>
        <v/>
      </c>
      <c r="EH26" s="614" t="str">
        <f>IF(D26=BG$13,BG$13,"")</f>
        <v/>
      </c>
      <c r="EI26" s="611">
        <f>IF(EG26=BG$12,M26,0)</f>
        <v>0</v>
      </c>
      <c r="EJ26" s="451">
        <f>IF(EG26=BG$12,O26,0)</f>
        <v>0</v>
      </c>
      <c r="EK26" s="451">
        <f>IF(EH26=BG$13,M26,0)</f>
        <v>0</v>
      </c>
      <c r="EL26" s="612">
        <f>IF(EH26=BG$13,O26,0)</f>
        <v>0</v>
      </c>
      <c r="EM26" s="426" t="str">
        <f ca="1">IF(AND(Z26&lt;&gt;"t",Z26&lt;&gt;"f"),"",IF(AND(EN26=$BH$13,K26=$BH$12),"NotOpt",IF(K26&lt;&gt;EN26,"Error","")))</f>
        <v/>
      </c>
      <c r="EN26" s="491" t="str">
        <f>IF(AND($BH$28=1,$BG$28=1),$BH$13,$BH$12)</f>
        <v>120 BU's</v>
      </c>
      <c r="EO26" s="426" t="str">
        <f>K26</f>
        <v xml:space="preserve"> </v>
      </c>
      <c r="EP26" s="497">
        <v>1</v>
      </c>
      <c r="EQ26" s="430" t="str">
        <f ca="1">IF(EP26=1," ",OFFSET(BF$15,EP26-2,0,1,1))</f>
        <v xml:space="preserve"> </v>
      </c>
      <c r="ER26" s="439" t="str">
        <f ca="1">IF(H26=0," ",H26)</f>
        <v xml:space="preserve"> </v>
      </c>
      <c r="ES26" s="440" t="str">
        <f ca="1">IF(ER26&lt;&gt;" ",IF(ER26&lt;&gt;ER$7,"Changed",""),"")</f>
        <v/>
      </c>
      <c r="ET26" s="440">
        <f t="shared" ca="1" si="15"/>
        <v>0</v>
      </c>
      <c r="EU26" s="957" t="str">
        <f ca="1">IF(I26=" "," ",IF(F26&lt;OFFSET($BM$9,CL26-1,0,1,1),1,""))</f>
        <v xml:space="preserve"> </v>
      </c>
      <c r="EW26" s="427"/>
      <c r="EX26"/>
    </row>
    <row r="27" spans="2:154" ht="17.100000000000001" customHeight="1">
      <c r="B27" s="689" t="s">
        <v>246</v>
      </c>
      <c r="C27" s="684" t="str">
        <f>IF(OR(F27=0,I27="",I27=" ")," ",$V27)</f>
        <v xml:space="preserve"> </v>
      </c>
      <c r="D27" s="1033"/>
      <c r="E27" s="1360" t="s">
        <v>8</v>
      </c>
      <c r="F27" s="202"/>
      <c r="G27" s="1416"/>
      <c r="H27" s="199" t="str">
        <f ca="1">IF(OR(F27=0,Z27="E",Z27="f")," ",'Project Demand'!E$35)</f>
        <v xml:space="preserve"> </v>
      </c>
      <c r="I27" s="631" t="str">
        <f>IF($I$6&lt;&gt;$BG$8," ",AB27)</f>
        <v xml:space="preserve"> </v>
      </c>
      <c r="J27" s="44" t="str">
        <f ca="1">IF(OR(I27=" ",I27="")," ",OFFSET($BO$9,CL27-1,0-4,1,1))</f>
        <v xml:space="preserve"> </v>
      </c>
      <c r="K27" s="55" t="str">
        <f>IF(OR(I27=" ",I27="")," ",IF(OR(Z27="e",Z27="h"),"SD",BG$24))</f>
        <v xml:space="preserve"> </v>
      </c>
      <c r="L27" s="49">
        <f ca="1">CW27</f>
        <v>0</v>
      </c>
      <c r="M27" s="49">
        <f ca="1">CY27</f>
        <v>0</v>
      </c>
      <c r="N27" s="50">
        <f t="shared" ca="1" si="20"/>
        <v>0</v>
      </c>
      <c r="O27" s="126">
        <f t="shared" ca="1" si="20"/>
        <v>0</v>
      </c>
      <c r="P27" s="140"/>
      <c r="Q27" s="752" t="str">
        <f ca="1">IF(AND(OR(Z27="t",Z27="f"),K27=$BH$11),"No Floor!  Change Floor Type",IF(OR(I27=" ",I27="")," ",IF(F27&lt;OFFSET($BM$9,CL27-1,0,1,1),"check L(m)",DE27&amp;IF(AND(DP27&gt;=CY27,DR27&gt;=DB27),IF(AND(ED27&gt;=DP27,EF27&gt;=DR27),CONCATENATE(DS27," will provide same result"),CONCATENATE(CO27," will provide same result")),IF((DP27&gt;=CY27),CONCATENATE(CO27," provides same result in WIND"),IF((DR27&gt;=DB27),CONCATENATE(CO27," provides same result in EQ"),""))))))&amp;IF(ISERROR(FIND("pile",I27,1)),"",IF(INT(F27)&lt;&gt;F27,"Pile!  Use Whole Numbers Only",""))</f>
        <v xml:space="preserve"> </v>
      </c>
      <c r="R27" s="52"/>
      <c r="S27" s="1372"/>
      <c r="T27" s="1372"/>
      <c r="U27" s="1377"/>
      <c r="V27" s="52" t="str">
        <f ca="1">IF(AND(B$5=$BF$9,OR(I27=BH$16,I27=BH$17))," ",IF(ISNUMBER(B$26),(CONCATENATE(B$26,".",W27)),(CONCATENATE(B$26,W27))))</f>
        <v>P0</v>
      </c>
      <c r="W27" s="9">
        <f ca="1">W26+X27</f>
        <v>0</v>
      </c>
      <c r="X27" s="9">
        <f>IF(AND(B$5=$BF$9,OR($I27=$BH$16,$I27=$BH$17,$I27=" ",$I27="",$F27=0)),0,IF(OR($I27=" ",$I27="",$F27=0),0,1))</f>
        <v>0</v>
      </c>
      <c r="Y27" s="896"/>
      <c r="Z27" s="52" t="str">
        <f ca="1">IF(I27=" "," ",OFFSET($BM$9,$CL27-1,8,1,1))</f>
        <v xml:space="preserve"> </v>
      </c>
      <c r="AA27" s="51" t="str">
        <f>IF(G27&gt;=45,"WA","")</f>
        <v/>
      </c>
      <c r="AB27" s="1364" t="str">
        <f>IF(F27&lt;&gt;"",IF(OR(D27=$BG$12,D27=$BG$13),IF(E27&lt;&gt;$BG$17,$BF$12,$BF$13),IF(E27&lt;&gt;$BG$17,$BF$12,$BF$13))," ")</f>
        <v xml:space="preserve"> </v>
      </c>
      <c r="AC27" s="1"/>
      <c r="AJ27" s="2230"/>
      <c r="AK27" s="2779"/>
      <c r="AL27" s="2784"/>
      <c r="AM27" s="11">
        <f>'Regular and QuickBrace Systems'!F42</f>
        <v>0.8</v>
      </c>
      <c r="AN27" s="1336">
        <f>'Regular and QuickBrace Systems'!G42</f>
        <v>93</v>
      </c>
      <c r="AO27" s="26">
        <f>'Regular and QuickBrace Systems'!H42</f>
        <v>83</v>
      </c>
      <c r="AP27" s="1595"/>
      <c r="AQ27" s="2663"/>
      <c r="AR27" s="2664"/>
      <c r="AS27" s="2031"/>
      <c r="AT27" s="1339"/>
      <c r="AU27" s="2090"/>
      <c r="AW27" s="1569" t="str">
        <f>'Regular and QuickBrace Systems'!O42</f>
        <v>Yes</v>
      </c>
      <c r="AX27" s="442" t="str">
        <f>'Regular and QuickBrace Systems'!Q42</f>
        <v>No</v>
      </c>
      <c r="BD27" s="2648"/>
      <c r="BF27" s="599" t="str">
        <f>'Custom Elements'!C11</f>
        <v>Custom3</v>
      </c>
      <c r="BG27" s="965" t="s">
        <v>13</v>
      </c>
      <c r="BH27" s="964" t="s">
        <v>367</v>
      </c>
      <c r="BI27" s="759"/>
      <c r="BJ27" s="897">
        <f t="shared" si="4"/>
        <v>19</v>
      </c>
      <c r="BK27" s="769" t="str">
        <f t="shared" si="5"/>
        <v xml:space="preserve">  </v>
      </c>
      <c r="BL27" s="771" t="str">
        <f t="shared" si="6"/>
        <v>Custom16</v>
      </c>
      <c r="BM27" s="969">
        <f t="shared" si="7"/>
        <v>9.9999999999999996E-76</v>
      </c>
      <c r="BN27" s="455">
        <v>999</v>
      </c>
      <c r="BO27" s="455">
        <f t="shared" si="8"/>
        <v>0</v>
      </c>
      <c r="BP27" s="925">
        <f t="shared" si="9"/>
        <v>0</v>
      </c>
      <c r="BR27" s="764"/>
      <c r="BS27" s="455"/>
      <c r="BT27" s="455" t="str">
        <f t="shared" si="10"/>
        <v>B</v>
      </c>
      <c r="BU27" s="925" t="str">
        <f t="shared" si="11"/>
        <v>T</v>
      </c>
      <c r="BV27" s="483" t="str">
        <f t="shared" si="12"/>
        <v>Custom16</v>
      </c>
      <c r="BW27" s="910">
        <f t="shared" si="18"/>
        <v>19</v>
      </c>
      <c r="BX27" s="925" t="str">
        <f t="shared" si="16"/>
        <v>Single</v>
      </c>
      <c r="CH27" s="764">
        <f t="shared" si="13"/>
        <v>0</v>
      </c>
      <c r="CI27" s="925">
        <f t="shared" si="14"/>
        <v>0</v>
      </c>
      <c r="CJ27" s="759"/>
      <c r="CK27" s="188"/>
      <c r="CL27" s="979">
        <f>VLOOKUP(I27,Prodlink,2,0)</f>
        <v>0</v>
      </c>
      <c r="CN27" s="497">
        <f ca="1">VLOOKUP(CO27,Prodlink,2,0)</f>
        <v>0</v>
      </c>
      <c r="CO27" s="497">
        <f ca="1">OFFSET($CH$9,CL27-1,-15,1,1)</f>
        <v>0</v>
      </c>
      <c r="CQ27" s="51">
        <v>0</v>
      </c>
      <c r="CR27" s="51">
        <f>IF(K27=$BH$12,$BH$23,IF(K27=$BH$13,$BH$24,10000))</f>
        <v>10000</v>
      </c>
      <c r="CS27" s="51">
        <f ca="1">IF(F27&lt;OFFSET($BM$9,CL27-1,0,1,1),0,IF(F27&lt;OFFSET($BN$9,CL27-1,0,1,1),((F27-OFFSET($BM$9,CL27-1,0,1,1))*OFFSET($CH$9,CL27-1,0,1,1))+OFFSET($BO$9,CL27-1,CQ27,1,1),IF(F27&lt;OFFSET($BN$9,CL27+0,0,1,1),((F27-OFFSET($BM$9,CL27+0,0,1,1))*OFFSET($CH$9,CL27+0,0,1,1))+OFFSET($BO$9,CL27+0,CQ27,1,1),IF(F27&lt;OFFSET($BN$9,CL27+1,0,1,1),((F27-OFFSET($BM$9,CL27+1,0,1,1))*OFFSET($CH$9,CL27+1,0,1,1))+OFFSET($BO$9,CL27+1,CQ27,1,1),IF(F27&lt;OFFSET($BN$9,CL27+2,0,1,1),((F27-OFFSET($BM$9,CL27+2,0,1,1))*OFFSET($CH$9,CL27+2,0,1,1))+OFFSET($BO$9,CL27+2,CQ27,1,1),IF(F27&lt;OFFSET($BN$9,CL27+3,0,1,1),((F27-OFFSET($BM$9,CL27+3,0,1,1))*OFFSET($CH$9,CL27+3,0,1,1))+OFFSET($BO$9,CL27+3,CQ27,1,1),0))))))</f>
        <v>0</v>
      </c>
      <c r="CT27" s="51">
        <f ca="1">IF($F27&lt;OFFSET($BM$9,$CL27-1,0,1,1),0,IF($F27&lt;OFFSET($BN$9,$CL27-1,0,1,1),IF(AND($H27&gt;2.4,Z27&lt;&gt;"e",Z27&lt;&gt;"f"),CX27*2.4/$H27,CX27),IF($F27&lt;OFFSET($BN$9,$CL27+0,0,1,1),IF(AND($H27&gt;2.4,Z27&lt;&gt;"e",Z27&lt;&gt;"f"),CX27*2.4/$H27,CX27),IF($F27&lt;OFFSET($BN$9,$CL27+1,0,1,1),IF(AND($H27&gt;2.4,Z27&lt;&gt;"e",Z27&lt;&gt;"f"),CX27*2.4/$H27,CX27),IF($F27&lt;OFFSET($BN$9,CL27+2,0,1,1),IF(AND($H27&gt;2.4,Z27&lt;&gt;"e",Z27&lt;&gt;"f"),CX27*2.4/$H27,CX27),IF($F27&lt;OFFSET($BN$9,CL27+3,0,1,1),IF(AND($H27&gt;2.4,Z27&lt;&gt;"e",Z27&lt;&gt;"f"),CX27*2.4/$H27,CX27),0)))))*COS(RADIANS($G27)))</f>
        <v>0</v>
      </c>
      <c r="CU27" s="51">
        <f ca="1">IF(F27&lt;OFFSET($BM$9,CL27-1,0,1,1),0,IF(F27&lt;OFFSET($BN$9,CL27-1,0,1,1),((F27-OFFSET($BM$9,CL27-1,0,1,1))*OFFSET($CI$9,CL27-1,0,1,1))+OFFSET($BP$9,CL27-1,CQ27,1,1),IF(F27&lt;OFFSET($BN$9,CL27+0,0,1,1),((F27-OFFSET($BM$9,CL27+0,0,1,1))*OFFSET($CI$9,CL27+0,0,1,1))+OFFSET($BP$9,CL27+0,CQ27,1,1),IF(F27&lt;OFFSET($BN$9,CL27+1,0,1,1),((F27-OFFSET($BM$9,CL27+1,0,1,1))*OFFSET($CI$9,CL27+1,0,1,1))+OFFSET($BP$9,CL27+1,CQ27,1,1),IF(F27&lt;OFFSET($BN$9,CL27+2,0,1,1),((F27-OFFSET($BM$9,CL27+2,0,1,1))*OFFSET($CI$9,CL27+2,0,1,1))+OFFSET($BP$9,CL27+2,CQ27,1,1),IF(F27&lt;OFFSET($BN$9,CL27+3,0,1,1),((F27-OFFSET($BM$9,CL27+3,0,1,1))*OFFSET($CI$9,CL27+3,0,1,1))+OFFSET($BP$9,CL27+3,CQ27,1,1),0))))))</f>
        <v>0</v>
      </c>
      <c r="CV27" s="51">
        <f ca="1">IF($F27&lt;OFFSET($BM$9,$CL27-1,0,1,1),0,IF($F27&lt;OFFSET($BN$9,$CL27-1,0,1,1),IF(AND($H27&gt;2.4,Z27&lt;&gt;"e",Z27&lt;&gt;"f"),CZ27*2.4/$H27,CZ27),IF($F27&lt;OFFSET($BN$9,$CL27+0,0,1,1),IF(AND($H27&gt;2.4,Z27&lt;&gt;"e",Z27&lt;&gt;"f"),CZ27*2.4/$H27,CZ27),IF($F27&lt;OFFSET($BN$9,$CL27+1,0,1,1),IF(AND($H27&gt;2.4,Z27&lt;&gt;"e",Z27&lt;&gt;"f"),CZ27*2.4/$H27,CZ27),IF($F27&lt;OFFSET($BN$9,$CL27+2,0,1,1),IF(AND($H27&gt;2.4,Z27&lt;&gt;"e",Z27&lt;&gt;"f"),CZ27*2.4/$H27,CZ27),IF($F27&lt;OFFSET($BN$9,$CL27+3,0,1,1),IF(AND($H27&gt;2.4,Z27&lt;&gt;"e",Z27&lt;&gt;"f"),CZ27*2.4/$H27,CZ27),0)))))*COS(RADIANS($G27)))</f>
        <v>0</v>
      </c>
      <c r="CW27" s="51">
        <f ca="1">IF(CT27&gt;CR27,CR27,CT27)</f>
        <v>0</v>
      </c>
      <c r="CX27" s="51">
        <f ca="1">IF(CS27&gt;$CR27,$CR27,CS27)</f>
        <v>0</v>
      </c>
      <c r="CY27" s="51">
        <f ca="1">CW27*F27</f>
        <v>0</v>
      </c>
      <c r="CZ27" s="51">
        <f ca="1">IF($CU27&gt;$CR27,$CR27,$CU27)</f>
        <v>0</v>
      </c>
      <c r="DA27" s="51">
        <f ca="1">IF(CV27&gt;CR27,CR27,CV27)</f>
        <v>0</v>
      </c>
      <c r="DB27" s="51">
        <f ca="1">DA27*F27</f>
        <v>0</v>
      </c>
      <c r="DC27" s="993">
        <v>1</v>
      </c>
      <c r="DD27" s="758" t="str">
        <f>IF(OR(D27=BG$12,D27=BG$13),"External",IF(D27=BG$14,"Internal"," "))</f>
        <v xml:space="preserve"> </v>
      </c>
      <c r="DE27" s="51" t="str">
        <f t="shared" ca="1" si="2"/>
        <v/>
      </c>
      <c r="DF27" s="52" t="str">
        <f t="shared" ca="1" si="3"/>
        <v xml:space="preserve"> </v>
      </c>
      <c r="DG27" s="51">
        <f ca="1">IF(F27&lt;OFFSET($BM$9,CN27-1,0,1,1),0,IF(F27&lt;OFFSET($BN$9,CN27-1,0,1,1),((F27-OFFSET($BM$9,CN27-1,0,1,1))*OFFSET($CH$9,CN27-1,0,1,1))+OFFSET($BO$9,CN27-1,CQ27,1,1),IF(F27&lt;OFFSET($BN$9,CN27+0,0,1,1),((F27-OFFSET($BM$9,CN27+0,0,1,1))*OFFSET($CH$9,CN27+0,0,1,1))+OFFSET($BO$9,CN27+0,CQ27,1,1),IF(F27&lt;OFFSET($BN$9,CN27+1,0,1,1),((F27-OFFSET($BM$9,CN27+1,0,1,1))*OFFSET($CH$9,CN27+1,0,1,1))+OFFSET($BO$9,CN27+1,CQ27,1,1),IF(F27&lt;OFFSET($BN$9,CN27+2,0,1,1),((F27-OFFSET($BM$9,CN27+2,0,1,1))*OFFSET($CH$9,CN27+2,0,1,1))+OFFSET($BO$9,CN27+2,CQ27,1,1),IF(F27&lt;OFFSET($BN$9,CN27+3,0,1,1),((F27-OFFSET($BM$9,CN27+3,0,1,1))*OFFSET($CH$9,CN27+3,0,1,1))+OFFSET($BO$9,CN27+3,CQ27,1,1),0))))))</f>
        <v>0</v>
      </c>
      <c r="DH27" s="51">
        <f ca="1">IF($F27&lt;OFFSET($BM$9,$CN27-1,0,1,1),0,IF($F27&lt;OFFSET($BN$9,$CN27-1,0,1,1),IF(AND($H27&gt;2.4,Z27&lt;&gt;"e",Z27&lt;&gt;"f"),DL27*2.4/$H27,DL27),IF($F27&lt;OFFSET($BN$9,$CN27+0,0,1,1),IF(AND($H27&gt;2.4,Z27&lt;&gt;"e",Z27&lt;&gt;"f"),DL27*2.4/$H27,DL27),IF($F27&lt;OFFSET($BN$9,$CN27+1,0,1,1),IF(AND($H27&gt;2.4,Z27&lt;&gt;"e",Z27&lt;&gt;"f"),DL27*2.4/$H27,DL27),IF($F27&lt;OFFSET($BN$9,$CN27+2,0,1,1),IF(AND($H27&gt;2.4,Z27&lt;&gt;"e",Z27&lt;&gt;"f"),DL27*2.4/$H27,DL27),IF($F27&lt;OFFSET($BN$9,$CN27+3,0,1,1),IF(AND($H27&gt;2.4,Z27&lt;&gt;"e",Z27&lt;&gt;"f"),DL27*2.4/$H27,DL27),0)))))*COS(RADIANS($G27)))</f>
        <v>0</v>
      </c>
      <c r="DI27" s="51">
        <f ca="1">IF(F27&lt;OFFSET($BM$9,CN27-1,0,1,1),0,IF(F27&lt;OFFSET($BN$9,CN27-1,0,1,1),((F27-OFFSET($BM$9,CN27-1,0,1,1))*OFFSET($CI$9,CN27-1,0,1,1))+OFFSET($BP$9,CN27-1,CQ27,1,1),IF(F27&lt;OFFSET($BN$9,CN27+0,0,1,1),((F27-OFFSET($BM$9,CN27+0,0,1,1))*OFFSET($CI$9,CN27+0,0,1,1))+OFFSET($BP$9,CN27+0,CQ27,1,1),IF(F27&lt;OFFSET($BN$9,CN27+1,0,1,1),((F27-OFFSET($BM$9,CN27+1,0,1,1))*OFFSET($CI$9,CN27+1,0,1,1))+OFFSET($BP$9,CN27+1,CQ27,1,1),IF(F27&lt;OFFSET($BN$9,CN27+2,0,1,1),((F27-OFFSET($BM$9,CN27+2,0,1,1))*OFFSET($CI$9,CN27+2,0,1,1))+OFFSET($BP$9,CN27+2,CQ27,1,1),IF(F27&lt;OFFSET($BN$9,CN27+3,0,1,1),((F27-OFFSET($BM$9,CN27+3,0,1,1))*OFFSET($CI$9,CN27+3,0,1,1))+OFFSET($BP$9,CN27+3,CQ27,1,1),0))))))</f>
        <v>0</v>
      </c>
      <c r="DJ27" s="51">
        <f ca="1">IF($F27&lt;OFFSET($BM$9,$CN27-1,0,1,1),0,IF($F27&lt;OFFSET($BN$9,$CN27-1,0,1,1),IF(AND($H27&gt;2.4,Z27&lt;&gt;"e",Z27&lt;&gt;"f"),DN27*2.4/$H27,DN27),IF($F27&lt;OFFSET($BN$9,$CN27+0,0,1,1),IF(AND($H27&gt;2.4,Z27&lt;&gt;"e",Z27&lt;&gt;"f"),DN27*2.4/$H27,DN27),IF($F27&lt;OFFSET($BN$9,$CN27+1,0,1,1),IF(AND($H27&gt;2.4,Z27&lt;&gt;"e",Z27&lt;&gt;"f"),DN27*2.4/$H27,DN27),IF($F27&lt;OFFSET($BN$9,$CN27+2,0,1,1),IF(AND($H27&gt;2.4,Z27&lt;&gt;"e",Z27&lt;&gt;"f"),DN27*2.4/$H27,DN27),IF($F27&lt;OFFSET($BN$9,$CN27+3,0,1,1),IF(AND($H27&gt;2.4,Z27&lt;&gt;"e",Z27&lt;&gt;"f"),DN27*2.4/$H27,DN27),0)))))*COS(RADIANS($G27)))</f>
        <v>0</v>
      </c>
      <c r="DK27" s="51"/>
      <c r="DL27" s="51">
        <f ca="1">IF(DG27&gt;$CR27,$CR27,DG27)</f>
        <v>0</v>
      </c>
      <c r="DM27" s="51"/>
      <c r="DN27" s="51">
        <f ca="1">IF(DI27&gt;$CR27,$CR27,DI27)</f>
        <v>0</v>
      </c>
      <c r="DO27" s="435">
        <f ca="1">IF(DH27&gt;$CR27,$CR27,DH27)</f>
        <v>0</v>
      </c>
      <c r="DP27" s="435">
        <f ca="1">DO27*F27</f>
        <v>0</v>
      </c>
      <c r="DQ27" s="436">
        <f ca="1">IF(DJ27&gt;$CR27,$CR27,DJ27)</f>
        <v>0</v>
      </c>
      <c r="DR27" s="437">
        <f ca="1">DQ27*F27</f>
        <v>0</v>
      </c>
      <c r="DS27" s="426">
        <f ca="1">OFFSET($CH$9,CL27-1,-15,1,1)</f>
        <v>0</v>
      </c>
      <c r="DT27" s="451">
        <f t="shared" ca="1" si="1"/>
        <v>0</v>
      </c>
      <c r="DU27" s="188">
        <f ca="1">IF(F27&lt;OFFSET($BM$9,DT27-1,0,1,1),0,IF(F27&lt;OFFSET($BN$9,DT27-1,0,1,1),((F27-OFFSET($BM$9,DT27-1,0,1,1))*OFFSET($CH$9,DT27-1,0,1,1))+OFFSET($BO$9,DT27-1,CQ27,1,1),IF(F27&lt;OFFSET($BN$9,DT27+0,0,1,1),((F27-OFFSET($BM$9,DT27+0,0,1,1))*OFFSET($CH$9,DT27+0,0,1,1))+OFFSET($BO$9,DT27+0,CQ27,1,1),IF(F27&lt;OFFSET($BN$9,DT27+1,0,1,1),((F27-OFFSET($BM$9,DT27+1,0,1,1))*OFFSET($CH$9,DT27+1,0,1,1))+OFFSET($BO$9,DT27+1,CQ27,1,1),IF(F27&lt;OFFSET($BN$9,DT27+2,0,1,1),((F27-OFFSET($BM$9,DT27+2,0,1,1))*OFFSET($CH$9,DT27+2,0,1,1))+OFFSET($BO$9,DT27+2,CQ27,1,1),IF(F27&lt;OFFSET($BN$9,DT27+3,0,1,1),((F27-OFFSET($BM$9,DT27+3,0,1,1))*OFFSET($CH$9,DT27+3,0,1,1))+OFFSET($BO$9,DT27+3,CQ27,1,1),0))))))</f>
        <v>0</v>
      </c>
      <c r="DV27" s="51">
        <f ca="1">IF($F27&lt;OFFSET($BM$9,$DT27-1,0,1,1),0,IF($F27&lt;OFFSET($BN$9,$DT27-1,0,1,1),IF(AND($H27&gt;2.4,Z27&lt;&gt;"e",Z27&lt;&gt;"f"),DZ27*2.4/$H27,DZ27),IF($F27&lt;OFFSET($BN$9,$DT27+0,0,1,1),IF(AND($H27&gt;2.4,Z27&lt;&gt;"e",Z27&lt;&gt;"f"),DZ27*2.4/$H27,DZ27),IF($F27&lt;OFFSET($BN$9,$DT27+1,0,1,1),IF(AND($H27&gt;2.4,Z27&lt;&gt;"e",Z27&lt;&gt;"f"),DZ27*2.4/$H27,DZ27),IF($F27&lt;OFFSET($BN$9,$DT27+2,0,1,1),IF(AND($H27&gt;2.4,Z27&lt;&gt;"e",Z27&lt;&gt;"f"),DZ27*2.4/$H27,DZ27),IF($F27&lt;OFFSET($BN$9,$DT27+3,0,1,1),IF(AND($H27&gt;2.4,Z27&lt;&gt;"e",Z27&lt;&gt;"f"),DZ27*2.4/$H27,DZ27),0)))))*COS(RADIANS($G27)))</f>
        <v>0</v>
      </c>
      <c r="DW27" s="188">
        <f ca="1">IF(F27&lt;OFFSET($BM$9,DT27-1,0,1,1),0,IF(F27&lt;OFFSET($BN$9,DT27-1,0,1,1),((F27-OFFSET($BM$9,DT27-1,0,1,1))*OFFSET($CI$9,DT27-1,0,1,1))+OFFSET($BP$9,DT27-1,CQ27,1,1),IF(F27&lt;OFFSET($BN$9,DT27+0,0,1,1),((F27-OFFSET($BM$9,DT27+0,0,1,1))*OFFSET($CI$9,DT27+0,0,1,1))+OFFSET($BP$9,DT27+0,CQ27,1,1),IF(F27&lt;OFFSET($BN$9,DT27+1,0,1,1),((F27-OFFSET($BM$9,DT27+1,0,1,1))*OFFSET($CI$9,DT27+1,0,1,1))+OFFSET($BP$9,DT27+1,CQ27,1,1),IF(F27&lt;OFFSET($BN$9,DT27+2,0,1,1),((F27-OFFSET($BM$9,DT27+2,0,1,1))*OFFSET($CI$9,DT27+2,0,1,1))+OFFSET($BP$9,DT27+2,CQ27,1,1),IF(F27&lt;OFFSET($BN$9,DT27+3,0,1,1),((F27-OFFSET($BM$9,DT27+3,0,1,1))*OFFSET($CI$9,DT27+3,0,1,1))+OFFSET($BP$9,DT27+3,CQ27,1,1),0))))))</f>
        <v>0</v>
      </c>
      <c r="DX27" s="51">
        <f ca="1">IF($F27&lt;OFFSET($BM$9,$DT27-1,0,1,1),0,IF($F27&lt;OFFSET($BN$9,$DT27-1,0,1,1),IF(AND($H27&gt;2.4,Z27&lt;&gt;"e",Z27&lt;&gt;"f"),EB27*2.4/$H27,EB27),IF($F27&lt;OFFSET($BN$9,$DT27+0,0,1,1),IF(AND($H27&gt;2.4,Z27&lt;&gt;"e",Z27&lt;&gt;"f"),EB27*2.4/$H27,EB27),IF($F27&lt;OFFSET($BN$9,$DT27+1,0,1,1),IF(AND($H27&gt;2.4,Z27&lt;&gt;"e",Z27&lt;&gt;"f"),EB27*2.4/$H27,EB27),IF($F27&lt;OFFSET($BN$9,$DT27+2,0,1,1),IF(AND($H27&gt;2.4,Z27&lt;&gt;"e",Z27&lt;&gt;"f"),EB27*2.4/$H27,EB27),IF($F27&lt;OFFSET($BN$9,$DT27+3,0,1,1),IF(AND($H27&gt;2.4,Z27&lt;&gt;"e",Z27&lt;&gt;"f"),EB27*2.4/$H27,EB27),0)))))*COS(RADIANS($G27)))</f>
        <v>0</v>
      </c>
      <c r="DY27" s="188"/>
      <c r="DZ27" s="188">
        <f ca="1">IF(DU27&gt;$CR27,$CR27,DU27)</f>
        <v>0</v>
      </c>
      <c r="EA27" s="188"/>
      <c r="EB27" s="188">
        <f ca="1">IF(DW27&gt;$CR27,$CR27,DW27)</f>
        <v>0</v>
      </c>
      <c r="EC27" s="435">
        <f ca="1">IF(DV27&gt;$CR27,$CR27,DV27)</f>
        <v>0</v>
      </c>
      <c r="ED27" s="435">
        <f ca="1">EC27*F27</f>
        <v>0</v>
      </c>
      <c r="EE27" s="436">
        <f ca="1">IF(DX27&gt;$CR27,$CR27,DX27)</f>
        <v>0</v>
      </c>
      <c r="EF27" s="437">
        <f ca="1">EE27*F27</f>
        <v>0</v>
      </c>
      <c r="EG27" s="613" t="str">
        <f>IF(D27=BG$12,BG$12,"")</f>
        <v/>
      </c>
      <c r="EH27" s="614" t="str">
        <f>IF(D27=BG$13,BG$13,"")</f>
        <v/>
      </c>
      <c r="EI27" s="611">
        <f>IF(EG27=BG$12,M27,0)</f>
        <v>0</v>
      </c>
      <c r="EJ27" s="451">
        <f>IF(EG27=BG$12,O27,0)</f>
        <v>0</v>
      </c>
      <c r="EK27" s="451">
        <f>IF(EH27=BG$13,M27,0)</f>
        <v>0</v>
      </c>
      <c r="EL27" s="612">
        <f>IF(EH27=BG$13,O27,0)</f>
        <v>0</v>
      </c>
      <c r="EM27" s="426" t="str">
        <f ca="1">IF(AND(Z27&lt;&gt;"t",Z27&lt;&gt;"f"),"",IF(AND(EN27=$BH$13,K27=$BH$12),"NotOpt",IF(K27&lt;&gt;EN27,"Error","")))</f>
        <v/>
      </c>
      <c r="EN27" s="491" t="str">
        <f>IF(AND($BH$28=1,$BG$28=1),$BH$13,$BH$12)</f>
        <v>120 BU's</v>
      </c>
      <c r="EO27" s="426" t="str">
        <f>K27</f>
        <v xml:space="preserve"> </v>
      </c>
      <c r="EP27" s="497">
        <v>1</v>
      </c>
      <c r="EQ27" s="430" t="str">
        <f ca="1">IF(EP27=1," ",OFFSET(BF$15,EP27-2,0,1,1))</f>
        <v xml:space="preserve"> </v>
      </c>
      <c r="ER27" s="439" t="str">
        <f ca="1">IF(H27=0," ",H27)</f>
        <v xml:space="preserve"> </v>
      </c>
      <c r="ES27" s="440" t="str">
        <f ca="1">IF(ER27&lt;&gt;" ",IF(ER27&lt;&gt;ER$7,"Changed",""),"")</f>
        <v/>
      </c>
      <c r="ET27" s="440">
        <f t="shared" ca="1" si="15"/>
        <v>0</v>
      </c>
      <c r="EU27" s="957" t="str">
        <f ca="1">IF(I27=" "," ",IF(F27&lt;OFFSET($BM$9,CL27-1,0,1,1),1,""))</f>
        <v xml:space="preserve"> </v>
      </c>
      <c r="EW27" s="427"/>
      <c r="EX27"/>
    </row>
    <row r="28" spans="2:154" ht="17.100000000000001" customHeight="1" thickBot="1">
      <c r="B28" s="689" t="s">
        <v>246</v>
      </c>
      <c r="C28" s="684" t="str">
        <f>IF(OR(F28=0,I28="",I28=" ")," ",$V28)</f>
        <v xml:space="preserve"> </v>
      </c>
      <c r="D28" s="1033"/>
      <c r="E28" s="1360" t="s">
        <v>8</v>
      </c>
      <c r="F28" s="202"/>
      <c r="G28" s="1416"/>
      <c r="H28" s="199" t="str">
        <f ca="1">IF(OR(F28=0,Z28="E",Z28="f")," ",'Project Demand'!E$35)</f>
        <v xml:space="preserve"> </v>
      </c>
      <c r="I28" s="631" t="str">
        <f>IF($I$6&lt;&gt;$BG$8," ",AB28)</f>
        <v xml:space="preserve"> </v>
      </c>
      <c r="J28" s="44" t="str">
        <f ca="1">IF(OR(I28=" ",I28="")," ",OFFSET($BO$9,CL28-1,0-4,1,1))</f>
        <v xml:space="preserve"> </v>
      </c>
      <c r="K28" s="55" t="str">
        <f>IF(OR(I28=" ",I28="")," ",IF(OR(Z28="e",Z28="h"),"SD",BG$24))</f>
        <v xml:space="preserve"> </v>
      </c>
      <c r="L28" s="49">
        <f ca="1">CW28</f>
        <v>0</v>
      </c>
      <c r="M28" s="49">
        <f ca="1">CY28</f>
        <v>0</v>
      </c>
      <c r="N28" s="50">
        <f t="shared" ca="1" si="20"/>
        <v>0</v>
      </c>
      <c r="O28" s="126">
        <f t="shared" ca="1" si="20"/>
        <v>0</v>
      </c>
      <c r="P28" s="140"/>
      <c r="Q28" s="752" t="str">
        <f ca="1">IF(AND(OR(Z28="t",Z28="f"),K28=$BH$11),"No Floor!  Change Floor Type",IF(OR(I28=" ",I28="")," ",IF(F28&lt;OFFSET($BM$9,CL28-1,0,1,1),"check L(m)",DE28&amp;IF(AND(DP28&gt;=CY28,DR28&gt;=DB28),IF(AND(ED28&gt;=DP28,EF28&gt;=DR28),CONCATENATE(DS28," will provide same result"),CONCATENATE(CO28," will provide same result")),IF((DP28&gt;=CY28),CONCATENATE(CO28," provides same result in WIND"),IF((DR28&gt;=DB28),CONCATENATE(CO28," provides same result in EQ"),""))))))&amp;IF(ISERROR(FIND("pile",I28,1)),"",IF(INT(F28)&lt;&gt;F28,"Pile!  Use Whole Numbers Only",""))</f>
        <v xml:space="preserve"> </v>
      </c>
      <c r="R28" s="52"/>
      <c r="S28" s="1372"/>
      <c r="T28" s="1372"/>
      <c r="U28" s="1377"/>
      <c r="V28" s="52" t="str">
        <f ca="1">IF(AND(B$5=$BF$9,OR(I28=BH$16,I28=BH$17))," ",IF(ISNUMBER(B$26),(CONCATENATE(B$26,".",W28)),(CONCATENATE(B$26,W28))))</f>
        <v>P0</v>
      </c>
      <c r="W28" s="9">
        <f ca="1">W27+X28</f>
        <v>0</v>
      </c>
      <c r="X28" s="9">
        <f>IF(AND(B$5=$BF$9,OR($I28=$BH$16,$I28=$BH$17,$I28=" ",$I28="",$F28=0)),0,IF(OR($I28=" ",$I28="",$F28=0),0,1))</f>
        <v>0</v>
      </c>
      <c r="Y28" s="896"/>
      <c r="Z28" s="52" t="str">
        <f ca="1">IF(I28=" "," ",OFFSET($BM$9,$CL28-1,8,1,1))</f>
        <v xml:space="preserve"> </v>
      </c>
      <c r="AA28" s="51" t="str">
        <f>IF(G28&gt;=45,"WA","")</f>
        <v/>
      </c>
      <c r="AB28" s="1364" t="str">
        <f>IF(F28&lt;&gt;"",IF(OR(D28=$BG$12,D28=$BG$13),IF(E28&lt;&gt;$BG$17,$BF$12,$BF$13),IF(E28&lt;&gt;$BG$17,$BF$12,$BF$13))," ")</f>
        <v xml:space="preserve"> </v>
      </c>
      <c r="AC28" s="1"/>
      <c r="AJ28" s="2230"/>
      <c r="AK28" s="2779"/>
      <c r="AL28" s="2785"/>
      <c r="AM28" s="1177">
        <f>'Regular and QuickBrace Systems'!F43</f>
        <v>1.2</v>
      </c>
      <c r="AN28" s="1274">
        <f>'Regular and QuickBrace Systems'!G43</f>
        <v>98</v>
      </c>
      <c r="AO28" s="1275">
        <f>'Regular and QuickBrace Systems'!H43</f>
        <v>88</v>
      </c>
      <c r="AP28" s="1277"/>
      <c r="AQ28" s="2665"/>
      <c r="AR28" s="2666"/>
      <c r="AS28" s="2032"/>
      <c r="AT28" s="1339"/>
      <c r="AU28" s="2132"/>
      <c r="AW28" s="1570" t="str">
        <f>'Regular and QuickBrace Systems'!O43</f>
        <v>Yes</v>
      </c>
      <c r="AX28" s="1574" t="str">
        <f>'Regular and QuickBrace Systems'!Q43</f>
        <v>No</v>
      </c>
      <c r="BD28" s="635"/>
      <c r="BF28" s="599" t="str">
        <f>'Custom Elements'!C12</f>
        <v>Custom4</v>
      </c>
      <c r="BG28" s="962">
        <f>'Project Demand'!AQ9</f>
        <v>2</v>
      </c>
      <c r="BH28" s="963">
        <f>'Project Demand'!AQ6</f>
        <v>2</v>
      </c>
      <c r="BI28" s="759"/>
      <c r="BJ28" s="897">
        <f t="shared" si="4"/>
        <v>20</v>
      </c>
      <c r="BK28" s="769" t="str">
        <f t="shared" si="5"/>
        <v xml:space="preserve">  </v>
      </c>
      <c r="BL28" s="960" t="str">
        <f t="shared" si="6"/>
        <v>Custom17</v>
      </c>
      <c r="BM28" s="455">
        <f t="shared" si="7"/>
        <v>9.9999999999999996E-76</v>
      </c>
      <c r="BN28" s="455">
        <v>999</v>
      </c>
      <c r="BO28" s="455">
        <f t="shared" si="8"/>
        <v>0</v>
      </c>
      <c r="BP28" s="925">
        <f t="shared" si="9"/>
        <v>0</v>
      </c>
      <c r="BR28" s="764"/>
      <c r="BS28" s="455"/>
      <c r="BT28" s="455" t="str">
        <f t="shared" si="10"/>
        <v>B</v>
      </c>
      <c r="BU28" s="925" t="str">
        <f t="shared" si="11"/>
        <v>T</v>
      </c>
      <c r="BV28" s="483" t="str">
        <f t="shared" si="12"/>
        <v>Custom17</v>
      </c>
      <c r="BW28" s="910">
        <f t="shared" si="18"/>
        <v>20</v>
      </c>
      <c r="BX28" s="925" t="str">
        <f t="shared" si="16"/>
        <v>Single</v>
      </c>
      <c r="CH28" s="764">
        <f t="shared" si="13"/>
        <v>0</v>
      </c>
      <c r="CI28" s="925">
        <f t="shared" si="14"/>
        <v>0</v>
      </c>
      <c r="CJ28" s="759"/>
      <c r="CK28" s="188"/>
      <c r="CL28" s="979">
        <f>VLOOKUP(I28,Prodlink,2,0)</f>
        <v>0</v>
      </c>
      <c r="CN28" s="497">
        <f ca="1">VLOOKUP(CO28,Prodlink,2,0)</f>
        <v>0</v>
      </c>
      <c r="CO28" s="497">
        <f ca="1">OFFSET($CH$9,CL28-1,-15,1,1)</f>
        <v>0</v>
      </c>
      <c r="CQ28" s="51">
        <v>0</v>
      </c>
      <c r="CR28" s="51">
        <f>IF(K28=$BH$12,$BH$23,IF(K28=$BH$13,$BH$24,10000))</f>
        <v>10000</v>
      </c>
      <c r="CS28" s="51">
        <f ca="1">IF(F28&lt;OFFSET($BM$9,CL28-1,0,1,1),0,IF(F28&lt;OFFSET($BN$9,CL28-1,0,1,1),((F28-OFFSET($BM$9,CL28-1,0,1,1))*OFFSET($CH$9,CL28-1,0,1,1))+OFFSET($BO$9,CL28-1,CQ28,1,1),IF(F28&lt;OFFSET($BN$9,CL28+0,0,1,1),((F28-OFFSET($BM$9,CL28+0,0,1,1))*OFFSET($CH$9,CL28+0,0,1,1))+OFFSET($BO$9,CL28+0,CQ28,1,1),IF(F28&lt;OFFSET($BN$9,CL28+1,0,1,1),((F28-OFFSET($BM$9,CL28+1,0,1,1))*OFFSET($CH$9,CL28+1,0,1,1))+OFFSET($BO$9,CL28+1,CQ28,1,1),IF(F28&lt;OFFSET($BN$9,CL28+2,0,1,1),((F28-OFFSET($BM$9,CL28+2,0,1,1))*OFFSET($CH$9,CL28+2,0,1,1))+OFFSET($BO$9,CL28+2,CQ28,1,1),IF(F28&lt;OFFSET($BN$9,CL28+3,0,1,1),((F28-OFFSET($BM$9,CL28+3,0,1,1))*OFFSET($CH$9,CL28+3,0,1,1))+OFFSET($BO$9,CL28+3,CQ28,1,1),0))))))</f>
        <v>0</v>
      </c>
      <c r="CT28" s="51">
        <f ca="1">IF($F28&lt;OFFSET($BM$9,$CL28-1,0,1,1),0,IF($F28&lt;OFFSET($BN$9,$CL28-1,0,1,1),IF(AND($H28&gt;2.4,Z28&lt;&gt;"e",Z28&lt;&gt;"f"),CX28*2.4/$H28,CX28),IF($F28&lt;OFFSET($BN$9,$CL28+0,0,1,1),IF(AND($H28&gt;2.4,Z28&lt;&gt;"e",Z28&lt;&gt;"f"),CX28*2.4/$H28,CX28),IF($F28&lt;OFFSET($BN$9,$CL28+1,0,1,1),IF(AND($H28&gt;2.4,Z28&lt;&gt;"e",Z28&lt;&gt;"f"),CX28*2.4/$H28,CX28),IF($F28&lt;OFFSET($BN$9,CL28+2,0,1,1),IF(AND($H28&gt;2.4,Z28&lt;&gt;"e",Z28&lt;&gt;"f"),CX28*2.4/$H28,CX28),IF($F28&lt;OFFSET($BN$9,CL28+3,0,1,1),IF(AND($H28&gt;2.4,Z28&lt;&gt;"e",Z28&lt;&gt;"f"),CX28*2.4/$H28,CX28),0)))))*COS(RADIANS($G28)))</f>
        <v>0</v>
      </c>
      <c r="CU28" s="51">
        <f ca="1">IF(F28&lt;OFFSET($BM$9,CL28-1,0,1,1),0,IF(F28&lt;OFFSET($BN$9,CL28-1,0,1,1),((F28-OFFSET($BM$9,CL28-1,0,1,1))*OFFSET($CI$9,CL28-1,0,1,1))+OFFSET($BP$9,CL28-1,CQ28,1,1),IF(F28&lt;OFFSET($BN$9,CL28+0,0,1,1),((F28-OFFSET($BM$9,CL28+0,0,1,1))*OFFSET($CI$9,CL28+0,0,1,1))+OFFSET($BP$9,CL28+0,CQ28,1,1),IF(F28&lt;OFFSET($BN$9,CL28+1,0,1,1),((F28-OFFSET($BM$9,CL28+1,0,1,1))*OFFSET($CI$9,CL28+1,0,1,1))+OFFSET($BP$9,CL28+1,CQ28,1,1),IF(F28&lt;OFFSET($BN$9,CL28+2,0,1,1),((F28-OFFSET($BM$9,CL28+2,0,1,1))*OFFSET($CI$9,CL28+2,0,1,1))+OFFSET($BP$9,CL28+2,CQ28,1,1),IF(F28&lt;OFFSET($BN$9,CL28+3,0,1,1),((F28-OFFSET($BM$9,CL28+3,0,1,1))*OFFSET($CI$9,CL28+3,0,1,1))+OFFSET($BP$9,CL28+3,CQ28,1,1),0))))))</f>
        <v>0</v>
      </c>
      <c r="CV28" s="51">
        <f ca="1">IF($F28&lt;OFFSET($BM$9,$CL28-1,0,1,1),0,IF($F28&lt;OFFSET($BN$9,$CL28-1,0,1,1),IF(AND($H28&gt;2.4,Z28&lt;&gt;"e",Z28&lt;&gt;"f"),CZ28*2.4/$H28,CZ28),IF($F28&lt;OFFSET($BN$9,$CL28+0,0,1,1),IF(AND($H28&gt;2.4,Z28&lt;&gt;"e",Z28&lt;&gt;"f"),CZ28*2.4/$H28,CZ28),IF($F28&lt;OFFSET($BN$9,$CL28+1,0,1,1),IF(AND($H28&gt;2.4,Z28&lt;&gt;"e",Z28&lt;&gt;"f"),CZ28*2.4/$H28,CZ28),IF($F28&lt;OFFSET($BN$9,$CL28+2,0,1,1),IF(AND($H28&gt;2.4,Z28&lt;&gt;"e",Z28&lt;&gt;"f"),CZ28*2.4/$H28,CZ28),IF($F28&lt;OFFSET($BN$9,$CL28+3,0,1,1),IF(AND($H28&gt;2.4,Z28&lt;&gt;"e",Z28&lt;&gt;"f"),CZ28*2.4/$H28,CZ28),0)))))*COS(RADIANS($G28)))</f>
        <v>0</v>
      </c>
      <c r="CW28" s="51">
        <f ca="1">IF(CT28&gt;CR28,CR28,CT28)</f>
        <v>0</v>
      </c>
      <c r="CX28" s="51">
        <f ca="1">IF(CS28&gt;$CR28,$CR28,CS28)</f>
        <v>0</v>
      </c>
      <c r="CY28" s="51">
        <f ca="1">CW28*F28</f>
        <v>0</v>
      </c>
      <c r="CZ28" s="51">
        <f ca="1">IF($CU28&gt;$CR28,$CR28,$CU28)</f>
        <v>0</v>
      </c>
      <c r="DA28" s="51">
        <f ca="1">IF(CV28&gt;CR28,CR28,CV28)</f>
        <v>0</v>
      </c>
      <c r="DB28" s="51">
        <f ca="1">DA28*F28</f>
        <v>0</v>
      </c>
      <c r="DC28" s="993">
        <v>3</v>
      </c>
      <c r="DD28" s="758" t="str">
        <f>IF(OR(D28=BG$12,D28=BG$13),"External",IF(D28=BG$14,"Internal"," "))</f>
        <v xml:space="preserve"> </v>
      </c>
      <c r="DE28" s="51" t="str">
        <f t="shared" ca="1" si="2"/>
        <v/>
      </c>
      <c r="DF28" s="52" t="str">
        <f t="shared" ca="1" si="3"/>
        <v xml:space="preserve"> </v>
      </c>
      <c r="DG28" s="51">
        <f ca="1">IF(F28&lt;OFFSET($BM$9,CN28-1,0,1,1),0,IF(F28&lt;OFFSET($BN$9,CN28-1,0,1,1),((F28-OFFSET($BM$9,CN28-1,0,1,1))*OFFSET($CH$9,CN28-1,0,1,1))+OFFSET($BO$9,CN28-1,CQ28,1,1),IF(F28&lt;OFFSET($BN$9,CN28+0,0,1,1),((F28-OFFSET($BM$9,CN28+0,0,1,1))*OFFSET($CH$9,CN28+0,0,1,1))+OFFSET($BO$9,CN28+0,CQ28,1,1),IF(F28&lt;OFFSET($BN$9,CN28+1,0,1,1),((F28-OFFSET($BM$9,CN28+1,0,1,1))*OFFSET($CH$9,CN28+1,0,1,1))+OFFSET($BO$9,CN28+1,CQ28,1,1),IF(F28&lt;OFFSET($BN$9,CN28+2,0,1,1),((F28-OFFSET($BM$9,CN28+2,0,1,1))*OFFSET($CH$9,CN28+2,0,1,1))+OFFSET($BO$9,CN28+2,CQ28,1,1),IF(F28&lt;OFFSET($BN$9,CN28+3,0,1,1),((F28-OFFSET($BM$9,CN28+3,0,1,1))*OFFSET($CH$9,CN28+3,0,1,1))+OFFSET($BO$9,CN28+3,CQ28,1,1),0))))))</f>
        <v>0</v>
      </c>
      <c r="DH28" s="51">
        <f ca="1">IF($F28&lt;OFFSET($BM$9,$CN28-1,0,1,1),0,IF($F28&lt;OFFSET($BN$9,$CN28-1,0,1,1),IF(AND($H28&gt;2.4,Z28&lt;&gt;"e",Z28&lt;&gt;"f"),DL28*2.4/$H28,DL28),IF($F28&lt;OFFSET($BN$9,$CN28+0,0,1,1),IF(AND($H28&gt;2.4,Z28&lt;&gt;"e",Z28&lt;&gt;"f"),DL28*2.4/$H28,DL28),IF($F28&lt;OFFSET($BN$9,$CN28+1,0,1,1),IF(AND($H28&gt;2.4,Z28&lt;&gt;"e",Z28&lt;&gt;"f"),DL28*2.4/$H28,DL28),IF($F28&lt;OFFSET($BN$9,$CN28+2,0,1,1),IF(AND($H28&gt;2.4,Z28&lt;&gt;"e",Z28&lt;&gt;"f"),DL28*2.4/$H28,DL28),IF($F28&lt;OFFSET($BN$9,$CN28+3,0,1,1),IF(AND($H28&gt;2.4,Z28&lt;&gt;"e",Z28&lt;&gt;"f"),DL28*2.4/$H28,DL28),0)))))*COS(RADIANS($G28)))</f>
        <v>0</v>
      </c>
      <c r="DI28" s="51">
        <f ca="1">IF(F28&lt;OFFSET($BM$9,CN28-1,0,1,1),0,IF(F28&lt;OFFSET($BN$9,CN28-1,0,1,1),((F28-OFFSET($BM$9,CN28-1,0,1,1))*OFFSET($CI$9,CN28-1,0,1,1))+OFFSET($BP$9,CN28-1,CQ28,1,1),IF(F28&lt;OFFSET($BN$9,CN28+0,0,1,1),((F28-OFFSET($BM$9,CN28+0,0,1,1))*OFFSET($CI$9,CN28+0,0,1,1))+OFFSET($BP$9,CN28+0,CQ28,1,1),IF(F28&lt;OFFSET($BN$9,CN28+1,0,1,1),((F28-OFFSET($BM$9,CN28+1,0,1,1))*OFFSET($CI$9,CN28+1,0,1,1))+OFFSET($BP$9,CN28+1,CQ28,1,1),IF(F28&lt;OFFSET($BN$9,CN28+2,0,1,1),((F28-OFFSET($BM$9,CN28+2,0,1,1))*OFFSET($CI$9,CN28+2,0,1,1))+OFFSET($BP$9,CN28+2,CQ28,1,1),IF(F28&lt;OFFSET($BN$9,CN28+3,0,1,1),((F28-OFFSET($BM$9,CN28+3,0,1,1))*OFFSET($CI$9,CN28+3,0,1,1))+OFFSET($BP$9,CN28+3,CQ28,1,1),0))))))</f>
        <v>0</v>
      </c>
      <c r="DJ28" s="51">
        <f ca="1">IF($F28&lt;OFFSET($BM$9,$CN28-1,0,1,1),0,IF($F28&lt;OFFSET($BN$9,$CN28-1,0,1,1),IF(AND($H28&gt;2.4,Z28&lt;&gt;"e",Z28&lt;&gt;"f"),DN28*2.4/$H28,DN28),IF($F28&lt;OFFSET($BN$9,$CN28+0,0,1,1),IF(AND($H28&gt;2.4,Z28&lt;&gt;"e",Z28&lt;&gt;"f"),DN28*2.4/$H28,DN28),IF($F28&lt;OFFSET($BN$9,$CN28+1,0,1,1),IF(AND($H28&gt;2.4,Z28&lt;&gt;"e",Z28&lt;&gt;"f"),DN28*2.4/$H28,DN28),IF($F28&lt;OFFSET($BN$9,$CN28+2,0,1,1),IF(AND($H28&gt;2.4,Z28&lt;&gt;"e",Z28&lt;&gt;"f"),DN28*2.4/$H28,DN28),IF($F28&lt;OFFSET($BN$9,$CN28+3,0,1,1),IF(AND($H28&gt;2.4,Z28&lt;&gt;"e",Z28&lt;&gt;"f"),DN28*2.4/$H28,DN28),0)))))*COS(RADIANS($G28)))</f>
        <v>0</v>
      </c>
      <c r="DK28" s="51"/>
      <c r="DL28" s="51">
        <f ca="1">IF(DG28&gt;$CR28,$CR28,DG28)</f>
        <v>0</v>
      </c>
      <c r="DM28" s="51"/>
      <c r="DN28" s="51">
        <f ca="1">IF(DI28&gt;$CR28,$CR28,DI28)</f>
        <v>0</v>
      </c>
      <c r="DO28" s="435">
        <f ca="1">IF(DH28&gt;$CR28,$CR28,DH28)</f>
        <v>0</v>
      </c>
      <c r="DP28" s="435">
        <f ca="1">DO28*F28</f>
        <v>0</v>
      </c>
      <c r="DQ28" s="436">
        <f ca="1">IF(DJ28&gt;$CR28,$CR28,DJ28)</f>
        <v>0</v>
      </c>
      <c r="DR28" s="437">
        <f ca="1">DQ28*F28</f>
        <v>0</v>
      </c>
      <c r="DS28" s="426">
        <f ca="1">OFFSET($CH$9,CL28-1,-15,1,1)</f>
        <v>0</v>
      </c>
      <c r="DT28" s="451">
        <f t="shared" ca="1" si="1"/>
        <v>0</v>
      </c>
      <c r="DU28" s="188">
        <f ca="1">IF(F28&lt;OFFSET($BM$9,DT28-1,0,1,1),0,IF(F28&lt;OFFSET($BN$9,DT28-1,0,1,1),((F28-OFFSET($BM$9,DT28-1,0,1,1))*OFFSET($CH$9,DT28-1,0,1,1))+OFFSET($BO$9,DT28-1,CQ28,1,1),IF(F28&lt;OFFSET($BN$9,DT28+0,0,1,1),((F28-OFFSET($BM$9,DT28+0,0,1,1))*OFFSET($CH$9,DT28+0,0,1,1))+OFFSET($BO$9,DT28+0,CQ28,1,1),IF(F28&lt;OFFSET($BN$9,DT28+1,0,1,1),((F28-OFFSET($BM$9,DT28+1,0,1,1))*OFFSET($CH$9,DT28+1,0,1,1))+OFFSET($BO$9,DT28+1,CQ28,1,1),IF(F28&lt;OFFSET($BN$9,DT28+2,0,1,1),((F28-OFFSET($BM$9,DT28+2,0,1,1))*OFFSET($CH$9,DT28+2,0,1,1))+OFFSET($BO$9,DT28+2,CQ28,1,1),IF(F28&lt;OFFSET($BN$9,DT28+3,0,1,1),((F28-OFFSET($BM$9,DT28+3,0,1,1))*OFFSET($CH$9,DT28+3,0,1,1))+OFFSET($BO$9,DT28+3,CQ28,1,1),0))))))</f>
        <v>0</v>
      </c>
      <c r="DV28" s="51">
        <f ca="1">IF($F28&lt;OFFSET($BM$9,$DT28-1,0,1,1),0,IF($F28&lt;OFFSET($BN$9,$DT28-1,0,1,1),IF(AND($H28&gt;2.4,Z28&lt;&gt;"e",Z28&lt;&gt;"f"),DZ28*2.4/$H28,DZ28),IF($F28&lt;OFFSET($BN$9,$DT28+0,0,1,1),IF(AND($H28&gt;2.4,Z28&lt;&gt;"e",Z28&lt;&gt;"f"),DZ28*2.4/$H28,DZ28),IF($F28&lt;OFFSET($BN$9,$DT28+1,0,1,1),IF(AND($H28&gt;2.4,Z28&lt;&gt;"e",Z28&lt;&gt;"f"),DZ28*2.4/$H28,DZ28),IF($F28&lt;OFFSET($BN$9,$DT28+2,0,1,1),IF(AND($H28&gt;2.4,Z28&lt;&gt;"e",Z28&lt;&gt;"f"),DZ28*2.4/$H28,DZ28),IF($F28&lt;OFFSET($BN$9,$DT28+3,0,1,1),IF(AND($H28&gt;2.4,Z28&lt;&gt;"e",Z28&lt;&gt;"f"),DZ28*2.4/$H28,DZ28),0)))))*COS(RADIANS($G28)))</f>
        <v>0</v>
      </c>
      <c r="DW28" s="188">
        <f ca="1">IF(F28&lt;OFFSET($BM$9,DT28-1,0,1,1),0,IF(F28&lt;OFFSET($BN$9,DT28-1,0,1,1),((F28-OFFSET($BM$9,DT28-1,0,1,1))*OFFSET($CI$9,DT28-1,0,1,1))+OFFSET($BP$9,DT28-1,CQ28,1,1),IF(F28&lt;OFFSET($BN$9,DT28+0,0,1,1),((F28-OFFSET($BM$9,DT28+0,0,1,1))*OFFSET($CI$9,DT28+0,0,1,1))+OFFSET($BP$9,DT28+0,CQ28,1,1),IF(F28&lt;OFFSET($BN$9,DT28+1,0,1,1),((F28-OFFSET($BM$9,DT28+1,0,1,1))*OFFSET($CI$9,DT28+1,0,1,1))+OFFSET($BP$9,DT28+1,CQ28,1,1),IF(F28&lt;OFFSET($BN$9,DT28+2,0,1,1),((F28-OFFSET($BM$9,DT28+2,0,1,1))*OFFSET($CI$9,DT28+2,0,1,1))+OFFSET($BP$9,DT28+2,CQ28,1,1),IF(F28&lt;OFFSET($BN$9,DT28+3,0,1,1),((F28-OFFSET($BM$9,DT28+3,0,1,1))*OFFSET($CI$9,DT28+3,0,1,1))+OFFSET($BP$9,DT28+3,CQ28,1,1),0))))))</f>
        <v>0</v>
      </c>
      <c r="DX28" s="51">
        <f ca="1">IF($F28&lt;OFFSET($BM$9,$DT28-1,0,1,1),0,IF($F28&lt;OFFSET($BN$9,$DT28-1,0,1,1),IF(AND($H28&gt;2.4,Z28&lt;&gt;"e",Z28&lt;&gt;"f"),EB28*2.4/$H28,EB28),IF($F28&lt;OFFSET($BN$9,$DT28+0,0,1,1),IF(AND($H28&gt;2.4,Z28&lt;&gt;"e",Z28&lt;&gt;"f"),EB28*2.4/$H28,EB28),IF($F28&lt;OFFSET($BN$9,$DT28+1,0,1,1),IF(AND($H28&gt;2.4,Z28&lt;&gt;"e",Z28&lt;&gt;"f"),EB28*2.4/$H28,EB28),IF($F28&lt;OFFSET($BN$9,$DT28+2,0,1,1),IF(AND($H28&gt;2.4,Z28&lt;&gt;"e",Z28&lt;&gt;"f"),EB28*2.4/$H28,EB28),IF($F28&lt;OFFSET($BN$9,$DT28+3,0,1,1),IF(AND($H28&gt;2.4,Z28&lt;&gt;"e",Z28&lt;&gt;"f"),EB28*2.4/$H28,EB28),0)))))*COS(RADIANS($G28)))</f>
        <v>0</v>
      </c>
      <c r="DY28" s="188"/>
      <c r="DZ28" s="188">
        <f ca="1">IF(DU28&gt;$CR28,$CR28,DU28)</f>
        <v>0</v>
      </c>
      <c r="EA28" s="188"/>
      <c r="EB28" s="188">
        <f ca="1">IF(DW28&gt;$CR28,$CR28,DW28)</f>
        <v>0</v>
      </c>
      <c r="EC28" s="435">
        <f ca="1">IF(DV28&gt;$CR28,$CR28,DV28)</f>
        <v>0</v>
      </c>
      <c r="ED28" s="435">
        <f ca="1">EC28*F28</f>
        <v>0</v>
      </c>
      <c r="EE28" s="436">
        <f ca="1">IF(DX28&gt;$CR28,$CR28,DX28)</f>
        <v>0</v>
      </c>
      <c r="EF28" s="437">
        <f ca="1">EE28*F28</f>
        <v>0</v>
      </c>
      <c r="EG28" s="613" t="str">
        <f>IF(D28=BG$12,BG$12,"")</f>
        <v/>
      </c>
      <c r="EH28" s="614" t="str">
        <f>IF(D28=BG$13,BG$13,"")</f>
        <v/>
      </c>
      <c r="EI28" s="611">
        <f>IF(EG28=BG$12,M28,0)</f>
        <v>0</v>
      </c>
      <c r="EJ28" s="451">
        <f>IF(EG28=BG$12,O28,0)</f>
        <v>0</v>
      </c>
      <c r="EK28" s="451">
        <f>IF(EH28=BG$13,M28,0)</f>
        <v>0</v>
      </c>
      <c r="EL28" s="612">
        <f>IF(EH28=BG$13,O28,0)</f>
        <v>0</v>
      </c>
      <c r="EM28" s="426" t="str">
        <f ca="1">IF(AND(Z28&lt;&gt;"t",Z28&lt;&gt;"f"),"",IF(AND(EN28=$BH$13,K28=$BH$12),"NotOpt",IF(K28&lt;&gt;EN28,"Error","")))</f>
        <v/>
      </c>
      <c r="EN28" s="491" t="str">
        <f>IF(AND($BH$28=1,$BG$28=1),$BH$13,$BH$12)</f>
        <v>120 BU's</v>
      </c>
      <c r="EO28" s="426" t="str">
        <f>K28</f>
        <v xml:space="preserve"> </v>
      </c>
      <c r="EP28" s="497">
        <v>1</v>
      </c>
      <c r="EQ28" s="430" t="str">
        <f ca="1">IF(EP28=1," ",OFFSET(BF$15,EP28-2,0,1,1))</f>
        <v xml:space="preserve"> </v>
      </c>
      <c r="ER28" s="439" t="str">
        <f ca="1">IF(H28=0," ",H28)</f>
        <v xml:space="preserve"> </v>
      </c>
      <c r="ES28" s="440" t="str">
        <f ca="1">IF(ER28&lt;&gt;" ",IF(ER28&lt;&gt;ER$7,"Changed",""),"")</f>
        <v/>
      </c>
      <c r="ET28" s="440">
        <f t="shared" ca="1" si="15"/>
        <v>0</v>
      </c>
      <c r="EU28" s="957" t="str">
        <f ca="1">IF(I28=" "," ",IF(F28&lt;OFFSET($BM$9,CL28-1,0,1,1),1,""))</f>
        <v xml:space="preserve"> </v>
      </c>
      <c r="EW28" s="427"/>
      <c r="EX28"/>
    </row>
    <row r="29" spans="2:154" ht="17.100000000000001" customHeight="1">
      <c r="B29" s="689" t="s">
        <v>246</v>
      </c>
      <c r="C29" s="684" t="str">
        <f>IF(OR(F29=0,I29="",I29=" ")," ",$V29)</f>
        <v xml:space="preserve"> </v>
      </c>
      <c r="D29" s="1033"/>
      <c r="E29" s="1360" t="s">
        <v>8</v>
      </c>
      <c r="F29" s="202"/>
      <c r="G29" s="1416"/>
      <c r="H29" s="199" t="str">
        <f ca="1">IF(OR(F29=0,Z29="E",Z29="f")," ",'Project Demand'!E$35)</f>
        <v xml:space="preserve"> </v>
      </c>
      <c r="I29" s="631" t="str">
        <f>IF($I$6&lt;&gt;$BG$8," ",AB29)</f>
        <v xml:space="preserve"> </v>
      </c>
      <c r="J29" s="44" t="str">
        <f ca="1">IF(OR(I29=" ",I29="")," ",OFFSET($BO$9,CL29-1,0-4,1,1))</f>
        <v xml:space="preserve"> </v>
      </c>
      <c r="K29" s="55" t="str">
        <f>IF(OR(I29=" ",I29="")," ",IF(OR(Z29="e",Z29="h"),"SD",BG$24))</f>
        <v xml:space="preserve"> </v>
      </c>
      <c r="L29" s="49">
        <f ca="1">CW29</f>
        <v>0</v>
      </c>
      <c r="M29" s="49">
        <f ca="1">CY29</f>
        <v>0</v>
      </c>
      <c r="N29" s="50">
        <f t="shared" ca="1" si="20"/>
        <v>0</v>
      </c>
      <c r="O29" s="126">
        <f t="shared" ca="1" si="20"/>
        <v>0</v>
      </c>
      <c r="P29" s="140"/>
      <c r="Q29" s="752" t="str">
        <f ca="1">IF(AND(OR(Z29="t",Z29="f"),K29=$BH$11),"No Floor!  Change Floor Type",IF(OR(I29=" ",I29="")," ",IF(F29&lt;OFFSET($BM$9,CL29-1,0,1,1),"check L(m)",DE29&amp;IF(AND(DP29&gt;=CY29,DR29&gt;=DB29),IF(AND(ED29&gt;=DP29,EF29&gt;=DR29),CONCATENATE(DS29," will provide same result"),CONCATENATE(CO29," will provide same result")),IF((DP29&gt;=CY29),CONCATENATE(CO29," provides same result in WIND"),IF((DR29&gt;=DB29),CONCATENATE(CO29," provides same result in EQ"),""))))))&amp;IF(ISERROR(FIND("pile",I29,1)),"",IF(INT(F29)&lt;&gt;F29,"Pile!  Use Whole Numbers Only",""))</f>
        <v xml:space="preserve"> </v>
      </c>
      <c r="R29" s="52"/>
      <c r="S29" s="1372"/>
      <c r="T29" s="1372"/>
      <c r="U29" s="1377"/>
      <c r="V29" s="52" t="str">
        <f ca="1">IF(AND(B$5=$BF$9,OR(I29=BH$16,I29=BH$17))," ",IF(ISNUMBER(B$26),(CONCATENATE(B$26,".",W29)),(CONCATENATE(B$26,W29))))</f>
        <v>P0</v>
      </c>
      <c r="W29" s="9">
        <f ca="1">W28+X29</f>
        <v>0</v>
      </c>
      <c r="X29" s="9">
        <f>IF(AND(B$5=$BF$9,OR($I29=$BH$16,$I29=$BH$17,$I29=" ",$I29="",$F29=0)),0,IF(OR($I29=" ",$I29="",$F29=0),0,1))</f>
        <v>0</v>
      </c>
      <c r="Y29" s="896"/>
      <c r="Z29" s="52" t="str">
        <f ca="1">IF(I29=" "," ",OFFSET($BM$9,$CL29-1,8,1,1))</f>
        <v xml:space="preserve"> </v>
      </c>
      <c r="AA29" s="51" t="str">
        <f>IF(G29&gt;=45,"WA","")</f>
        <v/>
      </c>
      <c r="AB29" s="1364" t="str">
        <f>IF(F29&lt;&gt;"",IF(OR(D29=$BG$12,D29=$BG$13),IF(E29&lt;&gt;$BG$17,$BF$12,$BF$13),IF(E29&lt;&gt;$BG$17,$BF$12,$BF$13))," ")</f>
        <v xml:space="preserve"> </v>
      </c>
      <c r="AC29" s="1"/>
      <c r="AJ29" s="2230"/>
      <c r="AK29" s="2779"/>
      <c r="AL29" s="2783" t="str">
        <f>'Regular and QuickBrace Systems'!E44</f>
        <v>ESSH</v>
      </c>
      <c r="AM29" s="1176">
        <f>'Regular and QuickBrace Systems'!F44</f>
        <v>0.4</v>
      </c>
      <c r="AN29" s="1272">
        <f>'Regular and QuickBrace Systems'!G44</f>
        <v>95</v>
      </c>
      <c r="AO29" s="1273">
        <f>'Regular and QuickBrace Systems'!H44</f>
        <v>109</v>
      </c>
      <c r="AP29" s="1594"/>
      <c r="AQ29" s="2661" t="str">
        <f>'Regular and QuickBrace Systems'!I41</f>
        <v>Specialised QuickBrace Pattern</v>
      </c>
      <c r="AR29" s="2662"/>
      <c r="AS29" s="2030" t="str">
        <f>'Regular and QuickBrace Systems'!K44</f>
        <v>Yes</v>
      </c>
      <c r="AT29" s="1339"/>
      <c r="AU29" s="2131" t="str">
        <f>'Regular and QuickBrace Systems'!M44</f>
        <v>Elephant Standard-Plus board Both sides</v>
      </c>
      <c r="AW29" s="1567" t="str">
        <f>'Regular and QuickBrace Systems'!O44</f>
        <v>Yes</v>
      </c>
      <c r="AX29" s="1573" t="str">
        <f>'Regular and QuickBrace Systems'!Q44</f>
        <v>No</v>
      </c>
      <c r="BD29" s="2648"/>
      <c r="BF29" s="599" t="str">
        <f>'Custom Elements'!C13</f>
        <v>Custom5</v>
      </c>
      <c r="BI29" s="759"/>
      <c r="BJ29" s="897">
        <f t="shared" si="4"/>
        <v>21</v>
      </c>
      <c r="BK29" s="769" t="str">
        <f t="shared" si="5"/>
        <v xml:space="preserve">  </v>
      </c>
      <c r="BL29" s="771" t="str">
        <f t="shared" si="6"/>
        <v>Custom18</v>
      </c>
      <c r="BM29" s="455">
        <f t="shared" si="7"/>
        <v>9.9999999999999996E-76</v>
      </c>
      <c r="BN29" s="455">
        <v>999</v>
      </c>
      <c r="BO29" s="455">
        <f t="shared" si="8"/>
        <v>0</v>
      </c>
      <c r="BP29" s="925">
        <f t="shared" si="9"/>
        <v>0</v>
      </c>
      <c r="BR29" s="764"/>
      <c r="BS29" s="455"/>
      <c r="BT29" s="455" t="str">
        <f t="shared" si="10"/>
        <v>B</v>
      </c>
      <c r="BU29" s="925" t="str">
        <f t="shared" si="11"/>
        <v>T</v>
      </c>
      <c r="BV29" s="483" t="str">
        <f t="shared" si="12"/>
        <v>Custom18</v>
      </c>
      <c r="BW29" s="910">
        <f t="shared" si="18"/>
        <v>21</v>
      </c>
      <c r="BX29" s="925" t="str">
        <f t="shared" si="16"/>
        <v>Single</v>
      </c>
      <c r="CH29" s="764">
        <f t="shared" si="13"/>
        <v>0</v>
      </c>
      <c r="CI29" s="925">
        <f t="shared" si="14"/>
        <v>0</v>
      </c>
      <c r="CJ29" s="759"/>
      <c r="CK29" s="188"/>
      <c r="CL29" s="979">
        <f>VLOOKUP(I29,Prodlink,2,0)</f>
        <v>0</v>
      </c>
      <c r="CN29" s="497">
        <f ca="1">VLOOKUP(CO29,Prodlink,2,0)</f>
        <v>0</v>
      </c>
      <c r="CO29" s="497">
        <f ca="1">OFFSET($CH$9,CL29-1,-15,1,1)</f>
        <v>0</v>
      </c>
      <c r="CQ29" s="51">
        <v>0</v>
      </c>
      <c r="CR29" s="51">
        <f>IF(K29=$BH$12,$BH$23,IF(K29=$BH$13,$BH$24,10000))</f>
        <v>10000</v>
      </c>
      <c r="CS29" s="51">
        <f ca="1">IF(F29&lt;OFFSET($BM$9,CL29-1,0,1,1),0,IF(F29&lt;OFFSET($BN$9,CL29-1,0,1,1),((F29-OFFSET($BM$9,CL29-1,0,1,1))*OFFSET($CH$9,CL29-1,0,1,1))+OFFSET($BO$9,CL29-1,CQ29,1,1),IF(F29&lt;OFFSET($BN$9,CL29+0,0,1,1),((F29-OFFSET($BM$9,CL29+0,0,1,1))*OFFSET($CH$9,CL29+0,0,1,1))+OFFSET($BO$9,CL29+0,CQ29,1,1),IF(F29&lt;OFFSET($BN$9,CL29+1,0,1,1),((F29-OFFSET($BM$9,CL29+1,0,1,1))*OFFSET($CH$9,CL29+1,0,1,1))+OFFSET($BO$9,CL29+1,CQ29,1,1),IF(F29&lt;OFFSET($BN$9,CL29+2,0,1,1),((F29-OFFSET($BM$9,CL29+2,0,1,1))*OFFSET($CH$9,CL29+2,0,1,1))+OFFSET($BO$9,CL29+2,CQ29,1,1),IF(F29&lt;OFFSET($BN$9,CL29+3,0,1,1),((F29-OFFSET($BM$9,CL29+3,0,1,1))*OFFSET($CH$9,CL29+3,0,1,1))+OFFSET($BO$9,CL29+3,CQ29,1,1),0))))))</f>
        <v>0</v>
      </c>
      <c r="CT29" s="51">
        <f ca="1">IF($F29&lt;OFFSET($BM$9,$CL29-1,0,1,1),0,IF($F29&lt;OFFSET($BN$9,$CL29-1,0,1,1),IF(AND($H29&gt;2.4,Z29&lt;&gt;"e",Z29&lt;&gt;"f"),CX29*2.4/$H29,CX29),IF($F29&lt;OFFSET($BN$9,$CL29+0,0,1,1),IF(AND($H29&gt;2.4,Z29&lt;&gt;"e",Z29&lt;&gt;"f"),CX29*2.4/$H29,CX29),IF($F29&lt;OFFSET($BN$9,$CL29+1,0,1,1),IF(AND($H29&gt;2.4,Z29&lt;&gt;"e",Z29&lt;&gt;"f"),CX29*2.4/$H29,CX29),IF($F29&lt;OFFSET($BN$9,CL29+2,0,1,1),IF(AND($H29&gt;2.4,Z29&lt;&gt;"e",Z29&lt;&gt;"f"),CX29*2.4/$H29,CX29),IF($F29&lt;OFFSET($BN$9,CL29+3,0,1,1),IF(AND($H29&gt;2.4,Z29&lt;&gt;"e",Z29&lt;&gt;"f"),CX29*2.4/$H29,CX29),0)))))*COS(RADIANS($G29)))</f>
        <v>0</v>
      </c>
      <c r="CU29" s="51">
        <f ca="1">IF(F29&lt;OFFSET($BM$9,CL29-1,0,1,1),0,IF(F29&lt;OFFSET($BN$9,CL29-1,0,1,1),((F29-OFFSET($BM$9,CL29-1,0,1,1))*OFFSET($CI$9,CL29-1,0,1,1))+OFFSET($BP$9,CL29-1,CQ29,1,1),IF(F29&lt;OFFSET($BN$9,CL29+0,0,1,1),((F29-OFFSET($BM$9,CL29+0,0,1,1))*OFFSET($CI$9,CL29+0,0,1,1))+OFFSET($BP$9,CL29+0,CQ29,1,1),IF(F29&lt;OFFSET($BN$9,CL29+1,0,1,1),((F29-OFFSET($BM$9,CL29+1,0,1,1))*OFFSET($CI$9,CL29+1,0,1,1))+OFFSET($BP$9,CL29+1,CQ29,1,1),IF(F29&lt;OFFSET($BN$9,CL29+2,0,1,1),((F29-OFFSET($BM$9,CL29+2,0,1,1))*OFFSET($CI$9,CL29+2,0,1,1))+OFFSET($BP$9,CL29+2,CQ29,1,1),IF(F29&lt;OFFSET($BN$9,CL29+3,0,1,1),((F29-OFFSET($BM$9,CL29+3,0,1,1))*OFFSET($CI$9,CL29+3,0,1,1))+OFFSET($BP$9,CL29+3,CQ29,1,1),0))))))</f>
        <v>0</v>
      </c>
      <c r="CV29" s="51">
        <f ca="1">IF($F29&lt;OFFSET($BM$9,$CL29-1,0,1,1),0,IF($F29&lt;OFFSET($BN$9,$CL29-1,0,1,1),IF(AND($H29&gt;2.4,Z29&lt;&gt;"e",Z29&lt;&gt;"f"),CZ29*2.4/$H29,CZ29),IF($F29&lt;OFFSET($BN$9,$CL29+0,0,1,1),IF(AND($H29&gt;2.4,Z29&lt;&gt;"e",Z29&lt;&gt;"f"),CZ29*2.4/$H29,CZ29),IF($F29&lt;OFFSET($BN$9,$CL29+1,0,1,1),IF(AND($H29&gt;2.4,Z29&lt;&gt;"e",Z29&lt;&gt;"f"),CZ29*2.4/$H29,CZ29),IF($F29&lt;OFFSET($BN$9,$CL29+2,0,1,1),IF(AND($H29&gt;2.4,Z29&lt;&gt;"e",Z29&lt;&gt;"f"),CZ29*2.4/$H29,CZ29),IF($F29&lt;OFFSET($BN$9,$CL29+3,0,1,1),IF(AND($H29&gt;2.4,Z29&lt;&gt;"e",Z29&lt;&gt;"f"),CZ29*2.4/$H29,CZ29),0)))))*COS(RADIANS($G29)))</f>
        <v>0</v>
      </c>
      <c r="CW29" s="51">
        <f ca="1">IF(CT29&gt;CR29,CR29,CT29)</f>
        <v>0</v>
      </c>
      <c r="CX29" s="51">
        <f ca="1">IF(CS29&gt;$CR29,$CR29,CS29)</f>
        <v>0</v>
      </c>
      <c r="CY29" s="51">
        <f ca="1">CW29*F29</f>
        <v>0</v>
      </c>
      <c r="CZ29" s="51">
        <f ca="1">IF($CU29&gt;$CR29,$CR29,$CU29)</f>
        <v>0</v>
      </c>
      <c r="DA29" s="51">
        <f ca="1">IF(CV29&gt;CR29,CR29,CV29)</f>
        <v>0</v>
      </c>
      <c r="DB29" s="51">
        <f ca="1">DA29*F29</f>
        <v>0</v>
      </c>
      <c r="DC29" s="993">
        <v>1</v>
      </c>
      <c r="DD29" s="758" t="str">
        <f>IF(OR(D29=BG$12,D29=BG$13),"External",IF(D29=BG$14,"Internal"," "))</f>
        <v xml:space="preserve"> </v>
      </c>
      <c r="DE29" s="51" t="str">
        <f t="shared" ca="1" si="2"/>
        <v/>
      </c>
      <c r="DF29" s="52" t="str">
        <f t="shared" ca="1" si="3"/>
        <v xml:space="preserve"> </v>
      </c>
      <c r="DG29" s="51">
        <f ca="1">IF(F29&lt;OFFSET($BM$9,CN29-1,0,1,1),0,IF(F29&lt;OFFSET($BN$9,CN29-1,0,1,1),((F29-OFFSET($BM$9,CN29-1,0,1,1))*OFFSET($CH$9,CN29-1,0,1,1))+OFFSET($BO$9,CN29-1,CQ29,1,1),IF(F29&lt;OFFSET($BN$9,CN29+0,0,1,1),((F29-OFFSET($BM$9,CN29+0,0,1,1))*OFFSET($CH$9,CN29+0,0,1,1))+OFFSET($BO$9,CN29+0,CQ29,1,1),IF(F29&lt;OFFSET($BN$9,CN29+1,0,1,1),((F29-OFFSET($BM$9,CN29+1,0,1,1))*OFFSET($CH$9,CN29+1,0,1,1))+OFFSET($BO$9,CN29+1,CQ29,1,1),IF(F29&lt;OFFSET($BN$9,CN29+2,0,1,1),((F29-OFFSET($BM$9,CN29+2,0,1,1))*OFFSET($CH$9,CN29+2,0,1,1))+OFFSET($BO$9,CN29+2,CQ29,1,1),IF(F29&lt;OFFSET($BN$9,CN29+3,0,1,1),((F29-OFFSET($BM$9,CN29+3,0,1,1))*OFFSET($CH$9,CN29+3,0,1,1))+OFFSET($BO$9,CN29+3,CQ29,1,1),0))))))</f>
        <v>0</v>
      </c>
      <c r="DH29" s="51">
        <f ca="1">IF($F29&lt;OFFSET($BM$9,$CN29-1,0,1,1),0,IF($F29&lt;OFFSET($BN$9,$CN29-1,0,1,1),IF(AND($H29&gt;2.4,Z29&lt;&gt;"e",Z29&lt;&gt;"f"),DL29*2.4/$H29,DL29),IF($F29&lt;OFFSET($BN$9,$CN29+0,0,1,1),IF(AND($H29&gt;2.4,Z29&lt;&gt;"e",Z29&lt;&gt;"f"),DL29*2.4/$H29,DL29),IF($F29&lt;OFFSET($BN$9,$CN29+1,0,1,1),IF(AND($H29&gt;2.4,Z29&lt;&gt;"e",Z29&lt;&gt;"f"),DL29*2.4/$H29,DL29),IF($F29&lt;OFFSET($BN$9,$CN29+2,0,1,1),IF(AND($H29&gt;2.4,Z29&lt;&gt;"e",Z29&lt;&gt;"f"),DL29*2.4/$H29,DL29),IF($F29&lt;OFFSET($BN$9,$CN29+3,0,1,1),IF(AND($H29&gt;2.4,Z29&lt;&gt;"e",Z29&lt;&gt;"f"),DL29*2.4/$H29,DL29),0)))))*COS(RADIANS($G29)))</f>
        <v>0</v>
      </c>
      <c r="DI29" s="51">
        <f ca="1">IF(F29&lt;OFFSET($BM$9,CN29-1,0,1,1),0,IF(F29&lt;OFFSET($BN$9,CN29-1,0,1,1),((F29-OFFSET($BM$9,CN29-1,0,1,1))*OFFSET($CI$9,CN29-1,0,1,1))+OFFSET($BP$9,CN29-1,CQ29,1,1),IF(F29&lt;OFFSET($BN$9,CN29+0,0,1,1),((F29-OFFSET($BM$9,CN29+0,0,1,1))*OFFSET($CI$9,CN29+0,0,1,1))+OFFSET($BP$9,CN29+0,CQ29,1,1),IF(F29&lt;OFFSET($BN$9,CN29+1,0,1,1),((F29-OFFSET($BM$9,CN29+1,0,1,1))*OFFSET($CI$9,CN29+1,0,1,1))+OFFSET($BP$9,CN29+1,CQ29,1,1),IF(F29&lt;OFFSET($BN$9,CN29+2,0,1,1),((F29-OFFSET($BM$9,CN29+2,0,1,1))*OFFSET($CI$9,CN29+2,0,1,1))+OFFSET($BP$9,CN29+2,CQ29,1,1),IF(F29&lt;OFFSET($BN$9,CN29+3,0,1,1),((F29-OFFSET($BM$9,CN29+3,0,1,1))*OFFSET($CI$9,CN29+3,0,1,1))+OFFSET($BP$9,CN29+3,CQ29,1,1),0))))))</f>
        <v>0</v>
      </c>
      <c r="DJ29" s="51">
        <f ca="1">IF($F29&lt;OFFSET($BM$9,$CN29-1,0,1,1),0,IF($F29&lt;OFFSET($BN$9,$CN29-1,0,1,1),IF(AND($H29&gt;2.4,Z29&lt;&gt;"e",Z29&lt;&gt;"f"),DN29*2.4/$H29,DN29),IF($F29&lt;OFFSET($BN$9,$CN29+0,0,1,1),IF(AND($H29&gt;2.4,Z29&lt;&gt;"e",Z29&lt;&gt;"f"),DN29*2.4/$H29,DN29),IF($F29&lt;OFFSET($BN$9,$CN29+1,0,1,1),IF(AND($H29&gt;2.4,Z29&lt;&gt;"e",Z29&lt;&gt;"f"),DN29*2.4/$H29,DN29),IF($F29&lt;OFFSET($BN$9,$CN29+2,0,1,1),IF(AND($H29&gt;2.4,Z29&lt;&gt;"e",Z29&lt;&gt;"f"),DN29*2.4/$H29,DN29),IF($F29&lt;OFFSET($BN$9,$CN29+3,0,1,1),IF(AND($H29&gt;2.4,Z29&lt;&gt;"e",Z29&lt;&gt;"f"),DN29*2.4/$H29,DN29),0)))))*COS(RADIANS($G29)))</f>
        <v>0</v>
      </c>
      <c r="DK29" s="51"/>
      <c r="DL29" s="51">
        <f ca="1">IF(DG29&gt;$CR29,$CR29,DG29)</f>
        <v>0</v>
      </c>
      <c r="DM29" s="51"/>
      <c r="DN29" s="51">
        <f ca="1">IF(DI29&gt;$CR29,$CR29,DI29)</f>
        <v>0</v>
      </c>
      <c r="DO29" s="435">
        <f ca="1">IF(DH29&gt;$CR29,$CR29,DH29)</f>
        <v>0</v>
      </c>
      <c r="DP29" s="435">
        <f ca="1">DO29*F29</f>
        <v>0</v>
      </c>
      <c r="DQ29" s="436">
        <f ca="1">IF(DJ29&gt;$CR29,$CR29,DJ29)</f>
        <v>0</v>
      </c>
      <c r="DR29" s="437">
        <f ca="1">DQ29*F29</f>
        <v>0</v>
      </c>
      <c r="DS29" s="426">
        <f ca="1">OFFSET($CH$9,CL29-1,-15,1,1)</f>
        <v>0</v>
      </c>
      <c r="DT29" s="451">
        <f t="shared" ca="1" si="1"/>
        <v>0</v>
      </c>
      <c r="DU29" s="188">
        <f ca="1">IF(F29&lt;OFFSET($BM$9,DT29-1,0,1,1),0,IF(F29&lt;OFFSET($BN$9,DT29-1,0,1,1),((F29-OFFSET($BM$9,DT29-1,0,1,1))*OFFSET($CH$9,DT29-1,0,1,1))+OFFSET($BO$9,DT29-1,CQ29,1,1),IF(F29&lt;OFFSET($BN$9,DT29+0,0,1,1),((F29-OFFSET($BM$9,DT29+0,0,1,1))*OFFSET($CH$9,DT29+0,0,1,1))+OFFSET($BO$9,DT29+0,CQ29,1,1),IF(F29&lt;OFFSET($BN$9,DT29+1,0,1,1),((F29-OFFSET($BM$9,DT29+1,0,1,1))*OFFSET($CH$9,DT29+1,0,1,1))+OFFSET($BO$9,DT29+1,CQ29,1,1),IF(F29&lt;OFFSET($BN$9,DT29+2,0,1,1),((F29-OFFSET($BM$9,DT29+2,0,1,1))*OFFSET($CH$9,DT29+2,0,1,1))+OFFSET($BO$9,DT29+2,CQ29,1,1),IF(F29&lt;OFFSET($BN$9,DT29+3,0,1,1),((F29-OFFSET($BM$9,DT29+3,0,1,1))*OFFSET($CH$9,DT29+3,0,1,1))+OFFSET($BO$9,DT29+3,CQ29,1,1),0))))))</f>
        <v>0</v>
      </c>
      <c r="DV29" s="51">
        <f ca="1">IF($F29&lt;OFFSET($BM$9,$DT29-1,0,1,1),0,IF($F29&lt;OFFSET($BN$9,$DT29-1,0,1,1),IF(AND($H29&gt;2.4,Z29&lt;&gt;"e",Z29&lt;&gt;"f"),DZ29*2.4/$H29,DZ29),IF($F29&lt;OFFSET($BN$9,$DT29+0,0,1,1),IF(AND($H29&gt;2.4,Z29&lt;&gt;"e",Z29&lt;&gt;"f"),DZ29*2.4/$H29,DZ29),IF($F29&lt;OFFSET($BN$9,$DT29+1,0,1,1),IF(AND($H29&gt;2.4,Z29&lt;&gt;"e",Z29&lt;&gt;"f"),DZ29*2.4/$H29,DZ29),IF($F29&lt;OFFSET($BN$9,$DT29+2,0,1,1),IF(AND($H29&gt;2.4,Z29&lt;&gt;"e",Z29&lt;&gt;"f"),DZ29*2.4/$H29,DZ29),IF($F29&lt;OFFSET($BN$9,$DT29+3,0,1,1),IF(AND($H29&gt;2.4,Z29&lt;&gt;"e",Z29&lt;&gt;"f"),DZ29*2.4/$H29,DZ29),0)))))*COS(RADIANS($G29)))</f>
        <v>0</v>
      </c>
      <c r="DW29" s="188">
        <f ca="1">IF(F29&lt;OFFSET($BM$9,DT29-1,0,1,1),0,IF(F29&lt;OFFSET($BN$9,DT29-1,0,1,1),((F29-OFFSET($BM$9,DT29-1,0,1,1))*OFFSET($CI$9,DT29-1,0,1,1))+OFFSET($BP$9,DT29-1,CQ29,1,1),IF(F29&lt;OFFSET($BN$9,DT29+0,0,1,1),((F29-OFFSET($BM$9,DT29+0,0,1,1))*OFFSET($CI$9,DT29+0,0,1,1))+OFFSET($BP$9,DT29+0,CQ29,1,1),IF(F29&lt;OFFSET($BN$9,DT29+1,0,1,1),((F29-OFFSET($BM$9,DT29+1,0,1,1))*OFFSET($CI$9,DT29+1,0,1,1))+OFFSET($BP$9,DT29+1,CQ29,1,1),IF(F29&lt;OFFSET($BN$9,DT29+2,0,1,1),((F29-OFFSET($BM$9,DT29+2,0,1,1))*OFFSET($CI$9,DT29+2,0,1,1))+OFFSET($BP$9,DT29+2,CQ29,1,1),IF(F29&lt;OFFSET($BN$9,DT29+3,0,1,1),((F29-OFFSET($BM$9,DT29+3,0,1,1))*OFFSET($CI$9,DT29+3,0,1,1))+OFFSET($BP$9,DT29+3,CQ29,1,1),0))))))</f>
        <v>0</v>
      </c>
      <c r="DX29" s="51">
        <f ca="1">IF($F29&lt;OFFSET($BM$9,$DT29-1,0,1,1),0,IF($F29&lt;OFFSET($BN$9,$DT29-1,0,1,1),IF(AND($H29&gt;2.4,Z29&lt;&gt;"e",Z29&lt;&gt;"f"),EB29*2.4/$H29,EB29),IF($F29&lt;OFFSET($BN$9,$DT29+0,0,1,1),IF(AND($H29&gt;2.4,Z29&lt;&gt;"e",Z29&lt;&gt;"f"),EB29*2.4/$H29,EB29),IF($F29&lt;OFFSET($BN$9,$DT29+1,0,1,1),IF(AND($H29&gt;2.4,Z29&lt;&gt;"e",Z29&lt;&gt;"f"),EB29*2.4/$H29,EB29),IF($F29&lt;OFFSET($BN$9,$DT29+2,0,1,1),IF(AND($H29&gt;2.4,Z29&lt;&gt;"e",Z29&lt;&gt;"f"),EB29*2.4/$H29,EB29),IF($F29&lt;OFFSET($BN$9,$DT29+3,0,1,1),IF(AND($H29&gt;2.4,Z29&lt;&gt;"e",Z29&lt;&gt;"f"),EB29*2.4/$H29,EB29),0)))))*COS(RADIANS($G29)))</f>
        <v>0</v>
      </c>
      <c r="DY29" s="188"/>
      <c r="DZ29" s="188">
        <f ca="1">IF(DU29&gt;$CR29,$CR29,DU29)</f>
        <v>0</v>
      </c>
      <c r="EA29" s="188"/>
      <c r="EB29" s="188">
        <f ca="1">IF(DW29&gt;$CR29,$CR29,DW29)</f>
        <v>0</v>
      </c>
      <c r="EC29" s="435">
        <f ca="1">IF(DV29&gt;$CR29,$CR29,DV29)</f>
        <v>0</v>
      </c>
      <c r="ED29" s="435">
        <f ca="1">EC29*F29</f>
        <v>0</v>
      </c>
      <c r="EE29" s="436">
        <f ca="1">IF(DX29&gt;$CR29,$CR29,DX29)</f>
        <v>0</v>
      </c>
      <c r="EF29" s="437">
        <f ca="1">EE29*F29</f>
        <v>0</v>
      </c>
      <c r="EG29" s="613" t="str">
        <f>IF(D29=BG$12,BG$12,"")</f>
        <v/>
      </c>
      <c r="EH29" s="614" t="str">
        <f>IF(D29=BG$13,BG$13,"")</f>
        <v/>
      </c>
      <c r="EI29" s="611">
        <f>IF(EG29=BG$12,M29,0)</f>
        <v>0</v>
      </c>
      <c r="EJ29" s="451">
        <f>IF(EG29=BG$12,O29,0)</f>
        <v>0</v>
      </c>
      <c r="EK29" s="451">
        <f>IF(EH29=BG$13,M29,0)</f>
        <v>0</v>
      </c>
      <c r="EL29" s="612">
        <f>IF(EH29=BG$13,O29,0)</f>
        <v>0</v>
      </c>
      <c r="EM29" s="426" t="str">
        <f ca="1">IF(AND(Z29&lt;&gt;"t",Z29&lt;&gt;"f"),"",IF(AND(EN29=$BH$13,K29=$BH$12),"NotOpt",IF(K29&lt;&gt;EN29,"Error","")))</f>
        <v/>
      </c>
      <c r="EN29" s="491" t="str">
        <f>IF(AND($BH$28=1,$BG$28=1),$BH$13,$BH$12)</f>
        <v>120 BU's</v>
      </c>
      <c r="EO29" s="426" t="str">
        <f>K29</f>
        <v xml:space="preserve"> </v>
      </c>
      <c r="EP29" s="497">
        <v>1</v>
      </c>
      <c r="EQ29" s="430" t="str">
        <f ca="1">IF(EP29=1," ",OFFSET(BF$15,EP29-2,0,1,1))</f>
        <v xml:space="preserve"> </v>
      </c>
      <c r="ER29" s="439" t="str">
        <f ca="1">IF(H29=0," ",H29)</f>
        <v xml:space="preserve"> </v>
      </c>
      <c r="ES29" s="440" t="str">
        <f ca="1">IF(ER29&lt;&gt;" ",IF(ER29&lt;&gt;ER$7,"Changed",""),"")</f>
        <v/>
      </c>
      <c r="ET29" s="440">
        <f t="shared" ca="1" si="15"/>
        <v>0</v>
      </c>
      <c r="EU29" s="957" t="str">
        <f ca="1">IF(I29=" "," ",IF(F29&lt;OFFSET($BM$9,CL29-1,0,1,1),1,""))</f>
        <v xml:space="preserve"> </v>
      </c>
      <c r="EW29" s="427"/>
      <c r="EX29"/>
    </row>
    <row r="30" spans="2:154" ht="17.100000000000001" customHeight="1" thickBot="1">
      <c r="B30" s="689" t="s">
        <v>246</v>
      </c>
      <c r="C30" s="684" t="str">
        <f>IF(OR(F30=0,I30="",I30=" ")," ",$V30)</f>
        <v xml:space="preserve"> </v>
      </c>
      <c r="D30" s="1033"/>
      <c r="E30" s="1360" t="s">
        <v>8</v>
      </c>
      <c r="F30" s="202"/>
      <c r="G30" s="1416"/>
      <c r="H30" s="199" t="str">
        <f ca="1">IF(OR(F30=0,Z30="E",Z30="f")," ",'Project Demand'!E$35)</f>
        <v xml:space="preserve"> </v>
      </c>
      <c r="I30" s="631" t="str">
        <f>IF($I$6&lt;&gt;$BG$8," ",AB30)</f>
        <v xml:space="preserve"> </v>
      </c>
      <c r="J30" s="44" t="str">
        <f ca="1">IF(OR(I30=" ",I30="")," ",OFFSET($BO$9,CL30-1,0-4,1,1))</f>
        <v xml:space="preserve"> </v>
      </c>
      <c r="K30" s="55" t="str">
        <f>IF(OR(I30=" ",I30="")," ",IF(OR(Z30="e",Z30="h"),"SD",BG$24))</f>
        <v xml:space="preserve"> </v>
      </c>
      <c r="L30" s="49">
        <f ca="1">CW30</f>
        <v>0</v>
      </c>
      <c r="M30" s="49">
        <f ca="1">CY30</f>
        <v>0</v>
      </c>
      <c r="N30" s="50">
        <f t="shared" ca="1" si="20"/>
        <v>0</v>
      </c>
      <c r="O30" s="126">
        <f t="shared" ca="1" si="20"/>
        <v>0</v>
      </c>
      <c r="P30" s="140"/>
      <c r="Q30" s="752" t="str">
        <f ca="1">IF(AND(OR(Z30="t",Z30="f"),K30=$BH$11),"No Floor!  Change Floor Type",IF(OR(I30=" ",I30="")," ",IF(F30&lt;OFFSET($BM$9,CL30-1,0,1,1),"check L(m)",DE30&amp;IF(AND(DP30&gt;=CY30,DR30&gt;=DB30),IF(AND(ED30&gt;=DP30,EF30&gt;=DR30),CONCATENATE(DS30," will provide same result"),CONCATENATE(CO30," will provide same result")),IF((DP30&gt;=CY30),CONCATENATE(CO30," provides same result in WIND"),IF((DR30&gt;=DB30),CONCATENATE(CO30," provides same result in EQ"),""))))))&amp;IF(ISERROR(FIND("pile",I30,1)),"",IF(INT(F30)&lt;&gt;F30,"Pile!  Use Whole Numbers Only",""))</f>
        <v xml:space="preserve"> </v>
      </c>
      <c r="U30" s="1377"/>
      <c r="V30" s="52" t="str">
        <f ca="1">IF(AND(B$5=$BF$9,OR(I30=BH$16,I30=BH$17))," ",IF(ISNUMBER(B$26),(CONCATENATE(B$26,".",W30)),(CONCATENATE(B$26,W30))))</f>
        <v>P0</v>
      </c>
      <c r="W30" s="9">
        <f ca="1">W29+X30</f>
        <v>0</v>
      </c>
      <c r="X30" s="9">
        <f>IF(AND(B$5=$BF$9,OR($I30=$BH$16,$I30=$BH$17,$I30=" ",$I30="",$F30=0)),0,IF(OR($I30=" ",$I30="",$F30=0),0,1))</f>
        <v>0</v>
      </c>
      <c r="Y30" s="896"/>
      <c r="Z30" s="52" t="str">
        <f ca="1">IF(I30=" "," ",OFFSET($BM$9,$CL30-1,8,1,1))</f>
        <v xml:space="preserve"> </v>
      </c>
      <c r="AA30" s="51" t="str">
        <f>IF(G30&gt;=45,"WA","")</f>
        <v/>
      </c>
      <c r="AB30" s="1364" t="str">
        <f>IF(F30&lt;&gt;"",IF(OR(D30=$BG$12,D30=$BG$13),IF(E30&lt;&gt;$BG$17,$BF$12,$BF$13),IF(E30&lt;&gt;$BG$17,$BF$12,$BF$13))," ")</f>
        <v xml:space="preserve"> </v>
      </c>
      <c r="AC30" s="1"/>
      <c r="AJ30" s="2230"/>
      <c r="AK30" s="2779"/>
      <c r="AL30" s="2784"/>
      <c r="AM30" s="11">
        <f>'Regular and QuickBrace Systems'!F45</f>
        <v>0.8</v>
      </c>
      <c r="AN30" s="1336">
        <f>'Regular and QuickBrace Systems'!G45</f>
        <v>135</v>
      </c>
      <c r="AO30" s="26">
        <f>'Regular and QuickBrace Systems'!H45</f>
        <v>125</v>
      </c>
      <c r="AP30" s="1595"/>
      <c r="AQ30" s="2663"/>
      <c r="AR30" s="2664"/>
      <c r="AS30" s="2031"/>
      <c r="AT30" s="1339"/>
      <c r="AU30" s="2090"/>
      <c r="AW30" s="1569" t="str">
        <f>'Regular and QuickBrace Systems'!O45</f>
        <v>Yes</v>
      </c>
      <c r="AX30" s="442" t="str">
        <f>'Regular and QuickBrace Systems'!Q45</f>
        <v>Yes</v>
      </c>
      <c r="BD30" s="2648"/>
      <c r="BF30" s="599" t="str">
        <f>'Custom Elements'!C14</f>
        <v>Custom6</v>
      </c>
      <c r="BI30" s="759"/>
      <c r="BJ30" s="897">
        <f t="shared" si="4"/>
        <v>22</v>
      </c>
      <c r="BK30" s="769" t="str">
        <f t="shared" si="5"/>
        <v xml:space="preserve">  </v>
      </c>
      <c r="BL30" s="771" t="str">
        <f t="shared" si="6"/>
        <v>Custom19</v>
      </c>
      <c r="BM30" s="455">
        <f t="shared" si="7"/>
        <v>9.9999999999999996E-76</v>
      </c>
      <c r="BN30" s="455">
        <v>999</v>
      </c>
      <c r="BO30" s="455">
        <f t="shared" si="8"/>
        <v>0</v>
      </c>
      <c r="BP30" s="925">
        <f t="shared" si="9"/>
        <v>0</v>
      </c>
      <c r="BR30" s="764"/>
      <c r="BS30" s="455"/>
      <c r="BT30" s="455" t="str">
        <f t="shared" si="10"/>
        <v>B</v>
      </c>
      <c r="BU30" s="925" t="str">
        <f t="shared" si="11"/>
        <v>T</v>
      </c>
      <c r="BV30" s="483" t="str">
        <f t="shared" si="12"/>
        <v>Custom19</v>
      </c>
      <c r="BW30" s="910">
        <f t="shared" si="18"/>
        <v>22</v>
      </c>
      <c r="BX30" s="925" t="str">
        <f t="shared" si="16"/>
        <v>Single</v>
      </c>
      <c r="CH30" s="764">
        <f t="shared" si="13"/>
        <v>0</v>
      </c>
      <c r="CI30" s="925">
        <f t="shared" si="14"/>
        <v>0</v>
      </c>
      <c r="CJ30" s="759"/>
      <c r="CK30" s="188"/>
      <c r="CL30" s="979">
        <f>VLOOKUP(I30,Prodlink,2,0)</f>
        <v>0</v>
      </c>
      <c r="CN30" s="497">
        <f ca="1">VLOOKUP(CO30,Prodlink,2,0)</f>
        <v>0</v>
      </c>
      <c r="CO30" s="497">
        <f ca="1">OFFSET($CH$9,CL30-1,-15,1,1)</f>
        <v>0</v>
      </c>
      <c r="CQ30" s="51">
        <v>0</v>
      </c>
      <c r="CR30" s="51">
        <f>IF(K30=$BH$12,$BH$23,IF(K30=$BH$13,$BH$24,10000))</f>
        <v>10000</v>
      </c>
      <c r="CS30" s="51">
        <f ca="1">IF(F30&lt;OFFSET($BM$9,CL30-1,0,1,1),0,IF(F30&lt;OFFSET($BN$9,CL30-1,0,1,1),((F30-OFFSET($BM$9,CL30-1,0,1,1))*OFFSET($CH$9,CL30-1,0,1,1))+OFFSET($BO$9,CL30-1,CQ30,1,1),IF(F30&lt;OFFSET($BN$9,CL30+0,0,1,1),((F30-OFFSET($BM$9,CL30+0,0,1,1))*OFFSET($CH$9,CL30+0,0,1,1))+OFFSET($BO$9,CL30+0,CQ30,1,1),IF(F30&lt;OFFSET($BN$9,CL30+1,0,1,1),((F30-OFFSET($BM$9,CL30+1,0,1,1))*OFFSET($CH$9,CL30+1,0,1,1))+OFFSET($BO$9,CL30+1,CQ30,1,1),IF(F30&lt;OFFSET($BN$9,CL30+2,0,1,1),((F30-OFFSET($BM$9,CL30+2,0,1,1))*OFFSET($CH$9,CL30+2,0,1,1))+OFFSET($BO$9,CL30+2,CQ30,1,1),IF(F30&lt;OFFSET($BN$9,CL30+3,0,1,1),((F30-OFFSET($BM$9,CL30+3,0,1,1))*OFFSET($CH$9,CL30+3,0,1,1))+OFFSET($BO$9,CL30+3,CQ30,1,1),0))))))</f>
        <v>0</v>
      </c>
      <c r="CT30" s="51">
        <f ca="1">IF($F30&lt;OFFSET($BM$9,$CL30-1,0,1,1),0,IF($F30&lt;OFFSET($BN$9,$CL30-1,0,1,1),IF(AND($H30&gt;2.4,Z30&lt;&gt;"e",Z30&lt;&gt;"f"),CX30*2.4/$H30,CX30),IF($F30&lt;OFFSET($BN$9,$CL30+0,0,1,1),IF(AND($H30&gt;2.4,Z30&lt;&gt;"e",Z30&lt;&gt;"f"),CX30*2.4/$H30,CX30),IF($F30&lt;OFFSET($BN$9,$CL30+1,0,1,1),IF(AND($H30&gt;2.4,Z30&lt;&gt;"e",Z30&lt;&gt;"f"),CX30*2.4/$H30,CX30),IF($F30&lt;OFFSET($BN$9,CL30+2,0,1,1),IF(AND($H30&gt;2.4,Z30&lt;&gt;"e",Z30&lt;&gt;"f"),CX30*2.4/$H30,CX30),IF($F30&lt;OFFSET($BN$9,CL30+3,0,1,1),IF(AND($H30&gt;2.4,Z30&lt;&gt;"e",Z30&lt;&gt;"f"),CX30*2.4/$H30,CX30),0)))))*COS(RADIANS($G30)))</f>
        <v>0</v>
      </c>
      <c r="CU30" s="51">
        <f ca="1">IF(F30&lt;OFFSET($BM$9,CL30-1,0,1,1),0,IF(F30&lt;OFFSET($BN$9,CL30-1,0,1,1),((F30-OFFSET($BM$9,CL30-1,0,1,1))*OFFSET($CI$9,CL30-1,0,1,1))+OFFSET($BP$9,CL30-1,CQ30,1,1),IF(F30&lt;OFFSET($BN$9,CL30+0,0,1,1),((F30-OFFSET($BM$9,CL30+0,0,1,1))*OFFSET($CI$9,CL30+0,0,1,1))+OFFSET($BP$9,CL30+0,CQ30,1,1),IF(F30&lt;OFFSET($BN$9,CL30+1,0,1,1),((F30-OFFSET($BM$9,CL30+1,0,1,1))*OFFSET($CI$9,CL30+1,0,1,1))+OFFSET($BP$9,CL30+1,CQ30,1,1),IF(F30&lt;OFFSET($BN$9,CL30+2,0,1,1),((F30-OFFSET($BM$9,CL30+2,0,1,1))*OFFSET($CI$9,CL30+2,0,1,1))+OFFSET($BP$9,CL30+2,CQ30,1,1),IF(F30&lt;OFFSET($BN$9,CL30+3,0,1,1),((F30-OFFSET($BM$9,CL30+3,0,1,1))*OFFSET($CI$9,CL30+3,0,1,1))+OFFSET($BP$9,CL30+3,CQ30,1,1),0))))))</f>
        <v>0</v>
      </c>
      <c r="CV30" s="51">
        <f ca="1">IF($F30&lt;OFFSET($BM$9,$CL30-1,0,1,1),0,IF($F30&lt;OFFSET($BN$9,$CL30-1,0,1,1),IF(AND($H30&gt;2.4,Z30&lt;&gt;"e",Z30&lt;&gt;"f"),CZ30*2.4/$H30,CZ30),IF($F30&lt;OFFSET($BN$9,$CL30+0,0,1,1),IF(AND($H30&gt;2.4,Z30&lt;&gt;"e",Z30&lt;&gt;"f"),CZ30*2.4/$H30,CZ30),IF($F30&lt;OFFSET($BN$9,$CL30+1,0,1,1),IF(AND($H30&gt;2.4,Z30&lt;&gt;"e",Z30&lt;&gt;"f"),CZ30*2.4/$H30,CZ30),IF($F30&lt;OFFSET($BN$9,$CL30+2,0,1,1),IF(AND($H30&gt;2.4,Z30&lt;&gt;"e",Z30&lt;&gt;"f"),CZ30*2.4/$H30,CZ30),IF($F30&lt;OFFSET($BN$9,$CL30+3,0,1,1),IF(AND($H30&gt;2.4,Z30&lt;&gt;"e",Z30&lt;&gt;"f"),CZ30*2.4/$H30,CZ30),0)))))*COS(RADIANS($G30)))</f>
        <v>0</v>
      </c>
      <c r="CW30" s="51">
        <f ca="1">IF(CT30&gt;CR30,CR30,CT30)</f>
        <v>0</v>
      </c>
      <c r="CX30" s="51">
        <f ca="1">IF(CS30&gt;$CR30,$CR30,CS30)</f>
        <v>0</v>
      </c>
      <c r="CY30" s="51">
        <f ca="1">CW30*F30</f>
        <v>0</v>
      </c>
      <c r="CZ30" s="51">
        <f ca="1">IF($CU30&gt;$CR30,$CR30,$CU30)</f>
        <v>0</v>
      </c>
      <c r="DA30" s="51">
        <f ca="1">IF(CV30&gt;CR30,CR30,CV30)</f>
        <v>0</v>
      </c>
      <c r="DB30" s="51">
        <f ca="1">DA30*F30</f>
        <v>0</v>
      </c>
      <c r="DC30" s="993">
        <v>1</v>
      </c>
      <c r="DD30" s="758" t="str">
        <f>IF(OR(D30=BG$12,D30=BG$13),"External",IF(D30=BG$14,"Internal"," "))</f>
        <v xml:space="preserve"> </v>
      </c>
      <c r="DE30" s="51" t="str">
        <f t="shared" ca="1" si="2"/>
        <v/>
      </c>
      <c r="DF30" s="52" t="str">
        <f t="shared" ca="1" si="3"/>
        <v xml:space="preserve"> </v>
      </c>
      <c r="DG30" s="51">
        <f ca="1">IF(F30&lt;OFFSET($BM$9,CN30-1,0,1,1),0,IF(F30&lt;OFFSET($BN$9,CN30-1,0,1,1),((F30-OFFSET($BM$9,CN30-1,0,1,1))*OFFSET($CH$9,CN30-1,0,1,1))+OFFSET($BO$9,CN30-1,CQ30,1,1),IF(F30&lt;OFFSET($BN$9,CN30+0,0,1,1),((F30-OFFSET($BM$9,CN30+0,0,1,1))*OFFSET($CH$9,CN30+0,0,1,1))+OFFSET($BO$9,CN30+0,CQ30,1,1),IF(F30&lt;OFFSET($BN$9,CN30+1,0,1,1),((F30-OFFSET($BM$9,CN30+1,0,1,1))*OFFSET($CH$9,CN30+1,0,1,1))+OFFSET($BO$9,CN30+1,CQ30,1,1),IF(F30&lt;OFFSET($BN$9,CN30+2,0,1,1),((F30-OFFSET($BM$9,CN30+2,0,1,1))*OFFSET($CH$9,CN30+2,0,1,1))+OFFSET($BO$9,CN30+2,CQ30,1,1),IF(F30&lt;OFFSET($BN$9,CN30+3,0,1,1),((F30-OFFSET($BM$9,CN30+3,0,1,1))*OFFSET($CH$9,CN30+3,0,1,1))+OFFSET($BO$9,CN30+3,CQ30,1,1),0))))))</f>
        <v>0</v>
      </c>
      <c r="DH30" s="51">
        <f ca="1">IF($F30&lt;OFFSET($BM$9,$CN30-1,0,1,1),0,IF($F30&lt;OFFSET($BN$9,$CN30-1,0,1,1),IF(AND($H30&gt;2.4,Z30&lt;&gt;"e",Z30&lt;&gt;"f"),DL30*2.4/$H30,DL30),IF($F30&lt;OFFSET($BN$9,$CN30+0,0,1,1),IF(AND($H30&gt;2.4,Z30&lt;&gt;"e",Z30&lt;&gt;"f"),DL30*2.4/$H30,DL30),IF($F30&lt;OFFSET($BN$9,$CN30+1,0,1,1),IF(AND($H30&gt;2.4,Z30&lt;&gt;"e",Z30&lt;&gt;"f"),DL30*2.4/$H30,DL30),IF($F30&lt;OFFSET($BN$9,$CN30+2,0,1,1),IF(AND($H30&gt;2.4,Z30&lt;&gt;"e",Z30&lt;&gt;"f"),DL30*2.4/$H30,DL30),IF($F30&lt;OFFSET($BN$9,$CN30+3,0,1,1),IF(AND($H30&gt;2.4,Z30&lt;&gt;"e",Z30&lt;&gt;"f"),DL30*2.4/$H30,DL30),0)))))*COS(RADIANS($G30)))</f>
        <v>0</v>
      </c>
      <c r="DI30" s="51">
        <f ca="1">IF(F30&lt;OFFSET($BM$9,CN30-1,0,1,1),0,IF(F30&lt;OFFSET($BN$9,CN30-1,0,1,1),((F30-OFFSET($BM$9,CN30-1,0,1,1))*OFFSET($CI$9,CN30-1,0,1,1))+OFFSET($BP$9,CN30-1,CQ30,1,1),IF(F30&lt;OFFSET($BN$9,CN30+0,0,1,1),((F30-OFFSET($BM$9,CN30+0,0,1,1))*OFFSET($CI$9,CN30+0,0,1,1))+OFFSET($BP$9,CN30+0,CQ30,1,1),IF(F30&lt;OFFSET($BN$9,CN30+1,0,1,1),((F30-OFFSET($BM$9,CN30+1,0,1,1))*OFFSET($CI$9,CN30+1,0,1,1))+OFFSET($BP$9,CN30+1,CQ30,1,1),IF(F30&lt;OFFSET($BN$9,CN30+2,0,1,1),((F30-OFFSET($BM$9,CN30+2,0,1,1))*OFFSET($CI$9,CN30+2,0,1,1))+OFFSET($BP$9,CN30+2,CQ30,1,1),IF(F30&lt;OFFSET($BN$9,CN30+3,0,1,1),((F30-OFFSET($BM$9,CN30+3,0,1,1))*OFFSET($CI$9,CN30+3,0,1,1))+OFFSET($BP$9,CN30+3,CQ30,1,1),0))))))</f>
        <v>0</v>
      </c>
      <c r="DJ30" s="51">
        <f ca="1">IF($F30&lt;OFFSET($BM$9,$CN30-1,0,1,1),0,IF($F30&lt;OFFSET($BN$9,$CN30-1,0,1,1),IF(AND($H30&gt;2.4,Z30&lt;&gt;"e",Z30&lt;&gt;"f"),DN30*2.4/$H30,DN30),IF($F30&lt;OFFSET($BN$9,$CN30+0,0,1,1),IF(AND($H30&gt;2.4,Z30&lt;&gt;"e",Z30&lt;&gt;"f"),DN30*2.4/$H30,DN30),IF($F30&lt;OFFSET($BN$9,$CN30+1,0,1,1),IF(AND($H30&gt;2.4,Z30&lt;&gt;"e",Z30&lt;&gt;"f"),DN30*2.4/$H30,DN30),IF($F30&lt;OFFSET($BN$9,$CN30+2,0,1,1),IF(AND($H30&gt;2.4,Z30&lt;&gt;"e",Z30&lt;&gt;"f"),DN30*2.4/$H30,DN30),IF($F30&lt;OFFSET($BN$9,$CN30+3,0,1,1),IF(AND($H30&gt;2.4,Z30&lt;&gt;"e",Z30&lt;&gt;"f"),DN30*2.4/$H30,DN30),0)))))*COS(RADIANS($G30)))</f>
        <v>0</v>
      </c>
      <c r="DK30" s="51"/>
      <c r="DL30" s="51">
        <f ca="1">IF(DG30&gt;$CR30,$CR30,DG30)</f>
        <v>0</v>
      </c>
      <c r="DM30" s="51"/>
      <c r="DN30" s="51">
        <f ca="1">IF(DI30&gt;$CR30,$CR30,DI30)</f>
        <v>0</v>
      </c>
      <c r="DO30" s="435">
        <f ca="1">IF(DH30&gt;$CR30,$CR30,DH30)</f>
        <v>0</v>
      </c>
      <c r="DP30" s="435">
        <f ca="1">DO30*F30</f>
        <v>0</v>
      </c>
      <c r="DQ30" s="436">
        <f ca="1">IF(DJ30&gt;$CR30,$CR30,DJ30)</f>
        <v>0</v>
      </c>
      <c r="DR30" s="437">
        <f ca="1">DQ30*F30</f>
        <v>0</v>
      </c>
      <c r="DS30" s="426">
        <f ca="1">OFFSET($CH$9,CL30-1,-15,1,1)</f>
        <v>0</v>
      </c>
      <c r="DT30" s="451">
        <f t="shared" ca="1" si="1"/>
        <v>0</v>
      </c>
      <c r="DU30" s="188">
        <f ca="1">IF(F30&lt;OFFSET($BM$9,DT30-1,0,1,1),0,IF(F30&lt;OFFSET($BN$9,DT30-1,0,1,1),((F30-OFFSET($BM$9,DT30-1,0,1,1))*OFFSET($CH$9,DT30-1,0,1,1))+OFFSET($BO$9,DT30-1,CQ30,1,1),IF(F30&lt;OFFSET($BN$9,DT30+0,0,1,1),((F30-OFFSET($BM$9,DT30+0,0,1,1))*OFFSET($CH$9,DT30+0,0,1,1))+OFFSET($BO$9,DT30+0,CQ30,1,1),IF(F30&lt;OFFSET($BN$9,DT30+1,0,1,1),((F30-OFFSET($BM$9,DT30+1,0,1,1))*OFFSET($CH$9,DT30+1,0,1,1))+OFFSET($BO$9,DT30+1,CQ30,1,1),IF(F30&lt;OFFSET($BN$9,DT30+2,0,1,1),((F30-OFFSET($BM$9,DT30+2,0,1,1))*OFFSET($CH$9,DT30+2,0,1,1))+OFFSET($BO$9,DT30+2,CQ30,1,1),IF(F30&lt;OFFSET($BN$9,DT30+3,0,1,1),((F30-OFFSET($BM$9,DT30+3,0,1,1))*OFFSET($CH$9,DT30+3,0,1,1))+OFFSET($BO$9,DT30+3,CQ30,1,1),0))))))</f>
        <v>0</v>
      </c>
      <c r="DV30" s="51">
        <f ca="1">IF($F30&lt;OFFSET($BM$9,$DT30-1,0,1,1),0,IF($F30&lt;OFFSET($BN$9,$DT30-1,0,1,1),IF(AND($H30&gt;2.4,Z30&lt;&gt;"e",Z30&lt;&gt;"f"),DZ30*2.4/$H30,DZ30),IF($F30&lt;OFFSET($BN$9,$DT30+0,0,1,1),IF(AND($H30&gt;2.4,Z30&lt;&gt;"e",Z30&lt;&gt;"f"),DZ30*2.4/$H30,DZ30),IF($F30&lt;OFFSET($BN$9,$DT30+1,0,1,1),IF(AND($H30&gt;2.4,Z30&lt;&gt;"e",Z30&lt;&gt;"f"),DZ30*2.4/$H30,DZ30),IF($F30&lt;OFFSET($BN$9,$DT30+2,0,1,1),IF(AND($H30&gt;2.4,Z30&lt;&gt;"e",Z30&lt;&gt;"f"),DZ30*2.4/$H30,DZ30),IF($F30&lt;OFFSET($BN$9,$DT30+3,0,1,1),IF(AND($H30&gt;2.4,Z30&lt;&gt;"e",Z30&lt;&gt;"f"),DZ30*2.4/$H30,DZ30),0)))))*COS(RADIANS($G30)))</f>
        <v>0</v>
      </c>
      <c r="DW30" s="188">
        <f ca="1">IF(F30&lt;OFFSET($BM$9,DT30-1,0,1,1),0,IF(F30&lt;OFFSET($BN$9,DT30-1,0,1,1),((F30-OFFSET($BM$9,DT30-1,0,1,1))*OFFSET($CI$9,DT30-1,0,1,1))+OFFSET($BP$9,DT30-1,CQ30,1,1),IF(F30&lt;OFFSET($BN$9,DT30+0,0,1,1),((F30-OFFSET($BM$9,DT30+0,0,1,1))*OFFSET($CI$9,DT30+0,0,1,1))+OFFSET($BP$9,DT30+0,CQ30,1,1),IF(F30&lt;OFFSET($BN$9,DT30+1,0,1,1),((F30-OFFSET($BM$9,DT30+1,0,1,1))*OFFSET($CI$9,DT30+1,0,1,1))+OFFSET($BP$9,DT30+1,CQ30,1,1),IF(F30&lt;OFFSET($BN$9,DT30+2,0,1,1),((F30-OFFSET($BM$9,DT30+2,0,1,1))*OFFSET($CI$9,DT30+2,0,1,1))+OFFSET($BP$9,DT30+2,CQ30,1,1),IF(F30&lt;OFFSET($BN$9,DT30+3,0,1,1),((F30-OFFSET($BM$9,DT30+3,0,1,1))*OFFSET($CI$9,DT30+3,0,1,1))+OFFSET($BP$9,DT30+3,CQ30,1,1),0))))))</f>
        <v>0</v>
      </c>
      <c r="DX30" s="51">
        <f ca="1">IF($F30&lt;OFFSET($BM$9,$DT30-1,0,1,1),0,IF($F30&lt;OFFSET($BN$9,$DT30-1,0,1,1),IF(AND($H30&gt;2.4,Z30&lt;&gt;"e",Z30&lt;&gt;"f"),EB30*2.4/$H30,EB30),IF($F30&lt;OFFSET($BN$9,$DT30+0,0,1,1),IF(AND($H30&gt;2.4,Z30&lt;&gt;"e",Z30&lt;&gt;"f"),EB30*2.4/$H30,EB30),IF($F30&lt;OFFSET($BN$9,$DT30+1,0,1,1),IF(AND($H30&gt;2.4,Z30&lt;&gt;"e",Z30&lt;&gt;"f"),EB30*2.4/$H30,EB30),IF($F30&lt;OFFSET($BN$9,$DT30+2,0,1,1),IF(AND($H30&gt;2.4,Z30&lt;&gt;"e",Z30&lt;&gt;"f"),EB30*2.4/$H30,EB30),IF($F30&lt;OFFSET($BN$9,$DT30+3,0,1,1),IF(AND($H30&gt;2.4,Z30&lt;&gt;"e",Z30&lt;&gt;"f"),EB30*2.4/$H30,EB30),0)))))*COS(RADIANS($G30)))</f>
        <v>0</v>
      </c>
      <c r="DY30" s="188"/>
      <c r="DZ30" s="188">
        <f ca="1">IF(DU30&gt;$CR30,$CR30,DU30)</f>
        <v>0</v>
      </c>
      <c r="EA30" s="188"/>
      <c r="EB30" s="188">
        <f ca="1">IF(DW30&gt;$CR30,$CR30,DW30)</f>
        <v>0</v>
      </c>
      <c r="EC30" s="435">
        <f ca="1">IF(DV30&gt;$CR30,$CR30,DV30)</f>
        <v>0</v>
      </c>
      <c r="ED30" s="435">
        <f ca="1">EC30*F30</f>
        <v>0</v>
      </c>
      <c r="EE30" s="436">
        <f ca="1">IF(DX30&gt;$CR30,$CR30,DX30)</f>
        <v>0</v>
      </c>
      <c r="EF30" s="437">
        <f ca="1">EE30*F30</f>
        <v>0</v>
      </c>
      <c r="EG30" s="613" t="str">
        <f>IF(D30=BG$12,BG$12,"")</f>
        <v/>
      </c>
      <c r="EH30" s="614" t="str">
        <f>IF(D30=BG$13,BG$13,"")</f>
        <v/>
      </c>
      <c r="EI30" s="611">
        <f>IF(EG30=BG$12,M30,0)</f>
        <v>0</v>
      </c>
      <c r="EJ30" s="451">
        <f>IF(EG30=BG$12,O30,0)</f>
        <v>0</v>
      </c>
      <c r="EK30" s="451">
        <f>IF(EH30=BG$13,M30,0)</f>
        <v>0</v>
      </c>
      <c r="EL30" s="612">
        <f>IF(EH30=BG$13,O30,0)</f>
        <v>0</v>
      </c>
      <c r="EM30" s="426" t="str">
        <f ca="1">IF(AND(Z30&lt;&gt;"t",Z30&lt;&gt;"f"),"",IF(AND(EN30=$BH$13,K30=$BH$12),"NotOpt",IF(K30&lt;&gt;EN30,"Error","")))</f>
        <v/>
      </c>
      <c r="EN30" s="491" t="str">
        <f>IF(AND($BH$28=1,$BG$28=1),$BH$13,$BH$12)</f>
        <v>120 BU's</v>
      </c>
      <c r="EO30" s="426" t="str">
        <f>K30</f>
        <v xml:space="preserve"> </v>
      </c>
      <c r="EP30" s="497">
        <v>1</v>
      </c>
      <c r="EQ30" s="430" t="str">
        <f ca="1">IF(EP30=1," ",OFFSET(BF$15,EP30-2,0,1,1))</f>
        <v xml:space="preserve"> </v>
      </c>
      <c r="ER30" s="439" t="str">
        <f ca="1">IF(H30=0," ",H30)</f>
        <v xml:space="preserve"> </v>
      </c>
      <c r="ES30" s="440" t="str">
        <f ca="1">IF(ER30&lt;&gt;" ",IF(ER30&lt;&gt;ER$7,"Changed",""),"")</f>
        <v/>
      </c>
      <c r="ET30" s="440">
        <f t="shared" ca="1" si="15"/>
        <v>0</v>
      </c>
      <c r="EU30" s="957" t="str">
        <f ca="1">IF(I30=" "," ",IF(F30&lt;OFFSET($BM$9,CL30-1,0,1,1),1,""))</f>
        <v xml:space="preserve"> </v>
      </c>
      <c r="EW30" s="427"/>
      <c r="EX30"/>
    </row>
    <row r="31" spans="2:154" ht="17.100000000000001" customHeight="1" thickBot="1">
      <c r="B31" s="2686" t="s">
        <v>8</v>
      </c>
      <c r="C31" s="2687"/>
      <c r="D31" s="1461" t="s">
        <v>8</v>
      </c>
      <c r="E31" s="659"/>
      <c r="F31" s="659"/>
      <c r="G31" s="659"/>
      <c r="H31" s="659"/>
      <c r="I31" s="1462"/>
      <c r="J31" s="1365" t="str">
        <f ca="1">(CONCATENATE(B26,$BE$54))</f>
        <v>P  Line:  Min. Requirement</v>
      </c>
      <c r="K31" s="23"/>
      <c r="L31" s="1019">
        <f ca="1">L$5</f>
        <v>0</v>
      </c>
      <c r="M31" s="48">
        <f ca="1">IF(B26=B20,SUM(M26:M30)+M25,SUM(M26:M30))</f>
        <v>0</v>
      </c>
      <c r="N31" s="1019">
        <f ca="1">N$5</f>
        <v>0</v>
      </c>
      <c r="O31" s="125">
        <f ca="1">IF(B26=B20,SUM(O26:O30)+O25,SUM(O26:O30))</f>
        <v>0</v>
      </c>
      <c r="P31" s="139"/>
      <c r="Q31" s="42" t="str">
        <f ca="1">IF(B26=B32,"",IF(AND(M31&gt;0,L31=L$5,OR(M31&lt;$M$105,M31&lt;$BF$3)),"Achieved &lt; Min Req per Line",IF(AND(O31&gt;0,N31=N$5,OR(O31&lt;$O$105,O31&lt;$BF$3)),"Achieved &lt; Min Req per Line",IF(AND(M31&gt;0,L31&gt;M31),"More Required on this line",IF(AND(O31&gt;0,N31&gt;O31),"More Required on this line",IF(AND(L31&gt;0,L31&lt;$BF$3),$BE$59,IF(AND(N31&gt;0,N31&lt;$BF$3),$BE$59,"")))))))</f>
        <v/>
      </c>
      <c r="R31" s="52"/>
      <c r="S31" s="52"/>
      <c r="T31" s="52"/>
      <c r="U31" s="1378"/>
      <c r="V31" s="52"/>
      <c r="W31" s="999"/>
      <c r="X31" s="999"/>
      <c r="Y31" s="896"/>
      <c r="Z31" s="52"/>
      <c r="AA31" s="51"/>
      <c r="AB31" s="1364"/>
      <c r="AC31" s="1"/>
      <c r="AJ31" s="2230"/>
      <c r="AK31" s="2779"/>
      <c r="AL31" s="2785"/>
      <c r="AM31" s="1177">
        <f>'Regular and QuickBrace Systems'!F46</f>
        <v>1.2</v>
      </c>
      <c r="AN31" s="1274">
        <f>'Regular and QuickBrace Systems'!G46</f>
        <v>150</v>
      </c>
      <c r="AO31" s="1275">
        <f>'Regular and QuickBrace Systems'!H46</f>
        <v>135</v>
      </c>
      <c r="AP31" s="1277"/>
      <c r="AQ31" s="2665"/>
      <c r="AR31" s="2666"/>
      <c r="AS31" s="2032"/>
      <c r="AT31" s="1339"/>
      <c r="AU31" s="2132"/>
      <c r="AW31" s="1570" t="str">
        <f>'Regular and QuickBrace Systems'!O46</f>
        <v>Yes</v>
      </c>
      <c r="AX31" s="1574" t="str">
        <f>'Regular and QuickBrace Systems'!Q46</f>
        <v>Yes</v>
      </c>
      <c r="BD31" s="2648"/>
      <c r="BF31" s="599" t="str">
        <f>'Custom Elements'!C15</f>
        <v>Custom7</v>
      </c>
      <c r="BI31" s="759"/>
      <c r="BJ31" s="897">
        <f t="shared" si="4"/>
        <v>23</v>
      </c>
      <c r="BK31" s="775" t="str">
        <f t="shared" si="5"/>
        <v xml:space="preserve"> </v>
      </c>
      <c r="BL31" s="772" t="str">
        <f t="shared" si="6"/>
        <v>Custom20</v>
      </c>
      <c r="BM31" s="776">
        <f t="shared" si="7"/>
        <v>9.9999999999999996E-76</v>
      </c>
      <c r="BN31" s="776">
        <v>999</v>
      </c>
      <c r="BO31" s="776">
        <f t="shared" si="8"/>
        <v>0</v>
      </c>
      <c r="BP31" s="926">
        <f t="shared" si="9"/>
        <v>0</v>
      </c>
      <c r="BR31" s="908"/>
      <c r="BS31" s="776"/>
      <c r="BT31" s="455" t="str">
        <f t="shared" si="10"/>
        <v>B</v>
      </c>
      <c r="BU31" s="925" t="str">
        <f t="shared" si="11"/>
        <v>T</v>
      </c>
      <c r="BV31" s="484" t="str">
        <f t="shared" si="12"/>
        <v>Custom20</v>
      </c>
      <c r="BW31" s="911">
        <f t="shared" si="18"/>
        <v>23</v>
      </c>
      <c r="BX31" s="925" t="str">
        <f t="shared" si="16"/>
        <v>Single</v>
      </c>
      <c r="CH31" s="908">
        <f t="shared" si="13"/>
        <v>0</v>
      </c>
      <c r="CI31" s="926">
        <f t="shared" si="14"/>
        <v>0</v>
      </c>
      <c r="CJ31" s="759"/>
      <c r="CK31" s="188"/>
      <c r="CL31" s="979"/>
      <c r="CN31" s="497"/>
      <c r="CO31" s="497" t="s">
        <v>8</v>
      </c>
      <c r="CQ31" s="51" t="s">
        <v>8</v>
      </c>
      <c r="CR31" s="51" t="s">
        <v>8</v>
      </c>
      <c r="CS31" s="51" t="s">
        <v>8</v>
      </c>
      <c r="CT31" s="51" t="s">
        <v>8</v>
      </c>
      <c r="CU31" s="51" t="s">
        <v>8</v>
      </c>
      <c r="CV31" s="51" t="s">
        <v>8</v>
      </c>
      <c r="CW31" s="51" t="s">
        <v>8</v>
      </c>
      <c r="CX31" s="51" t="s">
        <v>8</v>
      </c>
      <c r="CY31" s="51" t="s">
        <v>8</v>
      </c>
      <c r="CZ31" s="51" t="s">
        <v>8</v>
      </c>
      <c r="DA31" s="51" t="s">
        <v>8</v>
      </c>
      <c r="DD31" s="758"/>
      <c r="DF31" s="52"/>
      <c r="DG31" s="51" t="s">
        <v>8</v>
      </c>
      <c r="DH31" s="51"/>
      <c r="DI31" s="51" t="s">
        <v>8</v>
      </c>
      <c r="DJ31" s="51"/>
      <c r="DK31" s="51"/>
      <c r="DL31" s="51" t="s">
        <v>8</v>
      </c>
      <c r="DM31" s="51"/>
      <c r="DN31" s="51" t="s">
        <v>8</v>
      </c>
      <c r="DO31" s="435" t="s">
        <v>8</v>
      </c>
      <c r="DP31" s="435"/>
      <c r="DQ31" s="868" t="s">
        <v>8</v>
      </c>
      <c r="DR31" s="868"/>
      <c r="DS31" s="426" t="s">
        <v>8</v>
      </c>
      <c r="DT31" s="451" t="s">
        <v>8</v>
      </c>
      <c r="DU31" s="188" t="s">
        <v>8</v>
      </c>
      <c r="DV31" s="188" t="s">
        <v>8</v>
      </c>
      <c r="DW31" s="188" t="s">
        <v>8</v>
      </c>
      <c r="DX31" s="188" t="s">
        <v>8</v>
      </c>
      <c r="DY31" s="188"/>
      <c r="DZ31" s="188" t="s">
        <v>8</v>
      </c>
      <c r="EA31" s="188" t="s">
        <v>8</v>
      </c>
      <c r="EB31" s="188" t="s">
        <v>8</v>
      </c>
      <c r="EC31" s="435" t="s">
        <v>8</v>
      </c>
      <c r="ED31" s="435" t="s">
        <v>8</v>
      </c>
      <c r="EE31" s="868" t="s">
        <v>8</v>
      </c>
      <c r="EF31" s="867" t="s">
        <v>8</v>
      </c>
      <c r="EG31" s="613"/>
      <c r="EH31" s="614"/>
      <c r="EI31" s="613"/>
      <c r="EJ31" s="435"/>
      <c r="EK31" s="451"/>
      <c r="EL31" s="612"/>
      <c r="EN31" s="947"/>
      <c r="ER31" s="441"/>
      <c r="ES31" s="440"/>
      <c r="ET31" s="440"/>
      <c r="EU31" s="957"/>
      <c r="EW31" s="427"/>
      <c r="EX31"/>
    </row>
    <row r="32" spans="2:154" ht="17.100000000000001" customHeight="1" thickBot="1">
      <c r="B32" s="1369" t="str">
        <f ca="1">S32</f>
        <v>Q</v>
      </c>
      <c r="C32" s="684" t="str">
        <f>IF(OR(F32=0,I32="",I32=" ")," ",$V32)</f>
        <v xml:space="preserve"> </v>
      </c>
      <c r="D32" s="1033"/>
      <c r="E32" s="1360" t="s">
        <v>8</v>
      </c>
      <c r="F32" s="202"/>
      <c r="G32" s="1416"/>
      <c r="H32" s="199" t="str">
        <f ca="1">IF(OR(F32=0,Z32="E",Z32="f")," ",'Project Demand'!E$35)</f>
        <v xml:space="preserve"> </v>
      </c>
      <c r="I32" s="631" t="str">
        <f>IF($I$6&lt;&gt;$BG$8," ",AB32)</f>
        <v xml:space="preserve"> </v>
      </c>
      <c r="J32" s="43" t="str">
        <f ca="1">IF(OR(I32=" ",I32="")," ",OFFSET($BO$9,CL32-1,0-4,1,1))</f>
        <v xml:space="preserve"> </v>
      </c>
      <c r="K32" s="55" t="str">
        <f>IF(OR(I32=" ",I32="")," ",IF(OR(Z32="e",Z32="h"),"SD",BG$24))</f>
        <v xml:space="preserve"> </v>
      </c>
      <c r="L32" s="49">
        <f ca="1">CW32</f>
        <v>0</v>
      </c>
      <c r="M32" s="49">
        <f ca="1">CY32</f>
        <v>0</v>
      </c>
      <c r="N32" s="50">
        <f t="shared" ref="N32:O36" ca="1" si="21">DA32</f>
        <v>0</v>
      </c>
      <c r="O32" s="126">
        <f t="shared" ca="1" si="21"/>
        <v>0</v>
      </c>
      <c r="P32" s="140"/>
      <c r="Q32" s="752" t="str">
        <f ca="1">IF(AND(OR(Z32="t",Z32="f"),K32=$BH$11),"No Floor!  Change Floor Type",IF(OR(I32=" ",I32="")," ",IF(F32&lt;OFFSET($BM$9,CL32-1,0,1,1),"check L(m)",DE32&amp;IF(AND(DP32&gt;=CY32,DR32&gt;=DB32),IF(AND(ED32&gt;=DP32,EF32&gt;=DR32),CONCATENATE(DS32," will provide same result"),CONCATENATE(CO32," will provide same result")),IF((DP32&gt;=CY32),CONCATENATE(CO32," provides same result in WIND"),IF((DR32&gt;=DB32),CONCATENATE(CO32," provides same result in EQ"),""))))))&amp;IF(ISERROR(FIND("pile",I32,1)),"",IF(INT(F32)&lt;&gt;F32,"Pile!  Use Whole Numbers Only",""))</f>
        <v xml:space="preserve"> </v>
      </c>
      <c r="R32" s="52">
        <f ca="1">IF(T26&lt;&gt;2,(COLUMN(INDIRECT(B26&amp;1))+1),U32)</f>
        <v>17</v>
      </c>
      <c r="S32" s="1372" t="str">
        <f ca="1">SUBSTITUTE(ADDRESS(1,R32,4),"1","")</f>
        <v>Q</v>
      </c>
      <c r="T32" s="451">
        <f ca="1">IF(AND(ISTEXT(B32),SUBSTITUTE(SUBSTITUTE(SUBSTITUTE(SUBSTITUTE(SUBSTITUTE(SUBSTITUTE(SUBSTITUTE(SUBSTITUTE(SUBSTITUTE(SUBSTITUTE(SUBSTITUTE(SUBSTITUTE(SUBSTITUTE(SUBSTITUTE(SUBSTITUTE(SUBSTITUTE(SUBSTITUTE(SUBSTITUTE(SUBSTITUTE(SUBSTITUTE(SUBSTITUTE(SUBSTITUTE(SUBSTITUTE(SUBSTITUTE(SUBSTITUTE(SUBSTITUTE(LOWER(B32),"a",),"b",),"c",),"d",),"e",),"f",),"g",),"h",),"i",),"j",),"k",),"l",),"m",),"n",),"o",),"p",),"q",),"r",),"s",),"t",),"u",),"v",),"w",),"x",),"y",),"z",)=""),1,2)</f>
        <v>1</v>
      </c>
      <c r="U32" s="1377">
        <v>17</v>
      </c>
      <c r="V32" s="52" t="str">
        <f ca="1">IF(AND(B$5=$BF$9,OR(I32=BH$16,I32=BH$17))," ",IF(ISNUMBER(B$32),(CONCATENATE(B$32,".",W32)),(CONCATENATE(B$32,W32))))</f>
        <v>Q0</v>
      </c>
      <c r="W32" s="9">
        <f ca="1">IF(B26=B32,W30+X32,X32)</f>
        <v>0</v>
      </c>
      <c r="X32" s="9">
        <f>IF(AND(B$5=$BF$9,OR($I32=$BH$16,$I32=$BH$17,$I32=" ",$I32="",$F32=0)),0,IF(OR($I32=" ",$I32="",$F32=0),0,1))</f>
        <v>0</v>
      </c>
      <c r="Y32" s="896">
        <f ca="1">IF(AND(M37&gt;0,B32&lt;&gt;B38),1,0)</f>
        <v>0</v>
      </c>
      <c r="Z32" s="52" t="str">
        <f ca="1">IF(I32=" "," ",OFFSET($BM$9,$CL32-1,8,1,1))</f>
        <v xml:space="preserve"> </v>
      </c>
      <c r="AA32" s="51" t="str">
        <f>IF(G32&gt;=45,"WA","")</f>
        <v/>
      </c>
      <c r="AB32" s="1364" t="str">
        <f>IF(F32&lt;&gt;"",IF(OR(D32=$BG$12,D32=$BG$13),IF(E32&lt;&gt;$BG$17,$BF$12,$BF$13),IF(E32&lt;&gt;$BG$17,$BF$12,$BF$13))," ")</f>
        <v xml:space="preserve"> </v>
      </c>
      <c r="AC32" s="1"/>
      <c r="AJ32" s="2230"/>
      <c r="AK32" s="2779"/>
      <c r="AL32" s="2783" t="str">
        <f>'Regular and QuickBrace Systems'!E47</f>
        <v>EMSH</v>
      </c>
      <c r="AM32" s="1176">
        <f>'Regular and QuickBrace Systems'!F47</f>
        <v>0.4</v>
      </c>
      <c r="AN32" s="1272">
        <f>'Regular and QuickBrace Systems'!G47</f>
        <v>110</v>
      </c>
      <c r="AO32" s="1273">
        <f>'Regular and QuickBrace Systems'!H47</f>
        <v>115</v>
      </c>
      <c r="AP32" s="1594"/>
      <c r="AQ32" s="2661" t="str">
        <f>'Regular and QuickBrace Systems'!I41</f>
        <v>Specialised QuickBrace Pattern</v>
      </c>
      <c r="AR32" s="2662"/>
      <c r="AS32" s="2030" t="str">
        <f>'Regular and QuickBrace Systems'!K44</f>
        <v>Yes</v>
      </c>
      <c r="AT32" s="1339"/>
      <c r="AU32" s="2133" t="str">
        <f>'Regular and QuickBrace Systems'!M47</f>
        <v>Elephant Multiboard One side,           Elephant Standard-Plus board the Other</v>
      </c>
      <c r="AW32" s="1567" t="str">
        <f>'Regular and QuickBrace Systems'!O47</f>
        <v>Yes</v>
      </c>
      <c r="AX32" s="1573" t="str">
        <f>'Regular and QuickBrace Systems'!Q47</f>
        <v>No</v>
      </c>
      <c r="BD32" s="2648"/>
      <c r="BF32" s="599" t="str">
        <f>'Custom Elements'!C16</f>
        <v>Custom8</v>
      </c>
      <c r="BG32" s="948" t="s">
        <v>640</v>
      </c>
      <c r="BI32" s="759"/>
      <c r="BJ32" s="897">
        <f t="shared" si="4"/>
        <v>24</v>
      </c>
      <c r="BT32" s="1215"/>
      <c r="BU32" s="1218"/>
      <c r="BW32" s="896"/>
      <c r="CH32" s="970"/>
      <c r="CI32" s="971"/>
      <c r="CJ32" s="759"/>
      <c r="CK32" s="188"/>
      <c r="CL32" s="979">
        <f>VLOOKUP(I32,Prodlink,2,0)</f>
        <v>0</v>
      </c>
      <c r="CN32" s="497">
        <f ca="1">VLOOKUP(CO32,Prodlink,2,0)</f>
        <v>0</v>
      </c>
      <c r="CO32" s="497">
        <f ca="1">OFFSET($CH$9,CL32-1,-15,1,1)</f>
        <v>0</v>
      </c>
      <c r="CQ32" s="51">
        <v>0</v>
      </c>
      <c r="CR32" s="51">
        <f>IF(K32=$BH$12,$BH$23,IF(K32=$BH$13,$BH$24,10000))</f>
        <v>10000</v>
      </c>
      <c r="CS32" s="51">
        <f ca="1">IF(F32&lt;OFFSET($BM$9,CL32-1,0,1,1),0,IF(F32&lt;OFFSET($BN$9,CL32-1,0,1,1),((F32-OFFSET($BM$9,CL32-1,0,1,1))*OFFSET($CH$9,CL32-1,0,1,1))+OFFSET($BO$9,CL32-1,CQ32,1,1),IF(F32&lt;OFFSET($BN$9,CL32+0,0,1,1),((F32-OFFSET($BM$9,CL32+0,0,1,1))*OFFSET($CH$9,CL32+0,0,1,1))+OFFSET($BO$9,CL32+0,CQ32,1,1),IF(F32&lt;OFFSET($BN$9,CL32+1,0,1,1),((F32-OFFSET($BM$9,CL32+1,0,1,1))*OFFSET($CH$9,CL32+1,0,1,1))+OFFSET($BO$9,CL32+1,CQ32,1,1),IF(F32&lt;OFFSET($BN$9,CL32+2,0,1,1),((F32-OFFSET($BM$9,CL32+2,0,1,1))*OFFSET($CH$9,CL32+2,0,1,1))+OFFSET($BO$9,CL32+2,CQ32,1,1),IF(F32&lt;OFFSET($BN$9,CL32+3,0,1,1),((F32-OFFSET($BM$9,CL32+3,0,1,1))*OFFSET($CH$9,CL32+3,0,1,1))+OFFSET($BO$9,CL32+3,CQ32,1,1),0))))))</f>
        <v>0</v>
      </c>
      <c r="CT32" s="51">
        <f ca="1">IF($F32&lt;OFFSET($BM$9,$CL32-1,0,1,1),0,IF($F32&lt;OFFSET($BN$9,$CL32-1,0,1,1),IF(AND($H32&gt;2.4,Z32&lt;&gt;"e",Z32&lt;&gt;"f"),CX32*2.4/$H32,CX32),IF($F32&lt;OFFSET($BN$9,$CL32+0,0,1,1),IF(AND($H32&gt;2.4,Z32&lt;&gt;"e",Z32&lt;&gt;"f"),CX32*2.4/$H32,CX32),IF($F32&lt;OFFSET($BN$9,$CL32+1,0,1,1),IF(AND($H32&gt;2.4,Z32&lt;&gt;"e",Z32&lt;&gt;"f"),CX32*2.4/$H32,CX32),IF($F32&lt;OFFSET($BN$9,CL32+2,0,1,1),IF(AND($H32&gt;2.4,Z32&lt;&gt;"e",Z32&lt;&gt;"f"),CX32*2.4/$H32,CX32),IF($F32&lt;OFFSET($BN$9,CL32+3,0,1,1),IF(AND($H32&gt;2.4,Z32&lt;&gt;"e",Z32&lt;&gt;"f"),CX32*2.4/$H32,CX32),0)))))*COS(RADIANS($G32)))</f>
        <v>0</v>
      </c>
      <c r="CU32" s="51">
        <f ca="1">IF(F32&lt;OFFSET($BM$9,CL32-1,0,1,1),0,IF(F32&lt;OFFSET($BN$9,CL32-1,0,1,1),((F32-OFFSET($BM$9,CL32-1,0,1,1))*OFFSET($CI$9,CL32-1,0,1,1))+OFFSET($BP$9,CL32-1,CQ32,1,1),IF(F32&lt;OFFSET($BN$9,CL32+0,0,1,1),((F32-OFFSET($BM$9,CL32+0,0,1,1))*OFFSET($CI$9,CL32+0,0,1,1))+OFFSET($BP$9,CL32+0,CQ32,1,1),IF(F32&lt;OFFSET($BN$9,CL32+1,0,1,1),((F32-OFFSET($BM$9,CL32+1,0,1,1))*OFFSET($CI$9,CL32+1,0,1,1))+OFFSET($BP$9,CL32+1,CQ32,1,1),IF(F32&lt;OFFSET($BN$9,CL32+2,0,1,1),((F32-OFFSET($BM$9,CL32+2,0,1,1))*OFFSET($CI$9,CL32+2,0,1,1))+OFFSET($BP$9,CL32+2,CQ32,1,1),IF(F32&lt;OFFSET($BN$9,CL32+3,0,1,1),((F32-OFFSET($BM$9,CL32+3,0,1,1))*OFFSET($CI$9,CL32+3,0,1,1))+OFFSET($BP$9,CL32+3,CQ32,1,1),0))))))</f>
        <v>0</v>
      </c>
      <c r="CV32" s="51">
        <f ca="1">IF($F32&lt;OFFSET($BM$9,$CL32-1,0,1,1),0,IF($F32&lt;OFFSET($BN$9,$CL32-1,0,1,1),IF(AND($H32&gt;2.4,Z32&lt;&gt;"e",Z32&lt;&gt;"f"),CZ32*2.4/$H32,CZ32),IF($F32&lt;OFFSET($BN$9,$CL32+0,0,1,1),IF(AND($H32&gt;2.4,Z32&lt;&gt;"e",Z32&lt;&gt;"f"),CZ32*2.4/$H32,CZ32),IF($F32&lt;OFFSET($BN$9,$CL32+1,0,1,1),IF(AND($H32&gt;2.4,Z32&lt;&gt;"e",Z32&lt;&gt;"f"),CZ32*2.4/$H32,CZ32),IF($F32&lt;OFFSET($BN$9,$CL32+2,0,1,1),IF(AND($H32&gt;2.4,Z32&lt;&gt;"e",Z32&lt;&gt;"f"),CZ32*2.4/$H32,CZ32),IF($F32&lt;OFFSET($BN$9,$CL32+3,0,1,1),IF(AND($H32&gt;2.4,Z32&lt;&gt;"e",Z32&lt;&gt;"f"),CZ32*2.4/$H32,CZ32),0)))))*COS(RADIANS($G32)))</f>
        <v>0</v>
      </c>
      <c r="CW32" s="51">
        <f ca="1">IF(CT32&gt;CR32,CR32,CT32)</f>
        <v>0</v>
      </c>
      <c r="CX32" s="51">
        <f ca="1">IF(CS32&gt;$CR32,$CR32,CS32)</f>
        <v>0</v>
      </c>
      <c r="CY32" s="51">
        <f ca="1">CW32*F32</f>
        <v>0</v>
      </c>
      <c r="CZ32" s="51">
        <f ca="1">IF($CU32&gt;$CR32,$CR32,$CU32)</f>
        <v>0</v>
      </c>
      <c r="DA32" s="51">
        <f ca="1">IF(CV32&gt;CR32,CR32,CV32)</f>
        <v>0</v>
      </c>
      <c r="DB32" s="51">
        <f ca="1">DA32*F32</f>
        <v>0</v>
      </c>
      <c r="DC32" s="993">
        <v>1</v>
      </c>
      <c r="DD32" s="758" t="str">
        <f>IF(OR(D32=BG$12,D32=BG$13),"External",IF(D32=BG$14,"Internal"," "))</f>
        <v xml:space="preserve"> </v>
      </c>
      <c r="DE32" s="51" t="str">
        <f t="shared" ca="1" si="2"/>
        <v/>
      </c>
      <c r="DF32" s="52" t="str">
        <f t="shared" ca="1" si="3"/>
        <v xml:space="preserve"> </v>
      </c>
      <c r="DG32" s="51">
        <f ca="1">IF(F32&lt;OFFSET($BM$9,CN32-1,0,1,1),0,IF(F32&lt;OFFSET($BN$9,CN32-1,0,1,1),((F32-OFFSET($BM$9,CN32-1,0,1,1))*OFFSET($CH$9,CN32-1,0,1,1))+OFFSET($BO$9,CN32-1,CQ32,1,1),IF(F32&lt;OFFSET($BN$9,CN32+0,0,1,1),((F32-OFFSET($BM$9,CN32+0,0,1,1))*OFFSET($CH$9,CN32+0,0,1,1))+OFFSET($BO$9,CN32+0,CQ32,1,1),IF(F32&lt;OFFSET($BN$9,CN32+1,0,1,1),((F32-OFFSET($BM$9,CN32+1,0,1,1))*OFFSET($CH$9,CN32+1,0,1,1))+OFFSET($BO$9,CN32+1,CQ32,1,1),IF(F32&lt;OFFSET($BN$9,CN32+2,0,1,1),((F32-OFFSET($BM$9,CN32+2,0,1,1))*OFFSET($CH$9,CN32+2,0,1,1))+OFFSET($BO$9,CN32+2,CQ32,1,1),IF(F32&lt;OFFSET($BN$9,CN32+3,0,1,1),((F32-OFFSET($BM$9,CN32+3,0,1,1))*OFFSET($CH$9,CN32+3,0,1,1))+OFFSET($BO$9,CN32+3,CQ32,1,1),0))))))</f>
        <v>0</v>
      </c>
      <c r="DH32" s="51">
        <f ca="1">IF($F32&lt;OFFSET($BM$9,$CN32-1,0,1,1),0,IF($F32&lt;OFFSET($BN$9,$CN32-1,0,1,1),IF(AND($H32&gt;2.4,Z32&lt;&gt;"e",Z32&lt;&gt;"f"),DL32*2.4/$H32,DL32),IF($F32&lt;OFFSET($BN$9,$CN32+0,0,1,1),IF(AND($H32&gt;2.4,Z32&lt;&gt;"e",Z32&lt;&gt;"f"),DL32*2.4/$H32,DL32),IF($F32&lt;OFFSET($BN$9,$CN32+1,0,1,1),IF(AND($H32&gt;2.4,Z32&lt;&gt;"e",Z32&lt;&gt;"f"),DL32*2.4/$H32,DL32),IF($F32&lt;OFFSET($BN$9,$CN32+2,0,1,1),IF(AND($H32&gt;2.4,Z32&lt;&gt;"e",Z32&lt;&gt;"f"),DL32*2.4/$H32,DL32),IF($F32&lt;OFFSET($BN$9,$CN32+3,0,1,1),IF(AND($H32&gt;2.4,Z32&lt;&gt;"e",Z32&lt;&gt;"f"),DL32*2.4/$H32,DL32),0)))))*COS(RADIANS($G32)))</f>
        <v>0</v>
      </c>
      <c r="DI32" s="51">
        <f ca="1">IF(F32&lt;OFFSET($BM$9,CN32-1,0,1,1),0,IF(F32&lt;OFFSET($BN$9,CN32-1,0,1,1),((F32-OFFSET($BM$9,CN32-1,0,1,1))*OFFSET($CI$9,CN32-1,0,1,1))+OFFSET($BP$9,CN32-1,CQ32,1,1),IF(F32&lt;OFFSET($BN$9,CN32+0,0,1,1),((F32-OFFSET($BM$9,CN32+0,0,1,1))*OFFSET($CI$9,CN32+0,0,1,1))+OFFSET($BP$9,CN32+0,CQ32,1,1),IF(F32&lt;OFFSET($BN$9,CN32+1,0,1,1),((F32-OFFSET($BM$9,CN32+1,0,1,1))*OFFSET($CI$9,CN32+1,0,1,1))+OFFSET($BP$9,CN32+1,CQ32,1,1),IF(F32&lt;OFFSET($BN$9,CN32+2,0,1,1),((F32-OFFSET($BM$9,CN32+2,0,1,1))*OFFSET($CI$9,CN32+2,0,1,1))+OFFSET($BP$9,CN32+2,CQ32,1,1),IF(F32&lt;OFFSET($BN$9,CN32+3,0,1,1),((F32-OFFSET($BM$9,CN32+3,0,1,1))*OFFSET($CI$9,CN32+3,0,1,1))+OFFSET($BP$9,CN32+3,CQ32,1,1),0))))))</f>
        <v>0</v>
      </c>
      <c r="DJ32" s="51">
        <f ca="1">IF($F32&lt;OFFSET($BM$9,$CN32-1,0,1,1),0,IF($F32&lt;OFFSET($BN$9,$CN32-1,0,1,1),IF(AND($H32&gt;2.4,Z32&lt;&gt;"e",Z32&lt;&gt;"f"),DN32*2.4/$H32,DN32),IF($F32&lt;OFFSET($BN$9,$CN32+0,0,1,1),IF(AND($H32&gt;2.4,Z32&lt;&gt;"e",Z32&lt;&gt;"f"),DN32*2.4/$H32,DN32),IF($F32&lt;OFFSET($BN$9,$CN32+1,0,1,1),IF(AND($H32&gt;2.4,Z32&lt;&gt;"e",Z32&lt;&gt;"f"),DN32*2.4/$H32,DN32),IF($F32&lt;OFFSET($BN$9,$CN32+2,0,1,1),IF(AND($H32&gt;2.4,Z32&lt;&gt;"e",Z32&lt;&gt;"f"),DN32*2.4/$H32,DN32),IF($F32&lt;OFFSET($BN$9,$CN32+3,0,1,1),IF(AND($H32&gt;2.4,Z32&lt;&gt;"e",Z32&lt;&gt;"f"),DN32*2.4/$H32,DN32),0)))))*COS(RADIANS($G32)))</f>
        <v>0</v>
      </c>
      <c r="DK32" s="51"/>
      <c r="DL32" s="51">
        <f ca="1">IF(DG32&gt;$CR32,$CR32,DG32)</f>
        <v>0</v>
      </c>
      <c r="DM32" s="51"/>
      <c r="DN32" s="51">
        <f ca="1">IF(DI32&gt;$CR32,$CR32,DI32)</f>
        <v>0</v>
      </c>
      <c r="DO32" s="435">
        <f ca="1">IF(DH32&gt;$CR32,$CR32,DH32)</f>
        <v>0</v>
      </c>
      <c r="DP32" s="435">
        <f ca="1">DO32*F32</f>
        <v>0</v>
      </c>
      <c r="DQ32" s="436">
        <f ca="1">IF(DJ32&gt;$CR32,$CR32,DJ32)</f>
        <v>0</v>
      </c>
      <c r="DR32" s="437">
        <f ca="1">DQ32*F32</f>
        <v>0</v>
      </c>
      <c r="DS32" s="426">
        <f ca="1">OFFSET($CH$9,CL32-1,-15,1,1)</f>
        <v>0</v>
      </c>
      <c r="DT32" s="451">
        <f t="shared" ca="1" si="1"/>
        <v>0</v>
      </c>
      <c r="DU32" s="188">
        <f ca="1">IF(F32&lt;OFFSET($BM$9,DT32-1,0,1,1),0,IF(F32&lt;OFFSET($BN$9,DT32-1,0,1,1),((F32-OFFSET($BM$9,DT32-1,0,1,1))*OFFSET($CH$9,DT32-1,0,1,1))+OFFSET($BO$9,DT32-1,CQ32,1,1),IF(F32&lt;OFFSET($BN$9,DT32+0,0,1,1),((F32-OFFSET($BM$9,DT32+0,0,1,1))*OFFSET($CH$9,DT32+0,0,1,1))+OFFSET($BO$9,DT32+0,CQ32,1,1),IF(F32&lt;OFFSET($BN$9,DT32+1,0,1,1),((F32-OFFSET($BM$9,DT32+1,0,1,1))*OFFSET($CH$9,DT32+1,0,1,1))+OFFSET($BO$9,DT32+1,CQ32,1,1),IF(F32&lt;OFFSET($BN$9,DT32+2,0,1,1),((F32-OFFSET($BM$9,DT32+2,0,1,1))*OFFSET($CH$9,DT32+2,0,1,1))+OFFSET($BO$9,DT32+2,CQ32,1,1),IF(F32&lt;OFFSET($BN$9,DT32+3,0,1,1),((F32-OFFSET($BM$9,DT32+3,0,1,1))*OFFSET($CH$9,DT32+3,0,1,1))+OFFSET($BO$9,DT32+3,CQ32,1,1),0))))))</f>
        <v>0</v>
      </c>
      <c r="DV32" s="51">
        <f ca="1">IF($F32&lt;OFFSET($BM$9,$DT32-1,0,1,1),0,IF($F32&lt;OFFSET($BN$9,$DT32-1,0,1,1),IF(AND($H32&gt;2.4,Z32&lt;&gt;"e",Z32&lt;&gt;"f"),DZ32*2.4/$H32,DZ32),IF($F32&lt;OFFSET($BN$9,$DT32+0,0,1,1),IF(AND($H32&gt;2.4,Z32&lt;&gt;"e",Z32&lt;&gt;"f"),DZ32*2.4/$H32,DZ32),IF($F32&lt;OFFSET($BN$9,$DT32+1,0,1,1),IF(AND($H32&gt;2.4,Z32&lt;&gt;"e",Z32&lt;&gt;"f"),DZ32*2.4/$H32,DZ32),IF($F32&lt;OFFSET($BN$9,$DT32+2,0,1,1),IF(AND($H32&gt;2.4,Z32&lt;&gt;"e",Z32&lt;&gt;"f"),DZ32*2.4/$H32,DZ32),IF($F32&lt;OFFSET($BN$9,$DT32+3,0,1,1),IF(AND($H32&gt;2.4,Z32&lt;&gt;"e",Z32&lt;&gt;"f"),DZ32*2.4/$H32,DZ32),0)))))*COS(RADIANS($G32)))</f>
        <v>0</v>
      </c>
      <c r="DW32" s="188">
        <f ca="1">IF(F32&lt;OFFSET($BM$9,DT32-1,0,1,1),0,IF(F32&lt;OFFSET($BN$9,DT32-1,0,1,1),((F32-OFFSET($BM$9,DT32-1,0,1,1))*OFFSET($CI$9,DT32-1,0,1,1))+OFFSET($BP$9,DT32-1,CQ32,1,1),IF(F32&lt;OFFSET($BN$9,DT32+0,0,1,1),((F32-OFFSET($BM$9,DT32+0,0,1,1))*OFFSET($CI$9,DT32+0,0,1,1))+OFFSET($BP$9,DT32+0,CQ32,1,1),IF(F32&lt;OFFSET($BN$9,DT32+1,0,1,1),((F32-OFFSET($BM$9,DT32+1,0,1,1))*OFFSET($CI$9,DT32+1,0,1,1))+OFFSET($BP$9,DT32+1,CQ32,1,1),IF(F32&lt;OFFSET($BN$9,DT32+2,0,1,1),((F32-OFFSET($BM$9,DT32+2,0,1,1))*OFFSET($CI$9,DT32+2,0,1,1))+OFFSET($BP$9,DT32+2,CQ32,1,1),IF(F32&lt;OFFSET($BN$9,DT32+3,0,1,1),((F32-OFFSET($BM$9,DT32+3,0,1,1))*OFFSET($CI$9,DT32+3,0,1,1))+OFFSET($BP$9,DT32+3,CQ32,1,1),0))))))</f>
        <v>0</v>
      </c>
      <c r="DX32" s="51">
        <f ca="1">IF($F32&lt;OFFSET($BM$9,$DT32-1,0,1,1),0,IF($F32&lt;OFFSET($BN$9,$DT32-1,0,1,1),IF(AND($H32&gt;2.4,Z32&lt;&gt;"e",Z32&lt;&gt;"f"),EB32*2.4/$H32,EB32),IF($F32&lt;OFFSET($BN$9,$DT32+0,0,1,1),IF(AND($H32&gt;2.4,Z32&lt;&gt;"e",Z32&lt;&gt;"f"),EB32*2.4/$H32,EB32),IF($F32&lt;OFFSET($BN$9,$DT32+1,0,1,1),IF(AND($H32&gt;2.4,Z32&lt;&gt;"e",Z32&lt;&gt;"f"),EB32*2.4/$H32,EB32),IF($F32&lt;OFFSET($BN$9,$DT32+2,0,1,1),IF(AND($H32&gt;2.4,Z32&lt;&gt;"e",Z32&lt;&gt;"f"),EB32*2.4/$H32,EB32),IF($F32&lt;OFFSET($BN$9,$DT32+3,0,1,1),IF(AND($H32&gt;2.4,Z32&lt;&gt;"e",Z32&lt;&gt;"f"),EB32*2.4/$H32,EB32),0)))))*COS(RADIANS($G32)))</f>
        <v>0</v>
      </c>
      <c r="DY32" s="188"/>
      <c r="DZ32" s="188">
        <f ca="1">IF(DU32&gt;$CR32,$CR32,DU32)</f>
        <v>0</v>
      </c>
      <c r="EA32" s="188"/>
      <c r="EB32" s="188">
        <f ca="1">IF(DW32&gt;$CR32,$CR32,DW32)</f>
        <v>0</v>
      </c>
      <c r="EC32" s="435">
        <f ca="1">IF(DV32&gt;$CR32,$CR32,DV32)</f>
        <v>0</v>
      </c>
      <c r="ED32" s="435">
        <f ca="1">EC32*F32</f>
        <v>0</v>
      </c>
      <c r="EE32" s="436">
        <f ca="1">IF(DX32&gt;$CR32,$CR32,DX32)</f>
        <v>0</v>
      </c>
      <c r="EF32" s="437">
        <f ca="1">EE32*F32</f>
        <v>0</v>
      </c>
      <c r="EG32" s="613" t="str">
        <f>IF(D32=BG$12,BG$12,"")</f>
        <v/>
      </c>
      <c r="EH32" s="614" t="str">
        <f>IF(D32=BG$13,BG$13,"")</f>
        <v/>
      </c>
      <c r="EI32" s="611">
        <f>IF(EG32=BG$12,M32,0)</f>
        <v>0</v>
      </c>
      <c r="EJ32" s="451">
        <f>IF(EG32=BG$12,O32,0)</f>
        <v>0</v>
      </c>
      <c r="EK32" s="451">
        <f>IF(EH32=BG$13,M32,0)</f>
        <v>0</v>
      </c>
      <c r="EL32" s="612">
        <f>IF(EH32=BG$13,O32,0)</f>
        <v>0</v>
      </c>
      <c r="EM32" s="426" t="str">
        <f ca="1">IF(AND(Z32&lt;&gt;"t",Z32&lt;&gt;"f"),"",IF(AND(EN32=$BH$13,K32=$BH$12),"NotOpt",IF(K32&lt;&gt;EN32,"Error","")))</f>
        <v/>
      </c>
      <c r="EN32" s="491" t="str">
        <f>IF(AND($BH$28=1,$BG$28=1),$BH$13,$BH$12)</f>
        <v>120 BU's</v>
      </c>
      <c r="EO32" s="426" t="str">
        <f>K32</f>
        <v xml:space="preserve"> </v>
      </c>
      <c r="EP32" s="497">
        <v>1</v>
      </c>
      <c r="EQ32" s="430" t="str">
        <f ca="1">IF(EP32=1," ",OFFSET(BF$15,EP32-2,0,1,1))</f>
        <v xml:space="preserve"> </v>
      </c>
      <c r="ER32" s="439" t="str">
        <f ca="1">IF(H32=0," ",H32)</f>
        <v xml:space="preserve"> </v>
      </c>
      <c r="ES32" s="440" t="str">
        <f ca="1">IF(ER32&lt;&gt;" ",IF(ER32&lt;&gt;ER$7,"Changed",""),"")</f>
        <v/>
      </c>
      <c r="ET32" s="440">
        <f t="shared" ca="1" si="15"/>
        <v>0</v>
      </c>
      <c r="EU32" s="957" t="str">
        <f ca="1">IF(I32=" "," ",IF(F32&lt;OFFSET($BM$9,CL32-1,0,1,1),1,""))</f>
        <v xml:space="preserve"> </v>
      </c>
      <c r="EW32" s="427"/>
      <c r="EX32"/>
    </row>
    <row r="33" spans="1:154" ht="17.100000000000001" customHeight="1">
      <c r="B33" s="689" t="s">
        <v>246</v>
      </c>
      <c r="C33" s="684" t="str">
        <f>IF(OR(F33=0,I33="",I33=" ")," ",$V33)</f>
        <v xml:space="preserve"> </v>
      </c>
      <c r="D33" s="1033"/>
      <c r="E33" s="1360" t="s">
        <v>8</v>
      </c>
      <c r="F33" s="202"/>
      <c r="G33" s="1416"/>
      <c r="H33" s="199" t="str">
        <f ca="1">IF(OR(F33=0,Z33="E",Z33="f")," ",'Project Demand'!E$35)</f>
        <v xml:space="preserve"> </v>
      </c>
      <c r="I33" s="631" t="str">
        <f>IF($I$6&lt;&gt;$BG$8," ",AB33)</f>
        <v xml:space="preserve"> </v>
      </c>
      <c r="J33" s="44" t="str">
        <f ca="1">IF(OR(I33=" ",I33="")," ",OFFSET($BO$9,CL33-1,0-4,1,1))</f>
        <v xml:space="preserve"> </v>
      </c>
      <c r="K33" s="55" t="str">
        <f>IF(OR(I33=" ",I33="")," ",IF(OR(Z33="e",Z33="h"),"SD",BG$24))</f>
        <v xml:space="preserve"> </v>
      </c>
      <c r="L33" s="49">
        <f ca="1">CW33</f>
        <v>0</v>
      </c>
      <c r="M33" s="49">
        <f ca="1">CY33</f>
        <v>0</v>
      </c>
      <c r="N33" s="50">
        <f t="shared" ca="1" si="21"/>
        <v>0</v>
      </c>
      <c r="O33" s="126">
        <f t="shared" ca="1" si="21"/>
        <v>0</v>
      </c>
      <c r="P33" s="140"/>
      <c r="Q33" s="752" t="str">
        <f ca="1">IF(AND(OR(Z33="t",Z33="f"),K33=$BH$11),"No Floor!  Change Floor Type",IF(OR(I33=" ",I33="")," ",IF(F33&lt;OFFSET($BM$9,CL33-1,0,1,1),"check L(m)",DE33&amp;IF(AND(DP33&gt;=CY33,DR33&gt;=DB33),IF(AND(ED33&gt;=DP33,EF33&gt;=DR33),CONCATENATE(DS33," will provide same result"),CONCATENATE(CO33," will provide same result")),IF((DP33&gt;=CY33),CONCATENATE(CO33," provides same result in WIND"),IF((DR33&gt;=DB33),CONCATENATE(CO33," provides same result in EQ"),""))))))&amp;IF(ISERROR(FIND("pile",I33,1)),"",IF(INT(F33)&lt;&gt;F33,"Pile!  Use Whole Numbers Only",""))</f>
        <v xml:space="preserve"> </v>
      </c>
      <c r="R33" s="52"/>
      <c r="S33" s="1372"/>
      <c r="T33" s="1372"/>
      <c r="U33" s="1377"/>
      <c r="V33" s="52" t="str">
        <f ca="1">IF(AND(B$5=$BF$9,OR(I33=BH$16,I33=BH$17))," ",IF(ISNUMBER(B$32),(CONCATENATE(B$32,".",W33)),(CONCATENATE(B$32,W33))))</f>
        <v>Q0</v>
      </c>
      <c r="W33" s="9">
        <f ca="1">W32+X33</f>
        <v>0</v>
      </c>
      <c r="X33" s="9">
        <f>IF(AND(B$5=$BF$9,OR($I33=$BH$16,$I33=$BH$17,$I33=" ",$I33="",$F33=0)),0,IF(OR($I33=" ",$I33="",$F33=0),0,1))</f>
        <v>0</v>
      </c>
      <c r="Y33" s="896"/>
      <c r="Z33" s="52" t="str">
        <f ca="1">IF(I33=" "," ",OFFSET($BM$9,$CL33-1,8,1,1))</f>
        <v xml:space="preserve"> </v>
      </c>
      <c r="AA33" s="51" t="str">
        <f>IF(G33&gt;=45,"WA","")</f>
        <v/>
      </c>
      <c r="AB33" s="1364" t="str">
        <f>IF(F33&lt;&gt;"",IF(OR(D33=$BG$12,D33=$BG$13),IF(E33&lt;&gt;$BG$17,$BF$12,$BF$13),IF(E33&lt;&gt;$BG$17,$BF$12,$BF$13))," ")</f>
        <v xml:space="preserve"> </v>
      </c>
      <c r="AC33" s="1"/>
      <c r="AJ33" s="2230"/>
      <c r="AK33" s="2779"/>
      <c r="AL33" s="2784"/>
      <c r="AM33" s="116">
        <f>'Regular and QuickBrace Systems'!F48</f>
        <v>0.8</v>
      </c>
      <c r="AN33" s="1336">
        <f>'Regular and QuickBrace Systems'!G48</f>
        <v>143</v>
      </c>
      <c r="AO33" s="26">
        <f>'Regular and QuickBrace Systems'!H48</f>
        <v>134</v>
      </c>
      <c r="AP33" s="1595"/>
      <c r="AQ33" s="2663"/>
      <c r="AR33" s="2664"/>
      <c r="AS33" s="2031"/>
      <c r="AT33" s="1339"/>
      <c r="AU33" s="2123"/>
      <c r="AW33" s="1586" t="str">
        <f>'Regular and QuickBrace Systems'!O48</f>
        <v>Yes</v>
      </c>
      <c r="AX33" s="1578" t="str">
        <f>'Regular and QuickBrace Systems'!Q48</f>
        <v>Yes</v>
      </c>
      <c r="BD33" s="2648"/>
      <c r="BF33" s="599" t="str">
        <f>'Custom Elements'!C17</f>
        <v>Custom9</v>
      </c>
      <c r="BG33" s="948" t="s">
        <v>641</v>
      </c>
      <c r="BI33" s="759"/>
      <c r="BJ33" s="897">
        <f t="shared" si="4"/>
        <v>25</v>
      </c>
      <c r="BK33" s="1247" t="str">
        <f>'Custom Elements'!O9</f>
        <v>NZS 3604</v>
      </c>
      <c r="BL33" s="770" t="str">
        <f>'Custom Elements'!P9</f>
        <v>Masonry 0.75</v>
      </c>
      <c r="BM33" s="454">
        <f>'Custom Elements'!Q9</f>
        <v>1.5</v>
      </c>
      <c r="BN33" s="454">
        <v>999</v>
      </c>
      <c r="BO33" s="454">
        <f>'Custom Elements'!R9</f>
        <v>42</v>
      </c>
      <c r="BP33" s="924">
        <f>'Custom Elements'!S9</f>
        <v>42</v>
      </c>
      <c r="BQ33" s="920"/>
      <c r="BR33" s="768"/>
      <c r="BS33" s="454"/>
      <c r="BT33" s="454" t="s">
        <v>7</v>
      </c>
      <c r="BU33" s="925" t="s">
        <v>34</v>
      </c>
      <c r="BV33" s="1248" t="str">
        <f>BL33</f>
        <v>Masonry 0.75</v>
      </c>
      <c r="BW33" s="1182">
        <f t="shared" ref="BW33:BW39" si="22">BJ33</f>
        <v>25</v>
      </c>
      <c r="BX33" s="925" t="str">
        <f>'Custom Elements'!U9</f>
        <v>Single</v>
      </c>
      <c r="CH33" s="768">
        <f t="shared" ref="CH33:CH38" si="23">IF(BN33=999,0,(BO34-BO33)/(BN33-BM33))</f>
        <v>0</v>
      </c>
      <c r="CI33" s="924">
        <f t="shared" ref="CI33:CI38" si="24">IF(BN33=999,0,(BP34-BP33)/(BN33-BM33))</f>
        <v>0</v>
      </c>
      <c r="CJ33" s="759"/>
      <c r="CK33" s="188"/>
      <c r="CL33" s="979">
        <f>VLOOKUP(I33,Prodlink,2,0)</f>
        <v>0</v>
      </c>
      <c r="CN33" s="497">
        <f ca="1">VLOOKUP(CO33,Prodlink,2,0)</f>
        <v>0</v>
      </c>
      <c r="CO33" s="497">
        <f ca="1">OFFSET($CH$9,CL33-1,-15,1,1)</f>
        <v>0</v>
      </c>
      <c r="CQ33" s="51">
        <v>0</v>
      </c>
      <c r="CR33" s="51">
        <f>IF(K33=$BH$12,$BH$23,IF(K33=$BH$13,$BH$24,10000))</f>
        <v>10000</v>
      </c>
      <c r="CS33" s="51">
        <f ca="1">IF(F33&lt;OFFSET($BM$9,CL33-1,0,1,1),0,IF(F33&lt;OFFSET($BN$9,CL33-1,0,1,1),((F33-OFFSET($BM$9,CL33-1,0,1,1))*OFFSET($CH$9,CL33-1,0,1,1))+OFFSET($BO$9,CL33-1,CQ33,1,1),IF(F33&lt;OFFSET($BN$9,CL33+0,0,1,1),((F33-OFFSET($BM$9,CL33+0,0,1,1))*OFFSET($CH$9,CL33+0,0,1,1))+OFFSET($BO$9,CL33+0,CQ33,1,1),IF(F33&lt;OFFSET($BN$9,CL33+1,0,1,1),((F33-OFFSET($BM$9,CL33+1,0,1,1))*OFFSET($CH$9,CL33+1,0,1,1))+OFFSET($BO$9,CL33+1,CQ33,1,1),IF(F33&lt;OFFSET($BN$9,CL33+2,0,1,1),((F33-OFFSET($BM$9,CL33+2,0,1,1))*OFFSET($CH$9,CL33+2,0,1,1))+OFFSET($BO$9,CL33+2,CQ33,1,1),IF(F33&lt;OFFSET($BN$9,CL33+3,0,1,1),((F33-OFFSET($BM$9,CL33+3,0,1,1))*OFFSET($CH$9,CL33+3,0,1,1))+OFFSET($BO$9,CL33+3,CQ33,1,1),0))))))</f>
        <v>0</v>
      </c>
      <c r="CT33" s="51">
        <f ca="1">IF($F33&lt;OFFSET($BM$9,$CL33-1,0,1,1),0,IF($F33&lt;OFFSET($BN$9,$CL33-1,0,1,1),IF(AND($H33&gt;2.4,Z33&lt;&gt;"e",Z33&lt;&gt;"f"),CX33*2.4/$H33,CX33),IF($F33&lt;OFFSET($BN$9,$CL33+0,0,1,1),IF(AND($H33&gt;2.4,Z33&lt;&gt;"e",Z33&lt;&gt;"f"),CX33*2.4/$H33,CX33),IF($F33&lt;OFFSET($BN$9,$CL33+1,0,1,1),IF(AND($H33&gt;2.4,Z33&lt;&gt;"e",Z33&lt;&gt;"f"),CX33*2.4/$H33,CX33),IF($F33&lt;OFFSET($BN$9,CL33+2,0,1,1),IF(AND($H33&gt;2.4,Z33&lt;&gt;"e",Z33&lt;&gt;"f"),CX33*2.4/$H33,CX33),IF($F33&lt;OFFSET($BN$9,CL33+3,0,1,1),IF(AND($H33&gt;2.4,Z33&lt;&gt;"e",Z33&lt;&gt;"f"),CX33*2.4/$H33,CX33),0)))))*COS(RADIANS($G33)))</f>
        <v>0</v>
      </c>
      <c r="CU33" s="51">
        <f ca="1">IF(F33&lt;OFFSET($BM$9,CL33-1,0,1,1),0,IF(F33&lt;OFFSET($BN$9,CL33-1,0,1,1),((F33-OFFSET($BM$9,CL33-1,0,1,1))*OFFSET($CI$9,CL33-1,0,1,1))+OFFSET($BP$9,CL33-1,CQ33,1,1),IF(F33&lt;OFFSET($BN$9,CL33+0,0,1,1),((F33-OFFSET($BM$9,CL33+0,0,1,1))*OFFSET($CI$9,CL33+0,0,1,1))+OFFSET($BP$9,CL33+0,CQ33,1,1),IF(F33&lt;OFFSET($BN$9,CL33+1,0,1,1),((F33-OFFSET($BM$9,CL33+1,0,1,1))*OFFSET($CI$9,CL33+1,0,1,1))+OFFSET($BP$9,CL33+1,CQ33,1,1),IF(F33&lt;OFFSET($BN$9,CL33+2,0,1,1),((F33-OFFSET($BM$9,CL33+2,0,1,1))*OFFSET($CI$9,CL33+2,0,1,1))+OFFSET($BP$9,CL33+2,CQ33,1,1),IF(F33&lt;OFFSET($BN$9,CL33+3,0,1,1),((F33-OFFSET($BM$9,CL33+3,0,1,1))*OFFSET($CI$9,CL33+3,0,1,1))+OFFSET($BP$9,CL33+3,CQ33,1,1),0))))))</f>
        <v>0</v>
      </c>
      <c r="CV33" s="51">
        <f ca="1">IF($F33&lt;OFFSET($BM$9,$CL33-1,0,1,1),0,IF($F33&lt;OFFSET($BN$9,$CL33-1,0,1,1),IF(AND($H33&gt;2.4,Z33&lt;&gt;"e",Z33&lt;&gt;"f"),CZ33*2.4/$H33,CZ33),IF($F33&lt;OFFSET($BN$9,$CL33+0,0,1,1),IF(AND($H33&gt;2.4,Z33&lt;&gt;"e",Z33&lt;&gt;"f"),CZ33*2.4/$H33,CZ33),IF($F33&lt;OFFSET($BN$9,$CL33+1,0,1,1),IF(AND($H33&gt;2.4,Z33&lt;&gt;"e",Z33&lt;&gt;"f"),CZ33*2.4/$H33,CZ33),IF($F33&lt;OFFSET($BN$9,$CL33+2,0,1,1),IF(AND($H33&gt;2.4,Z33&lt;&gt;"e",Z33&lt;&gt;"f"),CZ33*2.4/$H33,CZ33),IF($F33&lt;OFFSET($BN$9,$CL33+3,0,1,1),IF(AND($H33&gt;2.4,Z33&lt;&gt;"e",Z33&lt;&gt;"f"),CZ33*2.4/$H33,CZ33),0)))))*COS(RADIANS($G33)))</f>
        <v>0</v>
      </c>
      <c r="CW33" s="51">
        <f ca="1">IF(CT33&gt;CR33,CR33,CT33)</f>
        <v>0</v>
      </c>
      <c r="CX33" s="51">
        <f ca="1">IF(CS33&gt;$CR33,$CR33,CS33)</f>
        <v>0</v>
      </c>
      <c r="CY33" s="51">
        <f ca="1">CW33*F33</f>
        <v>0</v>
      </c>
      <c r="CZ33" s="51">
        <f ca="1">IF($CU33&gt;$CR33,$CR33,$CU33)</f>
        <v>0</v>
      </c>
      <c r="DA33" s="51">
        <f ca="1">IF(CV33&gt;CR33,CR33,CV33)</f>
        <v>0</v>
      </c>
      <c r="DB33" s="51">
        <f ca="1">DA33*F33</f>
        <v>0</v>
      </c>
      <c r="DC33" s="993">
        <v>1</v>
      </c>
      <c r="DD33" s="758" t="str">
        <f>IF(OR(D33=BG$12,D33=BG$13),"External",IF(D33=BG$14,"Internal"," "))</f>
        <v xml:space="preserve"> </v>
      </c>
      <c r="DE33" s="51" t="str">
        <f t="shared" ca="1" si="2"/>
        <v/>
      </c>
      <c r="DF33" s="52" t="str">
        <f t="shared" ca="1" si="3"/>
        <v xml:space="preserve"> </v>
      </c>
      <c r="DG33" s="51">
        <f ca="1">IF(F33&lt;OFFSET($BM$9,CN33-1,0,1,1),0,IF(F33&lt;OFFSET($BN$9,CN33-1,0,1,1),((F33-OFFSET($BM$9,CN33-1,0,1,1))*OFFSET($CH$9,CN33-1,0,1,1))+OFFSET($BO$9,CN33-1,CQ33,1,1),IF(F33&lt;OFFSET($BN$9,CN33+0,0,1,1),((F33-OFFSET($BM$9,CN33+0,0,1,1))*OFFSET($CH$9,CN33+0,0,1,1))+OFFSET($BO$9,CN33+0,CQ33,1,1),IF(F33&lt;OFFSET($BN$9,CN33+1,0,1,1),((F33-OFFSET($BM$9,CN33+1,0,1,1))*OFFSET($CH$9,CN33+1,0,1,1))+OFFSET($BO$9,CN33+1,CQ33,1,1),IF(F33&lt;OFFSET($BN$9,CN33+2,0,1,1),((F33-OFFSET($BM$9,CN33+2,0,1,1))*OFFSET($CH$9,CN33+2,0,1,1))+OFFSET($BO$9,CN33+2,CQ33,1,1),IF(F33&lt;OFFSET($BN$9,CN33+3,0,1,1),((F33-OFFSET($BM$9,CN33+3,0,1,1))*OFFSET($CH$9,CN33+3,0,1,1))+OFFSET($BO$9,CN33+3,CQ33,1,1),0))))))</f>
        <v>0</v>
      </c>
      <c r="DH33" s="51">
        <f ca="1">IF($F33&lt;OFFSET($BM$9,$CN33-1,0,1,1),0,IF($F33&lt;OFFSET($BN$9,$CN33-1,0,1,1),IF(AND($H33&gt;2.4,Z33&lt;&gt;"e",Z33&lt;&gt;"f"),DL33*2.4/$H33,DL33),IF($F33&lt;OFFSET($BN$9,$CN33+0,0,1,1),IF(AND($H33&gt;2.4,Z33&lt;&gt;"e",Z33&lt;&gt;"f"),DL33*2.4/$H33,DL33),IF($F33&lt;OFFSET($BN$9,$CN33+1,0,1,1),IF(AND($H33&gt;2.4,Z33&lt;&gt;"e",Z33&lt;&gt;"f"),DL33*2.4/$H33,DL33),IF($F33&lt;OFFSET($BN$9,$CN33+2,0,1,1),IF(AND($H33&gt;2.4,Z33&lt;&gt;"e",Z33&lt;&gt;"f"),DL33*2.4/$H33,DL33),IF($F33&lt;OFFSET($BN$9,$CN33+3,0,1,1),IF(AND($H33&gt;2.4,Z33&lt;&gt;"e",Z33&lt;&gt;"f"),DL33*2.4/$H33,DL33),0)))))*COS(RADIANS($G33)))</f>
        <v>0</v>
      </c>
      <c r="DI33" s="51">
        <f ca="1">IF(F33&lt;OFFSET($BM$9,CN33-1,0,1,1),0,IF(F33&lt;OFFSET($BN$9,CN33-1,0,1,1),((F33-OFFSET($BM$9,CN33-1,0,1,1))*OFFSET($CI$9,CN33-1,0,1,1))+OFFSET($BP$9,CN33-1,CQ33,1,1),IF(F33&lt;OFFSET($BN$9,CN33+0,0,1,1),((F33-OFFSET($BM$9,CN33+0,0,1,1))*OFFSET($CI$9,CN33+0,0,1,1))+OFFSET($BP$9,CN33+0,CQ33,1,1),IF(F33&lt;OFFSET($BN$9,CN33+1,0,1,1),((F33-OFFSET($BM$9,CN33+1,0,1,1))*OFFSET($CI$9,CN33+1,0,1,1))+OFFSET($BP$9,CN33+1,CQ33,1,1),IF(F33&lt;OFFSET($BN$9,CN33+2,0,1,1),((F33-OFFSET($BM$9,CN33+2,0,1,1))*OFFSET($CI$9,CN33+2,0,1,1))+OFFSET($BP$9,CN33+2,CQ33,1,1),IF(F33&lt;OFFSET($BN$9,CN33+3,0,1,1),((F33-OFFSET($BM$9,CN33+3,0,1,1))*OFFSET($CI$9,CN33+3,0,1,1))+OFFSET($BP$9,CN33+3,CQ33,1,1),0))))))</f>
        <v>0</v>
      </c>
      <c r="DJ33" s="51">
        <f ca="1">IF($F33&lt;OFFSET($BM$9,$CN33-1,0,1,1),0,IF($F33&lt;OFFSET($BN$9,$CN33-1,0,1,1),IF(AND($H33&gt;2.4,Z33&lt;&gt;"e",Z33&lt;&gt;"f"),DN33*2.4/$H33,DN33),IF($F33&lt;OFFSET($BN$9,$CN33+0,0,1,1),IF(AND($H33&gt;2.4,Z33&lt;&gt;"e",Z33&lt;&gt;"f"),DN33*2.4/$H33,DN33),IF($F33&lt;OFFSET($BN$9,$CN33+1,0,1,1),IF(AND($H33&gt;2.4,Z33&lt;&gt;"e",Z33&lt;&gt;"f"),DN33*2.4/$H33,DN33),IF($F33&lt;OFFSET($BN$9,$CN33+2,0,1,1),IF(AND($H33&gt;2.4,Z33&lt;&gt;"e",Z33&lt;&gt;"f"),DN33*2.4/$H33,DN33),IF($F33&lt;OFFSET($BN$9,$CN33+3,0,1,1),IF(AND($H33&gt;2.4,Z33&lt;&gt;"e",Z33&lt;&gt;"f"),DN33*2.4/$H33,DN33),0)))))*COS(RADIANS($G33)))</f>
        <v>0</v>
      </c>
      <c r="DK33" s="51"/>
      <c r="DL33" s="51">
        <f ca="1">IF(DG33&gt;$CR33,$CR33,DG33)</f>
        <v>0</v>
      </c>
      <c r="DM33" s="51"/>
      <c r="DN33" s="51">
        <f ca="1">IF(DI33&gt;$CR33,$CR33,DI33)</f>
        <v>0</v>
      </c>
      <c r="DO33" s="435">
        <f ca="1">IF(DH33&gt;$CR33,$CR33,DH33)</f>
        <v>0</v>
      </c>
      <c r="DP33" s="435">
        <f ca="1">DO33*F33</f>
        <v>0</v>
      </c>
      <c r="DQ33" s="436">
        <f ca="1">IF(DJ33&gt;$CR33,$CR33,DJ33)</f>
        <v>0</v>
      </c>
      <c r="DR33" s="437">
        <f ca="1">DQ33*F33</f>
        <v>0</v>
      </c>
      <c r="DS33" s="426">
        <f ca="1">OFFSET($CH$9,CL33-1,-15,1,1)</f>
        <v>0</v>
      </c>
      <c r="DT33" s="451">
        <f t="shared" ca="1" si="1"/>
        <v>0</v>
      </c>
      <c r="DU33" s="188">
        <f ca="1">IF(F33&lt;OFFSET($BM$9,DT33-1,0,1,1),0,IF(F33&lt;OFFSET($BN$9,DT33-1,0,1,1),((F33-OFFSET($BM$9,DT33-1,0,1,1))*OFFSET($CH$9,DT33-1,0,1,1))+OFFSET($BO$9,DT33-1,CQ33,1,1),IF(F33&lt;OFFSET($BN$9,DT33+0,0,1,1),((F33-OFFSET($BM$9,DT33+0,0,1,1))*OFFSET($CH$9,DT33+0,0,1,1))+OFFSET($BO$9,DT33+0,CQ33,1,1),IF(F33&lt;OFFSET($BN$9,DT33+1,0,1,1),((F33-OFFSET($BM$9,DT33+1,0,1,1))*OFFSET($CH$9,DT33+1,0,1,1))+OFFSET($BO$9,DT33+1,CQ33,1,1),IF(F33&lt;OFFSET($BN$9,DT33+2,0,1,1),((F33-OFFSET($BM$9,DT33+2,0,1,1))*OFFSET($CH$9,DT33+2,0,1,1))+OFFSET($BO$9,DT33+2,CQ33,1,1),IF(F33&lt;OFFSET($BN$9,DT33+3,0,1,1),((F33-OFFSET($BM$9,DT33+3,0,1,1))*OFFSET($CH$9,DT33+3,0,1,1))+OFFSET($BO$9,DT33+3,CQ33,1,1),0))))))</f>
        <v>0</v>
      </c>
      <c r="DV33" s="51">
        <f ca="1">IF($F33&lt;OFFSET($BM$9,$DT33-1,0,1,1),0,IF($F33&lt;OFFSET($BN$9,$DT33-1,0,1,1),IF(AND($H33&gt;2.4,Z33&lt;&gt;"e",Z33&lt;&gt;"f"),DZ33*2.4/$H33,DZ33),IF($F33&lt;OFFSET($BN$9,$DT33+0,0,1,1),IF(AND($H33&gt;2.4,Z33&lt;&gt;"e",Z33&lt;&gt;"f"),DZ33*2.4/$H33,DZ33),IF($F33&lt;OFFSET($BN$9,$DT33+1,0,1,1),IF(AND($H33&gt;2.4,Z33&lt;&gt;"e",Z33&lt;&gt;"f"),DZ33*2.4/$H33,DZ33),IF($F33&lt;OFFSET($BN$9,$DT33+2,0,1,1),IF(AND($H33&gt;2.4,Z33&lt;&gt;"e",Z33&lt;&gt;"f"),DZ33*2.4/$H33,DZ33),IF($F33&lt;OFFSET($BN$9,$DT33+3,0,1,1),IF(AND($H33&gt;2.4,Z33&lt;&gt;"e",Z33&lt;&gt;"f"),DZ33*2.4/$H33,DZ33),0)))))*COS(RADIANS($G33)))</f>
        <v>0</v>
      </c>
      <c r="DW33" s="188">
        <f ca="1">IF(F33&lt;OFFSET($BM$9,DT33-1,0,1,1),0,IF(F33&lt;OFFSET($BN$9,DT33-1,0,1,1),((F33-OFFSET($BM$9,DT33-1,0,1,1))*OFFSET($CI$9,DT33-1,0,1,1))+OFFSET($BP$9,DT33-1,CQ33,1,1),IF(F33&lt;OFFSET($BN$9,DT33+0,0,1,1),((F33-OFFSET($BM$9,DT33+0,0,1,1))*OFFSET($CI$9,DT33+0,0,1,1))+OFFSET($BP$9,DT33+0,CQ33,1,1),IF(F33&lt;OFFSET($BN$9,DT33+1,0,1,1),((F33-OFFSET($BM$9,DT33+1,0,1,1))*OFFSET($CI$9,DT33+1,0,1,1))+OFFSET($BP$9,DT33+1,CQ33,1,1),IF(F33&lt;OFFSET($BN$9,DT33+2,0,1,1),((F33-OFFSET($BM$9,DT33+2,0,1,1))*OFFSET($CI$9,DT33+2,0,1,1))+OFFSET($BP$9,DT33+2,CQ33,1,1),IF(F33&lt;OFFSET($BN$9,DT33+3,0,1,1),((F33-OFFSET($BM$9,DT33+3,0,1,1))*OFFSET($CI$9,DT33+3,0,1,1))+OFFSET($BP$9,DT33+3,CQ33,1,1),0))))))</f>
        <v>0</v>
      </c>
      <c r="DX33" s="51">
        <f ca="1">IF($F33&lt;OFFSET($BM$9,$DT33-1,0,1,1),0,IF($F33&lt;OFFSET($BN$9,$DT33-1,0,1,1),IF(AND($H33&gt;2.4,Z33&lt;&gt;"e",Z33&lt;&gt;"f"),EB33*2.4/$H33,EB33),IF($F33&lt;OFFSET($BN$9,$DT33+0,0,1,1),IF(AND($H33&gt;2.4,Z33&lt;&gt;"e",Z33&lt;&gt;"f"),EB33*2.4/$H33,EB33),IF($F33&lt;OFFSET($BN$9,$DT33+1,0,1,1),IF(AND($H33&gt;2.4,Z33&lt;&gt;"e",Z33&lt;&gt;"f"),EB33*2.4/$H33,EB33),IF($F33&lt;OFFSET($BN$9,$DT33+2,0,1,1),IF(AND($H33&gt;2.4,Z33&lt;&gt;"e",Z33&lt;&gt;"f"),EB33*2.4/$H33,EB33),IF($F33&lt;OFFSET($BN$9,$DT33+3,0,1,1),IF(AND($H33&gt;2.4,Z33&lt;&gt;"e",Z33&lt;&gt;"f"),EB33*2.4/$H33,EB33),0)))))*COS(RADIANS($G33)))</f>
        <v>0</v>
      </c>
      <c r="DY33" s="188"/>
      <c r="DZ33" s="188">
        <f ca="1">IF(DU33&gt;$CR33,$CR33,DU33)</f>
        <v>0</v>
      </c>
      <c r="EA33" s="188"/>
      <c r="EB33" s="188">
        <f ca="1">IF(DW33&gt;$CR33,$CR33,DW33)</f>
        <v>0</v>
      </c>
      <c r="EC33" s="435">
        <f ca="1">IF(DV33&gt;$CR33,$CR33,DV33)</f>
        <v>0</v>
      </c>
      <c r="ED33" s="435">
        <f ca="1">EC33*F33</f>
        <v>0</v>
      </c>
      <c r="EE33" s="436">
        <f ca="1">IF(DX33&gt;$CR33,$CR33,DX33)</f>
        <v>0</v>
      </c>
      <c r="EF33" s="437">
        <f ca="1">EE33*F33</f>
        <v>0</v>
      </c>
      <c r="EG33" s="613" t="str">
        <f>IF(D33=BG$12,BG$12,"")</f>
        <v/>
      </c>
      <c r="EH33" s="614" t="str">
        <f>IF(D33=BG$13,BG$13,"")</f>
        <v/>
      </c>
      <c r="EI33" s="611">
        <f>IF(EG33=BG$12,M33,0)</f>
        <v>0</v>
      </c>
      <c r="EJ33" s="451">
        <f>IF(EG33=BG$12,O33,0)</f>
        <v>0</v>
      </c>
      <c r="EK33" s="451">
        <f>IF(EH33=BG$13,M33,0)</f>
        <v>0</v>
      </c>
      <c r="EL33" s="612">
        <f>IF(EH33=BG$13,O33,0)</f>
        <v>0</v>
      </c>
      <c r="EM33" s="426" t="str">
        <f ca="1">IF(AND(Z33&lt;&gt;"t",Z33&lt;&gt;"f"),"",IF(AND(EN33=$BH$13,K33=$BH$12),"NotOpt",IF(K33&lt;&gt;EN33,"Error","")))</f>
        <v/>
      </c>
      <c r="EN33" s="491" t="str">
        <f>IF(AND($BH$28=1,$BG$28=1),$BH$13,$BH$12)</f>
        <v>120 BU's</v>
      </c>
      <c r="EO33" s="426" t="str">
        <f>K33</f>
        <v xml:space="preserve"> </v>
      </c>
      <c r="EP33" s="497">
        <v>1</v>
      </c>
      <c r="EQ33" s="430" t="str">
        <f ca="1">IF(EP33=1," ",OFFSET(BF$15,EP33-2,0,1,1))</f>
        <v xml:space="preserve"> </v>
      </c>
      <c r="ER33" s="439" t="str">
        <f ca="1">IF(H33=0," ",H33)</f>
        <v xml:space="preserve"> </v>
      </c>
      <c r="ES33" s="440" t="str">
        <f ca="1">IF(ER33&lt;&gt;" ",IF(ER33&lt;&gt;ER$7,"Changed",""),"")</f>
        <v/>
      </c>
      <c r="ET33" s="440">
        <f t="shared" ca="1" si="15"/>
        <v>0</v>
      </c>
      <c r="EU33" s="957" t="str">
        <f ca="1">IF(I33=" "," ",IF(F33&lt;OFFSET($BM$9,CL33-1,0,1,1),1,""))</f>
        <v xml:space="preserve"> </v>
      </c>
      <c r="EW33" s="427"/>
      <c r="EX33"/>
    </row>
    <row r="34" spans="1:154" ht="17.100000000000001" customHeight="1" thickBot="1">
      <c r="B34" s="689" t="s">
        <v>246</v>
      </c>
      <c r="C34" s="684" t="str">
        <f>IF(OR(F34=0,I34="",I34=" ")," ",$V34)</f>
        <v xml:space="preserve"> </v>
      </c>
      <c r="D34" s="1033"/>
      <c r="E34" s="1360" t="s">
        <v>8</v>
      </c>
      <c r="F34" s="202"/>
      <c r="G34" s="1416"/>
      <c r="H34" s="199" t="str">
        <f ca="1">IF(OR(F34=0,Z34="E",Z34="f")," ",'Project Demand'!E$35)</f>
        <v xml:space="preserve"> </v>
      </c>
      <c r="I34" s="631" t="str">
        <f>IF($I$6&lt;&gt;$BG$8," ",AB34)</f>
        <v xml:space="preserve"> </v>
      </c>
      <c r="J34" s="44" t="str">
        <f ca="1">IF(OR(I34=" ",I34="")," ",OFFSET($BO$9,CL34-1,0-4,1,1))</f>
        <v xml:space="preserve"> </v>
      </c>
      <c r="K34" s="55" t="str">
        <f>IF(OR(I34=" ",I34="")," ",IF(OR(Z34="e",Z34="h"),"SD",BG$24))</f>
        <v xml:space="preserve"> </v>
      </c>
      <c r="L34" s="49">
        <f ca="1">CW34</f>
        <v>0</v>
      </c>
      <c r="M34" s="49">
        <f ca="1">CY34</f>
        <v>0</v>
      </c>
      <c r="N34" s="50">
        <f t="shared" ca="1" si="21"/>
        <v>0</v>
      </c>
      <c r="O34" s="126">
        <f t="shared" ca="1" si="21"/>
        <v>0</v>
      </c>
      <c r="P34" s="140"/>
      <c r="Q34" s="752" t="str">
        <f ca="1">IF(AND(OR(Z34="t",Z34="f"),K34=$BH$11),"No Floor!  Change Floor Type",IF(OR(I34=" ",I34="")," ",IF(F34&lt;OFFSET($BM$9,CL34-1,0,1,1),"check L(m)",DE34&amp;IF(AND(DP34&gt;=CY34,DR34&gt;=DB34),IF(AND(ED34&gt;=DP34,EF34&gt;=DR34),CONCATENATE(DS34," will provide same result"),CONCATENATE(CO34," will provide same result")),IF((DP34&gt;=CY34),CONCATENATE(CO34," provides same result in WIND"),IF((DR34&gt;=DB34),CONCATENATE(CO34," provides same result in EQ"),""))))))&amp;IF(ISERROR(FIND("pile",I34,1)),"",IF(INT(F34)&lt;&gt;F34,"Pile!  Use Whole Numbers Only",""))</f>
        <v xml:space="preserve"> </v>
      </c>
      <c r="R34" s="52"/>
      <c r="S34" s="1372"/>
      <c r="T34" s="1372"/>
      <c r="U34" s="1377"/>
      <c r="V34" s="52" t="str">
        <f ca="1">IF(AND(B$5=$BF$9,OR(I34=BH$16,I34=BH$17))," ",IF(ISNUMBER(B$32),(CONCATENATE(B$32,".",W34)),(CONCATENATE(B$32,W34))))</f>
        <v>Q0</v>
      </c>
      <c r="W34" s="9">
        <f ca="1">W33+X34</f>
        <v>0</v>
      </c>
      <c r="X34" s="9">
        <f>IF(AND(B$5=$BF$9,OR($I34=$BH$16,$I34=$BH$17,$I34=" ",$I34="",$F34=0)),0,IF(OR($I34=" ",$I34="",$F34=0),0,1))</f>
        <v>0</v>
      </c>
      <c r="Y34" s="896"/>
      <c r="Z34" s="52" t="str">
        <f ca="1">IF(I34=" "," ",OFFSET($BM$9,$CL34-1,8,1,1))</f>
        <v xml:space="preserve"> </v>
      </c>
      <c r="AA34" s="51" t="str">
        <f>IF(G34&gt;=45,"WA","")</f>
        <v/>
      </c>
      <c r="AB34" s="1364" t="str">
        <f>IF(F34&lt;&gt;"",IF(OR(D34=$BG$12,D34=$BG$13),IF(E34&lt;&gt;$BG$17,$BF$12,$BF$13),IF(E34&lt;&gt;$BG$17,$BF$12,$BF$13))," ")</f>
        <v xml:space="preserve"> </v>
      </c>
      <c r="AC34" s="1"/>
      <c r="AJ34" s="2230"/>
      <c r="AK34" s="2780"/>
      <c r="AL34" s="2785"/>
      <c r="AM34" s="1177">
        <f>'Regular and QuickBrace Systems'!F49</f>
        <v>1.2</v>
      </c>
      <c r="AN34" s="1274">
        <f>'Regular and QuickBrace Systems'!G49</f>
        <v>150</v>
      </c>
      <c r="AO34" s="1275">
        <f>'Regular and QuickBrace Systems'!H49</f>
        <v>148</v>
      </c>
      <c r="AP34" s="1277"/>
      <c r="AQ34" s="2665"/>
      <c r="AR34" s="2666"/>
      <c r="AS34" s="2032"/>
      <c r="AT34" s="1339"/>
      <c r="AU34" s="2124"/>
      <c r="AW34" s="1570" t="str">
        <f>'Regular and QuickBrace Systems'!O49</f>
        <v>Yes</v>
      </c>
      <c r="AX34" s="1574" t="str">
        <f>'Regular and QuickBrace Systems'!Q49</f>
        <v>Yes</v>
      </c>
      <c r="BD34" s="2648"/>
      <c r="BF34" s="599" t="str">
        <f>'Custom Elements'!C18</f>
        <v>Custom10</v>
      </c>
      <c r="BI34" s="759"/>
      <c r="BJ34" s="897">
        <f t="shared" si="4"/>
        <v>26</v>
      </c>
      <c r="BK34" s="769" t="str">
        <f>'Custom Elements'!O10</f>
        <v>NZS 3604</v>
      </c>
      <c r="BL34" s="771" t="str">
        <f>'Custom Elements'!P10</f>
        <v>Masonry 1.5</v>
      </c>
      <c r="BM34" s="455">
        <f>'Custom Elements'!Q10</f>
        <v>1.5</v>
      </c>
      <c r="BN34" s="455">
        <v>999</v>
      </c>
      <c r="BO34" s="455">
        <f>'Custom Elements'!R10</f>
        <v>100</v>
      </c>
      <c r="BP34" s="925">
        <f>'Custom Elements'!S10</f>
        <v>100</v>
      </c>
      <c r="BR34" s="764"/>
      <c r="BS34" s="455"/>
      <c r="BT34" s="455" t="s">
        <v>7</v>
      </c>
      <c r="BU34" s="925" t="s">
        <v>34</v>
      </c>
      <c r="BV34" s="483" t="str">
        <f t="shared" ref="BV34:BV39" si="25">BL34</f>
        <v>Masonry 1.5</v>
      </c>
      <c r="BW34" s="910">
        <f t="shared" si="22"/>
        <v>26</v>
      </c>
      <c r="BX34" s="925" t="str">
        <f>'Custom Elements'!U10</f>
        <v>Single</v>
      </c>
      <c r="CH34" s="764">
        <f t="shared" si="23"/>
        <v>0</v>
      </c>
      <c r="CI34" s="925">
        <f t="shared" si="24"/>
        <v>0</v>
      </c>
      <c r="CJ34" s="759"/>
      <c r="CK34" s="188"/>
      <c r="CL34" s="979">
        <f>VLOOKUP(I34,Prodlink,2,0)</f>
        <v>0</v>
      </c>
      <c r="CN34" s="497">
        <f ca="1">VLOOKUP(CO34,Prodlink,2,0)</f>
        <v>0</v>
      </c>
      <c r="CO34" s="497">
        <f ca="1">OFFSET($CH$9,CL34-1,-15,1,1)</f>
        <v>0</v>
      </c>
      <c r="CQ34" s="51">
        <v>0</v>
      </c>
      <c r="CR34" s="51">
        <f>IF(K34=$BH$12,$BH$23,IF(K34=$BH$13,$BH$24,10000))</f>
        <v>10000</v>
      </c>
      <c r="CS34" s="51">
        <f ca="1">IF(F34&lt;OFFSET($BM$9,CL34-1,0,1,1),0,IF(F34&lt;OFFSET($BN$9,CL34-1,0,1,1),((F34-OFFSET($BM$9,CL34-1,0,1,1))*OFFSET($CH$9,CL34-1,0,1,1))+OFFSET($BO$9,CL34-1,CQ34,1,1),IF(F34&lt;OFFSET($BN$9,CL34+0,0,1,1),((F34-OFFSET($BM$9,CL34+0,0,1,1))*OFFSET($CH$9,CL34+0,0,1,1))+OFFSET($BO$9,CL34+0,CQ34,1,1),IF(F34&lt;OFFSET($BN$9,CL34+1,0,1,1),((F34-OFFSET($BM$9,CL34+1,0,1,1))*OFFSET($CH$9,CL34+1,0,1,1))+OFFSET($BO$9,CL34+1,CQ34,1,1),IF(F34&lt;OFFSET($BN$9,CL34+2,0,1,1),((F34-OFFSET($BM$9,CL34+2,0,1,1))*OFFSET($CH$9,CL34+2,0,1,1))+OFFSET($BO$9,CL34+2,CQ34,1,1),IF(F34&lt;OFFSET($BN$9,CL34+3,0,1,1),((F34-OFFSET($BM$9,CL34+3,0,1,1))*OFFSET($CH$9,CL34+3,0,1,1))+OFFSET($BO$9,CL34+3,CQ34,1,1),0))))))</f>
        <v>0</v>
      </c>
      <c r="CT34" s="51">
        <f ca="1">IF($F34&lt;OFFSET($BM$9,$CL34-1,0,1,1),0,IF($F34&lt;OFFSET($BN$9,$CL34-1,0,1,1),IF(AND($H34&gt;2.4,Z34&lt;&gt;"e",Z34&lt;&gt;"f"),CX34*2.4/$H34,CX34),IF($F34&lt;OFFSET($BN$9,$CL34+0,0,1,1),IF(AND($H34&gt;2.4,Z34&lt;&gt;"e",Z34&lt;&gt;"f"),CX34*2.4/$H34,CX34),IF($F34&lt;OFFSET($BN$9,$CL34+1,0,1,1),IF(AND($H34&gt;2.4,Z34&lt;&gt;"e",Z34&lt;&gt;"f"),CX34*2.4/$H34,CX34),IF($F34&lt;OFFSET($BN$9,CL34+2,0,1,1),IF(AND($H34&gt;2.4,Z34&lt;&gt;"e",Z34&lt;&gt;"f"),CX34*2.4/$H34,CX34),IF($F34&lt;OFFSET($BN$9,CL34+3,0,1,1),IF(AND($H34&gt;2.4,Z34&lt;&gt;"e",Z34&lt;&gt;"f"),CX34*2.4/$H34,CX34),0)))))*COS(RADIANS($G34)))</f>
        <v>0</v>
      </c>
      <c r="CU34" s="51">
        <f ca="1">IF(F34&lt;OFFSET($BM$9,CL34-1,0,1,1),0,IF(F34&lt;OFFSET($BN$9,CL34-1,0,1,1),((F34-OFFSET($BM$9,CL34-1,0,1,1))*OFFSET($CI$9,CL34-1,0,1,1))+OFFSET($BP$9,CL34-1,CQ34,1,1),IF(F34&lt;OFFSET($BN$9,CL34+0,0,1,1),((F34-OFFSET($BM$9,CL34+0,0,1,1))*OFFSET($CI$9,CL34+0,0,1,1))+OFFSET($BP$9,CL34+0,CQ34,1,1),IF(F34&lt;OFFSET($BN$9,CL34+1,0,1,1),((F34-OFFSET($BM$9,CL34+1,0,1,1))*OFFSET($CI$9,CL34+1,0,1,1))+OFFSET($BP$9,CL34+1,CQ34,1,1),IF(F34&lt;OFFSET($BN$9,CL34+2,0,1,1),((F34-OFFSET($BM$9,CL34+2,0,1,1))*OFFSET($CI$9,CL34+2,0,1,1))+OFFSET($BP$9,CL34+2,CQ34,1,1),IF(F34&lt;OFFSET($BN$9,CL34+3,0,1,1),((F34-OFFSET($BM$9,CL34+3,0,1,1))*OFFSET($CI$9,CL34+3,0,1,1))+OFFSET($BP$9,CL34+3,CQ34,1,1),0))))))</f>
        <v>0</v>
      </c>
      <c r="CV34" s="51">
        <f ca="1">IF($F34&lt;OFFSET($BM$9,$CL34-1,0,1,1),0,IF($F34&lt;OFFSET($BN$9,$CL34-1,0,1,1),IF(AND($H34&gt;2.4,Z34&lt;&gt;"e",Z34&lt;&gt;"f"),CZ34*2.4/$H34,CZ34),IF($F34&lt;OFFSET($BN$9,$CL34+0,0,1,1),IF(AND($H34&gt;2.4,Z34&lt;&gt;"e",Z34&lt;&gt;"f"),CZ34*2.4/$H34,CZ34),IF($F34&lt;OFFSET($BN$9,$CL34+1,0,1,1),IF(AND($H34&gt;2.4,Z34&lt;&gt;"e",Z34&lt;&gt;"f"),CZ34*2.4/$H34,CZ34),IF($F34&lt;OFFSET($BN$9,$CL34+2,0,1,1),IF(AND($H34&gt;2.4,Z34&lt;&gt;"e",Z34&lt;&gt;"f"),CZ34*2.4/$H34,CZ34),IF($F34&lt;OFFSET($BN$9,$CL34+3,0,1,1),IF(AND($H34&gt;2.4,Z34&lt;&gt;"e",Z34&lt;&gt;"f"),CZ34*2.4/$H34,CZ34),0)))))*COS(RADIANS($G34)))</f>
        <v>0</v>
      </c>
      <c r="CW34" s="51">
        <f ca="1">IF(CT34&gt;CR34,CR34,CT34)</f>
        <v>0</v>
      </c>
      <c r="CX34" s="51">
        <f ca="1">IF(CS34&gt;$CR34,$CR34,CS34)</f>
        <v>0</v>
      </c>
      <c r="CY34" s="51">
        <f ca="1">CW34*F34</f>
        <v>0</v>
      </c>
      <c r="CZ34" s="51">
        <f ca="1">IF($CU34&gt;$CR34,$CR34,$CU34)</f>
        <v>0</v>
      </c>
      <c r="DA34" s="51">
        <f ca="1">IF(CV34&gt;CR34,CR34,CV34)</f>
        <v>0</v>
      </c>
      <c r="DB34" s="51">
        <f ca="1">DA34*F34</f>
        <v>0</v>
      </c>
      <c r="DC34" s="993">
        <v>1</v>
      </c>
      <c r="DD34" s="758" t="str">
        <f>IF(OR(D34=BG$12,D34=BG$13),"External",IF(D34=BG$14,"Internal"," "))</f>
        <v xml:space="preserve"> </v>
      </c>
      <c r="DE34" s="51" t="str">
        <f t="shared" ca="1" si="2"/>
        <v/>
      </c>
      <c r="DF34" s="52" t="str">
        <f t="shared" ca="1" si="3"/>
        <v xml:space="preserve"> </v>
      </c>
      <c r="DG34" s="51">
        <f ca="1">IF(F34&lt;OFFSET($BM$9,CN34-1,0,1,1),0,IF(F34&lt;OFFSET($BN$9,CN34-1,0,1,1),((F34-OFFSET($BM$9,CN34-1,0,1,1))*OFFSET($CH$9,CN34-1,0,1,1))+OFFSET($BO$9,CN34-1,CQ34,1,1),IF(F34&lt;OFFSET($BN$9,CN34+0,0,1,1),((F34-OFFSET($BM$9,CN34+0,0,1,1))*OFFSET($CH$9,CN34+0,0,1,1))+OFFSET($BO$9,CN34+0,CQ34,1,1),IF(F34&lt;OFFSET($BN$9,CN34+1,0,1,1),((F34-OFFSET($BM$9,CN34+1,0,1,1))*OFFSET($CH$9,CN34+1,0,1,1))+OFFSET($BO$9,CN34+1,CQ34,1,1),IF(F34&lt;OFFSET($BN$9,CN34+2,0,1,1),((F34-OFFSET($BM$9,CN34+2,0,1,1))*OFFSET($CH$9,CN34+2,0,1,1))+OFFSET($BO$9,CN34+2,CQ34,1,1),IF(F34&lt;OFFSET($BN$9,CN34+3,0,1,1),((F34-OFFSET($BM$9,CN34+3,0,1,1))*OFFSET($CH$9,CN34+3,0,1,1))+OFFSET($BO$9,CN34+3,CQ34,1,1),0))))))</f>
        <v>0</v>
      </c>
      <c r="DH34" s="51">
        <f ca="1">IF($F34&lt;OFFSET($BM$9,$CN34-1,0,1,1),0,IF($F34&lt;OFFSET($BN$9,$CN34-1,0,1,1),IF(AND($H34&gt;2.4,Z34&lt;&gt;"e",Z34&lt;&gt;"f"),DL34*2.4/$H34,DL34),IF($F34&lt;OFFSET($BN$9,$CN34+0,0,1,1),IF(AND($H34&gt;2.4,Z34&lt;&gt;"e",Z34&lt;&gt;"f"),DL34*2.4/$H34,DL34),IF($F34&lt;OFFSET($BN$9,$CN34+1,0,1,1),IF(AND($H34&gt;2.4,Z34&lt;&gt;"e",Z34&lt;&gt;"f"),DL34*2.4/$H34,DL34),IF($F34&lt;OFFSET($BN$9,$CN34+2,0,1,1),IF(AND($H34&gt;2.4,Z34&lt;&gt;"e",Z34&lt;&gt;"f"),DL34*2.4/$H34,DL34),IF($F34&lt;OFFSET($BN$9,$CN34+3,0,1,1),IF(AND($H34&gt;2.4,Z34&lt;&gt;"e",Z34&lt;&gt;"f"),DL34*2.4/$H34,DL34),0)))))*COS(RADIANS($G34)))</f>
        <v>0</v>
      </c>
      <c r="DI34" s="51">
        <f ca="1">IF(F34&lt;OFFSET($BM$9,CN34-1,0,1,1),0,IF(F34&lt;OFFSET($BN$9,CN34-1,0,1,1),((F34-OFFSET($BM$9,CN34-1,0,1,1))*OFFSET($CI$9,CN34-1,0,1,1))+OFFSET($BP$9,CN34-1,CQ34,1,1),IF(F34&lt;OFFSET($BN$9,CN34+0,0,1,1),((F34-OFFSET($BM$9,CN34+0,0,1,1))*OFFSET($CI$9,CN34+0,0,1,1))+OFFSET($BP$9,CN34+0,CQ34,1,1),IF(F34&lt;OFFSET($BN$9,CN34+1,0,1,1),((F34-OFFSET($BM$9,CN34+1,0,1,1))*OFFSET($CI$9,CN34+1,0,1,1))+OFFSET($BP$9,CN34+1,CQ34,1,1),IF(F34&lt;OFFSET($BN$9,CN34+2,0,1,1),((F34-OFFSET($BM$9,CN34+2,0,1,1))*OFFSET($CI$9,CN34+2,0,1,1))+OFFSET($BP$9,CN34+2,CQ34,1,1),IF(F34&lt;OFFSET($BN$9,CN34+3,0,1,1),((F34-OFFSET($BM$9,CN34+3,0,1,1))*OFFSET($CI$9,CN34+3,0,1,1))+OFFSET($BP$9,CN34+3,CQ34,1,1),0))))))</f>
        <v>0</v>
      </c>
      <c r="DJ34" s="51">
        <f ca="1">IF($F34&lt;OFFSET($BM$9,$CN34-1,0,1,1),0,IF($F34&lt;OFFSET($BN$9,$CN34-1,0,1,1),IF(AND($H34&gt;2.4,Z34&lt;&gt;"e",Z34&lt;&gt;"f"),DN34*2.4/$H34,DN34),IF($F34&lt;OFFSET($BN$9,$CN34+0,0,1,1),IF(AND($H34&gt;2.4,Z34&lt;&gt;"e",Z34&lt;&gt;"f"),DN34*2.4/$H34,DN34),IF($F34&lt;OFFSET($BN$9,$CN34+1,0,1,1),IF(AND($H34&gt;2.4,Z34&lt;&gt;"e",Z34&lt;&gt;"f"),DN34*2.4/$H34,DN34),IF($F34&lt;OFFSET($BN$9,$CN34+2,0,1,1),IF(AND($H34&gt;2.4,Z34&lt;&gt;"e",Z34&lt;&gt;"f"),DN34*2.4/$H34,DN34),IF($F34&lt;OFFSET($BN$9,$CN34+3,0,1,1),IF(AND($H34&gt;2.4,Z34&lt;&gt;"e",Z34&lt;&gt;"f"),DN34*2.4/$H34,DN34),0)))))*COS(RADIANS($G34)))</f>
        <v>0</v>
      </c>
      <c r="DK34" s="51"/>
      <c r="DL34" s="51">
        <f ca="1">IF(DG34&gt;$CR34,$CR34,DG34)</f>
        <v>0</v>
      </c>
      <c r="DM34" s="51"/>
      <c r="DN34" s="51">
        <f ca="1">IF(DI34&gt;$CR34,$CR34,DI34)</f>
        <v>0</v>
      </c>
      <c r="DO34" s="435">
        <f ca="1">IF(DH34&gt;$CR34,$CR34,DH34)</f>
        <v>0</v>
      </c>
      <c r="DP34" s="435">
        <f ca="1">DO34*F34</f>
        <v>0</v>
      </c>
      <c r="DQ34" s="436">
        <f ca="1">IF(DJ34&gt;$CR34,$CR34,DJ34)</f>
        <v>0</v>
      </c>
      <c r="DR34" s="437">
        <f ca="1">DQ34*F34</f>
        <v>0</v>
      </c>
      <c r="DS34" s="426">
        <f ca="1">OFFSET($CH$9,CL34-1,-15,1,1)</f>
        <v>0</v>
      </c>
      <c r="DT34" s="451">
        <f t="shared" ca="1" si="1"/>
        <v>0</v>
      </c>
      <c r="DU34" s="188">
        <f ca="1">IF(F34&lt;OFFSET($BM$9,DT34-1,0,1,1),0,IF(F34&lt;OFFSET($BN$9,DT34-1,0,1,1),((F34-OFFSET($BM$9,DT34-1,0,1,1))*OFFSET($CH$9,DT34-1,0,1,1))+OFFSET($BO$9,DT34-1,CQ34,1,1),IF(F34&lt;OFFSET($BN$9,DT34+0,0,1,1),((F34-OFFSET($BM$9,DT34+0,0,1,1))*OFFSET($CH$9,DT34+0,0,1,1))+OFFSET($BO$9,DT34+0,CQ34,1,1),IF(F34&lt;OFFSET($BN$9,DT34+1,0,1,1),((F34-OFFSET($BM$9,DT34+1,0,1,1))*OFFSET($CH$9,DT34+1,0,1,1))+OFFSET($BO$9,DT34+1,CQ34,1,1),IF(F34&lt;OFFSET($BN$9,DT34+2,0,1,1),((F34-OFFSET($BM$9,DT34+2,0,1,1))*OFFSET($CH$9,DT34+2,0,1,1))+OFFSET($BO$9,DT34+2,CQ34,1,1),IF(F34&lt;OFFSET($BN$9,DT34+3,0,1,1),((F34-OFFSET($BM$9,DT34+3,0,1,1))*OFFSET($CH$9,DT34+3,0,1,1))+OFFSET($BO$9,DT34+3,CQ34,1,1),0))))))</f>
        <v>0</v>
      </c>
      <c r="DV34" s="51">
        <f ca="1">IF($F34&lt;OFFSET($BM$9,$DT34-1,0,1,1),0,IF($F34&lt;OFFSET($BN$9,$DT34-1,0,1,1),IF(AND($H34&gt;2.4,Z34&lt;&gt;"e",Z34&lt;&gt;"f"),DZ34*2.4/$H34,DZ34),IF($F34&lt;OFFSET($BN$9,$DT34+0,0,1,1),IF(AND($H34&gt;2.4,Z34&lt;&gt;"e",Z34&lt;&gt;"f"),DZ34*2.4/$H34,DZ34),IF($F34&lt;OFFSET($BN$9,$DT34+1,0,1,1),IF(AND($H34&gt;2.4,Z34&lt;&gt;"e",Z34&lt;&gt;"f"),DZ34*2.4/$H34,DZ34),IF($F34&lt;OFFSET($BN$9,$DT34+2,0,1,1),IF(AND($H34&gt;2.4,Z34&lt;&gt;"e",Z34&lt;&gt;"f"),DZ34*2.4/$H34,DZ34),IF($F34&lt;OFFSET($BN$9,$DT34+3,0,1,1),IF(AND($H34&gt;2.4,Z34&lt;&gt;"e",Z34&lt;&gt;"f"),DZ34*2.4/$H34,DZ34),0)))))*COS(RADIANS($G34)))</f>
        <v>0</v>
      </c>
      <c r="DW34" s="188">
        <f ca="1">IF(F34&lt;OFFSET($BM$9,DT34-1,0,1,1),0,IF(F34&lt;OFFSET($BN$9,DT34-1,0,1,1),((F34-OFFSET($BM$9,DT34-1,0,1,1))*OFFSET($CI$9,DT34-1,0,1,1))+OFFSET($BP$9,DT34-1,CQ34,1,1),IF(F34&lt;OFFSET($BN$9,DT34+0,0,1,1),((F34-OFFSET($BM$9,DT34+0,0,1,1))*OFFSET($CI$9,DT34+0,0,1,1))+OFFSET($BP$9,DT34+0,CQ34,1,1),IF(F34&lt;OFFSET($BN$9,DT34+1,0,1,1),((F34-OFFSET($BM$9,DT34+1,0,1,1))*OFFSET($CI$9,DT34+1,0,1,1))+OFFSET($BP$9,DT34+1,CQ34,1,1),IF(F34&lt;OFFSET($BN$9,DT34+2,0,1,1),((F34-OFFSET($BM$9,DT34+2,0,1,1))*OFFSET($CI$9,DT34+2,0,1,1))+OFFSET($BP$9,DT34+2,CQ34,1,1),IF(F34&lt;OFFSET($BN$9,DT34+3,0,1,1),((F34-OFFSET($BM$9,DT34+3,0,1,1))*OFFSET($CI$9,DT34+3,0,1,1))+OFFSET($BP$9,DT34+3,CQ34,1,1),0))))))</f>
        <v>0</v>
      </c>
      <c r="DX34" s="51">
        <f ca="1">IF($F34&lt;OFFSET($BM$9,$DT34-1,0,1,1),0,IF($F34&lt;OFFSET($BN$9,$DT34-1,0,1,1),IF(AND($H34&gt;2.4,Z34&lt;&gt;"e",Z34&lt;&gt;"f"),EB34*2.4/$H34,EB34),IF($F34&lt;OFFSET($BN$9,$DT34+0,0,1,1),IF(AND($H34&gt;2.4,Z34&lt;&gt;"e",Z34&lt;&gt;"f"),EB34*2.4/$H34,EB34),IF($F34&lt;OFFSET($BN$9,$DT34+1,0,1,1),IF(AND($H34&gt;2.4,Z34&lt;&gt;"e",Z34&lt;&gt;"f"),EB34*2.4/$H34,EB34),IF($F34&lt;OFFSET($BN$9,$DT34+2,0,1,1),IF(AND($H34&gt;2.4,Z34&lt;&gt;"e",Z34&lt;&gt;"f"),EB34*2.4/$H34,EB34),IF($F34&lt;OFFSET($BN$9,$DT34+3,0,1,1),IF(AND($H34&gt;2.4,Z34&lt;&gt;"e",Z34&lt;&gt;"f"),EB34*2.4/$H34,EB34),0)))))*COS(RADIANS($G34)))</f>
        <v>0</v>
      </c>
      <c r="DY34" s="188"/>
      <c r="DZ34" s="188">
        <f ca="1">IF(DU34&gt;$CR34,$CR34,DU34)</f>
        <v>0</v>
      </c>
      <c r="EA34" s="188"/>
      <c r="EB34" s="188">
        <f ca="1">IF(DW34&gt;$CR34,$CR34,DW34)</f>
        <v>0</v>
      </c>
      <c r="EC34" s="435">
        <f ca="1">IF(DV34&gt;$CR34,$CR34,DV34)</f>
        <v>0</v>
      </c>
      <c r="ED34" s="435">
        <f ca="1">EC34*F34</f>
        <v>0</v>
      </c>
      <c r="EE34" s="436">
        <f ca="1">IF(DX34&gt;$CR34,$CR34,DX34)</f>
        <v>0</v>
      </c>
      <c r="EF34" s="437">
        <f ca="1">EE34*F34</f>
        <v>0</v>
      </c>
      <c r="EG34" s="613" t="str">
        <f>IF(D34=BG$12,BG$12,"")</f>
        <v/>
      </c>
      <c r="EH34" s="614" t="str">
        <f>IF(D34=BG$13,BG$13,"")</f>
        <v/>
      </c>
      <c r="EI34" s="611">
        <f>IF(EG34=BG$12,M34,0)</f>
        <v>0</v>
      </c>
      <c r="EJ34" s="451">
        <f>IF(EG34=BG$12,O34,0)</f>
        <v>0</v>
      </c>
      <c r="EK34" s="451">
        <f>IF(EH34=BG$13,M34,0)</f>
        <v>0</v>
      </c>
      <c r="EL34" s="612">
        <f>IF(EH34=BG$13,O34,0)</f>
        <v>0</v>
      </c>
      <c r="EM34" s="426" t="str">
        <f ca="1">IF(AND(Z34&lt;&gt;"t",Z34&lt;&gt;"f"),"",IF(AND(EN34=$BH$13,K34=$BH$12),"NotOpt",IF(K34&lt;&gt;EN34,"Error","")))</f>
        <v/>
      </c>
      <c r="EN34" s="491" t="str">
        <f>IF(AND($BH$28=1,$BG$28=1),$BH$13,$BH$12)</f>
        <v>120 BU's</v>
      </c>
      <c r="EO34" s="426" t="str">
        <f>K34</f>
        <v xml:space="preserve"> </v>
      </c>
      <c r="EP34" s="497">
        <v>1</v>
      </c>
      <c r="EQ34" s="430" t="str">
        <f ca="1">IF(EP34=1," ",OFFSET(BF$15,EP34-2,0,1,1))</f>
        <v xml:space="preserve"> </v>
      </c>
      <c r="ER34" s="439" t="str">
        <f ca="1">IF(H34=0," ",H34)</f>
        <v xml:space="preserve"> </v>
      </c>
      <c r="ES34" s="440" t="str">
        <f ca="1">IF(ER34&lt;&gt;" ",IF(ER34&lt;&gt;ER$7,"Changed",""),"")</f>
        <v/>
      </c>
      <c r="ET34" s="440">
        <f t="shared" ca="1" si="15"/>
        <v>0</v>
      </c>
      <c r="EU34" s="957" t="str">
        <f ca="1">IF(I34=" "," ",IF(F34&lt;OFFSET($BM$9,CL34-1,0,1,1),1,""))</f>
        <v xml:space="preserve"> </v>
      </c>
      <c r="EW34" s="427"/>
      <c r="EX34"/>
    </row>
    <row r="35" spans="1:154" ht="17.100000000000001" customHeight="1" thickBot="1">
      <c r="B35" s="689" t="s">
        <v>246</v>
      </c>
      <c r="C35" s="684" t="str">
        <f>IF(OR(F35=0,I35="",I35=" ")," ",$V35)</f>
        <v xml:space="preserve"> </v>
      </c>
      <c r="D35" s="1033"/>
      <c r="E35" s="1360" t="s">
        <v>8</v>
      </c>
      <c r="F35" s="202"/>
      <c r="G35" s="1416"/>
      <c r="H35" s="199" t="str">
        <f ca="1">IF(OR(F35=0,Z35="E",Z35="f")," ",'Project Demand'!E$35)</f>
        <v xml:space="preserve"> </v>
      </c>
      <c r="I35" s="631" t="str">
        <f>IF($I$6&lt;&gt;$BG$8," ",AB35)</f>
        <v xml:space="preserve"> </v>
      </c>
      <c r="J35" s="44" t="str">
        <f ca="1">IF(OR(I35=" ",I35="")," ",OFFSET($BO$9,CL35-1,0-4,1,1))</f>
        <v xml:space="preserve"> </v>
      </c>
      <c r="K35" s="55" t="str">
        <f>IF(OR(I35=" ",I35="")," ",IF(OR(Z35="e",Z35="h"),"SD",BG$24))</f>
        <v xml:space="preserve"> </v>
      </c>
      <c r="L35" s="49">
        <f ca="1">CW35</f>
        <v>0</v>
      </c>
      <c r="M35" s="49">
        <f ca="1">CY35</f>
        <v>0</v>
      </c>
      <c r="N35" s="50">
        <f t="shared" ca="1" si="21"/>
        <v>0</v>
      </c>
      <c r="O35" s="126">
        <f t="shared" ca="1" si="21"/>
        <v>0</v>
      </c>
      <c r="P35" s="140"/>
      <c r="Q35" s="752" t="str">
        <f ca="1">IF(AND(OR(Z35="t",Z35="f"),K35=$BH$11),"No Floor!  Change Floor Type",IF(OR(I35=" ",I35="")," ",IF(F35&lt;OFFSET($BM$9,CL35-1,0,1,1),"check L(m)",DE35&amp;IF(AND(DP35&gt;=CY35,DR35&gt;=DB35),IF(AND(ED35&gt;=DP35,EF35&gt;=DR35),CONCATENATE(DS35," will provide same result"),CONCATENATE(CO35," will provide same result")),IF((DP35&gt;=CY35),CONCATENATE(CO35," provides same result in WIND"),IF((DR35&gt;=DB35),CONCATENATE(CO35," provides same result in EQ"),""))))))&amp;IF(ISERROR(FIND("pile",I35,1)),"",IF(INT(F35)&lt;&gt;F35,"Pile!  Use Whole Numbers Only",""))</f>
        <v xml:space="preserve"> </v>
      </c>
      <c r="R35" s="52"/>
      <c r="S35" s="1372"/>
      <c r="T35" s="1372"/>
      <c r="U35" s="1377"/>
      <c r="V35" s="52" t="str">
        <f ca="1">IF(AND(B$5=$BF$9,OR(I35=BH$16,I35=BH$17))," ",IF(ISNUMBER(B$32),(CONCATENATE(B$32,".",W35)),(CONCATENATE(B$32,W35))))</f>
        <v>Q0</v>
      </c>
      <c r="W35" s="9">
        <f ca="1">W34+X35</f>
        <v>0</v>
      </c>
      <c r="X35" s="9">
        <f>IF(AND(B$5=$BF$9,OR($I35=$BH$16,$I35=$BH$17,$I35=" ",$I35="",$F35=0)),0,IF(OR($I35=" ",$I35="",$F35=0),0,1))</f>
        <v>0</v>
      </c>
      <c r="Y35" s="896"/>
      <c r="Z35" s="52" t="str">
        <f ca="1">IF(I35=" "," ",OFFSET($BM$9,$CL35-1,8,1,1))</f>
        <v xml:space="preserve"> </v>
      </c>
      <c r="AA35" s="51" t="str">
        <f>IF(G35&gt;=45,"WA","")</f>
        <v/>
      </c>
      <c r="AB35" s="1364" t="str">
        <f>IF(F35&lt;&gt;"",IF(OR(D35=$BG$12,D35=$BG$13),IF(E35&lt;&gt;$BG$17,$BF$12,$BF$13),IF(E35&lt;&gt;$BG$17,$BF$12,$BF$13))," ")</f>
        <v xml:space="preserve"> </v>
      </c>
      <c r="AC35" s="1"/>
      <c r="AJ35" s="2230"/>
      <c r="AK35" s="2799" t="str">
        <f>'Regular and QuickBrace Systems'!D50</f>
        <v>Plasterboard One Side, Plywood the Other</v>
      </c>
      <c r="AL35" s="2800"/>
      <c r="AM35" s="2800"/>
      <c r="AN35" s="2800"/>
      <c r="AO35" s="2800"/>
      <c r="AP35" s="1551"/>
      <c r="AQ35" s="1306"/>
      <c r="AR35" s="1551"/>
      <c r="AS35" s="1338"/>
      <c r="AT35" s="1188"/>
      <c r="AU35" s="1333"/>
      <c r="AW35" s="1587"/>
      <c r="AX35" s="1579"/>
      <c r="BD35" s="2648"/>
      <c r="BF35" s="599" t="str">
        <f>'Custom Elements'!C19</f>
        <v>Custom11</v>
      </c>
      <c r="BG35" s="948" t="s">
        <v>775</v>
      </c>
      <c r="BI35" s="759"/>
      <c r="BJ35" s="897">
        <f t="shared" si="4"/>
        <v>27</v>
      </c>
      <c r="BK35" s="769" t="str">
        <f>'Custom Elements'!O11</f>
        <v>NZS 3604</v>
      </c>
      <c r="BL35" s="771" t="str">
        <f>'Custom Elements'!P11</f>
        <v>Masonry 3.0</v>
      </c>
      <c r="BM35" s="455">
        <f>'Custom Elements'!Q11</f>
        <v>1.5</v>
      </c>
      <c r="BN35" s="455">
        <v>999</v>
      </c>
      <c r="BO35" s="455">
        <f>'Custom Elements'!R11</f>
        <v>200</v>
      </c>
      <c r="BP35" s="925">
        <f>'Custom Elements'!S11</f>
        <v>200</v>
      </c>
      <c r="BR35" s="764"/>
      <c r="BS35" s="455"/>
      <c r="BT35" s="455" t="s">
        <v>7</v>
      </c>
      <c r="BU35" s="925" t="s">
        <v>34</v>
      </c>
      <c r="BV35" s="483" t="str">
        <f t="shared" si="25"/>
        <v>Masonry 3.0</v>
      </c>
      <c r="BW35" s="910">
        <f t="shared" si="22"/>
        <v>27</v>
      </c>
      <c r="BX35" s="925" t="str">
        <f>'Custom Elements'!U11</f>
        <v>Single</v>
      </c>
      <c r="CH35" s="764">
        <f t="shared" si="23"/>
        <v>0</v>
      </c>
      <c r="CI35" s="925">
        <f t="shared" si="24"/>
        <v>0</v>
      </c>
      <c r="CJ35" s="759"/>
      <c r="CK35" s="188"/>
      <c r="CL35" s="979">
        <f>VLOOKUP(I35,Prodlink,2,0)</f>
        <v>0</v>
      </c>
      <c r="CN35" s="497">
        <f ca="1">VLOOKUP(CO35,Prodlink,2,0)</f>
        <v>0</v>
      </c>
      <c r="CO35" s="497">
        <f ca="1">OFFSET($CH$9,CL35-1,-15,1,1)</f>
        <v>0</v>
      </c>
      <c r="CQ35" s="51">
        <v>0</v>
      </c>
      <c r="CR35" s="51">
        <f>IF(K35=$BH$12,$BH$23,IF(K35=$BH$13,$BH$24,10000))</f>
        <v>10000</v>
      </c>
      <c r="CS35" s="51">
        <f ca="1">IF(F35&lt;OFFSET($BM$9,CL35-1,0,1,1),0,IF(F35&lt;OFFSET($BN$9,CL35-1,0,1,1),((F35-OFFSET($BM$9,CL35-1,0,1,1))*OFFSET($CH$9,CL35-1,0,1,1))+OFFSET($BO$9,CL35-1,CQ35,1,1),IF(F35&lt;OFFSET($BN$9,CL35+0,0,1,1),((F35-OFFSET($BM$9,CL35+0,0,1,1))*OFFSET($CH$9,CL35+0,0,1,1))+OFFSET($BO$9,CL35+0,CQ35,1,1),IF(F35&lt;OFFSET($BN$9,CL35+1,0,1,1),((F35-OFFSET($BM$9,CL35+1,0,1,1))*OFFSET($CH$9,CL35+1,0,1,1))+OFFSET($BO$9,CL35+1,CQ35,1,1),IF(F35&lt;OFFSET($BN$9,CL35+2,0,1,1),((F35-OFFSET($BM$9,CL35+2,0,1,1))*OFFSET($CH$9,CL35+2,0,1,1))+OFFSET($BO$9,CL35+2,CQ35,1,1),IF(F35&lt;OFFSET($BN$9,CL35+3,0,1,1),((F35-OFFSET($BM$9,CL35+3,0,1,1))*OFFSET($CH$9,CL35+3,0,1,1))+OFFSET($BO$9,CL35+3,CQ35,1,1),0))))))</f>
        <v>0</v>
      </c>
      <c r="CT35" s="51">
        <f ca="1">IF($F35&lt;OFFSET($BM$9,$CL35-1,0,1,1),0,IF($F35&lt;OFFSET($BN$9,$CL35-1,0,1,1),IF(AND($H35&gt;2.4,Z35&lt;&gt;"e",Z35&lt;&gt;"f"),CX35*2.4/$H35,CX35),IF($F35&lt;OFFSET($BN$9,$CL35+0,0,1,1),IF(AND($H35&gt;2.4,Z35&lt;&gt;"e",Z35&lt;&gt;"f"),CX35*2.4/$H35,CX35),IF($F35&lt;OFFSET($BN$9,$CL35+1,0,1,1),IF(AND($H35&gt;2.4,Z35&lt;&gt;"e",Z35&lt;&gt;"f"),CX35*2.4/$H35,CX35),IF($F35&lt;OFFSET($BN$9,CL35+2,0,1,1),IF(AND($H35&gt;2.4,Z35&lt;&gt;"e",Z35&lt;&gt;"f"),CX35*2.4/$H35,CX35),IF($F35&lt;OFFSET($BN$9,CL35+3,0,1,1),IF(AND($H35&gt;2.4,Z35&lt;&gt;"e",Z35&lt;&gt;"f"),CX35*2.4/$H35,CX35),0)))))*COS(RADIANS($G35)))</f>
        <v>0</v>
      </c>
      <c r="CU35" s="51">
        <f ca="1">IF(F35&lt;OFFSET($BM$9,CL35-1,0,1,1),0,IF(F35&lt;OFFSET($BN$9,CL35-1,0,1,1),((F35-OFFSET($BM$9,CL35-1,0,1,1))*OFFSET($CI$9,CL35-1,0,1,1))+OFFSET($BP$9,CL35-1,CQ35,1,1),IF(F35&lt;OFFSET($BN$9,CL35+0,0,1,1),((F35-OFFSET($BM$9,CL35+0,0,1,1))*OFFSET($CI$9,CL35+0,0,1,1))+OFFSET($BP$9,CL35+0,CQ35,1,1),IF(F35&lt;OFFSET($BN$9,CL35+1,0,1,1),((F35-OFFSET($BM$9,CL35+1,0,1,1))*OFFSET($CI$9,CL35+1,0,1,1))+OFFSET($BP$9,CL35+1,CQ35,1,1),IF(F35&lt;OFFSET($BN$9,CL35+2,0,1,1),((F35-OFFSET($BM$9,CL35+2,0,1,1))*OFFSET($CI$9,CL35+2,0,1,1))+OFFSET($BP$9,CL35+2,CQ35,1,1),IF(F35&lt;OFFSET($BN$9,CL35+3,0,1,1),((F35-OFFSET($BM$9,CL35+3,0,1,1))*OFFSET($CI$9,CL35+3,0,1,1))+OFFSET($BP$9,CL35+3,CQ35,1,1),0))))))</f>
        <v>0</v>
      </c>
      <c r="CV35" s="51">
        <f ca="1">IF($F35&lt;OFFSET($BM$9,$CL35-1,0,1,1),0,IF($F35&lt;OFFSET($BN$9,$CL35-1,0,1,1),IF(AND($H35&gt;2.4,Z35&lt;&gt;"e",Z35&lt;&gt;"f"),CZ35*2.4/$H35,CZ35),IF($F35&lt;OFFSET($BN$9,$CL35+0,0,1,1),IF(AND($H35&gt;2.4,Z35&lt;&gt;"e",Z35&lt;&gt;"f"),CZ35*2.4/$H35,CZ35),IF($F35&lt;OFFSET($BN$9,$CL35+1,0,1,1),IF(AND($H35&gt;2.4,Z35&lt;&gt;"e",Z35&lt;&gt;"f"),CZ35*2.4/$H35,CZ35),IF($F35&lt;OFFSET($BN$9,$CL35+2,0,1,1),IF(AND($H35&gt;2.4,Z35&lt;&gt;"e",Z35&lt;&gt;"f"),CZ35*2.4/$H35,CZ35),IF($F35&lt;OFFSET($BN$9,$CL35+3,0,1,1),IF(AND($H35&gt;2.4,Z35&lt;&gt;"e",Z35&lt;&gt;"f"),CZ35*2.4/$H35,CZ35),0)))))*COS(RADIANS($G35)))</f>
        <v>0</v>
      </c>
      <c r="CW35" s="51">
        <f ca="1">IF(CT35&gt;CR35,CR35,CT35)</f>
        <v>0</v>
      </c>
      <c r="CX35" s="51">
        <f ca="1">IF(CS35&gt;$CR35,$CR35,CS35)</f>
        <v>0</v>
      </c>
      <c r="CY35" s="51">
        <f ca="1">CW35*F35</f>
        <v>0</v>
      </c>
      <c r="CZ35" s="51">
        <f ca="1">IF($CU35&gt;$CR35,$CR35,$CU35)</f>
        <v>0</v>
      </c>
      <c r="DA35" s="51">
        <f ca="1">IF(CV35&gt;CR35,CR35,CV35)</f>
        <v>0</v>
      </c>
      <c r="DB35" s="51">
        <f ca="1">DA35*F35</f>
        <v>0</v>
      </c>
      <c r="DC35" s="993">
        <v>1</v>
      </c>
      <c r="DD35" s="758" t="str">
        <f>IF(OR(D35=BG$12,D35=BG$13),"External",IF(D35=BG$14,"Internal"," "))</f>
        <v xml:space="preserve"> </v>
      </c>
      <c r="DE35" s="51" t="str">
        <f t="shared" ca="1" si="2"/>
        <v/>
      </c>
      <c r="DF35" s="52" t="str">
        <f t="shared" ca="1" si="3"/>
        <v xml:space="preserve"> </v>
      </c>
      <c r="DG35" s="51">
        <f ca="1">IF(F35&lt;OFFSET($BM$9,CN35-1,0,1,1),0,IF(F35&lt;OFFSET($BN$9,CN35-1,0,1,1),((F35-OFFSET($BM$9,CN35-1,0,1,1))*OFFSET($CH$9,CN35-1,0,1,1))+OFFSET($BO$9,CN35-1,CQ35,1,1),IF(F35&lt;OFFSET($BN$9,CN35+0,0,1,1),((F35-OFFSET($BM$9,CN35+0,0,1,1))*OFFSET($CH$9,CN35+0,0,1,1))+OFFSET($BO$9,CN35+0,CQ35,1,1),IF(F35&lt;OFFSET($BN$9,CN35+1,0,1,1),((F35-OFFSET($BM$9,CN35+1,0,1,1))*OFFSET($CH$9,CN35+1,0,1,1))+OFFSET($BO$9,CN35+1,CQ35,1,1),IF(F35&lt;OFFSET($BN$9,CN35+2,0,1,1),((F35-OFFSET($BM$9,CN35+2,0,1,1))*OFFSET($CH$9,CN35+2,0,1,1))+OFFSET($BO$9,CN35+2,CQ35,1,1),IF(F35&lt;OFFSET($BN$9,CN35+3,0,1,1),((F35-OFFSET($BM$9,CN35+3,0,1,1))*OFFSET($CH$9,CN35+3,0,1,1))+OFFSET($BO$9,CN35+3,CQ35,1,1),0))))))</f>
        <v>0</v>
      </c>
      <c r="DH35" s="51">
        <f ca="1">IF($F35&lt;OFFSET($BM$9,$CN35-1,0,1,1),0,IF($F35&lt;OFFSET($BN$9,$CN35-1,0,1,1),IF(AND($H35&gt;2.4,Z35&lt;&gt;"e",Z35&lt;&gt;"f"),DL35*2.4/$H35,DL35),IF($F35&lt;OFFSET($BN$9,$CN35+0,0,1,1),IF(AND($H35&gt;2.4,Z35&lt;&gt;"e",Z35&lt;&gt;"f"),DL35*2.4/$H35,DL35),IF($F35&lt;OFFSET($BN$9,$CN35+1,0,1,1),IF(AND($H35&gt;2.4,Z35&lt;&gt;"e",Z35&lt;&gt;"f"),DL35*2.4/$H35,DL35),IF($F35&lt;OFFSET($BN$9,$CN35+2,0,1,1),IF(AND($H35&gt;2.4,Z35&lt;&gt;"e",Z35&lt;&gt;"f"),DL35*2.4/$H35,DL35),IF($F35&lt;OFFSET($BN$9,$CN35+3,0,1,1),IF(AND($H35&gt;2.4,Z35&lt;&gt;"e",Z35&lt;&gt;"f"),DL35*2.4/$H35,DL35),0)))))*COS(RADIANS($G35)))</f>
        <v>0</v>
      </c>
      <c r="DI35" s="51">
        <f ca="1">IF(F35&lt;OFFSET($BM$9,CN35-1,0,1,1),0,IF(F35&lt;OFFSET($BN$9,CN35-1,0,1,1),((F35-OFFSET($BM$9,CN35-1,0,1,1))*OFFSET($CI$9,CN35-1,0,1,1))+OFFSET($BP$9,CN35-1,CQ35,1,1),IF(F35&lt;OFFSET($BN$9,CN35+0,0,1,1),((F35-OFFSET($BM$9,CN35+0,0,1,1))*OFFSET($CI$9,CN35+0,0,1,1))+OFFSET($BP$9,CN35+0,CQ35,1,1),IF(F35&lt;OFFSET($BN$9,CN35+1,0,1,1),((F35-OFFSET($BM$9,CN35+1,0,1,1))*OFFSET($CI$9,CN35+1,0,1,1))+OFFSET($BP$9,CN35+1,CQ35,1,1),IF(F35&lt;OFFSET($BN$9,CN35+2,0,1,1),((F35-OFFSET($BM$9,CN35+2,0,1,1))*OFFSET($CI$9,CN35+2,0,1,1))+OFFSET($BP$9,CN35+2,CQ35,1,1),IF(F35&lt;OFFSET($BN$9,CN35+3,0,1,1),((F35-OFFSET($BM$9,CN35+3,0,1,1))*OFFSET($CI$9,CN35+3,0,1,1))+OFFSET($BP$9,CN35+3,CQ35,1,1),0))))))</f>
        <v>0</v>
      </c>
      <c r="DJ35" s="51">
        <f ca="1">IF($F35&lt;OFFSET($BM$9,$CN35-1,0,1,1),0,IF($F35&lt;OFFSET($BN$9,$CN35-1,0,1,1),IF(AND($H35&gt;2.4,Z35&lt;&gt;"e",Z35&lt;&gt;"f"),DN35*2.4/$H35,DN35),IF($F35&lt;OFFSET($BN$9,$CN35+0,0,1,1),IF(AND($H35&gt;2.4,Z35&lt;&gt;"e",Z35&lt;&gt;"f"),DN35*2.4/$H35,DN35),IF($F35&lt;OFFSET($BN$9,$CN35+1,0,1,1),IF(AND($H35&gt;2.4,Z35&lt;&gt;"e",Z35&lt;&gt;"f"),DN35*2.4/$H35,DN35),IF($F35&lt;OFFSET($BN$9,$CN35+2,0,1,1),IF(AND($H35&gt;2.4,Z35&lt;&gt;"e",Z35&lt;&gt;"f"),DN35*2.4/$H35,DN35),IF($F35&lt;OFFSET($BN$9,$CN35+3,0,1,1),IF(AND($H35&gt;2.4,Z35&lt;&gt;"e",Z35&lt;&gt;"f"),DN35*2.4/$H35,DN35),0)))))*COS(RADIANS($G35)))</f>
        <v>0</v>
      </c>
      <c r="DK35" s="51"/>
      <c r="DL35" s="51">
        <f ca="1">IF(DG35&gt;$CR35,$CR35,DG35)</f>
        <v>0</v>
      </c>
      <c r="DM35" s="51"/>
      <c r="DN35" s="51">
        <f ca="1">IF(DI35&gt;$CR35,$CR35,DI35)</f>
        <v>0</v>
      </c>
      <c r="DO35" s="435">
        <f ca="1">IF(DH35&gt;$CR35,$CR35,DH35)</f>
        <v>0</v>
      </c>
      <c r="DP35" s="435">
        <f ca="1">DO35*F35</f>
        <v>0</v>
      </c>
      <c r="DQ35" s="436">
        <f ca="1">IF(DJ35&gt;$CR35,$CR35,DJ35)</f>
        <v>0</v>
      </c>
      <c r="DR35" s="437">
        <f ca="1">DQ35*F35</f>
        <v>0</v>
      </c>
      <c r="DS35" s="426">
        <f ca="1">OFFSET($CH$9,CL35-1,-15,1,1)</f>
        <v>0</v>
      </c>
      <c r="DT35" s="451">
        <f t="shared" ca="1" si="1"/>
        <v>0</v>
      </c>
      <c r="DU35" s="188">
        <f ca="1">IF(F35&lt;OFFSET($BM$9,DT35-1,0,1,1),0,IF(F35&lt;OFFSET($BN$9,DT35-1,0,1,1),((F35-OFFSET($BM$9,DT35-1,0,1,1))*OFFSET($CH$9,DT35-1,0,1,1))+OFFSET($BO$9,DT35-1,CQ35,1,1),IF(F35&lt;OFFSET($BN$9,DT35+0,0,1,1),((F35-OFFSET($BM$9,DT35+0,0,1,1))*OFFSET($CH$9,DT35+0,0,1,1))+OFFSET($BO$9,DT35+0,CQ35,1,1),IF(F35&lt;OFFSET($BN$9,DT35+1,0,1,1),((F35-OFFSET($BM$9,DT35+1,0,1,1))*OFFSET($CH$9,DT35+1,0,1,1))+OFFSET($BO$9,DT35+1,CQ35,1,1),IF(F35&lt;OFFSET($BN$9,DT35+2,0,1,1),((F35-OFFSET($BM$9,DT35+2,0,1,1))*OFFSET($CH$9,DT35+2,0,1,1))+OFFSET($BO$9,DT35+2,CQ35,1,1),IF(F35&lt;OFFSET($BN$9,DT35+3,0,1,1),((F35-OFFSET($BM$9,DT35+3,0,1,1))*OFFSET($CH$9,DT35+3,0,1,1))+OFFSET($BO$9,DT35+3,CQ35,1,1),0))))))</f>
        <v>0</v>
      </c>
      <c r="DV35" s="51">
        <f ca="1">IF($F35&lt;OFFSET($BM$9,$DT35-1,0,1,1),0,IF($F35&lt;OFFSET($BN$9,$DT35-1,0,1,1),IF(AND($H35&gt;2.4,Z35&lt;&gt;"e",Z35&lt;&gt;"f"),DZ35*2.4/$H35,DZ35),IF($F35&lt;OFFSET($BN$9,$DT35+0,0,1,1),IF(AND($H35&gt;2.4,Z35&lt;&gt;"e",Z35&lt;&gt;"f"),DZ35*2.4/$H35,DZ35),IF($F35&lt;OFFSET($BN$9,$DT35+1,0,1,1),IF(AND($H35&gt;2.4,Z35&lt;&gt;"e",Z35&lt;&gt;"f"),DZ35*2.4/$H35,DZ35),IF($F35&lt;OFFSET($BN$9,$DT35+2,0,1,1),IF(AND($H35&gt;2.4,Z35&lt;&gt;"e",Z35&lt;&gt;"f"),DZ35*2.4/$H35,DZ35),IF($F35&lt;OFFSET($BN$9,$DT35+3,0,1,1),IF(AND($H35&gt;2.4,Z35&lt;&gt;"e",Z35&lt;&gt;"f"),DZ35*2.4/$H35,DZ35),0)))))*COS(RADIANS($G35)))</f>
        <v>0</v>
      </c>
      <c r="DW35" s="188">
        <f ca="1">IF(F35&lt;OFFSET($BM$9,DT35-1,0,1,1),0,IF(F35&lt;OFFSET($BN$9,DT35-1,0,1,1),((F35-OFFSET($BM$9,DT35-1,0,1,1))*OFFSET($CI$9,DT35-1,0,1,1))+OFFSET($BP$9,DT35-1,CQ35,1,1),IF(F35&lt;OFFSET($BN$9,DT35+0,0,1,1),((F35-OFFSET($BM$9,DT35+0,0,1,1))*OFFSET($CI$9,DT35+0,0,1,1))+OFFSET($BP$9,DT35+0,CQ35,1,1),IF(F35&lt;OFFSET($BN$9,DT35+1,0,1,1),((F35-OFFSET($BM$9,DT35+1,0,1,1))*OFFSET($CI$9,DT35+1,0,1,1))+OFFSET($BP$9,DT35+1,CQ35,1,1),IF(F35&lt;OFFSET($BN$9,DT35+2,0,1,1),((F35-OFFSET($BM$9,DT35+2,0,1,1))*OFFSET($CI$9,DT35+2,0,1,1))+OFFSET($BP$9,DT35+2,CQ35,1,1),IF(F35&lt;OFFSET($BN$9,DT35+3,0,1,1),((F35-OFFSET($BM$9,DT35+3,0,1,1))*OFFSET($CI$9,DT35+3,0,1,1))+OFFSET($BP$9,DT35+3,CQ35,1,1),0))))))</f>
        <v>0</v>
      </c>
      <c r="DX35" s="51">
        <f ca="1">IF($F35&lt;OFFSET($BM$9,$DT35-1,0,1,1),0,IF($F35&lt;OFFSET($BN$9,$DT35-1,0,1,1),IF(AND($H35&gt;2.4,Z35&lt;&gt;"e",Z35&lt;&gt;"f"),EB35*2.4/$H35,EB35),IF($F35&lt;OFFSET($BN$9,$DT35+0,0,1,1),IF(AND($H35&gt;2.4,Z35&lt;&gt;"e",Z35&lt;&gt;"f"),EB35*2.4/$H35,EB35),IF($F35&lt;OFFSET($BN$9,$DT35+1,0,1,1),IF(AND($H35&gt;2.4,Z35&lt;&gt;"e",Z35&lt;&gt;"f"),EB35*2.4/$H35,EB35),IF($F35&lt;OFFSET($BN$9,$DT35+2,0,1,1),IF(AND($H35&gt;2.4,Z35&lt;&gt;"e",Z35&lt;&gt;"f"),EB35*2.4/$H35,EB35),IF($F35&lt;OFFSET($BN$9,$DT35+3,0,1,1),IF(AND($H35&gt;2.4,Z35&lt;&gt;"e",Z35&lt;&gt;"f"),EB35*2.4/$H35,EB35),0)))))*COS(RADIANS($G35)))</f>
        <v>0</v>
      </c>
      <c r="DY35" s="188"/>
      <c r="DZ35" s="188">
        <f ca="1">IF(DU35&gt;$CR35,$CR35,DU35)</f>
        <v>0</v>
      </c>
      <c r="EA35" s="188"/>
      <c r="EB35" s="188">
        <f ca="1">IF(DW35&gt;$CR35,$CR35,DW35)</f>
        <v>0</v>
      </c>
      <c r="EC35" s="435">
        <f ca="1">IF(DV35&gt;$CR35,$CR35,DV35)</f>
        <v>0</v>
      </c>
      <c r="ED35" s="435">
        <f ca="1">EC35*F35</f>
        <v>0</v>
      </c>
      <c r="EE35" s="436">
        <f ca="1">IF(DX35&gt;$CR35,$CR35,DX35)</f>
        <v>0</v>
      </c>
      <c r="EF35" s="437">
        <f ca="1">EE35*F35</f>
        <v>0</v>
      </c>
      <c r="EG35" s="613" t="str">
        <f>IF(D35=BG$12,BG$12,"")</f>
        <v/>
      </c>
      <c r="EH35" s="614" t="str">
        <f>IF(D35=BG$13,BG$13,"")</f>
        <v/>
      </c>
      <c r="EI35" s="611">
        <f>IF(EG35=BG$12,M35,0)</f>
        <v>0</v>
      </c>
      <c r="EJ35" s="451">
        <f>IF(EG35=BG$12,O35,0)</f>
        <v>0</v>
      </c>
      <c r="EK35" s="451">
        <f>IF(EH35=BG$13,M35,0)</f>
        <v>0</v>
      </c>
      <c r="EL35" s="612">
        <f>IF(EH35=BG$13,O35,0)</f>
        <v>0</v>
      </c>
      <c r="EM35" s="426" t="str">
        <f ca="1">IF(AND(Z35&lt;&gt;"t",Z35&lt;&gt;"f"),"",IF(AND(EN35=$BH$13,K35=$BH$12),"NotOpt",IF(K35&lt;&gt;EN35,"Error","")))</f>
        <v/>
      </c>
      <c r="EN35" s="491" t="str">
        <f>IF(AND($BH$28=1,$BG$28=1),$BH$13,$BH$12)</f>
        <v>120 BU's</v>
      </c>
      <c r="EO35" s="426" t="str">
        <f>K35</f>
        <v xml:space="preserve"> </v>
      </c>
      <c r="EP35" s="497">
        <v>1</v>
      </c>
      <c r="EQ35" s="430" t="str">
        <f ca="1">IF(EP35=1," ",OFFSET(BF$15,EP35-2,0,1,1))</f>
        <v xml:space="preserve"> </v>
      </c>
      <c r="ER35" s="439" t="str">
        <f ca="1">IF(H35=0," ",H35)</f>
        <v xml:space="preserve"> </v>
      </c>
      <c r="ES35" s="440" t="str">
        <f ca="1">IF(ER35&lt;&gt;" ",IF(ER35&lt;&gt;ER$7,"Changed",""),"")</f>
        <v/>
      </c>
      <c r="ET35" s="440">
        <f t="shared" ca="1" si="15"/>
        <v>0</v>
      </c>
      <c r="EU35" s="957" t="str">
        <f ca="1">IF(I35=" "," ",IF(F35&lt;OFFSET($BM$9,CL35-1,0,1,1),1,""))</f>
        <v xml:space="preserve"> </v>
      </c>
      <c r="EW35" s="427"/>
      <c r="EX35"/>
    </row>
    <row r="36" spans="1:154" ht="17.100000000000001" customHeight="1" thickBot="1">
      <c r="B36" s="689" t="s">
        <v>246</v>
      </c>
      <c r="C36" s="684" t="str">
        <f>IF(OR(F36=0,I36="",I36=" ")," ",$V36)</f>
        <v xml:space="preserve"> </v>
      </c>
      <c r="D36" s="1033"/>
      <c r="E36" s="1360" t="s">
        <v>8</v>
      </c>
      <c r="F36" s="202"/>
      <c r="G36" s="1416"/>
      <c r="H36" s="199" t="str">
        <f ca="1">IF(OR(F36=0,Z36="E",Z36="f")," ",'Project Demand'!E$35)</f>
        <v xml:space="preserve"> </v>
      </c>
      <c r="I36" s="631" t="str">
        <f>IF($I$6&lt;&gt;$BG$8," ",AB36)</f>
        <v xml:space="preserve"> </v>
      </c>
      <c r="J36" s="44" t="str">
        <f ca="1">IF(OR(I36=" ",I36="")," ",OFFSET($BO$9,CL36-1,0-4,1,1))</f>
        <v xml:space="preserve"> </v>
      </c>
      <c r="K36" s="55" t="str">
        <f>IF(OR(I36=" ",I36="")," ",IF(OR(Z36="e",Z36="h"),"SD",BG$24))</f>
        <v xml:space="preserve"> </v>
      </c>
      <c r="L36" s="49">
        <f ca="1">CW36</f>
        <v>0</v>
      </c>
      <c r="M36" s="49">
        <f ca="1">CY36</f>
        <v>0</v>
      </c>
      <c r="N36" s="50">
        <f t="shared" ca="1" si="21"/>
        <v>0</v>
      </c>
      <c r="O36" s="126">
        <f t="shared" ca="1" si="21"/>
        <v>0</v>
      </c>
      <c r="P36" s="140"/>
      <c r="Q36" s="752" t="str">
        <f ca="1">IF(AND(OR(Z36="t",Z36="f"),K36=$BH$11),"No Floor!  Change Floor Type",IF(OR(I36=" ",I36="")," ",IF(F36&lt;OFFSET($BM$9,CL36-1,0,1,1),"check L(m)",DE36&amp;IF(AND(DP36&gt;=CY36,DR36&gt;=DB36),IF(AND(ED36&gt;=DP36,EF36&gt;=DR36),CONCATENATE(DS36," will provide same result"),CONCATENATE(CO36," will provide same result")),IF((DP36&gt;=CY36),CONCATENATE(CO36," provides same result in WIND"),IF((DR36&gt;=DB36),CONCATENATE(CO36," provides same result in EQ"),""))))))&amp;IF(ISERROR(FIND("pile",I36,1)),"",IF(INT(F36)&lt;&gt;F36,"Pile!  Use Whole Numbers Only",""))</f>
        <v xml:space="preserve"> </v>
      </c>
      <c r="U36" s="1377"/>
      <c r="V36" s="52" t="str">
        <f ca="1">IF(AND(B$5=$BF$9,OR(I36=BH$16,I36=BH$17))," ",IF(ISNUMBER(B$32),(CONCATENATE(B$32,".",W36)),(CONCATENATE(B$32,W36))))</f>
        <v>Q0</v>
      </c>
      <c r="W36" s="9">
        <f ca="1">W35+X36</f>
        <v>0</v>
      </c>
      <c r="X36" s="9">
        <f>IF(AND(B$5=$BF$9,OR($I36=$BH$16,$I36=$BH$17,$I36=" ",$I36="",$F36=0)),0,IF(OR($I36=" ",$I36="",$F36=0),0,1))</f>
        <v>0</v>
      </c>
      <c r="Y36" s="896"/>
      <c r="Z36" s="52" t="str">
        <f ca="1">IF(I36=" "," ",OFFSET($BM$9,$CL36-1,8,1,1))</f>
        <v xml:space="preserve"> </v>
      </c>
      <c r="AA36" s="51" t="str">
        <f>IF(G36&gt;=45,"WA","")</f>
        <v/>
      </c>
      <c r="AB36" s="1364" t="str">
        <f>IF(F36&lt;&gt;"",IF(OR(D36=$BG$12,D36=$BG$13),IF(E36&lt;&gt;$BG$17,$BF$12,$BF$13),IF(E36&lt;&gt;$BG$17,$BF$12,$BF$13))," ")</f>
        <v xml:space="preserve"> </v>
      </c>
      <c r="AC36" s="1"/>
      <c r="AJ36" s="2230"/>
      <c r="AK36" s="2797" t="str">
        <f>'Regular and QuickBrace Systems'!D54</f>
        <v>External</v>
      </c>
      <c r="AL36" s="2783" t="str">
        <f>'Regular and QuickBrace Systems'!E54</f>
        <v>ESPH</v>
      </c>
      <c r="AM36" s="1176">
        <f>'Regular and QuickBrace Systems'!F54</f>
        <v>0.4</v>
      </c>
      <c r="AN36" s="1272">
        <f>'Regular and QuickBrace Systems'!G54</f>
        <v>102</v>
      </c>
      <c r="AO36" s="1273">
        <f>'Regular and QuickBrace Systems'!H54</f>
        <v>114</v>
      </c>
      <c r="AP36" s="1594"/>
      <c r="AQ36" s="2661" t="str">
        <f>'Regular and QuickBrace Systems'!I54</f>
        <v>Specialised QuickBrace Pattern</v>
      </c>
      <c r="AR36" s="2662"/>
      <c r="AS36" s="2826" t="str">
        <f>'Regular and QuickBrace Systems'!K54</f>
        <v>Yes</v>
      </c>
      <c r="AT36" s="1340"/>
      <c r="AU36" s="2131" t="str">
        <f>'Regular and QuickBrace Systems'!M54</f>
        <v>Elephant Standard-Plus board One side,       Plywood the Other</v>
      </c>
      <c r="AW36" s="1567" t="str">
        <f>'Regular and QuickBrace Systems'!O54</f>
        <v>Yes</v>
      </c>
      <c r="AX36" s="1573" t="str">
        <f>'Regular and QuickBrace Systems'!Q54</f>
        <v>No</v>
      </c>
      <c r="BD36" s="2648"/>
      <c r="BF36" s="599" t="str">
        <f>'Custom Elements'!C20</f>
        <v>Custom12</v>
      </c>
      <c r="BG36" s="948" t="s">
        <v>774</v>
      </c>
      <c r="BI36" s="759"/>
      <c r="BJ36" s="897">
        <f t="shared" si="4"/>
        <v>28</v>
      </c>
      <c r="BK36" s="769" t="str">
        <f>'Custom Elements'!O12</f>
        <v>NZS 3604</v>
      </c>
      <c r="BL36" s="771" t="str">
        <f>'Custom Elements'!P12</f>
        <v>Masonry 4.5</v>
      </c>
      <c r="BM36" s="455">
        <f>'Custom Elements'!Q12</f>
        <v>1.5</v>
      </c>
      <c r="BN36" s="455">
        <v>999</v>
      </c>
      <c r="BO36" s="455">
        <f>'Custom Elements'!R12</f>
        <v>300</v>
      </c>
      <c r="BP36" s="925">
        <f>'Custom Elements'!S12</f>
        <v>300</v>
      </c>
      <c r="BR36" s="764"/>
      <c r="BS36" s="455"/>
      <c r="BT36" s="455" t="s">
        <v>7</v>
      </c>
      <c r="BU36" s="925" t="s">
        <v>34</v>
      </c>
      <c r="BV36" s="483" t="str">
        <f t="shared" si="25"/>
        <v>Masonry 4.5</v>
      </c>
      <c r="BW36" s="910">
        <f t="shared" si="22"/>
        <v>28</v>
      </c>
      <c r="BX36" s="925" t="str">
        <f>'Custom Elements'!U12</f>
        <v>Single</v>
      </c>
      <c r="CH36" s="764">
        <f t="shared" si="23"/>
        <v>0</v>
      </c>
      <c r="CI36" s="925">
        <f t="shared" si="24"/>
        <v>0</v>
      </c>
      <c r="CJ36" s="759"/>
      <c r="CK36" s="188"/>
      <c r="CL36" s="979">
        <f>VLOOKUP(I36,Prodlink,2,0)</f>
        <v>0</v>
      </c>
      <c r="CN36" s="497">
        <f ca="1">VLOOKUP(CO36,Prodlink,2,0)</f>
        <v>0</v>
      </c>
      <c r="CO36" s="497">
        <f ca="1">OFFSET($CH$9,CL36-1,-15,1,1)</f>
        <v>0</v>
      </c>
      <c r="CQ36" s="51">
        <v>0</v>
      </c>
      <c r="CR36" s="51">
        <f>IF(K36=$BH$12,$BH$23,IF(K36=$BH$13,$BH$24,10000))</f>
        <v>10000</v>
      </c>
      <c r="CS36" s="51">
        <f ca="1">IF(F36&lt;OFFSET($BM$9,CL36-1,0,1,1),0,IF(F36&lt;OFFSET($BN$9,CL36-1,0,1,1),((F36-OFFSET($BM$9,CL36-1,0,1,1))*OFFSET($CH$9,CL36-1,0,1,1))+OFFSET($BO$9,CL36-1,CQ36,1,1),IF(F36&lt;OFFSET($BN$9,CL36+0,0,1,1),((F36-OFFSET($BM$9,CL36+0,0,1,1))*OFFSET($CH$9,CL36+0,0,1,1))+OFFSET($BO$9,CL36+0,CQ36,1,1),IF(F36&lt;OFFSET($BN$9,CL36+1,0,1,1),((F36-OFFSET($BM$9,CL36+1,0,1,1))*OFFSET($CH$9,CL36+1,0,1,1))+OFFSET($BO$9,CL36+1,CQ36,1,1),IF(F36&lt;OFFSET($BN$9,CL36+2,0,1,1),((F36-OFFSET($BM$9,CL36+2,0,1,1))*OFFSET($CH$9,CL36+2,0,1,1))+OFFSET($BO$9,CL36+2,CQ36,1,1),IF(F36&lt;OFFSET($BN$9,CL36+3,0,1,1),((F36-OFFSET($BM$9,CL36+3,0,1,1))*OFFSET($CH$9,CL36+3,0,1,1))+OFFSET($BO$9,CL36+3,CQ36,1,1),0))))))</f>
        <v>0</v>
      </c>
      <c r="CT36" s="51">
        <f ca="1">IF($F36&lt;OFFSET($BM$9,$CL36-1,0,1,1),0,IF($F36&lt;OFFSET($BN$9,$CL36-1,0,1,1),IF(AND($H36&gt;2.4,Z36&lt;&gt;"e",Z36&lt;&gt;"f"),CX36*2.4/$H36,CX36),IF($F36&lt;OFFSET($BN$9,$CL36+0,0,1,1),IF(AND($H36&gt;2.4,Z36&lt;&gt;"e",Z36&lt;&gt;"f"),CX36*2.4/$H36,CX36),IF($F36&lt;OFFSET($BN$9,$CL36+1,0,1,1),IF(AND($H36&gt;2.4,Z36&lt;&gt;"e",Z36&lt;&gt;"f"),CX36*2.4/$H36,CX36),IF($F36&lt;OFFSET($BN$9,CL36+2,0,1,1),IF(AND($H36&gt;2.4,Z36&lt;&gt;"e",Z36&lt;&gt;"f"),CX36*2.4/$H36,CX36),IF($F36&lt;OFFSET($BN$9,CL36+3,0,1,1),IF(AND($H36&gt;2.4,Z36&lt;&gt;"e",Z36&lt;&gt;"f"),CX36*2.4/$H36,CX36),0)))))*COS(RADIANS($G36)))</f>
        <v>0</v>
      </c>
      <c r="CU36" s="51">
        <f ca="1">IF(F36&lt;OFFSET($BM$9,CL36-1,0,1,1),0,IF(F36&lt;OFFSET($BN$9,CL36-1,0,1,1),((F36-OFFSET($BM$9,CL36-1,0,1,1))*OFFSET($CI$9,CL36-1,0,1,1))+OFFSET($BP$9,CL36-1,CQ36,1,1),IF(F36&lt;OFFSET($BN$9,CL36+0,0,1,1),((F36-OFFSET($BM$9,CL36+0,0,1,1))*OFFSET($CI$9,CL36+0,0,1,1))+OFFSET($BP$9,CL36+0,CQ36,1,1),IF(F36&lt;OFFSET($BN$9,CL36+1,0,1,1),((F36-OFFSET($BM$9,CL36+1,0,1,1))*OFFSET($CI$9,CL36+1,0,1,1))+OFFSET($BP$9,CL36+1,CQ36,1,1),IF(F36&lt;OFFSET($BN$9,CL36+2,0,1,1),((F36-OFFSET($BM$9,CL36+2,0,1,1))*OFFSET($CI$9,CL36+2,0,1,1))+OFFSET($BP$9,CL36+2,CQ36,1,1),IF(F36&lt;OFFSET($BN$9,CL36+3,0,1,1),((F36-OFFSET($BM$9,CL36+3,0,1,1))*OFFSET($CI$9,CL36+3,0,1,1))+OFFSET($BP$9,CL36+3,CQ36,1,1),0))))))</f>
        <v>0</v>
      </c>
      <c r="CV36" s="51">
        <f ca="1">IF($F36&lt;OFFSET($BM$9,$CL36-1,0,1,1),0,IF($F36&lt;OFFSET($BN$9,$CL36-1,0,1,1),IF(AND($H36&gt;2.4,Z36&lt;&gt;"e",Z36&lt;&gt;"f"),CZ36*2.4/$H36,CZ36),IF($F36&lt;OFFSET($BN$9,$CL36+0,0,1,1),IF(AND($H36&gt;2.4,Z36&lt;&gt;"e",Z36&lt;&gt;"f"),CZ36*2.4/$H36,CZ36),IF($F36&lt;OFFSET($BN$9,$CL36+1,0,1,1),IF(AND($H36&gt;2.4,Z36&lt;&gt;"e",Z36&lt;&gt;"f"),CZ36*2.4/$H36,CZ36),IF($F36&lt;OFFSET($BN$9,$CL36+2,0,1,1),IF(AND($H36&gt;2.4,Z36&lt;&gt;"e",Z36&lt;&gt;"f"),CZ36*2.4/$H36,CZ36),IF($F36&lt;OFFSET($BN$9,$CL36+3,0,1,1),IF(AND($H36&gt;2.4,Z36&lt;&gt;"e",Z36&lt;&gt;"f"),CZ36*2.4/$H36,CZ36),0)))))*COS(RADIANS($G36)))</f>
        <v>0</v>
      </c>
      <c r="CW36" s="51">
        <f ca="1">IF(CT36&gt;CR36,CR36,CT36)</f>
        <v>0</v>
      </c>
      <c r="CX36" s="51">
        <f ca="1">IF(CS36&gt;$CR36,$CR36,CS36)</f>
        <v>0</v>
      </c>
      <c r="CY36" s="51">
        <f ca="1">CW36*F36</f>
        <v>0</v>
      </c>
      <c r="CZ36" s="51">
        <f ca="1">IF($CU36&gt;$CR36,$CR36,$CU36)</f>
        <v>0</v>
      </c>
      <c r="DA36" s="51">
        <f ca="1">IF(CV36&gt;CR36,CR36,CV36)</f>
        <v>0</v>
      </c>
      <c r="DB36" s="51">
        <f ca="1">DA36*F36</f>
        <v>0</v>
      </c>
      <c r="DC36" s="993">
        <v>1</v>
      </c>
      <c r="DD36" s="758" t="str">
        <f>IF(OR(D36=BG$12,D36=BG$13),"External",IF(D36=BG$14,"Internal"," "))</f>
        <v xml:space="preserve"> </v>
      </c>
      <c r="DE36" s="51" t="str">
        <f t="shared" ca="1" si="2"/>
        <v/>
      </c>
      <c r="DF36" s="52" t="str">
        <f t="shared" ca="1" si="3"/>
        <v xml:space="preserve"> </v>
      </c>
      <c r="DG36" s="51">
        <f ca="1">IF(F36&lt;OFFSET($BM$9,CN36-1,0,1,1),0,IF(F36&lt;OFFSET($BN$9,CN36-1,0,1,1),((F36-OFFSET($BM$9,CN36-1,0,1,1))*OFFSET($CH$9,CN36-1,0,1,1))+OFFSET($BO$9,CN36-1,CQ36,1,1),IF(F36&lt;OFFSET($BN$9,CN36+0,0,1,1),((F36-OFFSET($BM$9,CN36+0,0,1,1))*OFFSET($CH$9,CN36+0,0,1,1))+OFFSET($BO$9,CN36+0,CQ36,1,1),IF(F36&lt;OFFSET($BN$9,CN36+1,0,1,1),((F36-OFFSET($BM$9,CN36+1,0,1,1))*OFFSET($CH$9,CN36+1,0,1,1))+OFFSET($BO$9,CN36+1,CQ36,1,1),IF(F36&lt;OFFSET($BN$9,CN36+2,0,1,1),((F36-OFFSET($BM$9,CN36+2,0,1,1))*OFFSET($CH$9,CN36+2,0,1,1))+OFFSET($BO$9,CN36+2,CQ36,1,1),IF(F36&lt;OFFSET($BN$9,CN36+3,0,1,1),((F36-OFFSET($BM$9,CN36+3,0,1,1))*OFFSET($CH$9,CN36+3,0,1,1))+OFFSET($BO$9,CN36+3,CQ36,1,1),0))))))</f>
        <v>0</v>
      </c>
      <c r="DH36" s="51">
        <f ca="1">IF($F36&lt;OFFSET($BM$9,$CN36-1,0,1,1),0,IF($F36&lt;OFFSET($BN$9,$CN36-1,0,1,1),IF(AND($H36&gt;2.4,Z36&lt;&gt;"e",Z36&lt;&gt;"f"),DL36*2.4/$H36,DL36),IF($F36&lt;OFFSET($BN$9,$CN36+0,0,1,1),IF(AND($H36&gt;2.4,Z36&lt;&gt;"e",Z36&lt;&gt;"f"),DL36*2.4/$H36,DL36),IF($F36&lt;OFFSET($BN$9,$CN36+1,0,1,1),IF(AND($H36&gt;2.4,Z36&lt;&gt;"e",Z36&lt;&gt;"f"),DL36*2.4/$H36,DL36),IF($F36&lt;OFFSET($BN$9,$CN36+2,0,1,1),IF(AND($H36&gt;2.4,Z36&lt;&gt;"e",Z36&lt;&gt;"f"),DL36*2.4/$H36,DL36),IF($F36&lt;OFFSET($BN$9,$CN36+3,0,1,1),IF(AND($H36&gt;2.4,Z36&lt;&gt;"e",Z36&lt;&gt;"f"),DL36*2.4/$H36,DL36),0)))))*COS(RADIANS($G36)))</f>
        <v>0</v>
      </c>
      <c r="DI36" s="51">
        <f ca="1">IF(F36&lt;OFFSET($BM$9,CN36-1,0,1,1),0,IF(F36&lt;OFFSET($BN$9,CN36-1,0,1,1),((F36-OFFSET($BM$9,CN36-1,0,1,1))*OFFSET($CI$9,CN36-1,0,1,1))+OFFSET($BP$9,CN36-1,CQ36,1,1),IF(F36&lt;OFFSET($BN$9,CN36+0,0,1,1),((F36-OFFSET($BM$9,CN36+0,0,1,1))*OFFSET($CI$9,CN36+0,0,1,1))+OFFSET($BP$9,CN36+0,CQ36,1,1),IF(F36&lt;OFFSET($BN$9,CN36+1,0,1,1),((F36-OFFSET($BM$9,CN36+1,0,1,1))*OFFSET($CI$9,CN36+1,0,1,1))+OFFSET($BP$9,CN36+1,CQ36,1,1),IF(F36&lt;OFFSET($BN$9,CN36+2,0,1,1),((F36-OFFSET($BM$9,CN36+2,0,1,1))*OFFSET($CI$9,CN36+2,0,1,1))+OFFSET($BP$9,CN36+2,CQ36,1,1),IF(F36&lt;OFFSET($BN$9,CN36+3,0,1,1),((F36-OFFSET($BM$9,CN36+3,0,1,1))*OFFSET($CI$9,CN36+3,0,1,1))+OFFSET($BP$9,CN36+3,CQ36,1,1),0))))))</f>
        <v>0</v>
      </c>
      <c r="DJ36" s="51">
        <f ca="1">IF($F36&lt;OFFSET($BM$9,$CN36-1,0,1,1),0,IF($F36&lt;OFFSET($BN$9,$CN36-1,0,1,1),IF(AND($H36&gt;2.4,Z36&lt;&gt;"e",Z36&lt;&gt;"f"),DN36*2.4/$H36,DN36),IF($F36&lt;OFFSET($BN$9,$CN36+0,0,1,1),IF(AND($H36&gt;2.4,Z36&lt;&gt;"e",Z36&lt;&gt;"f"),DN36*2.4/$H36,DN36),IF($F36&lt;OFFSET($BN$9,$CN36+1,0,1,1),IF(AND($H36&gt;2.4,Z36&lt;&gt;"e",Z36&lt;&gt;"f"),DN36*2.4/$H36,DN36),IF($F36&lt;OFFSET($BN$9,$CN36+2,0,1,1),IF(AND($H36&gt;2.4,Z36&lt;&gt;"e",Z36&lt;&gt;"f"),DN36*2.4/$H36,DN36),IF($F36&lt;OFFSET($BN$9,$CN36+3,0,1,1),IF(AND($H36&gt;2.4,Z36&lt;&gt;"e",Z36&lt;&gt;"f"),DN36*2.4/$H36,DN36),0)))))*COS(RADIANS($G36)))</f>
        <v>0</v>
      </c>
      <c r="DK36" s="51"/>
      <c r="DL36" s="51">
        <f ca="1">IF(DG36&gt;$CR36,$CR36,DG36)</f>
        <v>0</v>
      </c>
      <c r="DM36" s="51"/>
      <c r="DN36" s="51">
        <f ca="1">IF(DI36&gt;$CR36,$CR36,DI36)</f>
        <v>0</v>
      </c>
      <c r="DO36" s="435">
        <f ca="1">IF(DH36&gt;$CR36,$CR36,DH36)</f>
        <v>0</v>
      </c>
      <c r="DP36" s="435">
        <f ca="1">DO36*F36</f>
        <v>0</v>
      </c>
      <c r="DQ36" s="436">
        <f ca="1">IF(DJ36&gt;$CR36,$CR36,DJ36)</f>
        <v>0</v>
      </c>
      <c r="DR36" s="437">
        <f ca="1">DQ36*F36</f>
        <v>0</v>
      </c>
      <c r="DS36" s="426">
        <f ca="1">OFFSET($CH$9,CL36-1,-15,1,1)</f>
        <v>0</v>
      </c>
      <c r="DT36" s="451">
        <f t="shared" ca="1" si="1"/>
        <v>0</v>
      </c>
      <c r="DU36" s="188">
        <f ca="1">IF(F36&lt;OFFSET($BM$9,DT36-1,0,1,1),0,IF(F36&lt;OFFSET($BN$9,DT36-1,0,1,1),((F36-OFFSET($BM$9,DT36-1,0,1,1))*OFFSET($CH$9,DT36-1,0,1,1))+OFFSET($BO$9,DT36-1,CQ36,1,1),IF(F36&lt;OFFSET($BN$9,DT36+0,0,1,1),((F36-OFFSET($BM$9,DT36+0,0,1,1))*OFFSET($CH$9,DT36+0,0,1,1))+OFFSET($BO$9,DT36+0,CQ36,1,1),IF(F36&lt;OFFSET($BN$9,DT36+1,0,1,1),((F36-OFFSET($BM$9,DT36+1,0,1,1))*OFFSET($CH$9,DT36+1,0,1,1))+OFFSET($BO$9,DT36+1,CQ36,1,1),IF(F36&lt;OFFSET($BN$9,DT36+2,0,1,1),((F36-OFFSET($BM$9,DT36+2,0,1,1))*OFFSET($CH$9,DT36+2,0,1,1))+OFFSET($BO$9,DT36+2,CQ36,1,1),IF(F36&lt;OFFSET($BN$9,DT36+3,0,1,1),((F36-OFFSET($BM$9,DT36+3,0,1,1))*OFFSET($CH$9,DT36+3,0,1,1))+OFFSET($BO$9,DT36+3,CQ36,1,1),0))))))</f>
        <v>0</v>
      </c>
      <c r="DV36" s="51">
        <f ca="1">IF($F36&lt;OFFSET($BM$9,$DT36-1,0,1,1),0,IF($F36&lt;OFFSET($BN$9,$DT36-1,0,1,1),IF(AND($H36&gt;2.4,Z36&lt;&gt;"e",Z36&lt;&gt;"f"),DZ36*2.4/$H36,DZ36),IF($F36&lt;OFFSET($BN$9,$DT36+0,0,1,1),IF(AND($H36&gt;2.4,Z36&lt;&gt;"e",Z36&lt;&gt;"f"),DZ36*2.4/$H36,DZ36),IF($F36&lt;OFFSET($BN$9,$DT36+1,0,1,1),IF(AND($H36&gt;2.4,Z36&lt;&gt;"e",Z36&lt;&gt;"f"),DZ36*2.4/$H36,DZ36),IF($F36&lt;OFFSET($BN$9,$DT36+2,0,1,1),IF(AND($H36&gt;2.4,Z36&lt;&gt;"e",Z36&lt;&gt;"f"),DZ36*2.4/$H36,DZ36),IF($F36&lt;OFFSET($BN$9,$DT36+3,0,1,1),IF(AND($H36&gt;2.4,Z36&lt;&gt;"e",Z36&lt;&gt;"f"),DZ36*2.4/$H36,DZ36),0)))))*COS(RADIANS($G36)))</f>
        <v>0</v>
      </c>
      <c r="DW36" s="188">
        <f ca="1">IF(F36&lt;OFFSET($BM$9,DT36-1,0,1,1),0,IF(F36&lt;OFFSET($BN$9,DT36-1,0,1,1),((F36-OFFSET($BM$9,DT36-1,0,1,1))*OFFSET($CI$9,DT36-1,0,1,1))+OFFSET($BP$9,DT36-1,CQ36,1,1),IF(F36&lt;OFFSET($BN$9,DT36+0,0,1,1),((F36-OFFSET($BM$9,DT36+0,0,1,1))*OFFSET($CI$9,DT36+0,0,1,1))+OFFSET($BP$9,DT36+0,CQ36,1,1),IF(F36&lt;OFFSET($BN$9,DT36+1,0,1,1),((F36-OFFSET($BM$9,DT36+1,0,1,1))*OFFSET($CI$9,DT36+1,0,1,1))+OFFSET($BP$9,DT36+1,CQ36,1,1),IF(F36&lt;OFFSET($BN$9,DT36+2,0,1,1),((F36-OFFSET($BM$9,DT36+2,0,1,1))*OFFSET($CI$9,DT36+2,0,1,1))+OFFSET($BP$9,DT36+2,CQ36,1,1),IF(F36&lt;OFFSET($BN$9,DT36+3,0,1,1),((F36-OFFSET($BM$9,DT36+3,0,1,1))*OFFSET($CI$9,DT36+3,0,1,1))+OFFSET($BP$9,DT36+3,CQ36,1,1),0))))))</f>
        <v>0</v>
      </c>
      <c r="DX36" s="51">
        <f ca="1">IF($F36&lt;OFFSET($BM$9,$DT36-1,0,1,1),0,IF($F36&lt;OFFSET($BN$9,$DT36-1,0,1,1),IF(AND($H36&gt;2.4,Z36&lt;&gt;"e",Z36&lt;&gt;"f"),EB36*2.4/$H36,EB36),IF($F36&lt;OFFSET($BN$9,$DT36+0,0,1,1),IF(AND($H36&gt;2.4,Z36&lt;&gt;"e",Z36&lt;&gt;"f"),EB36*2.4/$H36,EB36),IF($F36&lt;OFFSET($BN$9,$DT36+1,0,1,1),IF(AND($H36&gt;2.4,Z36&lt;&gt;"e",Z36&lt;&gt;"f"),EB36*2.4/$H36,EB36),IF($F36&lt;OFFSET($BN$9,$DT36+2,0,1,1),IF(AND($H36&gt;2.4,Z36&lt;&gt;"e",Z36&lt;&gt;"f"),EB36*2.4/$H36,EB36),IF($F36&lt;OFFSET($BN$9,$DT36+3,0,1,1),IF(AND($H36&gt;2.4,Z36&lt;&gt;"e",Z36&lt;&gt;"f"),EB36*2.4/$H36,EB36),0)))))*COS(RADIANS($G36)))</f>
        <v>0</v>
      </c>
      <c r="DY36" s="188"/>
      <c r="DZ36" s="188">
        <f ca="1">IF(DU36&gt;$CR36,$CR36,DU36)</f>
        <v>0</v>
      </c>
      <c r="EA36" s="188"/>
      <c r="EB36" s="188">
        <f ca="1">IF(DW36&gt;$CR36,$CR36,DW36)</f>
        <v>0</v>
      </c>
      <c r="EC36" s="435">
        <f ca="1">IF(DV36&gt;$CR36,$CR36,DV36)</f>
        <v>0</v>
      </c>
      <c r="ED36" s="435">
        <f ca="1">EC36*F36</f>
        <v>0</v>
      </c>
      <c r="EE36" s="436">
        <f ca="1">IF(DX36&gt;$CR36,$CR36,DX36)</f>
        <v>0</v>
      </c>
      <c r="EF36" s="437">
        <f ca="1">EE36*F36</f>
        <v>0</v>
      </c>
      <c r="EG36" s="613" t="str">
        <f>IF(D36=BG$12,BG$12,"")</f>
        <v/>
      </c>
      <c r="EH36" s="614" t="str">
        <f>IF(D36=BG$13,BG$13,"")</f>
        <v/>
      </c>
      <c r="EI36" s="611">
        <f>IF(EG36=BG$12,M36,0)</f>
        <v>0</v>
      </c>
      <c r="EJ36" s="451">
        <f>IF(EG36=BG$12,O36,0)</f>
        <v>0</v>
      </c>
      <c r="EK36" s="451">
        <f>IF(EH36=BG$13,M36,0)</f>
        <v>0</v>
      </c>
      <c r="EL36" s="612">
        <f>IF(EH36=BG$13,O36,0)</f>
        <v>0</v>
      </c>
      <c r="EM36" s="426" t="str">
        <f ca="1">IF(AND(Z36&lt;&gt;"t",Z36&lt;&gt;"f"),"",IF(AND(EN36=$BH$13,K36=$BH$12),"NotOpt",IF(K36&lt;&gt;EN36,"Error","")))</f>
        <v/>
      </c>
      <c r="EN36" s="491" t="str">
        <f>IF(AND($BH$28=1,$BG$28=1),$BH$13,$BH$12)</f>
        <v>120 BU's</v>
      </c>
      <c r="EO36" s="426" t="str">
        <f>K36</f>
        <v xml:space="preserve"> </v>
      </c>
      <c r="EP36" s="497">
        <v>1</v>
      </c>
      <c r="EQ36" s="430" t="str">
        <f ca="1">IF(EP36=1," ",OFFSET(BF$15,EP36-2,0,1,1))</f>
        <v xml:space="preserve"> </v>
      </c>
      <c r="ER36" s="439" t="str">
        <f ca="1">IF(H36=0," ",H36)</f>
        <v xml:space="preserve"> </v>
      </c>
      <c r="ES36" s="440" t="str">
        <f ca="1">IF(ER36&lt;&gt;" ",IF(ER36&lt;&gt;ER$7,"Changed",""),"")</f>
        <v/>
      </c>
      <c r="ET36" s="440">
        <f t="shared" ca="1" si="15"/>
        <v>0</v>
      </c>
      <c r="EU36" s="957" t="str">
        <f ca="1">IF(I36=" "," ",IF(F36&lt;OFFSET($BM$9,CL36-1,0,1,1),1,""))</f>
        <v xml:space="preserve"> </v>
      </c>
      <c r="EW36" s="427"/>
      <c r="EX36"/>
    </row>
    <row r="37" spans="1:154" ht="17.100000000000001" customHeight="1" thickBot="1">
      <c r="B37" s="2686" t="s">
        <v>8</v>
      </c>
      <c r="C37" s="2687"/>
      <c r="D37" s="1461" t="s">
        <v>8</v>
      </c>
      <c r="E37" s="659"/>
      <c r="F37" s="659"/>
      <c r="G37" s="659"/>
      <c r="H37" s="659"/>
      <c r="I37" s="1462"/>
      <c r="J37" s="1365" t="str">
        <f ca="1">(CONCATENATE(B32,$BE$54))</f>
        <v>Q  Line:  Min. Requirement</v>
      </c>
      <c r="K37" s="23"/>
      <c r="L37" s="1019">
        <f ca="1">L$5</f>
        <v>0</v>
      </c>
      <c r="M37" s="48">
        <f ca="1">IF(B32=B26,SUM(M32:M36)+M31,SUM(M32:M36))</f>
        <v>0</v>
      </c>
      <c r="N37" s="1019">
        <f ca="1">N$5</f>
        <v>0</v>
      </c>
      <c r="O37" s="125">
        <f ca="1">IF(B32=B26,SUM(O32:O36)+O31,SUM(O32:O36))</f>
        <v>0</v>
      </c>
      <c r="P37" s="139"/>
      <c r="Q37" s="42" t="str">
        <f ca="1">IF(B32=B38,"",IF(AND(M37&gt;0,L37=L$5,OR(M37&lt;$M$105,M37&lt;$BF$3)),"Achieved &lt; Min Req per Line",IF(AND(O37&gt;0,N37=N$5,OR(O37&lt;$O$105,O37&lt;$BF$3)),"Achieved &lt; Min Req per Line",IF(AND(M37&gt;0,L37&gt;M37),"More Required on this line",IF(AND(O37&gt;0,N37&gt;O37),"More Required on this line",IF(AND(L37&gt;0,L37&lt;$BF$3),$BE$59,IF(AND(N37&gt;0,N37&lt;$BF$3),$BE$59,"")))))))</f>
        <v/>
      </c>
      <c r="R37" s="52"/>
      <c r="S37" s="52"/>
      <c r="T37" s="52"/>
      <c r="U37" s="1378"/>
      <c r="V37" s="52"/>
      <c r="W37" s="999"/>
      <c r="X37" s="999"/>
      <c r="Y37" s="896"/>
      <c r="Z37" s="52"/>
      <c r="AA37" s="51"/>
      <c r="AB37" s="1364"/>
      <c r="AJ37" s="2230"/>
      <c r="AK37" s="2797"/>
      <c r="AL37" s="2784"/>
      <c r="AM37" s="191">
        <f>'Regular and QuickBrace Systems'!F55</f>
        <v>0.8</v>
      </c>
      <c r="AN37" s="1336">
        <f>'Regular and QuickBrace Systems'!G55</f>
        <v>140</v>
      </c>
      <c r="AO37" s="26">
        <f>'Regular and QuickBrace Systems'!H55</f>
        <v>140</v>
      </c>
      <c r="AP37" s="1595"/>
      <c r="AQ37" s="2663"/>
      <c r="AR37" s="2664"/>
      <c r="AS37" s="2827"/>
      <c r="AT37" s="1340"/>
      <c r="AU37" s="2090"/>
      <c r="AW37" s="1588" t="str">
        <f>'Regular and QuickBrace Systems'!O55</f>
        <v>Yes</v>
      </c>
      <c r="AX37" s="1580" t="str">
        <f>'Regular and QuickBrace Systems'!Q55</f>
        <v>Yes</v>
      </c>
      <c r="BD37" s="2648"/>
      <c r="BF37" s="599" t="str">
        <f>'Custom Elements'!C21</f>
        <v>Custom13</v>
      </c>
      <c r="BI37" s="759"/>
      <c r="BJ37" s="897">
        <f t="shared" si="4"/>
        <v>29</v>
      </c>
      <c r="BK37" s="769" t="str">
        <f>'Custom Elements'!O13</f>
        <v>NZS 3604</v>
      </c>
      <c r="BL37" s="771" t="str">
        <f>'Custom Elements'!P13</f>
        <v>Braced pile</v>
      </c>
      <c r="BM37" s="455">
        <f>'Custom Elements'!Q13</f>
        <v>1</v>
      </c>
      <c r="BN37" s="455">
        <v>999</v>
      </c>
      <c r="BO37" s="455">
        <f>'Custom Elements'!R13</f>
        <v>160</v>
      </c>
      <c r="BP37" s="925">
        <f>'Custom Elements'!S13</f>
        <v>120</v>
      </c>
      <c r="BR37" s="764"/>
      <c r="BS37" s="455"/>
      <c r="BT37" s="455" t="s">
        <v>3</v>
      </c>
      <c r="BU37" s="925" t="s">
        <v>34</v>
      </c>
      <c r="BV37" s="483" t="str">
        <f t="shared" si="25"/>
        <v>Braced pile</v>
      </c>
      <c r="BW37" s="910">
        <f t="shared" si="22"/>
        <v>29</v>
      </c>
      <c r="BX37" s="925" t="str">
        <f>'Custom Elements'!U13</f>
        <v>Single</v>
      </c>
      <c r="CH37" s="764">
        <f t="shared" si="23"/>
        <v>0</v>
      </c>
      <c r="CI37" s="925">
        <f t="shared" si="24"/>
        <v>0</v>
      </c>
      <c r="CJ37" s="759"/>
      <c r="CK37" s="188"/>
      <c r="CL37" s="979"/>
      <c r="CN37" s="497"/>
      <c r="CO37" s="497" t="s">
        <v>8</v>
      </c>
      <c r="CQ37" s="51" t="s">
        <v>8</v>
      </c>
      <c r="CR37" s="51" t="s">
        <v>8</v>
      </c>
      <c r="CS37" s="51" t="s">
        <v>8</v>
      </c>
      <c r="CT37" s="51" t="s">
        <v>8</v>
      </c>
      <c r="CU37" s="51" t="s">
        <v>8</v>
      </c>
      <c r="CV37" s="51" t="s">
        <v>8</v>
      </c>
      <c r="CW37" s="51" t="s">
        <v>8</v>
      </c>
      <c r="CX37" s="51" t="s">
        <v>8</v>
      </c>
      <c r="CY37" s="51" t="s">
        <v>8</v>
      </c>
      <c r="CZ37" s="51" t="s">
        <v>8</v>
      </c>
      <c r="DA37" s="51" t="s">
        <v>8</v>
      </c>
      <c r="DD37" s="758"/>
      <c r="DF37" s="52"/>
      <c r="DG37" s="51" t="s">
        <v>8</v>
      </c>
      <c r="DH37" s="51"/>
      <c r="DI37" s="51" t="s">
        <v>8</v>
      </c>
      <c r="DJ37" s="51"/>
      <c r="DK37" s="51"/>
      <c r="DL37" s="51" t="s">
        <v>8</v>
      </c>
      <c r="DM37" s="51"/>
      <c r="DN37" s="51" t="s">
        <v>8</v>
      </c>
      <c r="DO37" s="435" t="s">
        <v>8</v>
      </c>
      <c r="DP37" s="435"/>
      <c r="DQ37" s="868" t="s">
        <v>8</v>
      </c>
      <c r="DR37" s="868"/>
      <c r="DS37" s="426" t="s">
        <v>8</v>
      </c>
      <c r="DT37" s="451" t="s">
        <v>8</v>
      </c>
      <c r="DU37" s="188" t="s">
        <v>8</v>
      </c>
      <c r="DV37" s="188" t="s">
        <v>8</v>
      </c>
      <c r="DW37" s="188" t="s">
        <v>8</v>
      </c>
      <c r="DX37" s="188" t="s">
        <v>8</v>
      </c>
      <c r="DY37" s="188" t="s">
        <v>8</v>
      </c>
      <c r="DZ37" s="188" t="s">
        <v>8</v>
      </c>
      <c r="EA37" s="188" t="s">
        <v>8</v>
      </c>
      <c r="EB37" s="188" t="s">
        <v>8</v>
      </c>
      <c r="EC37" s="435" t="s">
        <v>8</v>
      </c>
      <c r="ED37" s="435" t="s">
        <v>8</v>
      </c>
      <c r="EE37" s="868" t="s">
        <v>8</v>
      </c>
      <c r="EF37" s="867" t="s">
        <v>8</v>
      </c>
      <c r="EG37" s="613"/>
      <c r="EH37" s="614"/>
      <c r="EI37" s="613"/>
      <c r="EJ37" s="435"/>
      <c r="EK37" s="451"/>
      <c r="EL37" s="612"/>
      <c r="EN37" s="947"/>
      <c r="ER37" s="441"/>
      <c r="ES37" s="440"/>
      <c r="ET37" s="440"/>
      <c r="EU37" s="957"/>
      <c r="EW37" s="427"/>
      <c r="EX37"/>
    </row>
    <row r="38" spans="1:154" ht="17.100000000000001" customHeight="1" thickBot="1">
      <c r="B38" s="1369" t="str">
        <f ca="1">S38</f>
        <v>R</v>
      </c>
      <c r="C38" s="684" t="str">
        <f>IF(OR(F38=0,I38="",I38=" ")," ",$V38)</f>
        <v xml:space="preserve"> </v>
      </c>
      <c r="D38" s="1033"/>
      <c r="E38" s="1360" t="s">
        <v>8</v>
      </c>
      <c r="F38" s="202"/>
      <c r="G38" s="1416"/>
      <c r="H38" s="199" t="str">
        <f ca="1">IF(OR(F38=0,Z38="E",Z38="f")," ",'Project Demand'!E$35)</f>
        <v xml:space="preserve"> </v>
      </c>
      <c r="I38" s="631" t="str">
        <f>IF($I$6&lt;&gt;$BG$8," ",AB38)</f>
        <v xml:space="preserve"> </v>
      </c>
      <c r="J38" s="43" t="str">
        <f ca="1">IF(OR(I38=" ",I38="")," ",OFFSET($BO$9,CL38-1,0-4,1,1))</f>
        <v xml:space="preserve"> </v>
      </c>
      <c r="K38" s="55" t="str">
        <f>IF(OR(I38=" ",I38="")," ",IF(OR(Z38="e",Z38="h"),"SD",BG$24))</f>
        <v xml:space="preserve"> </v>
      </c>
      <c r="L38" s="49">
        <f ca="1">CW38</f>
        <v>0</v>
      </c>
      <c r="M38" s="49">
        <f ca="1">CY38</f>
        <v>0</v>
      </c>
      <c r="N38" s="50">
        <f t="shared" ref="N38:O42" ca="1" si="26">DA38</f>
        <v>0</v>
      </c>
      <c r="O38" s="126">
        <f t="shared" ca="1" si="26"/>
        <v>0</v>
      </c>
      <c r="P38" s="140"/>
      <c r="Q38" s="752" t="str">
        <f ca="1">IF(AND(OR(Z38="t",Z38="f"),K38=$BH$11),"No Floor!  Change Floor Type",IF(OR(I38=" ",I38="")," ",IF(F38&lt;OFFSET($BM$9,CL38-1,0,1,1),"check L(m)",DE38&amp;IF(AND(DP38&gt;=CY38,DR38&gt;=DB38),IF(AND(ED38&gt;=DP38,EF38&gt;=DR38),CONCATENATE(DS38," will provide same result"),CONCATENATE(CO38," will provide same result")),IF((DP38&gt;=CY38),CONCATENATE(CO38," provides same result in WIND"),IF((DR38&gt;=DB38),CONCATENATE(CO38," provides same result in EQ"),""))))))&amp;IF(ISERROR(FIND("pile",I38,1)),"",IF(INT(F38)&lt;&gt;F38,"Pile!  Use Whole Numbers Only",""))</f>
        <v xml:space="preserve"> </v>
      </c>
      <c r="R38" s="52">
        <f ca="1">IF(T32&lt;&gt;2,(COLUMN(INDIRECT(B32&amp;1))+1),U38)</f>
        <v>18</v>
      </c>
      <c r="S38" s="1372" t="str">
        <f ca="1">SUBSTITUTE(ADDRESS(1,R38,4),"1","")</f>
        <v>R</v>
      </c>
      <c r="T38" s="451">
        <f ca="1">IF(AND(ISTEXT(B38),SUBSTITUTE(SUBSTITUTE(SUBSTITUTE(SUBSTITUTE(SUBSTITUTE(SUBSTITUTE(SUBSTITUTE(SUBSTITUTE(SUBSTITUTE(SUBSTITUTE(SUBSTITUTE(SUBSTITUTE(SUBSTITUTE(SUBSTITUTE(SUBSTITUTE(SUBSTITUTE(SUBSTITUTE(SUBSTITUTE(SUBSTITUTE(SUBSTITUTE(SUBSTITUTE(SUBSTITUTE(SUBSTITUTE(SUBSTITUTE(SUBSTITUTE(SUBSTITUTE(LOWER(B38),"a",),"b",),"c",),"d",),"e",),"f",),"g",),"h",),"i",),"j",),"k",),"l",),"m",),"n",),"o",),"p",),"q",),"r",),"s",),"t",),"u",),"v",),"w",),"x",),"y",),"z",)=""),1,2)</f>
        <v>1</v>
      </c>
      <c r="U38" s="1377">
        <v>18</v>
      </c>
      <c r="V38" s="52" t="str">
        <f ca="1">IF(AND(B$5=$BF$9,OR(I38=BH$16,I38=BH$17))," ",IF(ISNUMBER(B$38),(CONCATENATE(B$38,".",W38)),(CONCATENATE(B$38,W38))))</f>
        <v>R0</v>
      </c>
      <c r="W38" s="9">
        <f ca="1">IF(B32=B38,W36+X38,X38)</f>
        <v>0</v>
      </c>
      <c r="X38" s="9">
        <f>IF(AND(B$5=$BF$9,OR($I38=$BH$16,$I38=$BH$17,$I38=" ",$I38="",$F38=0)),0,IF(OR($I38=" ",$I38="",$F38=0),0,1))</f>
        <v>0</v>
      </c>
      <c r="Y38" s="896">
        <f ca="1">IF(AND(M43&gt;0,B38&lt;&gt;B44),1,0)</f>
        <v>0</v>
      </c>
      <c r="Z38" s="52" t="str">
        <f ca="1">IF(I38=" "," ",OFFSET($BM$9,$CL38-1,8,1,1))</f>
        <v xml:space="preserve"> </v>
      </c>
      <c r="AA38" s="51" t="str">
        <f>IF(G38&gt;=45,"WA","")</f>
        <v/>
      </c>
      <c r="AB38" s="1364" t="str">
        <f>IF(F38&lt;&gt;"",IF(OR(D38=$BG$12,D38=$BG$13),IF(E38&lt;&gt;$BG$17,$BF$12,$BF$13),IF(E38&lt;&gt;$BG$17,$BF$12,$BF$13))," ")</f>
        <v xml:space="preserve"> </v>
      </c>
      <c r="AC38" s="1"/>
      <c r="AJ38" s="2230"/>
      <c r="AK38" s="2797"/>
      <c r="AL38" s="2785"/>
      <c r="AM38" s="1179">
        <f>'Regular and QuickBrace Systems'!F56</f>
        <v>1.2</v>
      </c>
      <c r="AN38" s="1274">
        <f>'Regular and QuickBrace Systems'!G56</f>
        <v>150</v>
      </c>
      <c r="AO38" s="1275">
        <f>'Regular and QuickBrace Systems'!H56</f>
        <v>150</v>
      </c>
      <c r="AP38" s="1277"/>
      <c r="AQ38" s="2665"/>
      <c r="AR38" s="2666"/>
      <c r="AS38" s="2828"/>
      <c r="AT38" s="1340"/>
      <c r="AU38" s="2132"/>
      <c r="AW38" s="1589" t="str">
        <f>'Regular and QuickBrace Systems'!O56</f>
        <v>Yes</v>
      </c>
      <c r="AX38" s="1581" t="str">
        <f>'Regular and QuickBrace Systems'!Q56</f>
        <v>Yes</v>
      </c>
      <c r="BD38" s="635"/>
      <c r="BF38" s="599" t="str">
        <f>'Custom Elements'!C22</f>
        <v>Custom14</v>
      </c>
      <c r="BI38" s="759"/>
      <c r="BJ38" s="897">
        <f t="shared" si="4"/>
        <v>30</v>
      </c>
      <c r="BK38" s="769" t="str">
        <f>'Custom Elements'!O14</f>
        <v>NZS 3604</v>
      </c>
      <c r="BL38" s="771" t="str">
        <f>'Custom Elements'!P14</f>
        <v>Cantilever pile</v>
      </c>
      <c r="BM38" s="455">
        <f>'Custom Elements'!Q14</f>
        <v>1</v>
      </c>
      <c r="BN38" s="455">
        <v>999</v>
      </c>
      <c r="BO38" s="455">
        <f>'Custom Elements'!R14</f>
        <v>70</v>
      </c>
      <c r="BP38" s="925">
        <f>'Custom Elements'!S14</f>
        <v>30</v>
      </c>
      <c r="BR38" s="764"/>
      <c r="BS38" s="455"/>
      <c r="BT38" s="455" t="s">
        <v>3</v>
      </c>
      <c r="BU38" s="925" t="s">
        <v>44</v>
      </c>
      <c r="BV38" s="483" t="str">
        <f t="shared" si="25"/>
        <v>Cantilever pile</v>
      </c>
      <c r="BW38" s="910">
        <f t="shared" si="22"/>
        <v>30</v>
      </c>
      <c r="BX38" s="925" t="str">
        <f>'Custom Elements'!U14</f>
        <v>Single</v>
      </c>
      <c r="CH38" s="764">
        <f t="shared" si="23"/>
        <v>0</v>
      </c>
      <c r="CI38" s="925">
        <f t="shared" si="24"/>
        <v>0</v>
      </c>
      <c r="CJ38" s="759"/>
      <c r="CK38" s="188"/>
      <c r="CL38" s="979">
        <f>VLOOKUP(I38,Prodlink,2,0)</f>
        <v>0</v>
      </c>
      <c r="CN38" s="497">
        <f ca="1">VLOOKUP(CO38,Prodlink,2,0)</f>
        <v>0</v>
      </c>
      <c r="CO38" s="497">
        <f ca="1">OFFSET($CH$9,CL38-1,-15,1,1)</f>
        <v>0</v>
      </c>
      <c r="CQ38" s="51">
        <v>0</v>
      </c>
      <c r="CR38" s="51">
        <f>IF(K38=$BH$12,$BH$23,IF(K38=$BH$13,$BH$24,10000))</f>
        <v>10000</v>
      </c>
      <c r="CS38" s="51">
        <f ca="1">IF(F38&lt;OFFSET($BM$9,CL38-1,0,1,1),0,IF(F38&lt;OFFSET($BN$9,CL38-1,0,1,1),((F38-OFFSET($BM$9,CL38-1,0,1,1))*OFFSET($CH$9,CL38-1,0,1,1))+OFFSET($BO$9,CL38-1,CQ38,1,1),IF(F38&lt;OFFSET($BN$9,CL38+0,0,1,1),((F38-OFFSET($BM$9,CL38+0,0,1,1))*OFFSET($CH$9,CL38+0,0,1,1))+OFFSET($BO$9,CL38+0,CQ38,1,1),IF(F38&lt;OFFSET($BN$9,CL38+1,0,1,1),((F38-OFFSET($BM$9,CL38+1,0,1,1))*OFFSET($CH$9,CL38+1,0,1,1))+OFFSET($BO$9,CL38+1,CQ38,1,1),IF(F38&lt;OFFSET($BN$9,CL38+2,0,1,1),((F38-OFFSET($BM$9,CL38+2,0,1,1))*OFFSET($CH$9,CL38+2,0,1,1))+OFFSET($BO$9,CL38+2,CQ38,1,1),IF(F38&lt;OFFSET($BN$9,CL38+3,0,1,1),((F38-OFFSET($BM$9,CL38+3,0,1,1))*OFFSET($CH$9,CL38+3,0,1,1))+OFFSET($BO$9,CL38+3,CQ38,1,1),0))))))</f>
        <v>0</v>
      </c>
      <c r="CT38" s="51">
        <f ca="1">IF($F38&lt;OFFSET($BM$9,$CL38-1,0,1,1),0,IF($F38&lt;OFFSET($BN$9,$CL38-1,0,1,1),IF(AND($H38&gt;2.4,Z38&lt;&gt;"e",Z38&lt;&gt;"f"),CX38*2.4/$H38,CX38),IF($F38&lt;OFFSET($BN$9,$CL38+0,0,1,1),IF(AND($H38&gt;2.4,Z38&lt;&gt;"e",Z38&lt;&gt;"f"),CX38*2.4/$H38,CX38),IF($F38&lt;OFFSET($BN$9,$CL38+1,0,1,1),IF(AND($H38&gt;2.4,Z38&lt;&gt;"e",Z38&lt;&gt;"f"),CX38*2.4/$H38,CX38),IF($F38&lt;OFFSET($BN$9,CL38+2,0,1,1),IF(AND($H38&gt;2.4,Z38&lt;&gt;"e",Z38&lt;&gt;"f"),CX38*2.4/$H38,CX38),IF($F38&lt;OFFSET($BN$9,CL38+3,0,1,1),IF(AND($H38&gt;2.4,Z38&lt;&gt;"e",Z38&lt;&gt;"f"),CX38*2.4/$H38,CX38),0)))))*COS(RADIANS($G38)))</f>
        <v>0</v>
      </c>
      <c r="CU38" s="51">
        <f ca="1">IF(F38&lt;OFFSET($BM$9,CL38-1,0,1,1),0,IF(F38&lt;OFFSET($BN$9,CL38-1,0,1,1),((F38-OFFSET($BM$9,CL38-1,0,1,1))*OFFSET($CI$9,CL38-1,0,1,1))+OFFSET($BP$9,CL38-1,CQ38,1,1),IF(F38&lt;OFFSET($BN$9,CL38+0,0,1,1),((F38-OFFSET($BM$9,CL38+0,0,1,1))*OFFSET($CI$9,CL38+0,0,1,1))+OFFSET($BP$9,CL38+0,CQ38,1,1),IF(F38&lt;OFFSET($BN$9,CL38+1,0,1,1),((F38-OFFSET($BM$9,CL38+1,0,1,1))*OFFSET($CI$9,CL38+1,0,1,1))+OFFSET($BP$9,CL38+1,CQ38,1,1),IF(F38&lt;OFFSET($BN$9,CL38+2,0,1,1),((F38-OFFSET($BM$9,CL38+2,0,1,1))*OFFSET($CI$9,CL38+2,0,1,1))+OFFSET($BP$9,CL38+2,CQ38,1,1),IF(F38&lt;OFFSET($BN$9,CL38+3,0,1,1),((F38-OFFSET($BM$9,CL38+3,0,1,1))*OFFSET($CI$9,CL38+3,0,1,1))+OFFSET($BP$9,CL38+3,CQ38,1,1),0))))))</f>
        <v>0</v>
      </c>
      <c r="CV38" s="51">
        <f ca="1">IF($F38&lt;OFFSET($BM$9,$CL38-1,0,1,1),0,IF($F38&lt;OFFSET($BN$9,$CL38-1,0,1,1),IF(AND($H38&gt;2.4,Z38&lt;&gt;"e",Z38&lt;&gt;"f"),CZ38*2.4/$H38,CZ38),IF($F38&lt;OFFSET($BN$9,$CL38+0,0,1,1),IF(AND($H38&gt;2.4,Z38&lt;&gt;"e",Z38&lt;&gt;"f"),CZ38*2.4/$H38,CZ38),IF($F38&lt;OFFSET($BN$9,$CL38+1,0,1,1),IF(AND($H38&gt;2.4,Z38&lt;&gt;"e",Z38&lt;&gt;"f"),CZ38*2.4/$H38,CZ38),IF($F38&lt;OFFSET($BN$9,$CL38+2,0,1,1),IF(AND($H38&gt;2.4,Z38&lt;&gt;"e",Z38&lt;&gt;"f"),CZ38*2.4/$H38,CZ38),IF($F38&lt;OFFSET($BN$9,$CL38+3,0,1,1),IF(AND($H38&gt;2.4,Z38&lt;&gt;"e",Z38&lt;&gt;"f"),CZ38*2.4/$H38,CZ38),0)))))*COS(RADIANS($G38)))</f>
        <v>0</v>
      </c>
      <c r="CW38" s="51">
        <f ca="1">IF(CT38&gt;CR38,CR38,CT38)</f>
        <v>0</v>
      </c>
      <c r="CX38" s="51">
        <f ca="1">IF(CS38&gt;$CR38,$CR38,CS38)</f>
        <v>0</v>
      </c>
      <c r="CY38" s="51">
        <f ca="1">CW38*F38</f>
        <v>0</v>
      </c>
      <c r="CZ38" s="51">
        <f ca="1">IF($CU38&gt;$CR38,$CR38,$CU38)</f>
        <v>0</v>
      </c>
      <c r="DA38" s="51">
        <f ca="1">IF(CV38&gt;CR38,CR38,CV38)</f>
        <v>0</v>
      </c>
      <c r="DB38" s="51">
        <f ca="1">DA38*F38</f>
        <v>0</v>
      </c>
      <c r="DC38" s="993">
        <v>1</v>
      </c>
      <c r="DD38" s="758" t="str">
        <f>IF(OR(D38=BG$12,D38=BG$13),"External",IF(D38=BG$14,"Internal"," "))</f>
        <v xml:space="preserve"> </v>
      </c>
      <c r="DE38" s="51" t="str">
        <f t="shared" ca="1" si="2"/>
        <v/>
      </c>
      <c r="DF38" s="52" t="str">
        <f t="shared" ca="1" si="3"/>
        <v xml:space="preserve"> </v>
      </c>
      <c r="DG38" s="51">
        <f ca="1">IF(F38&lt;OFFSET($BM$9,CN38-1,0,1,1),0,IF(F38&lt;OFFSET($BN$9,CN38-1,0,1,1),((F38-OFFSET($BM$9,CN38-1,0,1,1))*OFFSET($CH$9,CN38-1,0,1,1))+OFFSET($BO$9,CN38-1,CQ38,1,1),IF(F38&lt;OFFSET($BN$9,CN38+0,0,1,1),((F38-OFFSET($BM$9,CN38+0,0,1,1))*OFFSET($CH$9,CN38+0,0,1,1))+OFFSET($BO$9,CN38+0,CQ38,1,1),IF(F38&lt;OFFSET($BN$9,CN38+1,0,1,1),((F38-OFFSET($BM$9,CN38+1,0,1,1))*OFFSET($CH$9,CN38+1,0,1,1))+OFFSET($BO$9,CN38+1,CQ38,1,1),IF(F38&lt;OFFSET($BN$9,CN38+2,0,1,1),((F38-OFFSET($BM$9,CN38+2,0,1,1))*OFFSET($CH$9,CN38+2,0,1,1))+OFFSET($BO$9,CN38+2,CQ38,1,1),IF(F38&lt;OFFSET($BN$9,CN38+3,0,1,1),((F38-OFFSET($BM$9,CN38+3,0,1,1))*OFFSET($CH$9,CN38+3,0,1,1))+OFFSET($BO$9,CN38+3,CQ38,1,1),0))))))</f>
        <v>0</v>
      </c>
      <c r="DH38" s="51">
        <f ca="1">IF($F38&lt;OFFSET($BM$9,$CN38-1,0,1,1),0,IF($F38&lt;OFFSET($BN$9,$CN38-1,0,1,1),IF(AND($H38&gt;2.4,Z38&lt;&gt;"e",Z38&lt;&gt;"f"),DL38*2.4/$H38,DL38),IF($F38&lt;OFFSET($BN$9,$CN38+0,0,1,1),IF(AND($H38&gt;2.4,Z38&lt;&gt;"e",Z38&lt;&gt;"f"),DL38*2.4/$H38,DL38),IF($F38&lt;OFFSET($BN$9,$CN38+1,0,1,1),IF(AND($H38&gt;2.4,Z38&lt;&gt;"e",Z38&lt;&gt;"f"),DL38*2.4/$H38,DL38),IF($F38&lt;OFFSET($BN$9,$CN38+2,0,1,1),IF(AND($H38&gt;2.4,Z38&lt;&gt;"e",Z38&lt;&gt;"f"),DL38*2.4/$H38,DL38),IF($F38&lt;OFFSET($BN$9,$CN38+3,0,1,1),IF(AND($H38&gt;2.4,Z38&lt;&gt;"e",Z38&lt;&gt;"f"),DL38*2.4/$H38,DL38),0)))))*COS(RADIANS($G38)))</f>
        <v>0</v>
      </c>
      <c r="DI38" s="51">
        <f ca="1">IF(F38&lt;OFFSET($BM$9,CN38-1,0,1,1),0,IF(F38&lt;OFFSET($BN$9,CN38-1,0,1,1),((F38-OFFSET($BM$9,CN38-1,0,1,1))*OFFSET($CI$9,CN38-1,0,1,1))+OFFSET($BP$9,CN38-1,CQ38,1,1),IF(F38&lt;OFFSET($BN$9,CN38+0,0,1,1),((F38-OFFSET($BM$9,CN38+0,0,1,1))*OFFSET($CI$9,CN38+0,0,1,1))+OFFSET($BP$9,CN38+0,CQ38,1,1),IF(F38&lt;OFFSET($BN$9,CN38+1,0,1,1),((F38-OFFSET($BM$9,CN38+1,0,1,1))*OFFSET($CI$9,CN38+1,0,1,1))+OFFSET($BP$9,CN38+1,CQ38,1,1),IF(F38&lt;OFFSET($BN$9,CN38+2,0,1,1),((F38-OFFSET($BM$9,CN38+2,0,1,1))*OFFSET($CI$9,CN38+2,0,1,1))+OFFSET($BP$9,CN38+2,CQ38,1,1),IF(F38&lt;OFFSET($BN$9,CN38+3,0,1,1),((F38-OFFSET($BM$9,CN38+3,0,1,1))*OFFSET($CI$9,CN38+3,0,1,1))+OFFSET($BP$9,CN38+3,CQ38,1,1),0))))))</f>
        <v>0</v>
      </c>
      <c r="DJ38" s="51">
        <f ca="1">IF($F38&lt;OFFSET($BM$9,$CN38-1,0,1,1),0,IF($F38&lt;OFFSET($BN$9,$CN38-1,0,1,1),IF(AND($H38&gt;2.4,Z38&lt;&gt;"e",Z38&lt;&gt;"f"),DN38*2.4/$H38,DN38),IF($F38&lt;OFFSET($BN$9,$CN38+0,0,1,1),IF(AND($H38&gt;2.4,Z38&lt;&gt;"e",Z38&lt;&gt;"f"),DN38*2.4/$H38,DN38),IF($F38&lt;OFFSET($BN$9,$CN38+1,0,1,1),IF(AND($H38&gt;2.4,Z38&lt;&gt;"e",Z38&lt;&gt;"f"),DN38*2.4/$H38,DN38),IF($F38&lt;OFFSET($BN$9,$CN38+2,0,1,1),IF(AND($H38&gt;2.4,Z38&lt;&gt;"e",Z38&lt;&gt;"f"),DN38*2.4/$H38,DN38),IF($F38&lt;OFFSET($BN$9,$CN38+3,0,1,1),IF(AND($H38&gt;2.4,Z38&lt;&gt;"e",Z38&lt;&gt;"f"),DN38*2.4/$H38,DN38),0)))))*COS(RADIANS($G38)))</f>
        <v>0</v>
      </c>
      <c r="DK38" s="51"/>
      <c r="DL38" s="51">
        <f ca="1">IF(DG38&gt;$CR38,$CR38,DG38)</f>
        <v>0</v>
      </c>
      <c r="DM38" s="51"/>
      <c r="DN38" s="51">
        <f ca="1">IF(DI38&gt;$CR38,$CR38,DI38)</f>
        <v>0</v>
      </c>
      <c r="DO38" s="435">
        <f ca="1">IF(DH38&gt;$CR38,$CR38,DH38)</f>
        <v>0</v>
      </c>
      <c r="DP38" s="435">
        <f ca="1">DO38*F38</f>
        <v>0</v>
      </c>
      <c r="DQ38" s="436">
        <f ca="1">IF(DJ38&gt;$CR38,$CR38,DJ38)</f>
        <v>0</v>
      </c>
      <c r="DR38" s="437">
        <f ca="1">DQ38*F38</f>
        <v>0</v>
      </c>
      <c r="DS38" s="426">
        <f ca="1">OFFSET($CH$9,CL38-1,-15,1,1)</f>
        <v>0</v>
      </c>
      <c r="DT38" s="451">
        <f t="shared" ca="1" si="1"/>
        <v>0</v>
      </c>
      <c r="DU38" s="188">
        <f ca="1">IF(F38&lt;OFFSET($BM$9,DT38-1,0,1,1),0,IF(F38&lt;OFFSET($BN$9,DT38-1,0,1,1),((F38-OFFSET($BM$9,DT38-1,0,1,1))*OFFSET($CH$9,DT38-1,0,1,1))+OFFSET($BO$9,DT38-1,CQ38,1,1),IF(F38&lt;OFFSET($BN$9,DT38+0,0,1,1),((F38-OFFSET($BM$9,DT38+0,0,1,1))*OFFSET($CH$9,DT38+0,0,1,1))+OFFSET($BO$9,DT38+0,CQ38,1,1),IF(F38&lt;OFFSET($BN$9,DT38+1,0,1,1),((F38-OFFSET($BM$9,DT38+1,0,1,1))*OFFSET($CH$9,DT38+1,0,1,1))+OFFSET($BO$9,DT38+1,CQ38,1,1),IF(F38&lt;OFFSET($BN$9,DT38+2,0,1,1),((F38-OFFSET($BM$9,DT38+2,0,1,1))*OFFSET($CH$9,DT38+2,0,1,1))+OFFSET($BO$9,DT38+2,CQ38,1,1),IF(F38&lt;OFFSET($BN$9,DT38+3,0,1,1),((F38-OFFSET($BM$9,DT38+3,0,1,1))*OFFSET($CH$9,DT38+3,0,1,1))+OFFSET($BO$9,DT38+3,CQ38,1,1),0))))))</f>
        <v>0</v>
      </c>
      <c r="DV38" s="51">
        <f ca="1">IF($F38&lt;OFFSET($BM$9,$DT38-1,0,1,1),0,IF($F38&lt;OFFSET($BN$9,$DT38-1,0,1,1),IF(AND($H38&gt;2.4,Z38&lt;&gt;"e",Z38&lt;&gt;"f"),DZ38*2.4/$H38,DZ38),IF($F38&lt;OFFSET($BN$9,$DT38+0,0,1,1),IF(AND($H38&gt;2.4,Z38&lt;&gt;"e",Z38&lt;&gt;"f"),DZ38*2.4/$H38,DZ38),IF($F38&lt;OFFSET($BN$9,$DT38+1,0,1,1),IF(AND($H38&gt;2.4,Z38&lt;&gt;"e",Z38&lt;&gt;"f"),DZ38*2.4/$H38,DZ38),IF($F38&lt;OFFSET($BN$9,$DT38+2,0,1,1),IF(AND($H38&gt;2.4,Z38&lt;&gt;"e",Z38&lt;&gt;"f"),DZ38*2.4/$H38,DZ38),IF($F38&lt;OFFSET($BN$9,$DT38+3,0,1,1),IF(AND($H38&gt;2.4,Z38&lt;&gt;"e",Z38&lt;&gt;"f"),DZ38*2.4/$H38,DZ38),0)))))*COS(RADIANS($G38)))</f>
        <v>0</v>
      </c>
      <c r="DW38" s="188">
        <f ca="1">IF(F38&lt;OFFSET($BM$9,DT38-1,0,1,1),0,IF(F38&lt;OFFSET($BN$9,DT38-1,0,1,1),((F38-OFFSET($BM$9,DT38-1,0,1,1))*OFFSET($CI$9,DT38-1,0,1,1))+OFFSET($BP$9,DT38-1,CQ38,1,1),IF(F38&lt;OFFSET($BN$9,DT38+0,0,1,1),((F38-OFFSET($BM$9,DT38+0,0,1,1))*OFFSET($CI$9,DT38+0,0,1,1))+OFFSET($BP$9,DT38+0,CQ38,1,1),IF(F38&lt;OFFSET($BN$9,DT38+1,0,1,1),((F38-OFFSET($BM$9,DT38+1,0,1,1))*OFFSET($CI$9,DT38+1,0,1,1))+OFFSET($BP$9,DT38+1,CQ38,1,1),IF(F38&lt;OFFSET($BN$9,DT38+2,0,1,1),((F38-OFFSET($BM$9,DT38+2,0,1,1))*OFFSET($CI$9,DT38+2,0,1,1))+OFFSET($BP$9,DT38+2,CQ38,1,1),IF(F38&lt;OFFSET($BN$9,DT38+3,0,1,1),((F38-OFFSET($BM$9,DT38+3,0,1,1))*OFFSET($CI$9,DT38+3,0,1,1))+OFFSET($BP$9,DT38+3,CQ38,1,1),0))))))</f>
        <v>0</v>
      </c>
      <c r="DX38" s="51">
        <f ca="1">IF($F38&lt;OFFSET($BM$9,$DT38-1,0,1,1),0,IF($F38&lt;OFFSET($BN$9,$DT38-1,0,1,1),IF(AND($H38&gt;2.4,Z38&lt;&gt;"e",Z38&lt;&gt;"f"),EB38*2.4/$H38,EB38),IF($F38&lt;OFFSET($BN$9,$DT38+0,0,1,1),IF(AND($H38&gt;2.4,Z38&lt;&gt;"e",Z38&lt;&gt;"f"),EB38*2.4/$H38,EB38),IF($F38&lt;OFFSET($BN$9,$DT38+1,0,1,1),IF(AND($H38&gt;2.4,Z38&lt;&gt;"e",Z38&lt;&gt;"f"),EB38*2.4/$H38,EB38),IF($F38&lt;OFFSET($BN$9,$DT38+2,0,1,1),IF(AND($H38&gt;2.4,Z38&lt;&gt;"e",Z38&lt;&gt;"f"),EB38*2.4/$H38,EB38),IF($F38&lt;OFFSET($BN$9,$DT38+3,0,1,1),IF(AND($H38&gt;2.4,Z38&lt;&gt;"e",Z38&lt;&gt;"f"),EB38*2.4/$H38,EB38),0)))))*COS(RADIANS($G38)))</f>
        <v>0</v>
      </c>
      <c r="DY38" s="188"/>
      <c r="DZ38" s="188">
        <f ca="1">IF(DU38&gt;$CR38,$CR38,DU38)</f>
        <v>0</v>
      </c>
      <c r="EA38" s="188"/>
      <c r="EB38" s="188">
        <f ca="1">IF(DW38&gt;$CR38,$CR38,DW38)</f>
        <v>0</v>
      </c>
      <c r="EC38" s="435">
        <f ca="1">IF(DV38&gt;$CR38,$CR38,DV38)</f>
        <v>0</v>
      </c>
      <c r="ED38" s="435">
        <f ca="1">EC38*F38</f>
        <v>0</v>
      </c>
      <c r="EE38" s="436">
        <f ca="1">IF(DX38&gt;$CR38,$CR38,DX38)</f>
        <v>0</v>
      </c>
      <c r="EF38" s="437">
        <f ca="1">EE38*F38</f>
        <v>0</v>
      </c>
      <c r="EG38" s="613" t="str">
        <f>IF(D38=BG$12,BG$12,"")</f>
        <v/>
      </c>
      <c r="EH38" s="614" t="str">
        <f>IF(D38=BG$13,BG$13,"")</f>
        <v/>
      </c>
      <c r="EI38" s="611">
        <f>IF(EG38=BG$12,M38,0)</f>
        <v>0</v>
      </c>
      <c r="EJ38" s="451">
        <f>IF(EG38=BG$12,O38,0)</f>
        <v>0</v>
      </c>
      <c r="EK38" s="451">
        <f>IF(EH38=BG$13,M38,0)</f>
        <v>0</v>
      </c>
      <c r="EL38" s="612">
        <f>IF(EH38=BG$13,O38,0)</f>
        <v>0</v>
      </c>
      <c r="EM38" s="426" t="str">
        <f ca="1">IF(AND(Z38&lt;&gt;"t",Z38&lt;&gt;"f"),"",IF(AND(EN38=$BH$13,K38=$BH$12),"NotOpt",IF(K38&lt;&gt;EN38,"Error","")))</f>
        <v/>
      </c>
      <c r="EN38" s="491" t="str">
        <f>IF(AND($BH$28=1,$BG$28=1),$BH$13,$BH$12)</f>
        <v>120 BU's</v>
      </c>
      <c r="EO38" s="426" t="str">
        <f>K38</f>
        <v xml:space="preserve"> </v>
      </c>
      <c r="EP38" s="497">
        <v>1</v>
      </c>
      <c r="EQ38" s="430" t="str">
        <f ca="1">IF(EP38=1," ",OFFSET(BF$15,EP38-2,0,1,1))</f>
        <v xml:space="preserve"> </v>
      </c>
      <c r="ER38" s="439" t="str">
        <f ca="1">IF(H38=0," ",H38)</f>
        <v xml:space="preserve"> </v>
      </c>
      <c r="ES38" s="440" t="str">
        <f ca="1">IF(ER38&lt;&gt;" ",IF(ER38&lt;&gt;ER$7,"Changed",""),"")</f>
        <v/>
      </c>
      <c r="ET38" s="440">
        <f t="shared" ca="1" si="15"/>
        <v>0</v>
      </c>
      <c r="EU38" s="957" t="str">
        <f ca="1">IF(I38=" "," ",IF(F38&lt;OFFSET($BM$9,CL38-1,0,1,1),1,""))</f>
        <v xml:space="preserve"> </v>
      </c>
      <c r="EW38" s="427"/>
      <c r="EX38"/>
    </row>
    <row r="39" spans="1:154" ht="17.100000000000001" customHeight="1" thickBot="1">
      <c r="B39" s="689" t="s">
        <v>246</v>
      </c>
      <c r="C39" s="684" t="str">
        <f>IF(OR(F39=0,I39="",I39=" ")," ",$V39)</f>
        <v xml:space="preserve"> </v>
      </c>
      <c r="D39" s="1033"/>
      <c r="E39" s="1360" t="s">
        <v>8</v>
      </c>
      <c r="F39" s="202"/>
      <c r="G39" s="1416"/>
      <c r="H39" s="199" t="str">
        <f ca="1">IF(OR(F39=0,Z39="E",Z39="f")," ",'Project Demand'!E$35)</f>
        <v xml:space="preserve"> </v>
      </c>
      <c r="I39" s="631" t="str">
        <f>IF($I$6&lt;&gt;$BG$8," ",AB39)</f>
        <v xml:space="preserve"> </v>
      </c>
      <c r="J39" s="44" t="str">
        <f ca="1">IF(OR(I39=" ",I39="")," ",OFFSET($BO$9,CL39-1,0-4,1,1))</f>
        <v xml:space="preserve"> </v>
      </c>
      <c r="K39" s="55" t="str">
        <f>IF(OR(I39=" ",I39="")," ",IF(OR(Z39="e",Z39="h"),"SD",BG$24))</f>
        <v xml:space="preserve"> </v>
      </c>
      <c r="L39" s="49">
        <f ca="1">CW39</f>
        <v>0</v>
      </c>
      <c r="M39" s="49">
        <f ca="1">CY39</f>
        <v>0</v>
      </c>
      <c r="N39" s="50">
        <f t="shared" ca="1" si="26"/>
        <v>0</v>
      </c>
      <c r="O39" s="126">
        <f t="shared" ca="1" si="26"/>
        <v>0</v>
      </c>
      <c r="P39" s="140"/>
      <c r="Q39" s="752" t="str">
        <f ca="1">IF(AND(OR(Z39="t",Z39="f"),K39=$BH$11),"No Floor!  Change Floor Type",IF(OR(I39=" ",I39="")," ",IF(F39&lt;OFFSET($BM$9,CL39-1,0,1,1),"check L(m)",DE39&amp;IF(AND(DP39&gt;=CY39,DR39&gt;=DB39),IF(AND(ED39&gt;=DP39,EF39&gt;=DR39),CONCATENATE(DS39," will provide same result"),CONCATENATE(CO39," will provide same result")),IF((DP39&gt;=CY39),CONCATENATE(CO39," provides same result in WIND"),IF((DR39&gt;=DB39),CONCATENATE(CO39," provides same result in EQ"),""))))))&amp;IF(ISERROR(FIND("pile",I39,1)),"",IF(INT(F39)&lt;&gt;F39,"Pile!  Use Whole Numbers Only",""))</f>
        <v xml:space="preserve"> </v>
      </c>
      <c r="R39" s="52"/>
      <c r="S39" s="1372"/>
      <c r="T39" s="1372"/>
      <c r="U39" s="1377"/>
      <c r="V39" s="52" t="str">
        <f ca="1">IF(AND(B$5=$BF$9,OR(I39=BH$16,I39=BH$17))," ",IF(ISNUMBER(B$38),(CONCATENATE(B$38,".",W39)),(CONCATENATE(B$38,W39))))</f>
        <v>R0</v>
      </c>
      <c r="W39" s="9">
        <f ca="1">W38+X39</f>
        <v>0</v>
      </c>
      <c r="X39" s="9">
        <f>IF(AND(B$5=$BF$9,OR($I39=$BH$16,$I39=$BH$17,$I39=" ",$I39="",$F39=0)),0,IF(OR($I39=" ",$I39="",$F39=0),0,1))</f>
        <v>0</v>
      </c>
      <c r="Y39" s="896"/>
      <c r="Z39" s="52" t="str">
        <f ca="1">IF(I39=" "," ",OFFSET($BM$9,$CL39-1,8,1,1))</f>
        <v xml:space="preserve"> </v>
      </c>
      <c r="AA39" s="51" t="str">
        <f>IF(G39&gt;=45,"WA","")</f>
        <v/>
      </c>
      <c r="AB39" s="1364" t="str">
        <f>IF(F39&lt;&gt;"",IF(OR(D39=$BG$12,D39=$BG$13),IF(E39&lt;&gt;$BG$17,$BF$12,$BF$13),IF(E39&lt;&gt;$BG$17,$BF$12,$BF$13))," ")</f>
        <v xml:space="preserve"> </v>
      </c>
      <c r="AC39" s="1"/>
      <c r="AJ39" s="2230"/>
      <c r="AK39" s="2797"/>
      <c r="AL39" s="2783" t="str">
        <f>'Regular and QuickBrace Systems'!E57</f>
        <v>EMPH</v>
      </c>
      <c r="AM39" s="116">
        <f>'Regular and QuickBrace Systems'!F57</f>
        <v>0.4</v>
      </c>
      <c r="AN39" s="1278">
        <f>'Regular and QuickBrace Systems'!G57</f>
        <v>121</v>
      </c>
      <c r="AO39" s="1279">
        <f>'Regular and QuickBrace Systems'!H57</f>
        <v>138</v>
      </c>
      <c r="AP39" s="1595"/>
      <c r="AQ39" s="2661" t="str">
        <f>'Regular and QuickBrace Systems'!I54</f>
        <v>Specialised QuickBrace Pattern</v>
      </c>
      <c r="AR39" s="2662"/>
      <c r="AS39" s="2826" t="str">
        <f>'Regular and QuickBrace Systems'!K54</f>
        <v>Yes</v>
      </c>
      <c r="AT39" s="1340"/>
      <c r="AU39" s="2133" t="str">
        <f>'Regular and QuickBrace Systems'!M57</f>
        <v>Elephant Multiboard One side,               Plywood the Other</v>
      </c>
      <c r="AW39" s="1586" t="str">
        <f>'Regular and QuickBrace Systems'!O57</f>
        <v>Yes</v>
      </c>
      <c r="AX39" s="1578" t="str">
        <f>'Regular and QuickBrace Systems'!Q57</f>
        <v>Yes</v>
      </c>
      <c r="BD39" s="635"/>
      <c r="BF39" s="599" t="str">
        <f>'Custom Elements'!C23</f>
        <v>Custom15</v>
      </c>
      <c r="BG39" s="430" t="s">
        <v>933</v>
      </c>
      <c r="BI39" s="759"/>
      <c r="BJ39" s="897">
        <f t="shared" si="4"/>
        <v>31</v>
      </c>
      <c r="BK39" s="775" t="str">
        <f>'Custom Elements'!O15</f>
        <v>NZS 3604</v>
      </c>
      <c r="BL39" s="772" t="str">
        <f>'Custom Elements'!P15</f>
        <v>Anchor pile</v>
      </c>
      <c r="BM39" s="776">
        <f>'Custom Elements'!Q15</f>
        <v>1</v>
      </c>
      <c r="BN39" s="776">
        <v>999</v>
      </c>
      <c r="BO39" s="776">
        <f>'Custom Elements'!R15</f>
        <v>160</v>
      </c>
      <c r="BP39" s="926">
        <f>'Custom Elements'!S15</f>
        <v>120</v>
      </c>
      <c r="BQ39" s="1183"/>
      <c r="BR39" s="908"/>
      <c r="BS39" s="776"/>
      <c r="BT39" s="776" t="s">
        <v>3</v>
      </c>
      <c r="BU39" s="926" t="s">
        <v>44</v>
      </c>
      <c r="BV39" s="484" t="str">
        <f t="shared" si="25"/>
        <v>Anchor pile</v>
      </c>
      <c r="BW39" s="911">
        <f t="shared" si="22"/>
        <v>31</v>
      </c>
      <c r="BX39" s="925" t="str">
        <f>'Custom Elements'!U15</f>
        <v>Single</v>
      </c>
      <c r="CH39" s="908">
        <f>IF(BN39=999,0,(#REF!-BO39)/(BN39-BM39))</f>
        <v>0</v>
      </c>
      <c r="CI39" s="926">
        <f>IF(BN39=999,0,(#REF!-BP39)/(BN39-BM39))</f>
        <v>0</v>
      </c>
      <c r="CJ39" s="759"/>
      <c r="CK39" s="188"/>
      <c r="CL39" s="979">
        <f>VLOOKUP(I39,Prodlink,2,0)</f>
        <v>0</v>
      </c>
      <c r="CN39" s="497">
        <f ca="1">VLOOKUP(CO39,Prodlink,2,0)</f>
        <v>0</v>
      </c>
      <c r="CO39" s="497">
        <f ca="1">OFFSET($CH$9,CL39-1,-15,1,1)</f>
        <v>0</v>
      </c>
      <c r="CQ39" s="51">
        <v>0</v>
      </c>
      <c r="CR39" s="51">
        <f>IF(K39=$BH$12,$BH$23,IF(K39=$BH$13,$BH$24,10000))</f>
        <v>10000</v>
      </c>
      <c r="CS39" s="51">
        <f ca="1">IF(F39&lt;OFFSET($BM$9,CL39-1,0,1,1),0,IF(F39&lt;OFFSET($BN$9,CL39-1,0,1,1),((F39-OFFSET($BM$9,CL39-1,0,1,1))*OFFSET($CH$9,CL39-1,0,1,1))+OFFSET($BO$9,CL39-1,CQ39,1,1),IF(F39&lt;OFFSET($BN$9,CL39+0,0,1,1),((F39-OFFSET($BM$9,CL39+0,0,1,1))*OFFSET($CH$9,CL39+0,0,1,1))+OFFSET($BO$9,CL39+0,CQ39,1,1),IF(F39&lt;OFFSET($BN$9,CL39+1,0,1,1),((F39-OFFSET($BM$9,CL39+1,0,1,1))*OFFSET($CH$9,CL39+1,0,1,1))+OFFSET($BO$9,CL39+1,CQ39,1,1),IF(F39&lt;OFFSET($BN$9,CL39+2,0,1,1),((F39-OFFSET($BM$9,CL39+2,0,1,1))*OFFSET($CH$9,CL39+2,0,1,1))+OFFSET($BO$9,CL39+2,CQ39,1,1),IF(F39&lt;OFFSET($BN$9,CL39+3,0,1,1),((F39-OFFSET($BM$9,CL39+3,0,1,1))*OFFSET($CH$9,CL39+3,0,1,1))+OFFSET($BO$9,CL39+3,CQ39,1,1),0))))))</f>
        <v>0</v>
      </c>
      <c r="CT39" s="51">
        <f ca="1">IF($F39&lt;OFFSET($BM$9,$CL39-1,0,1,1),0,IF($F39&lt;OFFSET($BN$9,$CL39-1,0,1,1),IF(AND($H39&gt;2.4,Z39&lt;&gt;"e",Z39&lt;&gt;"f"),CX39*2.4/$H39,CX39),IF($F39&lt;OFFSET($BN$9,$CL39+0,0,1,1),IF(AND($H39&gt;2.4,Z39&lt;&gt;"e",Z39&lt;&gt;"f"),CX39*2.4/$H39,CX39),IF($F39&lt;OFFSET($BN$9,$CL39+1,0,1,1),IF(AND($H39&gt;2.4,Z39&lt;&gt;"e",Z39&lt;&gt;"f"),CX39*2.4/$H39,CX39),IF($F39&lt;OFFSET($BN$9,CL39+2,0,1,1),IF(AND($H39&gt;2.4,Z39&lt;&gt;"e",Z39&lt;&gt;"f"),CX39*2.4/$H39,CX39),IF($F39&lt;OFFSET($BN$9,CL39+3,0,1,1),IF(AND($H39&gt;2.4,Z39&lt;&gt;"e",Z39&lt;&gt;"f"),CX39*2.4/$H39,CX39),0)))))*COS(RADIANS($G39)))</f>
        <v>0</v>
      </c>
      <c r="CU39" s="51">
        <f ca="1">IF(F39&lt;OFFSET($BM$9,CL39-1,0,1,1),0,IF(F39&lt;OFFSET($BN$9,CL39-1,0,1,1),((F39-OFFSET($BM$9,CL39-1,0,1,1))*OFFSET($CI$9,CL39-1,0,1,1))+OFFSET($BP$9,CL39-1,CQ39,1,1),IF(F39&lt;OFFSET($BN$9,CL39+0,0,1,1),((F39-OFFSET($BM$9,CL39+0,0,1,1))*OFFSET($CI$9,CL39+0,0,1,1))+OFFSET($BP$9,CL39+0,CQ39,1,1),IF(F39&lt;OFFSET($BN$9,CL39+1,0,1,1),((F39-OFFSET($BM$9,CL39+1,0,1,1))*OFFSET($CI$9,CL39+1,0,1,1))+OFFSET($BP$9,CL39+1,CQ39,1,1),IF(F39&lt;OFFSET($BN$9,CL39+2,0,1,1),((F39-OFFSET($BM$9,CL39+2,0,1,1))*OFFSET($CI$9,CL39+2,0,1,1))+OFFSET($BP$9,CL39+2,CQ39,1,1),IF(F39&lt;OFFSET($BN$9,CL39+3,0,1,1),((F39-OFFSET($BM$9,CL39+3,0,1,1))*OFFSET($CI$9,CL39+3,0,1,1))+OFFSET($BP$9,CL39+3,CQ39,1,1),0))))))</f>
        <v>0</v>
      </c>
      <c r="CV39" s="51">
        <f ca="1">IF($F39&lt;OFFSET($BM$9,$CL39-1,0,1,1),0,IF($F39&lt;OFFSET($BN$9,$CL39-1,0,1,1),IF(AND($H39&gt;2.4,Z39&lt;&gt;"e",Z39&lt;&gt;"f"),CZ39*2.4/$H39,CZ39),IF($F39&lt;OFFSET($BN$9,$CL39+0,0,1,1),IF(AND($H39&gt;2.4,Z39&lt;&gt;"e",Z39&lt;&gt;"f"),CZ39*2.4/$H39,CZ39),IF($F39&lt;OFFSET($BN$9,$CL39+1,0,1,1),IF(AND($H39&gt;2.4,Z39&lt;&gt;"e",Z39&lt;&gt;"f"),CZ39*2.4/$H39,CZ39),IF($F39&lt;OFFSET($BN$9,$CL39+2,0,1,1),IF(AND($H39&gt;2.4,Z39&lt;&gt;"e",Z39&lt;&gt;"f"),CZ39*2.4/$H39,CZ39),IF($F39&lt;OFFSET($BN$9,$CL39+3,0,1,1),IF(AND($H39&gt;2.4,Z39&lt;&gt;"e",Z39&lt;&gt;"f"),CZ39*2.4/$H39,CZ39),0)))))*COS(RADIANS($G39)))</f>
        <v>0</v>
      </c>
      <c r="CW39" s="51">
        <f ca="1">IF(CT39&gt;CR39,CR39,CT39)</f>
        <v>0</v>
      </c>
      <c r="CX39" s="51">
        <f ca="1">IF(CS39&gt;$CR39,$CR39,CS39)</f>
        <v>0</v>
      </c>
      <c r="CY39" s="51">
        <f ca="1">CW39*F39</f>
        <v>0</v>
      </c>
      <c r="CZ39" s="51">
        <f ca="1">IF($CU39&gt;$CR39,$CR39,$CU39)</f>
        <v>0</v>
      </c>
      <c r="DA39" s="51">
        <f ca="1">IF(CV39&gt;CR39,CR39,CV39)</f>
        <v>0</v>
      </c>
      <c r="DB39" s="51">
        <f ca="1">DA39*F39</f>
        <v>0</v>
      </c>
      <c r="DC39" s="993">
        <v>1</v>
      </c>
      <c r="DD39" s="758" t="str">
        <f>IF(OR(D39=BG$12,D39=BG$13),"External",IF(D39=BG$14,"Internal"," "))</f>
        <v xml:space="preserve"> </v>
      </c>
      <c r="DE39" s="51" t="str">
        <f t="shared" ca="1" si="2"/>
        <v/>
      </c>
      <c r="DF39" s="52" t="str">
        <f t="shared" ca="1" si="3"/>
        <v xml:space="preserve"> </v>
      </c>
      <c r="DG39" s="51">
        <f ca="1">IF(F39&lt;OFFSET($BM$9,CN39-1,0,1,1),0,IF(F39&lt;OFFSET($BN$9,CN39-1,0,1,1),((F39-OFFSET($BM$9,CN39-1,0,1,1))*OFFSET($CH$9,CN39-1,0,1,1))+OFFSET($BO$9,CN39-1,CQ39,1,1),IF(F39&lt;OFFSET($BN$9,CN39+0,0,1,1),((F39-OFFSET($BM$9,CN39+0,0,1,1))*OFFSET($CH$9,CN39+0,0,1,1))+OFFSET($BO$9,CN39+0,CQ39,1,1),IF(F39&lt;OFFSET($BN$9,CN39+1,0,1,1),((F39-OFFSET($BM$9,CN39+1,0,1,1))*OFFSET($CH$9,CN39+1,0,1,1))+OFFSET($BO$9,CN39+1,CQ39,1,1),IF(F39&lt;OFFSET($BN$9,CN39+2,0,1,1),((F39-OFFSET($BM$9,CN39+2,0,1,1))*OFFSET($CH$9,CN39+2,0,1,1))+OFFSET($BO$9,CN39+2,CQ39,1,1),IF(F39&lt;OFFSET($BN$9,CN39+3,0,1,1),((F39-OFFSET($BM$9,CN39+3,0,1,1))*OFFSET($CH$9,CN39+3,0,1,1))+OFFSET($BO$9,CN39+3,CQ39,1,1),0))))))</f>
        <v>0</v>
      </c>
      <c r="DH39" s="51">
        <f ca="1">IF($F39&lt;OFFSET($BM$9,$CN39-1,0,1,1),0,IF($F39&lt;OFFSET($BN$9,$CN39-1,0,1,1),IF(AND($H39&gt;2.4,Z39&lt;&gt;"e",Z39&lt;&gt;"f"),DL39*2.4/$H39,DL39),IF($F39&lt;OFFSET($BN$9,$CN39+0,0,1,1),IF(AND($H39&gt;2.4,Z39&lt;&gt;"e",Z39&lt;&gt;"f"),DL39*2.4/$H39,DL39),IF($F39&lt;OFFSET($BN$9,$CN39+1,0,1,1),IF(AND($H39&gt;2.4,Z39&lt;&gt;"e",Z39&lt;&gt;"f"),DL39*2.4/$H39,DL39),IF($F39&lt;OFFSET($BN$9,$CN39+2,0,1,1),IF(AND($H39&gt;2.4,Z39&lt;&gt;"e",Z39&lt;&gt;"f"),DL39*2.4/$H39,DL39),IF($F39&lt;OFFSET($BN$9,$CN39+3,0,1,1),IF(AND($H39&gt;2.4,Z39&lt;&gt;"e",Z39&lt;&gt;"f"),DL39*2.4/$H39,DL39),0)))))*COS(RADIANS($G39)))</f>
        <v>0</v>
      </c>
      <c r="DI39" s="51">
        <f ca="1">IF(F39&lt;OFFSET($BM$9,CN39-1,0,1,1),0,IF(F39&lt;OFFSET($BN$9,CN39-1,0,1,1),((F39-OFFSET($BM$9,CN39-1,0,1,1))*OFFSET($CI$9,CN39-1,0,1,1))+OFFSET($BP$9,CN39-1,CQ39,1,1),IF(F39&lt;OFFSET($BN$9,CN39+0,0,1,1),((F39-OFFSET($BM$9,CN39+0,0,1,1))*OFFSET($CI$9,CN39+0,0,1,1))+OFFSET($BP$9,CN39+0,CQ39,1,1),IF(F39&lt;OFFSET($BN$9,CN39+1,0,1,1),((F39-OFFSET($BM$9,CN39+1,0,1,1))*OFFSET($CI$9,CN39+1,0,1,1))+OFFSET($BP$9,CN39+1,CQ39,1,1),IF(F39&lt;OFFSET($BN$9,CN39+2,0,1,1),((F39-OFFSET($BM$9,CN39+2,0,1,1))*OFFSET($CI$9,CN39+2,0,1,1))+OFFSET($BP$9,CN39+2,CQ39,1,1),IF(F39&lt;OFFSET($BN$9,CN39+3,0,1,1),((F39-OFFSET($BM$9,CN39+3,0,1,1))*OFFSET($CI$9,CN39+3,0,1,1))+OFFSET($BP$9,CN39+3,CQ39,1,1),0))))))</f>
        <v>0</v>
      </c>
      <c r="DJ39" s="51">
        <f ca="1">IF($F39&lt;OFFSET($BM$9,$CN39-1,0,1,1),0,IF($F39&lt;OFFSET($BN$9,$CN39-1,0,1,1),IF(AND($H39&gt;2.4,Z39&lt;&gt;"e",Z39&lt;&gt;"f"),DN39*2.4/$H39,DN39),IF($F39&lt;OFFSET($BN$9,$CN39+0,0,1,1),IF(AND($H39&gt;2.4,Z39&lt;&gt;"e",Z39&lt;&gt;"f"),DN39*2.4/$H39,DN39),IF($F39&lt;OFFSET($BN$9,$CN39+1,0,1,1),IF(AND($H39&gt;2.4,Z39&lt;&gt;"e",Z39&lt;&gt;"f"),DN39*2.4/$H39,DN39),IF($F39&lt;OFFSET($BN$9,$CN39+2,0,1,1),IF(AND($H39&gt;2.4,Z39&lt;&gt;"e",Z39&lt;&gt;"f"),DN39*2.4/$H39,DN39),IF($F39&lt;OFFSET($BN$9,$CN39+3,0,1,1),IF(AND($H39&gt;2.4,Z39&lt;&gt;"e",Z39&lt;&gt;"f"),DN39*2.4/$H39,DN39),0)))))*COS(RADIANS($G39)))</f>
        <v>0</v>
      </c>
      <c r="DK39" s="51"/>
      <c r="DL39" s="51">
        <f ca="1">IF(DG39&gt;$CR39,$CR39,DG39)</f>
        <v>0</v>
      </c>
      <c r="DM39" s="51"/>
      <c r="DN39" s="51">
        <f ca="1">IF(DI39&gt;$CR39,$CR39,DI39)</f>
        <v>0</v>
      </c>
      <c r="DO39" s="435">
        <f ca="1">IF(DH39&gt;$CR39,$CR39,DH39)</f>
        <v>0</v>
      </c>
      <c r="DP39" s="435">
        <f ca="1">DO39*F39</f>
        <v>0</v>
      </c>
      <c r="DQ39" s="436">
        <f ca="1">IF(DJ39&gt;$CR39,$CR39,DJ39)</f>
        <v>0</v>
      </c>
      <c r="DR39" s="437">
        <f ca="1">DQ39*F39</f>
        <v>0</v>
      </c>
      <c r="DS39" s="426">
        <f ca="1">OFFSET($CH$9,CL39-1,-15,1,1)</f>
        <v>0</v>
      </c>
      <c r="DT39" s="451">
        <f t="shared" ca="1" si="1"/>
        <v>0</v>
      </c>
      <c r="DU39" s="188">
        <f ca="1">IF(F39&lt;OFFSET($BM$9,DT39-1,0,1,1),0,IF(F39&lt;OFFSET($BN$9,DT39-1,0,1,1),((F39-OFFSET($BM$9,DT39-1,0,1,1))*OFFSET($CH$9,DT39-1,0,1,1))+OFFSET($BO$9,DT39-1,CQ39,1,1),IF(F39&lt;OFFSET($BN$9,DT39+0,0,1,1),((F39-OFFSET($BM$9,DT39+0,0,1,1))*OFFSET($CH$9,DT39+0,0,1,1))+OFFSET($BO$9,DT39+0,CQ39,1,1),IF(F39&lt;OFFSET($BN$9,DT39+1,0,1,1),((F39-OFFSET($BM$9,DT39+1,0,1,1))*OFFSET($CH$9,DT39+1,0,1,1))+OFFSET($BO$9,DT39+1,CQ39,1,1),IF(F39&lt;OFFSET($BN$9,DT39+2,0,1,1),((F39-OFFSET($BM$9,DT39+2,0,1,1))*OFFSET($CH$9,DT39+2,0,1,1))+OFFSET($BO$9,DT39+2,CQ39,1,1),IF(F39&lt;OFFSET($BN$9,DT39+3,0,1,1),((F39-OFFSET($BM$9,DT39+3,0,1,1))*OFFSET($CH$9,DT39+3,0,1,1))+OFFSET($BO$9,DT39+3,CQ39,1,1),0))))))</f>
        <v>0</v>
      </c>
      <c r="DV39" s="51">
        <f ca="1">IF($F39&lt;OFFSET($BM$9,$DT39-1,0,1,1),0,IF($F39&lt;OFFSET($BN$9,$DT39-1,0,1,1),IF(AND($H39&gt;2.4,Z39&lt;&gt;"e",Z39&lt;&gt;"f"),DZ39*2.4/$H39,DZ39),IF($F39&lt;OFFSET($BN$9,$DT39+0,0,1,1),IF(AND($H39&gt;2.4,Z39&lt;&gt;"e",Z39&lt;&gt;"f"),DZ39*2.4/$H39,DZ39),IF($F39&lt;OFFSET($BN$9,$DT39+1,0,1,1),IF(AND($H39&gt;2.4,Z39&lt;&gt;"e",Z39&lt;&gt;"f"),DZ39*2.4/$H39,DZ39),IF($F39&lt;OFFSET($BN$9,$DT39+2,0,1,1),IF(AND($H39&gt;2.4,Z39&lt;&gt;"e",Z39&lt;&gt;"f"),DZ39*2.4/$H39,DZ39),IF($F39&lt;OFFSET($BN$9,$DT39+3,0,1,1),IF(AND($H39&gt;2.4,Z39&lt;&gt;"e",Z39&lt;&gt;"f"),DZ39*2.4/$H39,DZ39),0)))))*COS(RADIANS($G39)))</f>
        <v>0</v>
      </c>
      <c r="DW39" s="188">
        <f ca="1">IF(F39&lt;OFFSET($BM$9,DT39-1,0,1,1),0,IF(F39&lt;OFFSET($BN$9,DT39-1,0,1,1),((F39-OFFSET($BM$9,DT39-1,0,1,1))*OFFSET($CI$9,DT39-1,0,1,1))+OFFSET($BP$9,DT39-1,CQ39,1,1),IF(F39&lt;OFFSET($BN$9,DT39+0,0,1,1),((F39-OFFSET($BM$9,DT39+0,0,1,1))*OFFSET($CI$9,DT39+0,0,1,1))+OFFSET($BP$9,DT39+0,CQ39,1,1),IF(F39&lt;OFFSET($BN$9,DT39+1,0,1,1),((F39-OFFSET($BM$9,DT39+1,0,1,1))*OFFSET($CI$9,DT39+1,0,1,1))+OFFSET($BP$9,DT39+1,CQ39,1,1),IF(F39&lt;OFFSET($BN$9,DT39+2,0,1,1),((F39-OFFSET($BM$9,DT39+2,0,1,1))*OFFSET($CI$9,DT39+2,0,1,1))+OFFSET($BP$9,DT39+2,CQ39,1,1),IF(F39&lt;OFFSET($BN$9,DT39+3,0,1,1),((F39-OFFSET($BM$9,DT39+3,0,1,1))*OFFSET($CI$9,DT39+3,0,1,1))+OFFSET($BP$9,DT39+3,CQ39,1,1),0))))))</f>
        <v>0</v>
      </c>
      <c r="DX39" s="51">
        <f ca="1">IF($F39&lt;OFFSET($BM$9,$DT39-1,0,1,1),0,IF($F39&lt;OFFSET($BN$9,$DT39-1,0,1,1),IF(AND($H39&gt;2.4,Z39&lt;&gt;"e",Z39&lt;&gt;"f"),EB39*2.4/$H39,EB39),IF($F39&lt;OFFSET($BN$9,$DT39+0,0,1,1),IF(AND($H39&gt;2.4,Z39&lt;&gt;"e",Z39&lt;&gt;"f"),EB39*2.4/$H39,EB39),IF($F39&lt;OFFSET($BN$9,$DT39+1,0,1,1),IF(AND($H39&gt;2.4,Z39&lt;&gt;"e",Z39&lt;&gt;"f"),EB39*2.4/$H39,EB39),IF($F39&lt;OFFSET($BN$9,$DT39+2,0,1,1),IF(AND($H39&gt;2.4,Z39&lt;&gt;"e",Z39&lt;&gt;"f"),EB39*2.4/$H39,EB39),IF($F39&lt;OFFSET($BN$9,$DT39+3,0,1,1),IF(AND($H39&gt;2.4,Z39&lt;&gt;"e",Z39&lt;&gt;"f"),EB39*2.4/$H39,EB39),0)))))*COS(RADIANS($G39)))</f>
        <v>0</v>
      </c>
      <c r="DY39" s="188"/>
      <c r="DZ39" s="188">
        <f ca="1">IF(DU39&gt;$CR39,$CR39,DU39)</f>
        <v>0</v>
      </c>
      <c r="EA39" s="188"/>
      <c r="EB39" s="188">
        <f ca="1">IF(DW39&gt;$CR39,$CR39,DW39)</f>
        <v>0</v>
      </c>
      <c r="EC39" s="435">
        <f ca="1">IF(DV39&gt;$CR39,$CR39,DV39)</f>
        <v>0</v>
      </c>
      <c r="ED39" s="435">
        <f ca="1">EC39*F39</f>
        <v>0</v>
      </c>
      <c r="EE39" s="436">
        <f ca="1">IF(DX39&gt;$CR39,$CR39,DX39)</f>
        <v>0</v>
      </c>
      <c r="EF39" s="437">
        <f ca="1">EE39*F39</f>
        <v>0</v>
      </c>
      <c r="EG39" s="613" t="str">
        <f>IF(D39=BG$12,BG$12,"")</f>
        <v/>
      </c>
      <c r="EH39" s="614" t="str">
        <f>IF(D39=BG$13,BG$13,"")</f>
        <v/>
      </c>
      <c r="EI39" s="611">
        <f>IF(EG39=BG$12,M39,0)</f>
        <v>0</v>
      </c>
      <c r="EJ39" s="451">
        <f>IF(EG39=BG$12,O39,0)</f>
        <v>0</v>
      </c>
      <c r="EK39" s="451">
        <f>IF(EH39=BG$13,M39,0)</f>
        <v>0</v>
      </c>
      <c r="EL39" s="612">
        <f>IF(EH39=BG$13,O39,0)</f>
        <v>0</v>
      </c>
      <c r="EM39" s="426" t="str">
        <f ca="1">IF(AND(Z39&lt;&gt;"t",Z39&lt;&gt;"f"),"",IF(AND(EN39=$BH$13,K39=$BH$12),"NotOpt",IF(K39&lt;&gt;EN39,"Error","")))</f>
        <v/>
      </c>
      <c r="EN39" s="491" t="str">
        <f>IF(AND($BH$28=1,$BG$28=1),$BH$13,$BH$12)</f>
        <v>120 BU's</v>
      </c>
      <c r="EO39" s="426" t="str">
        <f>K39</f>
        <v xml:space="preserve"> </v>
      </c>
      <c r="EP39" s="497">
        <v>1</v>
      </c>
      <c r="EQ39" s="430" t="str">
        <f ca="1">IF(EP39=1," ",OFFSET(BF$15,EP39-2,0,1,1))</f>
        <v xml:space="preserve"> </v>
      </c>
      <c r="ER39" s="439" t="str">
        <f ca="1">IF(H39=0," ",H39)</f>
        <v xml:space="preserve"> </v>
      </c>
      <c r="ES39" s="440" t="str">
        <f ca="1">IF(ER39&lt;&gt;" ",IF(ER39&lt;&gt;ER$7,"Changed",""),"")</f>
        <v/>
      </c>
      <c r="ET39" s="440">
        <f t="shared" ca="1" si="15"/>
        <v>0</v>
      </c>
      <c r="EU39" s="957" t="str">
        <f ca="1">IF(I39=" "," ",IF(F39&lt;OFFSET($BM$9,CL39-1,0,1,1),1,""))</f>
        <v xml:space="preserve"> </v>
      </c>
      <c r="EW39" s="427"/>
      <c r="EX39"/>
    </row>
    <row r="40" spans="1:154" ht="17.100000000000001" customHeight="1" thickBot="1">
      <c r="B40" s="689" t="s">
        <v>246</v>
      </c>
      <c r="C40" s="684" t="str">
        <f>IF(OR(F40=0,I40="",I40=" ")," ",$V40)</f>
        <v xml:space="preserve"> </v>
      </c>
      <c r="D40" s="1033"/>
      <c r="E40" s="1360" t="s">
        <v>8</v>
      </c>
      <c r="F40" s="202"/>
      <c r="G40" s="1416"/>
      <c r="H40" s="199" t="str">
        <f ca="1">IF(OR(F40=0,Z40="E",Z40="f")," ",'Project Demand'!E$35)</f>
        <v xml:space="preserve"> </v>
      </c>
      <c r="I40" s="631" t="str">
        <f>IF($I$6&lt;&gt;$BG$8," ",AB40)</f>
        <v xml:space="preserve"> </v>
      </c>
      <c r="J40" s="44" t="str">
        <f ca="1">IF(OR(I40=" ",I40="")," ",OFFSET($BO$9,CL40-1,0-4,1,1))</f>
        <v xml:space="preserve"> </v>
      </c>
      <c r="K40" s="55" t="str">
        <f>IF(OR(I40=" ",I40="")," ",IF(OR(Z40="e",Z40="h"),"SD",BG$24))</f>
        <v xml:space="preserve"> </v>
      </c>
      <c r="L40" s="49">
        <f ca="1">CW40</f>
        <v>0</v>
      </c>
      <c r="M40" s="49">
        <f ca="1">CY40</f>
        <v>0</v>
      </c>
      <c r="N40" s="50">
        <f t="shared" ca="1" si="26"/>
        <v>0</v>
      </c>
      <c r="O40" s="126">
        <f t="shared" ca="1" si="26"/>
        <v>0</v>
      </c>
      <c r="P40" s="140"/>
      <c r="Q40" s="752" t="str">
        <f ca="1">IF(AND(OR(Z40="t",Z40="f"),K40=$BH$11),"No Floor!  Change Floor Type",IF(OR(I40=" ",I40="")," ",IF(F40&lt;OFFSET($BM$9,CL40-1,0,1,1),"check L(m)",DE40&amp;IF(AND(DP40&gt;=CY40,DR40&gt;=DB40),IF(AND(ED40&gt;=DP40,EF40&gt;=DR40),CONCATENATE(DS40," will provide same result"),CONCATENATE(CO40," will provide same result")),IF((DP40&gt;=CY40),CONCATENATE(CO40," provides same result in WIND"),IF((DR40&gt;=DB40),CONCATENATE(CO40," provides same result in EQ"),""))))))&amp;IF(ISERROR(FIND("pile",I40,1)),"",IF(INT(F40)&lt;&gt;F40,"Pile!  Use Whole Numbers Only",""))</f>
        <v xml:space="preserve"> </v>
      </c>
      <c r="R40" s="52"/>
      <c r="S40" s="1372"/>
      <c r="T40" s="1372"/>
      <c r="U40" s="1377"/>
      <c r="V40" s="52" t="str">
        <f ca="1">IF(AND(B$5=$BF$9,OR(I40=BH$16,I40=BH$17))," ",IF(ISNUMBER(B$38),(CONCATENATE(B$38,".",W40)),(CONCATENATE(B$38,W40))))</f>
        <v>R0</v>
      </c>
      <c r="W40" s="9">
        <f ca="1">W39+X40</f>
        <v>0</v>
      </c>
      <c r="X40" s="9">
        <f>IF(AND(B$5=$BF$9,OR($I40=$BH$16,$I40=$BH$17,$I40=" ",$I40="",$F40=0)),0,IF(OR($I40=" ",$I40="",$F40=0),0,1))</f>
        <v>0</v>
      </c>
      <c r="Y40" s="896"/>
      <c r="Z40" s="52" t="str">
        <f ca="1">IF(I40=" "," ",OFFSET($BM$9,$CL40-1,8,1,1))</f>
        <v xml:space="preserve"> </v>
      </c>
      <c r="AA40" s="51" t="str">
        <f>IF(G40&gt;=45,"WA","")</f>
        <v/>
      </c>
      <c r="AB40" s="1364" t="str">
        <f>IF(F40&lt;&gt;"",IF(OR(D40=$BG$12,D40=$BG$13),IF(E40&lt;&gt;$BG$17,$BF$12,$BF$13),IF(E40&lt;&gt;$BG$17,$BF$12,$BF$13))," ")</f>
        <v xml:space="preserve"> </v>
      </c>
      <c r="AC40" s="1"/>
      <c r="AJ40" s="2230"/>
      <c r="AK40" s="2797"/>
      <c r="AL40" s="2784"/>
      <c r="AM40" s="11">
        <f>'Regular and QuickBrace Systems'!F58</f>
        <v>0.8</v>
      </c>
      <c r="AN40" s="1336">
        <f>'Regular and QuickBrace Systems'!G58</f>
        <v>148</v>
      </c>
      <c r="AO40" s="26">
        <f>'Regular and QuickBrace Systems'!H58</f>
        <v>150</v>
      </c>
      <c r="AP40" s="1595"/>
      <c r="AQ40" s="2663"/>
      <c r="AR40" s="2664"/>
      <c r="AS40" s="2827"/>
      <c r="AT40" s="1340"/>
      <c r="AU40" s="2123"/>
      <c r="AW40" s="1569" t="str">
        <f>'Regular and QuickBrace Systems'!O58</f>
        <v>Yes</v>
      </c>
      <c r="AX40" s="442" t="str">
        <f>'Regular and QuickBrace Systems'!Q58</f>
        <v>Yes</v>
      </c>
      <c r="BD40" s="641"/>
      <c r="BF40" s="599" t="str">
        <f>'Custom Elements'!C24</f>
        <v>Custom16</v>
      </c>
      <c r="BG40" s="430" t="s">
        <v>776</v>
      </c>
      <c r="BI40" s="759"/>
      <c r="BJ40" s="897">
        <f t="shared" si="4"/>
        <v>32</v>
      </c>
      <c r="CJ40" s="759"/>
      <c r="CK40" s="188"/>
      <c r="CL40" s="979">
        <f>VLOOKUP(I40,Prodlink,2,0)</f>
        <v>0</v>
      </c>
      <c r="CN40" s="497">
        <f ca="1">VLOOKUP(CO40,Prodlink,2,0)</f>
        <v>0</v>
      </c>
      <c r="CO40" s="497">
        <f ca="1">OFFSET($CH$9,CL40-1,-15,1,1)</f>
        <v>0</v>
      </c>
      <c r="CQ40" s="51">
        <v>0</v>
      </c>
      <c r="CR40" s="51">
        <f>IF(K40=$BH$12,$BH$23,IF(K40=$BH$13,$BH$24,10000))</f>
        <v>10000</v>
      </c>
      <c r="CS40" s="51">
        <f ca="1">IF(F40&lt;OFFSET($BM$9,CL40-1,0,1,1),0,IF(F40&lt;OFFSET($BN$9,CL40-1,0,1,1),((F40-OFFSET($BM$9,CL40-1,0,1,1))*OFFSET($CH$9,CL40-1,0,1,1))+OFFSET($BO$9,CL40-1,CQ40,1,1),IF(F40&lt;OFFSET($BN$9,CL40+0,0,1,1),((F40-OFFSET($BM$9,CL40+0,0,1,1))*OFFSET($CH$9,CL40+0,0,1,1))+OFFSET($BO$9,CL40+0,CQ40,1,1),IF(F40&lt;OFFSET($BN$9,CL40+1,0,1,1),((F40-OFFSET($BM$9,CL40+1,0,1,1))*OFFSET($CH$9,CL40+1,0,1,1))+OFFSET($BO$9,CL40+1,CQ40,1,1),IF(F40&lt;OFFSET($BN$9,CL40+2,0,1,1),((F40-OFFSET($BM$9,CL40+2,0,1,1))*OFFSET($CH$9,CL40+2,0,1,1))+OFFSET($BO$9,CL40+2,CQ40,1,1),IF(F40&lt;OFFSET($BN$9,CL40+3,0,1,1),((F40-OFFSET($BM$9,CL40+3,0,1,1))*OFFSET($CH$9,CL40+3,0,1,1))+OFFSET($BO$9,CL40+3,CQ40,1,1),0))))))</f>
        <v>0</v>
      </c>
      <c r="CT40" s="51">
        <f ca="1">IF($F40&lt;OFFSET($BM$9,$CL40-1,0,1,1),0,IF($F40&lt;OFFSET($BN$9,$CL40-1,0,1,1),IF(AND($H40&gt;2.4,Z40&lt;&gt;"e",Z40&lt;&gt;"f"),CX40*2.4/$H40,CX40),IF($F40&lt;OFFSET($BN$9,$CL40+0,0,1,1),IF(AND($H40&gt;2.4,Z40&lt;&gt;"e",Z40&lt;&gt;"f"),CX40*2.4/$H40,CX40),IF($F40&lt;OFFSET($BN$9,$CL40+1,0,1,1),IF(AND($H40&gt;2.4,Z40&lt;&gt;"e",Z40&lt;&gt;"f"),CX40*2.4/$H40,CX40),IF($F40&lt;OFFSET($BN$9,CL40+2,0,1,1),IF(AND($H40&gt;2.4,Z40&lt;&gt;"e",Z40&lt;&gt;"f"),CX40*2.4/$H40,CX40),IF($F40&lt;OFFSET($BN$9,CL40+3,0,1,1),IF(AND($H40&gt;2.4,Z40&lt;&gt;"e",Z40&lt;&gt;"f"),CX40*2.4/$H40,CX40),0)))))*COS(RADIANS($G40)))</f>
        <v>0</v>
      </c>
      <c r="CU40" s="51">
        <f ca="1">IF(F40&lt;OFFSET($BM$9,CL40-1,0,1,1),0,IF(F40&lt;OFFSET($BN$9,CL40-1,0,1,1),((F40-OFFSET($BM$9,CL40-1,0,1,1))*OFFSET($CI$9,CL40-1,0,1,1))+OFFSET($BP$9,CL40-1,CQ40,1,1),IF(F40&lt;OFFSET($BN$9,CL40+0,0,1,1),((F40-OFFSET($BM$9,CL40+0,0,1,1))*OFFSET($CI$9,CL40+0,0,1,1))+OFFSET($BP$9,CL40+0,CQ40,1,1),IF(F40&lt;OFFSET($BN$9,CL40+1,0,1,1),((F40-OFFSET($BM$9,CL40+1,0,1,1))*OFFSET($CI$9,CL40+1,0,1,1))+OFFSET($BP$9,CL40+1,CQ40,1,1),IF(F40&lt;OFFSET($BN$9,CL40+2,0,1,1),((F40-OFFSET($BM$9,CL40+2,0,1,1))*OFFSET($CI$9,CL40+2,0,1,1))+OFFSET($BP$9,CL40+2,CQ40,1,1),IF(F40&lt;OFFSET($BN$9,CL40+3,0,1,1),((F40-OFFSET($BM$9,CL40+3,0,1,1))*OFFSET($CI$9,CL40+3,0,1,1))+OFFSET($BP$9,CL40+3,CQ40,1,1),0))))))</f>
        <v>0</v>
      </c>
      <c r="CV40" s="51">
        <f ca="1">IF($F40&lt;OFFSET($BM$9,$CL40-1,0,1,1),0,IF($F40&lt;OFFSET($BN$9,$CL40-1,0,1,1),IF(AND($H40&gt;2.4,Z40&lt;&gt;"e",Z40&lt;&gt;"f"),CZ40*2.4/$H40,CZ40),IF($F40&lt;OFFSET($BN$9,$CL40+0,0,1,1),IF(AND($H40&gt;2.4,Z40&lt;&gt;"e",Z40&lt;&gt;"f"),CZ40*2.4/$H40,CZ40),IF($F40&lt;OFFSET($BN$9,$CL40+1,0,1,1),IF(AND($H40&gt;2.4,Z40&lt;&gt;"e",Z40&lt;&gt;"f"),CZ40*2.4/$H40,CZ40),IF($F40&lt;OFFSET($BN$9,$CL40+2,0,1,1),IF(AND($H40&gt;2.4,Z40&lt;&gt;"e",Z40&lt;&gt;"f"),CZ40*2.4/$H40,CZ40),IF($F40&lt;OFFSET($BN$9,$CL40+3,0,1,1),IF(AND($H40&gt;2.4,Z40&lt;&gt;"e",Z40&lt;&gt;"f"),CZ40*2.4/$H40,CZ40),0)))))*COS(RADIANS($G40)))</f>
        <v>0</v>
      </c>
      <c r="CW40" s="51">
        <f ca="1">IF(CT40&gt;CR40,CR40,CT40)</f>
        <v>0</v>
      </c>
      <c r="CX40" s="51">
        <f ca="1">IF(CS40&gt;$CR40,$CR40,CS40)</f>
        <v>0</v>
      </c>
      <c r="CY40" s="51">
        <f ca="1">CW40*F40</f>
        <v>0</v>
      </c>
      <c r="CZ40" s="51">
        <f ca="1">IF($CU40&gt;$CR40,$CR40,$CU40)</f>
        <v>0</v>
      </c>
      <c r="DA40" s="51">
        <f ca="1">IF(CV40&gt;CR40,CR40,CV40)</f>
        <v>0</v>
      </c>
      <c r="DB40" s="51">
        <f ca="1">DA40*F40</f>
        <v>0</v>
      </c>
      <c r="DC40" s="993">
        <v>1</v>
      </c>
      <c r="DD40" s="758" t="str">
        <f>IF(OR(D40=BG$12,D40=BG$13),"External",IF(D40=BG$14,"Internal"," "))</f>
        <v xml:space="preserve"> </v>
      </c>
      <c r="DE40" s="51" t="str">
        <f t="shared" ca="1" si="2"/>
        <v/>
      </c>
      <c r="DF40" s="52" t="str">
        <f t="shared" ca="1" si="3"/>
        <v xml:space="preserve"> </v>
      </c>
      <c r="DG40" s="51">
        <f ca="1">IF(F40&lt;OFFSET($BM$9,CN40-1,0,1,1),0,IF(F40&lt;OFFSET($BN$9,CN40-1,0,1,1),((F40-OFFSET($BM$9,CN40-1,0,1,1))*OFFSET($CH$9,CN40-1,0,1,1))+OFFSET($BO$9,CN40-1,CQ40,1,1),IF(F40&lt;OFFSET($BN$9,CN40+0,0,1,1),((F40-OFFSET($BM$9,CN40+0,0,1,1))*OFFSET($CH$9,CN40+0,0,1,1))+OFFSET($BO$9,CN40+0,CQ40,1,1),IF(F40&lt;OFFSET($BN$9,CN40+1,0,1,1),((F40-OFFSET($BM$9,CN40+1,0,1,1))*OFFSET($CH$9,CN40+1,0,1,1))+OFFSET($BO$9,CN40+1,CQ40,1,1),IF(F40&lt;OFFSET($BN$9,CN40+2,0,1,1),((F40-OFFSET($BM$9,CN40+2,0,1,1))*OFFSET($CH$9,CN40+2,0,1,1))+OFFSET($BO$9,CN40+2,CQ40,1,1),IF(F40&lt;OFFSET($BN$9,CN40+3,0,1,1),((F40-OFFSET($BM$9,CN40+3,0,1,1))*OFFSET($CH$9,CN40+3,0,1,1))+OFFSET($BO$9,CN40+3,CQ40,1,1),0))))))</f>
        <v>0</v>
      </c>
      <c r="DH40" s="51">
        <f ca="1">IF($F40&lt;OFFSET($BM$9,$CN40-1,0,1,1),0,IF($F40&lt;OFFSET($BN$9,$CN40-1,0,1,1),IF(AND($H40&gt;2.4,Z40&lt;&gt;"e",Z40&lt;&gt;"f"),DL40*2.4/$H40,DL40),IF($F40&lt;OFFSET($BN$9,$CN40+0,0,1,1),IF(AND($H40&gt;2.4,Z40&lt;&gt;"e",Z40&lt;&gt;"f"),DL40*2.4/$H40,DL40),IF($F40&lt;OFFSET($BN$9,$CN40+1,0,1,1),IF(AND($H40&gt;2.4,Z40&lt;&gt;"e",Z40&lt;&gt;"f"),DL40*2.4/$H40,DL40),IF($F40&lt;OFFSET($BN$9,$CN40+2,0,1,1),IF(AND($H40&gt;2.4,Z40&lt;&gt;"e",Z40&lt;&gt;"f"),DL40*2.4/$H40,DL40),IF($F40&lt;OFFSET($BN$9,$CN40+3,0,1,1),IF(AND($H40&gt;2.4,Z40&lt;&gt;"e",Z40&lt;&gt;"f"),DL40*2.4/$H40,DL40),0)))))*COS(RADIANS($G40)))</f>
        <v>0</v>
      </c>
      <c r="DI40" s="51">
        <f ca="1">IF(F40&lt;OFFSET($BM$9,CN40-1,0,1,1),0,IF(F40&lt;OFFSET($BN$9,CN40-1,0,1,1),((F40-OFFSET($BM$9,CN40-1,0,1,1))*OFFSET($CI$9,CN40-1,0,1,1))+OFFSET($BP$9,CN40-1,CQ40,1,1),IF(F40&lt;OFFSET($BN$9,CN40+0,0,1,1),((F40-OFFSET($BM$9,CN40+0,0,1,1))*OFFSET($CI$9,CN40+0,0,1,1))+OFFSET($BP$9,CN40+0,CQ40,1,1),IF(F40&lt;OFFSET($BN$9,CN40+1,0,1,1),((F40-OFFSET($BM$9,CN40+1,0,1,1))*OFFSET($CI$9,CN40+1,0,1,1))+OFFSET($BP$9,CN40+1,CQ40,1,1),IF(F40&lt;OFFSET($BN$9,CN40+2,0,1,1),((F40-OFFSET($BM$9,CN40+2,0,1,1))*OFFSET($CI$9,CN40+2,0,1,1))+OFFSET($BP$9,CN40+2,CQ40,1,1),IF(F40&lt;OFFSET($BN$9,CN40+3,0,1,1),((F40-OFFSET($BM$9,CN40+3,0,1,1))*OFFSET($CI$9,CN40+3,0,1,1))+OFFSET($BP$9,CN40+3,CQ40,1,1),0))))))</f>
        <v>0</v>
      </c>
      <c r="DJ40" s="51">
        <f ca="1">IF($F40&lt;OFFSET($BM$9,$CN40-1,0,1,1),0,IF($F40&lt;OFFSET($BN$9,$CN40-1,0,1,1),IF(AND($H40&gt;2.4,Z40&lt;&gt;"e",Z40&lt;&gt;"f"),DN40*2.4/$H40,DN40),IF($F40&lt;OFFSET($BN$9,$CN40+0,0,1,1),IF(AND($H40&gt;2.4,Z40&lt;&gt;"e",Z40&lt;&gt;"f"),DN40*2.4/$H40,DN40),IF($F40&lt;OFFSET($BN$9,$CN40+1,0,1,1),IF(AND($H40&gt;2.4,Z40&lt;&gt;"e",Z40&lt;&gt;"f"),DN40*2.4/$H40,DN40),IF($F40&lt;OFFSET($BN$9,$CN40+2,0,1,1),IF(AND($H40&gt;2.4,Z40&lt;&gt;"e",Z40&lt;&gt;"f"),DN40*2.4/$H40,DN40),IF($F40&lt;OFFSET($BN$9,$CN40+3,0,1,1),IF(AND($H40&gt;2.4,Z40&lt;&gt;"e",Z40&lt;&gt;"f"),DN40*2.4/$H40,DN40),0)))))*COS(RADIANS($G40)))</f>
        <v>0</v>
      </c>
      <c r="DK40" s="51"/>
      <c r="DL40" s="51">
        <f ca="1">IF(DG40&gt;$CR40,$CR40,DG40)</f>
        <v>0</v>
      </c>
      <c r="DM40" s="51"/>
      <c r="DN40" s="51">
        <f ca="1">IF(DI40&gt;$CR40,$CR40,DI40)</f>
        <v>0</v>
      </c>
      <c r="DO40" s="435">
        <f ca="1">IF(DH40&gt;$CR40,$CR40,DH40)</f>
        <v>0</v>
      </c>
      <c r="DP40" s="435">
        <f ca="1">DO40*F40</f>
        <v>0</v>
      </c>
      <c r="DQ40" s="436">
        <f ca="1">IF(DJ40&gt;$CR40,$CR40,DJ40)</f>
        <v>0</v>
      </c>
      <c r="DR40" s="437">
        <f ca="1">DQ40*F40</f>
        <v>0</v>
      </c>
      <c r="DS40" s="426">
        <f ca="1">OFFSET($CH$9,CL40-1,-15,1,1)</f>
        <v>0</v>
      </c>
      <c r="DT40" s="451">
        <f t="shared" ref="DT40:DT66" ca="1" si="27">VLOOKUP(DS40,Prodlink,2,0)</f>
        <v>0</v>
      </c>
      <c r="DU40" s="188">
        <f ca="1">IF(F40&lt;OFFSET($BM$9,DT40-1,0,1,1),0,IF(F40&lt;OFFSET($BN$9,DT40-1,0,1,1),((F40-OFFSET($BM$9,DT40-1,0,1,1))*OFFSET($CH$9,DT40-1,0,1,1))+OFFSET($BO$9,DT40-1,CQ40,1,1),IF(F40&lt;OFFSET($BN$9,DT40+0,0,1,1),((F40-OFFSET($BM$9,DT40+0,0,1,1))*OFFSET($CH$9,DT40+0,0,1,1))+OFFSET($BO$9,DT40+0,CQ40,1,1),IF(F40&lt;OFFSET($BN$9,DT40+1,0,1,1),((F40-OFFSET($BM$9,DT40+1,0,1,1))*OFFSET($CH$9,DT40+1,0,1,1))+OFFSET($BO$9,DT40+1,CQ40,1,1),IF(F40&lt;OFFSET($BN$9,DT40+2,0,1,1),((F40-OFFSET($BM$9,DT40+2,0,1,1))*OFFSET($CH$9,DT40+2,0,1,1))+OFFSET($BO$9,DT40+2,CQ40,1,1),IF(F40&lt;OFFSET($BN$9,DT40+3,0,1,1),((F40-OFFSET($BM$9,DT40+3,0,1,1))*OFFSET($CH$9,DT40+3,0,1,1))+OFFSET($BO$9,DT40+3,CQ40,1,1),0))))))</f>
        <v>0</v>
      </c>
      <c r="DV40" s="51">
        <f ca="1">IF($F40&lt;OFFSET($BM$9,$DT40-1,0,1,1),0,IF($F40&lt;OFFSET($BN$9,$DT40-1,0,1,1),IF(AND($H40&gt;2.4,Z40&lt;&gt;"e",Z40&lt;&gt;"f"),DZ40*2.4/$H40,DZ40),IF($F40&lt;OFFSET($BN$9,$DT40+0,0,1,1),IF(AND($H40&gt;2.4,Z40&lt;&gt;"e",Z40&lt;&gt;"f"),DZ40*2.4/$H40,DZ40),IF($F40&lt;OFFSET($BN$9,$DT40+1,0,1,1),IF(AND($H40&gt;2.4,Z40&lt;&gt;"e",Z40&lt;&gt;"f"),DZ40*2.4/$H40,DZ40),IF($F40&lt;OFFSET($BN$9,$DT40+2,0,1,1),IF(AND($H40&gt;2.4,Z40&lt;&gt;"e",Z40&lt;&gt;"f"),DZ40*2.4/$H40,DZ40),IF($F40&lt;OFFSET($BN$9,$DT40+3,0,1,1),IF(AND($H40&gt;2.4,Z40&lt;&gt;"e",Z40&lt;&gt;"f"),DZ40*2.4/$H40,DZ40),0)))))*COS(RADIANS($G40)))</f>
        <v>0</v>
      </c>
      <c r="DW40" s="188">
        <f ca="1">IF(F40&lt;OFFSET($BM$9,DT40-1,0,1,1),0,IF(F40&lt;OFFSET($BN$9,DT40-1,0,1,1),((F40-OFFSET($BM$9,DT40-1,0,1,1))*OFFSET($CI$9,DT40-1,0,1,1))+OFFSET($BP$9,DT40-1,CQ40,1,1),IF(F40&lt;OFFSET($BN$9,DT40+0,0,1,1),((F40-OFFSET($BM$9,DT40+0,0,1,1))*OFFSET($CI$9,DT40+0,0,1,1))+OFFSET($BP$9,DT40+0,CQ40,1,1),IF(F40&lt;OFFSET($BN$9,DT40+1,0,1,1),((F40-OFFSET($BM$9,DT40+1,0,1,1))*OFFSET($CI$9,DT40+1,0,1,1))+OFFSET($BP$9,DT40+1,CQ40,1,1),IF(F40&lt;OFFSET($BN$9,DT40+2,0,1,1),((F40-OFFSET($BM$9,DT40+2,0,1,1))*OFFSET($CI$9,DT40+2,0,1,1))+OFFSET($BP$9,DT40+2,CQ40,1,1),IF(F40&lt;OFFSET($BN$9,DT40+3,0,1,1),((F40-OFFSET($BM$9,DT40+3,0,1,1))*OFFSET($CI$9,DT40+3,0,1,1))+OFFSET($BP$9,DT40+3,CQ40,1,1),0))))))</f>
        <v>0</v>
      </c>
      <c r="DX40" s="51">
        <f ca="1">IF($F40&lt;OFFSET($BM$9,$DT40-1,0,1,1),0,IF($F40&lt;OFFSET($BN$9,$DT40-1,0,1,1),IF(AND($H40&gt;2.4,Z40&lt;&gt;"e",Z40&lt;&gt;"f"),EB40*2.4/$H40,EB40),IF($F40&lt;OFFSET($BN$9,$DT40+0,0,1,1),IF(AND($H40&gt;2.4,Z40&lt;&gt;"e",Z40&lt;&gt;"f"),EB40*2.4/$H40,EB40),IF($F40&lt;OFFSET($BN$9,$DT40+1,0,1,1),IF(AND($H40&gt;2.4,Z40&lt;&gt;"e",Z40&lt;&gt;"f"),EB40*2.4/$H40,EB40),IF($F40&lt;OFFSET($BN$9,$DT40+2,0,1,1),IF(AND($H40&gt;2.4,Z40&lt;&gt;"e",Z40&lt;&gt;"f"),EB40*2.4/$H40,EB40),IF($F40&lt;OFFSET($BN$9,$DT40+3,0,1,1),IF(AND($H40&gt;2.4,Z40&lt;&gt;"e",Z40&lt;&gt;"f"),EB40*2.4/$H40,EB40),0)))))*COS(RADIANS($G40)))</f>
        <v>0</v>
      </c>
      <c r="DY40" s="188"/>
      <c r="DZ40" s="188">
        <f ca="1">IF(DU40&gt;$CR40,$CR40,DU40)</f>
        <v>0</v>
      </c>
      <c r="EA40" s="188"/>
      <c r="EB40" s="188">
        <f ca="1">IF(DW40&gt;$CR40,$CR40,DW40)</f>
        <v>0</v>
      </c>
      <c r="EC40" s="435">
        <f ca="1">IF(DV40&gt;$CR40,$CR40,DV40)</f>
        <v>0</v>
      </c>
      <c r="ED40" s="435">
        <f ca="1">EC40*F40</f>
        <v>0</v>
      </c>
      <c r="EE40" s="436">
        <f ca="1">IF(DX40&gt;$CR40,$CR40,DX40)</f>
        <v>0</v>
      </c>
      <c r="EF40" s="437">
        <f ca="1">EE40*F40</f>
        <v>0</v>
      </c>
      <c r="EG40" s="613" t="str">
        <f>IF(D40=BG$12,BG$12,"")</f>
        <v/>
      </c>
      <c r="EH40" s="614" t="str">
        <f>IF(D40=BG$13,BG$13,"")</f>
        <v/>
      </c>
      <c r="EI40" s="611">
        <f>IF(EG40=BG$12,M40,0)</f>
        <v>0</v>
      </c>
      <c r="EJ40" s="451">
        <f>IF(EG40=BG$12,O40,0)</f>
        <v>0</v>
      </c>
      <c r="EK40" s="451">
        <f>IF(EH40=BG$13,M40,0)</f>
        <v>0</v>
      </c>
      <c r="EL40" s="612">
        <f>IF(EH40=BG$13,O40,0)</f>
        <v>0</v>
      </c>
      <c r="EM40" s="426" t="str">
        <f ca="1">IF(AND(Z40&lt;&gt;"t",Z40&lt;&gt;"f"),"",IF(AND(EN40=$BH$13,K40=$BH$12),"NotOpt",IF(K40&lt;&gt;EN40,"Error","")))</f>
        <v/>
      </c>
      <c r="EN40" s="491" t="str">
        <f>IF(AND($BH$28=1,$BG$28=1),$BH$13,$BH$12)</f>
        <v>120 BU's</v>
      </c>
      <c r="EO40" s="426" t="str">
        <f>K40</f>
        <v xml:space="preserve"> </v>
      </c>
      <c r="EP40" s="497">
        <v>1</v>
      </c>
      <c r="EQ40" s="430" t="str">
        <f ca="1">IF(EP40=1," ",OFFSET(BF$15,EP40-2,0,1,1))</f>
        <v xml:space="preserve"> </v>
      </c>
      <c r="ER40" s="439" t="str">
        <f ca="1">IF(H40=0," ",H40)</f>
        <v xml:space="preserve"> </v>
      </c>
      <c r="ES40" s="440" t="str">
        <f ca="1">IF(ER40&lt;&gt;" ",IF(ER40&lt;&gt;ER$7,"Changed",""),"")</f>
        <v/>
      </c>
      <c r="ET40" s="440">
        <f t="shared" ca="1" si="15"/>
        <v>0</v>
      </c>
      <c r="EU40" s="957" t="str">
        <f ca="1">IF(I40=" "," ",IF(F40&lt;OFFSET($BM$9,CL40-1,0,1,1),1,""))</f>
        <v xml:space="preserve"> </v>
      </c>
      <c r="EW40" s="427"/>
      <c r="EX40"/>
    </row>
    <row r="41" spans="1:154" ht="17.100000000000001" customHeight="1" thickBot="1">
      <c r="B41" s="689" t="s">
        <v>246</v>
      </c>
      <c r="C41" s="684" t="str">
        <f>IF(OR(F41=0,I41="",I41=" ")," ",$V41)</f>
        <v xml:space="preserve"> </v>
      </c>
      <c r="D41" s="1033"/>
      <c r="E41" s="1360" t="s">
        <v>8</v>
      </c>
      <c r="F41" s="202"/>
      <c r="G41" s="1416"/>
      <c r="H41" s="199" t="str">
        <f ca="1">IF(OR(F41=0,Z41="E",Z41="f")," ",'Project Demand'!E$35)</f>
        <v xml:space="preserve"> </v>
      </c>
      <c r="I41" s="631" t="str">
        <f>IF($I$6&lt;&gt;$BG$8," ",AB41)</f>
        <v xml:space="preserve"> </v>
      </c>
      <c r="J41" s="44" t="str">
        <f ca="1">IF(OR(I41=" ",I41="")," ",OFFSET($BO$9,CL41-1,0-4,1,1))</f>
        <v xml:space="preserve"> </v>
      </c>
      <c r="K41" s="55" t="str">
        <f>IF(OR(I41=" ",I41="")," ",IF(OR(Z41="e",Z41="h"),"SD",BG$24))</f>
        <v xml:space="preserve"> </v>
      </c>
      <c r="L41" s="49">
        <f ca="1">CW41</f>
        <v>0</v>
      </c>
      <c r="M41" s="49">
        <f ca="1">CY41</f>
        <v>0</v>
      </c>
      <c r="N41" s="50">
        <f t="shared" ca="1" si="26"/>
        <v>0</v>
      </c>
      <c r="O41" s="126">
        <f t="shared" ca="1" si="26"/>
        <v>0</v>
      </c>
      <c r="P41" s="140"/>
      <c r="Q41" s="752" t="str">
        <f ca="1">IF(AND(OR(Z41="t",Z41="f"),K41=$BH$11),"No Floor!  Change Floor Type",IF(OR(I41=" ",I41="")," ",IF(F41&lt;OFFSET($BM$9,CL41-1,0,1,1),"check L(m)",DE41&amp;IF(AND(DP41&gt;=CY41,DR41&gt;=DB41),IF(AND(ED41&gt;=DP41,EF41&gt;=DR41),CONCATENATE(DS41," will provide same result"),CONCATENATE(CO41," will provide same result")),IF((DP41&gt;=CY41),CONCATENATE(CO41," provides same result in WIND"),IF((DR41&gt;=DB41),CONCATENATE(CO41," provides same result in EQ"),""))))))&amp;IF(ISERROR(FIND("pile",I41,1)),"",IF(INT(F41)&lt;&gt;F41,"Pile!  Use Whole Numbers Only",""))</f>
        <v xml:space="preserve"> </v>
      </c>
      <c r="R41" s="52"/>
      <c r="S41" s="1372"/>
      <c r="T41" s="1372"/>
      <c r="U41" s="1377"/>
      <c r="V41" s="52" t="str">
        <f ca="1">IF(AND(B$5=$BF$9,OR(I41=BH$16,I41=BH$17))," ",IF(ISNUMBER(B$38),(CONCATENATE(B$38,".",W41)),(CONCATENATE(B$38,W41))))</f>
        <v>R0</v>
      </c>
      <c r="W41" s="9">
        <f ca="1">W40+X41</f>
        <v>0</v>
      </c>
      <c r="X41" s="9">
        <f>IF(AND(B$5=$BF$9,OR($I41=$BH$16,$I41=$BH$17,$I41=" ",$I41="",$F41=0)),0,IF(OR($I41=" ",$I41="",$F41=0),0,1))</f>
        <v>0</v>
      </c>
      <c r="Y41" s="896"/>
      <c r="Z41" s="52" t="str">
        <f ca="1">IF(I41=" "," ",OFFSET($BM$9,$CL41-1,8,1,1))</f>
        <v xml:space="preserve"> </v>
      </c>
      <c r="AA41" s="51" t="str">
        <f>IF(G41&gt;=45,"WA","")</f>
        <v/>
      </c>
      <c r="AB41" s="1364" t="str">
        <f>IF(F41&lt;&gt;"",IF(OR(D41=$BG$12,D41=$BG$13),IF(E41&lt;&gt;$BG$17,$BF$12,$BF$13),IF(E41&lt;&gt;$BG$17,$BF$12,$BF$13))," ")</f>
        <v xml:space="preserve"> </v>
      </c>
      <c r="AC41" s="1"/>
      <c r="AJ41" s="2231"/>
      <c r="AK41" s="2798"/>
      <c r="AL41" s="2829"/>
      <c r="AM41" s="117">
        <f>'Regular and QuickBrace Systems'!F59</f>
        <v>1.2</v>
      </c>
      <c r="AN41" s="1280">
        <f>'Regular and QuickBrace Systems'!G59</f>
        <v>150</v>
      </c>
      <c r="AO41" s="61">
        <f>'Regular and QuickBrace Systems'!H59</f>
        <v>150</v>
      </c>
      <c r="AP41" s="1596"/>
      <c r="AQ41" s="2801"/>
      <c r="AR41" s="2802"/>
      <c r="AS41" s="2830"/>
      <c r="AT41" s="1341"/>
      <c r="AU41" s="2204"/>
      <c r="AW41" s="1590" t="str">
        <f>'Regular and QuickBrace Systems'!O59</f>
        <v>Yes</v>
      </c>
      <c r="AX41" s="443" t="str">
        <f>'Regular and QuickBrace Systems'!Q59</f>
        <v>Yes</v>
      </c>
      <c r="BD41" s="641"/>
      <c r="BF41" s="599" t="str">
        <f>'Custom Elements'!C25</f>
        <v>Custom17</v>
      </c>
      <c r="BI41" s="759"/>
      <c r="BJ41" s="897">
        <f t="shared" ref="BJ41:BJ81" si="28">BJ40+1</f>
        <v>33</v>
      </c>
      <c r="BK41" s="1222" t="str">
        <f>BK50</f>
        <v xml:space="preserve">EPB </v>
      </c>
      <c r="BL41" s="1181" t="str">
        <f>Table!I4</f>
        <v>ER1</v>
      </c>
      <c r="BM41" s="454">
        <f>Table!J4</f>
        <v>0.4</v>
      </c>
      <c r="BN41" s="454">
        <f>BM42</f>
        <v>1</v>
      </c>
      <c r="BO41" s="454">
        <f>Table!K4</f>
        <v>40</v>
      </c>
      <c r="BP41" s="924">
        <f>Table!L4</f>
        <v>30</v>
      </c>
      <c r="BQ41" s="920"/>
      <c r="BR41" s="768" t="str">
        <f>Table!M4</f>
        <v xml:space="preserve"> </v>
      </c>
      <c r="BS41" s="454" t="str">
        <f>Table!M5</f>
        <v xml:space="preserve"> </v>
      </c>
      <c r="BT41" s="454" t="str">
        <f>Table!N4</f>
        <v>B</v>
      </c>
      <c r="BU41" s="924" t="s">
        <v>242</v>
      </c>
      <c r="BV41" s="1230" t="str">
        <f>Table!AI72</f>
        <v>ER1</v>
      </c>
      <c r="BW41" s="1229">
        <f>BJ41</f>
        <v>33</v>
      </c>
      <c r="BX41" s="924" t="str">
        <f>Table!N5</f>
        <v>Single</v>
      </c>
      <c r="CH41" s="768">
        <f>IF(BN41=999,0,(BO42-BO41)/(BN41-BM41))</f>
        <v>0</v>
      </c>
      <c r="CI41" s="924">
        <f>IF(BN41=999,0,(BP42-BP41)/(BN41-BM41))</f>
        <v>0</v>
      </c>
      <c r="CJ41" s="759"/>
      <c r="CK41" s="188"/>
      <c r="CL41" s="979">
        <f>VLOOKUP(I41,Prodlink,2,0)</f>
        <v>0</v>
      </c>
      <c r="CN41" s="497">
        <f ca="1">VLOOKUP(CO41,Prodlink,2,0)</f>
        <v>0</v>
      </c>
      <c r="CO41" s="497">
        <f ca="1">OFFSET($CH$9,CL41-1,-15,1,1)</f>
        <v>0</v>
      </c>
      <c r="CQ41" s="51">
        <v>0</v>
      </c>
      <c r="CR41" s="51">
        <f>IF(K41=$BH$12,$BH$23,IF(K41=$BH$13,$BH$24,10000))</f>
        <v>10000</v>
      </c>
      <c r="CS41" s="51">
        <f ca="1">IF(F41&lt;OFFSET($BM$9,CL41-1,0,1,1),0,IF(F41&lt;OFFSET($BN$9,CL41-1,0,1,1),((F41-OFFSET($BM$9,CL41-1,0,1,1))*OFFSET($CH$9,CL41-1,0,1,1))+OFFSET($BO$9,CL41-1,CQ41,1,1),IF(F41&lt;OFFSET($BN$9,CL41+0,0,1,1),((F41-OFFSET($BM$9,CL41+0,0,1,1))*OFFSET($CH$9,CL41+0,0,1,1))+OFFSET($BO$9,CL41+0,CQ41,1,1),IF(F41&lt;OFFSET($BN$9,CL41+1,0,1,1),((F41-OFFSET($BM$9,CL41+1,0,1,1))*OFFSET($CH$9,CL41+1,0,1,1))+OFFSET($BO$9,CL41+1,CQ41,1,1),IF(F41&lt;OFFSET($BN$9,CL41+2,0,1,1),((F41-OFFSET($BM$9,CL41+2,0,1,1))*OFFSET($CH$9,CL41+2,0,1,1))+OFFSET($BO$9,CL41+2,CQ41,1,1),IF(F41&lt;OFFSET($BN$9,CL41+3,0,1,1),((F41-OFFSET($BM$9,CL41+3,0,1,1))*OFFSET($CH$9,CL41+3,0,1,1))+OFFSET($BO$9,CL41+3,CQ41,1,1),0))))))</f>
        <v>0</v>
      </c>
      <c r="CT41" s="51">
        <f ca="1">IF($F41&lt;OFFSET($BM$9,$CL41-1,0,1,1),0,IF($F41&lt;OFFSET($BN$9,$CL41-1,0,1,1),IF(AND($H41&gt;2.4,Z41&lt;&gt;"e",Z41&lt;&gt;"f"),CX41*2.4/$H41,CX41),IF($F41&lt;OFFSET($BN$9,$CL41+0,0,1,1),IF(AND($H41&gt;2.4,Z41&lt;&gt;"e",Z41&lt;&gt;"f"),CX41*2.4/$H41,CX41),IF($F41&lt;OFFSET($BN$9,$CL41+1,0,1,1),IF(AND($H41&gt;2.4,Z41&lt;&gt;"e",Z41&lt;&gt;"f"),CX41*2.4/$H41,CX41),IF($F41&lt;OFFSET($BN$9,CL41+2,0,1,1),IF(AND($H41&gt;2.4,Z41&lt;&gt;"e",Z41&lt;&gt;"f"),CX41*2.4/$H41,CX41),IF($F41&lt;OFFSET($BN$9,CL41+3,0,1,1),IF(AND($H41&gt;2.4,Z41&lt;&gt;"e",Z41&lt;&gt;"f"),CX41*2.4/$H41,CX41),0)))))*COS(RADIANS($G41)))</f>
        <v>0</v>
      </c>
      <c r="CU41" s="51">
        <f ca="1">IF(F41&lt;OFFSET($BM$9,CL41-1,0,1,1),0,IF(F41&lt;OFFSET($BN$9,CL41-1,0,1,1),((F41-OFFSET($BM$9,CL41-1,0,1,1))*OFFSET($CI$9,CL41-1,0,1,1))+OFFSET($BP$9,CL41-1,CQ41,1,1),IF(F41&lt;OFFSET($BN$9,CL41+0,0,1,1),((F41-OFFSET($BM$9,CL41+0,0,1,1))*OFFSET($CI$9,CL41+0,0,1,1))+OFFSET($BP$9,CL41+0,CQ41,1,1),IF(F41&lt;OFFSET($BN$9,CL41+1,0,1,1),((F41-OFFSET($BM$9,CL41+1,0,1,1))*OFFSET($CI$9,CL41+1,0,1,1))+OFFSET($BP$9,CL41+1,CQ41,1,1),IF(F41&lt;OFFSET($BN$9,CL41+2,0,1,1),((F41-OFFSET($BM$9,CL41+2,0,1,1))*OFFSET($CI$9,CL41+2,0,1,1))+OFFSET($BP$9,CL41+2,CQ41,1,1),IF(F41&lt;OFFSET($BN$9,CL41+3,0,1,1),((F41-OFFSET($BM$9,CL41+3,0,1,1))*OFFSET($CI$9,CL41+3,0,1,1))+OFFSET($BP$9,CL41+3,CQ41,1,1),0))))))</f>
        <v>0</v>
      </c>
      <c r="CV41" s="51">
        <f ca="1">IF($F41&lt;OFFSET($BM$9,$CL41-1,0,1,1),0,IF($F41&lt;OFFSET($BN$9,$CL41-1,0,1,1),IF(AND($H41&gt;2.4,Z41&lt;&gt;"e",Z41&lt;&gt;"f"),CZ41*2.4/$H41,CZ41),IF($F41&lt;OFFSET($BN$9,$CL41+0,0,1,1),IF(AND($H41&gt;2.4,Z41&lt;&gt;"e",Z41&lt;&gt;"f"),CZ41*2.4/$H41,CZ41),IF($F41&lt;OFFSET($BN$9,$CL41+1,0,1,1),IF(AND($H41&gt;2.4,Z41&lt;&gt;"e",Z41&lt;&gt;"f"),CZ41*2.4/$H41,CZ41),IF($F41&lt;OFFSET($BN$9,$CL41+2,0,1,1),IF(AND($H41&gt;2.4,Z41&lt;&gt;"e",Z41&lt;&gt;"f"),CZ41*2.4/$H41,CZ41),IF($F41&lt;OFFSET($BN$9,$CL41+3,0,1,1),IF(AND($H41&gt;2.4,Z41&lt;&gt;"e",Z41&lt;&gt;"f"),CZ41*2.4/$H41,CZ41),0)))))*COS(RADIANS($G41)))</f>
        <v>0</v>
      </c>
      <c r="CW41" s="51">
        <f ca="1">IF(CT41&gt;CR41,CR41,CT41)</f>
        <v>0</v>
      </c>
      <c r="CX41" s="51">
        <f ca="1">IF(CS41&gt;$CR41,$CR41,CS41)</f>
        <v>0</v>
      </c>
      <c r="CY41" s="51">
        <f ca="1">CW41*F41</f>
        <v>0</v>
      </c>
      <c r="CZ41" s="51">
        <f ca="1">IF($CU41&gt;$CR41,$CR41,$CU41)</f>
        <v>0</v>
      </c>
      <c r="DA41" s="51">
        <f ca="1">IF(CV41&gt;CR41,CR41,CV41)</f>
        <v>0</v>
      </c>
      <c r="DB41" s="51">
        <f ca="1">DA41*F41</f>
        <v>0</v>
      </c>
      <c r="DC41" s="993">
        <v>1</v>
      </c>
      <c r="DD41" s="758" t="str">
        <f>IF(OR(D41=BG$12,D41=BG$13),"External",IF(D41=BG$14,"Internal"," "))</f>
        <v xml:space="preserve"> </v>
      </c>
      <c r="DE41" s="51" t="str">
        <f t="shared" ca="1" si="2"/>
        <v/>
      </c>
      <c r="DF41" s="52" t="str">
        <f t="shared" ca="1" si="3"/>
        <v xml:space="preserve"> </v>
      </c>
      <c r="DG41" s="51">
        <f ca="1">IF(F41&lt;OFFSET($BM$9,CN41-1,0,1,1),0,IF(F41&lt;OFFSET($BN$9,CN41-1,0,1,1),((F41-OFFSET($BM$9,CN41-1,0,1,1))*OFFSET($CH$9,CN41-1,0,1,1))+OFFSET($BO$9,CN41-1,CQ41,1,1),IF(F41&lt;OFFSET($BN$9,CN41+0,0,1,1),((F41-OFFSET($BM$9,CN41+0,0,1,1))*OFFSET($CH$9,CN41+0,0,1,1))+OFFSET($BO$9,CN41+0,CQ41,1,1),IF(F41&lt;OFFSET($BN$9,CN41+1,0,1,1),((F41-OFFSET($BM$9,CN41+1,0,1,1))*OFFSET($CH$9,CN41+1,0,1,1))+OFFSET($BO$9,CN41+1,CQ41,1,1),IF(F41&lt;OFFSET($BN$9,CN41+2,0,1,1),((F41-OFFSET($BM$9,CN41+2,0,1,1))*OFFSET($CH$9,CN41+2,0,1,1))+OFFSET($BO$9,CN41+2,CQ41,1,1),IF(F41&lt;OFFSET($BN$9,CN41+3,0,1,1),((F41-OFFSET($BM$9,CN41+3,0,1,1))*OFFSET($CH$9,CN41+3,0,1,1))+OFFSET($BO$9,CN41+3,CQ41,1,1),0))))))</f>
        <v>0</v>
      </c>
      <c r="DH41" s="51">
        <f ca="1">IF($F41&lt;OFFSET($BM$9,$CN41-1,0,1,1),0,IF($F41&lt;OFFSET($BN$9,$CN41-1,0,1,1),IF(AND($H41&gt;2.4,Z41&lt;&gt;"e",Z41&lt;&gt;"f"),DL41*2.4/$H41,DL41),IF($F41&lt;OFFSET($BN$9,$CN41+0,0,1,1),IF(AND($H41&gt;2.4,Z41&lt;&gt;"e",Z41&lt;&gt;"f"),DL41*2.4/$H41,DL41),IF($F41&lt;OFFSET($BN$9,$CN41+1,0,1,1),IF(AND($H41&gt;2.4,Z41&lt;&gt;"e",Z41&lt;&gt;"f"),DL41*2.4/$H41,DL41),IF($F41&lt;OFFSET($BN$9,$CN41+2,0,1,1),IF(AND($H41&gt;2.4,Z41&lt;&gt;"e",Z41&lt;&gt;"f"),DL41*2.4/$H41,DL41),IF($F41&lt;OFFSET($BN$9,$CN41+3,0,1,1),IF(AND($H41&gt;2.4,Z41&lt;&gt;"e",Z41&lt;&gt;"f"),DL41*2.4/$H41,DL41),0)))))*COS(RADIANS($G41)))</f>
        <v>0</v>
      </c>
      <c r="DI41" s="51">
        <f ca="1">IF(F41&lt;OFFSET($BM$9,CN41-1,0,1,1),0,IF(F41&lt;OFFSET($BN$9,CN41-1,0,1,1),((F41-OFFSET($BM$9,CN41-1,0,1,1))*OFFSET($CI$9,CN41-1,0,1,1))+OFFSET($BP$9,CN41-1,CQ41,1,1),IF(F41&lt;OFFSET($BN$9,CN41+0,0,1,1),((F41-OFFSET($BM$9,CN41+0,0,1,1))*OFFSET($CI$9,CN41+0,0,1,1))+OFFSET($BP$9,CN41+0,CQ41,1,1),IF(F41&lt;OFFSET($BN$9,CN41+1,0,1,1),((F41-OFFSET($BM$9,CN41+1,0,1,1))*OFFSET($CI$9,CN41+1,0,1,1))+OFFSET($BP$9,CN41+1,CQ41,1,1),IF(F41&lt;OFFSET($BN$9,CN41+2,0,1,1),((F41-OFFSET($BM$9,CN41+2,0,1,1))*OFFSET($CI$9,CN41+2,0,1,1))+OFFSET($BP$9,CN41+2,CQ41,1,1),IF(F41&lt;OFFSET($BN$9,CN41+3,0,1,1),((F41-OFFSET($BM$9,CN41+3,0,1,1))*OFFSET($CI$9,CN41+3,0,1,1))+OFFSET($BP$9,CN41+3,CQ41,1,1),0))))))</f>
        <v>0</v>
      </c>
      <c r="DJ41" s="51">
        <f ca="1">IF($F41&lt;OFFSET($BM$9,$CN41-1,0,1,1),0,IF($F41&lt;OFFSET($BN$9,$CN41-1,0,1,1),IF(AND($H41&gt;2.4,Z41&lt;&gt;"e",Z41&lt;&gt;"f"),DN41*2.4/$H41,DN41),IF($F41&lt;OFFSET($BN$9,$CN41+0,0,1,1),IF(AND($H41&gt;2.4,Z41&lt;&gt;"e",Z41&lt;&gt;"f"),DN41*2.4/$H41,DN41),IF($F41&lt;OFFSET($BN$9,$CN41+1,0,1,1),IF(AND($H41&gt;2.4,Z41&lt;&gt;"e",Z41&lt;&gt;"f"),DN41*2.4/$H41,DN41),IF($F41&lt;OFFSET($BN$9,$CN41+2,0,1,1),IF(AND($H41&gt;2.4,Z41&lt;&gt;"e",Z41&lt;&gt;"f"),DN41*2.4/$H41,DN41),IF($F41&lt;OFFSET($BN$9,$CN41+3,0,1,1),IF(AND($H41&gt;2.4,Z41&lt;&gt;"e",Z41&lt;&gt;"f"),DN41*2.4/$H41,DN41),0)))))*COS(RADIANS($G41)))</f>
        <v>0</v>
      </c>
      <c r="DK41" s="51"/>
      <c r="DL41" s="51">
        <f ca="1">IF(DG41&gt;$CR41,$CR41,DG41)</f>
        <v>0</v>
      </c>
      <c r="DM41" s="51"/>
      <c r="DN41" s="51">
        <f ca="1">IF(DI41&gt;$CR41,$CR41,DI41)</f>
        <v>0</v>
      </c>
      <c r="DO41" s="435">
        <f ca="1">IF(DH41&gt;$CR41,$CR41,DH41)</f>
        <v>0</v>
      </c>
      <c r="DP41" s="435">
        <f ca="1">DO41*F41</f>
        <v>0</v>
      </c>
      <c r="DQ41" s="436">
        <f ca="1">IF(DJ41&gt;$CR41,$CR41,DJ41)</f>
        <v>0</v>
      </c>
      <c r="DR41" s="437">
        <f ca="1">DQ41*F41</f>
        <v>0</v>
      </c>
      <c r="DS41" s="426">
        <f ca="1">OFFSET($CH$9,CL41-1,-15,1,1)</f>
        <v>0</v>
      </c>
      <c r="DT41" s="451">
        <f t="shared" ca="1" si="27"/>
        <v>0</v>
      </c>
      <c r="DU41" s="188">
        <f ca="1">IF(F41&lt;OFFSET($BM$9,DT41-1,0,1,1),0,IF(F41&lt;OFFSET($BN$9,DT41-1,0,1,1),((F41-OFFSET($BM$9,DT41-1,0,1,1))*OFFSET($CH$9,DT41-1,0,1,1))+OFFSET($BO$9,DT41-1,CQ41,1,1),IF(F41&lt;OFFSET($BN$9,DT41+0,0,1,1),((F41-OFFSET($BM$9,DT41+0,0,1,1))*OFFSET($CH$9,DT41+0,0,1,1))+OFFSET($BO$9,DT41+0,CQ41,1,1),IF(F41&lt;OFFSET($BN$9,DT41+1,0,1,1),((F41-OFFSET($BM$9,DT41+1,0,1,1))*OFFSET($CH$9,DT41+1,0,1,1))+OFFSET($BO$9,DT41+1,CQ41,1,1),IF(F41&lt;OFFSET($BN$9,DT41+2,0,1,1),((F41-OFFSET($BM$9,DT41+2,0,1,1))*OFFSET($CH$9,DT41+2,0,1,1))+OFFSET($BO$9,DT41+2,CQ41,1,1),IF(F41&lt;OFFSET($BN$9,DT41+3,0,1,1),((F41-OFFSET($BM$9,DT41+3,0,1,1))*OFFSET($CH$9,DT41+3,0,1,1))+OFFSET($BO$9,DT41+3,CQ41,1,1),0))))))</f>
        <v>0</v>
      </c>
      <c r="DV41" s="51">
        <f ca="1">IF($F41&lt;OFFSET($BM$9,$DT41-1,0,1,1),0,IF($F41&lt;OFFSET($BN$9,$DT41-1,0,1,1),IF(AND($H41&gt;2.4,Z41&lt;&gt;"e",Z41&lt;&gt;"f"),DZ41*2.4/$H41,DZ41),IF($F41&lt;OFFSET($BN$9,$DT41+0,0,1,1),IF(AND($H41&gt;2.4,Z41&lt;&gt;"e",Z41&lt;&gt;"f"),DZ41*2.4/$H41,DZ41),IF($F41&lt;OFFSET($BN$9,$DT41+1,0,1,1),IF(AND($H41&gt;2.4,Z41&lt;&gt;"e",Z41&lt;&gt;"f"),DZ41*2.4/$H41,DZ41),IF($F41&lt;OFFSET($BN$9,$DT41+2,0,1,1),IF(AND($H41&gt;2.4,Z41&lt;&gt;"e",Z41&lt;&gt;"f"),DZ41*2.4/$H41,DZ41),IF($F41&lt;OFFSET($BN$9,$DT41+3,0,1,1),IF(AND($H41&gt;2.4,Z41&lt;&gt;"e",Z41&lt;&gt;"f"),DZ41*2.4/$H41,DZ41),0)))))*COS(RADIANS($G41)))</f>
        <v>0</v>
      </c>
      <c r="DW41" s="188">
        <f ca="1">IF(F41&lt;OFFSET($BM$9,DT41-1,0,1,1),0,IF(F41&lt;OFFSET($BN$9,DT41-1,0,1,1),((F41-OFFSET($BM$9,DT41-1,0,1,1))*OFFSET($CI$9,DT41-1,0,1,1))+OFFSET($BP$9,DT41-1,CQ41,1,1),IF(F41&lt;OFFSET($BN$9,DT41+0,0,1,1),((F41-OFFSET($BM$9,DT41+0,0,1,1))*OFFSET($CI$9,DT41+0,0,1,1))+OFFSET($BP$9,DT41+0,CQ41,1,1),IF(F41&lt;OFFSET($BN$9,DT41+1,0,1,1),((F41-OFFSET($BM$9,DT41+1,0,1,1))*OFFSET($CI$9,DT41+1,0,1,1))+OFFSET($BP$9,DT41+1,CQ41,1,1),IF(F41&lt;OFFSET($BN$9,DT41+2,0,1,1),((F41-OFFSET($BM$9,DT41+2,0,1,1))*OFFSET($CI$9,DT41+2,0,1,1))+OFFSET($BP$9,DT41+2,CQ41,1,1),IF(F41&lt;OFFSET($BN$9,DT41+3,0,1,1),((F41-OFFSET($BM$9,DT41+3,0,1,1))*OFFSET($CI$9,DT41+3,0,1,1))+OFFSET($BP$9,DT41+3,CQ41,1,1),0))))))</f>
        <v>0</v>
      </c>
      <c r="DX41" s="51">
        <f ca="1">IF($F41&lt;OFFSET($BM$9,$DT41-1,0,1,1),0,IF($F41&lt;OFFSET($BN$9,$DT41-1,0,1,1),IF(AND($H41&gt;2.4,Z41&lt;&gt;"e",Z41&lt;&gt;"f"),EB41*2.4/$H41,EB41),IF($F41&lt;OFFSET($BN$9,$DT41+0,0,1,1),IF(AND($H41&gt;2.4,Z41&lt;&gt;"e",Z41&lt;&gt;"f"),EB41*2.4/$H41,EB41),IF($F41&lt;OFFSET($BN$9,$DT41+1,0,1,1),IF(AND($H41&gt;2.4,Z41&lt;&gt;"e",Z41&lt;&gt;"f"),EB41*2.4/$H41,EB41),IF($F41&lt;OFFSET($BN$9,$DT41+2,0,1,1),IF(AND($H41&gt;2.4,Z41&lt;&gt;"e",Z41&lt;&gt;"f"),EB41*2.4/$H41,EB41),IF($F41&lt;OFFSET($BN$9,$DT41+3,0,1,1),IF(AND($H41&gt;2.4,Z41&lt;&gt;"e",Z41&lt;&gt;"f"),EB41*2.4/$H41,EB41),0)))))*COS(RADIANS($G41)))</f>
        <v>0</v>
      </c>
      <c r="DY41" s="188"/>
      <c r="DZ41" s="188">
        <f ca="1">IF(DU41&gt;$CR41,$CR41,DU41)</f>
        <v>0</v>
      </c>
      <c r="EA41" s="188"/>
      <c r="EB41" s="188">
        <f ca="1">IF(DW41&gt;$CR41,$CR41,DW41)</f>
        <v>0</v>
      </c>
      <c r="EC41" s="435">
        <f ca="1">IF(DV41&gt;$CR41,$CR41,DV41)</f>
        <v>0</v>
      </c>
      <c r="ED41" s="435">
        <f ca="1">EC41*F41</f>
        <v>0</v>
      </c>
      <c r="EE41" s="436">
        <f ca="1">IF(DX41&gt;$CR41,$CR41,DX41)</f>
        <v>0</v>
      </c>
      <c r="EF41" s="437">
        <f ca="1">EE41*F41</f>
        <v>0</v>
      </c>
      <c r="EG41" s="613" t="str">
        <f>IF(D41=BG$12,BG$12,"")</f>
        <v/>
      </c>
      <c r="EH41" s="614" t="str">
        <f>IF(D41=BG$13,BG$13,"")</f>
        <v/>
      </c>
      <c r="EI41" s="611">
        <f>IF(EG41=BG$12,M41,0)</f>
        <v>0</v>
      </c>
      <c r="EJ41" s="451">
        <f>IF(EG41=BG$12,O41,0)</f>
        <v>0</v>
      </c>
      <c r="EK41" s="451">
        <f>IF(EH41=BG$13,M41,0)</f>
        <v>0</v>
      </c>
      <c r="EL41" s="612">
        <f>IF(EH41=BG$13,O41,0)</f>
        <v>0</v>
      </c>
      <c r="EM41" s="426" t="str">
        <f ca="1">IF(AND(Z41&lt;&gt;"t",Z41&lt;&gt;"f"),"",IF(AND(EN41=$BH$13,K41=$BH$12),"NotOpt",IF(K41&lt;&gt;EN41,"Error","")))</f>
        <v/>
      </c>
      <c r="EN41" s="491" t="str">
        <f>IF(AND($BH$28=1,$BG$28=1),$BH$13,$BH$12)</f>
        <v>120 BU's</v>
      </c>
      <c r="EO41" s="426" t="str">
        <f>K41</f>
        <v xml:space="preserve"> </v>
      </c>
      <c r="EP41" s="497">
        <v>1</v>
      </c>
      <c r="EQ41" s="430" t="str">
        <f ca="1">IF(EP41=1," ",OFFSET(BF$15,EP41-2,0,1,1))</f>
        <v xml:space="preserve"> </v>
      </c>
      <c r="ER41" s="439" t="str">
        <f ca="1">IF(H41=0," ",H41)</f>
        <v xml:space="preserve"> </v>
      </c>
      <c r="ES41" s="440" t="str">
        <f ca="1">IF(ER41&lt;&gt;" ",IF(ER41&lt;&gt;ER$7,"Changed",""),"")</f>
        <v/>
      </c>
      <c r="ET41" s="440">
        <f t="shared" ca="1" si="15"/>
        <v>0</v>
      </c>
      <c r="EU41" s="957" t="str">
        <f ca="1">IF(I41=" "," ",IF(F41&lt;OFFSET($BM$9,CL41-1,0,1,1),1,""))</f>
        <v xml:space="preserve"> </v>
      </c>
      <c r="EW41" s="427"/>
      <c r="EX41"/>
    </row>
    <row r="42" spans="1:154" ht="17.100000000000001" customHeight="1" thickBot="1">
      <c r="A42" s="2685" t="s">
        <v>929</v>
      </c>
      <c r="B42" s="689" t="s">
        <v>246</v>
      </c>
      <c r="C42" s="684" t="str">
        <f>IF(OR(F42=0,I42="",I42=" ")," ",$V42)</f>
        <v xml:space="preserve"> </v>
      </c>
      <c r="D42" s="1033"/>
      <c r="E42" s="1360" t="s">
        <v>8</v>
      </c>
      <c r="F42" s="202"/>
      <c r="G42" s="1416"/>
      <c r="H42" s="199" t="str">
        <f ca="1">IF(OR(F42=0,Z42="E",Z42="f")," ",'Project Demand'!E$35)</f>
        <v xml:space="preserve"> </v>
      </c>
      <c r="I42" s="631" t="str">
        <f>IF($I$6&lt;&gt;$BG$8," ",AB42)</f>
        <v xml:space="preserve"> </v>
      </c>
      <c r="J42" s="44" t="str">
        <f ca="1">IF(OR(I42=" ",I42="")," ",OFFSET($BO$9,CL42-1,0-4,1,1))</f>
        <v xml:space="preserve"> </v>
      </c>
      <c r="K42" s="55" t="str">
        <f>IF(OR(I42=" ",I42="")," ",IF(OR(Z42="e",Z42="h"),"SD",BG$24))</f>
        <v xml:space="preserve"> </v>
      </c>
      <c r="L42" s="49">
        <f ca="1">CW42</f>
        <v>0</v>
      </c>
      <c r="M42" s="49">
        <f ca="1">CY42</f>
        <v>0</v>
      </c>
      <c r="N42" s="50">
        <f t="shared" ca="1" si="26"/>
        <v>0</v>
      </c>
      <c r="O42" s="126">
        <f t="shared" ca="1" si="26"/>
        <v>0</v>
      </c>
      <c r="P42" s="140"/>
      <c r="Q42" s="752" t="str">
        <f ca="1">IF(AND(OR(Z42="t",Z42="f"),K42=$BH$11),"No Floor!  Change Floor Type",IF(OR(I42=" ",I42="")," ",IF(F42&lt;OFFSET($BM$9,CL42-1,0,1,1),"check L(m)",DE42&amp;IF(AND(DP42&gt;=CY42,DR42&gt;=DB42),IF(AND(ED42&gt;=DP42,EF42&gt;=DR42),CONCATENATE(DS42," will provide same result"),CONCATENATE(CO42," will provide same result")),IF((DP42&gt;=CY42),CONCATENATE(CO42," provides same result in WIND"),IF((DR42&gt;=DB42),CONCATENATE(CO42," provides same result in EQ"),""))))))&amp;IF(ISERROR(FIND("pile",I42,1)),"",IF(INT(F42)&lt;&gt;F42,"Pile!  Use Whole Numbers Only",""))</f>
        <v xml:space="preserve"> </v>
      </c>
      <c r="U42" s="1377"/>
      <c r="V42" s="52" t="str">
        <f ca="1">IF(AND(B$5=$BF$9,OR(I42=BH$16,I42=BH$17))," ",IF(ISNUMBER(B$38),(CONCATENATE(B$38,".",W42)),(CONCATENATE(B$38,W42))))</f>
        <v>R0</v>
      </c>
      <c r="W42" s="9">
        <f ca="1">W41+X42</f>
        <v>0</v>
      </c>
      <c r="X42" s="9">
        <f>IF(AND(B$5=$BF$9,OR($I42=$BH$16,$I42=$BH$17,$I42=" ",$I42="",$F42=0)),0,IF(OR($I42=" ",$I42="",$F42=0),0,1))</f>
        <v>0</v>
      </c>
      <c r="Y42" s="896"/>
      <c r="Z42" s="52" t="str">
        <f ca="1">IF(I42=" "," ",OFFSET($BM$9,$CL42-1,8,1,1))</f>
        <v xml:space="preserve"> </v>
      </c>
      <c r="AA42" s="51" t="str">
        <f>IF(G42&gt;=45,"WA","")</f>
        <v/>
      </c>
      <c r="AB42" s="1364" t="str">
        <f>IF(F42&lt;&gt;"",IF(OR(D42=$BG$12,D42=$BG$13),IF(E42&lt;&gt;$BG$17,$BF$12,$BF$13),IF(E42&lt;&gt;$BG$17,$BF$12,$BF$13))," ")</f>
        <v xml:space="preserve"> </v>
      </c>
      <c r="AC42" s="1"/>
      <c r="AJ42" s="955" t="str">
        <f>'Regular and QuickBrace Systems'!C61</f>
        <v>NB: The Elephant Regular Fixing Code &amp; the Elephant QuickBrace© Numbering System (and the sub-components thereof), are protected by copyright.</v>
      </c>
      <c r="AK42" s="955"/>
      <c r="AL42" s="955"/>
      <c r="AM42" s="955"/>
      <c r="AN42" s="955"/>
      <c r="AO42" s="955"/>
      <c r="AP42" s="955"/>
      <c r="AQ42" s="955"/>
      <c r="AR42" s="955"/>
      <c r="AS42" s="955"/>
      <c r="AT42" s="426"/>
      <c r="AU42" s="955"/>
      <c r="AW42" s="426"/>
      <c r="BD42" s="641"/>
      <c r="BF42" s="599" t="str">
        <f>'Custom Elements'!C26</f>
        <v>Custom18</v>
      </c>
      <c r="BG42" s="989" t="s">
        <v>934</v>
      </c>
      <c r="BH42" s="995" t="s">
        <v>901</v>
      </c>
      <c r="BI42" s="759"/>
      <c r="BJ42" s="897">
        <f t="shared" si="28"/>
        <v>34</v>
      </c>
      <c r="BK42" s="1223"/>
      <c r="BL42" s="767"/>
      <c r="BM42" s="776">
        <f>Table!J7</f>
        <v>1</v>
      </c>
      <c r="BN42" s="776">
        <v>999</v>
      </c>
      <c r="BO42" s="776">
        <f>Table!K7</f>
        <v>40</v>
      </c>
      <c r="BP42" s="926">
        <f>Table!L7</f>
        <v>30</v>
      </c>
      <c r="BQ42" s="1183"/>
      <c r="BR42" s="908"/>
      <c r="BS42" s="776"/>
      <c r="BT42" s="776"/>
      <c r="BU42" s="926" t="s">
        <v>242</v>
      </c>
      <c r="BV42" s="1183"/>
      <c r="BW42" s="602"/>
      <c r="BX42" s="926" t="str">
        <f>Table!N5</f>
        <v>Single</v>
      </c>
      <c r="CH42" s="908">
        <f>IF(BN42=999,0,(BO44-BO42)/(BN42-BM42))</f>
        <v>0</v>
      </c>
      <c r="CI42" s="926">
        <f>IF(BN42=999,0,(BP44-BP42)/(BN42-BM42))</f>
        <v>0</v>
      </c>
      <c r="CJ42" s="759"/>
      <c r="CK42" s="188"/>
      <c r="CL42" s="979">
        <f>VLOOKUP(I42,Prodlink,2,0)</f>
        <v>0</v>
      </c>
      <c r="CN42" s="497">
        <f ca="1">VLOOKUP(CO42,Prodlink,2,0)</f>
        <v>0</v>
      </c>
      <c r="CO42" s="497">
        <f ca="1">OFFSET($CH$9,CL42-1,-15,1,1)</f>
        <v>0</v>
      </c>
      <c r="CQ42" s="51">
        <v>0</v>
      </c>
      <c r="CR42" s="51">
        <f>IF(K42=$BH$12,$BH$23,IF(K42=$BH$13,$BH$24,10000))</f>
        <v>10000</v>
      </c>
      <c r="CS42" s="51">
        <f ca="1">IF(F42&lt;OFFSET($BM$9,CL42-1,0,1,1),0,IF(F42&lt;OFFSET($BN$9,CL42-1,0,1,1),((F42-OFFSET($BM$9,CL42-1,0,1,1))*OFFSET($CH$9,CL42-1,0,1,1))+OFFSET($BO$9,CL42-1,CQ42,1,1),IF(F42&lt;OFFSET($BN$9,CL42+0,0,1,1),((F42-OFFSET($BM$9,CL42+0,0,1,1))*OFFSET($CH$9,CL42+0,0,1,1))+OFFSET($BO$9,CL42+0,CQ42,1,1),IF(F42&lt;OFFSET($BN$9,CL42+1,0,1,1),((F42-OFFSET($BM$9,CL42+1,0,1,1))*OFFSET($CH$9,CL42+1,0,1,1))+OFFSET($BO$9,CL42+1,CQ42,1,1),IF(F42&lt;OFFSET($BN$9,CL42+2,0,1,1),((F42-OFFSET($BM$9,CL42+2,0,1,1))*OFFSET($CH$9,CL42+2,0,1,1))+OFFSET($BO$9,CL42+2,CQ42,1,1),IF(F42&lt;OFFSET($BN$9,CL42+3,0,1,1),((F42-OFFSET($BM$9,CL42+3,0,1,1))*OFFSET($CH$9,CL42+3,0,1,1))+OFFSET($BO$9,CL42+3,CQ42,1,1),0))))))</f>
        <v>0</v>
      </c>
      <c r="CT42" s="51">
        <f ca="1">IF($F42&lt;OFFSET($BM$9,$CL42-1,0,1,1),0,IF($F42&lt;OFFSET($BN$9,$CL42-1,0,1,1),IF(AND($H42&gt;2.4,Z42&lt;&gt;"e",Z42&lt;&gt;"f"),CX42*2.4/$H42,CX42),IF($F42&lt;OFFSET($BN$9,$CL42+0,0,1,1),IF(AND($H42&gt;2.4,Z42&lt;&gt;"e",Z42&lt;&gt;"f"),CX42*2.4/$H42,CX42),IF($F42&lt;OFFSET($BN$9,$CL42+1,0,1,1),IF(AND($H42&gt;2.4,Z42&lt;&gt;"e",Z42&lt;&gt;"f"),CX42*2.4/$H42,CX42),IF($F42&lt;OFFSET($BN$9,CL42+2,0,1,1),IF(AND($H42&gt;2.4,Z42&lt;&gt;"e",Z42&lt;&gt;"f"),CX42*2.4/$H42,CX42),IF($F42&lt;OFFSET($BN$9,CL42+3,0,1,1),IF(AND($H42&gt;2.4,Z42&lt;&gt;"e",Z42&lt;&gt;"f"),CX42*2.4/$H42,CX42),0)))))*COS(RADIANS($G42)))</f>
        <v>0</v>
      </c>
      <c r="CU42" s="51">
        <f ca="1">IF(F42&lt;OFFSET($BM$9,CL42-1,0,1,1),0,IF(F42&lt;OFFSET($BN$9,CL42-1,0,1,1),((F42-OFFSET($BM$9,CL42-1,0,1,1))*OFFSET($CI$9,CL42-1,0,1,1))+OFFSET($BP$9,CL42-1,CQ42,1,1),IF(F42&lt;OFFSET($BN$9,CL42+0,0,1,1),((F42-OFFSET($BM$9,CL42+0,0,1,1))*OFFSET($CI$9,CL42+0,0,1,1))+OFFSET($BP$9,CL42+0,CQ42,1,1),IF(F42&lt;OFFSET($BN$9,CL42+1,0,1,1),((F42-OFFSET($BM$9,CL42+1,0,1,1))*OFFSET($CI$9,CL42+1,0,1,1))+OFFSET($BP$9,CL42+1,CQ42,1,1),IF(F42&lt;OFFSET($BN$9,CL42+2,0,1,1),((F42-OFFSET($BM$9,CL42+2,0,1,1))*OFFSET($CI$9,CL42+2,0,1,1))+OFFSET($BP$9,CL42+2,CQ42,1,1),IF(F42&lt;OFFSET($BN$9,CL42+3,0,1,1),((F42-OFFSET($BM$9,CL42+3,0,1,1))*OFFSET($CI$9,CL42+3,0,1,1))+OFFSET($BP$9,CL42+3,CQ42,1,1),0))))))</f>
        <v>0</v>
      </c>
      <c r="CV42" s="51">
        <f ca="1">IF($F42&lt;OFFSET($BM$9,$CL42-1,0,1,1),0,IF($F42&lt;OFFSET($BN$9,$CL42-1,0,1,1),IF(AND($H42&gt;2.4,Z42&lt;&gt;"e",Z42&lt;&gt;"f"),CZ42*2.4/$H42,CZ42),IF($F42&lt;OFFSET($BN$9,$CL42+0,0,1,1),IF(AND($H42&gt;2.4,Z42&lt;&gt;"e",Z42&lt;&gt;"f"),CZ42*2.4/$H42,CZ42),IF($F42&lt;OFFSET($BN$9,$CL42+1,0,1,1),IF(AND($H42&gt;2.4,Z42&lt;&gt;"e",Z42&lt;&gt;"f"),CZ42*2.4/$H42,CZ42),IF($F42&lt;OFFSET($BN$9,$CL42+2,0,1,1),IF(AND($H42&gt;2.4,Z42&lt;&gt;"e",Z42&lt;&gt;"f"),CZ42*2.4/$H42,CZ42),IF($F42&lt;OFFSET($BN$9,$CL42+3,0,1,1),IF(AND($H42&gt;2.4,Z42&lt;&gt;"e",Z42&lt;&gt;"f"),CZ42*2.4/$H42,CZ42),0)))))*COS(RADIANS($G42)))</f>
        <v>0</v>
      </c>
      <c r="CW42" s="51">
        <f ca="1">IF(CT42&gt;CR42,CR42,CT42)</f>
        <v>0</v>
      </c>
      <c r="CX42" s="51">
        <f ca="1">IF(CS42&gt;$CR42,$CR42,CS42)</f>
        <v>0</v>
      </c>
      <c r="CY42" s="51">
        <f ca="1">CW42*F42</f>
        <v>0</v>
      </c>
      <c r="CZ42" s="51">
        <f ca="1">IF($CU42&gt;$CR42,$CR42,$CU42)</f>
        <v>0</v>
      </c>
      <c r="DA42" s="51">
        <f ca="1">IF(CV42&gt;CR42,CR42,CV42)</f>
        <v>0</v>
      </c>
      <c r="DB42" s="51">
        <f ca="1">DA42*F42</f>
        <v>0</v>
      </c>
      <c r="DC42" s="993">
        <v>1</v>
      </c>
      <c r="DD42" s="758" t="str">
        <f>IF(OR(D42=BG$12,D42=BG$13),"External",IF(D42=BG$14,"Internal"," "))</f>
        <v xml:space="preserve"> </v>
      </c>
      <c r="DE42" s="51" t="str">
        <f t="shared" ca="1" si="2"/>
        <v/>
      </c>
      <c r="DF42" s="52" t="str">
        <f t="shared" ca="1" si="3"/>
        <v xml:space="preserve"> </v>
      </c>
      <c r="DG42" s="51">
        <f ca="1">IF(F42&lt;OFFSET($BM$9,CN42-1,0,1,1),0,IF(F42&lt;OFFSET($BN$9,CN42-1,0,1,1),((F42-OFFSET($BM$9,CN42-1,0,1,1))*OFFSET($CH$9,CN42-1,0,1,1))+OFFSET($BO$9,CN42-1,CQ42,1,1),IF(F42&lt;OFFSET($BN$9,CN42+0,0,1,1),((F42-OFFSET($BM$9,CN42+0,0,1,1))*OFFSET($CH$9,CN42+0,0,1,1))+OFFSET($BO$9,CN42+0,CQ42,1,1),IF(F42&lt;OFFSET($BN$9,CN42+1,0,1,1),((F42-OFFSET($BM$9,CN42+1,0,1,1))*OFFSET($CH$9,CN42+1,0,1,1))+OFFSET($BO$9,CN42+1,CQ42,1,1),IF(F42&lt;OFFSET($BN$9,CN42+2,0,1,1),((F42-OFFSET($BM$9,CN42+2,0,1,1))*OFFSET($CH$9,CN42+2,0,1,1))+OFFSET($BO$9,CN42+2,CQ42,1,1),IF(F42&lt;OFFSET($BN$9,CN42+3,0,1,1),((F42-OFFSET($BM$9,CN42+3,0,1,1))*OFFSET($CH$9,CN42+3,0,1,1))+OFFSET($BO$9,CN42+3,CQ42,1,1),0))))))</f>
        <v>0</v>
      </c>
      <c r="DH42" s="51">
        <f ca="1">IF($F42&lt;OFFSET($BM$9,$CN42-1,0,1,1),0,IF($F42&lt;OFFSET($BN$9,$CN42-1,0,1,1),IF(AND($H42&gt;2.4,Z42&lt;&gt;"e",Z42&lt;&gt;"f"),DL42*2.4/$H42,DL42),IF($F42&lt;OFFSET($BN$9,$CN42+0,0,1,1),IF(AND($H42&gt;2.4,Z42&lt;&gt;"e",Z42&lt;&gt;"f"),DL42*2.4/$H42,DL42),IF($F42&lt;OFFSET($BN$9,$CN42+1,0,1,1),IF(AND($H42&gt;2.4,Z42&lt;&gt;"e",Z42&lt;&gt;"f"),DL42*2.4/$H42,DL42),IF($F42&lt;OFFSET($BN$9,$CN42+2,0,1,1),IF(AND($H42&gt;2.4,Z42&lt;&gt;"e",Z42&lt;&gt;"f"),DL42*2.4/$H42,DL42),IF($F42&lt;OFFSET($BN$9,$CN42+3,0,1,1),IF(AND($H42&gt;2.4,Z42&lt;&gt;"e",Z42&lt;&gt;"f"),DL42*2.4/$H42,DL42),0)))))*COS(RADIANS($G42)))</f>
        <v>0</v>
      </c>
      <c r="DI42" s="51">
        <f ca="1">IF(F42&lt;OFFSET($BM$9,CN42-1,0,1,1),0,IF(F42&lt;OFFSET($BN$9,CN42-1,0,1,1),((F42-OFFSET($BM$9,CN42-1,0,1,1))*OFFSET($CI$9,CN42-1,0,1,1))+OFFSET($BP$9,CN42-1,CQ42,1,1),IF(F42&lt;OFFSET($BN$9,CN42+0,0,1,1),((F42-OFFSET($BM$9,CN42+0,0,1,1))*OFFSET($CI$9,CN42+0,0,1,1))+OFFSET($BP$9,CN42+0,CQ42,1,1),IF(F42&lt;OFFSET($BN$9,CN42+1,0,1,1),((F42-OFFSET($BM$9,CN42+1,0,1,1))*OFFSET($CI$9,CN42+1,0,1,1))+OFFSET($BP$9,CN42+1,CQ42,1,1),IF(F42&lt;OFFSET($BN$9,CN42+2,0,1,1),((F42-OFFSET($BM$9,CN42+2,0,1,1))*OFFSET($CI$9,CN42+2,0,1,1))+OFFSET($BP$9,CN42+2,CQ42,1,1),IF(F42&lt;OFFSET($BN$9,CN42+3,0,1,1),((F42-OFFSET($BM$9,CN42+3,0,1,1))*OFFSET($CI$9,CN42+3,0,1,1))+OFFSET($BP$9,CN42+3,CQ42,1,1),0))))))</f>
        <v>0</v>
      </c>
      <c r="DJ42" s="51">
        <f ca="1">IF($F42&lt;OFFSET($BM$9,$CN42-1,0,1,1),0,IF($F42&lt;OFFSET($BN$9,$CN42-1,0,1,1),IF(AND($H42&gt;2.4,Z42&lt;&gt;"e",Z42&lt;&gt;"f"),DN42*2.4/$H42,DN42),IF($F42&lt;OFFSET($BN$9,$CN42+0,0,1,1),IF(AND($H42&gt;2.4,Z42&lt;&gt;"e",Z42&lt;&gt;"f"),DN42*2.4/$H42,DN42),IF($F42&lt;OFFSET($BN$9,$CN42+1,0,1,1),IF(AND($H42&gt;2.4,Z42&lt;&gt;"e",Z42&lt;&gt;"f"),DN42*2.4/$H42,DN42),IF($F42&lt;OFFSET($BN$9,$CN42+2,0,1,1),IF(AND($H42&gt;2.4,Z42&lt;&gt;"e",Z42&lt;&gt;"f"),DN42*2.4/$H42,DN42),IF($F42&lt;OFFSET($BN$9,$CN42+3,0,1,1),IF(AND($H42&gt;2.4,Z42&lt;&gt;"e",Z42&lt;&gt;"f"),DN42*2.4/$H42,DN42),0)))))*COS(RADIANS($G42)))</f>
        <v>0</v>
      </c>
      <c r="DK42" s="51"/>
      <c r="DL42" s="51">
        <f ca="1">IF(DG42&gt;$CR42,$CR42,DG42)</f>
        <v>0</v>
      </c>
      <c r="DM42" s="51"/>
      <c r="DN42" s="51">
        <f ca="1">IF(DI42&gt;$CR42,$CR42,DI42)</f>
        <v>0</v>
      </c>
      <c r="DO42" s="435">
        <f ca="1">IF(DH42&gt;$CR42,$CR42,DH42)</f>
        <v>0</v>
      </c>
      <c r="DP42" s="435">
        <f ca="1">DO42*F42</f>
        <v>0</v>
      </c>
      <c r="DQ42" s="436">
        <f ca="1">IF(DJ42&gt;$CR42,$CR42,DJ42)</f>
        <v>0</v>
      </c>
      <c r="DR42" s="437">
        <f ca="1">DQ42*F42</f>
        <v>0</v>
      </c>
      <c r="DS42" s="426">
        <f ca="1">OFFSET($CH$9,CL42-1,-15,1,1)</f>
        <v>0</v>
      </c>
      <c r="DT42" s="451">
        <f t="shared" ca="1" si="27"/>
        <v>0</v>
      </c>
      <c r="DU42" s="188">
        <f ca="1">IF(F42&lt;OFFSET($BM$9,DT42-1,0,1,1),0,IF(F42&lt;OFFSET($BN$9,DT42-1,0,1,1),((F42-OFFSET($BM$9,DT42-1,0,1,1))*OFFSET($CH$9,DT42-1,0,1,1))+OFFSET($BO$9,DT42-1,CQ42,1,1),IF(F42&lt;OFFSET($BN$9,DT42+0,0,1,1),((F42-OFFSET($BM$9,DT42+0,0,1,1))*OFFSET($CH$9,DT42+0,0,1,1))+OFFSET($BO$9,DT42+0,CQ42,1,1),IF(F42&lt;OFFSET($BN$9,DT42+1,0,1,1),((F42-OFFSET($BM$9,DT42+1,0,1,1))*OFFSET($CH$9,DT42+1,0,1,1))+OFFSET($BO$9,DT42+1,CQ42,1,1),IF(F42&lt;OFFSET($BN$9,DT42+2,0,1,1),((F42-OFFSET($BM$9,DT42+2,0,1,1))*OFFSET($CH$9,DT42+2,0,1,1))+OFFSET($BO$9,DT42+2,CQ42,1,1),IF(F42&lt;OFFSET($BN$9,DT42+3,0,1,1),((F42-OFFSET($BM$9,DT42+3,0,1,1))*OFFSET($CH$9,DT42+3,0,1,1))+OFFSET($BO$9,DT42+3,CQ42,1,1),0))))))</f>
        <v>0</v>
      </c>
      <c r="DV42" s="51">
        <f ca="1">IF($F42&lt;OFFSET($BM$9,$DT42-1,0,1,1),0,IF($F42&lt;OFFSET($BN$9,$DT42-1,0,1,1),IF(AND($H42&gt;2.4,Z42&lt;&gt;"e",Z42&lt;&gt;"f"),DZ42*2.4/$H42,DZ42),IF($F42&lt;OFFSET($BN$9,$DT42+0,0,1,1),IF(AND($H42&gt;2.4,Z42&lt;&gt;"e",Z42&lt;&gt;"f"),DZ42*2.4/$H42,DZ42),IF($F42&lt;OFFSET($BN$9,$DT42+1,0,1,1),IF(AND($H42&gt;2.4,Z42&lt;&gt;"e",Z42&lt;&gt;"f"),DZ42*2.4/$H42,DZ42),IF($F42&lt;OFFSET($BN$9,$DT42+2,0,1,1),IF(AND($H42&gt;2.4,Z42&lt;&gt;"e",Z42&lt;&gt;"f"),DZ42*2.4/$H42,DZ42),IF($F42&lt;OFFSET($BN$9,$DT42+3,0,1,1),IF(AND($H42&gt;2.4,Z42&lt;&gt;"e",Z42&lt;&gt;"f"),DZ42*2.4/$H42,DZ42),0)))))*COS(RADIANS($G42)))</f>
        <v>0</v>
      </c>
      <c r="DW42" s="188">
        <f ca="1">IF(F42&lt;OFFSET($BM$9,DT42-1,0,1,1),0,IF(F42&lt;OFFSET($BN$9,DT42-1,0,1,1),((F42-OFFSET($BM$9,DT42-1,0,1,1))*OFFSET($CI$9,DT42-1,0,1,1))+OFFSET($BP$9,DT42-1,CQ42,1,1),IF(F42&lt;OFFSET($BN$9,DT42+0,0,1,1),((F42-OFFSET($BM$9,DT42+0,0,1,1))*OFFSET($CI$9,DT42+0,0,1,1))+OFFSET($BP$9,DT42+0,CQ42,1,1),IF(F42&lt;OFFSET($BN$9,DT42+1,0,1,1),((F42-OFFSET($BM$9,DT42+1,0,1,1))*OFFSET($CI$9,DT42+1,0,1,1))+OFFSET($BP$9,DT42+1,CQ42,1,1),IF(F42&lt;OFFSET($BN$9,DT42+2,0,1,1),((F42-OFFSET($BM$9,DT42+2,0,1,1))*OFFSET($CI$9,DT42+2,0,1,1))+OFFSET($BP$9,DT42+2,CQ42,1,1),IF(F42&lt;OFFSET($BN$9,DT42+3,0,1,1),((F42-OFFSET($BM$9,DT42+3,0,1,1))*OFFSET($CI$9,DT42+3,0,1,1))+OFFSET($BP$9,DT42+3,CQ42,1,1),0))))))</f>
        <v>0</v>
      </c>
      <c r="DX42" s="51">
        <f ca="1">IF($F42&lt;OFFSET($BM$9,$DT42-1,0,1,1),0,IF($F42&lt;OFFSET($BN$9,$DT42-1,0,1,1),IF(AND($H42&gt;2.4,Z42&lt;&gt;"e",Z42&lt;&gt;"f"),EB42*2.4/$H42,EB42),IF($F42&lt;OFFSET($BN$9,$DT42+0,0,1,1),IF(AND($H42&gt;2.4,Z42&lt;&gt;"e",Z42&lt;&gt;"f"),EB42*2.4/$H42,EB42),IF($F42&lt;OFFSET($BN$9,$DT42+1,0,1,1),IF(AND($H42&gt;2.4,Z42&lt;&gt;"e",Z42&lt;&gt;"f"),EB42*2.4/$H42,EB42),IF($F42&lt;OFFSET($BN$9,$DT42+2,0,1,1),IF(AND($H42&gt;2.4,Z42&lt;&gt;"e",Z42&lt;&gt;"f"),EB42*2.4/$H42,EB42),IF($F42&lt;OFFSET($BN$9,$DT42+3,0,1,1),IF(AND($H42&gt;2.4,Z42&lt;&gt;"e",Z42&lt;&gt;"f"),EB42*2.4/$H42,EB42),0)))))*COS(RADIANS($G42)))</f>
        <v>0</v>
      </c>
      <c r="DY42" s="188"/>
      <c r="DZ42" s="188">
        <f ca="1">IF(DU42&gt;$CR42,$CR42,DU42)</f>
        <v>0</v>
      </c>
      <c r="EA42" s="188"/>
      <c r="EB42" s="188">
        <f ca="1">IF(DW42&gt;$CR42,$CR42,DW42)</f>
        <v>0</v>
      </c>
      <c r="EC42" s="435">
        <f ca="1">IF(DV42&gt;$CR42,$CR42,DV42)</f>
        <v>0</v>
      </c>
      <c r="ED42" s="435">
        <f ca="1">EC42*F42</f>
        <v>0</v>
      </c>
      <c r="EE42" s="436">
        <f ca="1">IF(DX42&gt;$CR42,$CR42,DX42)</f>
        <v>0</v>
      </c>
      <c r="EF42" s="437">
        <f ca="1">EE42*F42</f>
        <v>0</v>
      </c>
      <c r="EG42" s="613" t="str">
        <f>IF(D42=BG$12,BG$12,"")</f>
        <v/>
      </c>
      <c r="EH42" s="614" t="str">
        <f>IF(D42=BG$13,BG$13,"")</f>
        <v/>
      </c>
      <c r="EI42" s="611">
        <f>IF(EG42=BG$12,M42,0)</f>
        <v>0</v>
      </c>
      <c r="EJ42" s="451">
        <f>IF(EG42=BG$12,O42,0)</f>
        <v>0</v>
      </c>
      <c r="EK42" s="451">
        <f>IF(EH42=BG$13,M42,0)</f>
        <v>0</v>
      </c>
      <c r="EL42" s="612">
        <f>IF(EH42=BG$13,O42,0)</f>
        <v>0</v>
      </c>
      <c r="EM42" s="426" t="str">
        <f ca="1">IF(AND(Z42&lt;&gt;"t",Z42&lt;&gt;"f"),"",IF(AND(EN42=$BH$13,K42=$BH$12),"NotOpt",IF(K42&lt;&gt;EN42,"Error","")))</f>
        <v/>
      </c>
      <c r="EN42" s="491" t="str">
        <f>IF(AND($BH$28=1,$BG$28=1),$BH$13,$BH$12)</f>
        <v>120 BU's</v>
      </c>
      <c r="EO42" s="426" t="str">
        <f>K42</f>
        <v xml:space="preserve"> </v>
      </c>
      <c r="EP42" s="497">
        <v>1</v>
      </c>
      <c r="EQ42" s="430" t="str">
        <f ca="1">IF(EP42=1," ",OFFSET(BF$15,EP42-2,0,1,1))</f>
        <v xml:space="preserve"> </v>
      </c>
      <c r="ER42" s="439" t="str">
        <f ca="1">IF(H42=0," ",H42)</f>
        <v xml:space="preserve"> </v>
      </c>
      <c r="ES42" s="440" t="str">
        <f ca="1">IF(ER42&lt;&gt;" ",IF(ER42&lt;&gt;ER$7,"Changed",""),"")</f>
        <v/>
      </c>
      <c r="ET42" s="440">
        <f t="shared" ca="1" si="15"/>
        <v>0</v>
      </c>
      <c r="EU42" s="957" t="str">
        <f ca="1">IF(I42=" "," ",IF(F42&lt;OFFSET($BM$9,CL42-1,0,1,1),1,""))</f>
        <v xml:space="preserve"> </v>
      </c>
      <c r="EW42" s="427"/>
      <c r="EX42"/>
    </row>
    <row r="43" spans="1:154" ht="17.100000000000001" customHeight="1" thickBot="1">
      <c r="A43" s="2685"/>
      <c r="B43" s="2686" t="s">
        <v>8</v>
      </c>
      <c r="C43" s="2687"/>
      <c r="D43" s="1461" t="s">
        <v>8</v>
      </c>
      <c r="E43" s="659"/>
      <c r="F43" s="659"/>
      <c r="G43" s="659"/>
      <c r="H43" s="659"/>
      <c r="I43" s="1462"/>
      <c r="J43" s="1365" t="str">
        <f ca="1">(CONCATENATE(B38,$BE$54))</f>
        <v>R  Line:  Min. Requirement</v>
      </c>
      <c r="K43" s="23"/>
      <c r="L43" s="1019">
        <f ca="1">L$5</f>
        <v>0</v>
      </c>
      <c r="M43" s="48">
        <f ca="1">IF(B38=B32,SUM(M38:M42)+M37,SUM(M38:M42))</f>
        <v>0</v>
      </c>
      <c r="N43" s="1019">
        <f ca="1">N$5</f>
        <v>0</v>
      </c>
      <c r="O43" s="125">
        <f ca="1">IF(B38=B32,SUM(O38:O42)+O37,SUM(O38:O42))</f>
        <v>0</v>
      </c>
      <c r="P43" s="139"/>
      <c r="Q43" s="42" t="str">
        <f ca="1">IF(B38=B44,"",IF(AND(M43&gt;0,L43=L$5,OR(M43&lt;$M$105,M43&lt;$BF$3)),"Achieved &lt; Min Req per Line",IF(AND(O43&gt;0,N43=N$5,OR(O43&lt;$O$105,O43&lt;$BF$3)),"Achieved &lt; Min Req per Line",IF(AND(M43&gt;0,L43&gt;M43),"More Required on this line",IF(AND(O43&gt;0,N43&gt;O43),"More Required on this line",IF(AND(L43&gt;0,L43&lt;$BF$3),$BE$59,IF(AND(N43&gt;0,N43&lt;$BF$3),$BE$59,"")))))))</f>
        <v/>
      </c>
      <c r="R43" s="52"/>
      <c r="S43" s="52"/>
      <c r="T43" s="52"/>
      <c r="U43" s="1378"/>
      <c r="V43" s="52"/>
      <c r="W43" s="9"/>
      <c r="X43" s="9"/>
      <c r="Y43" s="896"/>
      <c r="Z43" s="52"/>
      <c r="AA43" s="51"/>
      <c r="AB43" s="1364"/>
      <c r="AC43"/>
      <c r="AJ43" s="13"/>
      <c r="AK43" s="13"/>
      <c r="AL43" s="1"/>
      <c r="AM43" s="1"/>
      <c r="AN43" s="1"/>
      <c r="AO43" s="1"/>
      <c r="AP43" s="1"/>
      <c r="AQ43" s="1"/>
      <c r="AR43" s="1"/>
      <c r="AS43" s="6"/>
      <c r="AT43" s="6"/>
      <c r="AW43" s="1"/>
      <c r="BD43" s="636"/>
      <c r="BF43" s="599" t="str">
        <f>'Custom Elements'!C27</f>
        <v>Custom19</v>
      </c>
      <c r="BG43" s="485" t="s">
        <v>935</v>
      </c>
      <c r="BH43" s="996" t="s">
        <v>902</v>
      </c>
      <c r="BI43" s="759"/>
      <c r="BJ43" s="897">
        <f t="shared" si="28"/>
        <v>35</v>
      </c>
      <c r="BX43" s="52"/>
      <c r="CJ43" s="759"/>
      <c r="CK43" s="188"/>
      <c r="CL43" s="979"/>
      <c r="CN43" s="497"/>
      <c r="CO43" s="497" t="s">
        <v>8</v>
      </c>
      <c r="CQ43" s="51" t="s">
        <v>8</v>
      </c>
      <c r="CR43" s="51" t="s">
        <v>8</v>
      </c>
      <c r="CS43" s="51" t="s">
        <v>8</v>
      </c>
      <c r="CT43" s="51"/>
      <c r="CU43" s="51" t="s">
        <v>8</v>
      </c>
      <c r="CV43" s="51" t="s">
        <v>8</v>
      </c>
      <c r="CW43" s="51" t="s">
        <v>8</v>
      </c>
      <c r="CX43" s="51" t="s">
        <v>8</v>
      </c>
      <c r="CY43" s="51" t="s">
        <v>8</v>
      </c>
      <c r="CZ43" s="51" t="s">
        <v>8</v>
      </c>
      <c r="DA43" s="51" t="s">
        <v>8</v>
      </c>
      <c r="DD43" s="758"/>
      <c r="DF43" s="52"/>
      <c r="DG43" s="51" t="s">
        <v>8</v>
      </c>
      <c r="DH43" s="51"/>
      <c r="DI43" s="51" t="s">
        <v>8</v>
      </c>
      <c r="DJ43" s="51"/>
      <c r="DK43" s="51"/>
      <c r="DL43" s="51" t="s">
        <v>8</v>
      </c>
      <c r="DM43" s="51"/>
      <c r="DN43" s="51" t="s">
        <v>8</v>
      </c>
      <c r="DO43" s="435" t="s">
        <v>8</v>
      </c>
      <c r="DP43" s="435"/>
      <c r="DQ43" s="868" t="s">
        <v>8</v>
      </c>
      <c r="DR43" s="868"/>
      <c r="DS43" s="426" t="s">
        <v>8</v>
      </c>
      <c r="DT43" s="451" t="s">
        <v>8</v>
      </c>
      <c r="DU43" s="188" t="s">
        <v>8</v>
      </c>
      <c r="DV43" s="188" t="s">
        <v>8</v>
      </c>
      <c r="DW43" s="188" t="s">
        <v>8</v>
      </c>
      <c r="DX43" s="188" t="s">
        <v>8</v>
      </c>
      <c r="DY43" s="188"/>
      <c r="DZ43" s="188" t="s">
        <v>8</v>
      </c>
      <c r="EA43" s="188" t="s">
        <v>8</v>
      </c>
      <c r="EB43" s="188" t="s">
        <v>8</v>
      </c>
      <c r="EC43" s="435" t="s">
        <v>8</v>
      </c>
      <c r="ED43" s="435" t="s">
        <v>8</v>
      </c>
      <c r="EE43" s="868" t="s">
        <v>8</v>
      </c>
      <c r="EF43" s="867" t="s">
        <v>8</v>
      </c>
      <c r="EG43" s="613"/>
      <c r="EH43" s="614"/>
      <c r="EI43" s="613"/>
      <c r="EJ43" s="435"/>
      <c r="EK43" s="451"/>
      <c r="EL43" s="612"/>
      <c r="EN43" s="947"/>
      <c r="ER43" s="441"/>
      <c r="ES43" s="440"/>
      <c r="ET43" s="440"/>
      <c r="EU43" s="957"/>
      <c r="EW43" s="427"/>
      <c r="EX43"/>
    </row>
    <row r="44" spans="1:154" ht="17.100000000000001" customHeight="1" thickBot="1">
      <c r="A44" s="2685"/>
      <c r="B44" s="1369" t="str">
        <f ca="1">S44</f>
        <v>S</v>
      </c>
      <c r="C44" s="684" t="str">
        <f>IF(OR(F44=0,I44="",I44=" ")," ",$V44)</f>
        <v xml:space="preserve"> </v>
      </c>
      <c r="D44" s="1033"/>
      <c r="E44" s="1360" t="s">
        <v>8</v>
      </c>
      <c r="F44" s="202"/>
      <c r="G44" s="1416"/>
      <c r="H44" s="199" t="str">
        <f ca="1">IF(OR(F44=0,Z44="E",Z44="f")," ",'Project Demand'!E$35)</f>
        <v xml:space="preserve"> </v>
      </c>
      <c r="I44" s="631" t="str">
        <f>IF($I$6&lt;&gt;$BG$8," ",AB44)</f>
        <v xml:space="preserve"> </v>
      </c>
      <c r="J44" s="43" t="str">
        <f ca="1">IF(OR(I44=" ",I44="")," ",OFFSET($BO$9,CL44-1,0-4,1,1))</f>
        <v xml:space="preserve"> </v>
      </c>
      <c r="K44" s="55" t="str">
        <f>IF(OR(I44=" ",I44="")," ",IF(OR(Z44="e",Z44="h"),"SD",BG$24))</f>
        <v xml:space="preserve"> </v>
      </c>
      <c r="L44" s="49">
        <f ca="1">CW44</f>
        <v>0</v>
      </c>
      <c r="M44" s="49">
        <f ca="1">CY44</f>
        <v>0</v>
      </c>
      <c r="N44" s="50">
        <f t="shared" ref="N44:O48" ca="1" si="29">DA44</f>
        <v>0</v>
      </c>
      <c r="O44" s="126">
        <f t="shared" ca="1" si="29"/>
        <v>0</v>
      </c>
      <c r="P44" s="140"/>
      <c r="Q44" s="752" t="str">
        <f ca="1">IF(AND(OR(Z44="t",Z44="f"),K44=$BH$11),"No Floor!  Change Floor Type",IF(OR(I44=" ",I44="")," ",IF(F44&lt;OFFSET($BM$9,CL44-1,0,1,1),"check L(m)",DE44&amp;IF(AND(DP44&gt;=CY44,DR44&gt;=DB44),IF(AND(ED44&gt;=DP44,EF44&gt;=DR44),CONCATENATE(DS44," will provide same result"),CONCATENATE(CO44," will provide same result")),IF((DP44&gt;=CY44),CONCATENATE(CO44," provides same result in WIND"),IF((DR44&gt;=DB44),CONCATENATE(CO44," provides same result in EQ"),""))))))&amp;IF(ISERROR(FIND("pile",I44,1)),"",IF(INT(F44)&lt;&gt;F44,"Pile!  Use Whole Numbers Only",""))</f>
        <v xml:space="preserve"> </v>
      </c>
      <c r="R44" s="52">
        <f ca="1">IF(T38&lt;&gt;2,(COLUMN(INDIRECT(B38&amp;1))+1),U44)</f>
        <v>19</v>
      </c>
      <c r="S44" s="1372" t="str">
        <f ca="1">SUBSTITUTE(ADDRESS(1,R44,4),"1","")</f>
        <v>S</v>
      </c>
      <c r="T44" s="451">
        <f ca="1">IF(AND(ISTEXT(B44),SUBSTITUTE(SUBSTITUTE(SUBSTITUTE(SUBSTITUTE(SUBSTITUTE(SUBSTITUTE(SUBSTITUTE(SUBSTITUTE(SUBSTITUTE(SUBSTITUTE(SUBSTITUTE(SUBSTITUTE(SUBSTITUTE(SUBSTITUTE(SUBSTITUTE(SUBSTITUTE(SUBSTITUTE(SUBSTITUTE(SUBSTITUTE(SUBSTITUTE(SUBSTITUTE(SUBSTITUTE(SUBSTITUTE(SUBSTITUTE(SUBSTITUTE(SUBSTITUTE(LOWER(B44),"a",),"b",),"c",),"d",),"e",),"f",),"g",),"h",),"i",),"j",),"k",),"l",),"m",),"n",),"o",),"p",),"q",),"r",),"s",),"t",),"u",),"v",),"w",),"x",),"y",),"z",)=""),1,2)</f>
        <v>1</v>
      </c>
      <c r="U44" s="1377">
        <v>19</v>
      </c>
      <c r="V44" s="52" t="str">
        <f ca="1">IF(AND(B$5=$BF$9,OR(I44=BH$16,I44=BH$17))," ",IF(ISNUMBER(B$44),(CONCATENATE(B$44,".",W44)),(CONCATENATE(B$44,W44))))</f>
        <v>S0</v>
      </c>
      <c r="W44" s="9">
        <f ca="1">IF(B38=B44,W42+X44,X44)</f>
        <v>0</v>
      </c>
      <c r="X44" s="9">
        <f>IF(AND(B$5=$BF$9,OR($I44=$BH$16,$I44=$BH$17,$I44=" ",$I44="",$F44=0)),0,IF(OR($I44=" ",$I44="",$F44=0),0,1))</f>
        <v>0</v>
      </c>
      <c r="Y44" s="896">
        <f ca="1">IF(AND(M49&gt;0,B44&lt;&gt;B50),1,0)</f>
        <v>0</v>
      </c>
      <c r="Z44" s="52" t="str">
        <f ca="1">IF(I44=" "," ",OFFSET($BM$9,$CL44-1,8,1,1))</f>
        <v xml:space="preserve"> </v>
      </c>
      <c r="AA44" s="51" t="str">
        <f>IF(G44&gt;=45,"WA","")</f>
        <v/>
      </c>
      <c r="AB44" s="1364" t="str">
        <f>IF(F44&lt;&gt;"",IF(OR(D44=$BG$12,D44=$BG$13),IF(E44&lt;&gt;$BG$17,$BF$12,$BF$13),IF(E44&lt;&gt;$BG$17,$BF$12,$BF$13))," ")</f>
        <v xml:space="preserve"> </v>
      </c>
      <c r="AC44" s="1"/>
      <c r="AJ44" s="1690" t="s">
        <v>1111</v>
      </c>
      <c r="AK44" s="12"/>
      <c r="AL44" s="1"/>
      <c r="AM44" s="47"/>
      <c r="AN44" s="1"/>
      <c r="AO44" s="1"/>
      <c r="AP44" s="1"/>
      <c r="AQ44" s="33"/>
      <c r="AR44" s="33"/>
      <c r="AS44" s="1"/>
      <c r="AT44" s="1"/>
      <c r="AU44" s="1"/>
      <c r="AW44" s="33"/>
      <c r="BD44" s="637"/>
      <c r="BF44" s="599" t="str">
        <f>'Custom Elements'!C28</f>
        <v>Custom20</v>
      </c>
      <c r="BI44" s="759"/>
      <c r="BJ44" s="897">
        <f t="shared" si="28"/>
        <v>36</v>
      </c>
      <c r="BK44" s="1222" t="str">
        <f>BK50</f>
        <v xml:space="preserve">EPB </v>
      </c>
      <c r="BL44" s="1181" t="str">
        <f>Table!I10</f>
        <v>ER2</v>
      </c>
      <c r="BM44" s="1210">
        <f>Table!J10</f>
        <v>0.4</v>
      </c>
      <c r="BN44" s="454">
        <f>BM45</f>
        <v>0.6</v>
      </c>
      <c r="BO44" s="454">
        <f>Table!K10</f>
        <v>56</v>
      </c>
      <c r="BP44" s="924">
        <f>Table!L10</f>
        <v>51</v>
      </c>
      <c r="BQ44" s="920"/>
      <c r="BR44" s="768">
        <f>Table!M10</f>
        <v>0</v>
      </c>
      <c r="BS44" s="454">
        <f>Table!M11</f>
        <v>0</v>
      </c>
      <c r="BT44" s="454" t="str">
        <f>Table!N10</f>
        <v>I</v>
      </c>
      <c r="BU44" s="924" t="s">
        <v>242</v>
      </c>
      <c r="BV44" s="1230" t="str">
        <f>Table!AI77</f>
        <v>ER2</v>
      </c>
      <c r="BW44" s="1229">
        <f>BJ44</f>
        <v>36</v>
      </c>
      <c r="BX44" s="924" t="str">
        <f>Table!N11</f>
        <v>Double</v>
      </c>
      <c r="CH44" s="768">
        <f>IF(BN44=999,0,(BO45-BO44)/(BN44-BM44))</f>
        <v>5.0000000000000009</v>
      </c>
      <c r="CI44" s="924">
        <f>IF(BN44=999,0,(BP45-BP44)/(BN44-BM44))</f>
        <v>5.0000000000000009</v>
      </c>
      <c r="CJ44" s="759"/>
      <c r="CK44" s="188"/>
      <c r="CL44" s="979">
        <f>VLOOKUP(I44,Prodlink,2,0)</f>
        <v>0</v>
      </c>
      <c r="CN44" s="497">
        <f ca="1">VLOOKUP(CO44,Prodlink,2,0)</f>
        <v>0</v>
      </c>
      <c r="CO44" s="497">
        <f ca="1">OFFSET($CH$9,CL44-1,-15,1,1)</f>
        <v>0</v>
      </c>
      <c r="CQ44" s="51">
        <v>0</v>
      </c>
      <c r="CR44" s="51">
        <f>IF(K44=$BH$12,$BH$23,IF(K44=$BH$13,$BH$24,10000))</f>
        <v>10000</v>
      </c>
      <c r="CS44" s="51">
        <f ca="1">IF(F44&lt;OFFSET($BM$9,CL44-1,0,1,1),0,IF(F44&lt;OFFSET($BN$9,CL44-1,0,1,1),((F44-OFFSET($BM$9,CL44-1,0,1,1))*OFFSET($CH$9,CL44-1,0,1,1))+OFFSET($BO$9,CL44-1,CQ44,1,1),IF(F44&lt;OFFSET($BN$9,CL44+0,0,1,1),((F44-OFFSET($BM$9,CL44+0,0,1,1))*OFFSET($CH$9,CL44+0,0,1,1))+OFFSET($BO$9,CL44+0,CQ44,1,1),IF(F44&lt;OFFSET($BN$9,CL44+1,0,1,1),((F44-OFFSET($BM$9,CL44+1,0,1,1))*OFFSET($CH$9,CL44+1,0,1,1))+OFFSET($BO$9,CL44+1,CQ44,1,1),IF(F44&lt;OFFSET($BN$9,CL44+2,0,1,1),((F44-OFFSET($BM$9,CL44+2,0,1,1))*OFFSET($CH$9,CL44+2,0,1,1))+OFFSET($BO$9,CL44+2,CQ44,1,1),IF(F44&lt;OFFSET($BN$9,CL44+3,0,1,1),((F44-OFFSET($BM$9,CL44+3,0,1,1))*OFFSET($CH$9,CL44+3,0,1,1))+OFFSET($BO$9,CL44+3,CQ44,1,1),0))))))</f>
        <v>0</v>
      </c>
      <c r="CT44" s="1552">
        <f ca="1">IF($F44&lt;OFFSET($BM$9,$CL44-1,0,1,1),0,IF($F44&lt;OFFSET($BN$9,$CL44-1,0,1,1),IF(AND($H44&gt;2.4,Z44&lt;&gt;"e",Z44&lt;&gt;"f"),CX44*2.4/$H44,CX44),IF($F44&lt;OFFSET($BN$9,$CL44+0,0,1,1),IF(AND($H44&gt;2.4,Z44&lt;&gt;"e",Z44&lt;&gt;"f"),CX44*2.4/$H44,CX44),IF($F44&lt;OFFSET($BN$9,$CL44+1,0,1,1),IF(AND($H44&gt;2.4,Z44&lt;&gt;"e",Z44&lt;&gt;"f"),CX44*2.4/$H44,CX44),IF($F44&lt;OFFSET($BN$9,CL44+2,0,1,1),IF(AND($H44&gt;2.4,Z44&lt;&gt;"e",Z44&lt;&gt;"f"),CX44*2.4/$H44,CX44),IF($F44&lt;OFFSET($BN$9,CL44+3,0,1,1),IF(AND($H44&gt;2.4,Z44&lt;&gt;"e",Z44&lt;&gt;"f"),CX44*2.4/$H44,CX44),0)))))*COS(RADIANS($G44)))</f>
        <v>0</v>
      </c>
      <c r="CU44" s="51">
        <f ca="1">IF(F44&lt;OFFSET($BM$9,CL44-1,0,1,1),0,IF(F44&lt;OFFSET($BN$9,CL44-1,0,1,1),((F44-OFFSET($BM$9,CL44-1,0,1,1))*OFFSET($CI$9,CL44-1,0,1,1))+OFFSET($BP$9,CL44-1,CQ44,1,1),IF(F44&lt;OFFSET($BN$9,CL44+0,0,1,1),((F44-OFFSET($BM$9,CL44+0,0,1,1))*OFFSET($CI$9,CL44+0,0,1,1))+OFFSET($BP$9,CL44+0,CQ44,1,1),IF(F44&lt;OFFSET($BN$9,CL44+1,0,1,1),((F44-OFFSET($BM$9,CL44+1,0,1,1))*OFFSET($CI$9,CL44+1,0,1,1))+OFFSET($BP$9,CL44+1,CQ44,1,1),IF(F44&lt;OFFSET($BN$9,CL44+2,0,1,1),((F44-OFFSET($BM$9,CL44+2,0,1,1))*OFFSET($CI$9,CL44+2,0,1,1))+OFFSET($BP$9,CL44+2,CQ44,1,1),IF(F44&lt;OFFSET($BN$9,CL44+3,0,1,1),((F44-OFFSET($BM$9,CL44+3,0,1,1))*OFFSET($CI$9,CL44+3,0,1,1))+OFFSET($BP$9,CL44+3,CQ44,1,1),0))))))</f>
        <v>0</v>
      </c>
      <c r="CV44" s="1552">
        <f ca="1">IF($F44&lt;OFFSET($BM$9,$CL44-1,0,1,1),0,IF($F44&lt;OFFSET($BN$9,$CL44-1,0,1,1),IF(AND($H44&gt;2.4,Z44&lt;&gt;"e",Z44&lt;&gt;"f"),CZ44*2.4/$H44,CZ44),IF($F44&lt;OFFSET($BN$9,$CL44+0,0,1,1),IF(AND($H44&gt;2.4,Z44&lt;&gt;"e",Z44&lt;&gt;"f"),CZ44*2.4/$H44,CZ44),IF($F44&lt;OFFSET($BN$9,$CL44+1,0,1,1),IF(AND($H44&gt;2.4,Z44&lt;&gt;"e",Z44&lt;&gt;"f"),CZ44*2.4/$H44,CZ44),IF($F44&lt;OFFSET($BN$9,$CL44+2,0,1,1),IF(AND($H44&gt;2.4,Z44&lt;&gt;"e",Z44&lt;&gt;"f"),CZ44*2.4/$H44,CZ44),IF($F44&lt;OFFSET($BN$9,$CL44+3,0,1,1),IF(AND($H44&gt;2.4,Z44&lt;&gt;"e",Z44&lt;&gt;"f"),CZ44*2.4/$H44,CZ44),0)))))*COS(RADIANS($G44)))</f>
        <v>0</v>
      </c>
      <c r="CW44" s="51">
        <f ca="1">IF(CT44&gt;CR44,CR44,CT44)</f>
        <v>0</v>
      </c>
      <c r="CX44" s="51">
        <f ca="1">IF(CS44&gt;$CR44,$CR44,CS44)</f>
        <v>0</v>
      </c>
      <c r="CY44" s="51">
        <f ca="1">CW44*F44</f>
        <v>0</v>
      </c>
      <c r="CZ44" s="51">
        <f ca="1">IF($CU44&gt;$CR44,$CR44,$CU44)</f>
        <v>0</v>
      </c>
      <c r="DA44" s="51">
        <f ca="1">IF(CV44&gt;CR44,CR44,CV44)</f>
        <v>0</v>
      </c>
      <c r="DB44" s="51">
        <f ca="1">DA44*F44</f>
        <v>0</v>
      </c>
      <c r="DC44" s="993">
        <v>1</v>
      </c>
      <c r="DD44" s="758" t="str">
        <f>IF(OR(D44=BG$12,D44=BG$13),"External",IF(D44=BG$14,"Internal"," "))</f>
        <v xml:space="preserve"> </v>
      </c>
      <c r="DE44" s="51" t="str">
        <f t="shared" ca="1" si="2"/>
        <v/>
      </c>
      <c r="DF44" s="52" t="str">
        <f t="shared" ca="1" si="3"/>
        <v xml:space="preserve"> </v>
      </c>
      <c r="DG44" s="51">
        <f ca="1">IF(F44&lt;OFFSET($BM$9,CN44-1,0,1,1),0,IF(F44&lt;OFFSET($BN$9,CN44-1,0,1,1),((F44-OFFSET($BM$9,CN44-1,0,1,1))*OFFSET($CH$9,CN44-1,0,1,1))+OFFSET($BO$9,CN44-1,CQ44,1,1),IF(F44&lt;OFFSET($BN$9,CN44+0,0,1,1),((F44-OFFSET($BM$9,CN44+0,0,1,1))*OFFSET($CH$9,CN44+0,0,1,1))+OFFSET($BO$9,CN44+0,CQ44,1,1),IF(F44&lt;OFFSET($BN$9,CN44+1,0,1,1),((F44-OFFSET($BM$9,CN44+1,0,1,1))*OFFSET($CH$9,CN44+1,0,1,1))+OFFSET($BO$9,CN44+1,CQ44,1,1),IF(F44&lt;OFFSET($BN$9,CN44+2,0,1,1),((F44-OFFSET($BM$9,CN44+2,0,1,1))*OFFSET($CH$9,CN44+2,0,1,1))+OFFSET($BO$9,CN44+2,CQ44,1,1),IF(F44&lt;OFFSET($BN$9,CN44+3,0,1,1),((F44-OFFSET($BM$9,CN44+3,0,1,1))*OFFSET($CH$9,CN44+3,0,1,1))+OFFSET($BO$9,CN44+3,CQ44,1,1),0))))))</f>
        <v>0</v>
      </c>
      <c r="DH44" s="1552">
        <f ca="1">IF($F44&lt;OFFSET($BM$9,$CN44-1,0,1,1),0,IF($F44&lt;OFFSET($BN$9,$CN44-1,0,1,1),IF(AND($H44&gt;2.4,Z44&lt;&gt;"e",Z44&lt;&gt;"f"),DL44*2.4/$H44,DL44),IF($F44&lt;OFFSET($BN$9,$CN44+0,0,1,1),IF(AND($H44&gt;2.4,Z44&lt;&gt;"e",Z44&lt;&gt;"f"),DL44*2.4/$H44,DL44),IF($F44&lt;OFFSET($BN$9,$CN44+1,0,1,1),IF(AND($H44&gt;2.4,Z44&lt;&gt;"e",Z44&lt;&gt;"f"),DL44*2.4/$H44,DL44),IF($F44&lt;OFFSET($BN$9,$CN44+2,0,1,1),IF(AND($H44&gt;2.4,Z44&lt;&gt;"e",Z44&lt;&gt;"f"),DL44*2.4/$H44,DL44),IF($F44&lt;OFFSET($BN$9,$CN44+3,0,1,1),IF(AND($H44&gt;2.4,Z44&lt;&gt;"e",Z44&lt;&gt;"f"),DL44*2.4/$H44,DL44),0)))))*COS(RADIANS($G44)))</f>
        <v>0</v>
      </c>
      <c r="DI44" s="51">
        <f ca="1">IF(F44&lt;OFFSET($BM$9,CN44-1,0,1,1),0,IF(F44&lt;OFFSET($BN$9,CN44-1,0,1,1),((F44-OFFSET($BM$9,CN44-1,0,1,1))*OFFSET($CI$9,CN44-1,0,1,1))+OFFSET($BP$9,CN44-1,CQ44,1,1),IF(F44&lt;OFFSET($BN$9,CN44+0,0,1,1),((F44-OFFSET($BM$9,CN44+0,0,1,1))*OFFSET($CI$9,CN44+0,0,1,1))+OFFSET($BP$9,CN44+0,CQ44,1,1),IF(F44&lt;OFFSET($BN$9,CN44+1,0,1,1),((F44-OFFSET($BM$9,CN44+1,0,1,1))*OFFSET($CI$9,CN44+1,0,1,1))+OFFSET($BP$9,CN44+1,CQ44,1,1),IF(F44&lt;OFFSET($BN$9,CN44+2,0,1,1),((F44-OFFSET($BM$9,CN44+2,0,1,1))*OFFSET($CI$9,CN44+2,0,1,1))+OFFSET($BP$9,CN44+2,CQ44,1,1),IF(F44&lt;OFFSET($BN$9,CN44+3,0,1,1),((F44-OFFSET($BM$9,CN44+3,0,1,1))*OFFSET($CI$9,CN44+3,0,1,1))+OFFSET($BP$9,CN44+3,CQ44,1,1),0))))))</f>
        <v>0</v>
      </c>
      <c r="DJ44" s="1552">
        <f ca="1">IF($F44&lt;OFFSET($BM$9,$CN44-1,0,1,1),0,IF($F44&lt;OFFSET($BN$9,$CN44-1,0,1,1),IF(AND($H44&gt;2.4,Z44&lt;&gt;"e",Z44&lt;&gt;"f"),DN44*2.4/$H44,DN44),IF($F44&lt;OFFSET($BN$9,$CN44+0,0,1,1),IF(AND($H44&gt;2.4,Z44&lt;&gt;"e",Z44&lt;&gt;"f"),DN44*2.4/$H44,DN44),IF($F44&lt;OFFSET($BN$9,$CN44+1,0,1,1),IF(AND($H44&gt;2.4,Z44&lt;&gt;"e",Z44&lt;&gt;"f"),DN44*2.4/$H44,DN44),IF($F44&lt;OFFSET($BN$9,$CN44+2,0,1,1),IF(AND($H44&gt;2.4,Z44&lt;&gt;"e",Z44&lt;&gt;"f"),DN44*2.4/$H44,DN44),IF($F44&lt;OFFSET($BN$9,$CN44+3,0,1,1),IF(AND($H44&gt;2.4,Z44&lt;&gt;"e",Z44&lt;&gt;"f"),DN44*2.4/$H44,DN44),0)))))*COS(RADIANS($G44)))</f>
        <v>0</v>
      </c>
      <c r="DK44" s="51"/>
      <c r="DL44" s="51">
        <f ca="1">IF(DG44&gt;$CR44,$CR44,DG44)</f>
        <v>0</v>
      </c>
      <c r="DM44" s="51"/>
      <c r="DN44" s="51">
        <f ca="1">IF(DI44&gt;$CR44,$CR44,DI44)</f>
        <v>0</v>
      </c>
      <c r="DO44" s="435">
        <f ca="1">IF(DH44&gt;$CR44,$CR44,DH44)</f>
        <v>0</v>
      </c>
      <c r="DP44" s="435">
        <f ca="1">DO44*F44</f>
        <v>0</v>
      </c>
      <c r="DQ44" s="436">
        <f ca="1">IF(DJ44&gt;$CR44,$CR44,DJ44)</f>
        <v>0</v>
      </c>
      <c r="DR44" s="437">
        <f ca="1">DQ44*F44</f>
        <v>0</v>
      </c>
      <c r="DS44" s="426">
        <f ca="1">OFFSET($CH$9,CL44-1,-15,1,1)</f>
        <v>0</v>
      </c>
      <c r="DT44" s="451">
        <f t="shared" ca="1" si="27"/>
        <v>0</v>
      </c>
      <c r="DU44" s="188">
        <f ca="1">IF(F44&lt;OFFSET($BM$9,DT44-1,0,1,1),0,IF(F44&lt;OFFSET($BN$9,DT44-1,0,1,1),((F44-OFFSET($BM$9,DT44-1,0,1,1))*OFFSET($CH$9,DT44-1,0,1,1))+OFFSET($BO$9,DT44-1,CQ44,1,1),IF(F44&lt;OFFSET($BN$9,DT44+0,0,1,1),((F44-OFFSET($BM$9,DT44+0,0,1,1))*OFFSET($CH$9,DT44+0,0,1,1))+OFFSET($BO$9,DT44+0,CQ44,1,1),IF(F44&lt;OFFSET($BN$9,DT44+1,0,1,1),((F44-OFFSET($BM$9,DT44+1,0,1,1))*OFFSET($CH$9,DT44+1,0,1,1))+OFFSET($BO$9,DT44+1,CQ44,1,1),IF(F44&lt;OFFSET($BN$9,DT44+2,0,1,1),((F44-OFFSET($BM$9,DT44+2,0,1,1))*OFFSET($CH$9,DT44+2,0,1,1))+OFFSET($BO$9,DT44+2,CQ44,1,1),IF(F44&lt;OFFSET($BN$9,DT44+3,0,1,1),((F44-OFFSET($BM$9,DT44+3,0,1,1))*OFFSET($CH$9,DT44+3,0,1,1))+OFFSET($BO$9,DT44+3,CQ44,1,1),0))))))</f>
        <v>0</v>
      </c>
      <c r="DV44" s="1552">
        <f ca="1">IF($F44&lt;OFFSET($BM$9,$DT44-1,0,1,1),0,IF($F44&lt;OFFSET($BN$9,$DT44-1,0,1,1),IF(AND($H44&gt;2.4,Z44&lt;&gt;"e",Z44&lt;&gt;"f"),DZ44*2.4/$H44,DZ44),IF($F44&lt;OFFSET($BN$9,$DT44+0,0,1,1),IF(AND($H44&gt;2.4,Z44&lt;&gt;"e",Z44&lt;&gt;"f"),DZ44*2.4/$H44,DZ44),IF($F44&lt;OFFSET($BN$9,$DT44+1,0,1,1),IF(AND($H44&gt;2.4,Z44&lt;&gt;"e",Z44&lt;&gt;"f"),DZ44*2.4/$H44,DZ44),IF($F44&lt;OFFSET($BN$9,$DT44+2,0,1,1),IF(AND($H44&gt;2.4,Z44&lt;&gt;"e",Z44&lt;&gt;"f"),DZ44*2.4/$H44,DZ44),IF($F44&lt;OFFSET($BN$9,$DT44+3,0,1,1),IF(AND($H44&gt;2.4,Z44&lt;&gt;"e",Z44&lt;&gt;"f"),DZ44*2.4/$H44,DZ44),0)))))*COS(RADIANS($G44)))</f>
        <v>0</v>
      </c>
      <c r="DW44" s="188">
        <f ca="1">IF(F44&lt;OFFSET($BM$9,DT44-1,0,1,1),0,IF(F44&lt;OFFSET($BN$9,DT44-1,0,1,1),((F44-OFFSET($BM$9,DT44-1,0,1,1))*OFFSET($CI$9,DT44-1,0,1,1))+OFFSET($BP$9,DT44-1,CQ44,1,1),IF(F44&lt;OFFSET($BN$9,DT44+0,0,1,1),((F44-OFFSET($BM$9,DT44+0,0,1,1))*OFFSET($CI$9,DT44+0,0,1,1))+OFFSET($BP$9,DT44+0,CQ44,1,1),IF(F44&lt;OFFSET($BN$9,DT44+1,0,1,1),((F44-OFFSET($BM$9,DT44+1,0,1,1))*OFFSET($CI$9,DT44+1,0,1,1))+OFFSET($BP$9,DT44+1,CQ44,1,1),IF(F44&lt;OFFSET($BN$9,DT44+2,0,1,1),((F44-OFFSET($BM$9,DT44+2,0,1,1))*OFFSET($CI$9,DT44+2,0,1,1))+OFFSET($BP$9,DT44+2,CQ44,1,1),IF(F44&lt;OFFSET($BN$9,DT44+3,0,1,1),((F44-OFFSET($BM$9,DT44+3,0,1,1))*OFFSET($CI$9,DT44+3,0,1,1))+OFFSET($BP$9,DT44+3,CQ44,1,1),0))))))</f>
        <v>0</v>
      </c>
      <c r="DX44" s="1552">
        <f ca="1">IF($F44&lt;OFFSET($BM$9,$DT44-1,0,1,1),0,IF($F44&lt;OFFSET($BN$9,$DT44-1,0,1,1),IF(AND($H44&gt;2.4,Z44&lt;&gt;"e",Z44&lt;&gt;"f"),EB44*2.4/$H44,EB44),IF($F44&lt;OFFSET($BN$9,$DT44+0,0,1,1),IF(AND($H44&gt;2.4,Z44&lt;&gt;"e",Z44&lt;&gt;"f"),EB44*2.4/$H44,EB44),IF($F44&lt;OFFSET($BN$9,$DT44+1,0,1,1),IF(AND($H44&gt;2.4,Z44&lt;&gt;"e",Z44&lt;&gt;"f"),EB44*2.4/$H44,EB44),IF($F44&lt;OFFSET($BN$9,$DT44+2,0,1,1),IF(AND($H44&gt;2.4,Z44&lt;&gt;"e",Z44&lt;&gt;"f"),EB44*2.4/$H44,EB44),IF($F44&lt;OFFSET($BN$9,$DT44+3,0,1,1),IF(AND($H44&gt;2.4,Z44&lt;&gt;"e",Z44&lt;&gt;"f"),EB44*2.4/$H44,EB44),0)))))*COS(RADIANS($G44)))</f>
        <v>0</v>
      </c>
      <c r="DY44" s="188"/>
      <c r="DZ44" s="188">
        <f ca="1">IF(DU44&gt;$CR44,$CR44,DU44)</f>
        <v>0</v>
      </c>
      <c r="EA44" s="188"/>
      <c r="EB44" s="188">
        <f ca="1">IF(DW44&gt;$CR44,$CR44,DW44)</f>
        <v>0</v>
      </c>
      <c r="EC44" s="435">
        <f ca="1">IF(DV44&gt;$CR44,$CR44,DV44)</f>
        <v>0</v>
      </c>
      <c r="ED44" s="435">
        <f ca="1">EC44*F44</f>
        <v>0</v>
      </c>
      <c r="EE44" s="436">
        <f ca="1">IF(DX44&gt;$CR44,$CR44,DX44)</f>
        <v>0</v>
      </c>
      <c r="EF44" s="437">
        <f ca="1">EE44*F44</f>
        <v>0</v>
      </c>
      <c r="EG44" s="613" t="str">
        <f>IF(D44=BG$12,BG$12,"")</f>
        <v/>
      </c>
      <c r="EH44" s="614" t="str">
        <f>IF(D44=BG$13,BG$13,"")</f>
        <v/>
      </c>
      <c r="EI44" s="611">
        <f>IF(EG44=BG$12,M44,0)</f>
        <v>0</v>
      </c>
      <c r="EJ44" s="451">
        <f>IF(EG44=BG$12,O44,0)</f>
        <v>0</v>
      </c>
      <c r="EK44" s="451">
        <f>IF(EH44=BG$13,M44,0)</f>
        <v>0</v>
      </c>
      <c r="EL44" s="612">
        <f>IF(EH44=BG$13,O44,0)</f>
        <v>0</v>
      </c>
      <c r="EM44" s="426" t="str">
        <f ca="1">IF(AND(Z44&lt;&gt;"t",Z44&lt;&gt;"f"),"",IF(AND(EN44=$BH$13,K44=$BH$12),"NotOpt",IF(K44&lt;&gt;EN44,"Error","")))</f>
        <v/>
      </c>
      <c r="EN44" s="491" t="str">
        <f>IF(AND($BH$28=1,$BG$28=1),$BH$13,$BH$12)</f>
        <v>120 BU's</v>
      </c>
      <c r="EO44" s="426" t="str">
        <f>K44</f>
        <v xml:space="preserve"> </v>
      </c>
      <c r="EP44" s="497">
        <v>1</v>
      </c>
      <c r="EQ44" s="430" t="str">
        <f ca="1">IF(EP44=1," ",OFFSET(BF$15,EP44-2,0,1,1))</f>
        <v xml:space="preserve"> </v>
      </c>
      <c r="ER44" s="439" t="str">
        <f ca="1">IF(H44=0," ",H44)</f>
        <v xml:space="preserve"> </v>
      </c>
      <c r="ES44" s="440" t="str">
        <f ca="1">IF(ER44&lt;&gt;" ",IF(ER44&lt;&gt;ER$7,"Changed",""),"")</f>
        <v/>
      </c>
      <c r="ET44" s="440">
        <f t="shared" ca="1" si="15"/>
        <v>0</v>
      </c>
      <c r="EU44" s="957" t="str">
        <f ca="1">IF(I44=" "," ",IF(F44&lt;OFFSET($BM$9,CL44-1,0,1,1),1,""))</f>
        <v xml:space="preserve"> </v>
      </c>
      <c r="EW44" s="427"/>
      <c r="EX44"/>
    </row>
    <row r="45" spans="1:154" ht="17.100000000000001" customHeight="1" thickBot="1">
      <c r="A45" s="2685"/>
      <c r="B45" s="689" t="s">
        <v>246</v>
      </c>
      <c r="C45" s="684" t="str">
        <f>IF(OR(F45=0,I45="",I45=" ")," ",$V45)</f>
        <v xml:space="preserve"> </v>
      </c>
      <c r="D45" s="1033"/>
      <c r="E45" s="1360" t="s">
        <v>8</v>
      </c>
      <c r="F45" s="202"/>
      <c r="G45" s="1416"/>
      <c r="H45" s="199" t="str">
        <f ca="1">IF(OR(F45=0,Z45="E",Z45="f")," ",'Project Demand'!E$35)</f>
        <v xml:space="preserve"> </v>
      </c>
      <c r="I45" s="631" t="str">
        <f>IF($I$6&lt;&gt;$BG$8," ",AB45)</f>
        <v xml:space="preserve"> </v>
      </c>
      <c r="J45" s="44" t="str">
        <f ca="1">IF(OR(I45=" ",I45="")," ",OFFSET($BO$9,CL45-1,0-4,1,1))</f>
        <v xml:space="preserve"> </v>
      </c>
      <c r="K45" s="55" t="str">
        <f>IF(OR(I45=" ",I45="")," ",IF(OR(Z45="e",Z45="h"),"SD",BG$24))</f>
        <v xml:space="preserve"> </v>
      </c>
      <c r="L45" s="49">
        <f ca="1">CW45</f>
        <v>0</v>
      </c>
      <c r="M45" s="49">
        <f ca="1">CY45</f>
        <v>0</v>
      </c>
      <c r="N45" s="50">
        <f t="shared" ca="1" si="29"/>
        <v>0</v>
      </c>
      <c r="O45" s="126">
        <f t="shared" ca="1" si="29"/>
        <v>0</v>
      </c>
      <c r="P45" s="140"/>
      <c r="Q45" s="752" t="str">
        <f ca="1">IF(AND(OR(Z45="t",Z45="f"),K45=$BH$11),"No Floor!  Change Floor Type",IF(OR(I45=" ",I45="")," ",IF(F45&lt;OFFSET($BM$9,CL45-1,0,1,1),"check L(m)",DE45&amp;IF(AND(DP45&gt;=CY45,DR45&gt;=DB45),IF(AND(ED45&gt;=DP45,EF45&gt;=DR45),CONCATENATE(DS45," will provide same result"),CONCATENATE(CO45," will provide same result")),IF((DP45&gt;=CY45),CONCATENATE(CO45," provides same result in WIND"),IF((DR45&gt;=DB45),CONCATENATE(CO45," provides same result in EQ"),""))))))&amp;IF(ISERROR(FIND("pile",I45,1)),"",IF(INT(F45)&lt;&gt;F45,"Pile!  Use Whole Numbers Only",""))</f>
        <v xml:space="preserve"> </v>
      </c>
      <c r="R45" s="52"/>
      <c r="S45" s="1372"/>
      <c r="T45" s="1372"/>
      <c r="U45" s="1377"/>
      <c r="V45" s="52" t="str">
        <f ca="1">IF(AND(B$5=$BF$9,OR(I45=BH$16,I45=BH$17))," ",IF(ISNUMBER(B$44),(CONCATENATE(B$44,".",W45)),(CONCATENATE(B$44,W45))))</f>
        <v>S0</v>
      </c>
      <c r="W45" s="9">
        <f ca="1">W44+X45</f>
        <v>0</v>
      </c>
      <c r="X45" s="9">
        <f>IF(AND(B$5=$BF$9,OR($I45=$BH$16,$I45=$BH$17,$I45=" ",$I45="",$F45=0)),0,IF(OR($I45=" ",$I45="",$F45=0),0,1))</f>
        <v>0</v>
      </c>
      <c r="Y45" s="896"/>
      <c r="Z45" s="52" t="str">
        <f ca="1">IF(I45=" "," ",OFFSET($BM$9,$CL45-1,8,1,1))</f>
        <v xml:space="preserve"> </v>
      </c>
      <c r="AA45" s="51" t="str">
        <f>IF(G45&gt;=45,"WA","")</f>
        <v/>
      </c>
      <c r="AB45" s="1364" t="str">
        <f>IF(F45&lt;&gt;"",IF(OR(D45=$BG$12,D45=$BG$13),IF(E45&lt;&gt;$BG$17,$BF$12,$BF$13),IF(E45&lt;&gt;$BG$17,$BF$12,$BF$13))," ")</f>
        <v xml:space="preserve"> </v>
      </c>
      <c r="AC45" s="1"/>
      <c r="AK45" s="2184" t="str">
        <f>'Custom Elements'!B6</f>
        <v>Supplier or Type</v>
      </c>
      <c r="AL45" s="2823" t="str">
        <f>'Custom Elements'!C6</f>
        <v xml:space="preserve"> Custom System Number</v>
      </c>
      <c r="AM45" s="1862" t="str">
        <f>'Custom Elements'!D6</f>
        <v>Min Length (m) or #</v>
      </c>
      <c r="AN45" s="2565" t="str">
        <f>'Custom Elements'!E6</f>
        <v>BU's/m   Wind</v>
      </c>
      <c r="AO45" s="2565" t="str">
        <f>'Custom Elements'!F6</f>
        <v>BU's/m   EQ</v>
      </c>
      <c r="AP45" s="1244"/>
      <c r="AQ45" s="1862" t="str">
        <f>'Custom Elements'!H6</f>
        <v>Single or Double Sided System</v>
      </c>
      <c r="AR45" s="1866" t="str">
        <f>'Custom Elements'!I6</f>
        <v>Height Dependant</v>
      </c>
      <c r="AS45" s="2232" t="str">
        <f>'Custom Elements'!J6</f>
        <v>Foundation Dependant</v>
      </c>
      <c r="AT45" s="1164"/>
      <c r="AU45" s="1164"/>
      <c r="AZ45" s="2232" t="s">
        <v>1102</v>
      </c>
      <c r="BD45" s="637"/>
      <c r="BF45" s="600" t="s">
        <v>8</v>
      </c>
      <c r="BG45" s="73"/>
      <c r="BI45" s="759"/>
      <c r="BJ45" s="897">
        <f t="shared" si="28"/>
        <v>37</v>
      </c>
      <c r="BK45" s="1224"/>
      <c r="BL45" s="1209"/>
      <c r="BM45" s="969">
        <f>Table!J11</f>
        <v>0.6</v>
      </c>
      <c r="BN45" s="455">
        <f t="shared" ref="BN45:BN47" si="30">BM46</f>
        <v>0.8</v>
      </c>
      <c r="BO45" s="455">
        <f>Table!K11</f>
        <v>57</v>
      </c>
      <c r="BP45" s="925">
        <f>Table!L11</f>
        <v>52</v>
      </c>
      <c r="BR45" s="1225"/>
      <c r="BS45" s="1212"/>
      <c r="BT45" s="1212"/>
      <c r="BU45" s="1226" t="s">
        <v>242</v>
      </c>
      <c r="BV45" s="895"/>
      <c r="BW45" s="603"/>
      <c r="BX45" s="1226" t="str">
        <f>Table!N11</f>
        <v>Double</v>
      </c>
      <c r="CH45" s="764">
        <f>IF(BN45=999,0,(BO46-BO45)/(BN45-BM45))</f>
        <v>4.9999999999999982</v>
      </c>
      <c r="CI45" s="925">
        <f>IF(BN45=999,0,(BP46-BP45)/(BN45-BM45))</f>
        <v>4.9999999999999982</v>
      </c>
      <c r="CJ45" s="759"/>
      <c r="CK45" s="188"/>
      <c r="CL45" s="979">
        <f>VLOOKUP(I45,Prodlink,2,0)</f>
        <v>0</v>
      </c>
      <c r="CN45" s="497">
        <f ca="1">VLOOKUP(CO45,Prodlink,2,0)</f>
        <v>0</v>
      </c>
      <c r="CO45" s="497">
        <f ca="1">OFFSET($CH$9,CL45-1,-15,1,1)</f>
        <v>0</v>
      </c>
      <c r="CQ45" s="51">
        <v>0</v>
      </c>
      <c r="CR45" s="51">
        <f>IF(K45=$BH$12,$BH$23,IF(K45=$BH$13,$BH$24,10000))</f>
        <v>10000</v>
      </c>
      <c r="CS45" s="51">
        <f ca="1">IF(F45&lt;OFFSET($BM$9,CL45-1,0,1,1),0,IF(F45&lt;OFFSET($BN$9,CL45-1,0,1,1),((F45-OFFSET($BM$9,CL45-1,0,1,1))*OFFSET($CH$9,CL45-1,0,1,1))+OFFSET($BO$9,CL45-1,CQ45,1,1),IF(F45&lt;OFFSET($BN$9,CL45+0,0,1,1),((F45-OFFSET($BM$9,CL45+0,0,1,1))*OFFSET($CH$9,CL45+0,0,1,1))+OFFSET($BO$9,CL45+0,CQ45,1,1),IF(F45&lt;OFFSET($BN$9,CL45+1,0,1,1),((F45-OFFSET($BM$9,CL45+1,0,1,1))*OFFSET($CH$9,CL45+1,0,1,1))+OFFSET($BO$9,CL45+1,CQ45,1,1),IF(F45&lt;OFFSET($BN$9,CL45+2,0,1,1),((F45-OFFSET($BM$9,CL45+2,0,1,1))*OFFSET($CH$9,CL45+2,0,1,1))+OFFSET($BO$9,CL45+2,CQ45,1,1),IF(F45&lt;OFFSET($BN$9,CL45+3,0,1,1),((F45-OFFSET($BM$9,CL45+3,0,1,1))*OFFSET($CH$9,CL45+3,0,1,1))+OFFSET($BO$9,CL45+3,CQ45,1,1),0))))))</f>
        <v>0</v>
      </c>
      <c r="CT45" s="51">
        <f ca="1">IF($F45&lt;OFFSET($BM$9,$CL45-1,0,1,1),0,IF($F45&lt;OFFSET($BN$9,$CL45-1,0,1,1),IF(AND($H45&gt;2.4,Z45&lt;&gt;"e",Z45&lt;&gt;"f"),CX45*2.4/$H45,CX45),IF($F45&lt;OFFSET($BN$9,$CL45+0,0,1,1),IF(AND($H45&gt;2.4,Z45&lt;&gt;"e",Z45&lt;&gt;"f"),CX45*2.4/$H45,CX45),IF($F45&lt;OFFSET($BN$9,$CL45+1,0,1,1),IF(AND($H45&gt;2.4,Z45&lt;&gt;"e",Z45&lt;&gt;"f"),CX45*2.4/$H45,CX45),IF($F45&lt;OFFSET($BN$9,CL45+2,0,1,1),IF(AND($H45&gt;2.4,Z45&lt;&gt;"e",Z45&lt;&gt;"f"),CX45*2.4/$H45,CX45),IF($F45&lt;OFFSET($BN$9,CL45+3,0,1,1),IF(AND($H45&gt;2.4,Z45&lt;&gt;"e",Z45&lt;&gt;"f"),CX45*2.4/$H45,CX45),0)))))*COS(RADIANS($G45)))</f>
        <v>0</v>
      </c>
      <c r="CU45" s="51">
        <f ca="1">IF(F45&lt;OFFSET($BM$9,CL45-1,0,1,1),0,IF(F45&lt;OFFSET($BN$9,CL45-1,0,1,1),((F45-OFFSET($BM$9,CL45-1,0,1,1))*OFFSET($CI$9,CL45-1,0,1,1))+OFFSET($BP$9,CL45-1,CQ45,1,1),IF(F45&lt;OFFSET($BN$9,CL45+0,0,1,1),((F45-OFFSET($BM$9,CL45+0,0,1,1))*OFFSET($CI$9,CL45+0,0,1,1))+OFFSET($BP$9,CL45+0,CQ45,1,1),IF(F45&lt;OFFSET($BN$9,CL45+1,0,1,1),((F45-OFFSET($BM$9,CL45+1,0,1,1))*OFFSET($CI$9,CL45+1,0,1,1))+OFFSET($BP$9,CL45+1,CQ45,1,1),IF(F45&lt;OFFSET($BN$9,CL45+2,0,1,1),((F45-OFFSET($BM$9,CL45+2,0,1,1))*OFFSET($CI$9,CL45+2,0,1,1))+OFFSET($BP$9,CL45+2,CQ45,1,1),IF(F45&lt;OFFSET($BN$9,CL45+3,0,1,1),((F45-OFFSET($BM$9,CL45+3,0,1,1))*OFFSET($CI$9,CL45+3,0,1,1))+OFFSET($BP$9,CL45+3,CQ45,1,1),0))))))</f>
        <v>0</v>
      </c>
      <c r="CV45" s="51">
        <f ca="1">IF($F45&lt;OFFSET($BM$9,$CL45-1,0,1,1),0,IF($F45&lt;OFFSET($BN$9,$CL45-1,0,1,1),IF(AND($H45&gt;2.4,Z45&lt;&gt;"e",Z45&lt;&gt;"f"),CZ45*2.4/$H45,CZ45),IF($F45&lt;OFFSET($BN$9,$CL45+0,0,1,1),IF(AND($H45&gt;2.4,Z45&lt;&gt;"e",Z45&lt;&gt;"f"),CZ45*2.4/$H45,CZ45),IF($F45&lt;OFFSET($BN$9,$CL45+1,0,1,1),IF(AND($H45&gt;2.4,Z45&lt;&gt;"e",Z45&lt;&gt;"f"),CZ45*2.4/$H45,CZ45),IF($F45&lt;OFFSET($BN$9,$CL45+2,0,1,1),IF(AND($H45&gt;2.4,Z45&lt;&gt;"e",Z45&lt;&gt;"f"),CZ45*2.4/$H45,CZ45),IF($F45&lt;OFFSET($BN$9,$CL45+3,0,1,1),IF(AND($H45&gt;2.4,Z45&lt;&gt;"e",Z45&lt;&gt;"f"),CZ45*2.4/$H45,CZ45),0)))))*COS(RADIANS($G45)))</f>
        <v>0</v>
      </c>
      <c r="CW45" s="51">
        <f ca="1">IF(CT45&gt;CR45,CR45,CT45)</f>
        <v>0</v>
      </c>
      <c r="CX45" s="51">
        <f ca="1">IF(CS45&gt;$CR45,$CR45,CS45)</f>
        <v>0</v>
      </c>
      <c r="CY45" s="51">
        <f ca="1">CW45*F45</f>
        <v>0</v>
      </c>
      <c r="CZ45" s="51">
        <f ca="1">IF($CU45&gt;$CR45,$CR45,$CU45)</f>
        <v>0</v>
      </c>
      <c r="DA45" s="51">
        <f ca="1">IF(CV45&gt;CR45,CR45,CV45)</f>
        <v>0</v>
      </c>
      <c r="DB45" s="51">
        <f ca="1">DA45*F45</f>
        <v>0</v>
      </c>
      <c r="DC45" s="993">
        <v>1</v>
      </c>
      <c r="DD45" s="758" t="str">
        <f>IF(OR(D45=BG$12,D45=BG$13),"External",IF(D45=BG$14,"Internal"," "))</f>
        <v xml:space="preserve"> </v>
      </c>
      <c r="DE45" s="51" t="str">
        <f t="shared" ca="1" si="2"/>
        <v/>
      </c>
      <c r="DF45" s="52" t="str">
        <f t="shared" ca="1" si="3"/>
        <v xml:space="preserve"> </v>
      </c>
      <c r="DG45" s="51">
        <f ca="1">IF(F45&lt;OFFSET($BM$9,CN45-1,0,1,1),0,IF(F45&lt;OFFSET($BN$9,CN45-1,0,1,1),((F45-OFFSET($BM$9,CN45-1,0,1,1))*OFFSET($CH$9,CN45-1,0,1,1))+OFFSET($BO$9,CN45-1,CQ45,1,1),IF(F45&lt;OFFSET($BN$9,CN45+0,0,1,1),((F45-OFFSET($BM$9,CN45+0,0,1,1))*OFFSET($CH$9,CN45+0,0,1,1))+OFFSET($BO$9,CN45+0,CQ45,1,1),IF(F45&lt;OFFSET($BN$9,CN45+1,0,1,1),((F45-OFFSET($BM$9,CN45+1,0,1,1))*OFFSET($CH$9,CN45+1,0,1,1))+OFFSET($BO$9,CN45+1,CQ45,1,1),IF(F45&lt;OFFSET($BN$9,CN45+2,0,1,1),((F45-OFFSET($BM$9,CN45+2,0,1,1))*OFFSET($CH$9,CN45+2,0,1,1))+OFFSET($BO$9,CN45+2,CQ45,1,1),IF(F45&lt;OFFSET($BN$9,CN45+3,0,1,1),((F45-OFFSET($BM$9,CN45+3,0,1,1))*OFFSET($CH$9,CN45+3,0,1,1))+OFFSET($BO$9,CN45+3,CQ45,1,1),0))))))</f>
        <v>0</v>
      </c>
      <c r="DH45" s="51">
        <f ca="1">IF($F45&lt;OFFSET($BM$9,$CN45-1,0,1,1),0,IF($F45&lt;OFFSET($BN$9,$CN45-1,0,1,1),IF(AND($H45&gt;2.4,Z45&lt;&gt;"e",Z45&lt;&gt;"f"),DL45*2.4/$H45,DL45),IF($F45&lt;OFFSET($BN$9,$CN45+0,0,1,1),IF(AND($H45&gt;2.4,Z45&lt;&gt;"e",Z45&lt;&gt;"f"),DL45*2.4/$H45,DL45),IF($F45&lt;OFFSET($BN$9,$CN45+1,0,1,1),IF(AND($H45&gt;2.4,Z45&lt;&gt;"e",Z45&lt;&gt;"f"),DL45*2.4/$H45,DL45),IF($F45&lt;OFFSET($BN$9,$CN45+2,0,1,1),IF(AND($H45&gt;2.4,Z45&lt;&gt;"e",Z45&lt;&gt;"f"),DL45*2.4/$H45,DL45),IF($F45&lt;OFFSET($BN$9,$CN45+3,0,1,1),IF(AND($H45&gt;2.4,Z45&lt;&gt;"e",Z45&lt;&gt;"f"),DL45*2.4/$H45,DL45),0)))))*COS(RADIANS($G45)))</f>
        <v>0</v>
      </c>
      <c r="DI45" s="51">
        <f ca="1">IF(F45&lt;OFFSET($BM$9,CN45-1,0,1,1),0,IF(F45&lt;OFFSET($BN$9,CN45-1,0,1,1),((F45-OFFSET($BM$9,CN45-1,0,1,1))*OFFSET($CI$9,CN45-1,0,1,1))+OFFSET($BP$9,CN45-1,CQ45,1,1),IF(F45&lt;OFFSET($BN$9,CN45+0,0,1,1),((F45-OFFSET($BM$9,CN45+0,0,1,1))*OFFSET($CI$9,CN45+0,0,1,1))+OFFSET($BP$9,CN45+0,CQ45,1,1),IF(F45&lt;OFFSET($BN$9,CN45+1,0,1,1),((F45-OFFSET($BM$9,CN45+1,0,1,1))*OFFSET($CI$9,CN45+1,0,1,1))+OFFSET($BP$9,CN45+1,CQ45,1,1),IF(F45&lt;OFFSET($BN$9,CN45+2,0,1,1),((F45-OFFSET($BM$9,CN45+2,0,1,1))*OFFSET($CI$9,CN45+2,0,1,1))+OFFSET($BP$9,CN45+2,CQ45,1,1),IF(F45&lt;OFFSET($BN$9,CN45+3,0,1,1),((F45-OFFSET($BM$9,CN45+3,0,1,1))*OFFSET($CI$9,CN45+3,0,1,1))+OFFSET($BP$9,CN45+3,CQ45,1,1),0))))))</f>
        <v>0</v>
      </c>
      <c r="DJ45" s="51">
        <f ca="1">IF($F45&lt;OFFSET($BM$9,$CN45-1,0,1,1),0,IF($F45&lt;OFFSET($BN$9,$CN45-1,0,1,1),IF(AND($H45&gt;2.4,Z45&lt;&gt;"e",Z45&lt;&gt;"f"),DN45*2.4/$H45,DN45),IF($F45&lt;OFFSET($BN$9,$CN45+0,0,1,1),IF(AND($H45&gt;2.4,Z45&lt;&gt;"e",Z45&lt;&gt;"f"),DN45*2.4/$H45,DN45),IF($F45&lt;OFFSET($BN$9,$CN45+1,0,1,1),IF(AND($H45&gt;2.4,Z45&lt;&gt;"e",Z45&lt;&gt;"f"),DN45*2.4/$H45,DN45),IF($F45&lt;OFFSET($BN$9,$CN45+2,0,1,1),IF(AND($H45&gt;2.4,Z45&lt;&gt;"e",Z45&lt;&gt;"f"),DN45*2.4/$H45,DN45),IF($F45&lt;OFFSET($BN$9,$CN45+3,0,1,1),IF(AND($H45&gt;2.4,Z45&lt;&gt;"e",Z45&lt;&gt;"f"),DN45*2.4/$H45,DN45),0)))))*COS(RADIANS($G45)))</f>
        <v>0</v>
      </c>
      <c r="DK45" s="51"/>
      <c r="DL45" s="51">
        <f ca="1">IF(DG45&gt;$CR45,$CR45,DG45)</f>
        <v>0</v>
      </c>
      <c r="DM45" s="51"/>
      <c r="DN45" s="51">
        <f ca="1">IF(DI45&gt;$CR45,$CR45,DI45)</f>
        <v>0</v>
      </c>
      <c r="DO45" s="435">
        <f ca="1">IF(DH45&gt;$CR45,$CR45,DH45)</f>
        <v>0</v>
      </c>
      <c r="DP45" s="435">
        <f ca="1">DO45*F45</f>
        <v>0</v>
      </c>
      <c r="DQ45" s="436">
        <f ca="1">IF(DJ45&gt;$CR45,$CR45,DJ45)</f>
        <v>0</v>
      </c>
      <c r="DR45" s="437">
        <f ca="1">DQ45*F45</f>
        <v>0</v>
      </c>
      <c r="DS45" s="426">
        <f ca="1">OFFSET($CH$9,CL45-1,-15,1,1)</f>
        <v>0</v>
      </c>
      <c r="DT45" s="451">
        <f t="shared" ca="1" si="27"/>
        <v>0</v>
      </c>
      <c r="DU45" s="188">
        <f ca="1">IF(F45&lt;OFFSET($BM$9,DT45-1,0,1,1),0,IF(F45&lt;OFFSET($BN$9,DT45-1,0,1,1),((F45-OFFSET($BM$9,DT45-1,0,1,1))*OFFSET($CH$9,DT45-1,0,1,1))+OFFSET($BO$9,DT45-1,CQ45,1,1),IF(F45&lt;OFFSET($BN$9,DT45+0,0,1,1),((F45-OFFSET($BM$9,DT45+0,0,1,1))*OFFSET($CH$9,DT45+0,0,1,1))+OFFSET($BO$9,DT45+0,CQ45,1,1),IF(F45&lt;OFFSET($BN$9,DT45+1,0,1,1),((F45-OFFSET($BM$9,DT45+1,0,1,1))*OFFSET($CH$9,DT45+1,0,1,1))+OFFSET($BO$9,DT45+1,CQ45,1,1),IF(F45&lt;OFFSET($BN$9,DT45+2,0,1,1),((F45-OFFSET($BM$9,DT45+2,0,1,1))*OFFSET($CH$9,DT45+2,0,1,1))+OFFSET($BO$9,DT45+2,CQ45,1,1),IF(F45&lt;OFFSET($BN$9,DT45+3,0,1,1),((F45-OFFSET($BM$9,DT45+3,0,1,1))*OFFSET($CH$9,DT45+3,0,1,1))+OFFSET($BO$9,DT45+3,CQ45,1,1),0))))))</f>
        <v>0</v>
      </c>
      <c r="DV45" s="51">
        <f ca="1">IF($F45&lt;OFFSET($BM$9,$DT45-1,0,1,1),0,IF($F45&lt;OFFSET($BN$9,$DT45-1,0,1,1),IF(AND($H45&gt;2.4,Z45&lt;&gt;"e",Z45&lt;&gt;"f"),DZ45*2.4/$H45,DZ45),IF($F45&lt;OFFSET($BN$9,$DT45+0,0,1,1),IF(AND($H45&gt;2.4,Z45&lt;&gt;"e",Z45&lt;&gt;"f"),DZ45*2.4/$H45,DZ45),IF($F45&lt;OFFSET($BN$9,$DT45+1,0,1,1),IF(AND($H45&gt;2.4,Z45&lt;&gt;"e",Z45&lt;&gt;"f"),DZ45*2.4/$H45,DZ45),IF($F45&lt;OFFSET($BN$9,$DT45+2,0,1,1),IF(AND($H45&gt;2.4,Z45&lt;&gt;"e",Z45&lt;&gt;"f"),DZ45*2.4/$H45,DZ45),IF($F45&lt;OFFSET($BN$9,$DT45+3,0,1,1),IF(AND($H45&gt;2.4,Z45&lt;&gt;"e",Z45&lt;&gt;"f"),DZ45*2.4/$H45,DZ45),0)))))*COS(RADIANS($G45)))</f>
        <v>0</v>
      </c>
      <c r="DW45" s="188">
        <f ca="1">IF(F45&lt;OFFSET($BM$9,DT45-1,0,1,1),0,IF(F45&lt;OFFSET($BN$9,DT45-1,0,1,1),((F45-OFFSET($BM$9,DT45-1,0,1,1))*OFFSET($CI$9,DT45-1,0,1,1))+OFFSET($BP$9,DT45-1,CQ45,1,1),IF(F45&lt;OFFSET($BN$9,DT45+0,0,1,1),((F45-OFFSET($BM$9,DT45+0,0,1,1))*OFFSET($CI$9,DT45+0,0,1,1))+OFFSET($BP$9,DT45+0,CQ45,1,1),IF(F45&lt;OFFSET($BN$9,DT45+1,0,1,1),((F45-OFFSET($BM$9,DT45+1,0,1,1))*OFFSET($CI$9,DT45+1,0,1,1))+OFFSET($BP$9,DT45+1,CQ45,1,1),IF(F45&lt;OFFSET($BN$9,DT45+2,0,1,1),((F45-OFFSET($BM$9,DT45+2,0,1,1))*OFFSET($CI$9,DT45+2,0,1,1))+OFFSET($BP$9,DT45+2,CQ45,1,1),IF(F45&lt;OFFSET($BN$9,DT45+3,0,1,1),((F45-OFFSET($BM$9,DT45+3,0,1,1))*OFFSET($CI$9,DT45+3,0,1,1))+OFFSET($BP$9,DT45+3,CQ45,1,1),0))))))</f>
        <v>0</v>
      </c>
      <c r="DX45" s="51">
        <f ca="1">IF($F45&lt;OFFSET($BM$9,$DT45-1,0,1,1),0,IF($F45&lt;OFFSET($BN$9,$DT45-1,0,1,1),IF(AND($H45&gt;2.4,Z45&lt;&gt;"e",Z45&lt;&gt;"f"),EB45*2.4/$H45,EB45),IF($F45&lt;OFFSET($BN$9,$DT45+0,0,1,1),IF(AND($H45&gt;2.4,Z45&lt;&gt;"e",Z45&lt;&gt;"f"),EB45*2.4/$H45,EB45),IF($F45&lt;OFFSET($BN$9,$DT45+1,0,1,1),IF(AND($H45&gt;2.4,Z45&lt;&gt;"e",Z45&lt;&gt;"f"),EB45*2.4/$H45,EB45),IF($F45&lt;OFFSET($BN$9,$DT45+2,0,1,1),IF(AND($H45&gt;2.4,Z45&lt;&gt;"e",Z45&lt;&gt;"f"),EB45*2.4/$H45,EB45),IF($F45&lt;OFFSET($BN$9,$DT45+3,0,1,1),IF(AND($H45&gt;2.4,Z45&lt;&gt;"e",Z45&lt;&gt;"f"),EB45*2.4/$H45,EB45),0)))))*COS(RADIANS($G45)))</f>
        <v>0</v>
      </c>
      <c r="DY45" s="188"/>
      <c r="DZ45" s="188">
        <f ca="1">IF(DU45&gt;$CR45,$CR45,DU45)</f>
        <v>0</v>
      </c>
      <c r="EA45" s="188"/>
      <c r="EB45" s="188">
        <f ca="1">IF(DW45&gt;$CR45,$CR45,DW45)</f>
        <v>0</v>
      </c>
      <c r="EC45" s="435">
        <f ca="1">IF(DV45&gt;$CR45,$CR45,DV45)</f>
        <v>0</v>
      </c>
      <c r="ED45" s="435">
        <f ca="1">EC45*F45</f>
        <v>0</v>
      </c>
      <c r="EE45" s="436">
        <f ca="1">IF(DX45&gt;$CR45,$CR45,DX45)</f>
        <v>0</v>
      </c>
      <c r="EF45" s="437">
        <f ca="1">EE45*F45</f>
        <v>0</v>
      </c>
      <c r="EG45" s="613" t="str">
        <f>IF(D45=BG$12,BG$12,"")</f>
        <v/>
      </c>
      <c r="EH45" s="614" t="str">
        <f>IF(D45=BG$13,BG$13,"")</f>
        <v/>
      </c>
      <c r="EI45" s="611">
        <f>IF(EG45=BG$12,M45,0)</f>
        <v>0</v>
      </c>
      <c r="EJ45" s="451">
        <f>IF(EG45=BG$12,O45,0)</f>
        <v>0</v>
      </c>
      <c r="EK45" s="451">
        <f>IF(EH45=BG$13,M45,0)</f>
        <v>0</v>
      </c>
      <c r="EL45" s="612">
        <f>IF(EH45=BG$13,O45,0)</f>
        <v>0</v>
      </c>
      <c r="EM45" s="426" t="str">
        <f ca="1">IF(AND(Z45&lt;&gt;"t",Z45&lt;&gt;"f"),"",IF(AND(EN45=$BH$13,K45=$BH$12),"NotOpt",IF(K45&lt;&gt;EN45,"Error","")))</f>
        <v/>
      </c>
      <c r="EN45" s="491" t="str">
        <f>IF(AND($BH$28=1,$BG$28=1),$BH$13,$BH$12)</f>
        <v>120 BU's</v>
      </c>
      <c r="EO45" s="426" t="str">
        <f>K45</f>
        <v xml:space="preserve"> </v>
      </c>
      <c r="EP45" s="497">
        <v>1</v>
      </c>
      <c r="EQ45" s="430" t="str">
        <f ca="1">IF(EP45=1," ",OFFSET(BF$15,EP45-2,0,1,1))</f>
        <v xml:space="preserve"> </v>
      </c>
      <c r="ER45" s="439" t="str">
        <f ca="1">IF(H45=0," ",H45)</f>
        <v xml:space="preserve"> </v>
      </c>
      <c r="ES45" s="440" t="str">
        <f ca="1">IF(ER45&lt;&gt;" ",IF(ER45&lt;&gt;ER$7,"Changed",""),"")</f>
        <v/>
      </c>
      <c r="ET45" s="440">
        <f t="shared" ca="1" si="15"/>
        <v>0</v>
      </c>
      <c r="EU45" s="957" t="str">
        <f ca="1">IF(I45=" "," ",IF(F45&lt;OFFSET($BM$9,CL45-1,0,1,1),1,""))</f>
        <v xml:space="preserve"> </v>
      </c>
      <c r="EW45" s="427"/>
      <c r="EX45"/>
    </row>
    <row r="46" spans="1:154" ht="17.100000000000001" customHeight="1">
      <c r="A46" s="2685"/>
      <c r="B46" s="689" t="s">
        <v>246</v>
      </c>
      <c r="C46" s="684" t="str">
        <f>IF(OR(F46=0,I46="",I46=" ")," ",$V46)</f>
        <v xml:space="preserve"> </v>
      </c>
      <c r="D46" s="1033"/>
      <c r="E46" s="1360" t="s">
        <v>8</v>
      </c>
      <c r="F46" s="202"/>
      <c r="G46" s="1416"/>
      <c r="H46" s="199" t="str">
        <f ca="1">IF(OR(F46=0,Z46="E",Z46="f")," ",'Project Demand'!E$35)</f>
        <v xml:space="preserve"> </v>
      </c>
      <c r="I46" s="631" t="str">
        <f>IF($I$6&lt;&gt;$BG$8," ",AB46)</f>
        <v xml:space="preserve"> </v>
      </c>
      <c r="J46" s="44" t="str">
        <f ca="1">IF(OR(I46=" ",I46="")," ",OFFSET($BO$9,CL46-1,0-4,1,1))</f>
        <v xml:space="preserve"> </v>
      </c>
      <c r="K46" s="55" t="str">
        <f>IF(OR(I46=" ",I46="")," ",IF(OR(Z46="e",Z46="h"),"SD",BG$24))</f>
        <v xml:space="preserve"> </v>
      </c>
      <c r="L46" s="49">
        <f ca="1">CW46</f>
        <v>0</v>
      </c>
      <c r="M46" s="49">
        <f ca="1">CY46</f>
        <v>0</v>
      </c>
      <c r="N46" s="50">
        <f t="shared" ca="1" si="29"/>
        <v>0</v>
      </c>
      <c r="O46" s="126">
        <f t="shared" ca="1" si="29"/>
        <v>0</v>
      </c>
      <c r="P46" s="140"/>
      <c r="Q46" s="752" t="str">
        <f ca="1">IF(AND(OR(Z46="t",Z46="f"),K46=$BH$11),"No Floor!  Change Floor Type",IF(OR(I46=" ",I46="")," ",IF(F46&lt;OFFSET($BM$9,CL46-1,0,1,1),"check L(m)",DE46&amp;IF(AND(DP46&gt;=CY46,DR46&gt;=DB46),IF(AND(ED46&gt;=DP46,EF46&gt;=DR46),CONCATENATE(DS46," will provide same result"),CONCATENATE(CO46," will provide same result")),IF((DP46&gt;=CY46),CONCATENATE(CO46," provides same result in WIND"),IF((DR46&gt;=DB46),CONCATENATE(CO46," provides same result in EQ"),""))))))&amp;IF(ISERROR(FIND("pile",I46,1)),"",IF(INT(F46)&lt;&gt;F46,"Pile!  Use Whole Numbers Only",""))</f>
        <v xml:space="preserve"> </v>
      </c>
      <c r="R46" s="52"/>
      <c r="S46" s="1372"/>
      <c r="T46" s="1372"/>
      <c r="U46" s="1377"/>
      <c r="V46" s="52" t="str">
        <f ca="1">IF(AND(B$5=$BF$9,OR(I46=BH$16,I46=BH$17))," ",IF(ISNUMBER(B$44),(CONCATENATE(B$44,".",W46)),(CONCATENATE(B$44,W46))))</f>
        <v>S0</v>
      </c>
      <c r="W46" s="9">
        <f ca="1">W45+X46</f>
        <v>0</v>
      </c>
      <c r="X46" s="9">
        <f>IF(AND(B$5=$BF$9,OR($I46=$BH$16,$I46=$BH$17,$I46=" ",$I46="",$F46=0)),0,IF(OR($I46=" ",$I46="",$F46=0),0,1))</f>
        <v>0</v>
      </c>
      <c r="Y46" s="896"/>
      <c r="Z46" s="52" t="str">
        <f ca="1">IF(I46=" "," ",OFFSET($BM$9,$CL46-1,8,1,1))</f>
        <v xml:space="preserve"> </v>
      </c>
      <c r="AA46" s="51" t="str">
        <f>IF(G46&gt;=45,"WA","")</f>
        <v/>
      </c>
      <c r="AB46" s="1364" t="str">
        <f>IF(F46&lt;&gt;"",IF(OR(D46=$BG$12,D46=$BG$13),IF(E46&lt;&gt;$BG$17,$BF$12,$BF$13),IF(E46&lt;&gt;$BG$17,$BF$12,$BF$13))," ")</f>
        <v xml:space="preserve"> </v>
      </c>
      <c r="AC46" s="1"/>
      <c r="AK46" s="2185"/>
      <c r="AL46" s="2246"/>
      <c r="AM46" s="1863"/>
      <c r="AN46" s="2252"/>
      <c r="AO46" s="2252"/>
      <c r="AP46" s="1244"/>
      <c r="AQ46" s="1863"/>
      <c r="AR46" s="2218"/>
      <c r="AS46" s="2233"/>
      <c r="AT46" s="1164"/>
      <c r="AU46" s="1164"/>
      <c r="AZ46" s="2233"/>
      <c r="BD46" s="637"/>
      <c r="BG46" s="73"/>
      <c r="BI46" s="759"/>
      <c r="BJ46" s="897">
        <f t="shared" si="28"/>
        <v>38</v>
      </c>
      <c r="BK46" s="1224"/>
      <c r="BL46" s="1209"/>
      <c r="BM46" s="969">
        <f>Table!J12</f>
        <v>0.8</v>
      </c>
      <c r="BN46" s="455">
        <f t="shared" si="30"/>
        <v>1</v>
      </c>
      <c r="BO46" s="455">
        <f>Table!K12</f>
        <v>58</v>
      </c>
      <c r="BP46" s="925">
        <f>Table!L12</f>
        <v>53</v>
      </c>
      <c r="BR46" s="1225"/>
      <c r="BS46" s="1212"/>
      <c r="BT46" s="1212"/>
      <c r="BU46" s="1226" t="s">
        <v>242</v>
      </c>
      <c r="BV46" s="895"/>
      <c r="BW46" s="603"/>
      <c r="BX46" s="1226" t="str">
        <f>Table!N11</f>
        <v>Double</v>
      </c>
      <c r="CH46" s="764">
        <f>IF(BN46=999,0,(BO47-BO46)/(BN46-BM46))</f>
        <v>5.0000000000000009</v>
      </c>
      <c r="CI46" s="925">
        <f>IF(BN46=999,0,(BP47-BP46)/(BN46-BM46))</f>
        <v>5.0000000000000009</v>
      </c>
      <c r="CJ46" s="759"/>
      <c r="CK46" s="188"/>
      <c r="CL46" s="979">
        <f>VLOOKUP(I46,Prodlink,2,0)</f>
        <v>0</v>
      </c>
      <c r="CN46" s="497">
        <f ca="1">VLOOKUP(CO46,Prodlink,2,0)</f>
        <v>0</v>
      </c>
      <c r="CO46" s="497">
        <f ca="1">OFFSET($CH$9,CL46-1,-15,1,1)</f>
        <v>0</v>
      </c>
      <c r="CQ46" s="51">
        <v>0</v>
      </c>
      <c r="CR46" s="51">
        <f>IF(K46=$BH$12,$BH$23,IF(K46=$BH$13,$BH$24,10000))</f>
        <v>10000</v>
      </c>
      <c r="CS46" s="51">
        <f ca="1">IF(F46&lt;OFFSET($BM$9,CL46-1,0,1,1),0,IF(F46&lt;OFFSET($BN$9,CL46-1,0,1,1),((F46-OFFSET($BM$9,CL46-1,0,1,1))*OFFSET($CH$9,CL46-1,0,1,1))+OFFSET($BO$9,CL46-1,CQ46,1,1),IF(F46&lt;OFFSET($BN$9,CL46+0,0,1,1),((F46-OFFSET($BM$9,CL46+0,0,1,1))*OFFSET($CH$9,CL46+0,0,1,1))+OFFSET($BO$9,CL46+0,CQ46,1,1),IF(F46&lt;OFFSET($BN$9,CL46+1,0,1,1),((F46-OFFSET($BM$9,CL46+1,0,1,1))*OFFSET($CH$9,CL46+1,0,1,1))+OFFSET($BO$9,CL46+1,CQ46,1,1),IF(F46&lt;OFFSET($BN$9,CL46+2,0,1,1),((F46-OFFSET($BM$9,CL46+2,0,1,1))*OFFSET($CH$9,CL46+2,0,1,1))+OFFSET($BO$9,CL46+2,CQ46,1,1),IF(F46&lt;OFFSET($BN$9,CL46+3,0,1,1),((F46-OFFSET($BM$9,CL46+3,0,1,1))*OFFSET($CH$9,CL46+3,0,1,1))+OFFSET($BO$9,CL46+3,CQ46,1,1),0))))))</f>
        <v>0</v>
      </c>
      <c r="CT46" s="51">
        <f ca="1">IF($F46&lt;OFFSET($BM$9,$CL46-1,0,1,1),0,IF($F46&lt;OFFSET($BN$9,$CL46-1,0,1,1),IF(AND($H46&gt;2.4,Z46&lt;&gt;"e",Z46&lt;&gt;"f"),CX46*2.4/$H46,CX46),IF($F46&lt;OFFSET($BN$9,$CL46+0,0,1,1),IF(AND($H46&gt;2.4,Z46&lt;&gt;"e",Z46&lt;&gt;"f"),CX46*2.4/$H46,CX46),IF($F46&lt;OFFSET($BN$9,$CL46+1,0,1,1),IF(AND($H46&gt;2.4,Z46&lt;&gt;"e",Z46&lt;&gt;"f"),CX46*2.4/$H46,CX46),IF($F46&lt;OFFSET($BN$9,CL46+2,0,1,1),IF(AND($H46&gt;2.4,Z46&lt;&gt;"e",Z46&lt;&gt;"f"),CX46*2.4/$H46,CX46),IF($F46&lt;OFFSET($BN$9,CL46+3,0,1,1),IF(AND($H46&gt;2.4,Z46&lt;&gt;"e",Z46&lt;&gt;"f"),CX46*2.4/$H46,CX46),0)))))*COS(RADIANS($G46)))</f>
        <v>0</v>
      </c>
      <c r="CU46" s="51">
        <f ca="1">IF(F46&lt;OFFSET($BM$9,CL46-1,0,1,1),0,IF(F46&lt;OFFSET($BN$9,CL46-1,0,1,1),((F46-OFFSET($BM$9,CL46-1,0,1,1))*OFFSET($CI$9,CL46-1,0,1,1))+OFFSET($BP$9,CL46-1,CQ46,1,1),IF(F46&lt;OFFSET($BN$9,CL46+0,0,1,1),((F46-OFFSET($BM$9,CL46+0,0,1,1))*OFFSET($CI$9,CL46+0,0,1,1))+OFFSET($BP$9,CL46+0,CQ46,1,1),IF(F46&lt;OFFSET($BN$9,CL46+1,0,1,1),((F46-OFFSET($BM$9,CL46+1,0,1,1))*OFFSET($CI$9,CL46+1,0,1,1))+OFFSET($BP$9,CL46+1,CQ46,1,1),IF(F46&lt;OFFSET($BN$9,CL46+2,0,1,1),((F46-OFFSET($BM$9,CL46+2,0,1,1))*OFFSET($CI$9,CL46+2,0,1,1))+OFFSET($BP$9,CL46+2,CQ46,1,1),IF(F46&lt;OFFSET($BN$9,CL46+3,0,1,1),((F46-OFFSET($BM$9,CL46+3,0,1,1))*OFFSET($CI$9,CL46+3,0,1,1))+OFFSET($BP$9,CL46+3,CQ46,1,1),0))))))</f>
        <v>0</v>
      </c>
      <c r="CV46" s="51">
        <f ca="1">IF($F46&lt;OFFSET($BM$9,$CL46-1,0,1,1),0,IF($F46&lt;OFFSET($BN$9,$CL46-1,0,1,1),IF(AND($H46&gt;2.4,Z46&lt;&gt;"e",Z46&lt;&gt;"f"),CZ46*2.4/$H46,CZ46),IF($F46&lt;OFFSET($BN$9,$CL46+0,0,1,1),IF(AND($H46&gt;2.4,Z46&lt;&gt;"e",Z46&lt;&gt;"f"),CZ46*2.4/$H46,CZ46),IF($F46&lt;OFFSET($BN$9,$CL46+1,0,1,1),IF(AND($H46&gt;2.4,Z46&lt;&gt;"e",Z46&lt;&gt;"f"),CZ46*2.4/$H46,CZ46),IF($F46&lt;OFFSET($BN$9,$CL46+2,0,1,1),IF(AND($H46&gt;2.4,Z46&lt;&gt;"e",Z46&lt;&gt;"f"),CZ46*2.4/$H46,CZ46),IF($F46&lt;OFFSET($BN$9,$CL46+3,0,1,1),IF(AND($H46&gt;2.4,Z46&lt;&gt;"e",Z46&lt;&gt;"f"),CZ46*2.4/$H46,CZ46),0)))))*COS(RADIANS($G46)))</f>
        <v>0</v>
      </c>
      <c r="CW46" s="51">
        <f ca="1">IF(CT46&gt;CR46,CR46,CT46)</f>
        <v>0</v>
      </c>
      <c r="CX46" s="51">
        <f ca="1">IF(CS46&gt;$CR46,$CR46,CS46)</f>
        <v>0</v>
      </c>
      <c r="CY46" s="51">
        <f ca="1">CW46*F46</f>
        <v>0</v>
      </c>
      <c r="CZ46" s="51">
        <f ca="1">IF($CU46&gt;$CR46,$CR46,$CU46)</f>
        <v>0</v>
      </c>
      <c r="DA46" s="51">
        <f ca="1">IF(CV46&gt;CR46,CR46,CV46)</f>
        <v>0</v>
      </c>
      <c r="DB46" s="51">
        <f ca="1">DA46*F46</f>
        <v>0</v>
      </c>
      <c r="DC46" s="993">
        <v>1</v>
      </c>
      <c r="DD46" s="758" t="str">
        <f>IF(OR(D46=BG$12,D46=BG$13),"External",IF(D46=BG$14,"Internal"," "))</f>
        <v xml:space="preserve"> </v>
      </c>
      <c r="DE46" s="51" t="str">
        <f t="shared" ca="1" si="2"/>
        <v/>
      </c>
      <c r="DF46" s="52" t="str">
        <f t="shared" ca="1" si="3"/>
        <v xml:space="preserve"> </v>
      </c>
      <c r="DG46" s="51">
        <f ca="1">IF(F46&lt;OFFSET($BM$9,CN46-1,0,1,1),0,IF(F46&lt;OFFSET($BN$9,CN46-1,0,1,1),((F46-OFFSET($BM$9,CN46-1,0,1,1))*OFFSET($CH$9,CN46-1,0,1,1))+OFFSET($BO$9,CN46-1,CQ46,1,1),IF(F46&lt;OFFSET($BN$9,CN46+0,0,1,1),((F46-OFFSET($BM$9,CN46+0,0,1,1))*OFFSET($CH$9,CN46+0,0,1,1))+OFFSET($BO$9,CN46+0,CQ46,1,1),IF(F46&lt;OFFSET($BN$9,CN46+1,0,1,1),((F46-OFFSET($BM$9,CN46+1,0,1,1))*OFFSET($CH$9,CN46+1,0,1,1))+OFFSET($BO$9,CN46+1,CQ46,1,1),IF(F46&lt;OFFSET($BN$9,CN46+2,0,1,1),((F46-OFFSET($BM$9,CN46+2,0,1,1))*OFFSET($CH$9,CN46+2,0,1,1))+OFFSET($BO$9,CN46+2,CQ46,1,1),IF(F46&lt;OFFSET($BN$9,CN46+3,0,1,1),((F46-OFFSET($BM$9,CN46+3,0,1,1))*OFFSET($CH$9,CN46+3,0,1,1))+OFFSET($BO$9,CN46+3,CQ46,1,1),0))))))</f>
        <v>0</v>
      </c>
      <c r="DH46" s="51">
        <f ca="1">IF($F46&lt;OFFSET($BM$9,$CN46-1,0,1,1),0,IF($F46&lt;OFFSET($BN$9,$CN46-1,0,1,1),IF(AND($H46&gt;2.4,Z46&lt;&gt;"e",Z46&lt;&gt;"f"),DL46*2.4/$H46,DL46),IF($F46&lt;OFFSET($BN$9,$CN46+0,0,1,1),IF(AND($H46&gt;2.4,Z46&lt;&gt;"e",Z46&lt;&gt;"f"),DL46*2.4/$H46,DL46),IF($F46&lt;OFFSET($BN$9,$CN46+1,0,1,1),IF(AND($H46&gt;2.4,Z46&lt;&gt;"e",Z46&lt;&gt;"f"),DL46*2.4/$H46,DL46),IF($F46&lt;OFFSET($BN$9,$CN46+2,0,1,1),IF(AND($H46&gt;2.4,Z46&lt;&gt;"e",Z46&lt;&gt;"f"),DL46*2.4/$H46,DL46),IF($F46&lt;OFFSET($BN$9,$CN46+3,0,1,1),IF(AND($H46&gt;2.4,Z46&lt;&gt;"e",Z46&lt;&gt;"f"),DL46*2.4/$H46,DL46),0)))))*COS(RADIANS($G46)))</f>
        <v>0</v>
      </c>
      <c r="DI46" s="51">
        <f ca="1">IF(F46&lt;OFFSET($BM$9,CN46-1,0,1,1),0,IF(F46&lt;OFFSET($BN$9,CN46-1,0,1,1),((F46-OFFSET($BM$9,CN46-1,0,1,1))*OFFSET($CI$9,CN46-1,0,1,1))+OFFSET($BP$9,CN46-1,CQ46,1,1),IF(F46&lt;OFFSET($BN$9,CN46+0,0,1,1),((F46-OFFSET($BM$9,CN46+0,0,1,1))*OFFSET($CI$9,CN46+0,0,1,1))+OFFSET($BP$9,CN46+0,CQ46,1,1),IF(F46&lt;OFFSET($BN$9,CN46+1,0,1,1),((F46-OFFSET($BM$9,CN46+1,0,1,1))*OFFSET($CI$9,CN46+1,0,1,1))+OFFSET($BP$9,CN46+1,CQ46,1,1),IF(F46&lt;OFFSET($BN$9,CN46+2,0,1,1),((F46-OFFSET($BM$9,CN46+2,0,1,1))*OFFSET($CI$9,CN46+2,0,1,1))+OFFSET($BP$9,CN46+2,CQ46,1,1),IF(F46&lt;OFFSET($BN$9,CN46+3,0,1,1),((F46-OFFSET($BM$9,CN46+3,0,1,1))*OFFSET($CI$9,CN46+3,0,1,1))+OFFSET($BP$9,CN46+3,CQ46,1,1),0))))))</f>
        <v>0</v>
      </c>
      <c r="DJ46" s="51">
        <f ca="1">IF($F46&lt;OFFSET($BM$9,$CN46-1,0,1,1),0,IF($F46&lt;OFFSET($BN$9,$CN46-1,0,1,1),IF(AND($H46&gt;2.4,Z46&lt;&gt;"e",Z46&lt;&gt;"f"),DN46*2.4/$H46,DN46),IF($F46&lt;OFFSET($BN$9,$CN46+0,0,1,1),IF(AND($H46&gt;2.4,Z46&lt;&gt;"e",Z46&lt;&gt;"f"),DN46*2.4/$H46,DN46),IF($F46&lt;OFFSET($BN$9,$CN46+1,0,1,1),IF(AND($H46&gt;2.4,Z46&lt;&gt;"e",Z46&lt;&gt;"f"),DN46*2.4/$H46,DN46),IF($F46&lt;OFFSET($BN$9,$CN46+2,0,1,1),IF(AND($H46&gt;2.4,Z46&lt;&gt;"e",Z46&lt;&gt;"f"),DN46*2.4/$H46,DN46),IF($F46&lt;OFFSET($BN$9,$CN46+3,0,1,1),IF(AND($H46&gt;2.4,Z46&lt;&gt;"e",Z46&lt;&gt;"f"),DN46*2.4/$H46,DN46),0)))))*COS(RADIANS($G46)))</f>
        <v>0</v>
      </c>
      <c r="DK46" s="51"/>
      <c r="DL46" s="51">
        <f ca="1">IF(DG46&gt;$CR46,$CR46,DG46)</f>
        <v>0</v>
      </c>
      <c r="DM46" s="51"/>
      <c r="DN46" s="51">
        <f ca="1">IF(DI46&gt;$CR46,$CR46,DI46)</f>
        <v>0</v>
      </c>
      <c r="DO46" s="435">
        <f ca="1">IF(DH46&gt;$CR46,$CR46,DH46)</f>
        <v>0</v>
      </c>
      <c r="DP46" s="435">
        <f ca="1">DO46*F46</f>
        <v>0</v>
      </c>
      <c r="DQ46" s="436">
        <f ca="1">IF(DJ46&gt;$CR46,$CR46,DJ46)</f>
        <v>0</v>
      </c>
      <c r="DR46" s="437">
        <f ca="1">DQ46*F46</f>
        <v>0</v>
      </c>
      <c r="DS46" s="426">
        <f ca="1">OFFSET($CH$9,CL46-1,-15,1,1)</f>
        <v>0</v>
      </c>
      <c r="DT46" s="451">
        <f t="shared" ca="1" si="27"/>
        <v>0</v>
      </c>
      <c r="DU46" s="188">
        <f ca="1">IF(F46&lt;OFFSET($BM$9,DT46-1,0,1,1),0,IF(F46&lt;OFFSET($BN$9,DT46-1,0,1,1),((F46-OFFSET($BM$9,DT46-1,0,1,1))*OFFSET($CH$9,DT46-1,0,1,1))+OFFSET($BO$9,DT46-1,CQ46,1,1),IF(F46&lt;OFFSET($BN$9,DT46+0,0,1,1),((F46-OFFSET($BM$9,DT46+0,0,1,1))*OFFSET($CH$9,DT46+0,0,1,1))+OFFSET($BO$9,DT46+0,CQ46,1,1),IF(F46&lt;OFFSET($BN$9,DT46+1,0,1,1),((F46-OFFSET($BM$9,DT46+1,0,1,1))*OFFSET($CH$9,DT46+1,0,1,1))+OFFSET($BO$9,DT46+1,CQ46,1,1),IF(F46&lt;OFFSET($BN$9,DT46+2,0,1,1),((F46-OFFSET($BM$9,DT46+2,0,1,1))*OFFSET($CH$9,DT46+2,0,1,1))+OFFSET($BO$9,DT46+2,CQ46,1,1),IF(F46&lt;OFFSET($BN$9,DT46+3,0,1,1),((F46-OFFSET($BM$9,DT46+3,0,1,1))*OFFSET($CH$9,DT46+3,0,1,1))+OFFSET($BO$9,DT46+3,CQ46,1,1),0))))))</f>
        <v>0</v>
      </c>
      <c r="DV46" s="51">
        <f ca="1">IF($F46&lt;OFFSET($BM$9,$DT46-1,0,1,1),0,IF($F46&lt;OFFSET($BN$9,$DT46-1,0,1,1),IF(AND($H46&gt;2.4,Z46&lt;&gt;"e",Z46&lt;&gt;"f"),DZ46*2.4/$H46,DZ46),IF($F46&lt;OFFSET($BN$9,$DT46+0,0,1,1),IF(AND($H46&gt;2.4,Z46&lt;&gt;"e",Z46&lt;&gt;"f"),DZ46*2.4/$H46,DZ46),IF($F46&lt;OFFSET($BN$9,$DT46+1,0,1,1),IF(AND($H46&gt;2.4,Z46&lt;&gt;"e",Z46&lt;&gt;"f"),DZ46*2.4/$H46,DZ46),IF($F46&lt;OFFSET($BN$9,$DT46+2,0,1,1),IF(AND($H46&gt;2.4,Z46&lt;&gt;"e",Z46&lt;&gt;"f"),DZ46*2.4/$H46,DZ46),IF($F46&lt;OFFSET($BN$9,$DT46+3,0,1,1),IF(AND($H46&gt;2.4,Z46&lt;&gt;"e",Z46&lt;&gt;"f"),DZ46*2.4/$H46,DZ46),0)))))*COS(RADIANS($G46)))</f>
        <v>0</v>
      </c>
      <c r="DW46" s="188">
        <f ca="1">IF(F46&lt;OFFSET($BM$9,DT46-1,0,1,1),0,IF(F46&lt;OFFSET($BN$9,DT46-1,0,1,1),((F46-OFFSET($BM$9,DT46-1,0,1,1))*OFFSET($CI$9,DT46-1,0,1,1))+OFFSET($BP$9,DT46-1,CQ46,1,1),IF(F46&lt;OFFSET($BN$9,DT46+0,0,1,1),((F46-OFFSET($BM$9,DT46+0,0,1,1))*OFFSET($CI$9,DT46+0,0,1,1))+OFFSET($BP$9,DT46+0,CQ46,1,1),IF(F46&lt;OFFSET($BN$9,DT46+1,0,1,1),((F46-OFFSET($BM$9,DT46+1,0,1,1))*OFFSET($CI$9,DT46+1,0,1,1))+OFFSET($BP$9,DT46+1,CQ46,1,1),IF(F46&lt;OFFSET($BN$9,DT46+2,0,1,1),((F46-OFFSET($BM$9,DT46+2,0,1,1))*OFFSET($CI$9,DT46+2,0,1,1))+OFFSET($BP$9,DT46+2,CQ46,1,1),IF(F46&lt;OFFSET($BN$9,DT46+3,0,1,1),((F46-OFFSET($BM$9,DT46+3,0,1,1))*OFFSET($CI$9,DT46+3,0,1,1))+OFFSET($BP$9,DT46+3,CQ46,1,1),0))))))</f>
        <v>0</v>
      </c>
      <c r="DX46" s="51">
        <f ca="1">IF($F46&lt;OFFSET($BM$9,$DT46-1,0,1,1),0,IF($F46&lt;OFFSET($BN$9,$DT46-1,0,1,1),IF(AND($H46&gt;2.4,Z46&lt;&gt;"e",Z46&lt;&gt;"f"),EB46*2.4/$H46,EB46),IF($F46&lt;OFFSET($BN$9,$DT46+0,0,1,1),IF(AND($H46&gt;2.4,Z46&lt;&gt;"e",Z46&lt;&gt;"f"),EB46*2.4/$H46,EB46),IF($F46&lt;OFFSET($BN$9,$DT46+1,0,1,1),IF(AND($H46&gt;2.4,Z46&lt;&gt;"e",Z46&lt;&gt;"f"),EB46*2.4/$H46,EB46),IF($F46&lt;OFFSET($BN$9,$DT46+2,0,1,1),IF(AND($H46&gt;2.4,Z46&lt;&gt;"e",Z46&lt;&gt;"f"),EB46*2.4/$H46,EB46),IF($F46&lt;OFFSET($BN$9,$DT46+3,0,1,1),IF(AND($H46&gt;2.4,Z46&lt;&gt;"e",Z46&lt;&gt;"f"),EB46*2.4/$H46,EB46),0)))))*COS(RADIANS($G46)))</f>
        <v>0</v>
      </c>
      <c r="DY46" s="188"/>
      <c r="DZ46" s="188">
        <f ca="1">IF(DU46&gt;$CR46,$CR46,DU46)</f>
        <v>0</v>
      </c>
      <c r="EA46" s="188"/>
      <c r="EB46" s="188">
        <f ca="1">IF(DW46&gt;$CR46,$CR46,DW46)</f>
        <v>0</v>
      </c>
      <c r="EC46" s="435">
        <f ca="1">IF(DV46&gt;$CR46,$CR46,DV46)</f>
        <v>0</v>
      </c>
      <c r="ED46" s="435">
        <f ca="1">EC46*F46</f>
        <v>0</v>
      </c>
      <c r="EE46" s="436">
        <f ca="1">IF(DX46&gt;$CR46,$CR46,DX46)</f>
        <v>0</v>
      </c>
      <c r="EF46" s="437">
        <f ca="1">EE46*F46</f>
        <v>0</v>
      </c>
      <c r="EG46" s="613" t="str">
        <f>IF(D46=BG$12,BG$12,"")</f>
        <v/>
      </c>
      <c r="EH46" s="614" t="str">
        <f>IF(D46=BG$13,BG$13,"")</f>
        <v/>
      </c>
      <c r="EI46" s="611">
        <f>IF(EG46=BG$12,M46,0)</f>
        <v>0</v>
      </c>
      <c r="EJ46" s="451">
        <f>IF(EG46=BG$12,O46,0)</f>
        <v>0</v>
      </c>
      <c r="EK46" s="451">
        <f>IF(EH46=BG$13,M46,0)</f>
        <v>0</v>
      </c>
      <c r="EL46" s="612">
        <f>IF(EH46=BG$13,O46,0)</f>
        <v>0</v>
      </c>
      <c r="EM46" s="426" t="str">
        <f ca="1">IF(AND(Z46&lt;&gt;"t",Z46&lt;&gt;"f"),"",IF(AND(EN46=$BH$13,K46=$BH$12),"NotOpt",IF(K46&lt;&gt;EN46,"Error","")))</f>
        <v/>
      </c>
      <c r="EN46" s="491" t="str">
        <f>IF(AND($BH$28=1,$BG$28=1),$BH$13,$BH$12)</f>
        <v>120 BU's</v>
      </c>
      <c r="EO46" s="426" t="str">
        <f>K46</f>
        <v xml:space="preserve"> </v>
      </c>
      <c r="EP46" s="497">
        <v>1</v>
      </c>
      <c r="EQ46" s="430" t="str">
        <f ca="1">IF(EP46=1," ",OFFSET(BF$15,EP46-2,0,1,1))</f>
        <v xml:space="preserve"> </v>
      </c>
      <c r="ER46" s="439" t="str">
        <f ca="1">IF(H46=0," ",H46)</f>
        <v xml:space="preserve"> </v>
      </c>
      <c r="ES46" s="440" t="str">
        <f ca="1">IF(ER46&lt;&gt;" ",IF(ER46&lt;&gt;ER$7,"Changed",""),"")</f>
        <v/>
      </c>
      <c r="ET46" s="440">
        <f t="shared" ca="1" si="15"/>
        <v>0</v>
      </c>
      <c r="EU46" s="957" t="str">
        <f ca="1">IF(I46=" "," ",IF(F46&lt;OFFSET($BM$9,CL46-1,0,1,1),1,""))</f>
        <v xml:space="preserve"> </v>
      </c>
      <c r="EW46" s="427"/>
      <c r="EX46"/>
    </row>
    <row r="47" spans="1:154" ht="17.100000000000001" customHeight="1">
      <c r="A47" s="2685"/>
      <c r="B47" s="689" t="s">
        <v>246</v>
      </c>
      <c r="C47" s="684" t="str">
        <f>IF(OR(F47=0,I47="",I47=" ")," ",$V47)</f>
        <v xml:space="preserve"> </v>
      </c>
      <c r="D47" s="1033"/>
      <c r="E47" s="1360" t="s">
        <v>8</v>
      </c>
      <c r="F47" s="202"/>
      <c r="G47" s="1416"/>
      <c r="H47" s="199" t="str">
        <f ca="1">IF(OR(F47=0,Z47="E",Z47="f")," ",'Project Demand'!E$35)</f>
        <v xml:space="preserve"> </v>
      </c>
      <c r="I47" s="631" t="str">
        <f>IF($I$6&lt;&gt;$BG$8," ",AB47)</f>
        <v xml:space="preserve"> </v>
      </c>
      <c r="J47" s="44" t="str">
        <f ca="1">IF(OR(I47=" ",I47="")," ",OFFSET($BO$9,CL47-1,0-4,1,1))</f>
        <v xml:space="preserve"> </v>
      </c>
      <c r="K47" s="55" t="str">
        <f>IF(OR(I47=" ",I47="")," ",IF(OR(Z47="e",Z47="h"),"SD",BG$24))</f>
        <v xml:space="preserve"> </v>
      </c>
      <c r="L47" s="49">
        <f ca="1">CW47</f>
        <v>0</v>
      </c>
      <c r="M47" s="49">
        <f ca="1">CY47</f>
        <v>0</v>
      </c>
      <c r="N47" s="50">
        <f t="shared" ca="1" si="29"/>
        <v>0</v>
      </c>
      <c r="O47" s="126">
        <f t="shared" ca="1" si="29"/>
        <v>0</v>
      </c>
      <c r="P47" s="140"/>
      <c r="Q47" s="752" t="str">
        <f ca="1">IF(AND(OR(Z47="t",Z47="f"),K47=$BH$11),"No Floor!  Change Floor Type",IF(OR(I47=" ",I47="")," ",IF(F47&lt;OFFSET($BM$9,CL47-1,0,1,1),"check L(m)",DE47&amp;IF(AND(DP47&gt;=CY47,DR47&gt;=DB47),IF(AND(ED47&gt;=DP47,EF47&gt;=DR47),CONCATENATE(DS47," will provide same result"),CONCATENATE(CO47," will provide same result")),IF((DP47&gt;=CY47),CONCATENATE(CO47," provides same result in WIND"),IF((DR47&gt;=DB47),CONCATENATE(CO47," provides same result in EQ"),""))))))&amp;IF(ISERROR(FIND("pile",I47,1)),"",IF(INT(F47)&lt;&gt;F47,"Pile!  Use Whole Numbers Only",""))</f>
        <v xml:space="preserve"> </v>
      </c>
      <c r="R47" s="52"/>
      <c r="S47" s="1372"/>
      <c r="T47" s="1372"/>
      <c r="U47" s="1377"/>
      <c r="V47" s="52" t="str">
        <f ca="1">IF(AND(B$5=$BF$9,OR(I47=BH$16,I47=BH$17))," ",IF(ISNUMBER(B$44),(CONCATENATE(B$44,".",W47)),(CONCATENATE(B$44,W47))))</f>
        <v>S0</v>
      </c>
      <c r="W47" s="9">
        <f ca="1">W46+X47</f>
        <v>0</v>
      </c>
      <c r="X47" s="9">
        <f>IF(AND(B$5=$BF$9,OR($I47=$BH$16,$I47=$BH$17,$I47=" ",$I47="",$F47=0)),0,IF(OR($I47=" ",$I47="",$F47=0),0,1))</f>
        <v>0</v>
      </c>
      <c r="Y47" s="896"/>
      <c r="Z47" s="52" t="str">
        <f ca="1">IF(I47=" "," ",OFFSET($BM$9,$CL47-1,8,1,1))</f>
        <v xml:space="preserve"> </v>
      </c>
      <c r="AA47" s="51" t="str">
        <f>IF(G47&gt;=45,"WA","")</f>
        <v/>
      </c>
      <c r="AB47" s="1364" t="str">
        <f>IF(F47&lt;&gt;"",IF(OR(D47=$BG$12,D47=$BG$13),IF(E47&lt;&gt;$BG$17,$BF$12,$BF$13),IF(E47&lt;&gt;$BG$17,$BF$12,$BF$13))," ")</f>
        <v xml:space="preserve"> </v>
      </c>
      <c r="AC47" s="1"/>
      <c r="AK47" s="2822"/>
      <c r="AL47" s="2824"/>
      <c r="AM47" s="2144"/>
      <c r="AN47" s="2825"/>
      <c r="AO47" s="2825"/>
      <c r="AP47" s="1244"/>
      <c r="AQ47" s="2812"/>
      <c r="AR47" s="2807"/>
      <c r="AS47" s="2796"/>
      <c r="AT47" s="1164"/>
      <c r="AU47" s="1164"/>
      <c r="AZ47" s="2778"/>
      <c r="BD47" s="638"/>
      <c r="BE47" s="430"/>
      <c r="BF47" s="1021"/>
      <c r="BI47" s="759"/>
      <c r="BJ47" s="897">
        <f t="shared" si="28"/>
        <v>39</v>
      </c>
      <c r="BK47" s="1224"/>
      <c r="BL47" s="1209"/>
      <c r="BM47" s="969">
        <f>Table!J13</f>
        <v>1</v>
      </c>
      <c r="BN47" s="455">
        <f t="shared" si="30"/>
        <v>1.2</v>
      </c>
      <c r="BO47" s="455">
        <f>Table!K13</f>
        <v>59</v>
      </c>
      <c r="BP47" s="925">
        <f>Table!L13</f>
        <v>54</v>
      </c>
      <c r="BR47" s="1225"/>
      <c r="BS47" s="1212"/>
      <c r="BT47" s="1212"/>
      <c r="BU47" s="1226" t="s">
        <v>242</v>
      </c>
      <c r="BV47" s="895"/>
      <c r="BW47" s="603"/>
      <c r="BX47" s="1226" t="str">
        <f>Table!N11</f>
        <v>Double</v>
      </c>
      <c r="CH47" s="764">
        <f>IF(BN47=999,0,(BO48-BO47)/(BN47-BM47))</f>
        <v>5.0000000000000009</v>
      </c>
      <c r="CI47" s="925">
        <f>IF(BN47=999,0,(BP48-BP47)/(BN47-BM47))</f>
        <v>5.0000000000000009</v>
      </c>
      <c r="CJ47" s="759"/>
      <c r="CK47" s="188"/>
      <c r="CL47" s="979">
        <f>VLOOKUP(I47,Prodlink,2,0)</f>
        <v>0</v>
      </c>
      <c r="CN47" s="497">
        <f ca="1">VLOOKUP(CO47,Prodlink,2,0)</f>
        <v>0</v>
      </c>
      <c r="CO47" s="497">
        <f ca="1">OFFSET($CH$9,CL47-1,-15,1,1)</f>
        <v>0</v>
      </c>
      <c r="CQ47" s="51">
        <v>0</v>
      </c>
      <c r="CR47" s="51">
        <f>IF(K47=$BH$12,$BH$23,IF(K47=$BH$13,$BH$24,10000))</f>
        <v>10000</v>
      </c>
      <c r="CS47" s="51">
        <f ca="1">IF(F47&lt;OFFSET($BM$9,CL47-1,0,1,1),0,IF(F47&lt;OFFSET($BN$9,CL47-1,0,1,1),((F47-OFFSET($BM$9,CL47-1,0,1,1))*OFFSET($CH$9,CL47-1,0,1,1))+OFFSET($BO$9,CL47-1,CQ47,1,1),IF(F47&lt;OFFSET($BN$9,CL47+0,0,1,1),((F47-OFFSET($BM$9,CL47+0,0,1,1))*OFFSET($CH$9,CL47+0,0,1,1))+OFFSET($BO$9,CL47+0,CQ47,1,1),IF(F47&lt;OFFSET($BN$9,CL47+1,0,1,1),((F47-OFFSET($BM$9,CL47+1,0,1,1))*OFFSET($CH$9,CL47+1,0,1,1))+OFFSET($BO$9,CL47+1,CQ47,1,1),IF(F47&lt;OFFSET($BN$9,CL47+2,0,1,1),((F47-OFFSET($BM$9,CL47+2,0,1,1))*OFFSET($CH$9,CL47+2,0,1,1))+OFFSET($BO$9,CL47+2,CQ47,1,1),IF(F47&lt;OFFSET($BN$9,CL47+3,0,1,1),((F47-OFFSET($BM$9,CL47+3,0,1,1))*OFFSET($CH$9,CL47+3,0,1,1))+OFFSET($BO$9,CL47+3,CQ47,1,1),0))))))</f>
        <v>0</v>
      </c>
      <c r="CT47" s="51">
        <f ca="1">IF($F47&lt;OFFSET($BM$9,$CL47-1,0,1,1),0,IF($F47&lt;OFFSET($BN$9,$CL47-1,0,1,1),IF(AND($H47&gt;2.4,Z47&lt;&gt;"e",Z47&lt;&gt;"f"),CX47*2.4/$H47,CX47),IF($F47&lt;OFFSET($BN$9,$CL47+0,0,1,1),IF(AND($H47&gt;2.4,Z47&lt;&gt;"e",Z47&lt;&gt;"f"),CX47*2.4/$H47,CX47),IF($F47&lt;OFFSET($BN$9,$CL47+1,0,1,1),IF(AND($H47&gt;2.4,Z47&lt;&gt;"e",Z47&lt;&gt;"f"),CX47*2.4/$H47,CX47),IF($F47&lt;OFFSET($BN$9,CL47+2,0,1,1),IF(AND($H47&gt;2.4,Z47&lt;&gt;"e",Z47&lt;&gt;"f"),CX47*2.4/$H47,CX47),IF($F47&lt;OFFSET($BN$9,CL47+3,0,1,1),IF(AND($H47&gt;2.4,Z47&lt;&gt;"e",Z47&lt;&gt;"f"),CX47*2.4/$H47,CX47),0)))))*COS(RADIANS($G47)))</f>
        <v>0</v>
      </c>
      <c r="CU47" s="51">
        <f ca="1">IF(F47&lt;OFFSET($BM$9,CL47-1,0,1,1),0,IF(F47&lt;OFFSET($BN$9,CL47-1,0,1,1),((F47-OFFSET($BM$9,CL47-1,0,1,1))*OFFSET($CI$9,CL47-1,0,1,1))+OFFSET($BP$9,CL47-1,CQ47,1,1),IF(F47&lt;OFFSET($BN$9,CL47+0,0,1,1),((F47-OFFSET($BM$9,CL47+0,0,1,1))*OFFSET($CI$9,CL47+0,0,1,1))+OFFSET($BP$9,CL47+0,CQ47,1,1),IF(F47&lt;OFFSET($BN$9,CL47+1,0,1,1),((F47-OFFSET($BM$9,CL47+1,0,1,1))*OFFSET($CI$9,CL47+1,0,1,1))+OFFSET($BP$9,CL47+1,CQ47,1,1),IF(F47&lt;OFFSET($BN$9,CL47+2,0,1,1),((F47-OFFSET($BM$9,CL47+2,0,1,1))*OFFSET($CI$9,CL47+2,0,1,1))+OFFSET($BP$9,CL47+2,CQ47,1,1),IF(F47&lt;OFFSET($BN$9,CL47+3,0,1,1),((F47-OFFSET($BM$9,CL47+3,0,1,1))*OFFSET($CI$9,CL47+3,0,1,1))+OFFSET($BP$9,CL47+3,CQ47,1,1),0))))))</f>
        <v>0</v>
      </c>
      <c r="CV47" s="51">
        <f ca="1">IF($F47&lt;OFFSET($BM$9,$CL47-1,0,1,1),0,IF($F47&lt;OFFSET($BN$9,$CL47-1,0,1,1),IF(AND($H47&gt;2.4,Z47&lt;&gt;"e",Z47&lt;&gt;"f"),CZ47*2.4/$H47,CZ47),IF($F47&lt;OFFSET($BN$9,$CL47+0,0,1,1),IF(AND($H47&gt;2.4,Z47&lt;&gt;"e",Z47&lt;&gt;"f"),CZ47*2.4/$H47,CZ47),IF($F47&lt;OFFSET($BN$9,$CL47+1,0,1,1),IF(AND($H47&gt;2.4,Z47&lt;&gt;"e",Z47&lt;&gt;"f"),CZ47*2.4/$H47,CZ47),IF($F47&lt;OFFSET($BN$9,$CL47+2,0,1,1),IF(AND($H47&gt;2.4,Z47&lt;&gt;"e",Z47&lt;&gt;"f"),CZ47*2.4/$H47,CZ47),IF($F47&lt;OFFSET($BN$9,$CL47+3,0,1,1),IF(AND($H47&gt;2.4,Z47&lt;&gt;"e",Z47&lt;&gt;"f"),CZ47*2.4/$H47,CZ47),0)))))*COS(RADIANS($G47)))</f>
        <v>0</v>
      </c>
      <c r="CW47" s="51">
        <f ca="1">IF(CT47&gt;CR47,CR47,CT47)</f>
        <v>0</v>
      </c>
      <c r="CX47" s="51">
        <f ca="1">IF(CS47&gt;$CR47,$CR47,CS47)</f>
        <v>0</v>
      </c>
      <c r="CY47" s="51">
        <f ca="1">CW47*F47</f>
        <v>0</v>
      </c>
      <c r="CZ47" s="51">
        <f ca="1">IF($CU47&gt;$CR47,$CR47,$CU47)</f>
        <v>0</v>
      </c>
      <c r="DA47" s="51">
        <f ca="1">IF(CV47&gt;CR47,CR47,CV47)</f>
        <v>0</v>
      </c>
      <c r="DB47" s="51">
        <f ca="1">DA47*F47</f>
        <v>0</v>
      </c>
      <c r="DC47" s="993">
        <v>1</v>
      </c>
      <c r="DD47" s="758" t="str">
        <f>IF(OR(D47=BG$12,D47=BG$13),"External",IF(D47=BG$14,"Internal"," "))</f>
        <v xml:space="preserve"> </v>
      </c>
      <c r="DE47" s="51" t="str">
        <f t="shared" ca="1" si="2"/>
        <v/>
      </c>
      <c r="DF47" s="52" t="str">
        <f t="shared" ca="1" si="3"/>
        <v xml:space="preserve"> </v>
      </c>
      <c r="DG47" s="51">
        <f ca="1">IF(F47&lt;OFFSET($BM$9,CN47-1,0,1,1),0,IF(F47&lt;OFFSET($BN$9,CN47-1,0,1,1),((F47-OFFSET($BM$9,CN47-1,0,1,1))*OFFSET($CH$9,CN47-1,0,1,1))+OFFSET($BO$9,CN47-1,CQ47,1,1),IF(F47&lt;OFFSET($BN$9,CN47+0,0,1,1),((F47-OFFSET($BM$9,CN47+0,0,1,1))*OFFSET($CH$9,CN47+0,0,1,1))+OFFSET($BO$9,CN47+0,CQ47,1,1),IF(F47&lt;OFFSET($BN$9,CN47+1,0,1,1),((F47-OFFSET($BM$9,CN47+1,0,1,1))*OFFSET($CH$9,CN47+1,0,1,1))+OFFSET($BO$9,CN47+1,CQ47,1,1),IF(F47&lt;OFFSET($BN$9,CN47+2,0,1,1),((F47-OFFSET($BM$9,CN47+2,0,1,1))*OFFSET($CH$9,CN47+2,0,1,1))+OFFSET($BO$9,CN47+2,CQ47,1,1),IF(F47&lt;OFFSET($BN$9,CN47+3,0,1,1),((F47-OFFSET($BM$9,CN47+3,0,1,1))*OFFSET($CH$9,CN47+3,0,1,1))+OFFSET($BO$9,CN47+3,CQ47,1,1),0))))))</f>
        <v>0</v>
      </c>
      <c r="DH47" s="51">
        <f ca="1">IF($F47&lt;OFFSET($BM$9,$CN47-1,0,1,1),0,IF($F47&lt;OFFSET($BN$9,$CN47-1,0,1,1),IF(AND($H47&gt;2.4,Z47&lt;&gt;"e",Z47&lt;&gt;"f"),DL47*2.4/$H47,DL47),IF($F47&lt;OFFSET($BN$9,$CN47+0,0,1,1),IF(AND($H47&gt;2.4,Z47&lt;&gt;"e",Z47&lt;&gt;"f"),DL47*2.4/$H47,DL47),IF($F47&lt;OFFSET($BN$9,$CN47+1,0,1,1),IF(AND($H47&gt;2.4,Z47&lt;&gt;"e",Z47&lt;&gt;"f"),DL47*2.4/$H47,DL47),IF($F47&lt;OFFSET($BN$9,$CN47+2,0,1,1),IF(AND($H47&gt;2.4,Z47&lt;&gt;"e",Z47&lt;&gt;"f"),DL47*2.4/$H47,DL47),IF($F47&lt;OFFSET($BN$9,$CN47+3,0,1,1),IF(AND($H47&gt;2.4,Z47&lt;&gt;"e",Z47&lt;&gt;"f"),DL47*2.4/$H47,DL47),0)))))*COS(RADIANS($G47)))</f>
        <v>0</v>
      </c>
      <c r="DI47" s="51">
        <f ca="1">IF(F47&lt;OFFSET($BM$9,CN47-1,0,1,1),0,IF(F47&lt;OFFSET($BN$9,CN47-1,0,1,1),((F47-OFFSET($BM$9,CN47-1,0,1,1))*OFFSET($CI$9,CN47-1,0,1,1))+OFFSET($BP$9,CN47-1,CQ47,1,1),IF(F47&lt;OFFSET($BN$9,CN47+0,0,1,1),((F47-OFFSET($BM$9,CN47+0,0,1,1))*OFFSET($CI$9,CN47+0,0,1,1))+OFFSET($BP$9,CN47+0,CQ47,1,1),IF(F47&lt;OFFSET($BN$9,CN47+1,0,1,1),((F47-OFFSET($BM$9,CN47+1,0,1,1))*OFFSET($CI$9,CN47+1,0,1,1))+OFFSET($BP$9,CN47+1,CQ47,1,1),IF(F47&lt;OFFSET($BN$9,CN47+2,0,1,1),((F47-OFFSET($BM$9,CN47+2,0,1,1))*OFFSET($CI$9,CN47+2,0,1,1))+OFFSET($BP$9,CN47+2,CQ47,1,1),IF(F47&lt;OFFSET($BN$9,CN47+3,0,1,1),((F47-OFFSET($BM$9,CN47+3,0,1,1))*OFFSET($CI$9,CN47+3,0,1,1))+OFFSET($BP$9,CN47+3,CQ47,1,1),0))))))</f>
        <v>0</v>
      </c>
      <c r="DJ47" s="51">
        <f ca="1">IF($F47&lt;OFFSET($BM$9,$CN47-1,0,1,1),0,IF($F47&lt;OFFSET($BN$9,$CN47-1,0,1,1),IF(AND($H47&gt;2.4,Z47&lt;&gt;"e",Z47&lt;&gt;"f"),DN47*2.4/$H47,DN47),IF($F47&lt;OFFSET($BN$9,$CN47+0,0,1,1),IF(AND($H47&gt;2.4,Z47&lt;&gt;"e",Z47&lt;&gt;"f"),DN47*2.4/$H47,DN47),IF($F47&lt;OFFSET($BN$9,$CN47+1,0,1,1),IF(AND($H47&gt;2.4,Z47&lt;&gt;"e",Z47&lt;&gt;"f"),DN47*2.4/$H47,DN47),IF($F47&lt;OFFSET($BN$9,$CN47+2,0,1,1),IF(AND($H47&gt;2.4,Z47&lt;&gt;"e",Z47&lt;&gt;"f"),DN47*2.4/$H47,DN47),IF($F47&lt;OFFSET($BN$9,$CN47+3,0,1,1),IF(AND($H47&gt;2.4,Z47&lt;&gt;"e",Z47&lt;&gt;"f"),DN47*2.4/$H47,DN47),0)))))*COS(RADIANS($G47)))</f>
        <v>0</v>
      </c>
      <c r="DK47" s="51"/>
      <c r="DL47" s="51">
        <f ca="1">IF(DG47&gt;$CR47,$CR47,DG47)</f>
        <v>0</v>
      </c>
      <c r="DM47" s="51"/>
      <c r="DN47" s="51">
        <f ca="1">IF(DI47&gt;$CR47,$CR47,DI47)</f>
        <v>0</v>
      </c>
      <c r="DO47" s="435">
        <f ca="1">IF(DH47&gt;$CR47,$CR47,DH47)</f>
        <v>0</v>
      </c>
      <c r="DP47" s="435">
        <f ca="1">DO47*F47</f>
        <v>0</v>
      </c>
      <c r="DQ47" s="436">
        <f ca="1">IF(DJ47&gt;$CR47,$CR47,DJ47)</f>
        <v>0</v>
      </c>
      <c r="DR47" s="437">
        <f ca="1">DQ47*F47</f>
        <v>0</v>
      </c>
      <c r="DS47" s="426">
        <f ca="1">OFFSET($CH$9,CL47-1,-15,1,1)</f>
        <v>0</v>
      </c>
      <c r="DT47" s="451">
        <f t="shared" ca="1" si="27"/>
        <v>0</v>
      </c>
      <c r="DU47" s="188">
        <f ca="1">IF(F47&lt;OFFSET($BM$9,DT47-1,0,1,1),0,IF(F47&lt;OFFSET($BN$9,DT47-1,0,1,1),((F47-OFFSET($BM$9,DT47-1,0,1,1))*OFFSET($CH$9,DT47-1,0,1,1))+OFFSET($BO$9,DT47-1,CQ47,1,1),IF(F47&lt;OFFSET($BN$9,DT47+0,0,1,1),((F47-OFFSET($BM$9,DT47+0,0,1,1))*OFFSET($CH$9,DT47+0,0,1,1))+OFFSET($BO$9,DT47+0,CQ47,1,1),IF(F47&lt;OFFSET($BN$9,DT47+1,0,1,1),((F47-OFFSET($BM$9,DT47+1,0,1,1))*OFFSET($CH$9,DT47+1,0,1,1))+OFFSET($BO$9,DT47+1,CQ47,1,1),IF(F47&lt;OFFSET($BN$9,DT47+2,0,1,1),((F47-OFFSET($BM$9,DT47+2,0,1,1))*OFFSET($CH$9,DT47+2,0,1,1))+OFFSET($BO$9,DT47+2,CQ47,1,1),IF(F47&lt;OFFSET($BN$9,DT47+3,0,1,1),((F47-OFFSET($BM$9,DT47+3,0,1,1))*OFFSET($CH$9,DT47+3,0,1,1))+OFFSET($BO$9,DT47+3,CQ47,1,1),0))))))</f>
        <v>0</v>
      </c>
      <c r="DV47" s="51">
        <f ca="1">IF($F47&lt;OFFSET($BM$9,$DT47-1,0,1,1),0,IF($F47&lt;OFFSET($BN$9,$DT47-1,0,1,1),IF(AND($H47&gt;2.4,Z47&lt;&gt;"e",Z47&lt;&gt;"f"),DZ47*2.4/$H47,DZ47),IF($F47&lt;OFFSET($BN$9,$DT47+0,0,1,1),IF(AND($H47&gt;2.4,Z47&lt;&gt;"e",Z47&lt;&gt;"f"),DZ47*2.4/$H47,DZ47),IF($F47&lt;OFFSET($BN$9,$DT47+1,0,1,1),IF(AND($H47&gt;2.4,Z47&lt;&gt;"e",Z47&lt;&gt;"f"),DZ47*2.4/$H47,DZ47),IF($F47&lt;OFFSET($BN$9,$DT47+2,0,1,1),IF(AND($H47&gt;2.4,Z47&lt;&gt;"e",Z47&lt;&gt;"f"),DZ47*2.4/$H47,DZ47),IF($F47&lt;OFFSET($BN$9,$DT47+3,0,1,1),IF(AND($H47&gt;2.4,Z47&lt;&gt;"e",Z47&lt;&gt;"f"),DZ47*2.4/$H47,DZ47),0)))))*COS(RADIANS($G47)))</f>
        <v>0</v>
      </c>
      <c r="DW47" s="188">
        <f ca="1">IF(F47&lt;OFFSET($BM$9,DT47-1,0,1,1),0,IF(F47&lt;OFFSET($BN$9,DT47-1,0,1,1),((F47-OFFSET($BM$9,DT47-1,0,1,1))*OFFSET($CI$9,DT47-1,0,1,1))+OFFSET($BP$9,DT47-1,CQ47,1,1),IF(F47&lt;OFFSET($BN$9,DT47+0,0,1,1),((F47-OFFSET($BM$9,DT47+0,0,1,1))*OFFSET($CI$9,DT47+0,0,1,1))+OFFSET($BP$9,DT47+0,CQ47,1,1),IF(F47&lt;OFFSET($BN$9,DT47+1,0,1,1),((F47-OFFSET($BM$9,DT47+1,0,1,1))*OFFSET($CI$9,DT47+1,0,1,1))+OFFSET($BP$9,DT47+1,CQ47,1,1),IF(F47&lt;OFFSET($BN$9,DT47+2,0,1,1),((F47-OFFSET($BM$9,DT47+2,0,1,1))*OFFSET($CI$9,DT47+2,0,1,1))+OFFSET($BP$9,DT47+2,CQ47,1,1),IF(F47&lt;OFFSET($BN$9,DT47+3,0,1,1),((F47-OFFSET($BM$9,DT47+3,0,1,1))*OFFSET($CI$9,DT47+3,0,1,1))+OFFSET($BP$9,DT47+3,CQ47,1,1),0))))))</f>
        <v>0</v>
      </c>
      <c r="DX47" s="51">
        <f ca="1">IF($F47&lt;OFFSET($BM$9,$DT47-1,0,1,1),0,IF($F47&lt;OFFSET($BN$9,$DT47-1,0,1,1),IF(AND($H47&gt;2.4,Z47&lt;&gt;"e",Z47&lt;&gt;"f"),EB47*2.4/$H47,EB47),IF($F47&lt;OFFSET($BN$9,$DT47+0,0,1,1),IF(AND($H47&gt;2.4,Z47&lt;&gt;"e",Z47&lt;&gt;"f"),EB47*2.4/$H47,EB47),IF($F47&lt;OFFSET($BN$9,$DT47+1,0,1,1),IF(AND($H47&gt;2.4,Z47&lt;&gt;"e",Z47&lt;&gt;"f"),EB47*2.4/$H47,EB47),IF($F47&lt;OFFSET($BN$9,$DT47+2,0,1,1),IF(AND($H47&gt;2.4,Z47&lt;&gt;"e",Z47&lt;&gt;"f"),EB47*2.4/$H47,EB47),IF($F47&lt;OFFSET($BN$9,$DT47+3,0,1,1),IF(AND($H47&gt;2.4,Z47&lt;&gt;"e",Z47&lt;&gt;"f"),EB47*2.4/$H47,EB47),0)))))*COS(RADIANS($G47)))</f>
        <v>0</v>
      </c>
      <c r="DY47" s="188"/>
      <c r="DZ47" s="188">
        <f ca="1">IF(DU47&gt;$CR47,$CR47,DU47)</f>
        <v>0</v>
      </c>
      <c r="EA47" s="188"/>
      <c r="EB47" s="188">
        <f ca="1">IF(DW47&gt;$CR47,$CR47,DW47)</f>
        <v>0</v>
      </c>
      <c r="EC47" s="435">
        <f ca="1">IF(DV47&gt;$CR47,$CR47,DV47)</f>
        <v>0</v>
      </c>
      <c r="ED47" s="435">
        <f ca="1">EC47*F47</f>
        <v>0</v>
      </c>
      <c r="EE47" s="436">
        <f ca="1">IF(DX47&gt;$CR47,$CR47,DX47)</f>
        <v>0</v>
      </c>
      <c r="EF47" s="437">
        <f ca="1">EE47*F47</f>
        <v>0</v>
      </c>
      <c r="EG47" s="613" t="str">
        <f>IF(D47=BG$12,BG$12,"")</f>
        <v/>
      </c>
      <c r="EH47" s="614" t="str">
        <f>IF(D47=BG$13,BG$13,"")</f>
        <v/>
      </c>
      <c r="EI47" s="611">
        <f>IF(EG47=BG$12,M47,0)</f>
        <v>0</v>
      </c>
      <c r="EJ47" s="451">
        <f>IF(EG47=BG$12,O47,0)</f>
        <v>0</v>
      </c>
      <c r="EK47" s="451">
        <f>IF(EH47=BG$13,M47,0)</f>
        <v>0</v>
      </c>
      <c r="EL47" s="612">
        <f>IF(EH47=BG$13,O47,0)</f>
        <v>0</v>
      </c>
      <c r="EM47" s="426" t="str">
        <f ca="1">IF(AND(Z47&lt;&gt;"t",Z47&lt;&gt;"f"),"",IF(AND(EN47=$BH$13,K47=$BH$12),"NotOpt",IF(K47&lt;&gt;EN47,"Error","")))</f>
        <v/>
      </c>
      <c r="EN47" s="491" t="str">
        <f>IF(AND($BH$28=1,$BG$28=1),$BH$13,$BH$12)</f>
        <v>120 BU's</v>
      </c>
      <c r="EO47" s="426" t="str">
        <f>K47</f>
        <v xml:space="preserve"> </v>
      </c>
      <c r="EP47" s="497">
        <v>1</v>
      </c>
      <c r="EQ47" s="430" t="str">
        <f ca="1">IF(EP47=1," ",OFFSET(BF$15,EP47-2,0,1,1))</f>
        <v xml:space="preserve"> </v>
      </c>
      <c r="ER47" s="439" t="str">
        <f ca="1">IF(H47=0," ",H47)</f>
        <v xml:space="preserve"> </v>
      </c>
      <c r="ES47" s="440" t="str">
        <f ca="1">IF(ER47&lt;&gt;" ",IF(ER47&lt;&gt;ER$7,"Changed",""),"")</f>
        <v/>
      </c>
      <c r="ET47" s="440">
        <f t="shared" ca="1" si="15"/>
        <v>0</v>
      </c>
      <c r="EU47" s="957" t="str">
        <f ca="1">IF(I47=" "," ",IF(F47&lt;OFFSET($BM$9,CL47-1,0,1,1),1,""))</f>
        <v xml:space="preserve"> </v>
      </c>
      <c r="EW47" s="427"/>
      <c r="EX47"/>
    </row>
    <row r="48" spans="1:154" ht="17.100000000000001" customHeight="1" thickBot="1">
      <c r="A48" s="2685"/>
      <c r="B48" s="689" t="s">
        <v>246</v>
      </c>
      <c r="C48" s="684" t="str">
        <f>IF(OR(F48=0,I48="",I48=" ")," ",$V48)</f>
        <v xml:space="preserve"> </v>
      </c>
      <c r="D48" s="1033"/>
      <c r="E48" s="1360" t="s">
        <v>8</v>
      </c>
      <c r="F48" s="202"/>
      <c r="G48" s="1416"/>
      <c r="H48" s="199" t="str">
        <f ca="1">IF(OR(F48=0,Z48="E",Z48="f")," ",'Project Demand'!E$35)</f>
        <v xml:space="preserve"> </v>
      </c>
      <c r="I48" s="631" t="str">
        <f>IF($I$6&lt;&gt;$BG$8," ",AB48)</f>
        <v xml:space="preserve"> </v>
      </c>
      <c r="J48" s="44" t="str">
        <f ca="1">IF(OR(I48=" ",I48="")," ",OFFSET($BO$9,CL48-1,0-4,1,1))</f>
        <v xml:space="preserve"> </v>
      </c>
      <c r="K48" s="55" t="str">
        <f>IF(OR(I48=" ",I48="")," ",IF(OR(Z48="e",Z48="h"),"SD",BG$24))</f>
        <v xml:space="preserve"> </v>
      </c>
      <c r="L48" s="49">
        <f ca="1">CW48</f>
        <v>0</v>
      </c>
      <c r="M48" s="49">
        <f ca="1">CY48</f>
        <v>0</v>
      </c>
      <c r="N48" s="50">
        <f t="shared" ca="1" si="29"/>
        <v>0</v>
      </c>
      <c r="O48" s="126">
        <f t="shared" ca="1" si="29"/>
        <v>0</v>
      </c>
      <c r="P48" s="140"/>
      <c r="Q48" s="752" t="str">
        <f ca="1">IF(AND(OR(Z48="t",Z48="f"),K48=$BH$11),"No Floor!  Change Floor Type",IF(OR(I48=" ",I48="")," ",IF(F48&lt;OFFSET($BM$9,CL48-1,0,1,1),"check L(m)",DE48&amp;IF(AND(DP48&gt;=CY48,DR48&gt;=DB48),IF(AND(ED48&gt;=DP48,EF48&gt;=DR48),CONCATENATE(DS48," will provide same result"),CONCATENATE(CO48," will provide same result")),IF((DP48&gt;=CY48),CONCATENATE(CO48," provides same result in WIND"),IF((DR48&gt;=DB48),CONCATENATE(CO48," provides same result in EQ"),""))))))&amp;IF(ISERROR(FIND("pile",I48,1)),"",IF(INT(F48)&lt;&gt;F48,"Pile!  Use Whole Numbers Only",""))</f>
        <v xml:space="preserve"> </v>
      </c>
      <c r="R48" s="52"/>
      <c r="S48" s="1372"/>
      <c r="T48" s="1372"/>
      <c r="U48" s="1377"/>
      <c r="V48" s="52" t="str">
        <f ca="1">IF(AND(B$5=$BF$9,OR(I48=BH$16,I48=BH$17))," ",IF(ISNUMBER(B$44),(CONCATENATE(B$44,".",W48)),(CONCATENATE(B$44,W48))))</f>
        <v>S0</v>
      </c>
      <c r="W48" s="9">
        <f ca="1">W47+X48</f>
        <v>0</v>
      </c>
      <c r="X48" s="9">
        <f>IF(AND(B$5=$BF$9,OR($I48=$BH$16,$I48=$BH$17,$I48=" ",$I48="",$F48=0)),0,IF(OR($I48=" ",$I48="",$F48=0),0,1))</f>
        <v>0</v>
      </c>
      <c r="Y48" s="896"/>
      <c r="Z48" s="52" t="str">
        <f ca="1">IF(I48=" "," ",OFFSET($BM$9,$CL48-1,8,1,1))</f>
        <v xml:space="preserve"> </v>
      </c>
      <c r="AA48" s="51" t="str">
        <f>IF(G48&gt;=45,"WA","")</f>
        <v/>
      </c>
      <c r="AB48" s="1364" t="str">
        <f>IF(F48&lt;&gt;"",IF(OR(D48=$BG$12,D48=$BG$13),IF(E48&lt;&gt;$BG$17,$BF$12,$BF$13),IF(E48&lt;&gt;$BG$17,$BF$12,$BF$13))," ")</f>
        <v xml:space="preserve"> </v>
      </c>
      <c r="AC48" s="1"/>
      <c r="AK48" s="63" t="str">
        <f>'Custom Elements'!B9</f>
        <v xml:space="preserve">  </v>
      </c>
      <c r="AL48" s="860" t="str">
        <f>'Custom Elements'!C9</f>
        <v>Custom1</v>
      </c>
      <c r="AM48" s="11">
        <f>'Custom Elements'!D9</f>
        <v>9.9999999999999996E-76</v>
      </c>
      <c r="AN48" s="7">
        <f>'Custom Elements'!E9</f>
        <v>0</v>
      </c>
      <c r="AO48" s="7">
        <f>'Custom Elements'!F9</f>
        <v>0</v>
      </c>
      <c r="AP48" s="762" t="str">
        <f>'Custom Elements'!G9</f>
        <v>B</v>
      </c>
      <c r="AQ48" s="1777" t="str">
        <f>'Custom Elements'!H9</f>
        <v>Single</v>
      </c>
      <c r="AR48" s="1775" t="str">
        <f>'Custom Elements'!I9</f>
        <v>Yes</v>
      </c>
      <c r="AS48" s="442" t="str">
        <f>'Custom Elements'!J9</f>
        <v>Yes</v>
      </c>
      <c r="AT48" s="1150"/>
      <c r="AU48" s="1150"/>
      <c r="AZ48" s="442" t="str">
        <f>IF(AND('Custom Elements'!J9="Yes",'Custom Elements'!I9="Yes"),"T",IF('Custom Elements'!J9="Yes","F",IF('Custom Elements'!I9="Yes","H","E")))</f>
        <v>T</v>
      </c>
      <c r="BD48" s="638"/>
      <c r="BF48" s="1374"/>
      <c r="BI48" s="759"/>
      <c r="BJ48" s="897">
        <f t="shared" si="28"/>
        <v>40</v>
      </c>
      <c r="BK48" s="1223"/>
      <c r="BL48" s="1208"/>
      <c r="BM48" s="1211">
        <f>Table!J14</f>
        <v>1.2</v>
      </c>
      <c r="BN48" s="776">
        <v>999</v>
      </c>
      <c r="BO48" s="776">
        <f>Table!K14</f>
        <v>60</v>
      </c>
      <c r="BP48" s="926">
        <f>Table!L14</f>
        <v>55</v>
      </c>
      <c r="BQ48" s="1183"/>
      <c r="BR48" s="908"/>
      <c r="BS48" s="776"/>
      <c r="BT48" s="776"/>
      <c r="BU48" s="926" t="s">
        <v>242</v>
      </c>
      <c r="BV48" s="433"/>
      <c r="BW48" s="1184"/>
      <c r="BX48" s="926" t="str">
        <f>Table!N11</f>
        <v>Double</v>
      </c>
      <c r="CH48" s="908">
        <f>IF(BN48=999,0,(BO49-BO48)/(BN48-BM48))</f>
        <v>0</v>
      </c>
      <c r="CI48" s="926">
        <f>IF(BN48=999,0,(BP49-BP48)/(BN48-BM48))</f>
        <v>0</v>
      </c>
      <c r="CJ48" s="759"/>
      <c r="CK48" s="188"/>
      <c r="CL48" s="979">
        <f>VLOOKUP(I48,Prodlink,2,0)</f>
        <v>0</v>
      </c>
      <c r="CN48" s="497">
        <f ca="1">VLOOKUP(CO48,Prodlink,2,0)</f>
        <v>0</v>
      </c>
      <c r="CO48" s="497">
        <f ca="1">OFFSET($CH$9,CL48-1,-15,1,1)</f>
        <v>0</v>
      </c>
      <c r="CQ48" s="51">
        <v>0</v>
      </c>
      <c r="CR48" s="51">
        <f>IF(K48=$BH$12,$BH$23,IF(K48=$BH$13,$BH$24,10000))</f>
        <v>10000</v>
      </c>
      <c r="CS48" s="51">
        <f ca="1">IF(F48&lt;OFFSET($BM$9,CL48-1,0,1,1),0,IF(F48&lt;OFFSET($BN$9,CL48-1,0,1,1),((F48-OFFSET($BM$9,CL48-1,0,1,1))*OFFSET($CH$9,CL48-1,0,1,1))+OFFSET($BO$9,CL48-1,CQ48,1,1),IF(F48&lt;OFFSET($BN$9,CL48+0,0,1,1),((F48-OFFSET($BM$9,CL48+0,0,1,1))*OFFSET($CH$9,CL48+0,0,1,1))+OFFSET($BO$9,CL48+0,CQ48,1,1),IF(F48&lt;OFFSET($BN$9,CL48+1,0,1,1),((F48-OFFSET($BM$9,CL48+1,0,1,1))*OFFSET($CH$9,CL48+1,0,1,1))+OFFSET($BO$9,CL48+1,CQ48,1,1),IF(F48&lt;OFFSET($BN$9,CL48+2,0,1,1),((F48-OFFSET($BM$9,CL48+2,0,1,1))*OFFSET($CH$9,CL48+2,0,1,1))+OFFSET($BO$9,CL48+2,CQ48,1,1),IF(F48&lt;OFFSET($BN$9,CL48+3,0,1,1),((F48-OFFSET($BM$9,CL48+3,0,1,1))*OFFSET($CH$9,CL48+3,0,1,1))+OFFSET($BO$9,CL48+3,CQ48,1,1),0))))))</f>
        <v>0</v>
      </c>
      <c r="CT48" s="51">
        <f ca="1">IF($F48&lt;OFFSET($BM$9,$CL48-1,0,1,1),0,IF($F48&lt;OFFSET($BN$9,$CL48-1,0,1,1),IF(AND($H48&gt;2.4,Z48&lt;&gt;"e",Z48&lt;&gt;"f"),CX48*2.4/$H48,CX48),IF($F48&lt;OFFSET($BN$9,$CL48+0,0,1,1),IF(AND($H48&gt;2.4,Z48&lt;&gt;"e",Z48&lt;&gt;"f"),CX48*2.4/$H48,CX48),IF($F48&lt;OFFSET($BN$9,$CL48+1,0,1,1),IF(AND($H48&gt;2.4,Z48&lt;&gt;"e",Z48&lt;&gt;"f"),CX48*2.4/$H48,CX48),IF($F48&lt;OFFSET($BN$9,CL48+2,0,1,1),IF(AND($H48&gt;2.4,Z48&lt;&gt;"e",Z48&lt;&gt;"f"),CX48*2.4/$H48,CX48),IF($F48&lt;OFFSET($BN$9,CL48+3,0,1,1),IF(AND($H48&gt;2.4,Z48&lt;&gt;"e",Z48&lt;&gt;"f"),CX48*2.4/$H48,CX48),0)))))*COS(RADIANS($G48)))</f>
        <v>0</v>
      </c>
      <c r="CU48" s="51">
        <f ca="1">IF(F48&lt;OFFSET($BM$9,CL48-1,0,1,1),0,IF(F48&lt;OFFSET($BN$9,CL48-1,0,1,1),((F48-OFFSET($BM$9,CL48-1,0,1,1))*OFFSET($CI$9,CL48-1,0,1,1))+OFFSET($BP$9,CL48-1,CQ48,1,1),IF(F48&lt;OFFSET($BN$9,CL48+0,0,1,1),((F48-OFFSET($BM$9,CL48+0,0,1,1))*OFFSET($CI$9,CL48+0,0,1,1))+OFFSET($BP$9,CL48+0,CQ48,1,1),IF(F48&lt;OFFSET($BN$9,CL48+1,0,1,1),((F48-OFFSET($BM$9,CL48+1,0,1,1))*OFFSET($CI$9,CL48+1,0,1,1))+OFFSET($BP$9,CL48+1,CQ48,1,1),IF(F48&lt;OFFSET($BN$9,CL48+2,0,1,1),((F48-OFFSET($BM$9,CL48+2,0,1,1))*OFFSET($CI$9,CL48+2,0,1,1))+OFFSET($BP$9,CL48+2,CQ48,1,1),IF(F48&lt;OFFSET($BN$9,CL48+3,0,1,1),((F48-OFFSET($BM$9,CL48+3,0,1,1))*OFFSET($CI$9,CL48+3,0,1,1))+OFFSET($BP$9,CL48+3,CQ48,1,1),0))))))</f>
        <v>0</v>
      </c>
      <c r="CV48" s="51">
        <f ca="1">IF($F48&lt;OFFSET($BM$9,$CL48-1,0,1,1),0,IF($F48&lt;OFFSET($BN$9,$CL48-1,0,1,1),IF(AND($H48&gt;2.4,Z48&lt;&gt;"e",Z48&lt;&gt;"f"),CZ48*2.4/$H48,CZ48),IF($F48&lt;OFFSET($BN$9,$CL48+0,0,1,1),IF(AND($H48&gt;2.4,Z48&lt;&gt;"e",Z48&lt;&gt;"f"),CZ48*2.4/$H48,CZ48),IF($F48&lt;OFFSET($BN$9,$CL48+1,0,1,1),IF(AND($H48&gt;2.4,Z48&lt;&gt;"e",Z48&lt;&gt;"f"),CZ48*2.4/$H48,CZ48),IF($F48&lt;OFFSET($BN$9,$CL48+2,0,1,1),IF(AND($H48&gt;2.4,Z48&lt;&gt;"e",Z48&lt;&gt;"f"),CZ48*2.4/$H48,CZ48),IF($F48&lt;OFFSET($BN$9,$CL48+3,0,1,1),IF(AND($H48&gt;2.4,Z48&lt;&gt;"e",Z48&lt;&gt;"f"),CZ48*2.4/$H48,CZ48),0)))))*COS(RADIANS($G48)))</f>
        <v>0</v>
      </c>
      <c r="CW48" s="51">
        <f ca="1">IF(CT48&gt;CR48,CR48,CT48)</f>
        <v>0</v>
      </c>
      <c r="CX48" s="51">
        <f ca="1">IF(CS48&gt;$CR48,$CR48,CS48)</f>
        <v>0</v>
      </c>
      <c r="CY48" s="51">
        <f ca="1">CW48*F48</f>
        <v>0</v>
      </c>
      <c r="CZ48" s="51">
        <f ca="1">IF($CU48&gt;$CR48,$CR48,$CU48)</f>
        <v>0</v>
      </c>
      <c r="DA48" s="51">
        <f ca="1">IF(CV48&gt;CR48,CR48,CV48)</f>
        <v>0</v>
      </c>
      <c r="DB48" s="51">
        <f ca="1">DA48*F48</f>
        <v>0</v>
      </c>
      <c r="DC48" s="993">
        <v>1</v>
      </c>
      <c r="DD48" s="758" t="str">
        <f>IF(OR(D48=BG$12,D48=BG$13),"External",IF(D48=BG$14,"Internal"," "))</f>
        <v xml:space="preserve"> </v>
      </c>
      <c r="DE48" s="51" t="str">
        <f t="shared" ca="1" si="2"/>
        <v/>
      </c>
      <c r="DF48" s="52" t="str">
        <f t="shared" ca="1" si="3"/>
        <v xml:space="preserve"> </v>
      </c>
      <c r="DG48" s="51">
        <f ca="1">IF(F48&lt;OFFSET($BM$9,CN48-1,0,1,1),0,IF(F48&lt;OFFSET($BN$9,CN48-1,0,1,1),((F48-OFFSET($BM$9,CN48-1,0,1,1))*OFFSET($CH$9,CN48-1,0,1,1))+OFFSET($BO$9,CN48-1,CQ48,1,1),IF(F48&lt;OFFSET($BN$9,CN48+0,0,1,1),((F48-OFFSET($BM$9,CN48+0,0,1,1))*OFFSET($CH$9,CN48+0,0,1,1))+OFFSET($BO$9,CN48+0,CQ48,1,1),IF(F48&lt;OFFSET($BN$9,CN48+1,0,1,1),((F48-OFFSET($BM$9,CN48+1,0,1,1))*OFFSET($CH$9,CN48+1,0,1,1))+OFFSET($BO$9,CN48+1,CQ48,1,1),IF(F48&lt;OFFSET($BN$9,CN48+2,0,1,1),((F48-OFFSET($BM$9,CN48+2,0,1,1))*OFFSET($CH$9,CN48+2,0,1,1))+OFFSET($BO$9,CN48+2,CQ48,1,1),IF(F48&lt;OFFSET($BN$9,CN48+3,0,1,1),((F48-OFFSET($BM$9,CN48+3,0,1,1))*OFFSET($CH$9,CN48+3,0,1,1))+OFFSET($BO$9,CN48+3,CQ48,1,1),0))))))</f>
        <v>0</v>
      </c>
      <c r="DH48" s="51">
        <f ca="1">IF($F48&lt;OFFSET($BM$9,$CN48-1,0,1,1),0,IF($F48&lt;OFFSET($BN$9,$CN48-1,0,1,1),IF(AND($H48&gt;2.4,Z48&lt;&gt;"e",Z48&lt;&gt;"f"),DL48*2.4/$H48,DL48),IF($F48&lt;OFFSET($BN$9,$CN48+0,0,1,1),IF(AND($H48&gt;2.4,Z48&lt;&gt;"e",Z48&lt;&gt;"f"),DL48*2.4/$H48,DL48),IF($F48&lt;OFFSET($BN$9,$CN48+1,0,1,1),IF(AND($H48&gt;2.4,Z48&lt;&gt;"e",Z48&lt;&gt;"f"),DL48*2.4/$H48,DL48),IF($F48&lt;OFFSET($BN$9,$CN48+2,0,1,1),IF(AND($H48&gt;2.4,Z48&lt;&gt;"e",Z48&lt;&gt;"f"),DL48*2.4/$H48,DL48),IF($F48&lt;OFFSET($BN$9,$CN48+3,0,1,1),IF(AND($H48&gt;2.4,Z48&lt;&gt;"e",Z48&lt;&gt;"f"),DL48*2.4/$H48,DL48),0)))))*COS(RADIANS($G48)))</f>
        <v>0</v>
      </c>
      <c r="DI48" s="51">
        <f ca="1">IF(F48&lt;OFFSET($BM$9,CN48-1,0,1,1),0,IF(F48&lt;OFFSET($BN$9,CN48-1,0,1,1),((F48-OFFSET($BM$9,CN48-1,0,1,1))*OFFSET($CI$9,CN48-1,0,1,1))+OFFSET($BP$9,CN48-1,CQ48,1,1),IF(F48&lt;OFFSET($BN$9,CN48+0,0,1,1),((F48-OFFSET($BM$9,CN48+0,0,1,1))*OFFSET($CI$9,CN48+0,0,1,1))+OFFSET($BP$9,CN48+0,CQ48,1,1),IF(F48&lt;OFFSET($BN$9,CN48+1,0,1,1),((F48-OFFSET($BM$9,CN48+1,0,1,1))*OFFSET($CI$9,CN48+1,0,1,1))+OFFSET($BP$9,CN48+1,CQ48,1,1),IF(F48&lt;OFFSET($BN$9,CN48+2,0,1,1),((F48-OFFSET($BM$9,CN48+2,0,1,1))*OFFSET($CI$9,CN48+2,0,1,1))+OFFSET($BP$9,CN48+2,CQ48,1,1),IF(F48&lt;OFFSET($BN$9,CN48+3,0,1,1),((F48-OFFSET($BM$9,CN48+3,0,1,1))*OFFSET($CI$9,CN48+3,0,1,1))+OFFSET($BP$9,CN48+3,CQ48,1,1),0))))))</f>
        <v>0</v>
      </c>
      <c r="DJ48" s="51">
        <f ca="1">IF($F48&lt;OFFSET($BM$9,$CN48-1,0,1,1),0,IF($F48&lt;OFFSET($BN$9,$CN48-1,0,1,1),IF(AND($H48&gt;2.4,Z48&lt;&gt;"e",Z48&lt;&gt;"f"),DN48*2.4/$H48,DN48),IF($F48&lt;OFFSET($BN$9,$CN48+0,0,1,1),IF(AND($H48&gt;2.4,Z48&lt;&gt;"e",Z48&lt;&gt;"f"),DN48*2.4/$H48,DN48),IF($F48&lt;OFFSET($BN$9,$CN48+1,0,1,1),IF(AND($H48&gt;2.4,Z48&lt;&gt;"e",Z48&lt;&gt;"f"),DN48*2.4/$H48,DN48),IF($F48&lt;OFFSET($BN$9,$CN48+2,0,1,1),IF(AND($H48&gt;2.4,Z48&lt;&gt;"e",Z48&lt;&gt;"f"),DN48*2.4/$H48,DN48),IF($F48&lt;OFFSET($BN$9,$CN48+3,0,1,1),IF(AND($H48&gt;2.4,Z48&lt;&gt;"e",Z48&lt;&gt;"f"),DN48*2.4/$H48,DN48),0)))))*COS(RADIANS($G48)))</f>
        <v>0</v>
      </c>
      <c r="DK48" s="51"/>
      <c r="DL48" s="51">
        <f ca="1">IF(DG48&gt;$CR48,$CR48,DG48)</f>
        <v>0</v>
      </c>
      <c r="DM48" s="51"/>
      <c r="DN48" s="51">
        <f ca="1">IF(DI48&gt;$CR48,$CR48,DI48)</f>
        <v>0</v>
      </c>
      <c r="DO48" s="435">
        <f ca="1">IF(DH48&gt;$CR48,$CR48,DH48)</f>
        <v>0</v>
      </c>
      <c r="DP48" s="435">
        <f ca="1">DO48*F48</f>
        <v>0</v>
      </c>
      <c r="DQ48" s="436">
        <f ca="1">IF(DJ48&gt;$CR48,$CR48,DJ48)</f>
        <v>0</v>
      </c>
      <c r="DR48" s="437">
        <f ca="1">DQ48*F48</f>
        <v>0</v>
      </c>
      <c r="DS48" s="426">
        <f ca="1">OFFSET($CH$9,CL48-1,-15,1,1)</f>
        <v>0</v>
      </c>
      <c r="DT48" s="451">
        <f t="shared" ca="1" si="27"/>
        <v>0</v>
      </c>
      <c r="DU48" s="188">
        <f ca="1">IF(F48&lt;OFFSET($BM$9,DT48-1,0,1,1),0,IF(F48&lt;OFFSET($BN$9,DT48-1,0,1,1),((F48-OFFSET($BM$9,DT48-1,0,1,1))*OFFSET($CH$9,DT48-1,0,1,1))+OFFSET($BO$9,DT48-1,CQ48,1,1),IF(F48&lt;OFFSET($BN$9,DT48+0,0,1,1),((F48-OFFSET($BM$9,DT48+0,0,1,1))*OFFSET($CH$9,DT48+0,0,1,1))+OFFSET($BO$9,DT48+0,CQ48,1,1),IF(F48&lt;OFFSET($BN$9,DT48+1,0,1,1),((F48-OFFSET($BM$9,DT48+1,0,1,1))*OFFSET($CH$9,DT48+1,0,1,1))+OFFSET($BO$9,DT48+1,CQ48,1,1),IF(F48&lt;OFFSET($BN$9,DT48+2,0,1,1),((F48-OFFSET($BM$9,DT48+2,0,1,1))*OFFSET($CH$9,DT48+2,0,1,1))+OFFSET($BO$9,DT48+2,CQ48,1,1),IF(F48&lt;OFFSET($BN$9,DT48+3,0,1,1),((F48-OFFSET($BM$9,DT48+3,0,1,1))*OFFSET($CH$9,DT48+3,0,1,1))+OFFSET($BO$9,DT48+3,CQ48,1,1),0))))))</f>
        <v>0</v>
      </c>
      <c r="DV48" s="51">
        <f ca="1">IF($F48&lt;OFFSET($BM$9,$DT48-1,0,1,1),0,IF($F48&lt;OFFSET($BN$9,$DT48-1,0,1,1),IF(AND($H48&gt;2.4,Z48&lt;&gt;"e",Z48&lt;&gt;"f"),DZ48*2.4/$H48,DZ48),IF($F48&lt;OFFSET($BN$9,$DT48+0,0,1,1),IF(AND($H48&gt;2.4,Z48&lt;&gt;"e",Z48&lt;&gt;"f"),DZ48*2.4/$H48,DZ48),IF($F48&lt;OFFSET($BN$9,$DT48+1,0,1,1),IF(AND($H48&gt;2.4,Z48&lt;&gt;"e",Z48&lt;&gt;"f"),DZ48*2.4/$H48,DZ48),IF($F48&lt;OFFSET($BN$9,$DT48+2,0,1,1),IF(AND($H48&gt;2.4,Z48&lt;&gt;"e",Z48&lt;&gt;"f"),DZ48*2.4/$H48,DZ48),IF($F48&lt;OFFSET($BN$9,$DT48+3,0,1,1),IF(AND($H48&gt;2.4,Z48&lt;&gt;"e",Z48&lt;&gt;"f"),DZ48*2.4/$H48,DZ48),0)))))*COS(RADIANS($G48)))</f>
        <v>0</v>
      </c>
      <c r="DW48" s="188">
        <f ca="1">IF(F48&lt;OFFSET($BM$9,DT48-1,0,1,1),0,IF(F48&lt;OFFSET($BN$9,DT48-1,0,1,1),((F48-OFFSET($BM$9,DT48-1,0,1,1))*OFFSET($CI$9,DT48-1,0,1,1))+OFFSET($BP$9,DT48-1,CQ48,1,1),IF(F48&lt;OFFSET($BN$9,DT48+0,0,1,1),((F48-OFFSET($BM$9,DT48+0,0,1,1))*OFFSET($CI$9,DT48+0,0,1,1))+OFFSET($BP$9,DT48+0,CQ48,1,1),IF(F48&lt;OFFSET($BN$9,DT48+1,0,1,1),((F48-OFFSET($BM$9,DT48+1,0,1,1))*OFFSET($CI$9,DT48+1,0,1,1))+OFFSET($BP$9,DT48+1,CQ48,1,1),IF(F48&lt;OFFSET($BN$9,DT48+2,0,1,1),((F48-OFFSET($BM$9,DT48+2,0,1,1))*OFFSET($CI$9,DT48+2,0,1,1))+OFFSET($BP$9,DT48+2,CQ48,1,1),IF(F48&lt;OFFSET($BN$9,DT48+3,0,1,1),((F48-OFFSET($BM$9,DT48+3,0,1,1))*OFFSET($CI$9,DT48+3,0,1,1))+OFFSET($BP$9,DT48+3,CQ48,1,1),0))))))</f>
        <v>0</v>
      </c>
      <c r="DX48" s="51">
        <f ca="1">IF($F48&lt;OFFSET($BM$9,$DT48-1,0,1,1),0,IF($F48&lt;OFFSET($BN$9,$DT48-1,0,1,1),IF(AND($H48&gt;2.4,Z48&lt;&gt;"e",Z48&lt;&gt;"f"),EB48*2.4/$H48,EB48),IF($F48&lt;OFFSET($BN$9,$DT48+0,0,1,1),IF(AND($H48&gt;2.4,Z48&lt;&gt;"e",Z48&lt;&gt;"f"),EB48*2.4/$H48,EB48),IF($F48&lt;OFFSET($BN$9,$DT48+1,0,1,1),IF(AND($H48&gt;2.4,Z48&lt;&gt;"e",Z48&lt;&gt;"f"),EB48*2.4/$H48,EB48),IF($F48&lt;OFFSET($BN$9,$DT48+2,0,1,1),IF(AND($H48&gt;2.4,Z48&lt;&gt;"e",Z48&lt;&gt;"f"),EB48*2.4/$H48,EB48),IF($F48&lt;OFFSET($BN$9,$DT48+3,0,1,1),IF(AND($H48&gt;2.4,Z48&lt;&gt;"e",Z48&lt;&gt;"f"),EB48*2.4/$H48,EB48),0)))))*COS(RADIANS($G48)))</f>
        <v>0</v>
      </c>
      <c r="DY48" s="188"/>
      <c r="DZ48" s="188">
        <f ca="1">IF(DU48&gt;$CR48,$CR48,DU48)</f>
        <v>0</v>
      </c>
      <c r="EA48" s="188"/>
      <c r="EB48" s="188">
        <f ca="1">IF(DW48&gt;$CR48,$CR48,DW48)</f>
        <v>0</v>
      </c>
      <c r="EC48" s="435">
        <f ca="1">IF(DV48&gt;$CR48,$CR48,DV48)</f>
        <v>0</v>
      </c>
      <c r="ED48" s="435">
        <f ca="1">EC48*F48</f>
        <v>0</v>
      </c>
      <c r="EE48" s="436">
        <f ca="1">IF(DX48&gt;$CR48,$CR48,DX48)</f>
        <v>0</v>
      </c>
      <c r="EF48" s="437">
        <f ca="1">EE48*F48</f>
        <v>0</v>
      </c>
      <c r="EG48" s="613" t="str">
        <f>IF(D48=BG$12,BG$12,"")</f>
        <v/>
      </c>
      <c r="EH48" s="614" t="str">
        <f>IF(D48=BG$13,BG$13,"")</f>
        <v/>
      </c>
      <c r="EI48" s="611">
        <f>IF(EG48=BG$12,M48,0)</f>
        <v>0</v>
      </c>
      <c r="EJ48" s="451">
        <f>IF(EG48=BG$12,O48,0)</f>
        <v>0</v>
      </c>
      <c r="EK48" s="451">
        <f>IF(EH48=BG$13,M48,0)</f>
        <v>0</v>
      </c>
      <c r="EL48" s="612">
        <f>IF(EH48=BG$13,O48,0)</f>
        <v>0</v>
      </c>
      <c r="EM48" s="426" t="str">
        <f ca="1">IF(AND(Z48&lt;&gt;"t",Z48&lt;&gt;"f"),"",IF(AND(EN48=$BH$13,K48=$BH$12),"NotOpt",IF(K48&lt;&gt;EN48,"Error","")))</f>
        <v/>
      </c>
      <c r="EN48" s="491" t="str">
        <f>IF(AND($BH$28=1,$BG$28=1),$BH$13,$BH$12)</f>
        <v>120 BU's</v>
      </c>
      <c r="EO48" s="426" t="str">
        <f>K48</f>
        <v xml:space="preserve"> </v>
      </c>
      <c r="EP48" s="497">
        <v>1</v>
      </c>
      <c r="EQ48" s="430" t="str">
        <f ca="1">IF(EP48=1," ",OFFSET(BF$15,EP48-2,0,1,1))</f>
        <v xml:space="preserve"> </v>
      </c>
      <c r="ER48" s="439" t="str">
        <f ca="1">IF(H48=0," ",H48)</f>
        <v xml:space="preserve"> </v>
      </c>
      <c r="ES48" s="440" t="str">
        <f ca="1">IF(ER48&lt;&gt;" ",IF(ER48&lt;&gt;ER$7,"Changed",""),"")</f>
        <v/>
      </c>
      <c r="ET48" s="440">
        <f t="shared" ca="1" si="15"/>
        <v>0</v>
      </c>
      <c r="EU48" s="957" t="str">
        <f ca="1">IF(I48=" "," ",IF(F48&lt;OFFSET($BM$9,CL48-1,0,1,1),1,""))</f>
        <v xml:space="preserve"> </v>
      </c>
      <c r="EW48" s="427"/>
      <c r="EX48"/>
    </row>
    <row r="49" spans="1:154" ht="17.100000000000001" customHeight="1" thickBot="1">
      <c r="A49" s="2685"/>
      <c r="B49" s="2686" t="s">
        <v>8</v>
      </c>
      <c r="C49" s="2687"/>
      <c r="D49" s="1461" t="s">
        <v>8</v>
      </c>
      <c r="E49" s="659"/>
      <c r="F49" s="659"/>
      <c r="G49" s="659"/>
      <c r="H49" s="659"/>
      <c r="I49" s="1462"/>
      <c r="J49" s="1365" t="str">
        <f ca="1">(CONCATENATE(B44,$BE$54))</f>
        <v>S  Line:  Min. Requirement</v>
      </c>
      <c r="K49" s="23"/>
      <c r="L49" s="1019">
        <f ca="1">L$5</f>
        <v>0</v>
      </c>
      <c r="M49" s="48">
        <f ca="1">IF(B44=B38,SUM(M44:M48)+M43,SUM(M44:M48))</f>
        <v>0</v>
      </c>
      <c r="N49" s="1019">
        <f ca="1">N$5</f>
        <v>0</v>
      </c>
      <c r="O49" s="125">
        <f ca="1">IF(B44=B38,SUM(O44:O48)+O43,SUM(O44:O48))</f>
        <v>0</v>
      </c>
      <c r="P49" s="139"/>
      <c r="Q49" s="42" t="str">
        <f ca="1">IF(B44=B50,"",IF(AND(M49&gt;0,L49&gt;M49),"More Required on this line",IF(AND(O49&gt;0,N49&gt;O49),"More Required on this line",IF(AND(M49&gt;0,L49=0,OR(M49&lt;$M$105,M49&lt;$BF$3)),"Achieved &lt; Min Req per Line",IF(AND(O49&gt;0,N49=0,OR(O49&lt;$O$105,O49&lt;$BF$3)),"Achieved &lt; Min Req per Line",IF(AND(L49&gt;0,L49&lt;$BF$3),$BE$59,IF(AND(N49&gt;0,N49&lt;$BF$3),$BE$59,"")))))))</f>
        <v/>
      </c>
      <c r="R49" s="52"/>
      <c r="S49" s="52"/>
      <c r="T49" s="52"/>
      <c r="U49" s="1378"/>
      <c r="V49" s="52"/>
      <c r="W49" s="898"/>
      <c r="X49" s="898"/>
      <c r="Y49" s="896"/>
      <c r="Z49" s="52"/>
      <c r="AA49" s="51"/>
      <c r="AB49" s="1364"/>
      <c r="AC49"/>
      <c r="AK49" s="63" t="str">
        <f>'Custom Elements'!B10</f>
        <v xml:space="preserve">  </v>
      </c>
      <c r="AL49" s="860" t="str">
        <f>'Custom Elements'!C10</f>
        <v>Custom2</v>
      </c>
      <c r="AM49" s="11">
        <f>'Custom Elements'!D10</f>
        <v>9.9999999999999996E-76</v>
      </c>
      <c r="AN49" s="7">
        <f>'Custom Elements'!E10</f>
        <v>0</v>
      </c>
      <c r="AO49" s="7">
        <f>'Custom Elements'!F10</f>
        <v>0</v>
      </c>
      <c r="AP49" s="762" t="str">
        <f>'Custom Elements'!G10</f>
        <v>B</v>
      </c>
      <c r="AQ49" s="1777" t="str">
        <f>'Custom Elements'!H10</f>
        <v>Single</v>
      </c>
      <c r="AR49" s="1775" t="str">
        <f>'Custom Elements'!I10</f>
        <v>Yes</v>
      </c>
      <c r="AS49" s="442" t="str">
        <f>'Custom Elements'!J10</f>
        <v>Yes</v>
      </c>
      <c r="AT49" s="1150"/>
      <c r="AU49" s="1150"/>
      <c r="AZ49" s="442" t="str">
        <f>IF(AND('Custom Elements'!J10="Yes",'Custom Elements'!I10="Yes"),"T",IF('Custom Elements'!J10="Yes","F",IF('Custom Elements'!I10="Yes","H","E")))</f>
        <v>T</v>
      </c>
      <c r="BD49" s="638"/>
      <c r="BF49" s="1363"/>
      <c r="BI49" s="759"/>
      <c r="BJ49" s="897">
        <f t="shared" si="28"/>
        <v>41</v>
      </c>
      <c r="BX49" s="52"/>
      <c r="CH49" s="970"/>
      <c r="CI49" s="971"/>
      <c r="CJ49" s="759"/>
      <c r="CK49" s="188"/>
      <c r="CL49" s="979"/>
      <c r="CN49" s="497"/>
      <c r="CO49" s="497" t="s">
        <v>8</v>
      </c>
      <c r="CQ49" s="51" t="s">
        <v>8</v>
      </c>
      <c r="CR49" s="51" t="s">
        <v>8</v>
      </c>
      <c r="CS49" s="51" t="s">
        <v>8</v>
      </c>
      <c r="CT49" s="51" t="s">
        <v>8</v>
      </c>
      <c r="CU49" s="51" t="s">
        <v>8</v>
      </c>
      <c r="CV49" s="51" t="s">
        <v>8</v>
      </c>
      <c r="CW49" s="51" t="s">
        <v>8</v>
      </c>
      <c r="CX49" s="51" t="s">
        <v>8</v>
      </c>
      <c r="CY49" s="51" t="s">
        <v>8</v>
      </c>
      <c r="CZ49" s="51" t="s">
        <v>8</v>
      </c>
      <c r="DA49" s="51" t="s">
        <v>8</v>
      </c>
      <c r="DD49" s="758"/>
      <c r="DF49" s="52"/>
      <c r="DG49" s="51" t="s">
        <v>8</v>
      </c>
      <c r="DH49" s="51"/>
      <c r="DI49" s="51" t="s">
        <v>8</v>
      </c>
      <c r="DJ49" s="51"/>
      <c r="DK49" s="51"/>
      <c r="DL49" s="51" t="s">
        <v>8</v>
      </c>
      <c r="DM49" s="51"/>
      <c r="DN49" s="51" t="s">
        <v>8</v>
      </c>
      <c r="DO49" s="435" t="s">
        <v>8</v>
      </c>
      <c r="DP49" s="435"/>
      <c r="DQ49" s="868" t="s">
        <v>8</v>
      </c>
      <c r="DR49" s="868"/>
      <c r="DS49" s="426" t="s">
        <v>8</v>
      </c>
      <c r="DT49" s="451" t="s">
        <v>8</v>
      </c>
      <c r="DU49" s="188" t="s">
        <v>8</v>
      </c>
      <c r="DV49" s="188" t="s">
        <v>8</v>
      </c>
      <c r="DW49" s="188" t="s">
        <v>8</v>
      </c>
      <c r="DX49" s="188" t="s">
        <v>8</v>
      </c>
      <c r="DY49" s="188"/>
      <c r="DZ49" s="188" t="s">
        <v>8</v>
      </c>
      <c r="EA49" s="188" t="s">
        <v>8</v>
      </c>
      <c r="EB49" s="188" t="s">
        <v>8</v>
      </c>
      <c r="EC49" s="435" t="s">
        <v>8</v>
      </c>
      <c r="ED49" s="435" t="s">
        <v>8</v>
      </c>
      <c r="EE49" s="868" t="s">
        <v>8</v>
      </c>
      <c r="EF49" s="867" t="s">
        <v>8</v>
      </c>
      <c r="EG49" s="613"/>
      <c r="EH49" s="614"/>
      <c r="EI49" s="613"/>
      <c r="EJ49" s="435"/>
      <c r="EK49" s="451"/>
      <c r="EL49" s="612"/>
      <c r="EN49" s="947"/>
      <c r="ER49" s="441"/>
      <c r="ES49" s="440"/>
      <c r="ET49" s="440"/>
      <c r="EU49" s="957"/>
      <c r="EW49" s="427"/>
      <c r="EX49"/>
    </row>
    <row r="50" spans="1:154" ht="17.100000000000001" customHeight="1" thickBot="1">
      <c r="A50" s="2685"/>
      <c r="B50" s="1369" t="str">
        <f ca="1">S50</f>
        <v>T</v>
      </c>
      <c r="C50" s="684" t="str">
        <f>IF(OR(F50=0,I50="",I50=" ")," ",$V50)</f>
        <v xml:space="preserve"> </v>
      </c>
      <c r="D50" s="1033"/>
      <c r="E50" s="1360" t="s">
        <v>8</v>
      </c>
      <c r="F50" s="202"/>
      <c r="G50" s="1416"/>
      <c r="H50" s="199" t="str">
        <f ca="1">IF(OR(F50=0,Z50="E",Z50="f")," ",'Project Demand'!E$35)</f>
        <v xml:space="preserve"> </v>
      </c>
      <c r="I50" s="631" t="str">
        <f>IF($I$6&lt;&gt;$BG$8," ",AB50)</f>
        <v xml:space="preserve"> </v>
      </c>
      <c r="J50" s="43" t="str">
        <f ca="1">IF(OR(I50=" ",I50="")," ",OFFSET($BO$9,CL50-1,0-4,1,1))</f>
        <v xml:space="preserve"> </v>
      </c>
      <c r="K50" s="55" t="str">
        <f>IF(OR(I50=" ",I50="")," ",IF(OR(Z50="e",Z50="h"),"SD",BG$24))</f>
        <v xml:space="preserve"> </v>
      </c>
      <c r="L50" s="49">
        <f ca="1">CW50</f>
        <v>0</v>
      </c>
      <c r="M50" s="49">
        <f ca="1">CY50</f>
        <v>0</v>
      </c>
      <c r="N50" s="50">
        <f t="shared" ref="N50:O54" ca="1" si="31">DA50</f>
        <v>0</v>
      </c>
      <c r="O50" s="126">
        <f t="shared" ca="1" si="31"/>
        <v>0</v>
      </c>
      <c r="P50" s="140"/>
      <c r="Q50" s="752" t="str">
        <f ca="1">IF(AND(OR(Z50="t",Z50="f"),K50=$BH$11),"No Floor!  Change Floor Type",IF(OR(I50=" ",I50="")," ",IF(F50&lt;OFFSET($BM$9,CL50-1,0,1,1),"check L(m)",DE50&amp;IF(AND(DP50&gt;=CY50,DR50&gt;=DB50),IF(AND(ED50&gt;=DP50,EF50&gt;=DR50),CONCATENATE(DS50," will provide same result"),CONCATENATE(CO50," will provide same result")),IF((DP50&gt;=CY50),CONCATENATE(CO50," provides same result in WIND"),IF((DR50&gt;=DB50),CONCATENATE(CO50," provides same result in EQ"),""))))))&amp;IF(ISERROR(FIND("pile",I50,1)),"",IF(INT(F50)&lt;&gt;F50,"Pile!  Use Whole Numbers Only",""))</f>
        <v xml:space="preserve"> </v>
      </c>
      <c r="R50" s="52">
        <f ca="1">IF(T44&lt;&gt;2,(COLUMN(INDIRECT(B44&amp;1))+1),U50)</f>
        <v>20</v>
      </c>
      <c r="S50" s="1372" t="str">
        <f ca="1">SUBSTITUTE(ADDRESS(1,R50,4),"1","")</f>
        <v>T</v>
      </c>
      <c r="T50" s="451">
        <f ca="1">IF(AND(ISTEXT(B50),SUBSTITUTE(SUBSTITUTE(SUBSTITUTE(SUBSTITUTE(SUBSTITUTE(SUBSTITUTE(SUBSTITUTE(SUBSTITUTE(SUBSTITUTE(SUBSTITUTE(SUBSTITUTE(SUBSTITUTE(SUBSTITUTE(SUBSTITUTE(SUBSTITUTE(SUBSTITUTE(SUBSTITUTE(SUBSTITUTE(SUBSTITUTE(SUBSTITUTE(SUBSTITUTE(SUBSTITUTE(SUBSTITUTE(SUBSTITUTE(SUBSTITUTE(SUBSTITUTE(LOWER(B50),"a",),"b",),"c",),"d",),"e",),"f",),"g",),"h",),"i",),"j",),"k",),"l",),"m",),"n",),"o",),"p",),"q",),"r",),"s",),"t",),"u",),"v",),"w",),"x",),"y",),"z",)=""),1,2)</f>
        <v>1</v>
      </c>
      <c r="U50" s="1377">
        <v>20</v>
      </c>
      <c r="V50" s="52" t="str">
        <f ca="1">IF(AND(B$5=$BF$9,OR(I50=BH$16,I50=BH$17))," ",IF(ISNUMBER(B$50),(CONCATENATE(B$50,".",W50)),(CONCATENATE(B$50,W50))))</f>
        <v>T0</v>
      </c>
      <c r="W50" s="9">
        <f ca="1">IF(B44=B50,W48+X50,X50)</f>
        <v>0</v>
      </c>
      <c r="X50" s="9">
        <f>IF(AND(B$5=$BF$9,OR($I50=$BH$16,$I50=$BH$17,$I50=" ",$I50="",$F50=0)),0,IF(OR($I50=" ",$I50="",$F50=0),0,1))</f>
        <v>0</v>
      </c>
      <c r="Y50" s="896">
        <f ca="1">IF(AND(M55&gt;0,B50&lt;&gt;B56),1,0)</f>
        <v>0</v>
      </c>
      <c r="Z50" s="52" t="str">
        <f ca="1">IF(I50=" "," ",OFFSET($BM$9,$CL50-1,8,1,1))</f>
        <v xml:space="preserve"> </v>
      </c>
      <c r="AA50" s="51" t="str">
        <f>IF(G50&gt;=45,"WA","")</f>
        <v/>
      </c>
      <c r="AB50" s="1364" t="str">
        <f>IF(F50&lt;&gt;"",IF(OR(D50=$BG$12,D50=$BG$13),IF(E50&lt;&gt;$BG$17,$BF$12,$BF$13),IF(E50&lt;&gt;$BG$17,$BF$12,$BF$13))," ")</f>
        <v xml:space="preserve"> </v>
      </c>
      <c r="AC50" s="1"/>
      <c r="AK50" s="63" t="str">
        <f>'Custom Elements'!B11</f>
        <v xml:space="preserve">  </v>
      </c>
      <c r="AL50" s="860" t="str">
        <f>'Custom Elements'!C11</f>
        <v>Custom3</v>
      </c>
      <c r="AM50" s="11">
        <f>'Custom Elements'!D11</f>
        <v>9.9999999999999996E-76</v>
      </c>
      <c r="AN50" s="7">
        <f>'Custom Elements'!E11</f>
        <v>0</v>
      </c>
      <c r="AO50" s="7">
        <f>'Custom Elements'!F11</f>
        <v>0</v>
      </c>
      <c r="AP50" s="762" t="str">
        <f>'Custom Elements'!G11</f>
        <v>B</v>
      </c>
      <c r="AQ50" s="1777" t="str">
        <f>'Custom Elements'!H11</f>
        <v>Single</v>
      </c>
      <c r="AR50" s="1775" t="str">
        <f>'Custom Elements'!I11</f>
        <v>Yes</v>
      </c>
      <c r="AS50" s="442" t="str">
        <f>'Custom Elements'!J11</f>
        <v>Yes</v>
      </c>
      <c r="AT50" s="1150"/>
      <c r="AU50" s="1150"/>
      <c r="AZ50" s="442" t="str">
        <f>IF(AND('Custom Elements'!J11="Yes",'Custom Elements'!I11="Yes"),"T",IF('Custom Elements'!J11="Yes","F",IF('Custom Elements'!I11="Yes","H","E")))</f>
        <v>T</v>
      </c>
      <c r="BD50" s="638"/>
      <c r="BI50" s="759"/>
      <c r="BJ50" s="897">
        <f t="shared" si="28"/>
        <v>42</v>
      </c>
      <c r="BK50" s="1219" t="str">
        <f>Table!AH71</f>
        <v xml:space="preserve">EPB </v>
      </c>
      <c r="BL50" s="765" t="str">
        <f>Table!C4</f>
        <v>ES-N</v>
      </c>
      <c r="BM50" s="454">
        <f>Table!D4</f>
        <v>0.4</v>
      </c>
      <c r="BN50" s="454">
        <f>BM51</f>
        <v>0.6</v>
      </c>
      <c r="BO50" s="454">
        <f>Table!E4</f>
        <v>66</v>
      </c>
      <c r="BP50" s="924">
        <f>Table!F4</f>
        <v>61</v>
      </c>
      <c r="BQ50" s="920"/>
      <c r="BR50" s="768">
        <f>Table!G4</f>
        <v>0</v>
      </c>
      <c r="BS50" s="454">
        <f>Table!G5</f>
        <v>0</v>
      </c>
      <c r="BT50" s="454" t="str">
        <f>Table!H4</f>
        <v>B</v>
      </c>
      <c r="BU50" s="924" t="s">
        <v>242</v>
      </c>
      <c r="BV50" s="1230" t="str">
        <f>Table!AI73</f>
        <v>ES-N</v>
      </c>
      <c r="BW50" s="1229">
        <f>BJ50</f>
        <v>42</v>
      </c>
      <c r="BX50" s="924" t="str">
        <f>Table!H5</f>
        <v>Single</v>
      </c>
      <c r="CH50" s="768">
        <f>IF(BN50=999,0,(BO51-BO50)/(BN50-BM50))</f>
        <v>15.000000000000004</v>
      </c>
      <c r="CI50" s="924">
        <f>IF(BN50=999,0,(BP51-BP50)/(BN50-BM50))</f>
        <v>0</v>
      </c>
      <c r="CJ50" s="759"/>
      <c r="CK50" s="188"/>
      <c r="CL50" s="979">
        <f>VLOOKUP(I50,Prodlink,2,0)</f>
        <v>0</v>
      </c>
      <c r="CN50" s="497">
        <f ca="1">VLOOKUP(CO50,Prodlink,2,0)</f>
        <v>0</v>
      </c>
      <c r="CO50" s="497">
        <f ca="1">OFFSET($CH$9,CL50-1,-15,1,1)</f>
        <v>0</v>
      </c>
      <c r="CQ50" s="51">
        <v>0</v>
      </c>
      <c r="CR50" s="51">
        <f>IF(K50=$BH$12,$BH$23,IF(K50=$BH$13,$BH$24,10000))</f>
        <v>10000</v>
      </c>
      <c r="CS50" s="51">
        <f ca="1">IF(F50&lt;OFFSET($BM$9,CL50-1,0,1,1),0,IF(F50&lt;OFFSET($BN$9,CL50-1,0,1,1),((F50-OFFSET($BM$9,CL50-1,0,1,1))*OFFSET($CH$9,CL50-1,0,1,1))+OFFSET($BO$9,CL50-1,CQ50,1,1),IF(F50&lt;OFFSET($BN$9,CL50+0,0,1,1),((F50-OFFSET($BM$9,CL50+0,0,1,1))*OFFSET($CH$9,CL50+0,0,1,1))+OFFSET($BO$9,CL50+0,CQ50,1,1),IF(F50&lt;OFFSET($BN$9,CL50+1,0,1,1),((F50-OFFSET($BM$9,CL50+1,0,1,1))*OFFSET($CH$9,CL50+1,0,1,1))+OFFSET($BO$9,CL50+1,CQ50,1,1),IF(F50&lt;OFFSET($BN$9,CL50+2,0,1,1),((F50-OFFSET($BM$9,CL50+2,0,1,1))*OFFSET($CH$9,CL50+2,0,1,1))+OFFSET($BO$9,CL50+2,CQ50,1,1),IF(F50&lt;OFFSET($BN$9,CL50+3,0,1,1),((F50-OFFSET($BM$9,CL50+3,0,1,1))*OFFSET($CH$9,CL50+3,0,1,1))+OFFSET($BO$9,CL50+3,CQ50,1,1),0))))))</f>
        <v>0</v>
      </c>
      <c r="CT50" s="51">
        <f ca="1">IF($F50&lt;OFFSET($BM$9,$CL50-1,0,1,1),0,IF($F50&lt;OFFSET($BN$9,$CL50-1,0,1,1),IF(AND($H50&gt;2.4,Z50&lt;&gt;"e",Z50&lt;&gt;"f"),CX50*2.4/$H50,CX50),IF($F50&lt;OFFSET($BN$9,$CL50+0,0,1,1),IF(AND($H50&gt;2.4,Z50&lt;&gt;"e",Z50&lt;&gt;"f"),CX50*2.4/$H50,CX50),IF($F50&lt;OFFSET($BN$9,$CL50+1,0,1,1),IF(AND($H50&gt;2.4,Z50&lt;&gt;"e",Z50&lt;&gt;"f"),CX50*2.4/$H50,CX50),IF($F50&lt;OFFSET($BN$9,CL50+2,0,1,1),IF(AND($H50&gt;2.4,Z50&lt;&gt;"e",Z50&lt;&gt;"f"),CX50*2.4/$H50,CX50),IF($F50&lt;OFFSET($BN$9,CL50+3,0,1,1),IF(AND($H50&gt;2.4,Z50&lt;&gt;"e",Z50&lt;&gt;"f"),CX50*2.4/$H50,CX50),0)))))*COS(RADIANS($G50)))</f>
        <v>0</v>
      </c>
      <c r="CU50" s="51">
        <f ca="1">IF(F50&lt;OFFSET($BM$9,CL50-1,0,1,1),0,IF(F50&lt;OFFSET($BN$9,CL50-1,0,1,1),((F50-OFFSET($BM$9,CL50-1,0,1,1))*OFFSET($CI$9,CL50-1,0,1,1))+OFFSET($BP$9,CL50-1,CQ50,1,1),IF(F50&lt;OFFSET($BN$9,CL50+0,0,1,1),((F50-OFFSET($BM$9,CL50+0,0,1,1))*OFFSET($CI$9,CL50+0,0,1,1))+OFFSET($BP$9,CL50+0,CQ50,1,1),IF(F50&lt;OFFSET($BN$9,CL50+1,0,1,1),((F50-OFFSET($BM$9,CL50+1,0,1,1))*OFFSET($CI$9,CL50+1,0,1,1))+OFFSET($BP$9,CL50+1,CQ50,1,1),IF(F50&lt;OFFSET($BN$9,CL50+2,0,1,1),((F50-OFFSET($BM$9,CL50+2,0,1,1))*OFFSET($CI$9,CL50+2,0,1,1))+OFFSET($BP$9,CL50+2,CQ50,1,1),IF(F50&lt;OFFSET($BN$9,CL50+3,0,1,1),((F50-OFFSET($BM$9,CL50+3,0,1,1))*OFFSET($CI$9,CL50+3,0,1,1))+OFFSET($BP$9,CL50+3,CQ50,1,1),0))))))</f>
        <v>0</v>
      </c>
      <c r="CV50" s="51">
        <f ca="1">IF($F50&lt;OFFSET($BM$9,$CL50-1,0,1,1),0,IF($F50&lt;OFFSET($BN$9,$CL50-1,0,1,1),IF(AND($H50&gt;2.4,Z50&lt;&gt;"e",Z50&lt;&gt;"f"),CZ50*2.4/$H50,CZ50),IF($F50&lt;OFFSET($BN$9,$CL50+0,0,1,1),IF(AND($H50&gt;2.4,Z50&lt;&gt;"e",Z50&lt;&gt;"f"),CZ50*2.4/$H50,CZ50),IF($F50&lt;OFFSET($BN$9,$CL50+1,0,1,1),IF(AND($H50&gt;2.4,Z50&lt;&gt;"e",Z50&lt;&gt;"f"),CZ50*2.4/$H50,CZ50),IF($F50&lt;OFFSET($BN$9,$CL50+2,0,1,1),IF(AND($H50&gt;2.4,Z50&lt;&gt;"e",Z50&lt;&gt;"f"),CZ50*2.4/$H50,CZ50),IF($F50&lt;OFFSET($BN$9,$CL50+3,0,1,1),IF(AND($H50&gt;2.4,Z50&lt;&gt;"e",Z50&lt;&gt;"f"),CZ50*2.4/$H50,CZ50),0)))))*COS(RADIANS($G50)))</f>
        <v>0</v>
      </c>
      <c r="CW50" s="51">
        <f ca="1">IF(CT50&gt;CR50,CR50,CT50)</f>
        <v>0</v>
      </c>
      <c r="CX50" s="51">
        <f ca="1">IF(CS50&gt;$CR50,$CR50,CS50)</f>
        <v>0</v>
      </c>
      <c r="CY50" s="51">
        <f ca="1">CW50*F50</f>
        <v>0</v>
      </c>
      <c r="CZ50" s="51">
        <f ca="1">IF($CU50&gt;$CR50,$CR50,$CU50)</f>
        <v>0</v>
      </c>
      <c r="DA50" s="51">
        <f ca="1">IF(CV50&gt;CR50,CR50,CV50)</f>
        <v>0</v>
      </c>
      <c r="DB50" s="51">
        <f ca="1">DA50*F50</f>
        <v>0</v>
      </c>
      <c r="DC50" s="993">
        <v>1</v>
      </c>
      <c r="DD50" s="758" t="str">
        <f>IF(OR(D50=BG$12,D50=BG$13),"External",IF(D50=BG$14,"Internal"," "))</f>
        <v xml:space="preserve"> </v>
      </c>
      <c r="DE50" s="51" t="str">
        <f t="shared" ca="1" si="2"/>
        <v/>
      </c>
      <c r="DF50" s="52" t="str">
        <f t="shared" ca="1" si="3"/>
        <v xml:space="preserve"> </v>
      </c>
      <c r="DG50" s="51">
        <f ca="1">IF(F50&lt;OFFSET($BM$9,CN50-1,0,1,1),0,IF(F50&lt;OFFSET($BN$9,CN50-1,0,1,1),((F50-OFFSET($BM$9,CN50-1,0,1,1))*OFFSET($CH$9,CN50-1,0,1,1))+OFFSET($BO$9,CN50-1,CQ50,1,1),IF(F50&lt;OFFSET($BN$9,CN50+0,0,1,1),((F50-OFFSET($BM$9,CN50+0,0,1,1))*OFFSET($CH$9,CN50+0,0,1,1))+OFFSET($BO$9,CN50+0,CQ50,1,1),IF(F50&lt;OFFSET($BN$9,CN50+1,0,1,1),((F50-OFFSET($BM$9,CN50+1,0,1,1))*OFFSET($CH$9,CN50+1,0,1,1))+OFFSET($BO$9,CN50+1,CQ50,1,1),IF(F50&lt;OFFSET($BN$9,CN50+2,0,1,1),((F50-OFFSET($BM$9,CN50+2,0,1,1))*OFFSET($CH$9,CN50+2,0,1,1))+OFFSET($BO$9,CN50+2,CQ50,1,1),IF(F50&lt;OFFSET($BN$9,CN50+3,0,1,1),((F50-OFFSET($BM$9,CN50+3,0,1,1))*OFFSET($CH$9,CN50+3,0,1,1))+OFFSET($BO$9,CN50+3,CQ50,1,1),0))))))</f>
        <v>0</v>
      </c>
      <c r="DH50" s="51">
        <f ca="1">IF($F50&lt;OFFSET($BM$9,$CN50-1,0,1,1),0,IF($F50&lt;OFFSET($BN$9,$CN50-1,0,1,1),IF(AND($H50&gt;2.4,Z50&lt;&gt;"e",Z50&lt;&gt;"f"),DL50*2.4/$H50,DL50),IF($F50&lt;OFFSET($BN$9,$CN50+0,0,1,1),IF(AND($H50&gt;2.4,Z50&lt;&gt;"e",Z50&lt;&gt;"f"),DL50*2.4/$H50,DL50),IF($F50&lt;OFFSET($BN$9,$CN50+1,0,1,1),IF(AND($H50&gt;2.4,Z50&lt;&gt;"e",Z50&lt;&gt;"f"),DL50*2.4/$H50,DL50),IF($F50&lt;OFFSET($BN$9,$CN50+2,0,1,1),IF(AND($H50&gt;2.4,Z50&lt;&gt;"e",Z50&lt;&gt;"f"),DL50*2.4/$H50,DL50),IF($F50&lt;OFFSET($BN$9,$CN50+3,0,1,1),IF(AND($H50&gt;2.4,Z50&lt;&gt;"e",Z50&lt;&gt;"f"),DL50*2.4/$H50,DL50),0)))))*COS(RADIANS($G50)))</f>
        <v>0</v>
      </c>
      <c r="DI50" s="51">
        <f ca="1">IF(F50&lt;OFFSET($BM$9,CN50-1,0,1,1),0,IF(F50&lt;OFFSET($BN$9,CN50-1,0,1,1),((F50-OFFSET($BM$9,CN50-1,0,1,1))*OFFSET($CI$9,CN50-1,0,1,1))+OFFSET($BP$9,CN50-1,CQ50,1,1),IF(F50&lt;OFFSET($BN$9,CN50+0,0,1,1),((F50-OFFSET($BM$9,CN50+0,0,1,1))*OFFSET($CI$9,CN50+0,0,1,1))+OFFSET($BP$9,CN50+0,CQ50,1,1),IF(F50&lt;OFFSET($BN$9,CN50+1,0,1,1),((F50-OFFSET($BM$9,CN50+1,0,1,1))*OFFSET($CI$9,CN50+1,0,1,1))+OFFSET($BP$9,CN50+1,CQ50,1,1),IF(F50&lt;OFFSET($BN$9,CN50+2,0,1,1),((F50-OFFSET($BM$9,CN50+2,0,1,1))*OFFSET($CI$9,CN50+2,0,1,1))+OFFSET($BP$9,CN50+2,CQ50,1,1),IF(F50&lt;OFFSET($BN$9,CN50+3,0,1,1),((F50-OFFSET($BM$9,CN50+3,0,1,1))*OFFSET($CI$9,CN50+3,0,1,1))+OFFSET($BP$9,CN50+3,CQ50,1,1),0))))))</f>
        <v>0</v>
      </c>
      <c r="DJ50" s="51">
        <f ca="1">IF($F50&lt;OFFSET($BM$9,$CN50-1,0,1,1),0,IF($F50&lt;OFFSET($BN$9,$CN50-1,0,1,1),IF(AND($H50&gt;2.4,Z50&lt;&gt;"e",Z50&lt;&gt;"f"),DN50*2.4/$H50,DN50),IF($F50&lt;OFFSET($BN$9,$CN50+0,0,1,1),IF(AND($H50&gt;2.4,Z50&lt;&gt;"e",Z50&lt;&gt;"f"),DN50*2.4/$H50,DN50),IF($F50&lt;OFFSET($BN$9,$CN50+1,0,1,1),IF(AND($H50&gt;2.4,Z50&lt;&gt;"e",Z50&lt;&gt;"f"),DN50*2.4/$H50,DN50),IF($F50&lt;OFFSET($BN$9,$CN50+2,0,1,1),IF(AND($H50&gt;2.4,Z50&lt;&gt;"e",Z50&lt;&gt;"f"),DN50*2.4/$H50,DN50),IF($F50&lt;OFFSET($BN$9,$CN50+3,0,1,1),IF(AND($H50&gt;2.4,Z50&lt;&gt;"e",Z50&lt;&gt;"f"),DN50*2.4/$H50,DN50),0)))))*COS(RADIANS($G50)))</f>
        <v>0</v>
      </c>
      <c r="DK50" s="51"/>
      <c r="DL50" s="51">
        <f ca="1">IF(DG50&gt;$CR50,$CR50,DG50)</f>
        <v>0</v>
      </c>
      <c r="DM50" s="51"/>
      <c r="DN50" s="51">
        <f ca="1">IF(DI50&gt;$CR50,$CR50,DI50)</f>
        <v>0</v>
      </c>
      <c r="DO50" s="435">
        <f ca="1">IF(DH50&gt;$CR50,$CR50,DH50)</f>
        <v>0</v>
      </c>
      <c r="DP50" s="435">
        <f ca="1">DO50*F50</f>
        <v>0</v>
      </c>
      <c r="DQ50" s="436">
        <f ca="1">IF(DJ50&gt;$CR50,$CR50,DJ50)</f>
        <v>0</v>
      </c>
      <c r="DR50" s="437">
        <f ca="1">DQ50*F50</f>
        <v>0</v>
      </c>
      <c r="DS50" s="426">
        <f ca="1">OFFSET($CH$9,CL50-1,-15,1,1)</f>
        <v>0</v>
      </c>
      <c r="DT50" s="451">
        <f t="shared" ca="1" si="27"/>
        <v>0</v>
      </c>
      <c r="DU50" s="188">
        <f ca="1">IF(F50&lt;OFFSET($BM$9,DT50-1,0,1,1),0,IF(F50&lt;OFFSET($BN$9,DT50-1,0,1,1),((F50-OFFSET($BM$9,DT50-1,0,1,1))*OFFSET($CH$9,DT50-1,0,1,1))+OFFSET($BO$9,DT50-1,CQ50,1,1),IF(F50&lt;OFFSET($BN$9,DT50+0,0,1,1),((F50-OFFSET($BM$9,DT50+0,0,1,1))*OFFSET($CH$9,DT50+0,0,1,1))+OFFSET($BO$9,DT50+0,CQ50,1,1),IF(F50&lt;OFFSET($BN$9,DT50+1,0,1,1),((F50-OFFSET($BM$9,DT50+1,0,1,1))*OFFSET($CH$9,DT50+1,0,1,1))+OFFSET($BO$9,DT50+1,CQ50,1,1),IF(F50&lt;OFFSET($BN$9,DT50+2,0,1,1),((F50-OFFSET($BM$9,DT50+2,0,1,1))*OFFSET($CH$9,DT50+2,0,1,1))+OFFSET($BO$9,DT50+2,CQ50,1,1),IF(F50&lt;OFFSET($BN$9,DT50+3,0,1,1),((F50-OFFSET($BM$9,DT50+3,0,1,1))*OFFSET($CH$9,DT50+3,0,1,1))+OFFSET($BO$9,DT50+3,CQ50,1,1),0))))))</f>
        <v>0</v>
      </c>
      <c r="DV50" s="51">
        <f ca="1">IF($F50&lt;OFFSET($BM$9,$DT50-1,0,1,1),0,IF($F50&lt;OFFSET($BN$9,$DT50-1,0,1,1),IF(AND($H50&gt;2.4,Z50&lt;&gt;"e",Z50&lt;&gt;"f"),DZ50*2.4/$H50,DZ50),IF($F50&lt;OFFSET($BN$9,$DT50+0,0,1,1),IF(AND($H50&gt;2.4,Z50&lt;&gt;"e",Z50&lt;&gt;"f"),DZ50*2.4/$H50,DZ50),IF($F50&lt;OFFSET($BN$9,$DT50+1,0,1,1),IF(AND($H50&gt;2.4,Z50&lt;&gt;"e",Z50&lt;&gt;"f"),DZ50*2.4/$H50,DZ50),IF($F50&lt;OFFSET($BN$9,$DT50+2,0,1,1),IF(AND($H50&gt;2.4,Z50&lt;&gt;"e",Z50&lt;&gt;"f"),DZ50*2.4/$H50,DZ50),IF($F50&lt;OFFSET($BN$9,$DT50+3,0,1,1),IF(AND($H50&gt;2.4,Z50&lt;&gt;"e",Z50&lt;&gt;"f"),DZ50*2.4/$H50,DZ50),0)))))*COS(RADIANS($G50)))</f>
        <v>0</v>
      </c>
      <c r="DW50" s="188">
        <f ca="1">IF(F50&lt;OFFSET($BM$9,DT50-1,0,1,1),0,IF(F50&lt;OFFSET($BN$9,DT50-1,0,1,1),((F50-OFFSET($BM$9,DT50-1,0,1,1))*OFFSET($CI$9,DT50-1,0,1,1))+OFFSET($BP$9,DT50-1,CQ50,1,1),IF(F50&lt;OFFSET($BN$9,DT50+0,0,1,1),((F50-OFFSET($BM$9,DT50+0,0,1,1))*OFFSET($CI$9,DT50+0,0,1,1))+OFFSET($BP$9,DT50+0,CQ50,1,1),IF(F50&lt;OFFSET($BN$9,DT50+1,0,1,1),((F50-OFFSET($BM$9,DT50+1,0,1,1))*OFFSET($CI$9,DT50+1,0,1,1))+OFFSET($BP$9,DT50+1,CQ50,1,1),IF(F50&lt;OFFSET($BN$9,DT50+2,0,1,1),((F50-OFFSET($BM$9,DT50+2,0,1,1))*OFFSET($CI$9,DT50+2,0,1,1))+OFFSET($BP$9,DT50+2,CQ50,1,1),IF(F50&lt;OFFSET($BN$9,DT50+3,0,1,1),((F50-OFFSET($BM$9,DT50+3,0,1,1))*OFFSET($CI$9,DT50+3,0,1,1))+OFFSET($BP$9,DT50+3,CQ50,1,1),0))))))</f>
        <v>0</v>
      </c>
      <c r="DX50" s="51">
        <f ca="1">IF($F50&lt;OFFSET($BM$9,$DT50-1,0,1,1),0,IF($F50&lt;OFFSET($BN$9,$DT50-1,0,1,1),IF(AND($H50&gt;2.4,Z50&lt;&gt;"e",Z50&lt;&gt;"f"),EB50*2.4/$H50,EB50),IF($F50&lt;OFFSET($BN$9,$DT50+0,0,1,1),IF(AND($H50&gt;2.4,Z50&lt;&gt;"e",Z50&lt;&gt;"f"),EB50*2.4/$H50,EB50),IF($F50&lt;OFFSET($BN$9,$DT50+1,0,1,1),IF(AND($H50&gt;2.4,Z50&lt;&gt;"e",Z50&lt;&gt;"f"),EB50*2.4/$H50,EB50),IF($F50&lt;OFFSET($BN$9,$DT50+2,0,1,1),IF(AND($H50&gt;2.4,Z50&lt;&gt;"e",Z50&lt;&gt;"f"),EB50*2.4/$H50,EB50),IF($F50&lt;OFFSET($BN$9,$DT50+3,0,1,1),IF(AND($H50&gt;2.4,Z50&lt;&gt;"e",Z50&lt;&gt;"f"),EB50*2.4/$H50,EB50),0)))))*COS(RADIANS($G50)))</f>
        <v>0</v>
      </c>
      <c r="DY50" s="188"/>
      <c r="DZ50" s="188">
        <f ca="1">IF(DU50&gt;$CR50,$CR50,DU50)</f>
        <v>0</v>
      </c>
      <c r="EA50" s="188"/>
      <c r="EB50" s="188">
        <f ca="1">IF(DW50&gt;$CR50,$CR50,DW50)</f>
        <v>0</v>
      </c>
      <c r="EC50" s="435">
        <f ca="1">IF(DV50&gt;$CR50,$CR50,DV50)</f>
        <v>0</v>
      </c>
      <c r="ED50" s="435">
        <f ca="1">EC50*F50</f>
        <v>0</v>
      </c>
      <c r="EE50" s="436">
        <f ca="1">IF(DX50&gt;$CR50,$CR50,DX50)</f>
        <v>0</v>
      </c>
      <c r="EF50" s="437">
        <f ca="1">EE50*F50</f>
        <v>0</v>
      </c>
      <c r="EG50" s="613" t="str">
        <f>IF(D50=BG$12,BG$12,"")</f>
        <v/>
      </c>
      <c r="EH50" s="614" t="str">
        <f>IF(D50=BG$13,BG$13,"")</f>
        <v/>
      </c>
      <c r="EI50" s="611">
        <f>IF(EG50=BG$12,M50,0)</f>
        <v>0</v>
      </c>
      <c r="EJ50" s="451">
        <f>IF(EG50=BG$12,O50,0)</f>
        <v>0</v>
      </c>
      <c r="EK50" s="451">
        <f>IF(EH50=BG$13,M50,0)</f>
        <v>0</v>
      </c>
      <c r="EL50" s="612">
        <f>IF(EH50=BG$13,O50,0)</f>
        <v>0</v>
      </c>
      <c r="EM50" s="426" t="str">
        <f ca="1">IF(AND(Z50&lt;&gt;"t",Z50&lt;&gt;"f"),"",IF(AND(EN50=$BH$13,K50=$BH$12),"NotOpt",IF(K50&lt;&gt;EN50,"Error","")))</f>
        <v/>
      </c>
      <c r="EN50" s="491" t="str">
        <f>IF(AND($BH$28=1,$BG$28=1),$BH$13,$BH$12)</f>
        <v>120 BU's</v>
      </c>
      <c r="EO50" s="426" t="str">
        <f>K50</f>
        <v xml:space="preserve"> </v>
      </c>
      <c r="EP50" s="497">
        <v>1</v>
      </c>
      <c r="EQ50" s="430" t="str">
        <f ca="1">IF(EP50=1," ",OFFSET(BF$15,EP50-2,0,1,1))</f>
        <v xml:space="preserve"> </v>
      </c>
      <c r="ER50" s="439" t="str">
        <f ca="1">IF(H50=0," ",H50)</f>
        <v xml:space="preserve"> </v>
      </c>
      <c r="ES50" s="440" t="str">
        <f ca="1">IF(ER50&lt;&gt;" ",IF(ER50&lt;&gt;ER$7,"Changed",""),"")</f>
        <v/>
      </c>
      <c r="ET50" s="440">
        <f t="shared" ca="1" si="15"/>
        <v>0</v>
      </c>
      <c r="EU50" s="957" t="str">
        <f ca="1">IF(I50=" "," ",IF(F50&lt;OFFSET($BM$9,CL50-1,0,1,1),1,""))</f>
        <v xml:space="preserve"> </v>
      </c>
      <c r="EW50" s="427"/>
      <c r="EX50"/>
    </row>
    <row r="51" spans="1:154" ht="17.100000000000001" customHeight="1">
      <c r="A51" s="2685"/>
      <c r="B51" s="689" t="s">
        <v>246</v>
      </c>
      <c r="C51" s="684" t="str">
        <f>IF(OR(F51=0,I51="",I51=" ")," ",$V51)</f>
        <v xml:space="preserve"> </v>
      </c>
      <c r="D51" s="1033"/>
      <c r="E51" s="1360" t="s">
        <v>8</v>
      </c>
      <c r="F51" s="202"/>
      <c r="G51" s="1416"/>
      <c r="H51" s="199" t="str">
        <f ca="1">IF(OR(F51=0,Z51="E",Z51="f")," ",'Project Demand'!E$35)</f>
        <v xml:space="preserve"> </v>
      </c>
      <c r="I51" s="631" t="str">
        <f>IF($I$6&lt;&gt;$BG$8," ",AB51)</f>
        <v xml:space="preserve"> </v>
      </c>
      <c r="J51" s="44" t="str">
        <f ca="1">IF(OR(I51=" ",I51="")," ",OFFSET($BO$9,CL51-1,0-4,1,1))</f>
        <v xml:space="preserve"> </v>
      </c>
      <c r="K51" s="55" t="str">
        <f>IF(OR(I51=" ",I51="")," ",IF(OR(Z51="e",Z51="h"),"SD",BG$24))</f>
        <v xml:space="preserve"> </v>
      </c>
      <c r="L51" s="49">
        <f ca="1">CW51</f>
        <v>0</v>
      </c>
      <c r="M51" s="49">
        <f ca="1">CY51</f>
        <v>0</v>
      </c>
      <c r="N51" s="50">
        <f t="shared" ca="1" si="31"/>
        <v>0</v>
      </c>
      <c r="O51" s="126">
        <f t="shared" ca="1" si="31"/>
        <v>0</v>
      </c>
      <c r="P51" s="140"/>
      <c r="Q51" s="752" t="str">
        <f ca="1">IF(AND(OR(Z51="t",Z51="f"),K51=$BH$11),"No Floor!  Change Floor Type",IF(OR(I51=" ",I51="")," ",IF(F51&lt;OFFSET($BM$9,CL51-1,0,1,1),"check L(m)",DE51&amp;IF(AND(DP51&gt;=CY51,DR51&gt;=DB51),IF(AND(ED51&gt;=DP51,EF51&gt;=DR51),CONCATENATE(DS51," will provide same result"),CONCATENATE(CO51," will provide same result")),IF((DP51&gt;=CY51),CONCATENATE(CO51," provides same result in WIND"),IF((DR51&gt;=DB51),CONCATENATE(CO51," provides same result in EQ"),""))))))&amp;IF(ISERROR(FIND("pile",I51,1)),"",IF(INT(F51)&lt;&gt;F51,"Pile!  Use Whole Numbers Only",""))</f>
        <v xml:space="preserve"> </v>
      </c>
      <c r="R51" s="52"/>
      <c r="S51" s="1372"/>
      <c r="T51" s="1372"/>
      <c r="U51" s="1377"/>
      <c r="V51" s="52" t="str">
        <f ca="1">IF(AND(B$5=$BF$9,OR(I51=BH$16,I51=BH$17))," ",IF(ISNUMBER(B$50),(CONCATENATE(B$50,".",W51)),(CONCATENATE(B$50,W51))))</f>
        <v>T0</v>
      </c>
      <c r="W51" s="9">
        <f ca="1">W50+X51</f>
        <v>0</v>
      </c>
      <c r="X51" s="9">
        <f>IF(AND(B$5=$BF$9,OR($I51=$BH$16,$I51=$BH$17,$I51=" ",$I51="",$F51=0)),0,IF(OR($I51=" ",$I51="",$F51=0),0,1))</f>
        <v>0</v>
      </c>
      <c r="Y51" s="896"/>
      <c r="Z51" s="52" t="str">
        <f ca="1">IF(I51=" "," ",OFFSET($BM$9,$CL51-1,8,1,1))</f>
        <v xml:space="preserve"> </v>
      </c>
      <c r="AA51" s="51" t="str">
        <f>IF(G51&gt;=45,"WA","")</f>
        <v/>
      </c>
      <c r="AB51" s="1364" t="str">
        <f>IF(F51&lt;&gt;"",IF(OR(D51=$BG$12,D51=$BG$13),IF(E51&lt;&gt;$BG$17,$BF$12,$BF$13),IF(E51&lt;&gt;$BG$17,$BF$12,$BF$13))," ")</f>
        <v xml:space="preserve"> </v>
      </c>
      <c r="AC51" s="1"/>
      <c r="AK51" s="63" t="str">
        <f>'Custom Elements'!B12</f>
        <v xml:space="preserve">  </v>
      </c>
      <c r="AL51" s="860" t="str">
        <f>'Custom Elements'!C12</f>
        <v>Custom4</v>
      </c>
      <c r="AM51" s="11">
        <f>'Custom Elements'!D12</f>
        <v>9.9999999999999996E-76</v>
      </c>
      <c r="AN51" s="7">
        <f>'Custom Elements'!E12</f>
        <v>0</v>
      </c>
      <c r="AO51" s="7">
        <f>'Custom Elements'!F12</f>
        <v>0</v>
      </c>
      <c r="AP51" s="762" t="str">
        <f>'Custom Elements'!G12</f>
        <v>B</v>
      </c>
      <c r="AQ51" s="1777" t="str">
        <f>'Custom Elements'!H12</f>
        <v>Single</v>
      </c>
      <c r="AR51" s="1775" t="str">
        <f>'Custom Elements'!I12</f>
        <v>Yes</v>
      </c>
      <c r="AS51" s="442" t="str">
        <f>'Custom Elements'!J12</f>
        <v>Yes</v>
      </c>
      <c r="AT51" s="1150"/>
      <c r="AU51" s="1150"/>
      <c r="AZ51" s="442" t="str">
        <f>IF(AND('Custom Elements'!J12="Yes",'Custom Elements'!I12="Yes"),"T",IF('Custom Elements'!J12="Yes","F",IF('Custom Elements'!I12="Yes","H","E")))</f>
        <v>T</v>
      </c>
      <c r="BD51" s="638"/>
      <c r="BI51" s="759"/>
      <c r="BJ51" s="897">
        <f t="shared" si="28"/>
        <v>43</v>
      </c>
      <c r="BK51" s="1220"/>
      <c r="BL51" s="766"/>
      <c r="BM51" s="455">
        <f>Table!D5</f>
        <v>0.6</v>
      </c>
      <c r="BN51" s="455">
        <f>BM52</f>
        <v>0.8</v>
      </c>
      <c r="BO51" s="455">
        <f>Table!E5</f>
        <v>69</v>
      </c>
      <c r="BP51" s="925">
        <f>Table!F5</f>
        <v>61</v>
      </c>
      <c r="BR51" s="764"/>
      <c r="BS51" s="455"/>
      <c r="BT51" s="455"/>
      <c r="BU51" s="925" t="s">
        <v>242</v>
      </c>
      <c r="BV51" s="895"/>
      <c r="BW51" s="912"/>
      <c r="BX51" s="925" t="str">
        <f>Table!H5</f>
        <v>Single</v>
      </c>
      <c r="CH51" s="764">
        <f>IF(BN51=999,0,(BO52-BO51)/(BN51-BM51))</f>
        <v>14.999999999999995</v>
      </c>
      <c r="CI51" s="925">
        <f>IF(BN51=999,0,(BP52-BP51)/(BN51-BM51))</f>
        <v>0</v>
      </c>
      <c r="CJ51" s="759"/>
      <c r="CK51" s="188"/>
      <c r="CL51" s="979">
        <f>VLOOKUP(I51,Prodlink,2,0)</f>
        <v>0</v>
      </c>
      <c r="CN51" s="497">
        <f ca="1">VLOOKUP(CO51,Prodlink,2,0)</f>
        <v>0</v>
      </c>
      <c r="CO51" s="497">
        <f ca="1">OFFSET($CH$9,CL51-1,-15,1,1)</f>
        <v>0</v>
      </c>
      <c r="CQ51" s="51">
        <v>0</v>
      </c>
      <c r="CR51" s="51">
        <f>IF(K51=$BH$12,$BH$23,IF(K51=$BH$13,$BH$24,10000))</f>
        <v>10000</v>
      </c>
      <c r="CS51" s="51">
        <f ca="1">IF(F51&lt;OFFSET($BM$9,CL51-1,0,1,1),0,IF(F51&lt;OFFSET($BN$9,CL51-1,0,1,1),((F51-OFFSET($BM$9,CL51-1,0,1,1))*OFFSET($CH$9,CL51-1,0,1,1))+OFFSET($BO$9,CL51-1,CQ51,1,1),IF(F51&lt;OFFSET($BN$9,CL51+0,0,1,1),((F51-OFFSET($BM$9,CL51+0,0,1,1))*OFFSET($CH$9,CL51+0,0,1,1))+OFFSET($BO$9,CL51+0,CQ51,1,1),IF(F51&lt;OFFSET($BN$9,CL51+1,0,1,1),((F51-OFFSET($BM$9,CL51+1,0,1,1))*OFFSET($CH$9,CL51+1,0,1,1))+OFFSET($BO$9,CL51+1,CQ51,1,1),IF(F51&lt;OFFSET($BN$9,CL51+2,0,1,1),((F51-OFFSET($BM$9,CL51+2,0,1,1))*OFFSET($CH$9,CL51+2,0,1,1))+OFFSET($BO$9,CL51+2,CQ51,1,1),IF(F51&lt;OFFSET($BN$9,CL51+3,0,1,1),((F51-OFFSET($BM$9,CL51+3,0,1,1))*OFFSET($CH$9,CL51+3,0,1,1))+OFFSET($BO$9,CL51+3,CQ51,1,1),0))))))</f>
        <v>0</v>
      </c>
      <c r="CT51" s="51">
        <f ca="1">IF($F51&lt;OFFSET($BM$9,$CL51-1,0,1,1),0,IF($F51&lt;OFFSET($BN$9,$CL51-1,0,1,1),IF(AND($H51&gt;2.4,Z51&lt;&gt;"e",Z51&lt;&gt;"f"),CX51*2.4/$H51,CX51),IF($F51&lt;OFFSET($BN$9,$CL51+0,0,1,1),IF(AND($H51&gt;2.4,Z51&lt;&gt;"e",Z51&lt;&gt;"f"),CX51*2.4/$H51,CX51),IF($F51&lt;OFFSET($BN$9,$CL51+1,0,1,1),IF(AND($H51&gt;2.4,Z51&lt;&gt;"e",Z51&lt;&gt;"f"),CX51*2.4/$H51,CX51),IF($F51&lt;OFFSET($BN$9,CL51+2,0,1,1),IF(AND($H51&gt;2.4,Z51&lt;&gt;"e",Z51&lt;&gt;"f"),CX51*2.4/$H51,CX51),IF($F51&lt;OFFSET($BN$9,CL51+3,0,1,1),IF(AND($H51&gt;2.4,Z51&lt;&gt;"e",Z51&lt;&gt;"f"),CX51*2.4/$H51,CX51),0)))))*COS(RADIANS($G51)))</f>
        <v>0</v>
      </c>
      <c r="CU51" s="51">
        <f ca="1">IF(F51&lt;OFFSET($BM$9,CL51-1,0,1,1),0,IF(F51&lt;OFFSET($BN$9,CL51-1,0,1,1),((F51-OFFSET($BM$9,CL51-1,0,1,1))*OFFSET($CI$9,CL51-1,0,1,1))+OFFSET($BP$9,CL51-1,CQ51,1,1),IF(F51&lt;OFFSET($BN$9,CL51+0,0,1,1),((F51-OFFSET($BM$9,CL51+0,0,1,1))*OFFSET($CI$9,CL51+0,0,1,1))+OFFSET($BP$9,CL51+0,CQ51,1,1),IF(F51&lt;OFFSET($BN$9,CL51+1,0,1,1),((F51-OFFSET($BM$9,CL51+1,0,1,1))*OFFSET($CI$9,CL51+1,0,1,1))+OFFSET($BP$9,CL51+1,CQ51,1,1),IF(F51&lt;OFFSET($BN$9,CL51+2,0,1,1),((F51-OFFSET($BM$9,CL51+2,0,1,1))*OFFSET($CI$9,CL51+2,0,1,1))+OFFSET($BP$9,CL51+2,CQ51,1,1),IF(F51&lt;OFFSET($BN$9,CL51+3,0,1,1),((F51-OFFSET($BM$9,CL51+3,0,1,1))*OFFSET($CI$9,CL51+3,0,1,1))+OFFSET($BP$9,CL51+3,CQ51,1,1),0))))))</f>
        <v>0</v>
      </c>
      <c r="CV51" s="51">
        <f ca="1">IF($F51&lt;OFFSET($BM$9,$CL51-1,0,1,1),0,IF($F51&lt;OFFSET($BN$9,$CL51-1,0,1,1),IF(AND($H51&gt;2.4,Z51&lt;&gt;"e",Z51&lt;&gt;"f"),CZ51*2.4/$H51,CZ51),IF($F51&lt;OFFSET($BN$9,$CL51+0,0,1,1),IF(AND($H51&gt;2.4,Z51&lt;&gt;"e",Z51&lt;&gt;"f"),CZ51*2.4/$H51,CZ51),IF($F51&lt;OFFSET($BN$9,$CL51+1,0,1,1),IF(AND($H51&gt;2.4,Z51&lt;&gt;"e",Z51&lt;&gt;"f"),CZ51*2.4/$H51,CZ51),IF($F51&lt;OFFSET($BN$9,$CL51+2,0,1,1),IF(AND($H51&gt;2.4,Z51&lt;&gt;"e",Z51&lt;&gt;"f"),CZ51*2.4/$H51,CZ51),IF($F51&lt;OFFSET($BN$9,$CL51+3,0,1,1),IF(AND($H51&gt;2.4,Z51&lt;&gt;"e",Z51&lt;&gt;"f"),CZ51*2.4/$H51,CZ51),0)))))*COS(RADIANS($G51)))</f>
        <v>0</v>
      </c>
      <c r="CW51" s="51">
        <f ca="1">IF(CT51&gt;CR51,CR51,CT51)</f>
        <v>0</v>
      </c>
      <c r="CX51" s="51">
        <f ca="1">IF(CS51&gt;$CR51,$CR51,CS51)</f>
        <v>0</v>
      </c>
      <c r="CY51" s="51">
        <f ca="1">CW51*F51</f>
        <v>0</v>
      </c>
      <c r="CZ51" s="51">
        <f ca="1">IF($CU51&gt;$CR51,$CR51,$CU51)</f>
        <v>0</v>
      </c>
      <c r="DA51" s="51">
        <f ca="1">IF(CV51&gt;CR51,CR51,CV51)</f>
        <v>0</v>
      </c>
      <c r="DB51" s="51">
        <f ca="1">DA51*F51</f>
        <v>0</v>
      </c>
      <c r="DC51" s="993">
        <v>1</v>
      </c>
      <c r="DD51" s="758" t="str">
        <f>IF(OR(D51=BG$12,D51=BG$13),"External",IF(D51=BG$14,"Internal"," "))</f>
        <v xml:space="preserve"> </v>
      </c>
      <c r="DE51" s="51" t="str">
        <f t="shared" ca="1" si="2"/>
        <v/>
      </c>
      <c r="DF51" s="52" t="str">
        <f t="shared" ca="1" si="3"/>
        <v xml:space="preserve"> </v>
      </c>
      <c r="DG51" s="51">
        <f ca="1">IF(F51&lt;OFFSET($BM$9,CN51-1,0,1,1),0,IF(F51&lt;OFFSET($BN$9,CN51-1,0,1,1),((F51-OFFSET($BM$9,CN51-1,0,1,1))*OFFSET($CH$9,CN51-1,0,1,1))+OFFSET($BO$9,CN51-1,CQ51,1,1),IF(F51&lt;OFFSET($BN$9,CN51+0,0,1,1),((F51-OFFSET($BM$9,CN51+0,0,1,1))*OFFSET($CH$9,CN51+0,0,1,1))+OFFSET($BO$9,CN51+0,CQ51,1,1),IF(F51&lt;OFFSET($BN$9,CN51+1,0,1,1),((F51-OFFSET($BM$9,CN51+1,0,1,1))*OFFSET($CH$9,CN51+1,0,1,1))+OFFSET($BO$9,CN51+1,CQ51,1,1),IF(F51&lt;OFFSET($BN$9,CN51+2,0,1,1),((F51-OFFSET($BM$9,CN51+2,0,1,1))*OFFSET($CH$9,CN51+2,0,1,1))+OFFSET($BO$9,CN51+2,CQ51,1,1),IF(F51&lt;OFFSET($BN$9,CN51+3,0,1,1),((F51-OFFSET($BM$9,CN51+3,0,1,1))*OFFSET($CH$9,CN51+3,0,1,1))+OFFSET($BO$9,CN51+3,CQ51,1,1),0))))))</f>
        <v>0</v>
      </c>
      <c r="DH51" s="51">
        <f ca="1">IF($F51&lt;OFFSET($BM$9,$CN51-1,0,1,1),0,IF($F51&lt;OFFSET($BN$9,$CN51-1,0,1,1),IF(AND($H51&gt;2.4,Z51&lt;&gt;"e",Z51&lt;&gt;"f"),DL51*2.4/$H51,DL51),IF($F51&lt;OFFSET($BN$9,$CN51+0,0,1,1),IF(AND($H51&gt;2.4,Z51&lt;&gt;"e",Z51&lt;&gt;"f"),DL51*2.4/$H51,DL51),IF($F51&lt;OFFSET($BN$9,$CN51+1,0,1,1),IF(AND($H51&gt;2.4,Z51&lt;&gt;"e",Z51&lt;&gt;"f"),DL51*2.4/$H51,DL51),IF($F51&lt;OFFSET($BN$9,$CN51+2,0,1,1),IF(AND($H51&gt;2.4,Z51&lt;&gt;"e",Z51&lt;&gt;"f"),DL51*2.4/$H51,DL51),IF($F51&lt;OFFSET($BN$9,$CN51+3,0,1,1),IF(AND($H51&gt;2.4,Z51&lt;&gt;"e",Z51&lt;&gt;"f"),DL51*2.4/$H51,DL51),0)))))*COS(RADIANS($G51)))</f>
        <v>0</v>
      </c>
      <c r="DI51" s="51">
        <f ca="1">IF(F51&lt;OFFSET($BM$9,CN51-1,0,1,1),0,IF(F51&lt;OFFSET($BN$9,CN51-1,0,1,1),((F51-OFFSET($BM$9,CN51-1,0,1,1))*OFFSET($CI$9,CN51-1,0,1,1))+OFFSET($BP$9,CN51-1,CQ51,1,1),IF(F51&lt;OFFSET($BN$9,CN51+0,0,1,1),((F51-OFFSET($BM$9,CN51+0,0,1,1))*OFFSET($CI$9,CN51+0,0,1,1))+OFFSET($BP$9,CN51+0,CQ51,1,1),IF(F51&lt;OFFSET($BN$9,CN51+1,0,1,1),((F51-OFFSET($BM$9,CN51+1,0,1,1))*OFFSET($CI$9,CN51+1,0,1,1))+OFFSET($BP$9,CN51+1,CQ51,1,1),IF(F51&lt;OFFSET($BN$9,CN51+2,0,1,1),((F51-OFFSET($BM$9,CN51+2,0,1,1))*OFFSET($CI$9,CN51+2,0,1,1))+OFFSET($BP$9,CN51+2,CQ51,1,1),IF(F51&lt;OFFSET($BN$9,CN51+3,0,1,1),((F51-OFFSET($BM$9,CN51+3,0,1,1))*OFFSET($CI$9,CN51+3,0,1,1))+OFFSET($BP$9,CN51+3,CQ51,1,1),0))))))</f>
        <v>0</v>
      </c>
      <c r="DJ51" s="51">
        <f ca="1">IF($F51&lt;OFFSET($BM$9,$CN51-1,0,1,1),0,IF($F51&lt;OFFSET($BN$9,$CN51-1,0,1,1),IF(AND($H51&gt;2.4,Z51&lt;&gt;"e",Z51&lt;&gt;"f"),DN51*2.4/$H51,DN51),IF($F51&lt;OFFSET($BN$9,$CN51+0,0,1,1),IF(AND($H51&gt;2.4,Z51&lt;&gt;"e",Z51&lt;&gt;"f"),DN51*2.4/$H51,DN51),IF($F51&lt;OFFSET($BN$9,$CN51+1,0,1,1),IF(AND($H51&gt;2.4,Z51&lt;&gt;"e",Z51&lt;&gt;"f"),DN51*2.4/$H51,DN51),IF($F51&lt;OFFSET($BN$9,$CN51+2,0,1,1),IF(AND($H51&gt;2.4,Z51&lt;&gt;"e",Z51&lt;&gt;"f"),DN51*2.4/$H51,DN51),IF($F51&lt;OFFSET($BN$9,$CN51+3,0,1,1),IF(AND($H51&gt;2.4,Z51&lt;&gt;"e",Z51&lt;&gt;"f"),DN51*2.4/$H51,DN51),0)))))*COS(RADIANS($G51)))</f>
        <v>0</v>
      </c>
      <c r="DK51" s="51"/>
      <c r="DL51" s="51">
        <f ca="1">IF(DG51&gt;$CR51,$CR51,DG51)</f>
        <v>0</v>
      </c>
      <c r="DM51" s="51"/>
      <c r="DN51" s="51">
        <f ca="1">IF(DI51&gt;$CR51,$CR51,DI51)</f>
        <v>0</v>
      </c>
      <c r="DO51" s="435">
        <f ca="1">IF(DH51&gt;$CR51,$CR51,DH51)</f>
        <v>0</v>
      </c>
      <c r="DP51" s="435">
        <f ca="1">DO51*F51</f>
        <v>0</v>
      </c>
      <c r="DQ51" s="436">
        <f ca="1">IF(DJ51&gt;$CR51,$CR51,DJ51)</f>
        <v>0</v>
      </c>
      <c r="DR51" s="437">
        <f ca="1">DQ51*F51</f>
        <v>0</v>
      </c>
      <c r="DS51" s="426">
        <f ca="1">OFFSET($CH$9,CL51-1,-15,1,1)</f>
        <v>0</v>
      </c>
      <c r="DT51" s="451">
        <f t="shared" ca="1" si="27"/>
        <v>0</v>
      </c>
      <c r="DU51" s="188">
        <f ca="1">IF(F51&lt;OFFSET($BM$9,DT51-1,0,1,1),0,IF(F51&lt;OFFSET($BN$9,DT51-1,0,1,1),((F51-OFFSET($BM$9,DT51-1,0,1,1))*OFFSET($CH$9,DT51-1,0,1,1))+OFFSET($BO$9,DT51-1,CQ51,1,1),IF(F51&lt;OFFSET($BN$9,DT51+0,0,1,1),((F51-OFFSET($BM$9,DT51+0,0,1,1))*OFFSET($CH$9,DT51+0,0,1,1))+OFFSET($BO$9,DT51+0,CQ51,1,1),IF(F51&lt;OFFSET($BN$9,DT51+1,0,1,1),((F51-OFFSET($BM$9,DT51+1,0,1,1))*OFFSET($CH$9,DT51+1,0,1,1))+OFFSET($BO$9,DT51+1,CQ51,1,1),IF(F51&lt;OFFSET($BN$9,DT51+2,0,1,1),((F51-OFFSET($BM$9,DT51+2,0,1,1))*OFFSET($CH$9,DT51+2,0,1,1))+OFFSET($BO$9,DT51+2,CQ51,1,1),IF(F51&lt;OFFSET($BN$9,DT51+3,0,1,1),((F51-OFFSET($BM$9,DT51+3,0,1,1))*OFFSET($CH$9,DT51+3,0,1,1))+OFFSET($BO$9,DT51+3,CQ51,1,1),0))))))</f>
        <v>0</v>
      </c>
      <c r="DV51" s="51">
        <f ca="1">IF($F51&lt;OFFSET($BM$9,$DT51-1,0,1,1),0,IF($F51&lt;OFFSET($BN$9,$DT51-1,0,1,1),IF(AND($H51&gt;2.4,Z51&lt;&gt;"e",Z51&lt;&gt;"f"),DZ51*2.4/$H51,DZ51),IF($F51&lt;OFFSET($BN$9,$DT51+0,0,1,1),IF(AND($H51&gt;2.4,Z51&lt;&gt;"e",Z51&lt;&gt;"f"),DZ51*2.4/$H51,DZ51),IF($F51&lt;OFFSET($BN$9,$DT51+1,0,1,1),IF(AND($H51&gt;2.4,Z51&lt;&gt;"e",Z51&lt;&gt;"f"),DZ51*2.4/$H51,DZ51),IF($F51&lt;OFFSET($BN$9,$DT51+2,0,1,1),IF(AND($H51&gt;2.4,Z51&lt;&gt;"e",Z51&lt;&gt;"f"),DZ51*2.4/$H51,DZ51),IF($F51&lt;OFFSET($BN$9,$DT51+3,0,1,1),IF(AND($H51&gt;2.4,Z51&lt;&gt;"e",Z51&lt;&gt;"f"),DZ51*2.4/$H51,DZ51),0)))))*COS(RADIANS($G51)))</f>
        <v>0</v>
      </c>
      <c r="DW51" s="188">
        <f ca="1">IF(F51&lt;OFFSET($BM$9,DT51-1,0,1,1),0,IF(F51&lt;OFFSET($BN$9,DT51-1,0,1,1),((F51-OFFSET($BM$9,DT51-1,0,1,1))*OFFSET($CI$9,DT51-1,0,1,1))+OFFSET($BP$9,DT51-1,CQ51,1,1),IF(F51&lt;OFFSET($BN$9,DT51+0,0,1,1),((F51-OFFSET($BM$9,DT51+0,0,1,1))*OFFSET($CI$9,DT51+0,0,1,1))+OFFSET($BP$9,DT51+0,CQ51,1,1),IF(F51&lt;OFFSET($BN$9,DT51+1,0,1,1),((F51-OFFSET($BM$9,DT51+1,0,1,1))*OFFSET($CI$9,DT51+1,0,1,1))+OFFSET($BP$9,DT51+1,CQ51,1,1),IF(F51&lt;OFFSET($BN$9,DT51+2,0,1,1),((F51-OFFSET($BM$9,DT51+2,0,1,1))*OFFSET($CI$9,DT51+2,0,1,1))+OFFSET($BP$9,DT51+2,CQ51,1,1),IF(F51&lt;OFFSET($BN$9,DT51+3,0,1,1),((F51-OFFSET($BM$9,DT51+3,0,1,1))*OFFSET($CI$9,DT51+3,0,1,1))+OFFSET($BP$9,DT51+3,CQ51,1,1),0))))))</f>
        <v>0</v>
      </c>
      <c r="DX51" s="51">
        <f ca="1">IF($F51&lt;OFFSET($BM$9,$DT51-1,0,1,1),0,IF($F51&lt;OFFSET($BN$9,$DT51-1,0,1,1),IF(AND($H51&gt;2.4,Z51&lt;&gt;"e",Z51&lt;&gt;"f"),EB51*2.4/$H51,EB51),IF($F51&lt;OFFSET($BN$9,$DT51+0,0,1,1),IF(AND($H51&gt;2.4,Z51&lt;&gt;"e",Z51&lt;&gt;"f"),EB51*2.4/$H51,EB51),IF($F51&lt;OFFSET($BN$9,$DT51+1,0,1,1),IF(AND($H51&gt;2.4,Z51&lt;&gt;"e",Z51&lt;&gt;"f"),EB51*2.4/$H51,EB51),IF($F51&lt;OFFSET($BN$9,$DT51+2,0,1,1),IF(AND($H51&gt;2.4,Z51&lt;&gt;"e",Z51&lt;&gt;"f"),EB51*2.4/$H51,EB51),IF($F51&lt;OFFSET($BN$9,$DT51+3,0,1,1),IF(AND($H51&gt;2.4,Z51&lt;&gt;"e",Z51&lt;&gt;"f"),EB51*2.4/$H51,EB51),0)))))*COS(RADIANS($G51)))</f>
        <v>0</v>
      </c>
      <c r="DY51" s="188"/>
      <c r="DZ51" s="188">
        <f ca="1">IF(DU51&gt;$CR51,$CR51,DU51)</f>
        <v>0</v>
      </c>
      <c r="EA51" s="188"/>
      <c r="EB51" s="188">
        <f ca="1">IF(DW51&gt;$CR51,$CR51,DW51)</f>
        <v>0</v>
      </c>
      <c r="EC51" s="435">
        <f ca="1">IF(DV51&gt;$CR51,$CR51,DV51)</f>
        <v>0</v>
      </c>
      <c r="ED51" s="435">
        <f ca="1">EC51*F51</f>
        <v>0</v>
      </c>
      <c r="EE51" s="436">
        <f ca="1">IF(DX51&gt;$CR51,$CR51,DX51)</f>
        <v>0</v>
      </c>
      <c r="EF51" s="437">
        <f ca="1">EE51*F51</f>
        <v>0</v>
      </c>
      <c r="EG51" s="613" t="str">
        <f>IF(D51=BG$12,BG$12,"")</f>
        <v/>
      </c>
      <c r="EH51" s="614" t="str">
        <f>IF(D51=BG$13,BG$13,"")</f>
        <v/>
      </c>
      <c r="EI51" s="611">
        <f>IF(EG51=BG$12,M51,0)</f>
        <v>0</v>
      </c>
      <c r="EJ51" s="451">
        <f>IF(EG51=BG$12,O51,0)</f>
        <v>0</v>
      </c>
      <c r="EK51" s="451">
        <f>IF(EH51=BG$13,M51,0)</f>
        <v>0</v>
      </c>
      <c r="EL51" s="612">
        <f>IF(EH51=BG$13,O51,0)</f>
        <v>0</v>
      </c>
      <c r="EM51" s="426" t="str">
        <f ca="1">IF(AND(Z51&lt;&gt;"t",Z51&lt;&gt;"f"),"",IF(AND(EN51=$BH$13,K51=$BH$12),"NotOpt",IF(K51&lt;&gt;EN51,"Error","")))</f>
        <v/>
      </c>
      <c r="EN51" s="491" t="str">
        <f>IF(AND($BH$28=1,$BG$28=1),$BH$13,$BH$12)</f>
        <v>120 BU's</v>
      </c>
      <c r="EO51" s="426" t="str">
        <f>K51</f>
        <v xml:space="preserve"> </v>
      </c>
      <c r="EP51" s="497">
        <v>1</v>
      </c>
      <c r="EQ51" s="430" t="str">
        <f ca="1">IF(EP51=1," ",OFFSET(BF$15,EP51-2,0,1,1))</f>
        <v xml:space="preserve"> </v>
      </c>
      <c r="ER51" s="439" t="str">
        <f ca="1">IF(H51=0," ",H51)</f>
        <v xml:space="preserve"> </v>
      </c>
      <c r="ES51" s="440" t="str">
        <f ca="1">IF(ER51&lt;&gt;" ",IF(ER51&lt;&gt;ER$7,"Changed",""),"")</f>
        <v/>
      </c>
      <c r="ET51" s="440">
        <f t="shared" ca="1" si="15"/>
        <v>0</v>
      </c>
      <c r="EU51" s="957" t="str">
        <f ca="1">IF(I51=" "," ",IF(F51&lt;OFFSET($BM$9,CL51-1,0,1,1),1,""))</f>
        <v xml:space="preserve"> </v>
      </c>
      <c r="EW51" s="427"/>
      <c r="EX51"/>
    </row>
    <row r="52" spans="1:154" ht="17.100000000000001" customHeight="1">
      <c r="A52" s="2685"/>
      <c r="B52" s="689" t="s">
        <v>246</v>
      </c>
      <c r="C52" s="684" t="str">
        <f>IF(OR(F52=0,I52="",I52=" ")," ",$V52)</f>
        <v xml:space="preserve"> </v>
      </c>
      <c r="D52" s="1033"/>
      <c r="E52" s="1360" t="s">
        <v>8</v>
      </c>
      <c r="F52" s="202"/>
      <c r="G52" s="1416"/>
      <c r="H52" s="199" t="str">
        <f ca="1">IF(OR(F52=0,Z52="E",Z52="f")," ",'Project Demand'!E$35)</f>
        <v xml:space="preserve"> </v>
      </c>
      <c r="I52" s="631" t="str">
        <f>IF($I$6&lt;&gt;$BG$8," ",AB52)</f>
        <v xml:space="preserve"> </v>
      </c>
      <c r="J52" s="44" t="str">
        <f ca="1">IF(OR(I52=" ",I52="")," ",OFFSET($BO$9,CL52-1,0-4,1,1))</f>
        <v xml:space="preserve"> </v>
      </c>
      <c r="K52" s="55" t="str">
        <f>IF(OR(I52=" ",I52="")," ",IF(OR(Z52="e",Z52="h"),"SD",BG$24))</f>
        <v xml:space="preserve"> </v>
      </c>
      <c r="L52" s="49">
        <f ca="1">CW52</f>
        <v>0</v>
      </c>
      <c r="M52" s="49">
        <f ca="1">CY52</f>
        <v>0</v>
      </c>
      <c r="N52" s="50">
        <f t="shared" ca="1" si="31"/>
        <v>0</v>
      </c>
      <c r="O52" s="126">
        <f t="shared" ca="1" si="31"/>
        <v>0</v>
      </c>
      <c r="P52" s="140"/>
      <c r="Q52" s="752" t="str">
        <f ca="1">IF(AND(OR(Z52="t",Z52="f"),K52=$BH$11),"No Floor!  Change Floor Type",IF(OR(I52=" ",I52="")," ",IF(F52&lt;OFFSET($BM$9,CL52-1,0,1,1),"check L(m)",DE52&amp;IF(AND(DP52&gt;=CY52,DR52&gt;=DB52),IF(AND(ED52&gt;=DP52,EF52&gt;=DR52),CONCATENATE(DS52," will provide same result"),CONCATENATE(CO52," will provide same result")),IF((DP52&gt;=CY52),CONCATENATE(CO52," provides same result in WIND"),IF((DR52&gt;=DB52),CONCATENATE(CO52," provides same result in EQ"),""))))))&amp;IF(ISERROR(FIND("pile",I52,1)),"",IF(INT(F52)&lt;&gt;F52,"Pile!  Use Whole Numbers Only",""))</f>
        <v xml:space="preserve"> </v>
      </c>
      <c r="R52" s="52"/>
      <c r="S52" s="1372"/>
      <c r="T52" s="1372"/>
      <c r="U52" s="1377"/>
      <c r="V52" s="52" t="str">
        <f ca="1">IF(AND(B$5=$BF$9,OR(I52=BH$16,I52=BH$17))," ",IF(ISNUMBER(B$50),(CONCATENATE(B$50,".",W52)),(CONCATENATE(B$50,W52))))</f>
        <v>T0</v>
      </c>
      <c r="W52" s="9">
        <f ca="1">W51+X52</f>
        <v>0</v>
      </c>
      <c r="X52" s="9">
        <f>IF(AND(B$5=$BF$9,OR($I52=$BH$16,$I52=$BH$17,$I52=" ",$I52="",$F52=0)),0,IF(OR($I52=" ",$I52="",$F52=0),0,1))</f>
        <v>0</v>
      </c>
      <c r="Y52" s="896"/>
      <c r="Z52" s="52" t="str">
        <f ca="1">IF(I52=" "," ",OFFSET($BM$9,$CL52-1,8,1,1))</f>
        <v xml:space="preserve"> </v>
      </c>
      <c r="AA52" s="51" t="str">
        <f>IF(G52&gt;=45,"WA","")</f>
        <v/>
      </c>
      <c r="AB52" s="1364" t="str">
        <f>IF(F52&lt;&gt;"",IF(OR(D52=$BG$12,D52=$BG$13),IF(E52&lt;&gt;$BG$17,$BF$12,$BF$13),IF(E52&lt;&gt;$BG$17,$BF$12,$BF$13))," ")</f>
        <v xml:space="preserve"> </v>
      </c>
      <c r="AC52" s="1"/>
      <c r="AK52" s="63" t="str">
        <f>'Custom Elements'!B13</f>
        <v xml:space="preserve">  </v>
      </c>
      <c r="AL52" s="860" t="str">
        <f>'Custom Elements'!C13</f>
        <v>Custom5</v>
      </c>
      <c r="AM52" s="11">
        <f>'Custom Elements'!D13</f>
        <v>9.9999999999999996E-76</v>
      </c>
      <c r="AN52" s="7">
        <f>'Custom Elements'!E13</f>
        <v>0</v>
      </c>
      <c r="AO52" s="7">
        <f>'Custom Elements'!F13</f>
        <v>0</v>
      </c>
      <c r="AP52" s="762" t="str">
        <f>'Custom Elements'!G13</f>
        <v>B</v>
      </c>
      <c r="AQ52" s="1777" t="str">
        <f>'Custom Elements'!H13</f>
        <v>Single</v>
      </c>
      <c r="AR52" s="1775" t="str">
        <f>'Custom Elements'!I13</f>
        <v>Yes</v>
      </c>
      <c r="AS52" s="442" t="str">
        <f>'Custom Elements'!J13</f>
        <v>Yes</v>
      </c>
      <c r="AT52" s="1150"/>
      <c r="AU52" s="1150"/>
      <c r="AZ52" s="442" t="str">
        <f>IF(AND('Custom Elements'!J13="Yes",'Custom Elements'!I13="Yes"),"T",IF('Custom Elements'!J13="Yes","F",IF('Custom Elements'!I13="Yes","H","E")))</f>
        <v>T</v>
      </c>
      <c r="BD52" s="638"/>
      <c r="BI52" s="759"/>
      <c r="BJ52" s="897">
        <f t="shared" si="28"/>
        <v>44</v>
      </c>
      <c r="BK52" s="1220"/>
      <c r="BL52" s="766"/>
      <c r="BM52" s="455">
        <f>Table!D6</f>
        <v>0.8</v>
      </c>
      <c r="BN52" s="455">
        <f>BM53</f>
        <v>1.2</v>
      </c>
      <c r="BO52" s="455">
        <f>Table!E6</f>
        <v>72</v>
      </c>
      <c r="BP52" s="925">
        <f>Table!F6</f>
        <v>61</v>
      </c>
      <c r="BR52" s="764"/>
      <c r="BS52" s="455"/>
      <c r="BT52" s="455"/>
      <c r="BU52" s="925" t="s">
        <v>242</v>
      </c>
      <c r="BV52" s="895"/>
      <c r="BW52" s="912"/>
      <c r="BX52" s="925" t="str">
        <f>Table!H5</f>
        <v>Single</v>
      </c>
      <c r="CH52" s="764">
        <f>IF(BN52=999,0,(BO53-BO52)/(BN52-BM52))</f>
        <v>0</v>
      </c>
      <c r="CI52" s="925">
        <f>IF(BN52=999,0,(BP53-BP52)/(BN52-BM52))</f>
        <v>7.5000000000000018</v>
      </c>
      <c r="CJ52" s="759"/>
      <c r="CK52" s="188"/>
      <c r="CL52" s="979">
        <f>VLOOKUP(I52,Prodlink,2,0)</f>
        <v>0</v>
      </c>
      <c r="CN52" s="497">
        <f ca="1">VLOOKUP(CO52,Prodlink,2,0)</f>
        <v>0</v>
      </c>
      <c r="CO52" s="497">
        <f ca="1">OFFSET($CH$9,CL52-1,-15,1,1)</f>
        <v>0</v>
      </c>
      <c r="CQ52" s="51">
        <v>0</v>
      </c>
      <c r="CR52" s="51">
        <f>IF(K52=$BH$12,$BH$23,IF(K52=$BH$13,$BH$24,10000))</f>
        <v>10000</v>
      </c>
      <c r="CS52" s="51">
        <f ca="1">IF(F52&lt;OFFSET($BM$9,CL52-1,0,1,1),0,IF(F52&lt;OFFSET($BN$9,CL52-1,0,1,1),((F52-OFFSET($BM$9,CL52-1,0,1,1))*OFFSET($CH$9,CL52-1,0,1,1))+OFFSET($BO$9,CL52-1,CQ52,1,1),IF(F52&lt;OFFSET($BN$9,CL52+0,0,1,1),((F52-OFFSET($BM$9,CL52+0,0,1,1))*OFFSET($CH$9,CL52+0,0,1,1))+OFFSET($BO$9,CL52+0,CQ52,1,1),IF(F52&lt;OFFSET($BN$9,CL52+1,0,1,1),((F52-OFFSET($BM$9,CL52+1,0,1,1))*OFFSET($CH$9,CL52+1,0,1,1))+OFFSET($BO$9,CL52+1,CQ52,1,1),IF(F52&lt;OFFSET($BN$9,CL52+2,0,1,1),((F52-OFFSET($BM$9,CL52+2,0,1,1))*OFFSET($CH$9,CL52+2,0,1,1))+OFFSET($BO$9,CL52+2,CQ52,1,1),IF(F52&lt;OFFSET($BN$9,CL52+3,0,1,1),((F52-OFFSET($BM$9,CL52+3,0,1,1))*OFFSET($CH$9,CL52+3,0,1,1))+OFFSET($BO$9,CL52+3,CQ52,1,1),0))))))</f>
        <v>0</v>
      </c>
      <c r="CT52" s="51">
        <f ca="1">IF($F52&lt;OFFSET($BM$9,$CL52-1,0,1,1),0,IF($F52&lt;OFFSET($BN$9,$CL52-1,0,1,1),IF(AND($H52&gt;2.4,Z52&lt;&gt;"e",Z52&lt;&gt;"f"),CX52*2.4/$H52,CX52),IF($F52&lt;OFFSET($BN$9,$CL52+0,0,1,1),IF(AND($H52&gt;2.4,Z52&lt;&gt;"e",Z52&lt;&gt;"f"),CX52*2.4/$H52,CX52),IF($F52&lt;OFFSET($BN$9,$CL52+1,0,1,1),IF(AND($H52&gt;2.4,Z52&lt;&gt;"e",Z52&lt;&gt;"f"),CX52*2.4/$H52,CX52),IF($F52&lt;OFFSET($BN$9,CL52+2,0,1,1),IF(AND($H52&gt;2.4,Z52&lt;&gt;"e",Z52&lt;&gt;"f"),CX52*2.4/$H52,CX52),IF($F52&lt;OFFSET($BN$9,CL52+3,0,1,1),IF(AND($H52&gt;2.4,Z52&lt;&gt;"e",Z52&lt;&gt;"f"),CX52*2.4/$H52,CX52),0)))))*COS(RADIANS($G52)))</f>
        <v>0</v>
      </c>
      <c r="CU52" s="51">
        <f ca="1">IF(F52&lt;OFFSET($BM$9,CL52-1,0,1,1),0,IF(F52&lt;OFFSET($BN$9,CL52-1,0,1,1),((F52-OFFSET($BM$9,CL52-1,0,1,1))*OFFSET($CI$9,CL52-1,0,1,1))+OFFSET($BP$9,CL52-1,CQ52,1,1),IF(F52&lt;OFFSET($BN$9,CL52+0,0,1,1),((F52-OFFSET($BM$9,CL52+0,0,1,1))*OFFSET($CI$9,CL52+0,0,1,1))+OFFSET($BP$9,CL52+0,CQ52,1,1),IF(F52&lt;OFFSET($BN$9,CL52+1,0,1,1),((F52-OFFSET($BM$9,CL52+1,0,1,1))*OFFSET($CI$9,CL52+1,0,1,1))+OFFSET($BP$9,CL52+1,CQ52,1,1),IF(F52&lt;OFFSET($BN$9,CL52+2,0,1,1),((F52-OFFSET($BM$9,CL52+2,0,1,1))*OFFSET($CI$9,CL52+2,0,1,1))+OFFSET($BP$9,CL52+2,CQ52,1,1),IF(F52&lt;OFFSET($BN$9,CL52+3,0,1,1),((F52-OFFSET($BM$9,CL52+3,0,1,1))*OFFSET($CI$9,CL52+3,0,1,1))+OFFSET($BP$9,CL52+3,CQ52,1,1),0))))))</f>
        <v>0</v>
      </c>
      <c r="CV52" s="51">
        <f ca="1">IF($F52&lt;OFFSET($BM$9,$CL52-1,0,1,1),0,IF($F52&lt;OFFSET($BN$9,$CL52-1,0,1,1),IF(AND($H52&gt;2.4,Z52&lt;&gt;"e",Z52&lt;&gt;"f"),CZ52*2.4/$H52,CZ52),IF($F52&lt;OFFSET($BN$9,$CL52+0,0,1,1),IF(AND($H52&gt;2.4,Z52&lt;&gt;"e",Z52&lt;&gt;"f"),CZ52*2.4/$H52,CZ52),IF($F52&lt;OFFSET($BN$9,$CL52+1,0,1,1),IF(AND($H52&gt;2.4,Z52&lt;&gt;"e",Z52&lt;&gt;"f"),CZ52*2.4/$H52,CZ52),IF($F52&lt;OFFSET($BN$9,$CL52+2,0,1,1),IF(AND($H52&gt;2.4,Z52&lt;&gt;"e",Z52&lt;&gt;"f"),CZ52*2.4/$H52,CZ52),IF($F52&lt;OFFSET($BN$9,$CL52+3,0,1,1),IF(AND($H52&gt;2.4,Z52&lt;&gt;"e",Z52&lt;&gt;"f"),CZ52*2.4/$H52,CZ52),0)))))*COS(RADIANS($G52)))</f>
        <v>0</v>
      </c>
      <c r="CW52" s="51">
        <f ca="1">IF(CT52&gt;CR52,CR52,CT52)</f>
        <v>0</v>
      </c>
      <c r="CX52" s="51">
        <f ca="1">IF(CS52&gt;$CR52,$CR52,CS52)</f>
        <v>0</v>
      </c>
      <c r="CY52" s="51">
        <f ca="1">CW52*F52</f>
        <v>0</v>
      </c>
      <c r="CZ52" s="51">
        <f ca="1">IF($CU52&gt;$CR52,$CR52,$CU52)</f>
        <v>0</v>
      </c>
      <c r="DA52" s="51">
        <f ca="1">IF(CV52&gt;CR52,CR52,CV52)</f>
        <v>0</v>
      </c>
      <c r="DB52" s="51">
        <f ca="1">DA52*F52</f>
        <v>0</v>
      </c>
      <c r="DC52" s="993">
        <v>1</v>
      </c>
      <c r="DD52" s="758" t="str">
        <f>IF(OR(D52=BG$12,D52=BG$13),"External",IF(D52=BG$14,"Internal"," "))</f>
        <v xml:space="preserve"> </v>
      </c>
      <c r="DE52" s="51" t="str">
        <f t="shared" ca="1" si="2"/>
        <v/>
      </c>
      <c r="DF52" s="52" t="str">
        <f t="shared" ca="1" si="3"/>
        <v xml:space="preserve"> </v>
      </c>
      <c r="DG52" s="51">
        <f ca="1">IF(F52&lt;OFFSET($BM$9,CN52-1,0,1,1),0,IF(F52&lt;OFFSET($BN$9,CN52-1,0,1,1),((F52-OFFSET($BM$9,CN52-1,0,1,1))*OFFSET($CH$9,CN52-1,0,1,1))+OFFSET($BO$9,CN52-1,CQ52,1,1),IF(F52&lt;OFFSET($BN$9,CN52+0,0,1,1),((F52-OFFSET($BM$9,CN52+0,0,1,1))*OFFSET($CH$9,CN52+0,0,1,1))+OFFSET($BO$9,CN52+0,CQ52,1,1),IF(F52&lt;OFFSET($BN$9,CN52+1,0,1,1),((F52-OFFSET($BM$9,CN52+1,0,1,1))*OFFSET($CH$9,CN52+1,0,1,1))+OFFSET($BO$9,CN52+1,CQ52,1,1),IF(F52&lt;OFFSET($BN$9,CN52+2,0,1,1),((F52-OFFSET($BM$9,CN52+2,0,1,1))*OFFSET($CH$9,CN52+2,0,1,1))+OFFSET($BO$9,CN52+2,CQ52,1,1),IF(F52&lt;OFFSET($BN$9,CN52+3,0,1,1),((F52-OFFSET($BM$9,CN52+3,0,1,1))*OFFSET($CH$9,CN52+3,0,1,1))+OFFSET($BO$9,CN52+3,CQ52,1,1),0))))))</f>
        <v>0</v>
      </c>
      <c r="DH52" s="51">
        <f ca="1">IF($F52&lt;OFFSET($BM$9,$CN52-1,0,1,1),0,IF($F52&lt;OFFSET($BN$9,$CN52-1,0,1,1),IF(AND($H52&gt;2.4,Z52&lt;&gt;"e",Z52&lt;&gt;"f"),DL52*2.4/$H52,DL52),IF($F52&lt;OFFSET($BN$9,$CN52+0,0,1,1),IF(AND($H52&gt;2.4,Z52&lt;&gt;"e",Z52&lt;&gt;"f"),DL52*2.4/$H52,DL52),IF($F52&lt;OFFSET($BN$9,$CN52+1,0,1,1),IF(AND($H52&gt;2.4,Z52&lt;&gt;"e",Z52&lt;&gt;"f"),DL52*2.4/$H52,DL52),IF($F52&lt;OFFSET($BN$9,$CN52+2,0,1,1),IF(AND($H52&gt;2.4,Z52&lt;&gt;"e",Z52&lt;&gt;"f"),DL52*2.4/$H52,DL52),IF($F52&lt;OFFSET($BN$9,$CN52+3,0,1,1),IF(AND($H52&gt;2.4,Z52&lt;&gt;"e",Z52&lt;&gt;"f"),DL52*2.4/$H52,DL52),0)))))*COS(RADIANS($G52)))</f>
        <v>0</v>
      </c>
      <c r="DI52" s="51">
        <f ca="1">IF(F52&lt;OFFSET($BM$9,CN52-1,0,1,1),0,IF(F52&lt;OFFSET($BN$9,CN52-1,0,1,1),((F52-OFFSET($BM$9,CN52-1,0,1,1))*OFFSET($CI$9,CN52-1,0,1,1))+OFFSET($BP$9,CN52-1,CQ52,1,1),IF(F52&lt;OFFSET($BN$9,CN52+0,0,1,1),((F52-OFFSET($BM$9,CN52+0,0,1,1))*OFFSET($CI$9,CN52+0,0,1,1))+OFFSET($BP$9,CN52+0,CQ52,1,1),IF(F52&lt;OFFSET($BN$9,CN52+1,0,1,1),((F52-OFFSET($BM$9,CN52+1,0,1,1))*OFFSET($CI$9,CN52+1,0,1,1))+OFFSET($BP$9,CN52+1,CQ52,1,1),IF(F52&lt;OFFSET($BN$9,CN52+2,0,1,1),((F52-OFFSET($BM$9,CN52+2,0,1,1))*OFFSET($CI$9,CN52+2,0,1,1))+OFFSET($BP$9,CN52+2,CQ52,1,1),IF(F52&lt;OFFSET($BN$9,CN52+3,0,1,1),((F52-OFFSET($BM$9,CN52+3,0,1,1))*OFFSET($CI$9,CN52+3,0,1,1))+OFFSET($BP$9,CN52+3,CQ52,1,1),0))))))</f>
        <v>0</v>
      </c>
      <c r="DJ52" s="51">
        <f ca="1">IF($F52&lt;OFFSET($BM$9,$CN52-1,0,1,1),0,IF($F52&lt;OFFSET($BN$9,$CN52-1,0,1,1),IF(AND($H52&gt;2.4,Z52&lt;&gt;"e",Z52&lt;&gt;"f"),DN52*2.4/$H52,DN52),IF($F52&lt;OFFSET($BN$9,$CN52+0,0,1,1),IF(AND($H52&gt;2.4,Z52&lt;&gt;"e",Z52&lt;&gt;"f"),DN52*2.4/$H52,DN52),IF($F52&lt;OFFSET($BN$9,$CN52+1,0,1,1),IF(AND($H52&gt;2.4,Z52&lt;&gt;"e",Z52&lt;&gt;"f"),DN52*2.4/$H52,DN52),IF($F52&lt;OFFSET($BN$9,$CN52+2,0,1,1),IF(AND($H52&gt;2.4,Z52&lt;&gt;"e",Z52&lt;&gt;"f"),DN52*2.4/$H52,DN52),IF($F52&lt;OFFSET($BN$9,$CN52+3,0,1,1),IF(AND($H52&gt;2.4,Z52&lt;&gt;"e",Z52&lt;&gt;"f"),DN52*2.4/$H52,DN52),0)))))*COS(RADIANS($G52)))</f>
        <v>0</v>
      </c>
      <c r="DK52" s="51"/>
      <c r="DL52" s="51">
        <f ca="1">IF(DG52&gt;$CR52,$CR52,DG52)</f>
        <v>0</v>
      </c>
      <c r="DM52" s="51"/>
      <c r="DN52" s="51">
        <f ca="1">IF(DI52&gt;$CR52,$CR52,DI52)</f>
        <v>0</v>
      </c>
      <c r="DO52" s="435">
        <f ca="1">IF(DH52&gt;$CR52,$CR52,DH52)</f>
        <v>0</v>
      </c>
      <c r="DP52" s="435">
        <f ca="1">DO52*F52</f>
        <v>0</v>
      </c>
      <c r="DQ52" s="436">
        <f ca="1">IF(DJ52&gt;$CR52,$CR52,DJ52)</f>
        <v>0</v>
      </c>
      <c r="DR52" s="437">
        <f ca="1">DQ52*F52</f>
        <v>0</v>
      </c>
      <c r="DS52" s="426">
        <f ca="1">OFFSET($CH$9,CL52-1,-15,1,1)</f>
        <v>0</v>
      </c>
      <c r="DT52" s="451">
        <f t="shared" ca="1" si="27"/>
        <v>0</v>
      </c>
      <c r="DU52" s="188">
        <f ca="1">IF(F52&lt;OFFSET($BM$9,DT52-1,0,1,1),0,IF(F52&lt;OFFSET($BN$9,DT52-1,0,1,1),((F52-OFFSET($BM$9,DT52-1,0,1,1))*OFFSET($CH$9,DT52-1,0,1,1))+OFFSET($BO$9,DT52-1,CQ52,1,1),IF(F52&lt;OFFSET($BN$9,DT52+0,0,1,1),((F52-OFFSET($BM$9,DT52+0,0,1,1))*OFFSET($CH$9,DT52+0,0,1,1))+OFFSET($BO$9,DT52+0,CQ52,1,1),IF(F52&lt;OFFSET($BN$9,DT52+1,0,1,1),((F52-OFFSET($BM$9,DT52+1,0,1,1))*OFFSET($CH$9,DT52+1,0,1,1))+OFFSET($BO$9,DT52+1,CQ52,1,1),IF(F52&lt;OFFSET($BN$9,DT52+2,0,1,1),((F52-OFFSET($BM$9,DT52+2,0,1,1))*OFFSET($CH$9,DT52+2,0,1,1))+OFFSET($BO$9,DT52+2,CQ52,1,1),IF(F52&lt;OFFSET($BN$9,DT52+3,0,1,1),((F52-OFFSET($BM$9,DT52+3,0,1,1))*OFFSET($CH$9,DT52+3,0,1,1))+OFFSET($BO$9,DT52+3,CQ52,1,1),0))))))</f>
        <v>0</v>
      </c>
      <c r="DV52" s="51">
        <f ca="1">IF($F52&lt;OFFSET($BM$9,$DT52-1,0,1,1),0,IF($F52&lt;OFFSET($BN$9,$DT52-1,0,1,1),IF(AND($H52&gt;2.4,Z52&lt;&gt;"e",Z52&lt;&gt;"f"),DZ52*2.4/$H52,DZ52),IF($F52&lt;OFFSET($BN$9,$DT52+0,0,1,1),IF(AND($H52&gt;2.4,Z52&lt;&gt;"e",Z52&lt;&gt;"f"),DZ52*2.4/$H52,DZ52),IF($F52&lt;OFFSET($BN$9,$DT52+1,0,1,1),IF(AND($H52&gt;2.4,Z52&lt;&gt;"e",Z52&lt;&gt;"f"),DZ52*2.4/$H52,DZ52),IF($F52&lt;OFFSET($BN$9,$DT52+2,0,1,1),IF(AND($H52&gt;2.4,Z52&lt;&gt;"e",Z52&lt;&gt;"f"),DZ52*2.4/$H52,DZ52),IF($F52&lt;OFFSET($BN$9,$DT52+3,0,1,1),IF(AND($H52&gt;2.4,Z52&lt;&gt;"e",Z52&lt;&gt;"f"),DZ52*2.4/$H52,DZ52),0)))))*COS(RADIANS($G52)))</f>
        <v>0</v>
      </c>
      <c r="DW52" s="188">
        <f ca="1">IF(F52&lt;OFFSET($BM$9,DT52-1,0,1,1),0,IF(F52&lt;OFFSET($BN$9,DT52-1,0,1,1),((F52-OFFSET($BM$9,DT52-1,0,1,1))*OFFSET($CI$9,DT52-1,0,1,1))+OFFSET($BP$9,DT52-1,CQ52,1,1),IF(F52&lt;OFFSET($BN$9,DT52+0,0,1,1),((F52-OFFSET($BM$9,DT52+0,0,1,1))*OFFSET($CI$9,DT52+0,0,1,1))+OFFSET($BP$9,DT52+0,CQ52,1,1),IF(F52&lt;OFFSET($BN$9,DT52+1,0,1,1),((F52-OFFSET($BM$9,DT52+1,0,1,1))*OFFSET($CI$9,DT52+1,0,1,1))+OFFSET($BP$9,DT52+1,CQ52,1,1),IF(F52&lt;OFFSET($BN$9,DT52+2,0,1,1),((F52-OFFSET($BM$9,DT52+2,0,1,1))*OFFSET($CI$9,DT52+2,0,1,1))+OFFSET($BP$9,DT52+2,CQ52,1,1),IF(F52&lt;OFFSET($BN$9,DT52+3,0,1,1),((F52-OFFSET($BM$9,DT52+3,0,1,1))*OFFSET($CI$9,DT52+3,0,1,1))+OFFSET($BP$9,DT52+3,CQ52,1,1),0))))))</f>
        <v>0</v>
      </c>
      <c r="DX52" s="51">
        <f ca="1">IF($F52&lt;OFFSET($BM$9,$DT52-1,0,1,1),0,IF($F52&lt;OFFSET($BN$9,$DT52-1,0,1,1),IF(AND($H52&gt;2.4,Z52&lt;&gt;"e",Z52&lt;&gt;"f"),EB52*2.4/$H52,EB52),IF($F52&lt;OFFSET($BN$9,$DT52+0,0,1,1),IF(AND($H52&gt;2.4,Z52&lt;&gt;"e",Z52&lt;&gt;"f"),EB52*2.4/$H52,EB52),IF($F52&lt;OFFSET($BN$9,$DT52+1,0,1,1),IF(AND($H52&gt;2.4,Z52&lt;&gt;"e",Z52&lt;&gt;"f"),EB52*2.4/$H52,EB52),IF($F52&lt;OFFSET($BN$9,$DT52+2,0,1,1),IF(AND($H52&gt;2.4,Z52&lt;&gt;"e",Z52&lt;&gt;"f"),EB52*2.4/$H52,EB52),IF($F52&lt;OFFSET($BN$9,$DT52+3,0,1,1),IF(AND($H52&gt;2.4,Z52&lt;&gt;"e",Z52&lt;&gt;"f"),EB52*2.4/$H52,EB52),0)))))*COS(RADIANS($G52)))</f>
        <v>0</v>
      </c>
      <c r="DY52" s="188"/>
      <c r="DZ52" s="188">
        <f ca="1">IF(DU52&gt;$CR52,$CR52,DU52)</f>
        <v>0</v>
      </c>
      <c r="EA52" s="188"/>
      <c r="EB52" s="188">
        <f ca="1">IF(DW52&gt;$CR52,$CR52,DW52)</f>
        <v>0</v>
      </c>
      <c r="EC52" s="435">
        <f ca="1">IF(DV52&gt;$CR52,$CR52,DV52)</f>
        <v>0</v>
      </c>
      <c r="ED52" s="435">
        <f ca="1">EC52*F52</f>
        <v>0</v>
      </c>
      <c r="EE52" s="436">
        <f ca="1">IF(DX52&gt;$CR52,$CR52,DX52)</f>
        <v>0</v>
      </c>
      <c r="EF52" s="437">
        <f ca="1">EE52*F52</f>
        <v>0</v>
      </c>
      <c r="EG52" s="613" t="str">
        <f>IF(D52=BG$12,BG$12,"")</f>
        <v/>
      </c>
      <c r="EH52" s="614" t="str">
        <f>IF(D52=BG$13,BG$13,"")</f>
        <v/>
      </c>
      <c r="EI52" s="611">
        <f>IF(EG52=BG$12,M52,0)</f>
        <v>0</v>
      </c>
      <c r="EJ52" s="451">
        <f>IF(EG52=BG$12,O52,0)</f>
        <v>0</v>
      </c>
      <c r="EK52" s="451">
        <f>IF(EH52=BG$13,M52,0)</f>
        <v>0</v>
      </c>
      <c r="EL52" s="612">
        <f>IF(EH52=BG$13,O52,0)</f>
        <v>0</v>
      </c>
      <c r="EM52" s="426" t="str">
        <f ca="1">IF(AND(Z52&lt;&gt;"t",Z52&lt;&gt;"f"),"",IF(AND(EN52=$BH$13,K52=$BH$12),"NotOpt",IF(K52&lt;&gt;EN52,"Error","")))</f>
        <v/>
      </c>
      <c r="EN52" s="491" t="str">
        <f>IF(AND($BH$28=1,$BG$28=1),$BH$13,$BH$12)</f>
        <v>120 BU's</v>
      </c>
      <c r="EO52" s="426" t="str">
        <f>K52</f>
        <v xml:space="preserve"> </v>
      </c>
      <c r="EP52" s="497">
        <v>1</v>
      </c>
      <c r="EQ52" s="430" t="str">
        <f ca="1">IF(EP52=1," ",OFFSET(BF$15,EP52-2,0,1,1))</f>
        <v xml:space="preserve"> </v>
      </c>
      <c r="ER52" s="439" t="str">
        <f ca="1">IF(H52=0," ",H52)</f>
        <v xml:space="preserve"> </v>
      </c>
      <c r="ES52" s="440" t="str">
        <f ca="1">IF(ER52&lt;&gt;" ",IF(ER52&lt;&gt;ER$7,"Changed",""),"")</f>
        <v/>
      </c>
      <c r="ET52" s="440">
        <f t="shared" ca="1" si="15"/>
        <v>0</v>
      </c>
      <c r="EU52" s="957" t="str">
        <f ca="1">IF(I52=" "," ",IF(F52&lt;OFFSET($BM$9,CL52-1,0,1,1),1,""))</f>
        <v xml:space="preserve"> </v>
      </c>
      <c r="EW52" s="427"/>
      <c r="EX52"/>
    </row>
    <row r="53" spans="1:154" ht="17.100000000000001" customHeight="1">
      <c r="A53" s="2685"/>
      <c r="B53" s="689" t="s">
        <v>246</v>
      </c>
      <c r="C53" s="684" t="str">
        <f>IF(OR(F53=0,I53="",I53=" ")," ",$V53)</f>
        <v xml:space="preserve"> </v>
      </c>
      <c r="D53" s="1033"/>
      <c r="E53" s="1360" t="s">
        <v>8</v>
      </c>
      <c r="F53" s="202"/>
      <c r="G53" s="1416"/>
      <c r="H53" s="199" t="str">
        <f ca="1">IF(OR(F53=0,Z53="E",Z53="f")," ",'Project Demand'!E$35)</f>
        <v xml:space="preserve"> </v>
      </c>
      <c r="I53" s="631" t="str">
        <f>IF($I$6&lt;&gt;$BG$8," ",AB53)</f>
        <v xml:space="preserve"> </v>
      </c>
      <c r="J53" s="44" t="str">
        <f ca="1">IF(OR(I53=" ",I53="")," ",OFFSET($BO$9,CL53-1,0-4,1,1))</f>
        <v xml:space="preserve"> </v>
      </c>
      <c r="K53" s="55" t="str">
        <f>IF(OR(I53=" ",I53="")," ",IF(OR(Z53="e",Z53="h"),"SD",BG$24))</f>
        <v xml:space="preserve"> </v>
      </c>
      <c r="L53" s="49">
        <f ca="1">CW53</f>
        <v>0</v>
      </c>
      <c r="M53" s="49">
        <f ca="1">CY53</f>
        <v>0</v>
      </c>
      <c r="N53" s="50">
        <f t="shared" ca="1" si="31"/>
        <v>0</v>
      </c>
      <c r="O53" s="126">
        <f t="shared" ca="1" si="31"/>
        <v>0</v>
      </c>
      <c r="P53" s="140"/>
      <c r="Q53" s="752" t="str">
        <f ca="1">IF(AND(OR(Z53="t",Z53="f"),K53=$BH$11),"No Floor!  Change Floor Type",IF(OR(I53=" ",I53="")," ",IF(F53&lt;OFFSET($BM$9,CL53-1,0,1,1),"check L(m)",DE53&amp;IF(AND(DP53&gt;=CY53,DR53&gt;=DB53),IF(AND(ED53&gt;=DP53,EF53&gt;=DR53),CONCATENATE(DS53," will provide same result"),CONCATENATE(CO53," will provide same result")),IF((DP53&gt;=CY53),CONCATENATE(CO53," provides same result in WIND"),IF((DR53&gt;=DB53),CONCATENATE(CO53," provides same result in EQ"),""))))))&amp;IF(ISERROR(FIND("pile",I53,1)),"",IF(INT(F53)&lt;&gt;F53,"Pile!  Use Whole Numbers Only",""))</f>
        <v xml:space="preserve"> </v>
      </c>
      <c r="R53" s="52"/>
      <c r="S53" s="1372"/>
      <c r="T53" s="1372"/>
      <c r="U53" s="1377"/>
      <c r="V53" s="52" t="str">
        <f ca="1">IF(AND(B$5=$BF$9,OR(I53=BH$16,I53=BH$17))," ",IF(ISNUMBER(B$50),(CONCATENATE(B$50,".",W53)),(CONCATENATE(B$50,W53))))</f>
        <v>T0</v>
      </c>
      <c r="W53" s="9">
        <f ca="1">W52+X53</f>
        <v>0</v>
      </c>
      <c r="X53" s="9">
        <f>IF(AND(B$5=$BF$9,OR($I53=$BH$16,$I53=$BH$17,$I53=" ",$I53="",$F53=0)),0,IF(OR($I53=" ",$I53="",$F53=0),0,1))</f>
        <v>0</v>
      </c>
      <c r="Y53" s="896"/>
      <c r="Z53" s="52" t="str">
        <f ca="1">IF(I53=" "," ",OFFSET($BM$9,$CL53-1,8,1,1))</f>
        <v xml:space="preserve"> </v>
      </c>
      <c r="AA53" s="51" t="str">
        <f>IF(G53&gt;=45,"WA","")</f>
        <v/>
      </c>
      <c r="AB53" s="1364" t="str">
        <f>IF(F53&lt;&gt;"",IF(OR(D53=$BG$12,D53=$BG$13),IF(E53&lt;&gt;$BG$17,$BF$12,$BF$13),IF(E53&lt;&gt;$BG$17,$BF$12,$BF$13))," ")</f>
        <v xml:space="preserve"> </v>
      </c>
      <c r="AC53" s="1"/>
      <c r="AK53" s="63" t="str">
        <f>'Custom Elements'!B14</f>
        <v xml:space="preserve">  </v>
      </c>
      <c r="AL53" s="860" t="str">
        <f>'Custom Elements'!C14</f>
        <v>Custom6</v>
      </c>
      <c r="AM53" s="11">
        <f>'Custom Elements'!D14</f>
        <v>9.9999999999999996E-76</v>
      </c>
      <c r="AN53" s="7">
        <f>'Custom Elements'!E14</f>
        <v>0</v>
      </c>
      <c r="AO53" s="7">
        <f>'Custom Elements'!F14</f>
        <v>0</v>
      </c>
      <c r="AP53" s="762" t="str">
        <f>'Custom Elements'!G14</f>
        <v>B</v>
      </c>
      <c r="AQ53" s="1777" t="str">
        <f>'Custom Elements'!H14</f>
        <v>Single</v>
      </c>
      <c r="AR53" s="1775" t="str">
        <f>'Custom Elements'!I14</f>
        <v>Yes</v>
      </c>
      <c r="AS53" s="442" t="str">
        <f>'Custom Elements'!J14</f>
        <v>Yes</v>
      </c>
      <c r="AT53" s="1150"/>
      <c r="AU53" s="1150"/>
      <c r="AZ53" s="442" t="str">
        <f>IF(AND('Custom Elements'!J14="Yes",'Custom Elements'!I14="Yes"),"T",IF('Custom Elements'!J14="Yes","F",IF('Custom Elements'!I14="Yes","H","E")))</f>
        <v>T</v>
      </c>
      <c r="BD53" s="638"/>
      <c r="BI53" s="759"/>
      <c r="BJ53" s="897">
        <f t="shared" si="28"/>
        <v>45</v>
      </c>
      <c r="BK53" s="1220"/>
      <c r="BL53" s="766"/>
      <c r="BM53" s="455">
        <f>Table!D7</f>
        <v>1.2</v>
      </c>
      <c r="BN53" s="455">
        <f>BM54</f>
        <v>1.8</v>
      </c>
      <c r="BO53" s="455">
        <f>Table!E7</f>
        <v>72</v>
      </c>
      <c r="BP53" s="925">
        <f>Table!F7</f>
        <v>64</v>
      </c>
      <c r="BR53" s="764"/>
      <c r="BS53" s="455"/>
      <c r="BT53" s="455"/>
      <c r="BU53" s="925" t="s">
        <v>242</v>
      </c>
      <c r="BV53" s="913"/>
      <c r="BW53" s="912"/>
      <c r="BX53" s="925" t="str">
        <f>Table!H5</f>
        <v>Single</v>
      </c>
      <c r="CH53" s="764">
        <f>IF(BN53=999,0,(BO54-BO53)/(BN53-BM53))</f>
        <v>18.333333333333332</v>
      </c>
      <c r="CI53" s="925">
        <f>IF(BN53=999,0,(BP54-BP53)/(BN53-BM53))</f>
        <v>0</v>
      </c>
      <c r="CJ53" s="759"/>
      <c r="CK53" s="188"/>
      <c r="CL53" s="979">
        <f>VLOOKUP(I53,Prodlink,2,0)</f>
        <v>0</v>
      </c>
      <c r="CN53" s="497">
        <f ca="1">VLOOKUP(CO53,Prodlink,2,0)</f>
        <v>0</v>
      </c>
      <c r="CO53" s="497">
        <f ca="1">OFFSET($CH$9,CL53-1,-15,1,1)</f>
        <v>0</v>
      </c>
      <c r="CQ53" s="51">
        <v>0</v>
      </c>
      <c r="CR53" s="51">
        <f>IF(K53=$BH$12,$BH$23,IF(K53=$BH$13,$BH$24,10000))</f>
        <v>10000</v>
      </c>
      <c r="CS53" s="51">
        <f ca="1">IF(F53&lt;OFFSET($BM$9,CL53-1,0,1,1),0,IF(F53&lt;OFFSET($BN$9,CL53-1,0,1,1),((F53-OFFSET($BM$9,CL53-1,0,1,1))*OFFSET($CH$9,CL53-1,0,1,1))+OFFSET($BO$9,CL53-1,CQ53,1,1),IF(F53&lt;OFFSET($BN$9,CL53+0,0,1,1),((F53-OFFSET($BM$9,CL53+0,0,1,1))*OFFSET($CH$9,CL53+0,0,1,1))+OFFSET($BO$9,CL53+0,CQ53,1,1),IF(F53&lt;OFFSET($BN$9,CL53+1,0,1,1),((F53-OFFSET($BM$9,CL53+1,0,1,1))*OFFSET($CH$9,CL53+1,0,1,1))+OFFSET($BO$9,CL53+1,CQ53,1,1),IF(F53&lt;OFFSET($BN$9,CL53+2,0,1,1),((F53-OFFSET($BM$9,CL53+2,0,1,1))*OFFSET($CH$9,CL53+2,0,1,1))+OFFSET($BO$9,CL53+2,CQ53,1,1),IF(F53&lt;OFFSET($BN$9,CL53+3,0,1,1),((F53-OFFSET($BM$9,CL53+3,0,1,1))*OFFSET($CH$9,CL53+3,0,1,1))+OFFSET($BO$9,CL53+3,CQ53,1,1),0))))))</f>
        <v>0</v>
      </c>
      <c r="CT53" s="51">
        <f ca="1">IF($F53&lt;OFFSET($BM$9,$CL53-1,0,1,1),0,IF($F53&lt;OFFSET($BN$9,$CL53-1,0,1,1),IF(AND($H53&gt;2.4,Z53&lt;&gt;"e",Z53&lt;&gt;"f"),CX53*2.4/$H53,CX53),IF($F53&lt;OFFSET($BN$9,$CL53+0,0,1,1),IF(AND($H53&gt;2.4,Z53&lt;&gt;"e",Z53&lt;&gt;"f"),CX53*2.4/$H53,CX53),IF($F53&lt;OFFSET($BN$9,$CL53+1,0,1,1),IF(AND($H53&gt;2.4,Z53&lt;&gt;"e",Z53&lt;&gt;"f"),CX53*2.4/$H53,CX53),IF($F53&lt;OFFSET($BN$9,CL53+2,0,1,1),IF(AND($H53&gt;2.4,Z53&lt;&gt;"e",Z53&lt;&gt;"f"),CX53*2.4/$H53,CX53),IF($F53&lt;OFFSET($BN$9,CL53+3,0,1,1),IF(AND($H53&gt;2.4,Z53&lt;&gt;"e",Z53&lt;&gt;"f"),CX53*2.4/$H53,CX53),0)))))*COS(RADIANS($G53)))</f>
        <v>0</v>
      </c>
      <c r="CU53" s="51">
        <f ca="1">IF(F53&lt;OFFSET($BM$9,CL53-1,0,1,1),0,IF(F53&lt;OFFSET($BN$9,CL53-1,0,1,1),((F53-OFFSET($BM$9,CL53-1,0,1,1))*OFFSET($CI$9,CL53-1,0,1,1))+OFFSET($BP$9,CL53-1,CQ53,1,1),IF(F53&lt;OFFSET($BN$9,CL53+0,0,1,1),((F53-OFFSET($BM$9,CL53+0,0,1,1))*OFFSET($CI$9,CL53+0,0,1,1))+OFFSET($BP$9,CL53+0,CQ53,1,1),IF(F53&lt;OFFSET($BN$9,CL53+1,0,1,1),((F53-OFFSET($BM$9,CL53+1,0,1,1))*OFFSET($CI$9,CL53+1,0,1,1))+OFFSET($BP$9,CL53+1,CQ53,1,1),IF(F53&lt;OFFSET($BN$9,CL53+2,0,1,1),((F53-OFFSET($BM$9,CL53+2,0,1,1))*OFFSET($CI$9,CL53+2,0,1,1))+OFFSET($BP$9,CL53+2,CQ53,1,1),IF(F53&lt;OFFSET($BN$9,CL53+3,0,1,1),((F53-OFFSET($BM$9,CL53+3,0,1,1))*OFFSET($CI$9,CL53+3,0,1,1))+OFFSET($BP$9,CL53+3,CQ53,1,1),0))))))</f>
        <v>0</v>
      </c>
      <c r="CV53" s="51">
        <f ca="1">IF($F53&lt;OFFSET($BM$9,$CL53-1,0,1,1),0,IF($F53&lt;OFFSET($BN$9,$CL53-1,0,1,1),IF(AND($H53&gt;2.4,Z53&lt;&gt;"e",Z53&lt;&gt;"f"),CZ53*2.4/$H53,CZ53),IF($F53&lt;OFFSET($BN$9,$CL53+0,0,1,1),IF(AND($H53&gt;2.4,Z53&lt;&gt;"e",Z53&lt;&gt;"f"),CZ53*2.4/$H53,CZ53),IF($F53&lt;OFFSET($BN$9,$CL53+1,0,1,1),IF(AND($H53&gt;2.4,Z53&lt;&gt;"e",Z53&lt;&gt;"f"),CZ53*2.4/$H53,CZ53),IF($F53&lt;OFFSET($BN$9,$CL53+2,0,1,1),IF(AND($H53&gt;2.4,Z53&lt;&gt;"e",Z53&lt;&gt;"f"),CZ53*2.4/$H53,CZ53),IF($F53&lt;OFFSET($BN$9,$CL53+3,0,1,1),IF(AND($H53&gt;2.4,Z53&lt;&gt;"e",Z53&lt;&gt;"f"),CZ53*2.4/$H53,CZ53),0)))))*COS(RADIANS($G53)))</f>
        <v>0</v>
      </c>
      <c r="CW53" s="51">
        <f ca="1">IF(CT53&gt;CR53,CR53,CT53)</f>
        <v>0</v>
      </c>
      <c r="CX53" s="51">
        <f ca="1">IF(CS53&gt;$CR53,$CR53,CS53)</f>
        <v>0</v>
      </c>
      <c r="CY53" s="51">
        <f ca="1">CW53*F53</f>
        <v>0</v>
      </c>
      <c r="CZ53" s="51">
        <f ca="1">IF($CU53&gt;$CR53,$CR53,$CU53)</f>
        <v>0</v>
      </c>
      <c r="DA53" s="51">
        <f ca="1">IF(CV53&gt;CR53,CR53,CV53)</f>
        <v>0</v>
      </c>
      <c r="DB53" s="51">
        <f ca="1">DA53*F53</f>
        <v>0</v>
      </c>
      <c r="DC53" s="993">
        <v>1</v>
      </c>
      <c r="DD53" s="758" t="str">
        <f>IF(OR(D53=BG$12,D53=BG$13),"External",IF(D53=BG$14,"Internal"," "))</f>
        <v xml:space="preserve"> </v>
      </c>
      <c r="DE53" s="51" t="str">
        <f t="shared" ca="1" si="2"/>
        <v/>
      </c>
      <c r="DF53" s="52" t="str">
        <f t="shared" ca="1" si="3"/>
        <v xml:space="preserve"> </v>
      </c>
      <c r="DG53" s="51">
        <f ca="1">IF(F53&lt;OFFSET($BM$9,CN53-1,0,1,1),0,IF(F53&lt;OFFSET($BN$9,CN53-1,0,1,1),((F53-OFFSET($BM$9,CN53-1,0,1,1))*OFFSET($CH$9,CN53-1,0,1,1))+OFFSET($BO$9,CN53-1,CQ53,1,1),IF(F53&lt;OFFSET($BN$9,CN53+0,0,1,1),((F53-OFFSET($BM$9,CN53+0,0,1,1))*OFFSET($CH$9,CN53+0,0,1,1))+OFFSET($BO$9,CN53+0,CQ53,1,1),IF(F53&lt;OFFSET($BN$9,CN53+1,0,1,1),((F53-OFFSET($BM$9,CN53+1,0,1,1))*OFFSET($CH$9,CN53+1,0,1,1))+OFFSET($BO$9,CN53+1,CQ53,1,1),IF(F53&lt;OFFSET($BN$9,CN53+2,0,1,1),((F53-OFFSET($BM$9,CN53+2,0,1,1))*OFFSET($CH$9,CN53+2,0,1,1))+OFFSET($BO$9,CN53+2,CQ53,1,1),IF(F53&lt;OFFSET($BN$9,CN53+3,0,1,1),((F53-OFFSET($BM$9,CN53+3,0,1,1))*OFFSET($CH$9,CN53+3,0,1,1))+OFFSET($BO$9,CN53+3,CQ53,1,1),0))))))</f>
        <v>0</v>
      </c>
      <c r="DH53" s="51">
        <f ca="1">IF($F53&lt;OFFSET($BM$9,$CN53-1,0,1,1),0,IF($F53&lt;OFFSET($BN$9,$CN53-1,0,1,1),IF(AND($H53&gt;2.4,Z53&lt;&gt;"e",Z53&lt;&gt;"f"),DL53*2.4/$H53,DL53),IF($F53&lt;OFFSET($BN$9,$CN53+0,0,1,1),IF(AND($H53&gt;2.4,Z53&lt;&gt;"e",Z53&lt;&gt;"f"),DL53*2.4/$H53,DL53),IF($F53&lt;OFFSET($BN$9,$CN53+1,0,1,1),IF(AND($H53&gt;2.4,Z53&lt;&gt;"e",Z53&lt;&gt;"f"),DL53*2.4/$H53,DL53),IF($F53&lt;OFFSET($BN$9,$CN53+2,0,1,1),IF(AND($H53&gt;2.4,Z53&lt;&gt;"e",Z53&lt;&gt;"f"),DL53*2.4/$H53,DL53),IF($F53&lt;OFFSET($BN$9,$CN53+3,0,1,1),IF(AND($H53&gt;2.4,Z53&lt;&gt;"e",Z53&lt;&gt;"f"),DL53*2.4/$H53,DL53),0)))))*COS(RADIANS($G53)))</f>
        <v>0</v>
      </c>
      <c r="DI53" s="51">
        <f ca="1">IF(F53&lt;OFFSET($BM$9,CN53-1,0,1,1),0,IF(F53&lt;OFFSET($BN$9,CN53-1,0,1,1),((F53-OFFSET($BM$9,CN53-1,0,1,1))*OFFSET($CI$9,CN53-1,0,1,1))+OFFSET($BP$9,CN53-1,CQ53,1,1),IF(F53&lt;OFFSET($BN$9,CN53+0,0,1,1),((F53-OFFSET($BM$9,CN53+0,0,1,1))*OFFSET($CI$9,CN53+0,0,1,1))+OFFSET($BP$9,CN53+0,CQ53,1,1),IF(F53&lt;OFFSET($BN$9,CN53+1,0,1,1),((F53-OFFSET($BM$9,CN53+1,0,1,1))*OFFSET($CI$9,CN53+1,0,1,1))+OFFSET($BP$9,CN53+1,CQ53,1,1),IF(F53&lt;OFFSET($BN$9,CN53+2,0,1,1),((F53-OFFSET($BM$9,CN53+2,0,1,1))*OFFSET($CI$9,CN53+2,0,1,1))+OFFSET($BP$9,CN53+2,CQ53,1,1),IF(F53&lt;OFFSET($BN$9,CN53+3,0,1,1),((F53-OFFSET($BM$9,CN53+3,0,1,1))*OFFSET($CI$9,CN53+3,0,1,1))+OFFSET($BP$9,CN53+3,CQ53,1,1),0))))))</f>
        <v>0</v>
      </c>
      <c r="DJ53" s="51">
        <f ca="1">IF($F53&lt;OFFSET($BM$9,$CN53-1,0,1,1),0,IF($F53&lt;OFFSET($BN$9,$CN53-1,0,1,1),IF(AND($H53&gt;2.4,Z53&lt;&gt;"e",Z53&lt;&gt;"f"),DN53*2.4/$H53,DN53),IF($F53&lt;OFFSET($BN$9,$CN53+0,0,1,1),IF(AND($H53&gt;2.4,Z53&lt;&gt;"e",Z53&lt;&gt;"f"),DN53*2.4/$H53,DN53),IF($F53&lt;OFFSET($BN$9,$CN53+1,0,1,1),IF(AND($H53&gt;2.4,Z53&lt;&gt;"e",Z53&lt;&gt;"f"),DN53*2.4/$H53,DN53),IF($F53&lt;OFFSET($BN$9,$CN53+2,0,1,1),IF(AND($H53&gt;2.4,Z53&lt;&gt;"e",Z53&lt;&gt;"f"),DN53*2.4/$H53,DN53),IF($F53&lt;OFFSET($BN$9,$CN53+3,0,1,1),IF(AND($H53&gt;2.4,Z53&lt;&gt;"e",Z53&lt;&gt;"f"),DN53*2.4/$H53,DN53),0)))))*COS(RADIANS($G53)))</f>
        <v>0</v>
      </c>
      <c r="DK53" s="51"/>
      <c r="DL53" s="51">
        <f ca="1">IF(DG53&gt;$CR53,$CR53,DG53)</f>
        <v>0</v>
      </c>
      <c r="DM53" s="51"/>
      <c r="DN53" s="51">
        <f ca="1">IF(DI53&gt;$CR53,$CR53,DI53)</f>
        <v>0</v>
      </c>
      <c r="DO53" s="435">
        <f ca="1">IF(DH53&gt;$CR53,$CR53,DH53)</f>
        <v>0</v>
      </c>
      <c r="DP53" s="435">
        <f ca="1">DO53*F53</f>
        <v>0</v>
      </c>
      <c r="DQ53" s="436">
        <f ca="1">IF(DJ53&gt;$CR53,$CR53,DJ53)</f>
        <v>0</v>
      </c>
      <c r="DR53" s="437">
        <f ca="1">DQ53*F53</f>
        <v>0</v>
      </c>
      <c r="DS53" s="426">
        <f ca="1">OFFSET($CH$9,CL53-1,-15,1,1)</f>
        <v>0</v>
      </c>
      <c r="DT53" s="451">
        <f t="shared" ca="1" si="27"/>
        <v>0</v>
      </c>
      <c r="DU53" s="188">
        <f ca="1">IF(F53&lt;OFFSET($BM$9,DT53-1,0,1,1),0,IF(F53&lt;OFFSET($BN$9,DT53-1,0,1,1),((F53-OFFSET($BM$9,DT53-1,0,1,1))*OFFSET($CH$9,DT53-1,0,1,1))+OFFSET($BO$9,DT53-1,CQ53,1,1),IF(F53&lt;OFFSET($BN$9,DT53+0,0,1,1),((F53-OFFSET($BM$9,DT53+0,0,1,1))*OFFSET($CH$9,DT53+0,0,1,1))+OFFSET($BO$9,DT53+0,CQ53,1,1),IF(F53&lt;OFFSET($BN$9,DT53+1,0,1,1),((F53-OFFSET($BM$9,DT53+1,0,1,1))*OFFSET($CH$9,DT53+1,0,1,1))+OFFSET($BO$9,DT53+1,CQ53,1,1),IF(F53&lt;OFFSET($BN$9,DT53+2,0,1,1),((F53-OFFSET($BM$9,DT53+2,0,1,1))*OFFSET($CH$9,DT53+2,0,1,1))+OFFSET($BO$9,DT53+2,CQ53,1,1),IF(F53&lt;OFFSET($BN$9,DT53+3,0,1,1),((F53-OFFSET($BM$9,DT53+3,0,1,1))*OFFSET($CH$9,DT53+3,0,1,1))+OFFSET($BO$9,DT53+3,CQ53,1,1),0))))))</f>
        <v>0</v>
      </c>
      <c r="DV53" s="51">
        <f ca="1">IF($F53&lt;OFFSET($BM$9,$DT53-1,0,1,1),0,IF($F53&lt;OFFSET($BN$9,$DT53-1,0,1,1),IF(AND($H53&gt;2.4,Z53&lt;&gt;"e",Z53&lt;&gt;"f"),DZ53*2.4/$H53,DZ53),IF($F53&lt;OFFSET($BN$9,$DT53+0,0,1,1),IF(AND($H53&gt;2.4,Z53&lt;&gt;"e",Z53&lt;&gt;"f"),DZ53*2.4/$H53,DZ53),IF($F53&lt;OFFSET($BN$9,$DT53+1,0,1,1),IF(AND($H53&gt;2.4,Z53&lt;&gt;"e",Z53&lt;&gt;"f"),DZ53*2.4/$H53,DZ53),IF($F53&lt;OFFSET($BN$9,$DT53+2,0,1,1),IF(AND($H53&gt;2.4,Z53&lt;&gt;"e",Z53&lt;&gt;"f"),DZ53*2.4/$H53,DZ53),IF($F53&lt;OFFSET($BN$9,$DT53+3,0,1,1),IF(AND($H53&gt;2.4,Z53&lt;&gt;"e",Z53&lt;&gt;"f"),DZ53*2.4/$H53,DZ53),0)))))*COS(RADIANS($G53)))</f>
        <v>0</v>
      </c>
      <c r="DW53" s="188">
        <f ca="1">IF(F53&lt;OFFSET($BM$9,DT53-1,0,1,1),0,IF(F53&lt;OFFSET($BN$9,DT53-1,0,1,1),((F53-OFFSET($BM$9,DT53-1,0,1,1))*OFFSET($CI$9,DT53-1,0,1,1))+OFFSET($BP$9,DT53-1,CQ53,1,1),IF(F53&lt;OFFSET($BN$9,DT53+0,0,1,1),((F53-OFFSET($BM$9,DT53+0,0,1,1))*OFFSET($CI$9,DT53+0,0,1,1))+OFFSET($BP$9,DT53+0,CQ53,1,1),IF(F53&lt;OFFSET($BN$9,DT53+1,0,1,1),((F53-OFFSET($BM$9,DT53+1,0,1,1))*OFFSET($CI$9,DT53+1,0,1,1))+OFFSET($BP$9,DT53+1,CQ53,1,1),IF(F53&lt;OFFSET($BN$9,DT53+2,0,1,1),((F53-OFFSET($BM$9,DT53+2,0,1,1))*OFFSET($CI$9,DT53+2,0,1,1))+OFFSET($BP$9,DT53+2,CQ53,1,1),IF(F53&lt;OFFSET($BN$9,DT53+3,0,1,1),((F53-OFFSET($BM$9,DT53+3,0,1,1))*OFFSET($CI$9,DT53+3,0,1,1))+OFFSET($BP$9,DT53+3,CQ53,1,1),0))))))</f>
        <v>0</v>
      </c>
      <c r="DX53" s="51">
        <f ca="1">IF($F53&lt;OFFSET($BM$9,$DT53-1,0,1,1),0,IF($F53&lt;OFFSET($BN$9,$DT53-1,0,1,1),IF(AND($H53&gt;2.4,Z53&lt;&gt;"e",Z53&lt;&gt;"f"),EB53*2.4/$H53,EB53),IF($F53&lt;OFFSET($BN$9,$DT53+0,0,1,1),IF(AND($H53&gt;2.4,Z53&lt;&gt;"e",Z53&lt;&gt;"f"),EB53*2.4/$H53,EB53),IF($F53&lt;OFFSET($BN$9,$DT53+1,0,1,1),IF(AND($H53&gt;2.4,Z53&lt;&gt;"e",Z53&lt;&gt;"f"),EB53*2.4/$H53,EB53),IF($F53&lt;OFFSET($BN$9,$DT53+2,0,1,1),IF(AND($H53&gt;2.4,Z53&lt;&gt;"e",Z53&lt;&gt;"f"),EB53*2.4/$H53,EB53),IF($F53&lt;OFFSET($BN$9,$DT53+3,0,1,1),IF(AND($H53&gt;2.4,Z53&lt;&gt;"e",Z53&lt;&gt;"f"),EB53*2.4/$H53,EB53),0)))))*COS(RADIANS($G53)))</f>
        <v>0</v>
      </c>
      <c r="DY53" s="188"/>
      <c r="DZ53" s="188">
        <f ca="1">IF(DU53&gt;$CR53,$CR53,DU53)</f>
        <v>0</v>
      </c>
      <c r="EA53" s="188"/>
      <c r="EB53" s="188">
        <f ca="1">IF(DW53&gt;$CR53,$CR53,DW53)</f>
        <v>0</v>
      </c>
      <c r="EC53" s="435">
        <f ca="1">IF(DV53&gt;$CR53,$CR53,DV53)</f>
        <v>0</v>
      </c>
      <c r="ED53" s="435">
        <f ca="1">EC53*F53</f>
        <v>0</v>
      </c>
      <c r="EE53" s="436">
        <f ca="1">IF(DX53&gt;$CR53,$CR53,DX53)</f>
        <v>0</v>
      </c>
      <c r="EF53" s="437">
        <f ca="1">EE53*F53</f>
        <v>0</v>
      </c>
      <c r="EG53" s="613" t="str">
        <f>IF(D53=BG$12,BG$12,"")</f>
        <v/>
      </c>
      <c r="EH53" s="614" t="str">
        <f>IF(D53=BG$13,BG$13,"")</f>
        <v/>
      </c>
      <c r="EI53" s="611">
        <f>IF(EG53=BG$12,M53,0)</f>
        <v>0</v>
      </c>
      <c r="EJ53" s="451">
        <f>IF(EG53=BG$12,O53,0)</f>
        <v>0</v>
      </c>
      <c r="EK53" s="451">
        <f>IF(EH53=BG$13,M53,0)</f>
        <v>0</v>
      </c>
      <c r="EL53" s="612">
        <f>IF(EH53=BG$13,O53,0)</f>
        <v>0</v>
      </c>
      <c r="EM53" s="426" t="str">
        <f ca="1">IF(AND(Z53&lt;&gt;"t",Z53&lt;&gt;"f"),"",IF(AND(EN53=$BH$13,K53=$BH$12),"NotOpt",IF(K53&lt;&gt;EN53,"Error","")))</f>
        <v/>
      </c>
      <c r="EN53" s="491" t="str">
        <f>IF(AND($BH$28=1,$BG$28=1),$BH$13,$BH$12)</f>
        <v>120 BU's</v>
      </c>
      <c r="EO53" s="426" t="str">
        <f>K53</f>
        <v xml:space="preserve"> </v>
      </c>
      <c r="EP53" s="497">
        <v>1</v>
      </c>
      <c r="EQ53" s="430" t="str">
        <f ca="1">IF(EP53=1," ",OFFSET(BF$15,EP53-2,0,1,1))</f>
        <v xml:space="preserve"> </v>
      </c>
      <c r="ER53" s="439" t="str">
        <f ca="1">IF(H53=0," ",H53)</f>
        <v xml:space="preserve"> </v>
      </c>
      <c r="ES53" s="440" t="str">
        <f ca="1">IF(ER53&lt;&gt;" ",IF(ER53&lt;&gt;ER$7,"Changed",""),"")</f>
        <v/>
      </c>
      <c r="ET53" s="440">
        <f t="shared" ca="1" si="15"/>
        <v>0</v>
      </c>
      <c r="EU53" s="957" t="str">
        <f ca="1">IF(I53=" "," ",IF(F53&lt;OFFSET($BM$9,CL53-1,0,1,1),1,""))</f>
        <v xml:space="preserve"> </v>
      </c>
      <c r="EW53" s="427"/>
      <c r="EX53"/>
    </row>
    <row r="54" spans="1:154" ht="17.100000000000001" customHeight="1" thickBot="1">
      <c r="A54" s="2685"/>
      <c r="B54" s="689" t="s">
        <v>246</v>
      </c>
      <c r="C54" s="684" t="str">
        <f>IF(OR(F54=0,I54="",I54=" ")," ",$V54)</f>
        <v xml:space="preserve"> </v>
      </c>
      <c r="D54" s="1033"/>
      <c r="E54" s="1360" t="s">
        <v>8</v>
      </c>
      <c r="F54" s="202"/>
      <c r="G54" s="1416"/>
      <c r="H54" s="199" t="str">
        <f ca="1">IF(OR(F54=0,Z54="E",Z54="f")," ",'Project Demand'!E$35)</f>
        <v xml:space="preserve"> </v>
      </c>
      <c r="I54" s="631" t="str">
        <f>IF($I$6&lt;&gt;$BG$8," ",AB54)</f>
        <v xml:space="preserve"> </v>
      </c>
      <c r="J54" s="44" t="str">
        <f ca="1">IF(OR(I54=" ",I54="")," ",OFFSET($BO$9,CL54-1,0-4,1,1))</f>
        <v xml:space="preserve"> </v>
      </c>
      <c r="K54" s="55" t="str">
        <f>IF(OR(I54=" ",I54="")," ",IF(OR(Z54="e",Z54="h"),"SD",BG$24))</f>
        <v xml:space="preserve"> </v>
      </c>
      <c r="L54" s="49">
        <f ca="1">CW54</f>
        <v>0</v>
      </c>
      <c r="M54" s="49">
        <f ca="1">CY54</f>
        <v>0</v>
      </c>
      <c r="N54" s="50">
        <f t="shared" ca="1" si="31"/>
        <v>0</v>
      </c>
      <c r="O54" s="126">
        <f t="shared" ca="1" si="31"/>
        <v>0</v>
      </c>
      <c r="P54" s="140"/>
      <c r="Q54" s="752" t="str">
        <f ca="1">IF(AND(OR(Z54="t",Z54="f"),K54=$BH$11),"No Floor!  Change Floor Type",IF(OR(I54=" ",I54="")," ",IF(F54&lt;OFFSET($BM$9,CL54-1,0,1,1),"check L(m)",DE54&amp;IF(AND(DP54&gt;=CY54,DR54&gt;=DB54),IF(AND(ED54&gt;=DP54,EF54&gt;=DR54),CONCATENATE(DS54," will provide same result"),CONCATENATE(CO54," will provide same result")),IF((DP54&gt;=CY54),CONCATENATE(CO54," provides same result in WIND"),IF((DR54&gt;=DB54),CONCATENATE(CO54," provides same result in EQ"),""))))))&amp;IF(ISERROR(FIND("pile",I54,1)),"",IF(INT(F54)&lt;&gt;F54,"Pile!  Use Whole Numbers Only",""))</f>
        <v xml:space="preserve"> </v>
      </c>
      <c r="R54" s="52"/>
      <c r="S54" s="1372"/>
      <c r="T54" s="1372"/>
      <c r="U54" s="1377"/>
      <c r="V54" s="52" t="str">
        <f ca="1">IF(AND(B$5=$BF$9,OR(I54=BH$16,I54=BH$17))," ",IF(ISNUMBER(B$50),(CONCATENATE(B$50,".",W54)),(CONCATENATE(B$50,W54))))</f>
        <v>T0</v>
      </c>
      <c r="W54" s="9">
        <f ca="1">W53+X54</f>
        <v>0</v>
      </c>
      <c r="X54" s="9">
        <f>IF(AND(B$5=$BF$9,OR($I54=$BH$16,$I54=$BH$17,$I54=" ",$I54="",$F54=0)),0,IF(OR($I54=" ",$I54="",$F54=0),0,1))</f>
        <v>0</v>
      </c>
      <c r="Y54" s="896"/>
      <c r="Z54" s="52" t="str">
        <f ca="1">IF(I54=" "," ",OFFSET($BM$9,$CL54-1,8,1,1))</f>
        <v xml:space="preserve"> </v>
      </c>
      <c r="AA54" s="51" t="str">
        <f>IF(G54&gt;=45,"WA","")</f>
        <v/>
      </c>
      <c r="AB54" s="1364" t="str">
        <f>IF(F54&lt;&gt;"",IF(OR(D54=$BG$12,D54=$BG$13),IF(E54&lt;&gt;$BG$17,$BF$12,$BF$13),IF(E54&lt;&gt;$BG$17,$BF$12,$BF$13))," ")</f>
        <v xml:space="preserve"> </v>
      </c>
      <c r="AC54" s="1"/>
      <c r="AK54" s="63" t="str">
        <f>'Custom Elements'!B15</f>
        <v xml:space="preserve">  </v>
      </c>
      <c r="AL54" s="860" t="str">
        <f>'Custom Elements'!C15</f>
        <v>Custom7</v>
      </c>
      <c r="AM54" s="11">
        <f>'Custom Elements'!D15</f>
        <v>9.9999999999999996E-76</v>
      </c>
      <c r="AN54" s="7">
        <f>'Custom Elements'!E15</f>
        <v>0</v>
      </c>
      <c r="AO54" s="7">
        <f>'Custom Elements'!F15</f>
        <v>0</v>
      </c>
      <c r="AP54" s="762" t="str">
        <f>'Custom Elements'!G15</f>
        <v>B</v>
      </c>
      <c r="AQ54" s="1777" t="str">
        <f>'Custom Elements'!H15</f>
        <v>Single</v>
      </c>
      <c r="AR54" s="1775" t="str">
        <f>'Custom Elements'!I15</f>
        <v>Yes</v>
      </c>
      <c r="AS54" s="442" t="str">
        <f>'Custom Elements'!J15</f>
        <v>Yes</v>
      </c>
      <c r="AT54" s="1150"/>
      <c r="AU54" s="1150"/>
      <c r="AZ54" s="442" t="str">
        <f>IF(AND('Custom Elements'!J15="Yes",'Custom Elements'!I15="Yes"),"T",IF('Custom Elements'!J15="Yes","F",IF('Custom Elements'!I15="Yes","H","E")))</f>
        <v>T</v>
      </c>
      <c r="BD54" s="638"/>
      <c r="BE54" s="2714" t="s">
        <v>956</v>
      </c>
      <c r="BF54" s="2714"/>
      <c r="BG54" s="2714"/>
      <c r="BH54" s="2714"/>
      <c r="BI54" s="759"/>
      <c r="BJ54" s="897">
        <f t="shared" si="28"/>
        <v>46</v>
      </c>
      <c r="BK54" s="1221"/>
      <c r="BL54" s="767"/>
      <c r="BM54" s="776">
        <f>Table!D8</f>
        <v>1.8</v>
      </c>
      <c r="BN54" s="776">
        <v>999</v>
      </c>
      <c r="BO54" s="776">
        <f>Table!E8</f>
        <v>83</v>
      </c>
      <c r="BP54" s="926">
        <f>Table!F8</f>
        <v>64</v>
      </c>
      <c r="BQ54" s="1183"/>
      <c r="BR54" s="908"/>
      <c r="BS54" s="776"/>
      <c r="BT54" s="776"/>
      <c r="BU54" s="926" t="s">
        <v>242</v>
      </c>
      <c r="BV54" s="433"/>
      <c r="BW54" s="914"/>
      <c r="BX54" s="926" t="str">
        <f>Table!H5</f>
        <v>Single</v>
      </c>
      <c r="CH54" s="908">
        <f>IF(BN54=999,0,(BO55-BO54)/(BN54-BM54))</f>
        <v>0</v>
      </c>
      <c r="CI54" s="926">
        <f>IF(BN54=999,0,(BP55-BP54)/(BN54-BM54))</f>
        <v>0</v>
      </c>
      <c r="CJ54" s="759"/>
      <c r="CK54" s="188"/>
      <c r="CL54" s="979">
        <f>VLOOKUP(I54,Prodlink,2,0)</f>
        <v>0</v>
      </c>
      <c r="CN54" s="497">
        <f ca="1">VLOOKUP(CO54,Prodlink,2,0)</f>
        <v>0</v>
      </c>
      <c r="CO54" s="497">
        <f ca="1">OFFSET($CH$9,CL54-1,-15,1,1)</f>
        <v>0</v>
      </c>
      <c r="CQ54" s="51">
        <v>0</v>
      </c>
      <c r="CR54" s="51">
        <f>IF(K54=$BH$12,$BH$23,IF(K54=$BH$13,$BH$24,10000))</f>
        <v>10000</v>
      </c>
      <c r="CS54" s="51">
        <f ca="1">IF(F54&lt;OFFSET($BM$9,CL54-1,0,1,1),0,IF(F54&lt;OFFSET($BN$9,CL54-1,0,1,1),((F54-OFFSET($BM$9,CL54-1,0,1,1))*OFFSET($CH$9,CL54-1,0,1,1))+OFFSET($BO$9,CL54-1,CQ54,1,1),IF(F54&lt;OFFSET($BN$9,CL54+0,0,1,1),((F54-OFFSET($BM$9,CL54+0,0,1,1))*OFFSET($CH$9,CL54+0,0,1,1))+OFFSET($BO$9,CL54+0,CQ54,1,1),IF(F54&lt;OFFSET($BN$9,CL54+1,0,1,1),((F54-OFFSET($BM$9,CL54+1,0,1,1))*OFFSET($CH$9,CL54+1,0,1,1))+OFFSET($BO$9,CL54+1,CQ54,1,1),IF(F54&lt;OFFSET($BN$9,CL54+2,0,1,1),((F54-OFFSET($BM$9,CL54+2,0,1,1))*OFFSET($CH$9,CL54+2,0,1,1))+OFFSET($BO$9,CL54+2,CQ54,1,1),IF(F54&lt;OFFSET($BN$9,CL54+3,0,1,1),((F54-OFFSET($BM$9,CL54+3,0,1,1))*OFFSET($CH$9,CL54+3,0,1,1))+OFFSET($BO$9,CL54+3,CQ54,1,1),0))))))</f>
        <v>0</v>
      </c>
      <c r="CT54" s="51">
        <f ca="1">IF($F54&lt;OFFSET($BM$9,$CL54-1,0,1,1),0,IF($F54&lt;OFFSET($BN$9,$CL54-1,0,1,1),IF(AND($H54&gt;2.4,Z54&lt;&gt;"e",Z54&lt;&gt;"f"),CX54*2.4/$H54,CX54),IF($F54&lt;OFFSET($BN$9,$CL54+0,0,1,1),IF(AND($H54&gt;2.4,Z54&lt;&gt;"e",Z54&lt;&gt;"f"),CX54*2.4/$H54,CX54),IF($F54&lt;OFFSET($BN$9,$CL54+1,0,1,1),IF(AND($H54&gt;2.4,Z54&lt;&gt;"e",Z54&lt;&gt;"f"),CX54*2.4/$H54,CX54),IF($F54&lt;OFFSET($BN$9,CL54+2,0,1,1),IF(AND($H54&gt;2.4,Z54&lt;&gt;"e",Z54&lt;&gt;"f"),CX54*2.4/$H54,CX54),IF($F54&lt;OFFSET($BN$9,CL54+3,0,1,1),IF(AND($H54&gt;2.4,Z54&lt;&gt;"e",Z54&lt;&gt;"f"),CX54*2.4/$H54,CX54),0)))))*COS(RADIANS($G54)))</f>
        <v>0</v>
      </c>
      <c r="CU54" s="51">
        <f ca="1">IF(F54&lt;OFFSET($BM$9,CL54-1,0,1,1),0,IF(F54&lt;OFFSET($BN$9,CL54-1,0,1,1),((F54-OFFSET($BM$9,CL54-1,0,1,1))*OFFSET($CI$9,CL54-1,0,1,1))+OFFSET($BP$9,CL54-1,CQ54,1,1),IF(F54&lt;OFFSET($BN$9,CL54+0,0,1,1),((F54-OFFSET($BM$9,CL54+0,0,1,1))*OFFSET($CI$9,CL54+0,0,1,1))+OFFSET($BP$9,CL54+0,CQ54,1,1),IF(F54&lt;OFFSET($BN$9,CL54+1,0,1,1),((F54-OFFSET($BM$9,CL54+1,0,1,1))*OFFSET($CI$9,CL54+1,0,1,1))+OFFSET($BP$9,CL54+1,CQ54,1,1),IF(F54&lt;OFFSET($BN$9,CL54+2,0,1,1),((F54-OFFSET($BM$9,CL54+2,0,1,1))*OFFSET($CI$9,CL54+2,0,1,1))+OFFSET($BP$9,CL54+2,CQ54,1,1),IF(F54&lt;OFFSET($BN$9,CL54+3,0,1,1),((F54-OFFSET($BM$9,CL54+3,0,1,1))*OFFSET($CI$9,CL54+3,0,1,1))+OFFSET($BP$9,CL54+3,CQ54,1,1),0))))))</f>
        <v>0</v>
      </c>
      <c r="CV54" s="51">
        <f ca="1">IF($F54&lt;OFFSET($BM$9,$CL54-1,0,1,1),0,IF($F54&lt;OFFSET($BN$9,$CL54-1,0,1,1),IF(AND($H54&gt;2.4,Z54&lt;&gt;"e",Z54&lt;&gt;"f"),CZ54*2.4/$H54,CZ54),IF($F54&lt;OFFSET($BN$9,$CL54+0,0,1,1),IF(AND($H54&gt;2.4,Z54&lt;&gt;"e",Z54&lt;&gt;"f"),CZ54*2.4/$H54,CZ54),IF($F54&lt;OFFSET($BN$9,$CL54+1,0,1,1),IF(AND($H54&gt;2.4,Z54&lt;&gt;"e",Z54&lt;&gt;"f"),CZ54*2.4/$H54,CZ54),IF($F54&lt;OFFSET($BN$9,$CL54+2,0,1,1),IF(AND($H54&gt;2.4,Z54&lt;&gt;"e",Z54&lt;&gt;"f"),CZ54*2.4/$H54,CZ54),IF($F54&lt;OFFSET($BN$9,$CL54+3,0,1,1),IF(AND($H54&gt;2.4,Z54&lt;&gt;"e",Z54&lt;&gt;"f"),CZ54*2.4/$H54,CZ54),0)))))*COS(RADIANS($G54)))</f>
        <v>0</v>
      </c>
      <c r="CW54" s="51">
        <f ca="1">IF(CT54&gt;CR54,CR54,CT54)</f>
        <v>0</v>
      </c>
      <c r="CX54" s="51">
        <f ca="1">IF(CS54&gt;$CR54,$CR54,CS54)</f>
        <v>0</v>
      </c>
      <c r="CY54" s="51">
        <f ca="1">CW54*F54</f>
        <v>0</v>
      </c>
      <c r="CZ54" s="51">
        <f ca="1">IF($CU54&gt;$CR54,$CR54,$CU54)</f>
        <v>0</v>
      </c>
      <c r="DA54" s="51">
        <f ca="1">IF(CV54&gt;CR54,CR54,CV54)</f>
        <v>0</v>
      </c>
      <c r="DB54" s="51">
        <f ca="1">DA54*F54</f>
        <v>0</v>
      </c>
      <c r="DC54" s="993">
        <v>1</v>
      </c>
      <c r="DD54" s="758" t="str">
        <f>IF(OR(D54=BG$12,D54=BG$13),"External",IF(D54=BG$14,"Internal"," "))</f>
        <v xml:space="preserve"> </v>
      </c>
      <c r="DE54" s="51" t="str">
        <f t="shared" ca="1" si="2"/>
        <v/>
      </c>
      <c r="DF54" s="52" t="str">
        <f t="shared" ca="1" si="3"/>
        <v xml:space="preserve"> </v>
      </c>
      <c r="DG54" s="51">
        <f ca="1">IF(F54&lt;OFFSET($BM$9,CN54-1,0,1,1),0,IF(F54&lt;OFFSET($BN$9,CN54-1,0,1,1),((F54-OFFSET($BM$9,CN54-1,0,1,1))*OFFSET($CH$9,CN54-1,0,1,1))+OFFSET($BO$9,CN54-1,CQ54,1,1),IF(F54&lt;OFFSET($BN$9,CN54+0,0,1,1),((F54-OFFSET($BM$9,CN54+0,0,1,1))*OFFSET($CH$9,CN54+0,0,1,1))+OFFSET($BO$9,CN54+0,CQ54,1,1),IF(F54&lt;OFFSET($BN$9,CN54+1,0,1,1),((F54-OFFSET($BM$9,CN54+1,0,1,1))*OFFSET($CH$9,CN54+1,0,1,1))+OFFSET($BO$9,CN54+1,CQ54,1,1),IF(F54&lt;OFFSET($BN$9,CN54+2,0,1,1),((F54-OFFSET($BM$9,CN54+2,0,1,1))*OFFSET($CH$9,CN54+2,0,1,1))+OFFSET($BO$9,CN54+2,CQ54,1,1),IF(F54&lt;OFFSET($BN$9,CN54+3,0,1,1),((F54-OFFSET($BM$9,CN54+3,0,1,1))*OFFSET($CH$9,CN54+3,0,1,1))+OFFSET($BO$9,CN54+3,CQ54,1,1),0))))))</f>
        <v>0</v>
      </c>
      <c r="DH54" s="51">
        <f ca="1">IF($F54&lt;OFFSET($BM$9,$CN54-1,0,1,1),0,IF($F54&lt;OFFSET($BN$9,$CN54-1,0,1,1),IF(AND($H54&gt;2.4,Z54&lt;&gt;"e",Z54&lt;&gt;"f"),DL54*2.4/$H54,DL54),IF($F54&lt;OFFSET($BN$9,$CN54+0,0,1,1),IF(AND($H54&gt;2.4,Z54&lt;&gt;"e",Z54&lt;&gt;"f"),DL54*2.4/$H54,DL54),IF($F54&lt;OFFSET($BN$9,$CN54+1,0,1,1),IF(AND($H54&gt;2.4,Z54&lt;&gt;"e",Z54&lt;&gt;"f"),DL54*2.4/$H54,DL54),IF($F54&lt;OFFSET($BN$9,$CN54+2,0,1,1),IF(AND($H54&gt;2.4,Z54&lt;&gt;"e",Z54&lt;&gt;"f"),DL54*2.4/$H54,DL54),IF($F54&lt;OFFSET($BN$9,$CN54+3,0,1,1),IF(AND($H54&gt;2.4,Z54&lt;&gt;"e",Z54&lt;&gt;"f"),DL54*2.4/$H54,DL54),0)))))*COS(RADIANS($G54)))</f>
        <v>0</v>
      </c>
      <c r="DI54" s="51">
        <f ca="1">IF(F54&lt;OFFSET($BM$9,CN54-1,0,1,1),0,IF(F54&lt;OFFSET($BN$9,CN54-1,0,1,1),((F54-OFFSET($BM$9,CN54-1,0,1,1))*OFFSET($CI$9,CN54-1,0,1,1))+OFFSET($BP$9,CN54-1,CQ54,1,1),IF(F54&lt;OFFSET($BN$9,CN54+0,0,1,1),((F54-OFFSET($BM$9,CN54+0,0,1,1))*OFFSET($CI$9,CN54+0,0,1,1))+OFFSET($BP$9,CN54+0,CQ54,1,1),IF(F54&lt;OFFSET($BN$9,CN54+1,0,1,1),((F54-OFFSET($BM$9,CN54+1,0,1,1))*OFFSET($CI$9,CN54+1,0,1,1))+OFFSET($BP$9,CN54+1,CQ54,1,1),IF(F54&lt;OFFSET($BN$9,CN54+2,0,1,1),((F54-OFFSET($BM$9,CN54+2,0,1,1))*OFFSET($CI$9,CN54+2,0,1,1))+OFFSET($BP$9,CN54+2,CQ54,1,1),IF(F54&lt;OFFSET($BN$9,CN54+3,0,1,1),((F54-OFFSET($BM$9,CN54+3,0,1,1))*OFFSET($CI$9,CN54+3,0,1,1))+OFFSET($BP$9,CN54+3,CQ54,1,1),0))))))</f>
        <v>0</v>
      </c>
      <c r="DJ54" s="51">
        <f ca="1">IF($F54&lt;OFFSET($BM$9,$CN54-1,0,1,1),0,IF($F54&lt;OFFSET($BN$9,$CN54-1,0,1,1),IF(AND($H54&gt;2.4,Z54&lt;&gt;"e",Z54&lt;&gt;"f"),DN54*2.4/$H54,DN54),IF($F54&lt;OFFSET($BN$9,$CN54+0,0,1,1),IF(AND($H54&gt;2.4,Z54&lt;&gt;"e",Z54&lt;&gt;"f"),DN54*2.4/$H54,DN54),IF($F54&lt;OFFSET($BN$9,$CN54+1,0,1,1),IF(AND($H54&gt;2.4,Z54&lt;&gt;"e",Z54&lt;&gt;"f"),DN54*2.4/$H54,DN54),IF($F54&lt;OFFSET($BN$9,$CN54+2,0,1,1),IF(AND($H54&gt;2.4,Z54&lt;&gt;"e",Z54&lt;&gt;"f"),DN54*2.4/$H54,DN54),IF($F54&lt;OFFSET($BN$9,$CN54+3,0,1,1),IF(AND($H54&gt;2.4,Z54&lt;&gt;"e",Z54&lt;&gt;"f"),DN54*2.4/$H54,DN54),0)))))*COS(RADIANS($G54)))</f>
        <v>0</v>
      </c>
      <c r="DK54" s="51"/>
      <c r="DL54" s="51">
        <f ca="1">IF(DG54&gt;$CR54,$CR54,DG54)</f>
        <v>0</v>
      </c>
      <c r="DM54" s="51"/>
      <c r="DN54" s="51">
        <f ca="1">IF(DI54&gt;$CR54,$CR54,DI54)</f>
        <v>0</v>
      </c>
      <c r="DO54" s="435">
        <f ca="1">IF(DH54&gt;$CR54,$CR54,DH54)</f>
        <v>0</v>
      </c>
      <c r="DP54" s="435">
        <f ca="1">DO54*F54</f>
        <v>0</v>
      </c>
      <c r="DQ54" s="436">
        <f ca="1">IF(DJ54&gt;$CR54,$CR54,DJ54)</f>
        <v>0</v>
      </c>
      <c r="DR54" s="437">
        <f ca="1">DQ54*F54</f>
        <v>0</v>
      </c>
      <c r="DS54" s="426">
        <f ca="1">OFFSET($CH$9,CL54-1,-15,1,1)</f>
        <v>0</v>
      </c>
      <c r="DT54" s="451">
        <f t="shared" ca="1" si="27"/>
        <v>0</v>
      </c>
      <c r="DU54" s="188">
        <f ca="1">IF(F54&lt;OFFSET($BM$9,DT54-1,0,1,1),0,IF(F54&lt;OFFSET($BN$9,DT54-1,0,1,1),((F54-OFFSET($BM$9,DT54-1,0,1,1))*OFFSET($CH$9,DT54-1,0,1,1))+OFFSET($BO$9,DT54-1,CQ54,1,1),IF(F54&lt;OFFSET($BN$9,DT54+0,0,1,1),((F54-OFFSET($BM$9,DT54+0,0,1,1))*OFFSET($CH$9,DT54+0,0,1,1))+OFFSET($BO$9,DT54+0,CQ54,1,1),IF(F54&lt;OFFSET($BN$9,DT54+1,0,1,1),((F54-OFFSET($BM$9,DT54+1,0,1,1))*OFFSET($CH$9,DT54+1,0,1,1))+OFFSET($BO$9,DT54+1,CQ54,1,1),IF(F54&lt;OFFSET($BN$9,DT54+2,0,1,1),((F54-OFFSET($BM$9,DT54+2,0,1,1))*OFFSET($CH$9,DT54+2,0,1,1))+OFFSET($BO$9,DT54+2,CQ54,1,1),IF(F54&lt;OFFSET($BN$9,DT54+3,0,1,1),((F54-OFFSET($BM$9,DT54+3,0,1,1))*OFFSET($CH$9,DT54+3,0,1,1))+OFFSET($BO$9,DT54+3,CQ54,1,1),0))))))</f>
        <v>0</v>
      </c>
      <c r="DV54" s="51">
        <f ca="1">IF($F54&lt;OFFSET($BM$9,$DT54-1,0,1,1),0,IF($F54&lt;OFFSET($BN$9,$DT54-1,0,1,1),IF(AND($H54&gt;2.4,Z54&lt;&gt;"e",Z54&lt;&gt;"f"),DZ54*2.4/$H54,DZ54),IF($F54&lt;OFFSET($BN$9,$DT54+0,0,1,1),IF(AND($H54&gt;2.4,Z54&lt;&gt;"e",Z54&lt;&gt;"f"),DZ54*2.4/$H54,DZ54),IF($F54&lt;OFFSET($BN$9,$DT54+1,0,1,1),IF(AND($H54&gt;2.4,Z54&lt;&gt;"e",Z54&lt;&gt;"f"),DZ54*2.4/$H54,DZ54),IF($F54&lt;OFFSET($BN$9,$DT54+2,0,1,1),IF(AND($H54&gt;2.4,Z54&lt;&gt;"e",Z54&lt;&gt;"f"),DZ54*2.4/$H54,DZ54),IF($F54&lt;OFFSET($BN$9,$DT54+3,0,1,1),IF(AND($H54&gt;2.4,Z54&lt;&gt;"e",Z54&lt;&gt;"f"),DZ54*2.4/$H54,DZ54),0)))))*COS(RADIANS($G54)))</f>
        <v>0</v>
      </c>
      <c r="DW54" s="188">
        <f ca="1">IF(F54&lt;OFFSET($BM$9,DT54-1,0,1,1),0,IF(F54&lt;OFFSET($BN$9,DT54-1,0,1,1),((F54-OFFSET($BM$9,DT54-1,0,1,1))*OFFSET($CI$9,DT54-1,0,1,1))+OFFSET($BP$9,DT54-1,CQ54,1,1),IF(F54&lt;OFFSET($BN$9,DT54+0,0,1,1),((F54-OFFSET($BM$9,DT54+0,0,1,1))*OFFSET($CI$9,DT54+0,0,1,1))+OFFSET($BP$9,DT54+0,CQ54,1,1),IF(F54&lt;OFFSET($BN$9,DT54+1,0,1,1),((F54-OFFSET($BM$9,DT54+1,0,1,1))*OFFSET($CI$9,DT54+1,0,1,1))+OFFSET($BP$9,DT54+1,CQ54,1,1),IF(F54&lt;OFFSET($BN$9,DT54+2,0,1,1),((F54-OFFSET($BM$9,DT54+2,0,1,1))*OFFSET($CI$9,DT54+2,0,1,1))+OFFSET($BP$9,DT54+2,CQ54,1,1),IF(F54&lt;OFFSET($BN$9,DT54+3,0,1,1),((F54-OFFSET($BM$9,DT54+3,0,1,1))*OFFSET($CI$9,DT54+3,0,1,1))+OFFSET($BP$9,DT54+3,CQ54,1,1),0))))))</f>
        <v>0</v>
      </c>
      <c r="DX54" s="51">
        <f ca="1">IF($F54&lt;OFFSET($BM$9,$DT54-1,0,1,1),0,IF($F54&lt;OFFSET($BN$9,$DT54-1,0,1,1),IF(AND($H54&gt;2.4,Z54&lt;&gt;"e",Z54&lt;&gt;"f"),EB54*2.4/$H54,EB54),IF($F54&lt;OFFSET($BN$9,$DT54+0,0,1,1),IF(AND($H54&gt;2.4,Z54&lt;&gt;"e",Z54&lt;&gt;"f"),EB54*2.4/$H54,EB54),IF($F54&lt;OFFSET($BN$9,$DT54+1,0,1,1),IF(AND($H54&gt;2.4,Z54&lt;&gt;"e",Z54&lt;&gt;"f"),EB54*2.4/$H54,EB54),IF($F54&lt;OFFSET($BN$9,$DT54+2,0,1,1),IF(AND($H54&gt;2.4,Z54&lt;&gt;"e",Z54&lt;&gt;"f"),EB54*2.4/$H54,EB54),IF($F54&lt;OFFSET($BN$9,$DT54+3,0,1,1),IF(AND($H54&gt;2.4,Z54&lt;&gt;"e",Z54&lt;&gt;"f"),EB54*2.4/$H54,EB54),0)))))*COS(RADIANS($G54)))</f>
        <v>0</v>
      </c>
      <c r="DY54" s="188"/>
      <c r="DZ54" s="188">
        <f ca="1">IF(DU54&gt;$CR54,$CR54,DU54)</f>
        <v>0</v>
      </c>
      <c r="EA54" s="188"/>
      <c r="EB54" s="188">
        <f ca="1">IF(DW54&gt;$CR54,$CR54,DW54)</f>
        <v>0</v>
      </c>
      <c r="EC54" s="435">
        <f ca="1">IF(DV54&gt;$CR54,$CR54,DV54)</f>
        <v>0</v>
      </c>
      <c r="ED54" s="435">
        <f ca="1">EC54*F54</f>
        <v>0</v>
      </c>
      <c r="EE54" s="436">
        <f ca="1">IF(DX54&gt;$CR54,$CR54,DX54)</f>
        <v>0</v>
      </c>
      <c r="EF54" s="437">
        <f ca="1">EE54*F54</f>
        <v>0</v>
      </c>
      <c r="EG54" s="613" t="str">
        <f>IF(D54=BG$12,BG$12,"")</f>
        <v/>
      </c>
      <c r="EH54" s="614" t="str">
        <f>IF(D54=BG$13,BG$13,"")</f>
        <v/>
      </c>
      <c r="EI54" s="611">
        <f>IF(EG54=BG$12,M54,0)</f>
        <v>0</v>
      </c>
      <c r="EJ54" s="451">
        <f>IF(EG54=BG$12,O54,0)</f>
        <v>0</v>
      </c>
      <c r="EK54" s="451">
        <f>IF(EH54=BG$13,M54,0)</f>
        <v>0</v>
      </c>
      <c r="EL54" s="612">
        <f>IF(EH54=BG$13,O54,0)</f>
        <v>0</v>
      </c>
      <c r="EM54" s="426" t="str">
        <f ca="1">IF(AND(Z54&lt;&gt;"t",Z54&lt;&gt;"f"),"",IF(AND(EN54=$BH$13,K54=$BH$12),"NotOpt",IF(K54&lt;&gt;EN54,"Error","")))</f>
        <v/>
      </c>
      <c r="EN54" s="491" t="str">
        <f>IF(AND($BH$28=1,$BG$28=1),$BH$13,$BH$12)</f>
        <v>120 BU's</v>
      </c>
      <c r="EO54" s="426" t="str">
        <f>K54</f>
        <v xml:space="preserve"> </v>
      </c>
      <c r="EP54" s="497">
        <v>1</v>
      </c>
      <c r="EQ54" s="430" t="str">
        <f ca="1">IF(EP54=1," ",OFFSET(BF$15,EP54-2,0,1,1))</f>
        <v xml:space="preserve"> </v>
      </c>
      <c r="ER54" s="439" t="str">
        <f ca="1">IF(H54=0," ",H54)</f>
        <v xml:space="preserve"> </v>
      </c>
      <c r="ES54" s="440" t="str">
        <f ca="1">IF(ER54&lt;&gt;" ",IF(ER54&lt;&gt;ER$7,"Changed",""),"")</f>
        <v/>
      </c>
      <c r="ET54" s="440">
        <f t="shared" ca="1" si="15"/>
        <v>0</v>
      </c>
      <c r="EU54" s="957" t="str">
        <f ca="1">IF(I54=" "," ",IF(F54&lt;OFFSET($BM$9,CL54-1,0,1,1),1,""))</f>
        <v xml:space="preserve"> </v>
      </c>
      <c r="EW54" s="427"/>
      <c r="EX54"/>
    </row>
    <row r="55" spans="1:154" ht="17.100000000000001" customHeight="1" thickBot="1">
      <c r="A55" s="2685"/>
      <c r="B55" s="2686" t="s">
        <v>8</v>
      </c>
      <c r="C55" s="2687"/>
      <c r="D55" s="1461" t="s">
        <v>8</v>
      </c>
      <c r="E55" s="659"/>
      <c r="F55" s="659"/>
      <c r="G55" s="659"/>
      <c r="H55" s="659"/>
      <c r="I55" s="1462"/>
      <c r="J55" s="1365" t="str">
        <f ca="1">(CONCATENATE(B50,$BE$54))</f>
        <v>T  Line:  Min. Requirement</v>
      </c>
      <c r="K55" s="23"/>
      <c r="L55" s="1019">
        <f ca="1">L$5</f>
        <v>0</v>
      </c>
      <c r="M55" s="48">
        <f ca="1">IF(B50=B44,SUM(M50:M54)+M49,SUM(M50:M54))</f>
        <v>0</v>
      </c>
      <c r="N55" s="1019">
        <f ca="1">N$5</f>
        <v>0</v>
      </c>
      <c r="O55" s="125">
        <f ca="1">IF(B50=B44,SUM(O50:O54)+O49,SUM(O50:O54))</f>
        <v>0</v>
      </c>
      <c r="P55" s="139"/>
      <c r="Q55" s="42" t="str">
        <f ca="1">IF(B50=B56,"",IF(AND(M55&gt;0,L55=L$5,OR(M55&lt;$M$105,M55&lt;$BF$3)),"Achieved &lt; Min Req per Line",IF(AND(O55&gt;0,N55=N$5,OR(O55&lt;$O$105,O55&lt;$BF$3)),"Achieved &lt; Min Req per Line",IF(AND(M55&gt;0,L55&gt;M55),"More Required on this line",IF(AND(O55&gt;0,N55&gt;O55),"More Required on this line",IF(AND(L55&gt;0,L55&lt;$BF$3),$BE$59,IF(AND(N55&gt;0,N55&lt;$BF$3),$BE$59,"")))))))</f>
        <v/>
      </c>
      <c r="R55" s="52"/>
      <c r="S55" s="52"/>
      <c r="T55" s="52"/>
      <c r="U55" s="1378"/>
      <c r="V55" s="52"/>
      <c r="W55" s="898"/>
      <c r="X55" s="898"/>
      <c r="Y55" s="896"/>
      <c r="Z55" s="52"/>
      <c r="AA55" s="51"/>
      <c r="AB55" s="1364"/>
      <c r="AK55" s="63" t="str">
        <f>'Custom Elements'!B16</f>
        <v xml:space="preserve">  </v>
      </c>
      <c r="AL55" s="860" t="str">
        <f>'Custom Elements'!C16</f>
        <v>Custom8</v>
      </c>
      <c r="AM55" s="11">
        <f>'Custom Elements'!D16</f>
        <v>9.9999999999999996E-76</v>
      </c>
      <c r="AN55" s="7">
        <f>'Custom Elements'!E16</f>
        <v>0</v>
      </c>
      <c r="AO55" s="7">
        <f>'Custom Elements'!F16</f>
        <v>0</v>
      </c>
      <c r="AP55" s="762" t="str">
        <f>'Custom Elements'!G16</f>
        <v>B</v>
      </c>
      <c r="AQ55" s="1777" t="str">
        <f>'Custom Elements'!H16</f>
        <v>Single</v>
      </c>
      <c r="AR55" s="1775" t="str">
        <f>'Custom Elements'!I16</f>
        <v>Yes</v>
      </c>
      <c r="AS55" s="442" t="str">
        <f>'Custom Elements'!J16</f>
        <v>Yes</v>
      </c>
      <c r="AT55" s="1150"/>
      <c r="AU55" s="1150"/>
      <c r="AZ55" s="442" t="str">
        <f>IF(AND('Custom Elements'!J16="Yes",'Custom Elements'!I16="Yes"),"T",IF('Custom Elements'!J16="Yes","F",IF('Custom Elements'!I16="Yes","H","E")))</f>
        <v>T</v>
      </c>
      <c r="BD55" s="638"/>
      <c r="BE55" s="1020"/>
      <c r="BF55" s="1020"/>
      <c r="BG55" s="1020"/>
      <c r="BH55" s="479"/>
      <c r="BI55" s="759"/>
      <c r="BJ55" s="897">
        <f t="shared" si="28"/>
        <v>47</v>
      </c>
      <c r="BK55" s="1213"/>
      <c r="BL55" s="1214"/>
      <c r="BM55" s="1215"/>
      <c r="BN55" s="1215"/>
      <c r="BO55" s="1215"/>
      <c r="BP55" s="1215"/>
      <c r="BQ55" s="1216"/>
      <c r="BR55" s="1215"/>
      <c r="BS55" s="1215"/>
      <c r="BT55" s="1215"/>
      <c r="BU55" s="1215"/>
      <c r="BV55" s="1216"/>
      <c r="BW55" s="1217"/>
      <c r="BX55" s="1215"/>
      <c r="BY55" s="1216"/>
      <c r="BZ55" s="1216"/>
      <c r="CA55" s="1216"/>
      <c r="CB55" s="1216"/>
      <c r="CC55" s="1216"/>
      <c r="CD55" s="1216"/>
      <c r="CE55" s="1216"/>
      <c r="CF55" s="1216"/>
      <c r="CG55" s="1216"/>
      <c r="CH55" s="1215"/>
      <c r="CI55" s="1218"/>
      <c r="CJ55" s="759"/>
      <c r="CK55" s="188"/>
      <c r="CL55" s="979"/>
      <c r="CN55" s="497"/>
      <c r="CO55" s="497" t="s">
        <v>8</v>
      </c>
      <c r="CQ55" s="51" t="s">
        <v>8</v>
      </c>
      <c r="CR55" s="51" t="s">
        <v>8</v>
      </c>
      <c r="CS55" s="51" t="s">
        <v>8</v>
      </c>
      <c r="CT55" s="51" t="s">
        <v>8</v>
      </c>
      <c r="CU55" s="51" t="s">
        <v>8</v>
      </c>
      <c r="CV55" s="51" t="s">
        <v>8</v>
      </c>
      <c r="CW55" s="51" t="s">
        <v>8</v>
      </c>
      <c r="CX55" s="51" t="s">
        <v>8</v>
      </c>
      <c r="CY55" s="51" t="s">
        <v>8</v>
      </c>
      <c r="CZ55" s="51" t="s">
        <v>8</v>
      </c>
      <c r="DA55" s="51" t="s">
        <v>8</v>
      </c>
      <c r="DD55" s="758"/>
      <c r="DF55" s="52"/>
      <c r="DG55" s="51" t="s">
        <v>8</v>
      </c>
      <c r="DH55" s="51"/>
      <c r="DI55" s="51" t="s">
        <v>8</v>
      </c>
      <c r="DJ55" s="51"/>
      <c r="DK55" s="51"/>
      <c r="DL55" s="51" t="s">
        <v>8</v>
      </c>
      <c r="DM55" s="51"/>
      <c r="DN55" s="51" t="s">
        <v>8</v>
      </c>
      <c r="DO55" s="435" t="s">
        <v>8</v>
      </c>
      <c r="DP55" s="435"/>
      <c r="DQ55" s="868" t="s">
        <v>8</v>
      </c>
      <c r="DR55" s="868"/>
      <c r="DS55" s="426" t="s">
        <v>8</v>
      </c>
      <c r="DT55" s="451" t="s">
        <v>8</v>
      </c>
      <c r="DU55" s="188" t="s">
        <v>8</v>
      </c>
      <c r="DV55" s="188" t="s">
        <v>8</v>
      </c>
      <c r="DW55" s="188" t="s">
        <v>8</v>
      </c>
      <c r="DX55" s="188" t="s">
        <v>8</v>
      </c>
      <c r="DY55" s="188"/>
      <c r="DZ55" s="188" t="s">
        <v>8</v>
      </c>
      <c r="EA55" s="188" t="s">
        <v>8</v>
      </c>
      <c r="EB55" s="188" t="s">
        <v>8</v>
      </c>
      <c r="EC55" s="435" t="s">
        <v>8</v>
      </c>
      <c r="ED55" s="435" t="s">
        <v>8</v>
      </c>
      <c r="EE55" s="868" t="s">
        <v>8</v>
      </c>
      <c r="EF55" s="867" t="s">
        <v>8</v>
      </c>
      <c r="EG55" s="613"/>
      <c r="EH55" s="614"/>
      <c r="EI55" s="613"/>
      <c r="EJ55" s="435"/>
      <c r="EK55" s="451"/>
      <c r="EL55" s="612"/>
      <c r="EN55" s="947"/>
      <c r="ER55" s="441"/>
      <c r="ES55" s="440"/>
      <c r="ET55" s="440"/>
      <c r="EU55" s="957"/>
      <c r="EW55" s="427"/>
      <c r="EX55"/>
    </row>
    <row r="56" spans="1:154" ht="17.100000000000001" customHeight="1" thickBot="1">
      <c r="A56" s="2685"/>
      <c r="B56" s="1369" t="str">
        <f ca="1">S56</f>
        <v>U</v>
      </c>
      <c r="C56" s="684" t="str">
        <f>IF(OR(F56=0,I56="",I56=" ")," ",$V56)</f>
        <v xml:space="preserve"> </v>
      </c>
      <c r="D56" s="1033"/>
      <c r="E56" s="1360" t="s">
        <v>8</v>
      </c>
      <c r="F56" s="202"/>
      <c r="G56" s="1416"/>
      <c r="H56" s="199" t="str">
        <f ca="1">IF(OR(F56=0,Z56="E",Z56="f")," ",'Project Demand'!E$35)</f>
        <v xml:space="preserve"> </v>
      </c>
      <c r="I56" s="631" t="str">
        <f>IF($I$6&lt;&gt;$BG$8," ",AB56)</f>
        <v xml:space="preserve"> </v>
      </c>
      <c r="J56" s="43" t="str">
        <f ca="1">IF(OR(I56=" ",I56="")," ",OFFSET($BO$9,CL56-1,0-4,1,1))</f>
        <v xml:space="preserve"> </v>
      </c>
      <c r="K56" s="55" t="str">
        <f>IF(OR(I56=" ",I56="")," ",IF(OR(Z56="e",Z56="h"),"SD",BG$24))</f>
        <v xml:space="preserve"> </v>
      </c>
      <c r="L56" s="49">
        <f ca="1">CW56</f>
        <v>0</v>
      </c>
      <c r="M56" s="49">
        <f ca="1">CY56</f>
        <v>0</v>
      </c>
      <c r="N56" s="50">
        <f t="shared" ref="N56:O60" ca="1" si="32">DA56</f>
        <v>0</v>
      </c>
      <c r="O56" s="126">
        <f t="shared" ca="1" si="32"/>
        <v>0</v>
      </c>
      <c r="P56" s="140"/>
      <c r="Q56" s="752" t="str">
        <f ca="1">IF(AND(OR(Z56="t",Z56="f"),K56=$BH$11),"No Floor!  Change Floor Type",IF(OR(I56=" ",I56="")," ",IF(F56&lt;OFFSET($BM$9,CL56-1,0,1,1),"check L(m)",DE56&amp;IF(AND(DP56&gt;=CY56,DR56&gt;=DB56),IF(AND(ED56&gt;=DP56,EF56&gt;=DR56),CONCATENATE(DS56," will provide same result"),CONCATENATE(CO56," will provide same result")),IF((DP56&gt;=CY56),CONCATENATE(CO56," provides same result in WIND"),IF((DR56&gt;=DB56),CONCATENATE(CO56," provides same result in EQ"),""))))))&amp;IF(ISERROR(FIND("pile",I56,1)),"",IF(INT(F56)&lt;&gt;F56,"Pile!  Use Whole Numbers Only",""))</f>
        <v xml:space="preserve"> </v>
      </c>
      <c r="R56" s="52">
        <f ca="1">IF(T50&lt;&gt;2,(COLUMN(INDIRECT(B50&amp;1))+1),U56)</f>
        <v>21</v>
      </c>
      <c r="S56" s="1372" t="str">
        <f ca="1">SUBSTITUTE(ADDRESS(1,R56,4),"1","")</f>
        <v>U</v>
      </c>
      <c r="T56" s="451">
        <f ca="1">IF(AND(ISTEXT(B56),SUBSTITUTE(SUBSTITUTE(SUBSTITUTE(SUBSTITUTE(SUBSTITUTE(SUBSTITUTE(SUBSTITUTE(SUBSTITUTE(SUBSTITUTE(SUBSTITUTE(SUBSTITUTE(SUBSTITUTE(SUBSTITUTE(SUBSTITUTE(SUBSTITUTE(SUBSTITUTE(SUBSTITUTE(SUBSTITUTE(SUBSTITUTE(SUBSTITUTE(SUBSTITUTE(SUBSTITUTE(SUBSTITUTE(SUBSTITUTE(SUBSTITUTE(SUBSTITUTE(LOWER(B56),"a",),"b",),"c",),"d",),"e",),"f",),"g",),"h",),"i",),"j",),"k",),"l",),"m",),"n",),"o",),"p",),"q",),"r",),"s",),"t",),"u",),"v",),"w",),"x",),"y",),"z",)=""),1,2)</f>
        <v>1</v>
      </c>
      <c r="U56" s="1377">
        <v>21</v>
      </c>
      <c r="V56" s="52" t="str">
        <f ca="1">IF(AND(B$5=$BF$9,OR(I56=BH$16,I56=BH$17))," ",IF(ISNUMBER(B$56),(CONCATENATE(B$56,".",W56)),(CONCATENATE(B$56,W56))))</f>
        <v>U0</v>
      </c>
      <c r="W56" s="9">
        <f ca="1">IF(B50=B56,W54+X56,X56)</f>
        <v>0</v>
      </c>
      <c r="X56" s="9">
        <f>IF(AND(B$5=$BF$9,OR($I56=$BH$16,$I56=$BH$17,$I56=" ",$I56="",$F56=0)),0,IF(OR($I56=" ",$I56="",$F56=0),0,1))</f>
        <v>0</v>
      </c>
      <c r="Y56" s="896">
        <f ca="1">IF(AND(M61&gt;0,B56&lt;&gt;B62),1,0)</f>
        <v>0</v>
      </c>
      <c r="Z56" s="52" t="str">
        <f ca="1">IF(I56=" "," ",OFFSET($BM$9,$CL56-1,8,1,1))</f>
        <v xml:space="preserve"> </v>
      </c>
      <c r="AA56" s="51" t="str">
        <f>IF(G56&gt;=45,"WA","")</f>
        <v/>
      </c>
      <c r="AB56" s="1364" t="str">
        <f>IF(F56&lt;&gt;"",IF(OR(D56=$BG$12,D56=$BG$13),IF(E56&lt;&gt;$BG$17,$BF$12,$BF$13),IF(E56&lt;&gt;$BG$17,$BF$12,$BF$13))," ")</f>
        <v xml:space="preserve"> </v>
      </c>
      <c r="AC56" s="1"/>
      <c r="AK56" s="63" t="str">
        <f>'Custom Elements'!B17</f>
        <v xml:space="preserve">  </v>
      </c>
      <c r="AL56" s="860" t="str">
        <f>'Custom Elements'!C17</f>
        <v>Custom9</v>
      </c>
      <c r="AM56" s="11">
        <f>'Custom Elements'!D17</f>
        <v>9.9999999999999996E-76</v>
      </c>
      <c r="AN56" s="7">
        <f>'Custom Elements'!E17</f>
        <v>0</v>
      </c>
      <c r="AO56" s="7">
        <f>'Custom Elements'!F17</f>
        <v>0</v>
      </c>
      <c r="AP56" s="762" t="str">
        <f>'Custom Elements'!G17</f>
        <v>B</v>
      </c>
      <c r="AQ56" s="1777" t="str">
        <f>'Custom Elements'!H17</f>
        <v>Single</v>
      </c>
      <c r="AR56" s="1775" t="str">
        <f>'Custom Elements'!I17</f>
        <v>Yes</v>
      </c>
      <c r="AS56" s="442" t="str">
        <f>'Custom Elements'!J17</f>
        <v>Yes</v>
      </c>
      <c r="AT56" s="1150"/>
      <c r="AU56" s="1150"/>
      <c r="AZ56" s="442" t="str">
        <f>IF(AND('Custom Elements'!J17="Yes",'Custom Elements'!I17="Yes"),"T",IF('Custom Elements'!J17="Yes","F",IF('Custom Elements'!I17="Yes","H","E")))</f>
        <v>T</v>
      </c>
      <c r="BD56" s="638"/>
      <c r="BE56" s="1020"/>
      <c r="BF56" s="1020"/>
      <c r="BG56" s="1020"/>
      <c r="BH56" s="479"/>
      <c r="BI56" s="759"/>
      <c r="BJ56" s="897">
        <f t="shared" si="28"/>
        <v>48</v>
      </c>
      <c r="BK56" s="768" t="str">
        <f>BK50</f>
        <v xml:space="preserve">EPB </v>
      </c>
      <c r="BL56" s="765" t="str">
        <f>Table!C10</f>
        <v>ESSN</v>
      </c>
      <c r="BM56" s="454">
        <f>Table!D10</f>
        <v>0.4</v>
      </c>
      <c r="BN56" s="454">
        <f>BM57</f>
        <v>0.6</v>
      </c>
      <c r="BO56" s="454">
        <f>Table!E10</f>
        <v>79</v>
      </c>
      <c r="BP56" s="924">
        <f>Table!F10</f>
        <v>74</v>
      </c>
      <c r="BQ56" s="920"/>
      <c r="BR56" s="768" t="str">
        <f>Table!G10</f>
        <v>ES-N</v>
      </c>
      <c r="BS56" s="454" t="str">
        <f>Table!G11</f>
        <v>ES-N</v>
      </c>
      <c r="BT56" s="454" t="str">
        <f>Table!H10</f>
        <v>I</v>
      </c>
      <c r="BU56" s="924" t="s">
        <v>242</v>
      </c>
      <c r="BV56" s="1230" t="str">
        <f>Table!AI78</f>
        <v>ESSN</v>
      </c>
      <c r="BW56" s="1229">
        <f>BJ56</f>
        <v>48</v>
      </c>
      <c r="BX56" s="924" t="str">
        <f>Table!H11</f>
        <v>Double</v>
      </c>
      <c r="CH56" s="768">
        <f>IF(BN56=999,0,(BO57-BO56)/(BN56-BM56))</f>
        <v>55.000000000000014</v>
      </c>
      <c r="CI56" s="924">
        <f>IF(BN56=999,0,(BP57-BP56)/(BN56-BM56))</f>
        <v>45.000000000000007</v>
      </c>
      <c r="CJ56" s="759"/>
      <c r="CK56" s="188"/>
      <c r="CL56" s="979">
        <f>VLOOKUP(I56,Prodlink,2,0)</f>
        <v>0</v>
      </c>
      <c r="CN56" s="497">
        <f ca="1">VLOOKUP(CO56,Prodlink,2,0)</f>
        <v>0</v>
      </c>
      <c r="CO56" s="497">
        <f ca="1">OFFSET($CH$9,CL56-1,-15,1,1)</f>
        <v>0</v>
      </c>
      <c r="CQ56" s="51">
        <v>0</v>
      </c>
      <c r="CR56" s="51">
        <f>IF(K56=$BH$12,$BH$23,IF(K56=$BH$13,$BH$24,10000))</f>
        <v>10000</v>
      </c>
      <c r="CS56" s="51">
        <f ca="1">IF(F56&lt;OFFSET($BM$9,CL56-1,0,1,1),0,IF(F56&lt;OFFSET($BN$9,CL56-1,0,1,1),((F56-OFFSET($BM$9,CL56-1,0,1,1))*OFFSET($CH$9,CL56-1,0,1,1))+OFFSET($BO$9,CL56-1,CQ56,1,1),IF(F56&lt;OFFSET($BN$9,CL56+0,0,1,1),((F56-OFFSET($BM$9,CL56+0,0,1,1))*OFFSET($CH$9,CL56+0,0,1,1))+OFFSET($BO$9,CL56+0,CQ56,1,1),IF(F56&lt;OFFSET($BN$9,CL56+1,0,1,1),((F56-OFFSET($BM$9,CL56+1,0,1,1))*OFFSET($CH$9,CL56+1,0,1,1))+OFFSET($BO$9,CL56+1,CQ56,1,1),IF(F56&lt;OFFSET($BN$9,CL56+2,0,1,1),((F56-OFFSET($BM$9,CL56+2,0,1,1))*OFFSET($CH$9,CL56+2,0,1,1))+OFFSET($BO$9,CL56+2,CQ56,1,1),IF(F56&lt;OFFSET($BN$9,CL56+3,0,1,1),((F56-OFFSET($BM$9,CL56+3,0,1,1))*OFFSET($CH$9,CL56+3,0,1,1))+OFFSET($BO$9,CL56+3,CQ56,1,1),0))))))</f>
        <v>0</v>
      </c>
      <c r="CT56" s="51">
        <f ca="1">IF($F56&lt;OFFSET($BM$9,$CL56-1,0,1,1),0,IF($F56&lt;OFFSET($BN$9,$CL56-1,0,1,1),IF(AND($H56&gt;2.4,Z56&lt;&gt;"e",Z56&lt;&gt;"f"),CX56*2.4/$H56,CX56),IF($F56&lt;OFFSET($BN$9,$CL56+0,0,1,1),IF(AND($H56&gt;2.4,Z56&lt;&gt;"e",Z56&lt;&gt;"f"),CX56*2.4/$H56,CX56),IF($F56&lt;OFFSET($BN$9,$CL56+1,0,1,1),IF(AND($H56&gt;2.4,Z56&lt;&gt;"e",Z56&lt;&gt;"f"),CX56*2.4/$H56,CX56),IF($F56&lt;OFFSET($BN$9,CL56+2,0,1,1),IF(AND($H56&gt;2.4,Z56&lt;&gt;"e",Z56&lt;&gt;"f"),CX56*2.4/$H56,CX56),IF($F56&lt;OFFSET($BN$9,CL56+3,0,1,1),IF(AND($H56&gt;2.4,Z56&lt;&gt;"e",Z56&lt;&gt;"f"),CX56*2.4/$H56,CX56),0)))))*COS(RADIANS($G56)))</f>
        <v>0</v>
      </c>
      <c r="CU56" s="51">
        <f ca="1">IF(F56&lt;OFFSET($BM$9,CL56-1,0,1,1),0,IF(F56&lt;OFFSET($BN$9,CL56-1,0,1,1),((F56-OFFSET($BM$9,CL56-1,0,1,1))*OFFSET($CI$9,CL56-1,0,1,1))+OFFSET($BP$9,CL56-1,CQ56,1,1),IF(F56&lt;OFFSET($BN$9,CL56+0,0,1,1),((F56-OFFSET($BM$9,CL56+0,0,1,1))*OFFSET($CI$9,CL56+0,0,1,1))+OFFSET($BP$9,CL56+0,CQ56,1,1),IF(F56&lt;OFFSET($BN$9,CL56+1,0,1,1),((F56-OFFSET($BM$9,CL56+1,0,1,1))*OFFSET($CI$9,CL56+1,0,1,1))+OFFSET($BP$9,CL56+1,CQ56,1,1),IF(F56&lt;OFFSET($BN$9,CL56+2,0,1,1),((F56-OFFSET($BM$9,CL56+2,0,1,1))*OFFSET($CI$9,CL56+2,0,1,1))+OFFSET($BP$9,CL56+2,CQ56,1,1),IF(F56&lt;OFFSET($BN$9,CL56+3,0,1,1),((F56-OFFSET($BM$9,CL56+3,0,1,1))*OFFSET($CI$9,CL56+3,0,1,1))+OFFSET($BP$9,CL56+3,CQ56,1,1),0))))))</f>
        <v>0</v>
      </c>
      <c r="CV56" s="51">
        <f ca="1">IF($F56&lt;OFFSET($BM$9,$CL56-1,0,1,1),0,IF($F56&lt;OFFSET($BN$9,$CL56-1,0,1,1),IF(AND($H56&gt;2.4,Z56&lt;&gt;"e",Z56&lt;&gt;"f"),CZ56*2.4/$H56,CZ56),IF($F56&lt;OFFSET($BN$9,$CL56+0,0,1,1),IF(AND($H56&gt;2.4,Z56&lt;&gt;"e",Z56&lt;&gt;"f"),CZ56*2.4/$H56,CZ56),IF($F56&lt;OFFSET($BN$9,$CL56+1,0,1,1),IF(AND($H56&gt;2.4,Z56&lt;&gt;"e",Z56&lt;&gt;"f"),CZ56*2.4/$H56,CZ56),IF($F56&lt;OFFSET($BN$9,$CL56+2,0,1,1),IF(AND($H56&gt;2.4,Z56&lt;&gt;"e",Z56&lt;&gt;"f"),CZ56*2.4/$H56,CZ56),IF($F56&lt;OFFSET($BN$9,$CL56+3,0,1,1),IF(AND($H56&gt;2.4,Z56&lt;&gt;"e",Z56&lt;&gt;"f"),CZ56*2.4/$H56,CZ56),0)))))*COS(RADIANS($G56)))</f>
        <v>0</v>
      </c>
      <c r="CW56" s="51">
        <f ca="1">IF(CT56&gt;CR56,CR56,CT56)</f>
        <v>0</v>
      </c>
      <c r="CX56" s="51">
        <f ca="1">IF(CS56&gt;$CR56,$CR56,CS56)</f>
        <v>0</v>
      </c>
      <c r="CY56" s="51">
        <f ca="1">CW56*F56</f>
        <v>0</v>
      </c>
      <c r="CZ56" s="51">
        <f ca="1">IF($CU56&gt;$CR56,$CR56,$CU56)</f>
        <v>0</v>
      </c>
      <c r="DA56" s="51">
        <f ca="1">IF(CV56&gt;CR56,CR56,CV56)</f>
        <v>0</v>
      </c>
      <c r="DB56" s="51">
        <f ca="1">DA56*F56</f>
        <v>0</v>
      </c>
      <c r="DC56" s="993">
        <v>1</v>
      </c>
      <c r="DD56" s="758" t="str">
        <f>IF(OR(D56=BG$12,D56=BG$13),"External",IF(D56=BG$14,"Internal"," "))</f>
        <v xml:space="preserve"> </v>
      </c>
      <c r="DE56" s="51" t="str">
        <f t="shared" ca="1" si="2"/>
        <v/>
      </c>
      <c r="DF56" s="52" t="str">
        <f t="shared" ca="1" si="3"/>
        <v xml:space="preserve"> </v>
      </c>
      <c r="DG56" s="51">
        <f ca="1">IF(F56&lt;OFFSET($BM$9,CN56-1,0,1,1),0,IF(F56&lt;OFFSET($BN$9,CN56-1,0,1,1),((F56-OFFSET($BM$9,CN56-1,0,1,1))*OFFSET($CH$9,CN56-1,0,1,1))+OFFSET($BO$9,CN56-1,CQ56,1,1),IF(F56&lt;OFFSET($BN$9,CN56+0,0,1,1),((F56-OFFSET($BM$9,CN56+0,0,1,1))*OFFSET($CH$9,CN56+0,0,1,1))+OFFSET($BO$9,CN56+0,CQ56,1,1),IF(F56&lt;OFFSET($BN$9,CN56+1,0,1,1),((F56-OFFSET($BM$9,CN56+1,0,1,1))*OFFSET($CH$9,CN56+1,0,1,1))+OFFSET($BO$9,CN56+1,CQ56,1,1),IF(F56&lt;OFFSET($BN$9,CN56+2,0,1,1),((F56-OFFSET($BM$9,CN56+2,0,1,1))*OFFSET($CH$9,CN56+2,0,1,1))+OFFSET($BO$9,CN56+2,CQ56,1,1),IF(F56&lt;OFFSET($BN$9,CN56+3,0,1,1),((F56-OFFSET($BM$9,CN56+3,0,1,1))*OFFSET($CH$9,CN56+3,0,1,1))+OFFSET($BO$9,CN56+3,CQ56,1,1),0))))))</f>
        <v>0</v>
      </c>
      <c r="DH56" s="51">
        <f ca="1">IF($F56&lt;OFFSET($BM$9,$CN56-1,0,1,1),0,IF($F56&lt;OFFSET($BN$9,$CN56-1,0,1,1),IF(AND($H56&gt;2.4,Z56&lt;&gt;"e",Z56&lt;&gt;"f"),DL56*2.4/$H56,DL56),IF($F56&lt;OFFSET($BN$9,$CN56+0,0,1,1),IF(AND($H56&gt;2.4,Z56&lt;&gt;"e",Z56&lt;&gt;"f"),DL56*2.4/$H56,DL56),IF($F56&lt;OFFSET($BN$9,$CN56+1,0,1,1),IF(AND($H56&gt;2.4,Z56&lt;&gt;"e",Z56&lt;&gt;"f"),DL56*2.4/$H56,DL56),IF($F56&lt;OFFSET($BN$9,$CN56+2,0,1,1),IF(AND($H56&gt;2.4,Z56&lt;&gt;"e",Z56&lt;&gt;"f"),DL56*2.4/$H56,DL56),IF($F56&lt;OFFSET($BN$9,$CN56+3,0,1,1),IF(AND($H56&gt;2.4,Z56&lt;&gt;"e",Z56&lt;&gt;"f"),DL56*2.4/$H56,DL56),0)))))*COS(RADIANS($G56)))</f>
        <v>0</v>
      </c>
      <c r="DI56" s="51">
        <f ca="1">IF(F56&lt;OFFSET($BM$9,CN56-1,0,1,1),0,IF(F56&lt;OFFSET($BN$9,CN56-1,0,1,1),((F56-OFFSET($BM$9,CN56-1,0,1,1))*OFFSET($CI$9,CN56-1,0,1,1))+OFFSET($BP$9,CN56-1,CQ56,1,1),IF(F56&lt;OFFSET($BN$9,CN56+0,0,1,1),((F56-OFFSET($BM$9,CN56+0,0,1,1))*OFFSET($CI$9,CN56+0,0,1,1))+OFFSET($BP$9,CN56+0,CQ56,1,1),IF(F56&lt;OFFSET($BN$9,CN56+1,0,1,1),((F56-OFFSET($BM$9,CN56+1,0,1,1))*OFFSET($CI$9,CN56+1,0,1,1))+OFFSET($BP$9,CN56+1,CQ56,1,1),IF(F56&lt;OFFSET($BN$9,CN56+2,0,1,1),((F56-OFFSET($BM$9,CN56+2,0,1,1))*OFFSET($CI$9,CN56+2,0,1,1))+OFFSET($BP$9,CN56+2,CQ56,1,1),IF(F56&lt;OFFSET($BN$9,CN56+3,0,1,1),((F56-OFFSET($BM$9,CN56+3,0,1,1))*OFFSET($CI$9,CN56+3,0,1,1))+OFFSET($BP$9,CN56+3,CQ56,1,1),0))))))</f>
        <v>0</v>
      </c>
      <c r="DJ56" s="51">
        <f ca="1">IF($F56&lt;OFFSET($BM$9,$CN56-1,0,1,1),0,IF($F56&lt;OFFSET($BN$9,$CN56-1,0,1,1),IF(AND($H56&gt;2.4,Z56&lt;&gt;"e",Z56&lt;&gt;"f"),DN56*2.4/$H56,DN56),IF($F56&lt;OFFSET($BN$9,$CN56+0,0,1,1),IF(AND($H56&gt;2.4,Z56&lt;&gt;"e",Z56&lt;&gt;"f"),DN56*2.4/$H56,DN56),IF($F56&lt;OFFSET($BN$9,$CN56+1,0,1,1),IF(AND($H56&gt;2.4,Z56&lt;&gt;"e",Z56&lt;&gt;"f"),DN56*2.4/$H56,DN56),IF($F56&lt;OFFSET($BN$9,$CN56+2,0,1,1),IF(AND($H56&gt;2.4,Z56&lt;&gt;"e",Z56&lt;&gt;"f"),DN56*2.4/$H56,DN56),IF($F56&lt;OFFSET($BN$9,$CN56+3,0,1,1),IF(AND($H56&gt;2.4,Z56&lt;&gt;"e",Z56&lt;&gt;"f"),DN56*2.4/$H56,DN56),0)))))*COS(RADIANS($G56)))</f>
        <v>0</v>
      </c>
      <c r="DK56" s="51"/>
      <c r="DL56" s="51">
        <f ca="1">IF(DG56&gt;$CR56,$CR56,DG56)</f>
        <v>0</v>
      </c>
      <c r="DM56" s="51"/>
      <c r="DN56" s="51">
        <f ca="1">IF(DI56&gt;$CR56,$CR56,DI56)</f>
        <v>0</v>
      </c>
      <c r="DO56" s="435">
        <f ca="1">IF(DH56&gt;$CR56,$CR56,DH56)</f>
        <v>0</v>
      </c>
      <c r="DP56" s="435">
        <f ca="1">DO56*F56</f>
        <v>0</v>
      </c>
      <c r="DQ56" s="436">
        <f ca="1">IF(DJ56&gt;$CR56,$CR56,DJ56)</f>
        <v>0</v>
      </c>
      <c r="DR56" s="437">
        <f ca="1">DQ56*F56</f>
        <v>0</v>
      </c>
      <c r="DS56" s="426">
        <f ca="1">OFFSET($CH$9,CL56-1,-15,1,1)</f>
        <v>0</v>
      </c>
      <c r="DT56" s="451">
        <f t="shared" ca="1" si="27"/>
        <v>0</v>
      </c>
      <c r="DU56" s="188">
        <f ca="1">IF(F56&lt;OFFSET($BM$9,DT56-1,0,1,1),0,IF(F56&lt;OFFSET($BN$9,DT56-1,0,1,1),((F56-OFFSET($BM$9,DT56-1,0,1,1))*OFFSET($CH$9,DT56-1,0,1,1))+OFFSET($BO$9,DT56-1,CQ56,1,1),IF(F56&lt;OFFSET($BN$9,DT56+0,0,1,1),((F56-OFFSET($BM$9,DT56+0,0,1,1))*OFFSET($CH$9,DT56+0,0,1,1))+OFFSET($BO$9,DT56+0,CQ56,1,1),IF(F56&lt;OFFSET($BN$9,DT56+1,0,1,1),((F56-OFFSET($BM$9,DT56+1,0,1,1))*OFFSET($CH$9,DT56+1,0,1,1))+OFFSET($BO$9,DT56+1,CQ56,1,1),IF(F56&lt;OFFSET($BN$9,DT56+2,0,1,1),((F56-OFFSET($BM$9,DT56+2,0,1,1))*OFFSET($CH$9,DT56+2,0,1,1))+OFFSET($BO$9,DT56+2,CQ56,1,1),IF(F56&lt;OFFSET($BN$9,DT56+3,0,1,1),((F56-OFFSET($BM$9,DT56+3,0,1,1))*OFFSET($CH$9,DT56+3,0,1,1))+OFFSET($BO$9,DT56+3,CQ56,1,1),0))))))</f>
        <v>0</v>
      </c>
      <c r="DV56" s="51">
        <f ca="1">IF($F56&lt;OFFSET($BM$9,$DT56-1,0,1,1),0,IF($F56&lt;OFFSET($BN$9,$DT56-1,0,1,1),IF(AND($H56&gt;2.4,Z56&lt;&gt;"e",Z56&lt;&gt;"f"),DZ56*2.4/$H56,DZ56),IF($F56&lt;OFFSET($BN$9,$DT56+0,0,1,1),IF(AND($H56&gt;2.4,Z56&lt;&gt;"e",Z56&lt;&gt;"f"),DZ56*2.4/$H56,DZ56),IF($F56&lt;OFFSET($BN$9,$DT56+1,0,1,1),IF(AND($H56&gt;2.4,Z56&lt;&gt;"e",Z56&lt;&gt;"f"),DZ56*2.4/$H56,DZ56),IF($F56&lt;OFFSET($BN$9,$DT56+2,0,1,1),IF(AND($H56&gt;2.4,Z56&lt;&gt;"e",Z56&lt;&gt;"f"),DZ56*2.4/$H56,DZ56),IF($F56&lt;OFFSET($BN$9,$DT56+3,0,1,1),IF(AND($H56&gt;2.4,Z56&lt;&gt;"e",Z56&lt;&gt;"f"),DZ56*2.4/$H56,DZ56),0)))))*COS(RADIANS($G56)))</f>
        <v>0</v>
      </c>
      <c r="DW56" s="188">
        <f ca="1">IF(F56&lt;OFFSET($BM$9,DT56-1,0,1,1),0,IF(F56&lt;OFFSET($BN$9,DT56-1,0,1,1),((F56-OFFSET($BM$9,DT56-1,0,1,1))*OFFSET($CI$9,DT56-1,0,1,1))+OFFSET($BP$9,DT56-1,CQ56,1,1),IF(F56&lt;OFFSET($BN$9,DT56+0,0,1,1),((F56-OFFSET($BM$9,DT56+0,0,1,1))*OFFSET($CI$9,DT56+0,0,1,1))+OFFSET($BP$9,DT56+0,CQ56,1,1),IF(F56&lt;OFFSET($BN$9,DT56+1,0,1,1),((F56-OFFSET($BM$9,DT56+1,0,1,1))*OFFSET($CI$9,DT56+1,0,1,1))+OFFSET($BP$9,DT56+1,CQ56,1,1),IF(F56&lt;OFFSET($BN$9,DT56+2,0,1,1),((F56-OFFSET($BM$9,DT56+2,0,1,1))*OFFSET($CI$9,DT56+2,0,1,1))+OFFSET($BP$9,DT56+2,CQ56,1,1),IF(F56&lt;OFFSET($BN$9,DT56+3,0,1,1),((F56-OFFSET($BM$9,DT56+3,0,1,1))*OFFSET($CI$9,DT56+3,0,1,1))+OFFSET($BP$9,DT56+3,CQ56,1,1),0))))))</f>
        <v>0</v>
      </c>
      <c r="DX56" s="51">
        <f ca="1">IF($F56&lt;OFFSET($BM$9,$DT56-1,0,1,1),0,IF($F56&lt;OFFSET($BN$9,$DT56-1,0,1,1),IF(AND($H56&gt;2.4,Z56&lt;&gt;"e",Z56&lt;&gt;"f"),EB56*2.4/$H56,EB56),IF($F56&lt;OFFSET($BN$9,$DT56+0,0,1,1),IF(AND($H56&gt;2.4,Z56&lt;&gt;"e",Z56&lt;&gt;"f"),EB56*2.4/$H56,EB56),IF($F56&lt;OFFSET($BN$9,$DT56+1,0,1,1),IF(AND($H56&gt;2.4,Z56&lt;&gt;"e",Z56&lt;&gt;"f"),EB56*2.4/$H56,EB56),IF($F56&lt;OFFSET($BN$9,$DT56+2,0,1,1),IF(AND($H56&gt;2.4,Z56&lt;&gt;"e",Z56&lt;&gt;"f"),EB56*2.4/$H56,EB56),IF($F56&lt;OFFSET($BN$9,$DT56+3,0,1,1),IF(AND($H56&gt;2.4,Z56&lt;&gt;"e",Z56&lt;&gt;"f"),EB56*2.4/$H56,EB56),0)))))*COS(RADIANS($G56)))</f>
        <v>0</v>
      </c>
      <c r="DY56" s="188"/>
      <c r="DZ56" s="188">
        <f ca="1">IF(DU56&gt;$CR56,$CR56,DU56)</f>
        <v>0</v>
      </c>
      <c r="EA56" s="188"/>
      <c r="EB56" s="188">
        <f ca="1">IF(DW56&gt;$CR56,$CR56,DW56)</f>
        <v>0</v>
      </c>
      <c r="EC56" s="435">
        <f ca="1">IF(DV56&gt;$CR56,$CR56,DV56)</f>
        <v>0</v>
      </c>
      <c r="ED56" s="435">
        <f ca="1">EC56*F56</f>
        <v>0</v>
      </c>
      <c r="EE56" s="436">
        <f ca="1">IF(DX56&gt;$CR56,$CR56,DX56)</f>
        <v>0</v>
      </c>
      <c r="EF56" s="437">
        <f ca="1">EE56*F56</f>
        <v>0</v>
      </c>
      <c r="EG56" s="613" t="str">
        <f>IF(D56=BG$12,BG$12,"")</f>
        <v/>
      </c>
      <c r="EH56" s="614" t="str">
        <f>IF(D56=BG$13,BG$13,"")</f>
        <v/>
      </c>
      <c r="EI56" s="611">
        <f>IF(EG56=BG$12,M56,0)</f>
        <v>0</v>
      </c>
      <c r="EJ56" s="451">
        <f>IF(EG56=BG$12,O56,0)</f>
        <v>0</v>
      </c>
      <c r="EK56" s="451">
        <f>IF(EH56=BG$13,M56,0)</f>
        <v>0</v>
      </c>
      <c r="EL56" s="612">
        <f>IF(EH56=BG$13,O56,0)</f>
        <v>0</v>
      </c>
      <c r="EM56" s="426" t="str">
        <f ca="1">IF(AND(Z56&lt;&gt;"t",Z56&lt;&gt;"f"),"",IF(AND(EN56=$BH$13,K56=$BH$12),"NotOpt",IF(K56&lt;&gt;EN56,"Error","")))</f>
        <v/>
      </c>
      <c r="EN56" s="491" t="str">
        <f>IF(AND($BH$28=1,$BG$28=1),$BH$13,$BH$12)</f>
        <v>120 BU's</v>
      </c>
      <c r="EO56" s="426" t="str">
        <f>K56</f>
        <v xml:space="preserve"> </v>
      </c>
      <c r="EP56" s="497">
        <v>1</v>
      </c>
      <c r="EQ56" s="430" t="str">
        <f ca="1">IF(EP56=1," ",OFFSET(BF$15,EP56-2,0,1,1))</f>
        <v xml:space="preserve"> </v>
      </c>
      <c r="ER56" s="439" t="str">
        <f ca="1">IF(H56=0," ",H56)</f>
        <v xml:space="preserve"> </v>
      </c>
      <c r="ES56" s="440" t="str">
        <f ca="1">IF(ER56&lt;&gt;" ",IF(ER56&lt;&gt;ER$7,"Changed",""),"")</f>
        <v/>
      </c>
      <c r="ET56" s="440">
        <f t="shared" ca="1" si="15"/>
        <v>0</v>
      </c>
      <c r="EU56" s="957" t="str">
        <f ca="1">IF(I56=" "," ",IF(F56&lt;OFFSET($BM$9,CL56-1,0,1,1),1,""))</f>
        <v xml:space="preserve"> </v>
      </c>
      <c r="EW56" s="427"/>
      <c r="EX56"/>
    </row>
    <row r="57" spans="1:154" ht="17.100000000000001" customHeight="1">
      <c r="A57" s="2685"/>
      <c r="B57" s="689" t="s">
        <v>246</v>
      </c>
      <c r="C57" s="684" t="str">
        <f>IF(OR(F57=0,I57="",I57=" ")," ",$V57)</f>
        <v xml:space="preserve"> </v>
      </c>
      <c r="D57" s="1033"/>
      <c r="E57" s="1360" t="s">
        <v>8</v>
      </c>
      <c r="F57" s="202"/>
      <c r="G57" s="1416"/>
      <c r="H57" s="199" t="str">
        <f ca="1">IF(OR(F57=0,Z57="E",Z57="f")," ",'Project Demand'!E$35)</f>
        <v xml:space="preserve"> </v>
      </c>
      <c r="I57" s="631" t="str">
        <f>IF($I$6&lt;&gt;$BG$8," ",AB57)</f>
        <v xml:space="preserve"> </v>
      </c>
      <c r="J57" s="44" t="str">
        <f ca="1">IF(OR(I57=" ",I57="")," ",OFFSET($BO$9,CL57-1,0-4,1,1))</f>
        <v xml:space="preserve"> </v>
      </c>
      <c r="K57" s="55" t="str">
        <f>IF(OR(I57=" ",I57="")," ",IF(OR(Z57="e",Z57="h"),"SD",BG$24))</f>
        <v xml:space="preserve"> </v>
      </c>
      <c r="L57" s="49">
        <f ca="1">CW57</f>
        <v>0</v>
      </c>
      <c r="M57" s="49">
        <f ca="1">CY57</f>
        <v>0</v>
      </c>
      <c r="N57" s="50">
        <f t="shared" ca="1" si="32"/>
        <v>0</v>
      </c>
      <c r="O57" s="126">
        <f t="shared" ca="1" si="32"/>
        <v>0</v>
      </c>
      <c r="P57" s="140"/>
      <c r="Q57" s="752" t="str">
        <f ca="1">IF(AND(OR(Z57="t",Z57="f"),K57=$BH$11),"No Floor!  Change Floor Type",IF(OR(I57=" ",I57="")," ",IF(F57&lt;OFFSET($BM$9,CL57-1,0,1,1),"check L(m)",DE57&amp;IF(AND(DP57&gt;=CY57,DR57&gt;=DB57),IF(AND(ED57&gt;=DP57,EF57&gt;=DR57),CONCATENATE(DS57," will provide same result"),CONCATENATE(CO57," will provide same result")),IF((DP57&gt;=CY57),CONCATENATE(CO57," provides same result in WIND"),IF((DR57&gt;=DB57),CONCATENATE(CO57," provides same result in EQ"),""))))))&amp;IF(ISERROR(FIND("pile",I57,1)),"",IF(INT(F57)&lt;&gt;F57,"Pile!  Use Whole Numbers Only",""))</f>
        <v xml:space="preserve"> </v>
      </c>
      <c r="R57" s="52"/>
      <c r="S57" s="1372"/>
      <c r="T57" s="1372"/>
      <c r="U57" s="1377"/>
      <c r="V57" s="52" t="str">
        <f ca="1">IF(AND(B$5=$BF$9,OR(I57=BH$16,I57=BH$17))," ",IF(ISNUMBER(B$56),(CONCATENATE(B$56,".",W57)),(CONCATENATE(B$56,W57))))</f>
        <v>U0</v>
      </c>
      <c r="W57" s="9">
        <f ca="1">W56+X57</f>
        <v>0</v>
      </c>
      <c r="X57" s="9">
        <f>IF(AND(B$5=$BF$9,OR($I57=$BH$16,$I57=$BH$17,$I57=" ",$I57="",$F57=0)),0,IF(OR($I57=" ",$I57="",$F57=0),0,1))</f>
        <v>0</v>
      </c>
      <c r="Y57" s="896"/>
      <c r="Z57" s="52" t="str">
        <f ca="1">IF(I57=" "," ",OFFSET($BM$9,$CL57-1,8,1,1))</f>
        <v xml:space="preserve"> </v>
      </c>
      <c r="AA57" s="51" t="str">
        <f>IF(G57&gt;=45,"WA","")</f>
        <v/>
      </c>
      <c r="AB57" s="1364" t="str">
        <f>IF(F57&lt;&gt;"",IF(OR(D57=$BG$12,D57=$BG$13),IF(E57&lt;&gt;$BG$17,$BF$12,$BF$13),IF(E57&lt;&gt;$BG$17,$BF$12,$BF$13))," ")</f>
        <v xml:space="preserve"> </v>
      </c>
      <c r="AC57" s="1"/>
      <c r="AK57" s="63" t="str">
        <f>'Custom Elements'!B18</f>
        <v xml:space="preserve">  </v>
      </c>
      <c r="AL57" s="860" t="str">
        <f>'Custom Elements'!C18</f>
        <v>Custom10</v>
      </c>
      <c r="AM57" s="11">
        <f>'Custom Elements'!D18</f>
        <v>9.9999999999999996E-76</v>
      </c>
      <c r="AN57" s="7">
        <f>'Custom Elements'!E18</f>
        <v>0</v>
      </c>
      <c r="AO57" s="7">
        <f>'Custom Elements'!F18</f>
        <v>0</v>
      </c>
      <c r="AP57" s="762" t="str">
        <f>'Custom Elements'!G18</f>
        <v>B</v>
      </c>
      <c r="AQ57" s="1777" t="str">
        <f>'Custom Elements'!H18</f>
        <v>Single</v>
      </c>
      <c r="AR57" s="1775" t="str">
        <f>'Custom Elements'!I18</f>
        <v>Yes</v>
      </c>
      <c r="AS57" s="442" t="str">
        <f>'Custom Elements'!J18</f>
        <v>Yes</v>
      </c>
      <c r="AT57" s="1598"/>
      <c r="AU57" s="1155"/>
      <c r="AZ57" s="442" t="str">
        <f>IF(AND('Custom Elements'!J18="Yes",'Custom Elements'!I18="Yes"),"T",IF('Custom Elements'!J18="Yes","F",IF('Custom Elements'!I18="Yes","H","E")))</f>
        <v>T</v>
      </c>
      <c r="BD57" s="638"/>
      <c r="BE57" s="2715" t="s">
        <v>822</v>
      </c>
      <c r="BF57" s="2716"/>
      <c r="BG57" s="2716"/>
      <c r="BH57" s="479"/>
      <c r="BI57" s="759"/>
      <c r="BJ57" s="897">
        <f t="shared" si="28"/>
        <v>49</v>
      </c>
      <c r="BK57" s="764"/>
      <c r="BL57" s="766"/>
      <c r="BM57" s="455">
        <f>Table!D11</f>
        <v>0.6</v>
      </c>
      <c r="BN57" s="455">
        <f>BM58</f>
        <v>0.8</v>
      </c>
      <c r="BO57" s="455">
        <f>Table!E11</f>
        <v>90</v>
      </c>
      <c r="BP57" s="925">
        <f>Table!F11</f>
        <v>83</v>
      </c>
      <c r="BR57" s="764"/>
      <c r="BS57" s="455"/>
      <c r="BT57" s="455"/>
      <c r="BU57" s="925" t="s">
        <v>242</v>
      </c>
      <c r="BV57" s="895"/>
      <c r="BW57" s="912"/>
      <c r="BX57" s="925" t="str">
        <f>Table!H11</f>
        <v>Double</v>
      </c>
      <c r="CH57" s="764">
        <f>IF(BN57=999,0,(BO58-BO57)/(BN57-BM57))</f>
        <v>14.999999999999995</v>
      </c>
      <c r="CI57" s="925">
        <f>IF(BN57=999,0,(BP58-BP57)/(BN57-BM57))</f>
        <v>0</v>
      </c>
      <c r="CJ57" s="759"/>
      <c r="CK57" s="188"/>
      <c r="CL57" s="979">
        <f>VLOOKUP(I57,Prodlink,2,0)</f>
        <v>0</v>
      </c>
      <c r="CN57" s="497">
        <f ca="1">VLOOKUP(CO57,Prodlink,2,0)</f>
        <v>0</v>
      </c>
      <c r="CO57" s="497">
        <f ca="1">OFFSET($CH$9,CL57-1,-15,1,1)</f>
        <v>0</v>
      </c>
      <c r="CQ57" s="51">
        <v>0</v>
      </c>
      <c r="CR57" s="51">
        <f>IF(K57=$BH$12,$BH$23,IF(K57=$BH$13,$BH$24,10000))</f>
        <v>10000</v>
      </c>
      <c r="CS57" s="51">
        <f ca="1">IF(F57&lt;OFFSET($BM$9,CL57-1,0,1,1),0,IF(F57&lt;OFFSET($BN$9,CL57-1,0,1,1),((F57-OFFSET($BM$9,CL57-1,0,1,1))*OFFSET($CH$9,CL57-1,0,1,1))+OFFSET($BO$9,CL57-1,CQ57,1,1),IF(F57&lt;OFFSET($BN$9,CL57+0,0,1,1),((F57-OFFSET($BM$9,CL57+0,0,1,1))*OFFSET($CH$9,CL57+0,0,1,1))+OFFSET($BO$9,CL57+0,CQ57,1,1),IF(F57&lt;OFFSET($BN$9,CL57+1,0,1,1),((F57-OFFSET($BM$9,CL57+1,0,1,1))*OFFSET($CH$9,CL57+1,0,1,1))+OFFSET($BO$9,CL57+1,CQ57,1,1),IF(F57&lt;OFFSET($BN$9,CL57+2,0,1,1),((F57-OFFSET($BM$9,CL57+2,0,1,1))*OFFSET($CH$9,CL57+2,0,1,1))+OFFSET($BO$9,CL57+2,CQ57,1,1),IF(F57&lt;OFFSET($BN$9,CL57+3,0,1,1),((F57-OFFSET($BM$9,CL57+3,0,1,1))*OFFSET($CH$9,CL57+3,0,1,1))+OFFSET($BO$9,CL57+3,CQ57,1,1),0))))))</f>
        <v>0</v>
      </c>
      <c r="CT57" s="51">
        <f ca="1">IF($F57&lt;OFFSET($BM$9,$CL57-1,0,1,1),0,IF($F57&lt;OFFSET($BN$9,$CL57-1,0,1,1),IF(AND($H57&gt;2.4,Z57&lt;&gt;"e",Z57&lt;&gt;"f"),CX57*2.4/$H57,CX57),IF($F57&lt;OFFSET($BN$9,$CL57+0,0,1,1),IF(AND($H57&gt;2.4,Z57&lt;&gt;"e",Z57&lt;&gt;"f"),CX57*2.4/$H57,CX57),IF($F57&lt;OFFSET($BN$9,$CL57+1,0,1,1),IF(AND($H57&gt;2.4,Z57&lt;&gt;"e",Z57&lt;&gt;"f"),CX57*2.4/$H57,CX57),IF($F57&lt;OFFSET($BN$9,CL57+2,0,1,1),IF(AND($H57&gt;2.4,Z57&lt;&gt;"e",Z57&lt;&gt;"f"),CX57*2.4/$H57,CX57),IF($F57&lt;OFFSET($BN$9,CL57+3,0,1,1),IF(AND($H57&gt;2.4,Z57&lt;&gt;"e",Z57&lt;&gt;"f"),CX57*2.4/$H57,CX57),0)))))*COS(RADIANS($G57)))</f>
        <v>0</v>
      </c>
      <c r="CU57" s="51">
        <f ca="1">IF(F57&lt;OFFSET($BM$9,CL57-1,0,1,1),0,IF(F57&lt;OFFSET($BN$9,CL57-1,0,1,1),((F57-OFFSET($BM$9,CL57-1,0,1,1))*OFFSET($CI$9,CL57-1,0,1,1))+OFFSET($BP$9,CL57-1,CQ57,1,1),IF(F57&lt;OFFSET($BN$9,CL57+0,0,1,1),((F57-OFFSET($BM$9,CL57+0,0,1,1))*OFFSET($CI$9,CL57+0,0,1,1))+OFFSET($BP$9,CL57+0,CQ57,1,1),IF(F57&lt;OFFSET($BN$9,CL57+1,0,1,1),((F57-OFFSET($BM$9,CL57+1,0,1,1))*OFFSET($CI$9,CL57+1,0,1,1))+OFFSET($BP$9,CL57+1,CQ57,1,1),IF(F57&lt;OFFSET($BN$9,CL57+2,0,1,1),((F57-OFFSET($BM$9,CL57+2,0,1,1))*OFFSET($CI$9,CL57+2,0,1,1))+OFFSET($BP$9,CL57+2,CQ57,1,1),IF(F57&lt;OFFSET($BN$9,CL57+3,0,1,1),((F57-OFFSET($BM$9,CL57+3,0,1,1))*OFFSET($CI$9,CL57+3,0,1,1))+OFFSET($BP$9,CL57+3,CQ57,1,1),0))))))</f>
        <v>0</v>
      </c>
      <c r="CV57" s="51">
        <f ca="1">IF($F57&lt;OFFSET($BM$9,$CL57-1,0,1,1),0,IF($F57&lt;OFFSET($BN$9,$CL57-1,0,1,1),IF(AND($H57&gt;2.4,Z57&lt;&gt;"e",Z57&lt;&gt;"f"),CZ57*2.4/$H57,CZ57),IF($F57&lt;OFFSET($BN$9,$CL57+0,0,1,1),IF(AND($H57&gt;2.4,Z57&lt;&gt;"e",Z57&lt;&gt;"f"),CZ57*2.4/$H57,CZ57),IF($F57&lt;OFFSET($BN$9,$CL57+1,0,1,1),IF(AND($H57&gt;2.4,Z57&lt;&gt;"e",Z57&lt;&gt;"f"),CZ57*2.4/$H57,CZ57),IF($F57&lt;OFFSET($BN$9,$CL57+2,0,1,1),IF(AND($H57&gt;2.4,Z57&lt;&gt;"e",Z57&lt;&gt;"f"),CZ57*2.4/$H57,CZ57),IF($F57&lt;OFFSET($BN$9,$CL57+3,0,1,1),IF(AND($H57&gt;2.4,Z57&lt;&gt;"e",Z57&lt;&gt;"f"),CZ57*2.4/$H57,CZ57),0)))))*COS(RADIANS($G57)))</f>
        <v>0</v>
      </c>
      <c r="CW57" s="51">
        <f ca="1">IF(CT57&gt;CR57,CR57,CT57)</f>
        <v>0</v>
      </c>
      <c r="CX57" s="51">
        <f ca="1">IF(CS57&gt;$CR57,$CR57,CS57)</f>
        <v>0</v>
      </c>
      <c r="CY57" s="51">
        <f ca="1">CW57*F57</f>
        <v>0</v>
      </c>
      <c r="CZ57" s="51">
        <f ca="1">IF($CU57&gt;$CR57,$CR57,$CU57)</f>
        <v>0</v>
      </c>
      <c r="DA57" s="51">
        <f ca="1">IF(CV57&gt;CR57,CR57,CV57)</f>
        <v>0</v>
      </c>
      <c r="DB57" s="51">
        <f ca="1">DA57*F57</f>
        <v>0</v>
      </c>
      <c r="DC57" s="993">
        <v>1</v>
      </c>
      <c r="DD57" s="758" t="str">
        <f>IF(OR(D57=BG$12,D57=BG$13),"External",IF(D57=BG$14,"Internal"," "))</f>
        <v xml:space="preserve"> </v>
      </c>
      <c r="DE57" s="51" t="str">
        <f t="shared" ca="1" si="2"/>
        <v/>
      </c>
      <c r="DF57" s="52" t="str">
        <f t="shared" ca="1" si="3"/>
        <v xml:space="preserve"> </v>
      </c>
      <c r="DG57" s="51">
        <f ca="1">IF(F57&lt;OFFSET($BM$9,CN57-1,0,1,1),0,IF(F57&lt;OFFSET($BN$9,CN57-1,0,1,1),((F57-OFFSET($BM$9,CN57-1,0,1,1))*OFFSET($CH$9,CN57-1,0,1,1))+OFFSET($BO$9,CN57-1,CQ57,1,1),IF(F57&lt;OFFSET($BN$9,CN57+0,0,1,1),((F57-OFFSET($BM$9,CN57+0,0,1,1))*OFFSET($CH$9,CN57+0,0,1,1))+OFFSET($BO$9,CN57+0,CQ57,1,1),IF(F57&lt;OFFSET($BN$9,CN57+1,0,1,1),((F57-OFFSET($BM$9,CN57+1,0,1,1))*OFFSET($CH$9,CN57+1,0,1,1))+OFFSET($BO$9,CN57+1,CQ57,1,1),IF(F57&lt;OFFSET($BN$9,CN57+2,0,1,1),((F57-OFFSET($BM$9,CN57+2,0,1,1))*OFFSET($CH$9,CN57+2,0,1,1))+OFFSET($BO$9,CN57+2,CQ57,1,1),IF(F57&lt;OFFSET($BN$9,CN57+3,0,1,1),((F57-OFFSET($BM$9,CN57+3,0,1,1))*OFFSET($CH$9,CN57+3,0,1,1))+OFFSET($BO$9,CN57+3,CQ57,1,1),0))))))</f>
        <v>0</v>
      </c>
      <c r="DH57" s="51">
        <f ca="1">IF($F57&lt;OFFSET($BM$9,$CN57-1,0,1,1),0,IF($F57&lt;OFFSET($BN$9,$CN57-1,0,1,1),IF(AND($H57&gt;2.4,Z57&lt;&gt;"e",Z57&lt;&gt;"f"),DL57*2.4/$H57,DL57),IF($F57&lt;OFFSET($BN$9,$CN57+0,0,1,1),IF(AND($H57&gt;2.4,Z57&lt;&gt;"e",Z57&lt;&gt;"f"),DL57*2.4/$H57,DL57),IF($F57&lt;OFFSET($BN$9,$CN57+1,0,1,1),IF(AND($H57&gt;2.4,Z57&lt;&gt;"e",Z57&lt;&gt;"f"),DL57*2.4/$H57,DL57),IF($F57&lt;OFFSET($BN$9,$CN57+2,0,1,1),IF(AND($H57&gt;2.4,Z57&lt;&gt;"e",Z57&lt;&gt;"f"),DL57*2.4/$H57,DL57),IF($F57&lt;OFFSET($BN$9,$CN57+3,0,1,1),IF(AND($H57&gt;2.4,Z57&lt;&gt;"e",Z57&lt;&gt;"f"),DL57*2.4/$H57,DL57),0)))))*COS(RADIANS($G57)))</f>
        <v>0</v>
      </c>
      <c r="DI57" s="51">
        <f ca="1">IF(F57&lt;OFFSET($BM$9,CN57-1,0,1,1),0,IF(F57&lt;OFFSET($BN$9,CN57-1,0,1,1),((F57-OFFSET($BM$9,CN57-1,0,1,1))*OFFSET($CI$9,CN57-1,0,1,1))+OFFSET($BP$9,CN57-1,CQ57,1,1),IF(F57&lt;OFFSET($BN$9,CN57+0,0,1,1),((F57-OFFSET($BM$9,CN57+0,0,1,1))*OFFSET($CI$9,CN57+0,0,1,1))+OFFSET($BP$9,CN57+0,CQ57,1,1),IF(F57&lt;OFFSET($BN$9,CN57+1,0,1,1),((F57-OFFSET($BM$9,CN57+1,0,1,1))*OFFSET($CI$9,CN57+1,0,1,1))+OFFSET($BP$9,CN57+1,CQ57,1,1),IF(F57&lt;OFFSET($BN$9,CN57+2,0,1,1),((F57-OFFSET($BM$9,CN57+2,0,1,1))*OFFSET($CI$9,CN57+2,0,1,1))+OFFSET($BP$9,CN57+2,CQ57,1,1),IF(F57&lt;OFFSET($BN$9,CN57+3,0,1,1),((F57-OFFSET($BM$9,CN57+3,0,1,1))*OFFSET($CI$9,CN57+3,0,1,1))+OFFSET($BP$9,CN57+3,CQ57,1,1),0))))))</f>
        <v>0</v>
      </c>
      <c r="DJ57" s="51">
        <f ca="1">IF($F57&lt;OFFSET($BM$9,$CN57-1,0,1,1),0,IF($F57&lt;OFFSET($BN$9,$CN57-1,0,1,1),IF(AND($H57&gt;2.4,Z57&lt;&gt;"e",Z57&lt;&gt;"f"),DN57*2.4/$H57,DN57),IF($F57&lt;OFFSET($BN$9,$CN57+0,0,1,1),IF(AND($H57&gt;2.4,Z57&lt;&gt;"e",Z57&lt;&gt;"f"),DN57*2.4/$H57,DN57),IF($F57&lt;OFFSET($BN$9,$CN57+1,0,1,1),IF(AND($H57&gt;2.4,Z57&lt;&gt;"e",Z57&lt;&gt;"f"),DN57*2.4/$H57,DN57),IF($F57&lt;OFFSET($BN$9,$CN57+2,0,1,1),IF(AND($H57&gt;2.4,Z57&lt;&gt;"e",Z57&lt;&gt;"f"),DN57*2.4/$H57,DN57),IF($F57&lt;OFFSET($BN$9,$CN57+3,0,1,1),IF(AND($H57&gt;2.4,Z57&lt;&gt;"e",Z57&lt;&gt;"f"),DN57*2.4/$H57,DN57),0)))))*COS(RADIANS($G57)))</f>
        <v>0</v>
      </c>
      <c r="DK57" s="51"/>
      <c r="DL57" s="51">
        <f ca="1">IF(DG57&gt;$CR57,$CR57,DG57)</f>
        <v>0</v>
      </c>
      <c r="DM57" s="51"/>
      <c r="DN57" s="51">
        <f ca="1">IF(DI57&gt;$CR57,$CR57,DI57)</f>
        <v>0</v>
      </c>
      <c r="DO57" s="435">
        <f ca="1">IF(DH57&gt;$CR57,$CR57,DH57)</f>
        <v>0</v>
      </c>
      <c r="DP57" s="435">
        <f ca="1">DO57*F57</f>
        <v>0</v>
      </c>
      <c r="DQ57" s="436">
        <f ca="1">IF(DJ57&gt;$CR57,$CR57,DJ57)</f>
        <v>0</v>
      </c>
      <c r="DR57" s="437">
        <f ca="1">DQ57*F57</f>
        <v>0</v>
      </c>
      <c r="DS57" s="426">
        <f ca="1">OFFSET($CH$9,CL57-1,-15,1,1)</f>
        <v>0</v>
      </c>
      <c r="DT57" s="451">
        <f t="shared" ca="1" si="27"/>
        <v>0</v>
      </c>
      <c r="DU57" s="188">
        <f ca="1">IF(F57&lt;OFFSET($BM$9,DT57-1,0,1,1),0,IF(F57&lt;OFFSET($BN$9,DT57-1,0,1,1),((F57-OFFSET($BM$9,DT57-1,0,1,1))*OFFSET($CH$9,DT57-1,0,1,1))+OFFSET($BO$9,DT57-1,CQ57,1,1),IF(F57&lt;OFFSET($BN$9,DT57+0,0,1,1),((F57-OFFSET($BM$9,DT57+0,0,1,1))*OFFSET($CH$9,DT57+0,0,1,1))+OFFSET($BO$9,DT57+0,CQ57,1,1),IF(F57&lt;OFFSET($BN$9,DT57+1,0,1,1),((F57-OFFSET($BM$9,DT57+1,0,1,1))*OFFSET($CH$9,DT57+1,0,1,1))+OFFSET($BO$9,DT57+1,CQ57,1,1),IF(F57&lt;OFFSET($BN$9,DT57+2,0,1,1),((F57-OFFSET($BM$9,DT57+2,0,1,1))*OFFSET($CH$9,DT57+2,0,1,1))+OFFSET($BO$9,DT57+2,CQ57,1,1),IF(F57&lt;OFFSET($BN$9,DT57+3,0,1,1),((F57-OFFSET($BM$9,DT57+3,0,1,1))*OFFSET($CH$9,DT57+3,0,1,1))+OFFSET($BO$9,DT57+3,CQ57,1,1),0))))))</f>
        <v>0</v>
      </c>
      <c r="DV57" s="51">
        <f ca="1">IF($F57&lt;OFFSET($BM$9,$DT57-1,0,1,1),0,IF($F57&lt;OFFSET($BN$9,$DT57-1,0,1,1),IF(AND($H57&gt;2.4,Z57&lt;&gt;"e",Z57&lt;&gt;"f"),DZ57*2.4/$H57,DZ57),IF($F57&lt;OFFSET($BN$9,$DT57+0,0,1,1),IF(AND($H57&gt;2.4,Z57&lt;&gt;"e",Z57&lt;&gt;"f"),DZ57*2.4/$H57,DZ57),IF($F57&lt;OFFSET($BN$9,$DT57+1,0,1,1),IF(AND($H57&gt;2.4,Z57&lt;&gt;"e",Z57&lt;&gt;"f"),DZ57*2.4/$H57,DZ57),IF($F57&lt;OFFSET($BN$9,$DT57+2,0,1,1),IF(AND($H57&gt;2.4,Z57&lt;&gt;"e",Z57&lt;&gt;"f"),DZ57*2.4/$H57,DZ57),IF($F57&lt;OFFSET($BN$9,$DT57+3,0,1,1),IF(AND($H57&gt;2.4,Z57&lt;&gt;"e",Z57&lt;&gt;"f"),DZ57*2.4/$H57,DZ57),0)))))*COS(RADIANS($G57)))</f>
        <v>0</v>
      </c>
      <c r="DW57" s="188">
        <f ca="1">IF(F57&lt;OFFSET($BM$9,DT57-1,0,1,1),0,IF(F57&lt;OFFSET($BN$9,DT57-1,0,1,1),((F57-OFFSET($BM$9,DT57-1,0,1,1))*OFFSET($CI$9,DT57-1,0,1,1))+OFFSET($BP$9,DT57-1,CQ57,1,1),IF(F57&lt;OFFSET($BN$9,DT57+0,0,1,1),((F57-OFFSET($BM$9,DT57+0,0,1,1))*OFFSET($CI$9,DT57+0,0,1,1))+OFFSET($BP$9,DT57+0,CQ57,1,1),IF(F57&lt;OFFSET($BN$9,DT57+1,0,1,1),((F57-OFFSET($BM$9,DT57+1,0,1,1))*OFFSET($CI$9,DT57+1,0,1,1))+OFFSET($BP$9,DT57+1,CQ57,1,1),IF(F57&lt;OFFSET($BN$9,DT57+2,0,1,1),((F57-OFFSET($BM$9,DT57+2,0,1,1))*OFFSET($CI$9,DT57+2,0,1,1))+OFFSET($BP$9,DT57+2,CQ57,1,1),IF(F57&lt;OFFSET($BN$9,DT57+3,0,1,1),((F57-OFFSET($BM$9,DT57+3,0,1,1))*OFFSET($CI$9,DT57+3,0,1,1))+OFFSET($BP$9,DT57+3,CQ57,1,1),0))))))</f>
        <v>0</v>
      </c>
      <c r="DX57" s="51">
        <f ca="1">IF($F57&lt;OFFSET($BM$9,$DT57-1,0,1,1),0,IF($F57&lt;OFFSET($BN$9,$DT57-1,0,1,1),IF(AND($H57&gt;2.4,Z57&lt;&gt;"e",Z57&lt;&gt;"f"),EB57*2.4/$H57,EB57),IF($F57&lt;OFFSET($BN$9,$DT57+0,0,1,1),IF(AND($H57&gt;2.4,Z57&lt;&gt;"e",Z57&lt;&gt;"f"),EB57*2.4/$H57,EB57),IF($F57&lt;OFFSET($BN$9,$DT57+1,0,1,1),IF(AND($H57&gt;2.4,Z57&lt;&gt;"e",Z57&lt;&gt;"f"),EB57*2.4/$H57,EB57),IF($F57&lt;OFFSET($BN$9,$DT57+2,0,1,1),IF(AND($H57&gt;2.4,Z57&lt;&gt;"e",Z57&lt;&gt;"f"),EB57*2.4/$H57,EB57),IF($F57&lt;OFFSET($BN$9,$DT57+3,0,1,1),IF(AND($H57&gt;2.4,Z57&lt;&gt;"e",Z57&lt;&gt;"f"),EB57*2.4/$H57,EB57),0)))))*COS(RADIANS($G57)))</f>
        <v>0</v>
      </c>
      <c r="DY57" s="188"/>
      <c r="DZ57" s="188">
        <f ca="1">IF(DU57&gt;$CR57,$CR57,DU57)</f>
        <v>0</v>
      </c>
      <c r="EA57" s="188"/>
      <c r="EB57" s="188">
        <f ca="1">IF(DW57&gt;$CR57,$CR57,DW57)</f>
        <v>0</v>
      </c>
      <c r="EC57" s="435">
        <f ca="1">IF(DV57&gt;$CR57,$CR57,DV57)</f>
        <v>0</v>
      </c>
      <c r="ED57" s="435">
        <f ca="1">EC57*F57</f>
        <v>0</v>
      </c>
      <c r="EE57" s="436">
        <f ca="1">IF(DX57&gt;$CR57,$CR57,DX57)</f>
        <v>0</v>
      </c>
      <c r="EF57" s="437">
        <f ca="1">EE57*F57</f>
        <v>0</v>
      </c>
      <c r="EG57" s="613" t="str">
        <f>IF(D57=BG$12,BG$12,"")</f>
        <v/>
      </c>
      <c r="EH57" s="614" t="str">
        <f>IF(D57=BG$13,BG$13,"")</f>
        <v/>
      </c>
      <c r="EI57" s="611">
        <f>IF(EG57=BG$12,M57,0)</f>
        <v>0</v>
      </c>
      <c r="EJ57" s="451">
        <f>IF(EG57=BG$12,O57,0)</f>
        <v>0</v>
      </c>
      <c r="EK57" s="451">
        <f>IF(EH57=BG$13,M57,0)</f>
        <v>0</v>
      </c>
      <c r="EL57" s="612">
        <f>IF(EH57=BG$13,O57,0)</f>
        <v>0</v>
      </c>
      <c r="EM57" s="426" t="str">
        <f ca="1">IF(AND(Z57&lt;&gt;"t",Z57&lt;&gt;"f"),"",IF(AND(EN57=$BH$13,K57=$BH$12),"NotOpt",IF(K57&lt;&gt;EN57,"Error","")))</f>
        <v/>
      </c>
      <c r="EN57" s="491" t="str">
        <f>IF(AND($BH$28=1,$BG$28=1),$BH$13,$BH$12)</f>
        <v>120 BU's</v>
      </c>
      <c r="EO57" s="426" t="str">
        <f>K57</f>
        <v xml:space="preserve"> </v>
      </c>
      <c r="EP57" s="497">
        <v>1</v>
      </c>
      <c r="EQ57" s="430" t="str">
        <f ca="1">IF(EP57=1," ",OFFSET(BF$15,EP57-2,0,1,1))</f>
        <v xml:space="preserve"> </v>
      </c>
      <c r="ER57" s="439" t="str">
        <f ca="1">IF(H57=0," ",H57)</f>
        <v xml:space="preserve"> </v>
      </c>
      <c r="ES57" s="440" t="str">
        <f ca="1">IF(ER57&lt;&gt;" ",IF(ER57&lt;&gt;ER$7,"Changed",""),"")</f>
        <v/>
      </c>
      <c r="ET57" s="440">
        <f t="shared" ca="1" si="15"/>
        <v>0</v>
      </c>
      <c r="EU57" s="957" t="str">
        <f ca="1">IF(I57=" "," ",IF(F57&lt;OFFSET($BM$9,CL57-1,0,1,1),1,""))</f>
        <v xml:space="preserve"> </v>
      </c>
      <c r="EW57" s="427"/>
      <c r="EX57"/>
    </row>
    <row r="58" spans="1:154" ht="17.100000000000001" customHeight="1">
      <c r="A58" s="2685"/>
      <c r="B58" s="689" t="s">
        <v>246</v>
      </c>
      <c r="C58" s="684" t="str">
        <f>IF(OR(F58=0,I58="",I58=" ")," ",$V58)</f>
        <v xml:space="preserve"> </v>
      </c>
      <c r="D58" s="1033"/>
      <c r="E58" s="1360" t="s">
        <v>8</v>
      </c>
      <c r="F58" s="202"/>
      <c r="G58" s="1416"/>
      <c r="H58" s="199" t="str">
        <f ca="1">IF(OR(F58=0,Z58="E",Z58="f")," ",'Project Demand'!E$35)</f>
        <v xml:space="preserve"> </v>
      </c>
      <c r="I58" s="631" t="str">
        <f>IF($I$6&lt;&gt;$BG$8," ",AB58)</f>
        <v xml:space="preserve"> </v>
      </c>
      <c r="J58" s="44" t="str">
        <f ca="1">IF(OR(I58=" ",I58="")," ",OFFSET($BO$9,CL58-1,0-4,1,1))</f>
        <v xml:space="preserve"> </v>
      </c>
      <c r="K58" s="55" t="str">
        <f>IF(OR(I58=" ",I58="")," ",IF(OR(Z58="e",Z58="h"),"SD",BG$24))</f>
        <v xml:space="preserve"> </v>
      </c>
      <c r="L58" s="49">
        <f ca="1">CW58</f>
        <v>0</v>
      </c>
      <c r="M58" s="49">
        <f ca="1">CY58</f>
        <v>0</v>
      </c>
      <c r="N58" s="50">
        <f t="shared" ca="1" si="32"/>
        <v>0</v>
      </c>
      <c r="O58" s="126">
        <f t="shared" ca="1" si="32"/>
        <v>0</v>
      </c>
      <c r="P58" s="140"/>
      <c r="Q58" s="752" t="str">
        <f ca="1">IF(AND(OR(Z58="t",Z58="f"),K58=$BH$11),"No Floor!  Change Floor Type",IF(OR(I58=" ",I58="")," ",IF(F58&lt;OFFSET($BM$9,CL58-1,0,1,1),"check L(m)",DE58&amp;IF(AND(DP58&gt;=CY58,DR58&gt;=DB58),IF(AND(ED58&gt;=DP58,EF58&gt;=DR58),CONCATENATE(DS58," will provide same result"),CONCATENATE(CO58," will provide same result")),IF((DP58&gt;=CY58),CONCATENATE(CO58," provides same result in WIND"),IF((DR58&gt;=DB58),CONCATENATE(CO58," provides same result in EQ"),""))))))&amp;IF(ISERROR(FIND("pile",I58,1)),"",IF(INT(F58)&lt;&gt;F58,"Pile!  Use Whole Numbers Only",""))</f>
        <v xml:space="preserve"> </v>
      </c>
      <c r="R58" s="52"/>
      <c r="S58" s="1372"/>
      <c r="T58" s="1372"/>
      <c r="U58" s="1377"/>
      <c r="V58" s="52" t="str">
        <f ca="1">IF(AND(B$5=$BF$9,OR(I58=BH$16,I58=BH$17))," ",IF(ISNUMBER(B$56),(CONCATENATE(B$56,".",W58)),(CONCATENATE(B$56,W58))))</f>
        <v>U0</v>
      </c>
      <c r="W58" s="9">
        <f ca="1">W57+X58</f>
        <v>0</v>
      </c>
      <c r="X58" s="9">
        <f>IF(AND(B$5=$BF$9,OR($I58=$BH$16,$I58=$BH$17,$I58=" ",$I58="",$F58=0)),0,IF(OR($I58=" ",$I58="",$F58=0),0,1))</f>
        <v>0</v>
      </c>
      <c r="Y58" s="896"/>
      <c r="Z58" s="52" t="str">
        <f ca="1">IF(I58=" "," ",OFFSET($BM$9,$CL58-1,8,1,1))</f>
        <v xml:space="preserve"> </v>
      </c>
      <c r="AA58" s="51" t="str">
        <f>IF(G58&gt;=45,"WA","")</f>
        <v/>
      </c>
      <c r="AB58" s="1364" t="str">
        <f>IF(F58&lt;&gt;"",IF(OR(D58=$BG$12,D58=$BG$13),IF(E58&lt;&gt;$BG$17,$BF$12,$BF$13),IF(E58&lt;&gt;$BG$17,$BF$12,$BF$13))," ")</f>
        <v xml:space="preserve"> </v>
      </c>
      <c r="AC58" s="1"/>
      <c r="AK58" s="63" t="str">
        <f>'Custom Elements'!B19</f>
        <v xml:space="preserve">  </v>
      </c>
      <c r="AL58" s="860" t="str">
        <f>'Custom Elements'!C19</f>
        <v>Custom11</v>
      </c>
      <c r="AM58" s="11">
        <f>'Custom Elements'!D19</f>
        <v>9.9999999999999996E-76</v>
      </c>
      <c r="AN58" s="7">
        <f>'Custom Elements'!E19</f>
        <v>0</v>
      </c>
      <c r="AO58" s="7">
        <f>'Custom Elements'!F19</f>
        <v>0</v>
      </c>
      <c r="AP58" s="762" t="str">
        <f>'Custom Elements'!G19</f>
        <v>B</v>
      </c>
      <c r="AQ58" s="1777" t="str">
        <f>'Custom Elements'!H19</f>
        <v>Single</v>
      </c>
      <c r="AR58" s="1775" t="str">
        <f>'Custom Elements'!I19</f>
        <v>Yes</v>
      </c>
      <c r="AS58" s="442" t="str">
        <f>'Custom Elements'!J19</f>
        <v>Yes</v>
      </c>
      <c r="AT58" s="1598"/>
      <c r="AU58" s="1155"/>
      <c r="AZ58" s="442" t="str">
        <f>IF(AND('Custom Elements'!J19="Yes",'Custom Elements'!I19="Yes"),"T",IF('Custom Elements'!J19="Yes","F",IF('Custom Elements'!I19="Yes","H","E")))</f>
        <v>T</v>
      </c>
      <c r="BD58" s="638"/>
      <c r="BE58" s="2715" t="s">
        <v>827</v>
      </c>
      <c r="BF58" s="2716"/>
      <c r="BG58" s="2716"/>
      <c r="BH58" s="479"/>
      <c r="BI58" s="759"/>
      <c r="BJ58" s="897">
        <f t="shared" si="28"/>
        <v>50</v>
      </c>
      <c r="BK58" s="764"/>
      <c r="BL58" s="766"/>
      <c r="BM58" s="455">
        <f>Table!D12</f>
        <v>0.8</v>
      </c>
      <c r="BN58" s="455">
        <f>BM59</f>
        <v>0.9</v>
      </c>
      <c r="BO58" s="455">
        <f>Table!E12</f>
        <v>93</v>
      </c>
      <c r="BP58" s="925">
        <f>Table!F12</f>
        <v>83</v>
      </c>
      <c r="BR58" s="764"/>
      <c r="BS58" s="455"/>
      <c r="BT58" s="455"/>
      <c r="BU58" s="925" t="s">
        <v>242</v>
      </c>
      <c r="BV58" s="895"/>
      <c r="BW58" s="912"/>
      <c r="BX58" s="925" t="str">
        <f>Table!H11</f>
        <v>Double</v>
      </c>
      <c r="CH58" s="764">
        <f>IF(BN58=999,0,(BO59-BO58)/(BN58-BM58))</f>
        <v>50.000000000000014</v>
      </c>
      <c r="CI58" s="925">
        <f>IF(BN58=999,0,(BP59-BP58)/(BN58-BM58))</f>
        <v>50.000000000000014</v>
      </c>
      <c r="CJ58" s="759"/>
      <c r="CK58" s="188"/>
      <c r="CL58" s="979">
        <f>VLOOKUP(I58,Prodlink,2,0)</f>
        <v>0</v>
      </c>
      <c r="CN58" s="497">
        <f ca="1">VLOOKUP(CO58,Prodlink,2,0)</f>
        <v>0</v>
      </c>
      <c r="CO58" s="497">
        <f ca="1">OFFSET($CH$9,CL58-1,-15,1,1)</f>
        <v>0</v>
      </c>
      <c r="CQ58" s="51">
        <v>0</v>
      </c>
      <c r="CR58" s="51">
        <f>IF(K58=$BH$12,$BH$23,IF(K58=$BH$13,$BH$24,10000))</f>
        <v>10000</v>
      </c>
      <c r="CS58" s="51">
        <f ca="1">IF(F58&lt;OFFSET($BM$9,CL58-1,0,1,1),0,IF(F58&lt;OFFSET($BN$9,CL58-1,0,1,1),((F58-OFFSET($BM$9,CL58-1,0,1,1))*OFFSET($CH$9,CL58-1,0,1,1))+OFFSET($BO$9,CL58-1,CQ58,1,1),IF(F58&lt;OFFSET($BN$9,CL58+0,0,1,1),((F58-OFFSET($BM$9,CL58+0,0,1,1))*OFFSET($CH$9,CL58+0,0,1,1))+OFFSET($BO$9,CL58+0,CQ58,1,1),IF(F58&lt;OFFSET($BN$9,CL58+1,0,1,1),((F58-OFFSET($BM$9,CL58+1,0,1,1))*OFFSET($CH$9,CL58+1,0,1,1))+OFFSET($BO$9,CL58+1,CQ58,1,1),IF(F58&lt;OFFSET($BN$9,CL58+2,0,1,1),((F58-OFFSET($BM$9,CL58+2,0,1,1))*OFFSET($CH$9,CL58+2,0,1,1))+OFFSET($BO$9,CL58+2,CQ58,1,1),IF(F58&lt;OFFSET($BN$9,CL58+3,0,1,1),((F58-OFFSET($BM$9,CL58+3,0,1,1))*OFFSET($CH$9,CL58+3,0,1,1))+OFFSET($BO$9,CL58+3,CQ58,1,1),0))))))</f>
        <v>0</v>
      </c>
      <c r="CT58" s="51">
        <f ca="1">IF($F58&lt;OFFSET($BM$9,$CL58-1,0,1,1),0,IF($F58&lt;OFFSET($BN$9,$CL58-1,0,1,1),IF(AND($H58&gt;2.4,Z58&lt;&gt;"e",Z58&lt;&gt;"f"),CX58*2.4/$H58,CX58),IF($F58&lt;OFFSET($BN$9,$CL58+0,0,1,1),IF(AND($H58&gt;2.4,Z58&lt;&gt;"e",Z58&lt;&gt;"f"),CX58*2.4/$H58,CX58),IF($F58&lt;OFFSET($BN$9,$CL58+1,0,1,1),IF(AND($H58&gt;2.4,Z58&lt;&gt;"e",Z58&lt;&gt;"f"),CX58*2.4/$H58,CX58),IF($F58&lt;OFFSET($BN$9,CL58+2,0,1,1),IF(AND($H58&gt;2.4,Z58&lt;&gt;"e",Z58&lt;&gt;"f"),CX58*2.4/$H58,CX58),IF($F58&lt;OFFSET($BN$9,CL58+3,0,1,1),IF(AND($H58&gt;2.4,Z58&lt;&gt;"e",Z58&lt;&gt;"f"),CX58*2.4/$H58,CX58),0)))))*COS(RADIANS($G58)))</f>
        <v>0</v>
      </c>
      <c r="CU58" s="51">
        <f ca="1">IF(F58&lt;OFFSET($BM$9,CL58-1,0,1,1),0,IF(F58&lt;OFFSET($BN$9,CL58-1,0,1,1),((F58-OFFSET($BM$9,CL58-1,0,1,1))*OFFSET($CI$9,CL58-1,0,1,1))+OFFSET($BP$9,CL58-1,CQ58,1,1),IF(F58&lt;OFFSET($BN$9,CL58+0,0,1,1),((F58-OFFSET($BM$9,CL58+0,0,1,1))*OFFSET($CI$9,CL58+0,0,1,1))+OFFSET($BP$9,CL58+0,CQ58,1,1),IF(F58&lt;OFFSET($BN$9,CL58+1,0,1,1),((F58-OFFSET($BM$9,CL58+1,0,1,1))*OFFSET($CI$9,CL58+1,0,1,1))+OFFSET($BP$9,CL58+1,CQ58,1,1),IF(F58&lt;OFFSET($BN$9,CL58+2,0,1,1),((F58-OFFSET($BM$9,CL58+2,0,1,1))*OFFSET($CI$9,CL58+2,0,1,1))+OFFSET($BP$9,CL58+2,CQ58,1,1),IF(F58&lt;OFFSET($BN$9,CL58+3,0,1,1),((F58-OFFSET($BM$9,CL58+3,0,1,1))*OFFSET($CI$9,CL58+3,0,1,1))+OFFSET($BP$9,CL58+3,CQ58,1,1),0))))))</f>
        <v>0</v>
      </c>
      <c r="CV58" s="51">
        <f ca="1">IF($F58&lt;OFFSET($BM$9,$CL58-1,0,1,1),0,IF($F58&lt;OFFSET($BN$9,$CL58-1,0,1,1),IF(AND($H58&gt;2.4,Z58&lt;&gt;"e",Z58&lt;&gt;"f"),CZ58*2.4/$H58,CZ58),IF($F58&lt;OFFSET($BN$9,$CL58+0,0,1,1),IF(AND($H58&gt;2.4,Z58&lt;&gt;"e",Z58&lt;&gt;"f"),CZ58*2.4/$H58,CZ58),IF($F58&lt;OFFSET($BN$9,$CL58+1,0,1,1),IF(AND($H58&gt;2.4,Z58&lt;&gt;"e",Z58&lt;&gt;"f"),CZ58*2.4/$H58,CZ58),IF($F58&lt;OFFSET($BN$9,$CL58+2,0,1,1),IF(AND($H58&gt;2.4,Z58&lt;&gt;"e",Z58&lt;&gt;"f"),CZ58*2.4/$H58,CZ58),IF($F58&lt;OFFSET($BN$9,$CL58+3,0,1,1),IF(AND($H58&gt;2.4,Z58&lt;&gt;"e",Z58&lt;&gt;"f"),CZ58*2.4/$H58,CZ58),0)))))*COS(RADIANS($G58)))</f>
        <v>0</v>
      </c>
      <c r="CW58" s="51">
        <f ca="1">IF(CT58&gt;CR58,CR58,CT58)</f>
        <v>0</v>
      </c>
      <c r="CX58" s="51">
        <f ca="1">IF(CS58&gt;$CR58,$CR58,CS58)</f>
        <v>0</v>
      </c>
      <c r="CY58" s="51">
        <f ca="1">CW58*F58</f>
        <v>0</v>
      </c>
      <c r="CZ58" s="51">
        <f ca="1">IF($CU58&gt;$CR58,$CR58,$CU58)</f>
        <v>0</v>
      </c>
      <c r="DA58" s="51">
        <f ca="1">IF(CV58&gt;CR58,CR58,CV58)</f>
        <v>0</v>
      </c>
      <c r="DB58" s="51">
        <f ca="1">DA58*F58</f>
        <v>0</v>
      </c>
      <c r="DC58" s="993">
        <v>1</v>
      </c>
      <c r="DD58" s="758" t="str">
        <f>IF(OR(D58=BG$12,D58=BG$13),"External",IF(D58=BG$14,"Internal"," "))</f>
        <v xml:space="preserve"> </v>
      </c>
      <c r="DE58" s="51" t="str">
        <f t="shared" ca="1" si="2"/>
        <v/>
      </c>
      <c r="DF58" s="52" t="str">
        <f t="shared" ca="1" si="3"/>
        <v xml:space="preserve"> </v>
      </c>
      <c r="DG58" s="51">
        <f ca="1">IF(F58&lt;OFFSET($BM$9,CN58-1,0,1,1),0,IF(F58&lt;OFFSET($BN$9,CN58-1,0,1,1),((F58-OFFSET($BM$9,CN58-1,0,1,1))*OFFSET($CH$9,CN58-1,0,1,1))+OFFSET($BO$9,CN58-1,CQ58,1,1),IF(F58&lt;OFFSET($BN$9,CN58+0,0,1,1),((F58-OFFSET($BM$9,CN58+0,0,1,1))*OFFSET($CH$9,CN58+0,0,1,1))+OFFSET($BO$9,CN58+0,CQ58,1,1),IF(F58&lt;OFFSET($BN$9,CN58+1,0,1,1),((F58-OFFSET($BM$9,CN58+1,0,1,1))*OFFSET($CH$9,CN58+1,0,1,1))+OFFSET($BO$9,CN58+1,CQ58,1,1),IF(F58&lt;OFFSET($BN$9,CN58+2,0,1,1),((F58-OFFSET($BM$9,CN58+2,0,1,1))*OFFSET($CH$9,CN58+2,0,1,1))+OFFSET($BO$9,CN58+2,CQ58,1,1),IF(F58&lt;OFFSET($BN$9,CN58+3,0,1,1),((F58-OFFSET($BM$9,CN58+3,0,1,1))*OFFSET($CH$9,CN58+3,0,1,1))+OFFSET($BO$9,CN58+3,CQ58,1,1),0))))))</f>
        <v>0</v>
      </c>
      <c r="DH58" s="51">
        <f ca="1">IF($F58&lt;OFFSET($BM$9,$CN58-1,0,1,1),0,IF($F58&lt;OFFSET($BN$9,$CN58-1,0,1,1),IF(AND($H58&gt;2.4,Z58&lt;&gt;"e",Z58&lt;&gt;"f"),DL58*2.4/$H58,DL58),IF($F58&lt;OFFSET($BN$9,$CN58+0,0,1,1),IF(AND($H58&gt;2.4,Z58&lt;&gt;"e",Z58&lt;&gt;"f"),DL58*2.4/$H58,DL58),IF($F58&lt;OFFSET($BN$9,$CN58+1,0,1,1),IF(AND($H58&gt;2.4,Z58&lt;&gt;"e",Z58&lt;&gt;"f"),DL58*2.4/$H58,DL58),IF($F58&lt;OFFSET($BN$9,$CN58+2,0,1,1),IF(AND($H58&gt;2.4,Z58&lt;&gt;"e",Z58&lt;&gt;"f"),DL58*2.4/$H58,DL58),IF($F58&lt;OFFSET($BN$9,$CN58+3,0,1,1),IF(AND($H58&gt;2.4,Z58&lt;&gt;"e",Z58&lt;&gt;"f"),DL58*2.4/$H58,DL58),0)))))*COS(RADIANS($G58)))</f>
        <v>0</v>
      </c>
      <c r="DI58" s="51">
        <f ca="1">IF(F58&lt;OFFSET($BM$9,CN58-1,0,1,1),0,IF(F58&lt;OFFSET($BN$9,CN58-1,0,1,1),((F58-OFFSET($BM$9,CN58-1,0,1,1))*OFFSET($CI$9,CN58-1,0,1,1))+OFFSET($BP$9,CN58-1,CQ58,1,1),IF(F58&lt;OFFSET($BN$9,CN58+0,0,1,1),((F58-OFFSET($BM$9,CN58+0,0,1,1))*OFFSET($CI$9,CN58+0,0,1,1))+OFFSET($BP$9,CN58+0,CQ58,1,1),IF(F58&lt;OFFSET($BN$9,CN58+1,0,1,1),((F58-OFFSET($BM$9,CN58+1,0,1,1))*OFFSET($CI$9,CN58+1,0,1,1))+OFFSET($BP$9,CN58+1,CQ58,1,1),IF(F58&lt;OFFSET($BN$9,CN58+2,0,1,1),((F58-OFFSET($BM$9,CN58+2,0,1,1))*OFFSET($CI$9,CN58+2,0,1,1))+OFFSET($BP$9,CN58+2,CQ58,1,1),IF(F58&lt;OFFSET($BN$9,CN58+3,0,1,1),((F58-OFFSET($BM$9,CN58+3,0,1,1))*OFFSET($CI$9,CN58+3,0,1,1))+OFFSET($BP$9,CN58+3,CQ58,1,1),0))))))</f>
        <v>0</v>
      </c>
      <c r="DJ58" s="51">
        <f ca="1">IF($F58&lt;OFFSET($BM$9,$CN58-1,0,1,1),0,IF($F58&lt;OFFSET($BN$9,$CN58-1,0,1,1),IF(AND($H58&gt;2.4,Z58&lt;&gt;"e",Z58&lt;&gt;"f"),DN58*2.4/$H58,DN58),IF($F58&lt;OFFSET($BN$9,$CN58+0,0,1,1),IF(AND($H58&gt;2.4,Z58&lt;&gt;"e",Z58&lt;&gt;"f"),DN58*2.4/$H58,DN58),IF($F58&lt;OFFSET($BN$9,$CN58+1,0,1,1),IF(AND($H58&gt;2.4,Z58&lt;&gt;"e",Z58&lt;&gt;"f"),DN58*2.4/$H58,DN58),IF($F58&lt;OFFSET($BN$9,$CN58+2,0,1,1),IF(AND($H58&gt;2.4,Z58&lt;&gt;"e",Z58&lt;&gt;"f"),DN58*2.4/$H58,DN58),IF($F58&lt;OFFSET($BN$9,$CN58+3,0,1,1),IF(AND($H58&gt;2.4,Z58&lt;&gt;"e",Z58&lt;&gt;"f"),DN58*2.4/$H58,DN58),0)))))*COS(RADIANS($G58)))</f>
        <v>0</v>
      </c>
      <c r="DK58" s="51"/>
      <c r="DL58" s="51">
        <f ca="1">IF(DG58&gt;$CR58,$CR58,DG58)</f>
        <v>0</v>
      </c>
      <c r="DM58" s="51"/>
      <c r="DN58" s="51">
        <f ca="1">IF(DI58&gt;$CR58,$CR58,DI58)</f>
        <v>0</v>
      </c>
      <c r="DO58" s="435">
        <f ca="1">IF(DH58&gt;$CR58,$CR58,DH58)</f>
        <v>0</v>
      </c>
      <c r="DP58" s="435">
        <f ca="1">DO58*F58</f>
        <v>0</v>
      </c>
      <c r="DQ58" s="436">
        <f ca="1">IF(DJ58&gt;$CR58,$CR58,DJ58)</f>
        <v>0</v>
      </c>
      <c r="DR58" s="437">
        <f ca="1">DQ58*F58</f>
        <v>0</v>
      </c>
      <c r="DS58" s="426">
        <f ca="1">OFFSET($CH$9,CL58-1,-15,1,1)</f>
        <v>0</v>
      </c>
      <c r="DT58" s="451">
        <f t="shared" ca="1" si="27"/>
        <v>0</v>
      </c>
      <c r="DU58" s="188">
        <f ca="1">IF(F58&lt;OFFSET($BM$9,DT58-1,0,1,1),0,IF(F58&lt;OFFSET($BN$9,DT58-1,0,1,1),((F58-OFFSET($BM$9,DT58-1,0,1,1))*OFFSET($CH$9,DT58-1,0,1,1))+OFFSET($BO$9,DT58-1,CQ58,1,1),IF(F58&lt;OFFSET($BN$9,DT58+0,0,1,1),((F58-OFFSET($BM$9,DT58+0,0,1,1))*OFFSET($CH$9,DT58+0,0,1,1))+OFFSET($BO$9,DT58+0,CQ58,1,1),IF(F58&lt;OFFSET($BN$9,DT58+1,0,1,1),((F58-OFFSET($BM$9,DT58+1,0,1,1))*OFFSET($CH$9,DT58+1,0,1,1))+OFFSET($BO$9,DT58+1,CQ58,1,1),IF(F58&lt;OFFSET($BN$9,DT58+2,0,1,1),((F58-OFFSET($BM$9,DT58+2,0,1,1))*OFFSET($CH$9,DT58+2,0,1,1))+OFFSET($BO$9,DT58+2,CQ58,1,1),IF(F58&lt;OFFSET($BN$9,DT58+3,0,1,1),((F58-OFFSET($BM$9,DT58+3,0,1,1))*OFFSET($CH$9,DT58+3,0,1,1))+OFFSET($BO$9,DT58+3,CQ58,1,1),0))))))</f>
        <v>0</v>
      </c>
      <c r="DV58" s="51">
        <f ca="1">IF($F58&lt;OFFSET($BM$9,$DT58-1,0,1,1),0,IF($F58&lt;OFFSET($BN$9,$DT58-1,0,1,1),IF(AND($H58&gt;2.4,Z58&lt;&gt;"e",Z58&lt;&gt;"f"),DZ58*2.4/$H58,DZ58),IF($F58&lt;OFFSET($BN$9,$DT58+0,0,1,1),IF(AND($H58&gt;2.4,Z58&lt;&gt;"e",Z58&lt;&gt;"f"),DZ58*2.4/$H58,DZ58),IF($F58&lt;OFFSET($BN$9,$DT58+1,0,1,1),IF(AND($H58&gt;2.4,Z58&lt;&gt;"e",Z58&lt;&gt;"f"),DZ58*2.4/$H58,DZ58),IF($F58&lt;OFFSET($BN$9,$DT58+2,0,1,1),IF(AND($H58&gt;2.4,Z58&lt;&gt;"e",Z58&lt;&gt;"f"),DZ58*2.4/$H58,DZ58),IF($F58&lt;OFFSET($BN$9,$DT58+3,0,1,1),IF(AND($H58&gt;2.4,Z58&lt;&gt;"e",Z58&lt;&gt;"f"),DZ58*2.4/$H58,DZ58),0)))))*COS(RADIANS($G58)))</f>
        <v>0</v>
      </c>
      <c r="DW58" s="188">
        <f ca="1">IF(F58&lt;OFFSET($BM$9,DT58-1,0,1,1),0,IF(F58&lt;OFFSET($BN$9,DT58-1,0,1,1),((F58-OFFSET($BM$9,DT58-1,0,1,1))*OFFSET($CI$9,DT58-1,0,1,1))+OFFSET($BP$9,DT58-1,CQ58,1,1),IF(F58&lt;OFFSET($BN$9,DT58+0,0,1,1),((F58-OFFSET($BM$9,DT58+0,0,1,1))*OFFSET($CI$9,DT58+0,0,1,1))+OFFSET($BP$9,DT58+0,CQ58,1,1),IF(F58&lt;OFFSET($BN$9,DT58+1,0,1,1),((F58-OFFSET($BM$9,DT58+1,0,1,1))*OFFSET($CI$9,DT58+1,0,1,1))+OFFSET($BP$9,DT58+1,CQ58,1,1),IF(F58&lt;OFFSET($BN$9,DT58+2,0,1,1),((F58-OFFSET($BM$9,DT58+2,0,1,1))*OFFSET($CI$9,DT58+2,0,1,1))+OFFSET($BP$9,DT58+2,CQ58,1,1),IF(F58&lt;OFFSET($BN$9,DT58+3,0,1,1),((F58-OFFSET($BM$9,DT58+3,0,1,1))*OFFSET($CI$9,DT58+3,0,1,1))+OFFSET($BP$9,DT58+3,CQ58,1,1),0))))))</f>
        <v>0</v>
      </c>
      <c r="DX58" s="51">
        <f ca="1">IF($F58&lt;OFFSET($BM$9,$DT58-1,0,1,1),0,IF($F58&lt;OFFSET($BN$9,$DT58-1,0,1,1),IF(AND($H58&gt;2.4,Z58&lt;&gt;"e",Z58&lt;&gt;"f"),EB58*2.4/$H58,EB58),IF($F58&lt;OFFSET($BN$9,$DT58+0,0,1,1),IF(AND($H58&gt;2.4,Z58&lt;&gt;"e",Z58&lt;&gt;"f"),EB58*2.4/$H58,EB58),IF($F58&lt;OFFSET($BN$9,$DT58+1,0,1,1),IF(AND($H58&gt;2.4,Z58&lt;&gt;"e",Z58&lt;&gt;"f"),EB58*2.4/$H58,EB58),IF($F58&lt;OFFSET($BN$9,$DT58+2,0,1,1),IF(AND($H58&gt;2.4,Z58&lt;&gt;"e",Z58&lt;&gt;"f"),EB58*2.4/$H58,EB58),IF($F58&lt;OFFSET($BN$9,$DT58+3,0,1,1),IF(AND($H58&gt;2.4,Z58&lt;&gt;"e",Z58&lt;&gt;"f"),EB58*2.4/$H58,EB58),0)))))*COS(RADIANS($G58)))</f>
        <v>0</v>
      </c>
      <c r="DY58" s="188"/>
      <c r="DZ58" s="188">
        <f ca="1">IF(DU58&gt;$CR58,$CR58,DU58)</f>
        <v>0</v>
      </c>
      <c r="EA58" s="188"/>
      <c r="EB58" s="188">
        <f ca="1">IF(DW58&gt;$CR58,$CR58,DW58)</f>
        <v>0</v>
      </c>
      <c r="EC58" s="435">
        <f ca="1">IF(DV58&gt;$CR58,$CR58,DV58)</f>
        <v>0</v>
      </c>
      <c r="ED58" s="435">
        <f ca="1">EC58*F58</f>
        <v>0</v>
      </c>
      <c r="EE58" s="436">
        <f ca="1">IF(DX58&gt;$CR58,$CR58,DX58)</f>
        <v>0</v>
      </c>
      <c r="EF58" s="437">
        <f ca="1">EE58*F58</f>
        <v>0</v>
      </c>
      <c r="EG58" s="613" t="str">
        <f>IF(D58=BG$12,BG$12,"")</f>
        <v/>
      </c>
      <c r="EH58" s="614" t="str">
        <f>IF(D58=BG$13,BG$13,"")</f>
        <v/>
      </c>
      <c r="EI58" s="611">
        <f>IF(EG58=BG$12,M58,0)</f>
        <v>0</v>
      </c>
      <c r="EJ58" s="451">
        <f>IF(EG58=BG$12,O58,0)</f>
        <v>0</v>
      </c>
      <c r="EK58" s="451">
        <f>IF(EH58=BG$13,M58,0)</f>
        <v>0</v>
      </c>
      <c r="EL58" s="612">
        <f>IF(EH58=BG$13,O58,0)</f>
        <v>0</v>
      </c>
      <c r="EM58" s="426" t="str">
        <f ca="1">IF(AND(Z58&lt;&gt;"t",Z58&lt;&gt;"f"),"",IF(AND(EN58=$BH$13,K58=$BH$12),"NotOpt",IF(K58&lt;&gt;EN58,"Error","")))</f>
        <v/>
      </c>
      <c r="EN58" s="491" t="str">
        <f>IF(AND($BH$28=1,$BG$28=1),$BH$13,$BH$12)</f>
        <v>120 BU's</v>
      </c>
      <c r="EO58" s="426" t="str">
        <f>K58</f>
        <v xml:space="preserve"> </v>
      </c>
      <c r="EP58" s="497">
        <v>1</v>
      </c>
      <c r="EQ58" s="430" t="str">
        <f ca="1">IF(EP58=1," ",OFFSET(BF$15,EP58-2,0,1,1))</f>
        <v xml:space="preserve"> </v>
      </c>
      <c r="ER58" s="439" t="str">
        <f ca="1">IF(H58=0," ",H58)</f>
        <v xml:space="preserve"> </v>
      </c>
      <c r="ES58" s="440" t="str">
        <f ca="1">IF(ER58&lt;&gt;" ",IF(ER58&lt;&gt;ER$7,"Changed",""),"")</f>
        <v/>
      </c>
      <c r="ET58" s="440">
        <f t="shared" ca="1" si="15"/>
        <v>0</v>
      </c>
      <c r="EU58" s="957" t="str">
        <f ca="1">IF(I58=" "," ",IF(F58&lt;OFFSET($BM$9,CL58-1,0,1,1),1,""))</f>
        <v xml:space="preserve"> </v>
      </c>
      <c r="EW58" s="427"/>
      <c r="EX58"/>
    </row>
    <row r="59" spans="1:154" ht="17.100000000000001" customHeight="1">
      <c r="A59" s="2685"/>
      <c r="B59" s="689" t="s">
        <v>246</v>
      </c>
      <c r="C59" s="684" t="str">
        <f>IF(OR(F59=0,I59="",I59=" ")," ",$V59)</f>
        <v xml:space="preserve"> </v>
      </c>
      <c r="D59" s="1033"/>
      <c r="E59" s="1360" t="s">
        <v>8</v>
      </c>
      <c r="F59" s="202"/>
      <c r="G59" s="1416"/>
      <c r="H59" s="199" t="str">
        <f ca="1">IF(OR(F59=0,Z59="E",Z59="f")," ",'Project Demand'!E$35)</f>
        <v xml:space="preserve"> </v>
      </c>
      <c r="I59" s="631" t="str">
        <f>IF($I$6&lt;&gt;$BG$8," ",AB59)</f>
        <v xml:space="preserve"> </v>
      </c>
      <c r="J59" s="44" t="str">
        <f ca="1">IF(OR(I59=" ",I59="")," ",OFFSET($BO$9,CL59-1,0-4,1,1))</f>
        <v xml:space="preserve"> </v>
      </c>
      <c r="K59" s="55" t="str">
        <f>IF(OR(I59=" ",I59="")," ",IF(OR(Z59="e",Z59="h"),"SD",BG$24))</f>
        <v xml:space="preserve"> </v>
      </c>
      <c r="L59" s="49">
        <f ca="1">CW59</f>
        <v>0</v>
      </c>
      <c r="M59" s="49">
        <f ca="1">CY59</f>
        <v>0</v>
      </c>
      <c r="N59" s="50">
        <f t="shared" ca="1" si="32"/>
        <v>0</v>
      </c>
      <c r="O59" s="126">
        <f t="shared" ca="1" si="32"/>
        <v>0</v>
      </c>
      <c r="P59" s="140"/>
      <c r="Q59" s="752" t="str">
        <f ca="1">IF(AND(OR(Z59="t",Z59="f"),K59=$BH$11),"No Floor!  Change Floor Type",IF(OR(I59=" ",I59="")," ",IF(F59&lt;OFFSET($BM$9,CL59-1,0,1,1),"check L(m)",DE59&amp;IF(AND(DP59&gt;=CY59,DR59&gt;=DB59),IF(AND(ED59&gt;=DP59,EF59&gt;=DR59),CONCATENATE(DS59," will provide same result"),CONCATENATE(CO59," will provide same result")),IF((DP59&gt;=CY59),CONCATENATE(CO59," provides same result in WIND"),IF((DR59&gt;=DB59),CONCATENATE(CO59," provides same result in EQ"),""))))))&amp;IF(ISERROR(FIND("pile",I59,1)),"",IF(INT(F59)&lt;&gt;F59,"Pile!  Use Whole Numbers Only",""))</f>
        <v xml:space="preserve"> </v>
      </c>
      <c r="R59" s="52"/>
      <c r="S59" s="1372"/>
      <c r="T59" s="1372"/>
      <c r="U59" s="1377"/>
      <c r="V59" s="52" t="str">
        <f ca="1">IF(AND(B$5=$BF$9,OR(I59=BH$16,I59=BH$17))," ",IF(ISNUMBER(B$56),(CONCATENATE(B$56,".",W59)),(CONCATENATE(B$56,W59))))</f>
        <v>U0</v>
      </c>
      <c r="W59" s="9">
        <f ca="1">W58+X59</f>
        <v>0</v>
      </c>
      <c r="X59" s="9">
        <f>IF(AND(B$5=$BF$9,OR($I59=$BH$16,$I59=$BH$17,$I59=" ",$I59="",$F59=0)),0,IF(OR($I59=" ",$I59="",$F59=0),0,1))</f>
        <v>0</v>
      </c>
      <c r="Y59" s="896"/>
      <c r="Z59" s="52" t="str">
        <f ca="1">IF(I59=" "," ",OFFSET($BM$9,$CL59-1,8,1,1))</f>
        <v xml:space="preserve"> </v>
      </c>
      <c r="AA59" s="51" t="str">
        <f>IF(G59&gt;=45,"WA","")</f>
        <v/>
      </c>
      <c r="AB59" s="1364" t="str">
        <f>IF(F59&lt;&gt;"",IF(OR(D59=$BG$12,D59=$BG$13),IF(E59&lt;&gt;$BG$17,$BF$12,$BF$13),IF(E59&lt;&gt;$BG$17,$BF$12,$BF$13))," ")</f>
        <v xml:space="preserve"> </v>
      </c>
      <c r="AC59" s="1"/>
      <c r="AK59" s="63" t="str">
        <f>'Custom Elements'!B20</f>
        <v xml:space="preserve">  </v>
      </c>
      <c r="AL59" s="860" t="str">
        <f>'Custom Elements'!C20</f>
        <v>Custom12</v>
      </c>
      <c r="AM59" s="11">
        <f>'Custom Elements'!D20</f>
        <v>9.9999999999999996E-76</v>
      </c>
      <c r="AN59" s="7">
        <f>'Custom Elements'!E20</f>
        <v>0</v>
      </c>
      <c r="AO59" s="7">
        <f>'Custom Elements'!F20</f>
        <v>0</v>
      </c>
      <c r="AP59" s="762" t="str">
        <f>'Custom Elements'!G20</f>
        <v>B</v>
      </c>
      <c r="AQ59" s="1777" t="str">
        <f>'Custom Elements'!H20</f>
        <v>Single</v>
      </c>
      <c r="AR59" s="1775" t="str">
        <f>'Custom Elements'!I20</f>
        <v>Yes</v>
      </c>
      <c r="AS59" s="442" t="str">
        <f>'Custom Elements'!J20</f>
        <v>Yes</v>
      </c>
      <c r="AT59" s="1598"/>
      <c r="AU59" s="1155"/>
      <c r="AZ59" s="442" t="str">
        <f>IF(AND('Custom Elements'!J20="Yes",'Custom Elements'!I20="Yes"),"T",IF('Custom Elements'!J20="Yes","F",IF('Custom Elements'!I20="Yes","H","E")))</f>
        <v>T</v>
      </c>
      <c r="BD59" s="638"/>
      <c r="BE59" s="2717" t="str">
        <f>IF($BE$3=1,BE57,BE58)</f>
        <v>"Min Bu's entered &lt; 100"</v>
      </c>
      <c r="BF59" s="2718"/>
      <c r="BG59" s="2718"/>
      <c r="BH59" s="479"/>
      <c r="BI59" s="759"/>
      <c r="BJ59" s="897">
        <f t="shared" si="28"/>
        <v>51</v>
      </c>
      <c r="BK59" s="764"/>
      <c r="BL59" s="766"/>
      <c r="BM59" s="455">
        <f>Table!D13</f>
        <v>0.9</v>
      </c>
      <c r="BN59" s="455">
        <f>BM60</f>
        <v>1.2</v>
      </c>
      <c r="BO59" s="455">
        <f>Table!E13</f>
        <v>98</v>
      </c>
      <c r="BP59" s="925">
        <f>Table!F13</f>
        <v>88</v>
      </c>
      <c r="BR59" s="764"/>
      <c r="BS59" s="455"/>
      <c r="BT59" s="455"/>
      <c r="BU59" s="925" t="s">
        <v>242</v>
      </c>
      <c r="BV59" s="895"/>
      <c r="BW59" s="912"/>
      <c r="BX59" s="925" t="str">
        <f>Table!H11</f>
        <v>Double</v>
      </c>
      <c r="CH59" s="764">
        <f>IF(BN59=999,0,(BO60-BO59)/(BN59-BM59))</f>
        <v>0</v>
      </c>
      <c r="CI59" s="925">
        <f>IF(BN59=999,0,(BP60-BP59)/(BN59-BM59))</f>
        <v>0</v>
      </c>
      <c r="CJ59" s="759"/>
      <c r="CK59" s="188"/>
      <c r="CL59" s="979">
        <f>VLOOKUP(I59,Prodlink,2,0)</f>
        <v>0</v>
      </c>
      <c r="CN59" s="497">
        <f ca="1">VLOOKUP(CO59,Prodlink,2,0)</f>
        <v>0</v>
      </c>
      <c r="CO59" s="497">
        <f ca="1">OFFSET($CH$9,CL59-1,-15,1,1)</f>
        <v>0</v>
      </c>
      <c r="CQ59" s="51">
        <v>0</v>
      </c>
      <c r="CR59" s="51">
        <f>IF(K59=$BH$12,$BH$23,IF(K59=$BH$13,$BH$24,10000))</f>
        <v>10000</v>
      </c>
      <c r="CS59" s="51">
        <f ca="1">IF(F59&lt;OFFSET($BM$9,CL59-1,0,1,1),0,IF(F59&lt;OFFSET($BN$9,CL59-1,0,1,1),((F59-OFFSET($BM$9,CL59-1,0,1,1))*OFFSET($CH$9,CL59-1,0,1,1))+OFFSET($BO$9,CL59-1,CQ59,1,1),IF(F59&lt;OFFSET($BN$9,CL59+0,0,1,1),((F59-OFFSET($BM$9,CL59+0,0,1,1))*OFFSET($CH$9,CL59+0,0,1,1))+OFFSET($BO$9,CL59+0,CQ59,1,1),IF(F59&lt;OFFSET($BN$9,CL59+1,0,1,1),((F59-OFFSET($BM$9,CL59+1,0,1,1))*OFFSET($CH$9,CL59+1,0,1,1))+OFFSET($BO$9,CL59+1,CQ59,1,1),IF(F59&lt;OFFSET($BN$9,CL59+2,0,1,1),((F59-OFFSET($BM$9,CL59+2,0,1,1))*OFFSET($CH$9,CL59+2,0,1,1))+OFFSET($BO$9,CL59+2,CQ59,1,1),IF(F59&lt;OFFSET($BN$9,CL59+3,0,1,1),((F59-OFFSET($BM$9,CL59+3,0,1,1))*OFFSET($CH$9,CL59+3,0,1,1))+OFFSET($BO$9,CL59+3,CQ59,1,1),0))))))</f>
        <v>0</v>
      </c>
      <c r="CT59" s="51">
        <f ca="1">IF($F59&lt;OFFSET($BM$9,$CL59-1,0,1,1),0,IF($F59&lt;OFFSET($BN$9,$CL59-1,0,1,1),IF(AND($H59&gt;2.4,Z59&lt;&gt;"e",Z59&lt;&gt;"f"),CX59*2.4/$H59,CX59),IF($F59&lt;OFFSET($BN$9,$CL59+0,0,1,1),IF(AND($H59&gt;2.4,Z59&lt;&gt;"e",Z59&lt;&gt;"f"),CX59*2.4/$H59,CX59),IF($F59&lt;OFFSET($BN$9,$CL59+1,0,1,1),IF(AND($H59&gt;2.4,Z59&lt;&gt;"e",Z59&lt;&gt;"f"),CX59*2.4/$H59,CX59),IF($F59&lt;OFFSET($BN$9,CL59+2,0,1,1),IF(AND($H59&gt;2.4,Z59&lt;&gt;"e",Z59&lt;&gt;"f"),CX59*2.4/$H59,CX59),IF($F59&lt;OFFSET($BN$9,CL59+3,0,1,1),IF(AND($H59&gt;2.4,Z59&lt;&gt;"e",Z59&lt;&gt;"f"),CX59*2.4/$H59,CX59),0)))))*COS(RADIANS($G59)))</f>
        <v>0</v>
      </c>
      <c r="CU59" s="51">
        <f ca="1">IF(F59&lt;OFFSET($BM$9,CL59-1,0,1,1),0,IF(F59&lt;OFFSET($BN$9,CL59-1,0,1,1),((F59-OFFSET($BM$9,CL59-1,0,1,1))*OFFSET($CI$9,CL59-1,0,1,1))+OFFSET($BP$9,CL59-1,CQ59,1,1),IF(F59&lt;OFFSET($BN$9,CL59+0,0,1,1),((F59-OFFSET($BM$9,CL59+0,0,1,1))*OFFSET($CI$9,CL59+0,0,1,1))+OFFSET($BP$9,CL59+0,CQ59,1,1),IF(F59&lt;OFFSET($BN$9,CL59+1,0,1,1),((F59-OFFSET($BM$9,CL59+1,0,1,1))*OFFSET($CI$9,CL59+1,0,1,1))+OFFSET($BP$9,CL59+1,CQ59,1,1),IF(F59&lt;OFFSET($BN$9,CL59+2,0,1,1),((F59-OFFSET($BM$9,CL59+2,0,1,1))*OFFSET($CI$9,CL59+2,0,1,1))+OFFSET($BP$9,CL59+2,CQ59,1,1),IF(F59&lt;OFFSET($BN$9,CL59+3,0,1,1),((F59-OFFSET($BM$9,CL59+3,0,1,1))*OFFSET($CI$9,CL59+3,0,1,1))+OFFSET($BP$9,CL59+3,CQ59,1,1),0))))))</f>
        <v>0</v>
      </c>
      <c r="CV59" s="51">
        <f ca="1">IF($F59&lt;OFFSET($BM$9,$CL59-1,0,1,1),0,IF($F59&lt;OFFSET($BN$9,$CL59-1,0,1,1),IF(AND($H59&gt;2.4,Z59&lt;&gt;"e",Z59&lt;&gt;"f"),CZ59*2.4/$H59,CZ59),IF($F59&lt;OFFSET($BN$9,$CL59+0,0,1,1),IF(AND($H59&gt;2.4,Z59&lt;&gt;"e",Z59&lt;&gt;"f"),CZ59*2.4/$H59,CZ59),IF($F59&lt;OFFSET($BN$9,$CL59+1,0,1,1),IF(AND($H59&gt;2.4,Z59&lt;&gt;"e",Z59&lt;&gt;"f"),CZ59*2.4/$H59,CZ59),IF($F59&lt;OFFSET($BN$9,$CL59+2,0,1,1),IF(AND($H59&gt;2.4,Z59&lt;&gt;"e",Z59&lt;&gt;"f"),CZ59*2.4/$H59,CZ59),IF($F59&lt;OFFSET($BN$9,$CL59+3,0,1,1),IF(AND($H59&gt;2.4,Z59&lt;&gt;"e",Z59&lt;&gt;"f"),CZ59*2.4/$H59,CZ59),0)))))*COS(RADIANS($G59)))</f>
        <v>0</v>
      </c>
      <c r="CW59" s="51">
        <f ca="1">IF(CT59&gt;CR59,CR59,CT59)</f>
        <v>0</v>
      </c>
      <c r="CX59" s="51">
        <f ca="1">IF(CS59&gt;$CR59,$CR59,CS59)</f>
        <v>0</v>
      </c>
      <c r="CY59" s="51">
        <f ca="1">CW59*F59</f>
        <v>0</v>
      </c>
      <c r="CZ59" s="51">
        <f ca="1">IF($CU59&gt;$CR59,$CR59,$CU59)</f>
        <v>0</v>
      </c>
      <c r="DA59" s="51">
        <f ca="1">IF(CV59&gt;CR59,CR59,CV59)</f>
        <v>0</v>
      </c>
      <c r="DB59" s="51">
        <f ca="1">DA59*F59</f>
        <v>0</v>
      </c>
      <c r="DC59" s="993">
        <v>1</v>
      </c>
      <c r="DD59" s="758" t="str">
        <f>IF(OR(D59=BG$12,D59=BG$13),"External",IF(D59=BG$14,"Internal"," "))</f>
        <v xml:space="preserve"> </v>
      </c>
      <c r="DE59" s="51" t="str">
        <f t="shared" ca="1" si="2"/>
        <v/>
      </c>
      <c r="DF59" s="52" t="str">
        <f t="shared" ca="1" si="3"/>
        <v xml:space="preserve"> </v>
      </c>
      <c r="DG59" s="51">
        <f ca="1">IF(F59&lt;OFFSET($BM$9,CN59-1,0,1,1),0,IF(F59&lt;OFFSET($BN$9,CN59-1,0,1,1),((F59-OFFSET($BM$9,CN59-1,0,1,1))*OFFSET($CH$9,CN59-1,0,1,1))+OFFSET($BO$9,CN59-1,CQ59,1,1),IF(F59&lt;OFFSET($BN$9,CN59+0,0,1,1),((F59-OFFSET($BM$9,CN59+0,0,1,1))*OFFSET($CH$9,CN59+0,0,1,1))+OFFSET($BO$9,CN59+0,CQ59,1,1),IF(F59&lt;OFFSET($BN$9,CN59+1,0,1,1),((F59-OFFSET($BM$9,CN59+1,0,1,1))*OFFSET($CH$9,CN59+1,0,1,1))+OFFSET($BO$9,CN59+1,CQ59,1,1),IF(F59&lt;OFFSET($BN$9,CN59+2,0,1,1),((F59-OFFSET($BM$9,CN59+2,0,1,1))*OFFSET($CH$9,CN59+2,0,1,1))+OFFSET($BO$9,CN59+2,CQ59,1,1),IF(F59&lt;OFFSET($BN$9,CN59+3,0,1,1),((F59-OFFSET($BM$9,CN59+3,0,1,1))*OFFSET($CH$9,CN59+3,0,1,1))+OFFSET($BO$9,CN59+3,CQ59,1,1),0))))))</f>
        <v>0</v>
      </c>
      <c r="DH59" s="51">
        <f ca="1">IF($F59&lt;OFFSET($BM$9,$CN59-1,0,1,1),0,IF($F59&lt;OFFSET($BN$9,$CN59-1,0,1,1),IF(AND($H59&gt;2.4,Z59&lt;&gt;"e",Z59&lt;&gt;"f"),DL59*2.4/$H59,DL59),IF($F59&lt;OFFSET($BN$9,$CN59+0,0,1,1),IF(AND($H59&gt;2.4,Z59&lt;&gt;"e",Z59&lt;&gt;"f"),DL59*2.4/$H59,DL59),IF($F59&lt;OFFSET($BN$9,$CN59+1,0,1,1),IF(AND($H59&gt;2.4,Z59&lt;&gt;"e",Z59&lt;&gt;"f"),DL59*2.4/$H59,DL59),IF($F59&lt;OFFSET($BN$9,$CN59+2,0,1,1),IF(AND($H59&gt;2.4,Z59&lt;&gt;"e",Z59&lt;&gt;"f"),DL59*2.4/$H59,DL59),IF($F59&lt;OFFSET($BN$9,$CN59+3,0,1,1),IF(AND($H59&gt;2.4,Z59&lt;&gt;"e",Z59&lt;&gt;"f"),DL59*2.4/$H59,DL59),0)))))*COS(RADIANS($G59)))</f>
        <v>0</v>
      </c>
      <c r="DI59" s="51">
        <f ca="1">IF(F59&lt;OFFSET($BM$9,CN59-1,0,1,1),0,IF(F59&lt;OFFSET($BN$9,CN59-1,0,1,1),((F59-OFFSET($BM$9,CN59-1,0,1,1))*OFFSET($CI$9,CN59-1,0,1,1))+OFFSET($BP$9,CN59-1,CQ59,1,1),IF(F59&lt;OFFSET($BN$9,CN59+0,0,1,1),((F59-OFFSET($BM$9,CN59+0,0,1,1))*OFFSET($CI$9,CN59+0,0,1,1))+OFFSET($BP$9,CN59+0,CQ59,1,1),IF(F59&lt;OFFSET($BN$9,CN59+1,0,1,1),((F59-OFFSET($BM$9,CN59+1,0,1,1))*OFFSET($CI$9,CN59+1,0,1,1))+OFFSET($BP$9,CN59+1,CQ59,1,1),IF(F59&lt;OFFSET($BN$9,CN59+2,0,1,1),((F59-OFFSET($BM$9,CN59+2,0,1,1))*OFFSET($CI$9,CN59+2,0,1,1))+OFFSET($BP$9,CN59+2,CQ59,1,1),IF(F59&lt;OFFSET($BN$9,CN59+3,0,1,1),((F59-OFFSET($BM$9,CN59+3,0,1,1))*OFFSET($CI$9,CN59+3,0,1,1))+OFFSET($BP$9,CN59+3,CQ59,1,1),0))))))</f>
        <v>0</v>
      </c>
      <c r="DJ59" s="51">
        <f ca="1">IF($F59&lt;OFFSET($BM$9,$CN59-1,0,1,1),0,IF($F59&lt;OFFSET($BN$9,$CN59-1,0,1,1),IF(AND($H59&gt;2.4,Z59&lt;&gt;"e",Z59&lt;&gt;"f"),DN59*2.4/$H59,DN59),IF($F59&lt;OFFSET($BN$9,$CN59+0,0,1,1),IF(AND($H59&gt;2.4,Z59&lt;&gt;"e",Z59&lt;&gt;"f"),DN59*2.4/$H59,DN59),IF($F59&lt;OFFSET($BN$9,$CN59+1,0,1,1),IF(AND($H59&gt;2.4,Z59&lt;&gt;"e",Z59&lt;&gt;"f"),DN59*2.4/$H59,DN59),IF($F59&lt;OFFSET($BN$9,$CN59+2,0,1,1),IF(AND($H59&gt;2.4,Z59&lt;&gt;"e",Z59&lt;&gt;"f"),DN59*2.4/$H59,DN59),IF($F59&lt;OFFSET($BN$9,$CN59+3,0,1,1),IF(AND($H59&gt;2.4,Z59&lt;&gt;"e",Z59&lt;&gt;"f"),DN59*2.4/$H59,DN59),0)))))*COS(RADIANS($G59)))</f>
        <v>0</v>
      </c>
      <c r="DK59" s="51"/>
      <c r="DL59" s="51">
        <f ca="1">IF(DG59&gt;$CR59,$CR59,DG59)</f>
        <v>0</v>
      </c>
      <c r="DM59" s="51"/>
      <c r="DN59" s="51">
        <f ca="1">IF(DI59&gt;$CR59,$CR59,DI59)</f>
        <v>0</v>
      </c>
      <c r="DO59" s="435">
        <f ca="1">IF(DH59&gt;$CR59,$CR59,DH59)</f>
        <v>0</v>
      </c>
      <c r="DP59" s="435">
        <f ca="1">DO59*F59</f>
        <v>0</v>
      </c>
      <c r="DQ59" s="436">
        <f ca="1">IF(DJ59&gt;$CR59,$CR59,DJ59)</f>
        <v>0</v>
      </c>
      <c r="DR59" s="437">
        <f ca="1">DQ59*F59</f>
        <v>0</v>
      </c>
      <c r="DS59" s="426">
        <f ca="1">OFFSET($CH$9,CL59-1,-15,1,1)</f>
        <v>0</v>
      </c>
      <c r="DT59" s="451">
        <f t="shared" ca="1" si="27"/>
        <v>0</v>
      </c>
      <c r="DU59" s="188">
        <f ca="1">IF(F59&lt;OFFSET($BM$9,DT59-1,0,1,1),0,IF(F59&lt;OFFSET($BN$9,DT59-1,0,1,1),((F59-OFFSET($BM$9,DT59-1,0,1,1))*OFFSET($CH$9,DT59-1,0,1,1))+OFFSET($BO$9,DT59-1,CQ59,1,1),IF(F59&lt;OFFSET($BN$9,DT59+0,0,1,1),((F59-OFFSET($BM$9,DT59+0,0,1,1))*OFFSET($CH$9,DT59+0,0,1,1))+OFFSET($BO$9,DT59+0,CQ59,1,1),IF(F59&lt;OFFSET($BN$9,DT59+1,0,1,1),((F59-OFFSET($BM$9,DT59+1,0,1,1))*OFFSET($CH$9,DT59+1,0,1,1))+OFFSET($BO$9,DT59+1,CQ59,1,1),IF(F59&lt;OFFSET($BN$9,DT59+2,0,1,1),((F59-OFFSET($BM$9,DT59+2,0,1,1))*OFFSET($CH$9,DT59+2,0,1,1))+OFFSET($BO$9,DT59+2,CQ59,1,1),IF(F59&lt;OFFSET($BN$9,DT59+3,0,1,1),((F59-OFFSET($BM$9,DT59+3,0,1,1))*OFFSET($CH$9,DT59+3,0,1,1))+OFFSET($BO$9,DT59+3,CQ59,1,1),0))))))</f>
        <v>0</v>
      </c>
      <c r="DV59" s="51">
        <f ca="1">IF($F59&lt;OFFSET($BM$9,$DT59-1,0,1,1),0,IF($F59&lt;OFFSET($BN$9,$DT59-1,0,1,1),IF(AND($H59&gt;2.4,Z59&lt;&gt;"e",Z59&lt;&gt;"f"),DZ59*2.4/$H59,DZ59),IF($F59&lt;OFFSET($BN$9,$DT59+0,0,1,1),IF(AND($H59&gt;2.4,Z59&lt;&gt;"e",Z59&lt;&gt;"f"),DZ59*2.4/$H59,DZ59),IF($F59&lt;OFFSET($BN$9,$DT59+1,0,1,1),IF(AND($H59&gt;2.4,Z59&lt;&gt;"e",Z59&lt;&gt;"f"),DZ59*2.4/$H59,DZ59),IF($F59&lt;OFFSET($BN$9,$DT59+2,0,1,1),IF(AND($H59&gt;2.4,Z59&lt;&gt;"e",Z59&lt;&gt;"f"),DZ59*2.4/$H59,DZ59),IF($F59&lt;OFFSET($BN$9,$DT59+3,0,1,1),IF(AND($H59&gt;2.4,Z59&lt;&gt;"e",Z59&lt;&gt;"f"),DZ59*2.4/$H59,DZ59),0)))))*COS(RADIANS($G59)))</f>
        <v>0</v>
      </c>
      <c r="DW59" s="188">
        <f ca="1">IF(F59&lt;OFFSET($BM$9,DT59-1,0,1,1),0,IF(F59&lt;OFFSET($BN$9,DT59-1,0,1,1),((F59-OFFSET($BM$9,DT59-1,0,1,1))*OFFSET($CI$9,DT59-1,0,1,1))+OFFSET($BP$9,DT59-1,CQ59,1,1),IF(F59&lt;OFFSET($BN$9,DT59+0,0,1,1),((F59-OFFSET($BM$9,DT59+0,0,1,1))*OFFSET($CI$9,DT59+0,0,1,1))+OFFSET($BP$9,DT59+0,CQ59,1,1),IF(F59&lt;OFFSET($BN$9,DT59+1,0,1,1),((F59-OFFSET($BM$9,DT59+1,0,1,1))*OFFSET($CI$9,DT59+1,0,1,1))+OFFSET($BP$9,DT59+1,CQ59,1,1),IF(F59&lt;OFFSET($BN$9,DT59+2,0,1,1),((F59-OFFSET($BM$9,DT59+2,0,1,1))*OFFSET($CI$9,DT59+2,0,1,1))+OFFSET($BP$9,DT59+2,CQ59,1,1),IF(F59&lt;OFFSET($BN$9,DT59+3,0,1,1),((F59-OFFSET($BM$9,DT59+3,0,1,1))*OFFSET($CI$9,DT59+3,0,1,1))+OFFSET($BP$9,DT59+3,CQ59,1,1),0))))))</f>
        <v>0</v>
      </c>
      <c r="DX59" s="51">
        <f ca="1">IF($F59&lt;OFFSET($BM$9,$DT59-1,0,1,1),0,IF($F59&lt;OFFSET($BN$9,$DT59-1,0,1,1),IF(AND($H59&gt;2.4,Z59&lt;&gt;"e",Z59&lt;&gt;"f"),EB59*2.4/$H59,EB59),IF($F59&lt;OFFSET($BN$9,$DT59+0,0,1,1),IF(AND($H59&gt;2.4,Z59&lt;&gt;"e",Z59&lt;&gt;"f"),EB59*2.4/$H59,EB59),IF($F59&lt;OFFSET($BN$9,$DT59+1,0,1,1),IF(AND($H59&gt;2.4,Z59&lt;&gt;"e",Z59&lt;&gt;"f"),EB59*2.4/$H59,EB59),IF($F59&lt;OFFSET($BN$9,$DT59+2,0,1,1),IF(AND($H59&gt;2.4,Z59&lt;&gt;"e",Z59&lt;&gt;"f"),EB59*2.4/$H59,EB59),IF($F59&lt;OFFSET($BN$9,$DT59+3,0,1,1),IF(AND($H59&gt;2.4,Z59&lt;&gt;"e",Z59&lt;&gt;"f"),EB59*2.4/$H59,EB59),0)))))*COS(RADIANS($G59)))</f>
        <v>0</v>
      </c>
      <c r="DY59" s="188"/>
      <c r="DZ59" s="188">
        <f ca="1">IF(DU59&gt;$CR59,$CR59,DU59)</f>
        <v>0</v>
      </c>
      <c r="EA59" s="188"/>
      <c r="EB59" s="188">
        <f ca="1">IF(DW59&gt;$CR59,$CR59,DW59)</f>
        <v>0</v>
      </c>
      <c r="EC59" s="435">
        <f ca="1">IF(DV59&gt;$CR59,$CR59,DV59)</f>
        <v>0</v>
      </c>
      <c r="ED59" s="435">
        <f ca="1">EC59*F59</f>
        <v>0</v>
      </c>
      <c r="EE59" s="436">
        <f ca="1">IF(DX59&gt;$CR59,$CR59,DX59)</f>
        <v>0</v>
      </c>
      <c r="EF59" s="437">
        <f ca="1">EE59*F59</f>
        <v>0</v>
      </c>
      <c r="EG59" s="613" t="str">
        <f>IF(D59=BG$12,BG$12,"")</f>
        <v/>
      </c>
      <c r="EH59" s="614" t="str">
        <f>IF(D59=BG$13,BG$13,"")</f>
        <v/>
      </c>
      <c r="EI59" s="611">
        <f>IF(EG59=BG$12,M59,0)</f>
        <v>0</v>
      </c>
      <c r="EJ59" s="451">
        <f>IF(EG59=BG$12,O59,0)</f>
        <v>0</v>
      </c>
      <c r="EK59" s="451">
        <f>IF(EH59=BG$13,M59,0)</f>
        <v>0</v>
      </c>
      <c r="EL59" s="612">
        <f>IF(EH59=BG$13,O59,0)</f>
        <v>0</v>
      </c>
      <c r="EM59" s="426" t="str">
        <f ca="1">IF(AND(Z59&lt;&gt;"t",Z59&lt;&gt;"f"),"",IF(AND(EN59=$BH$13,K59=$BH$12),"NotOpt",IF(K59&lt;&gt;EN59,"Error","")))</f>
        <v/>
      </c>
      <c r="EN59" s="491" t="str">
        <f>IF(AND($BH$28=1,$BG$28=1),$BH$13,$BH$12)</f>
        <v>120 BU's</v>
      </c>
      <c r="EO59" s="426" t="str">
        <f>K59</f>
        <v xml:space="preserve"> </v>
      </c>
      <c r="EP59" s="497">
        <v>1</v>
      </c>
      <c r="EQ59" s="430" t="str">
        <f ca="1">IF(EP59=1," ",OFFSET(BF$15,EP59-2,0,1,1))</f>
        <v xml:space="preserve"> </v>
      </c>
      <c r="ER59" s="439" t="str">
        <f ca="1">IF(H59=0," ",H59)</f>
        <v xml:space="preserve"> </v>
      </c>
      <c r="ES59" s="440" t="str">
        <f ca="1">IF(ER59&lt;&gt;" ",IF(ER59&lt;&gt;ER$7,"Changed",""),"")</f>
        <v/>
      </c>
      <c r="ET59" s="440">
        <f t="shared" ca="1" si="15"/>
        <v>0</v>
      </c>
      <c r="EU59" s="957" t="str">
        <f ca="1">IF(I59=" "," ",IF(F59&lt;OFFSET($BM$9,CL59-1,0,1,1),1,""))</f>
        <v xml:space="preserve"> </v>
      </c>
      <c r="EW59" s="427"/>
      <c r="EX59"/>
    </row>
    <row r="60" spans="1:154" ht="17.100000000000001" customHeight="1" thickBot="1">
      <c r="A60" s="2685"/>
      <c r="B60" s="689" t="s">
        <v>246</v>
      </c>
      <c r="C60" s="684" t="str">
        <f>IF(OR(F60=0,I60="",I60=" ")," ",$V60)</f>
        <v xml:space="preserve"> </v>
      </c>
      <c r="D60" s="1033"/>
      <c r="E60" s="1360" t="s">
        <v>8</v>
      </c>
      <c r="F60" s="202"/>
      <c r="G60" s="1416"/>
      <c r="H60" s="199" t="str">
        <f ca="1">IF(OR(F60=0,Z60="E",Z60="f")," ",'Project Demand'!E$35)</f>
        <v xml:space="preserve"> </v>
      </c>
      <c r="I60" s="631" t="str">
        <f>IF($I$6&lt;&gt;$BG$8," ",AB60)</f>
        <v xml:space="preserve"> </v>
      </c>
      <c r="J60" s="44" t="str">
        <f ca="1">IF(OR(I60=" ",I60="")," ",OFFSET($BO$9,CL60-1,0-4,1,1))</f>
        <v xml:space="preserve"> </v>
      </c>
      <c r="K60" s="55" t="str">
        <f>IF(OR(I60=" ",I60="")," ",IF(OR(Z60="e",Z60="h"),"SD",BG$24))</f>
        <v xml:space="preserve"> </v>
      </c>
      <c r="L60" s="49">
        <f ca="1">CW60</f>
        <v>0</v>
      </c>
      <c r="M60" s="49">
        <f ca="1">CY60</f>
        <v>0</v>
      </c>
      <c r="N60" s="50">
        <f t="shared" ca="1" si="32"/>
        <v>0</v>
      </c>
      <c r="O60" s="126">
        <f t="shared" ca="1" si="32"/>
        <v>0</v>
      </c>
      <c r="P60" s="140"/>
      <c r="Q60" s="752" t="str">
        <f ca="1">IF(AND(OR(Z60="t",Z60="f"),K60=$BH$11),"No Floor!  Change Floor Type",IF(OR(I60=" ",I60="")," ",IF(F60&lt;OFFSET($BM$9,CL60-1,0,1,1),"check L(m)",DE60&amp;IF(AND(DP60&gt;=CY60,DR60&gt;=DB60),IF(AND(ED60&gt;=DP60,EF60&gt;=DR60),CONCATENATE(DS60," will provide same result"),CONCATENATE(CO60," will provide same result")),IF((DP60&gt;=CY60),CONCATENATE(CO60," provides same result in WIND"),IF((DR60&gt;=DB60),CONCATENATE(CO60," provides same result in EQ"),""))))))&amp;IF(ISERROR(FIND("pile",I60,1)),"",IF(INT(F60)&lt;&gt;F60,"Pile!  Use Whole Numbers Only",""))</f>
        <v xml:space="preserve"> </v>
      </c>
      <c r="R60" s="52"/>
      <c r="S60" s="1372"/>
      <c r="T60" s="1372"/>
      <c r="U60" s="1377"/>
      <c r="V60" s="52" t="str">
        <f ca="1">IF(AND(B$5=$BF$9,OR(I60=BH$16,I60=BH$17))," ",IF(ISNUMBER(B$56),(CONCATENATE(B$56,".",W60)),(CONCATENATE(B$56,W60))))</f>
        <v>U0</v>
      </c>
      <c r="W60" s="9">
        <f ca="1">W59+X60</f>
        <v>0</v>
      </c>
      <c r="X60" s="9">
        <f>IF(AND(B$5=$BF$9,OR($I60=$BH$16,$I60=$BH$17,$I60=" ",$I60="",$F60=0)),0,IF(OR($I60=" ",$I60="",$F60=0),0,1))</f>
        <v>0</v>
      </c>
      <c r="Y60" s="896"/>
      <c r="Z60" s="52" t="str">
        <f ca="1">IF(I60=" "," ",OFFSET($BM$9,$CL60-1,8,1,1))</f>
        <v xml:space="preserve"> </v>
      </c>
      <c r="AA60" s="51" t="str">
        <f>IF(G60&gt;=45,"WA","")</f>
        <v/>
      </c>
      <c r="AB60" s="1364" t="str">
        <f>IF(F60&lt;&gt;"",IF(OR(D60=$BG$12,D60=$BG$13),IF(E60&lt;&gt;$BG$17,$BF$12,$BF$13),IF(E60&lt;&gt;$BG$17,$BF$12,$BF$13))," ")</f>
        <v xml:space="preserve"> </v>
      </c>
      <c r="AC60" s="1"/>
      <c r="AK60" s="63" t="str">
        <f>'Custom Elements'!B21</f>
        <v xml:space="preserve">  </v>
      </c>
      <c r="AL60" s="860" t="str">
        <f>'Custom Elements'!C21</f>
        <v>Custom13</v>
      </c>
      <c r="AM60" s="11">
        <f>'Custom Elements'!D21</f>
        <v>9.9999999999999996E-76</v>
      </c>
      <c r="AN60" s="7">
        <f>'Custom Elements'!E21</f>
        <v>0</v>
      </c>
      <c r="AO60" s="7">
        <f>'Custom Elements'!F21</f>
        <v>0</v>
      </c>
      <c r="AP60" s="762" t="str">
        <f>'Custom Elements'!G21</f>
        <v>B</v>
      </c>
      <c r="AQ60" s="1777" t="str">
        <f>'Custom Elements'!H21</f>
        <v>Single</v>
      </c>
      <c r="AR60" s="1775" t="str">
        <f>'Custom Elements'!I21</f>
        <v>Yes</v>
      </c>
      <c r="AS60" s="442" t="str">
        <f>'Custom Elements'!J21</f>
        <v>Yes</v>
      </c>
      <c r="AT60" s="1598"/>
      <c r="AU60" s="1155"/>
      <c r="AZ60" s="442" t="str">
        <f>IF(AND('Custom Elements'!J21="Yes",'Custom Elements'!I21="Yes"),"T",IF('Custom Elements'!J21="Yes","F",IF('Custom Elements'!I21="Yes","H","E")))</f>
        <v>T</v>
      </c>
      <c r="BD60" s="638"/>
      <c r="BE60" s="1020"/>
      <c r="BF60" s="1020"/>
      <c r="BG60" s="1020"/>
      <c r="BH60" s="479"/>
      <c r="BI60" s="759"/>
      <c r="BJ60" s="897">
        <f t="shared" si="28"/>
        <v>52</v>
      </c>
      <c r="BK60" s="908"/>
      <c r="BL60" s="767"/>
      <c r="BM60" s="776">
        <f>Table!D14</f>
        <v>1.2</v>
      </c>
      <c r="BN60" s="776">
        <v>999</v>
      </c>
      <c r="BO60" s="776">
        <f>Table!E14</f>
        <v>98</v>
      </c>
      <c r="BP60" s="926">
        <f>Table!F14</f>
        <v>88</v>
      </c>
      <c r="BQ60" s="1183"/>
      <c r="BR60" s="908"/>
      <c r="BS60" s="776"/>
      <c r="BT60" s="776"/>
      <c r="BU60" s="926" t="s">
        <v>242</v>
      </c>
      <c r="BV60" s="433"/>
      <c r="BW60" s="914"/>
      <c r="BX60" s="926" t="str">
        <f>Table!H11</f>
        <v>Double</v>
      </c>
      <c r="CH60" s="908">
        <f>IF(BN60=999,0,(BO61-BO60)/(BN60-BM60))</f>
        <v>0</v>
      </c>
      <c r="CI60" s="926">
        <f>IF(BN60=999,0,(BP61-BP60)/(BN60-BM60))</f>
        <v>0</v>
      </c>
      <c r="CJ60" s="759"/>
      <c r="CK60" s="188"/>
      <c r="CL60" s="979">
        <f>VLOOKUP(I60,Prodlink,2,0)</f>
        <v>0</v>
      </c>
      <c r="CN60" s="497">
        <f ca="1">VLOOKUP(CO60,Prodlink,2,0)</f>
        <v>0</v>
      </c>
      <c r="CO60" s="497">
        <f ca="1">OFFSET($CH$9,CL60-1,-15,1,1)</f>
        <v>0</v>
      </c>
      <c r="CQ60" s="51">
        <v>0</v>
      </c>
      <c r="CR60" s="51">
        <f>IF(K60=$BH$12,$BH$23,IF(K60=$BH$13,$BH$24,10000))</f>
        <v>10000</v>
      </c>
      <c r="CS60" s="51">
        <f ca="1">IF(F60&lt;OFFSET($BM$9,CL60-1,0,1,1),0,IF(F60&lt;OFFSET($BN$9,CL60-1,0,1,1),((F60-OFFSET($BM$9,CL60-1,0,1,1))*OFFSET($CH$9,CL60-1,0,1,1))+OFFSET($BO$9,CL60-1,CQ60,1,1),IF(F60&lt;OFFSET($BN$9,CL60+0,0,1,1),((F60-OFFSET($BM$9,CL60+0,0,1,1))*OFFSET($CH$9,CL60+0,0,1,1))+OFFSET($BO$9,CL60+0,CQ60,1,1),IF(F60&lt;OFFSET($BN$9,CL60+1,0,1,1),((F60-OFFSET($BM$9,CL60+1,0,1,1))*OFFSET($CH$9,CL60+1,0,1,1))+OFFSET($BO$9,CL60+1,CQ60,1,1),IF(F60&lt;OFFSET($BN$9,CL60+2,0,1,1),((F60-OFFSET($BM$9,CL60+2,0,1,1))*OFFSET($CH$9,CL60+2,0,1,1))+OFFSET($BO$9,CL60+2,CQ60,1,1),IF(F60&lt;OFFSET($BN$9,CL60+3,0,1,1),((F60-OFFSET($BM$9,CL60+3,0,1,1))*OFFSET($CH$9,CL60+3,0,1,1))+OFFSET($BO$9,CL60+3,CQ60,1,1),0))))))</f>
        <v>0</v>
      </c>
      <c r="CT60" s="51">
        <f ca="1">IF($F60&lt;OFFSET($BM$9,$CL60-1,0,1,1),0,IF($F60&lt;OFFSET($BN$9,$CL60-1,0,1,1),IF(AND($H60&gt;2.4,Z60&lt;&gt;"e",Z60&lt;&gt;"f"),CX60*2.4/$H60,CX60),IF($F60&lt;OFFSET($BN$9,$CL60+0,0,1,1),IF(AND($H60&gt;2.4,Z60&lt;&gt;"e",Z60&lt;&gt;"f"),CX60*2.4/$H60,CX60),IF($F60&lt;OFFSET($BN$9,$CL60+1,0,1,1),IF(AND($H60&gt;2.4,Z60&lt;&gt;"e",Z60&lt;&gt;"f"),CX60*2.4/$H60,CX60),IF($F60&lt;OFFSET($BN$9,CL60+2,0,1,1),IF(AND($H60&gt;2.4,Z60&lt;&gt;"e",Z60&lt;&gt;"f"),CX60*2.4/$H60,CX60),IF($F60&lt;OFFSET($BN$9,CL60+3,0,1,1),IF(AND($H60&gt;2.4,Z60&lt;&gt;"e",Z60&lt;&gt;"f"),CX60*2.4/$H60,CX60),0)))))*COS(RADIANS($G60)))</f>
        <v>0</v>
      </c>
      <c r="CU60" s="51">
        <f ca="1">IF(F60&lt;OFFSET($BM$9,CL60-1,0,1,1),0,IF(F60&lt;OFFSET($BN$9,CL60-1,0,1,1),((F60-OFFSET($BM$9,CL60-1,0,1,1))*OFFSET($CI$9,CL60-1,0,1,1))+OFFSET($BP$9,CL60-1,CQ60,1,1),IF(F60&lt;OFFSET($BN$9,CL60+0,0,1,1),((F60-OFFSET($BM$9,CL60+0,0,1,1))*OFFSET($CI$9,CL60+0,0,1,1))+OFFSET($BP$9,CL60+0,CQ60,1,1),IF(F60&lt;OFFSET($BN$9,CL60+1,0,1,1),((F60-OFFSET($BM$9,CL60+1,0,1,1))*OFFSET($CI$9,CL60+1,0,1,1))+OFFSET($BP$9,CL60+1,CQ60,1,1),IF(F60&lt;OFFSET($BN$9,CL60+2,0,1,1),((F60-OFFSET($BM$9,CL60+2,0,1,1))*OFFSET($CI$9,CL60+2,0,1,1))+OFFSET($BP$9,CL60+2,CQ60,1,1),IF(F60&lt;OFFSET($BN$9,CL60+3,0,1,1),((F60-OFFSET($BM$9,CL60+3,0,1,1))*OFFSET($CI$9,CL60+3,0,1,1))+OFFSET($BP$9,CL60+3,CQ60,1,1),0))))))</f>
        <v>0</v>
      </c>
      <c r="CV60" s="51">
        <f ca="1">IF($F60&lt;OFFSET($BM$9,$CL60-1,0,1,1),0,IF($F60&lt;OFFSET($BN$9,$CL60-1,0,1,1),IF(AND($H60&gt;2.4,Z60&lt;&gt;"e",Z60&lt;&gt;"f"),CZ60*2.4/$H60,CZ60),IF($F60&lt;OFFSET($BN$9,$CL60+0,0,1,1),IF(AND($H60&gt;2.4,Z60&lt;&gt;"e",Z60&lt;&gt;"f"),CZ60*2.4/$H60,CZ60),IF($F60&lt;OFFSET($BN$9,$CL60+1,0,1,1),IF(AND($H60&gt;2.4,Z60&lt;&gt;"e",Z60&lt;&gt;"f"),CZ60*2.4/$H60,CZ60),IF($F60&lt;OFFSET($BN$9,$CL60+2,0,1,1),IF(AND($H60&gt;2.4,Z60&lt;&gt;"e",Z60&lt;&gt;"f"),CZ60*2.4/$H60,CZ60),IF($F60&lt;OFFSET($BN$9,$CL60+3,0,1,1),IF(AND($H60&gt;2.4,Z60&lt;&gt;"e",Z60&lt;&gt;"f"),CZ60*2.4/$H60,CZ60),0)))))*COS(RADIANS($G60)))</f>
        <v>0</v>
      </c>
      <c r="CW60" s="51">
        <f ca="1">IF(CT60&gt;CR60,CR60,CT60)</f>
        <v>0</v>
      </c>
      <c r="CX60" s="51">
        <f ca="1">IF(CS60&gt;$CR60,$CR60,CS60)</f>
        <v>0</v>
      </c>
      <c r="CY60" s="51">
        <f ca="1">CW60*F60</f>
        <v>0</v>
      </c>
      <c r="CZ60" s="51">
        <f ca="1">IF($CU60&gt;$CR60,$CR60,$CU60)</f>
        <v>0</v>
      </c>
      <c r="DA60" s="51">
        <f ca="1">IF(CV60&gt;CR60,CR60,CV60)</f>
        <v>0</v>
      </c>
      <c r="DB60" s="51">
        <f ca="1">DA60*F60</f>
        <v>0</v>
      </c>
      <c r="DC60" s="993">
        <v>1</v>
      </c>
      <c r="DD60" s="758" t="str">
        <f>IF(OR(D60=BG$12,D60=BG$13),"External",IF(D60=BG$14,"Internal"," "))</f>
        <v xml:space="preserve"> </v>
      </c>
      <c r="DE60" s="51" t="str">
        <f t="shared" ca="1" si="2"/>
        <v/>
      </c>
      <c r="DF60" s="52" t="str">
        <f t="shared" ca="1" si="3"/>
        <v xml:space="preserve"> </v>
      </c>
      <c r="DG60" s="51">
        <f ca="1">IF(F60&lt;OFFSET($BM$9,CN60-1,0,1,1),0,IF(F60&lt;OFFSET($BN$9,CN60-1,0,1,1),((F60-OFFSET($BM$9,CN60-1,0,1,1))*OFFSET($CH$9,CN60-1,0,1,1))+OFFSET($BO$9,CN60-1,CQ60,1,1),IF(F60&lt;OFFSET($BN$9,CN60+0,0,1,1),((F60-OFFSET($BM$9,CN60+0,0,1,1))*OFFSET($CH$9,CN60+0,0,1,1))+OFFSET($BO$9,CN60+0,CQ60,1,1),IF(F60&lt;OFFSET($BN$9,CN60+1,0,1,1),((F60-OFFSET($BM$9,CN60+1,0,1,1))*OFFSET($CH$9,CN60+1,0,1,1))+OFFSET($BO$9,CN60+1,CQ60,1,1),IF(F60&lt;OFFSET($BN$9,CN60+2,0,1,1),((F60-OFFSET($BM$9,CN60+2,0,1,1))*OFFSET($CH$9,CN60+2,0,1,1))+OFFSET($BO$9,CN60+2,CQ60,1,1),IF(F60&lt;OFFSET($BN$9,CN60+3,0,1,1),((F60-OFFSET($BM$9,CN60+3,0,1,1))*OFFSET($CH$9,CN60+3,0,1,1))+OFFSET($BO$9,CN60+3,CQ60,1,1),0))))))</f>
        <v>0</v>
      </c>
      <c r="DH60" s="51">
        <f ca="1">IF($F60&lt;OFFSET($BM$9,$CN60-1,0,1,1),0,IF($F60&lt;OFFSET($BN$9,$CN60-1,0,1,1),IF(AND($H60&gt;2.4,Z60&lt;&gt;"e",Z60&lt;&gt;"f"),DL60*2.4/$H60,DL60),IF($F60&lt;OFFSET($BN$9,$CN60+0,0,1,1),IF(AND($H60&gt;2.4,Z60&lt;&gt;"e",Z60&lt;&gt;"f"),DL60*2.4/$H60,DL60),IF($F60&lt;OFFSET($BN$9,$CN60+1,0,1,1),IF(AND($H60&gt;2.4,Z60&lt;&gt;"e",Z60&lt;&gt;"f"),DL60*2.4/$H60,DL60),IF($F60&lt;OFFSET($BN$9,$CN60+2,0,1,1),IF(AND($H60&gt;2.4,Z60&lt;&gt;"e",Z60&lt;&gt;"f"),DL60*2.4/$H60,DL60),IF($F60&lt;OFFSET($BN$9,$CN60+3,0,1,1),IF(AND($H60&gt;2.4,Z60&lt;&gt;"e",Z60&lt;&gt;"f"),DL60*2.4/$H60,DL60),0)))))*COS(RADIANS($G60)))</f>
        <v>0</v>
      </c>
      <c r="DI60" s="51">
        <f ca="1">IF(F60&lt;OFFSET($BM$9,CN60-1,0,1,1),0,IF(F60&lt;OFFSET($BN$9,CN60-1,0,1,1),((F60-OFFSET($BM$9,CN60-1,0,1,1))*OFFSET($CI$9,CN60-1,0,1,1))+OFFSET($BP$9,CN60-1,CQ60,1,1),IF(F60&lt;OFFSET($BN$9,CN60+0,0,1,1),((F60-OFFSET($BM$9,CN60+0,0,1,1))*OFFSET($CI$9,CN60+0,0,1,1))+OFFSET($BP$9,CN60+0,CQ60,1,1),IF(F60&lt;OFFSET($BN$9,CN60+1,0,1,1),((F60-OFFSET($BM$9,CN60+1,0,1,1))*OFFSET($CI$9,CN60+1,0,1,1))+OFFSET($BP$9,CN60+1,CQ60,1,1),IF(F60&lt;OFFSET($BN$9,CN60+2,0,1,1),((F60-OFFSET($BM$9,CN60+2,0,1,1))*OFFSET($CI$9,CN60+2,0,1,1))+OFFSET($BP$9,CN60+2,CQ60,1,1),IF(F60&lt;OFFSET($BN$9,CN60+3,0,1,1),((F60-OFFSET($BM$9,CN60+3,0,1,1))*OFFSET($CI$9,CN60+3,0,1,1))+OFFSET($BP$9,CN60+3,CQ60,1,1),0))))))</f>
        <v>0</v>
      </c>
      <c r="DJ60" s="51">
        <f ca="1">IF($F60&lt;OFFSET($BM$9,$CN60-1,0,1,1),0,IF($F60&lt;OFFSET($BN$9,$CN60-1,0,1,1),IF(AND($H60&gt;2.4,Z60&lt;&gt;"e",Z60&lt;&gt;"f"),DN60*2.4/$H60,DN60),IF($F60&lt;OFFSET($BN$9,$CN60+0,0,1,1),IF(AND($H60&gt;2.4,Z60&lt;&gt;"e",Z60&lt;&gt;"f"),DN60*2.4/$H60,DN60),IF($F60&lt;OFFSET($BN$9,$CN60+1,0,1,1),IF(AND($H60&gt;2.4,Z60&lt;&gt;"e",Z60&lt;&gt;"f"),DN60*2.4/$H60,DN60),IF($F60&lt;OFFSET($BN$9,$CN60+2,0,1,1),IF(AND($H60&gt;2.4,Z60&lt;&gt;"e",Z60&lt;&gt;"f"),DN60*2.4/$H60,DN60),IF($F60&lt;OFFSET($BN$9,$CN60+3,0,1,1),IF(AND($H60&gt;2.4,Z60&lt;&gt;"e",Z60&lt;&gt;"f"),DN60*2.4/$H60,DN60),0)))))*COS(RADIANS($G60)))</f>
        <v>0</v>
      </c>
      <c r="DK60" s="51"/>
      <c r="DL60" s="51">
        <f ca="1">IF(DG60&gt;$CR60,$CR60,DG60)</f>
        <v>0</v>
      </c>
      <c r="DM60" s="51"/>
      <c r="DN60" s="51">
        <f ca="1">IF(DI60&gt;$CR60,$CR60,DI60)</f>
        <v>0</v>
      </c>
      <c r="DO60" s="435">
        <f ca="1">IF(DH60&gt;$CR60,$CR60,DH60)</f>
        <v>0</v>
      </c>
      <c r="DP60" s="435">
        <f ca="1">DO60*F60</f>
        <v>0</v>
      </c>
      <c r="DQ60" s="436">
        <f ca="1">IF(DJ60&gt;$CR60,$CR60,DJ60)</f>
        <v>0</v>
      </c>
      <c r="DR60" s="437">
        <f ca="1">DQ60*F60</f>
        <v>0</v>
      </c>
      <c r="DS60" s="426">
        <f ca="1">OFFSET($CH$9,CL60-1,-15,1,1)</f>
        <v>0</v>
      </c>
      <c r="DT60" s="451">
        <f t="shared" ca="1" si="27"/>
        <v>0</v>
      </c>
      <c r="DU60" s="188">
        <f ca="1">IF(F60&lt;OFFSET($BM$9,DT60-1,0,1,1),0,IF(F60&lt;OFFSET($BN$9,DT60-1,0,1,1),((F60-OFFSET($BM$9,DT60-1,0,1,1))*OFFSET($CH$9,DT60-1,0,1,1))+OFFSET($BO$9,DT60-1,CQ60,1,1),IF(F60&lt;OFFSET($BN$9,DT60+0,0,1,1),((F60-OFFSET($BM$9,DT60+0,0,1,1))*OFFSET($CH$9,DT60+0,0,1,1))+OFFSET($BO$9,DT60+0,CQ60,1,1),IF(F60&lt;OFFSET($BN$9,DT60+1,0,1,1),((F60-OFFSET($BM$9,DT60+1,0,1,1))*OFFSET($CH$9,DT60+1,0,1,1))+OFFSET($BO$9,DT60+1,CQ60,1,1),IF(F60&lt;OFFSET($BN$9,DT60+2,0,1,1),((F60-OFFSET($BM$9,DT60+2,0,1,1))*OFFSET($CH$9,DT60+2,0,1,1))+OFFSET($BO$9,DT60+2,CQ60,1,1),IF(F60&lt;OFFSET($BN$9,DT60+3,0,1,1),((F60-OFFSET($BM$9,DT60+3,0,1,1))*OFFSET($CH$9,DT60+3,0,1,1))+OFFSET($BO$9,DT60+3,CQ60,1,1),0))))))</f>
        <v>0</v>
      </c>
      <c r="DV60" s="51">
        <f ca="1">IF($F60&lt;OFFSET($BM$9,$DT60-1,0,1,1),0,IF($F60&lt;OFFSET($BN$9,$DT60-1,0,1,1),IF(AND($H60&gt;2.4,Z60&lt;&gt;"e",Z60&lt;&gt;"f"),DZ60*2.4/$H60,DZ60),IF($F60&lt;OFFSET($BN$9,$DT60+0,0,1,1),IF(AND($H60&gt;2.4,Z60&lt;&gt;"e",Z60&lt;&gt;"f"),DZ60*2.4/$H60,DZ60),IF($F60&lt;OFFSET($BN$9,$DT60+1,0,1,1),IF(AND($H60&gt;2.4,Z60&lt;&gt;"e",Z60&lt;&gt;"f"),DZ60*2.4/$H60,DZ60),IF($F60&lt;OFFSET($BN$9,$DT60+2,0,1,1),IF(AND($H60&gt;2.4,Z60&lt;&gt;"e",Z60&lt;&gt;"f"),DZ60*2.4/$H60,DZ60),IF($F60&lt;OFFSET($BN$9,$DT60+3,0,1,1),IF(AND($H60&gt;2.4,Z60&lt;&gt;"e",Z60&lt;&gt;"f"),DZ60*2.4/$H60,DZ60),0)))))*COS(RADIANS($G60)))</f>
        <v>0</v>
      </c>
      <c r="DW60" s="188">
        <f ca="1">IF(F60&lt;OFFSET($BM$9,DT60-1,0,1,1),0,IF(F60&lt;OFFSET($BN$9,DT60-1,0,1,1),((F60-OFFSET($BM$9,DT60-1,0,1,1))*OFFSET($CI$9,DT60-1,0,1,1))+OFFSET($BP$9,DT60-1,CQ60,1,1),IF(F60&lt;OFFSET($BN$9,DT60+0,0,1,1),((F60-OFFSET($BM$9,DT60+0,0,1,1))*OFFSET($CI$9,DT60+0,0,1,1))+OFFSET($BP$9,DT60+0,CQ60,1,1),IF(F60&lt;OFFSET($BN$9,DT60+1,0,1,1),((F60-OFFSET($BM$9,DT60+1,0,1,1))*OFFSET($CI$9,DT60+1,0,1,1))+OFFSET($BP$9,DT60+1,CQ60,1,1),IF(F60&lt;OFFSET($BN$9,DT60+2,0,1,1),((F60-OFFSET($BM$9,DT60+2,0,1,1))*OFFSET($CI$9,DT60+2,0,1,1))+OFFSET($BP$9,DT60+2,CQ60,1,1),IF(F60&lt;OFFSET($BN$9,DT60+3,0,1,1),((F60-OFFSET($BM$9,DT60+3,0,1,1))*OFFSET($CI$9,DT60+3,0,1,1))+OFFSET($BP$9,DT60+3,CQ60,1,1),0))))))</f>
        <v>0</v>
      </c>
      <c r="DX60" s="51">
        <f ca="1">IF($F60&lt;OFFSET($BM$9,$DT60-1,0,1,1),0,IF($F60&lt;OFFSET($BN$9,$DT60-1,0,1,1),IF(AND($H60&gt;2.4,Z60&lt;&gt;"e",Z60&lt;&gt;"f"),EB60*2.4/$H60,EB60),IF($F60&lt;OFFSET($BN$9,$DT60+0,0,1,1),IF(AND($H60&gt;2.4,Z60&lt;&gt;"e",Z60&lt;&gt;"f"),EB60*2.4/$H60,EB60),IF($F60&lt;OFFSET($BN$9,$DT60+1,0,1,1),IF(AND($H60&gt;2.4,Z60&lt;&gt;"e",Z60&lt;&gt;"f"),EB60*2.4/$H60,EB60),IF($F60&lt;OFFSET($BN$9,$DT60+2,0,1,1),IF(AND($H60&gt;2.4,Z60&lt;&gt;"e",Z60&lt;&gt;"f"),EB60*2.4/$H60,EB60),IF($F60&lt;OFFSET($BN$9,$DT60+3,0,1,1),IF(AND($H60&gt;2.4,Z60&lt;&gt;"e",Z60&lt;&gt;"f"),EB60*2.4/$H60,EB60),0)))))*COS(RADIANS($G60)))</f>
        <v>0</v>
      </c>
      <c r="DY60" s="188"/>
      <c r="DZ60" s="188">
        <f ca="1">IF(DU60&gt;$CR60,$CR60,DU60)</f>
        <v>0</v>
      </c>
      <c r="EA60" s="188"/>
      <c r="EB60" s="188">
        <f ca="1">IF(DW60&gt;$CR60,$CR60,DW60)</f>
        <v>0</v>
      </c>
      <c r="EC60" s="435">
        <f ca="1">IF(DV60&gt;$CR60,$CR60,DV60)</f>
        <v>0</v>
      </c>
      <c r="ED60" s="435">
        <f ca="1">EC60*F60</f>
        <v>0</v>
      </c>
      <c r="EE60" s="436">
        <f ca="1">IF(DX60&gt;$CR60,$CR60,DX60)</f>
        <v>0</v>
      </c>
      <c r="EF60" s="437">
        <f ca="1">EE60*F60</f>
        <v>0</v>
      </c>
      <c r="EG60" s="613" t="str">
        <f>IF(D60=BG$12,BG$12,"")</f>
        <v/>
      </c>
      <c r="EH60" s="614" t="str">
        <f>IF(D60=BG$13,BG$13,"")</f>
        <v/>
      </c>
      <c r="EI60" s="611">
        <f>IF(EG60=BG$12,M60,0)</f>
        <v>0</v>
      </c>
      <c r="EJ60" s="451">
        <f>IF(EG60=BG$12,O60,0)</f>
        <v>0</v>
      </c>
      <c r="EK60" s="451">
        <f>IF(EH60=BG$13,M60,0)</f>
        <v>0</v>
      </c>
      <c r="EL60" s="612">
        <f>IF(EH60=BG$13,O60,0)</f>
        <v>0</v>
      </c>
      <c r="EM60" s="426" t="str">
        <f ca="1">IF(AND(Z60&lt;&gt;"t",Z60&lt;&gt;"f"),"",IF(AND(EN60=$BH$13,K60=$BH$12),"NotOpt",IF(K60&lt;&gt;EN60,"Error","")))</f>
        <v/>
      </c>
      <c r="EN60" s="491" t="str">
        <f>IF(AND($BH$28=1,$BG$28=1),$BH$13,$BH$12)</f>
        <v>120 BU's</v>
      </c>
      <c r="EO60" s="426" t="str">
        <f>K60</f>
        <v xml:space="preserve"> </v>
      </c>
      <c r="EP60" s="497">
        <v>1</v>
      </c>
      <c r="EQ60" s="430" t="str">
        <f ca="1">IF(EP60=1," ",OFFSET(BF$15,EP60-2,0,1,1))</f>
        <v xml:space="preserve"> </v>
      </c>
      <c r="ER60" s="439" t="str">
        <f ca="1">IF(H60=0," ",H60)</f>
        <v xml:space="preserve"> </v>
      </c>
      <c r="ES60" s="440" t="str">
        <f ca="1">IF(ER60&lt;&gt;" ",IF(ER60&lt;&gt;ER$7,"Changed",""),"")</f>
        <v/>
      </c>
      <c r="ET60" s="440">
        <f t="shared" ca="1" si="15"/>
        <v>0</v>
      </c>
      <c r="EU60" s="957" t="str">
        <f ca="1">IF(I60=" "," ",IF(F60&lt;OFFSET($BM$9,CL60-1,0,1,1),1,""))</f>
        <v xml:space="preserve"> </v>
      </c>
      <c r="EW60" s="427"/>
      <c r="EX60"/>
    </row>
    <row r="61" spans="1:154" ht="17.100000000000001" customHeight="1" thickBot="1">
      <c r="A61" s="2685"/>
      <c r="B61" s="2686" t="s">
        <v>8</v>
      </c>
      <c r="C61" s="2687"/>
      <c r="D61" s="1461" t="s">
        <v>8</v>
      </c>
      <c r="E61" s="659"/>
      <c r="F61" s="659"/>
      <c r="G61" s="659"/>
      <c r="H61" s="659"/>
      <c r="I61" s="1462"/>
      <c r="J61" s="1365" t="str">
        <f ca="1">(CONCATENATE(B56,$BE$54))</f>
        <v>U  Line:  Min. Requirement</v>
      </c>
      <c r="K61" s="23"/>
      <c r="L61" s="1019">
        <f ca="1">L$5</f>
        <v>0</v>
      </c>
      <c r="M61" s="48">
        <f ca="1">IF(B56=B50,SUM(M56:M60)+M55,SUM(M56:M60))</f>
        <v>0</v>
      </c>
      <c r="N61" s="1019">
        <f ca="1">N$5</f>
        <v>0</v>
      </c>
      <c r="O61" s="125">
        <f ca="1">IF(B56=B50,SUM(O56:O60)+O55,SUM(O56:O60))</f>
        <v>0</v>
      </c>
      <c r="P61" s="139"/>
      <c r="Q61" s="42" t="str">
        <f ca="1">IF(B56=B62,"",IF(AND(M61&gt;0,L61=L$5,OR(M61&lt;$M$105,M61&lt;$BF$3)),"Achieved &lt; Min Req per Line",IF(AND(O61&gt;0,N61=N$5,OR(O61&lt;$O$105,O61&lt;$BF$3)),"Achieved &lt; Min Req per Line",IF(AND(M61&gt;0,L61&gt;M61),"More Required on this line",IF(AND(O61&gt;0,N61&gt;O61),"More Required on this line",IF(AND(L61&gt;0,L61&lt;$BF$3),$BE$59,IF(AND(N61&gt;0,N61&lt;$BF$3),$BE$59,"")))))))</f>
        <v/>
      </c>
      <c r="R61" s="52"/>
      <c r="S61" s="52"/>
      <c r="T61" s="52"/>
      <c r="U61" s="1378"/>
      <c r="V61" s="52"/>
      <c r="W61" s="9"/>
      <c r="X61" s="9"/>
      <c r="Y61" s="896"/>
      <c r="Z61" s="52"/>
      <c r="AA61" s="51"/>
      <c r="AB61" s="1364"/>
      <c r="AC61"/>
      <c r="AK61" s="63" t="str">
        <f>'Custom Elements'!B22</f>
        <v xml:space="preserve">  </v>
      </c>
      <c r="AL61" s="860" t="str">
        <f>'Custom Elements'!C22</f>
        <v>Custom14</v>
      </c>
      <c r="AM61" s="11">
        <f>'Custom Elements'!D22</f>
        <v>9.9999999999999996E-76</v>
      </c>
      <c r="AN61" s="7">
        <f>'Custom Elements'!E22</f>
        <v>0</v>
      </c>
      <c r="AO61" s="7">
        <f>'Custom Elements'!F22</f>
        <v>0</v>
      </c>
      <c r="AP61" s="762" t="str">
        <f>'Custom Elements'!G22</f>
        <v>B</v>
      </c>
      <c r="AQ61" s="1777" t="str">
        <f>'Custom Elements'!H22</f>
        <v>Single</v>
      </c>
      <c r="AR61" s="1775" t="str">
        <f>'Custom Elements'!I22</f>
        <v>Yes</v>
      </c>
      <c r="AS61" s="442" t="str">
        <f>'Custom Elements'!J22</f>
        <v>Yes</v>
      </c>
      <c r="AT61" s="1598"/>
      <c r="AU61" s="1155"/>
      <c r="AZ61" s="442" t="str">
        <f>IF(AND('Custom Elements'!J22="Yes",'Custom Elements'!I22="Yes"),"T",IF('Custom Elements'!J22="Yes","F",IF('Custom Elements'!I22="Yes","H","E")))</f>
        <v>T</v>
      </c>
      <c r="BD61" s="641"/>
      <c r="BE61" s="2715" t="s">
        <v>861</v>
      </c>
      <c r="BF61" s="2716"/>
      <c r="BG61" s="2838"/>
      <c r="BH61" s="479"/>
      <c r="BI61" s="759"/>
      <c r="BJ61" s="897">
        <f t="shared" si="28"/>
        <v>53</v>
      </c>
      <c r="BK61" s="1231"/>
      <c r="BL61" s="1232"/>
      <c r="BM61" s="1205"/>
      <c r="BN61" s="1205"/>
      <c r="BO61" s="1205"/>
      <c r="BP61" s="1205"/>
      <c r="BQ61" s="1233"/>
      <c r="BR61" s="1205"/>
      <c r="BS61" s="1205"/>
      <c r="BT61" s="1205"/>
      <c r="BU61" s="1206"/>
      <c r="BV61" s="1227">
        <v>0</v>
      </c>
      <c r="BW61" s="1228">
        <v>0</v>
      </c>
      <c r="BX61" s="1206"/>
      <c r="CH61" s="970"/>
      <c r="CI61" s="971"/>
      <c r="CJ61" s="759"/>
      <c r="CK61" s="188"/>
      <c r="CL61" s="979"/>
      <c r="CN61" s="497"/>
      <c r="CO61" s="497" t="s">
        <v>8</v>
      </c>
      <c r="CQ61" s="51" t="s">
        <v>8</v>
      </c>
      <c r="CR61" s="51" t="s">
        <v>8</v>
      </c>
      <c r="CS61" s="51" t="s">
        <v>8</v>
      </c>
      <c r="CT61" s="51" t="s">
        <v>8</v>
      </c>
      <c r="CU61" s="51" t="s">
        <v>8</v>
      </c>
      <c r="CV61" s="51" t="s">
        <v>8</v>
      </c>
      <c r="CW61" s="51" t="s">
        <v>8</v>
      </c>
      <c r="CX61" s="51" t="s">
        <v>8</v>
      </c>
      <c r="CY61" s="51" t="s">
        <v>8</v>
      </c>
      <c r="CZ61" s="51" t="s">
        <v>8</v>
      </c>
      <c r="DA61" s="51" t="s">
        <v>8</v>
      </c>
      <c r="DD61" s="758"/>
      <c r="DF61" s="52"/>
      <c r="DG61" s="51" t="s">
        <v>8</v>
      </c>
      <c r="DH61" s="51"/>
      <c r="DI61" s="51" t="s">
        <v>8</v>
      </c>
      <c r="DJ61" s="51"/>
      <c r="DK61" s="51"/>
      <c r="DL61" s="51" t="s">
        <v>8</v>
      </c>
      <c r="DM61" s="51"/>
      <c r="DN61" s="51" t="s">
        <v>8</v>
      </c>
      <c r="DO61" s="435" t="s">
        <v>8</v>
      </c>
      <c r="DP61" s="435"/>
      <c r="DQ61" s="868" t="s">
        <v>8</v>
      </c>
      <c r="DR61" s="868"/>
      <c r="DS61" s="426" t="s">
        <v>8</v>
      </c>
      <c r="DT61" s="451" t="s">
        <v>8</v>
      </c>
      <c r="DU61" s="188" t="s">
        <v>8</v>
      </c>
      <c r="DV61" s="188" t="s">
        <v>8</v>
      </c>
      <c r="DW61" s="188" t="s">
        <v>8</v>
      </c>
      <c r="DX61" s="188" t="s">
        <v>8</v>
      </c>
      <c r="DY61" s="188"/>
      <c r="DZ61" s="188" t="s">
        <v>8</v>
      </c>
      <c r="EA61" s="188" t="s">
        <v>8</v>
      </c>
      <c r="EB61" s="188" t="s">
        <v>8</v>
      </c>
      <c r="EC61" s="435" t="s">
        <v>8</v>
      </c>
      <c r="ED61" s="435" t="s">
        <v>8</v>
      </c>
      <c r="EE61" s="868" t="s">
        <v>8</v>
      </c>
      <c r="EF61" s="867" t="s">
        <v>8</v>
      </c>
      <c r="EG61" s="613"/>
      <c r="EH61" s="614"/>
      <c r="EI61" s="613"/>
      <c r="EJ61" s="435"/>
      <c r="EK61" s="451"/>
      <c r="EL61" s="612"/>
      <c r="EN61" s="947"/>
      <c r="ER61" s="441"/>
      <c r="ES61" s="440"/>
      <c r="ET61" s="440"/>
      <c r="EU61" s="957"/>
      <c r="EW61" s="427"/>
      <c r="EX61"/>
    </row>
    <row r="62" spans="1:154" ht="17.100000000000001" customHeight="1" thickBot="1">
      <c r="A62" s="2685"/>
      <c r="B62" s="1369" t="str">
        <f ca="1">S62</f>
        <v>V</v>
      </c>
      <c r="C62" s="684" t="str">
        <f>IF(OR(F62=0,I62="",I62=" ")," ",$V62)</f>
        <v xml:space="preserve"> </v>
      </c>
      <c r="D62" s="1033"/>
      <c r="E62" s="1360" t="s">
        <v>8</v>
      </c>
      <c r="F62" s="202"/>
      <c r="G62" s="1416"/>
      <c r="H62" s="199" t="str">
        <f ca="1">IF(OR(F62=0,Z62="E",Z62="f")," ",'Project Demand'!E$35)</f>
        <v xml:space="preserve"> </v>
      </c>
      <c r="I62" s="631" t="str">
        <f>IF($I$6&lt;&gt;$BG$8," ",AB62)</f>
        <v xml:space="preserve"> </v>
      </c>
      <c r="J62" s="43" t="str">
        <f ca="1">IF(OR(I62=" ",I62="")," ",OFFSET($BO$9,CL62-1,0-4,1,1))</f>
        <v xml:space="preserve"> </v>
      </c>
      <c r="K62" s="55" t="str">
        <f>IF(OR(I62=" ",I62="")," ",IF(OR(Z62="e",Z62="h"),"SD",BG$24))</f>
        <v xml:space="preserve"> </v>
      </c>
      <c r="L62" s="49">
        <f ca="1">CW62</f>
        <v>0</v>
      </c>
      <c r="M62" s="49">
        <f ca="1">CY62</f>
        <v>0</v>
      </c>
      <c r="N62" s="50">
        <f t="shared" ref="N62:O66" ca="1" si="33">DA62</f>
        <v>0</v>
      </c>
      <c r="O62" s="126">
        <f t="shared" ca="1" si="33"/>
        <v>0</v>
      </c>
      <c r="P62" s="140"/>
      <c r="Q62" s="752" t="str">
        <f ca="1">IF(AND(OR(Z62="t",Z62="f"),K62=$BH$11),"No Floor!  Change Floor Type",IF(OR(I62=" ",I62="")," ",IF(F62&lt;OFFSET($BM$9,CL62-1,0,1,1),"check L(m)",DE62&amp;IF(AND(DP62&gt;=CY62,DR62&gt;=DB62),IF(AND(ED62&gt;=DP62,EF62&gt;=DR62),CONCATENATE(DS62," will provide same result"),CONCATENATE(CO62," will provide same result")),IF((DP62&gt;=CY62),CONCATENATE(CO62," provides same result in WIND"),IF((DR62&gt;=DB62),CONCATENATE(CO62," provides same result in EQ"),""))))))&amp;IF(ISERROR(FIND("pile",I62,1)),"",IF(INT(F62)&lt;&gt;F62,"Pile!  Use Whole Numbers Only",""))</f>
        <v xml:space="preserve"> </v>
      </c>
      <c r="R62" s="52">
        <f ca="1">IF(T56&lt;&gt;2,(COLUMN(INDIRECT(B56&amp;1))+1),U62)</f>
        <v>22</v>
      </c>
      <c r="S62" s="1372" t="str">
        <f ca="1">SUBSTITUTE(ADDRESS(1,R62,4),"1","")</f>
        <v>V</v>
      </c>
      <c r="T62" s="451">
        <f ca="1">IF(AND(ISTEXT(B62),SUBSTITUTE(SUBSTITUTE(SUBSTITUTE(SUBSTITUTE(SUBSTITUTE(SUBSTITUTE(SUBSTITUTE(SUBSTITUTE(SUBSTITUTE(SUBSTITUTE(SUBSTITUTE(SUBSTITUTE(SUBSTITUTE(SUBSTITUTE(SUBSTITUTE(SUBSTITUTE(SUBSTITUTE(SUBSTITUTE(SUBSTITUTE(SUBSTITUTE(SUBSTITUTE(SUBSTITUTE(SUBSTITUTE(SUBSTITUTE(SUBSTITUTE(SUBSTITUTE(LOWER(B62),"a",),"b",),"c",),"d",),"e",),"f",),"g",),"h",),"i",),"j",),"k",),"l",),"m",),"n",),"o",),"p",),"q",),"r",),"s",),"t",),"u",),"v",),"w",),"x",),"y",),"z",)=""),1,2)</f>
        <v>1</v>
      </c>
      <c r="U62" s="1377">
        <v>22</v>
      </c>
      <c r="V62" s="52" t="str">
        <f ca="1">IF(AND(B$5=$BF$9,OR(I62=BH$16,I62=BH$17))," ",IF(ISNUMBER(B$62),(CONCATENATE(B$62,".",W62)),(CONCATENATE(B$62,W62))))</f>
        <v>V0</v>
      </c>
      <c r="W62" s="9">
        <f ca="1">IF(B56=B62,W60+X62,X62)</f>
        <v>0</v>
      </c>
      <c r="X62" s="9">
        <f>IF(AND(B$5=$BF$9,OR($I62=$BH$16,$I62=$BH$17,$I62=" ",$I62="",$F62=0)),0,IF(OR($I62=" ",$I62="",$F62=0),0,1))</f>
        <v>0</v>
      </c>
      <c r="Y62" s="896">
        <f ca="1">IF(AND(M67&gt;0,B62&lt;&gt;B68),1,0)</f>
        <v>0</v>
      </c>
      <c r="Z62" s="52" t="str">
        <f ca="1">IF(I62=" "," ",OFFSET($BM$9,$CL62-1,8,1,1))</f>
        <v xml:space="preserve"> </v>
      </c>
      <c r="AA62" s="51" t="str">
        <f>IF(G62&gt;=45,"WA","")</f>
        <v/>
      </c>
      <c r="AB62" s="1364" t="str">
        <f>IF(F62&lt;&gt;"",IF(OR(D62=$BG$12,D62=$BG$13),IF(E62&lt;&gt;$BG$17,$BF$12,$BF$13),IF(E62&lt;&gt;$BG$17,$BF$12,$BF$13))," ")</f>
        <v xml:space="preserve"> </v>
      </c>
      <c r="AC62" s="1"/>
      <c r="AK62" s="63" t="str">
        <f>'Custom Elements'!B23</f>
        <v xml:space="preserve">  </v>
      </c>
      <c r="AL62" s="860" t="str">
        <f>'Custom Elements'!C23</f>
        <v>Custom15</v>
      </c>
      <c r="AM62" s="11">
        <f>'Custom Elements'!D23</f>
        <v>9.9999999999999996E-76</v>
      </c>
      <c r="AN62" s="7">
        <f>'Custom Elements'!E23</f>
        <v>0</v>
      </c>
      <c r="AO62" s="7">
        <f>'Custom Elements'!F23</f>
        <v>0</v>
      </c>
      <c r="AP62" s="762" t="str">
        <f>'Custom Elements'!G23</f>
        <v>B</v>
      </c>
      <c r="AQ62" s="1777" t="str">
        <f>'Custom Elements'!H23</f>
        <v>Single</v>
      </c>
      <c r="AR62" s="1775" t="str">
        <f>'Custom Elements'!I23</f>
        <v>Yes</v>
      </c>
      <c r="AS62" s="442" t="str">
        <f>'Custom Elements'!J23</f>
        <v>Yes</v>
      </c>
      <c r="AT62" s="1598"/>
      <c r="AU62" s="1155"/>
      <c r="AZ62" s="442" t="str">
        <f>IF(AND('Custom Elements'!J23="Yes",'Custom Elements'!I23="Yes"),"T",IF('Custom Elements'!J23="Yes","F",IF('Custom Elements'!I23="Yes","H","E")))</f>
        <v>T</v>
      </c>
      <c r="BD62" s="641"/>
      <c r="BE62" s="2715" t="s">
        <v>905</v>
      </c>
      <c r="BF62" s="2716"/>
      <c r="BG62" s="2838"/>
      <c r="BH62" s="479"/>
      <c r="BI62" s="759"/>
      <c r="BJ62" s="897">
        <f t="shared" si="28"/>
        <v>54</v>
      </c>
      <c r="BK62" s="768" t="str">
        <f>BK56</f>
        <v xml:space="preserve">EPB </v>
      </c>
      <c r="BL62" s="765" t="str">
        <f>Table!O4</f>
        <v>ES-H</v>
      </c>
      <c r="BM62" s="454">
        <f>Table!P4</f>
        <v>0.4</v>
      </c>
      <c r="BN62" s="454">
        <f>BM63</f>
        <v>0.6</v>
      </c>
      <c r="BO62" s="454">
        <f>Table!Q4</f>
        <v>75</v>
      </c>
      <c r="BP62" s="924">
        <f>Table!R4</f>
        <v>75</v>
      </c>
      <c r="BQ62" s="920"/>
      <c r="BR62" s="768" t="str">
        <f>Table!S4</f>
        <v>ES-N</v>
      </c>
      <c r="BS62" s="454" t="str">
        <f>Table!S5</f>
        <v>ES-N</v>
      </c>
      <c r="BT62" s="454" t="str">
        <f>Table!T4</f>
        <v>B</v>
      </c>
      <c r="BU62" s="924" t="s">
        <v>242</v>
      </c>
      <c r="BV62" s="1230" t="str">
        <f>Table!AI74</f>
        <v>ES-H</v>
      </c>
      <c r="BW62" s="1229">
        <f>BJ62</f>
        <v>54</v>
      </c>
      <c r="BX62" s="924" t="str">
        <f>Table!T5</f>
        <v>Single</v>
      </c>
      <c r="CH62" s="768">
        <f>IF(BN62=999,0,(BO63-BO62)/(BN62-BM62))</f>
        <v>100.00000000000003</v>
      </c>
      <c r="CI62" s="924">
        <f>IF(BN62=999,0,(BP63-BP62)/(BN62-BM62))</f>
        <v>25.000000000000007</v>
      </c>
      <c r="CJ62" s="759"/>
      <c r="CK62" s="188"/>
      <c r="CL62" s="979">
        <f>VLOOKUP(I62,Prodlink,2,0)</f>
        <v>0</v>
      </c>
      <c r="CN62" s="497">
        <f ca="1">VLOOKUP(CO62,Prodlink,2,0)</f>
        <v>0</v>
      </c>
      <c r="CO62" s="497">
        <f ca="1">OFFSET($CH$9,CL62-1,-15,1,1)</f>
        <v>0</v>
      </c>
      <c r="CQ62" s="51">
        <v>0</v>
      </c>
      <c r="CR62" s="51">
        <f>IF(K62=$BH$12,$BH$23,IF(K62=$BH$13,$BH$24,10000))</f>
        <v>10000</v>
      </c>
      <c r="CS62" s="51">
        <f ca="1">IF(F62&lt;OFFSET($BM$9,CL62-1,0,1,1),0,IF(F62&lt;OFFSET($BN$9,CL62-1,0,1,1),((F62-OFFSET($BM$9,CL62-1,0,1,1))*OFFSET($CH$9,CL62-1,0,1,1))+OFFSET($BO$9,CL62-1,CQ62,1,1),IF(F62&lt;OFFSET($BN$9,CL62+0,0,1,1),((F62-OFFSET($BM$9,CL62+0,0,1,1))*OFFSET($CH$9,CL62+0,0,1,1))+OFFSET($BO$9,CL62+0,CQ62,1,1),IF(F62&lt;OFFSET($BN$9,CL62+1,0,1,1),((F62-OFFSET($BM$9,CL62+1,0,1,1))*OFFSET($CH$9,CL62+1,0,1,1))+OFFSET($BO$9,CL62+1,CQ62,1,1),IF(F62&lt;OFFSET($BN$9,CL62+2,0,1,1),((F62-OFFSET($BM$9,CL62+2,0,1,1))*OFFSET($CH$9,CL62+2,0,1,1))+OFFSET($BO$9,CL62+2,CQ62,1,1),IF(F62&lt;OFFSET($BN$9,CL62+3,0,1,1),((F62-OFFSET($BM$9,CL62+3,0,1,1))*OFFSET($CH$9,CL62+3,0,1,1))+OFFSET($BO$9,CL62+3,CQ62,1,1),0))))))</f>
        <v>0</v>
      </c>
      <c r="CT62" s="51">
        <f ca="1">IF($F62&lt;OFFSET($BM$9,$CL62-1,0,1,1),0,IF($F62&lt;OFFSET($BN$9,$CL62-1,0,1,1),IF(AND($H62&gt;2.4,Z62&lt;&gt;"e",Z62&lt;&gt;"f"),CX62*2.4/$H62,CX62),IF($F62&lt;OFFSET($BN$9,$CL62+0,0,1,1),IF(AND($H62&gt;2.4,Z62&lt;&gt;"e",Z62&lt;&gt;"f"),CX62*2.4/$H62,CX62),IF($F62&lt;OFFSET($BN$9,$CL62+1,0,1,1),IF(AND($H62&gt;2.4,Z62&lt;&gt;"e",Z62&lt;&gt;"f"),CX62*2.4/$H62,CX62),IF($F62&lt;OFFSET($BN$9,CL62+2,0,1,1),IF(AND($H62&gt;2.4,Z62&lt;&gt;"e",Z62&lt;&gt;"f"),CX62*2.4/$H62,CX62),IF($F62&lt;OFFSET($BN$9,CL62+3,0,1,1),IF(AND($H62&gt;2.4,Z62&lt;&gt;"e",Z62&lt;&gt;"f"),CX62*2.4/$H62,CX62),0)))))*COS(RADIANS($G62)))</f>
        <v>0</v>
      </c>
      <c r="CU62" s="51">
        <f ca="1">IF(F62&lt;OFFSET($BM$9,CL62-1,0,1,1),0,IF(F62&lt;OFFSET($BN$9,CL62-1,0,1,1),((F62-OFFSET($BM$9,CL62-1,0,1,1))*OFFSET($CI$9,CL62-1,0,1,1))+OFFSET($BP$9,CL62-1,CQ62,1,1),IF(F62&lt;OFFSET($BN$9,CL62+0,0,1,1),((F62-OFFSET($BM$9,CL62+0,0,1,1))*OFFSET($CI$9,CL62+0,0,1,1))+OFFSET($BP$9,CL62+0,CQ62,1,1),IF(F62&lt;OFFSET($BN$9,CL62+1,0,1,1),((F62-OFFSET($BM$9,CL62+1,0,1,1))*OFFSET($CI$9,CL62+1,0,1,1))+OFFSET($BP$9,CL62+1,CQ62,1,1),IF(F62&lt;OFFSET($BN$9,CL62+2,0,1,1),((F62-OFFSET($BM$9,CL62+2,0,1,1))*OFFSET($CI$9,CL62+2,0,1,1))+OFFSET($BP$9,CL62+2,CQ62,1,1),IF(F62&lt;OFFSET($BN$9,CL62+3,0,1,1),((F62-OFFSET($BM$9,CL62+3,0,1,1))*OFFSET($CI$9,CL62+3,0,1,1))+OFFSET($BP$9,CL62+3,CQ62,1,1),0))))))</f>
        <v>0</v>
      </c>
      <c r="CV62" s="51">
        <f ca="1">IF($F62&lt;OFFSET($BM$9,$CL62-1,0,1,1),0,IF($F62&lt;OFFSET($BN$9,$CL62-1,0,1,1),IF(AND($H62&gt;2.4,Z62&lt;&gt;"e",Z62&lt;&gt;"f"),CZ62*2.4/$H62,CZ62),IF($F62&lt;OFFSET($BN$9,$CL62+0,0,1,1),IF(AND($H62&gt;2.4,Z62&lt;&gt;"e",Z62&lt;&gt;"f"),CZ62*2.4/$H62,CZ62),IF($F62&lt;OFFSET($BN$9,$CL62+1,0,1,1),IF(AND($H62&gt;2.4,Z62&lt;&gt;"e",Z62&lt;&gt;"f"),CZ62*2.4/$H62,CZ62),IF($F62&lt;OFFSET($BN$9,$CL62+2,0,1,1),IF(AND($H62&gt;2.4,Z62&lt;&gt;"e",Z62&lt;&gt;"f"),CZ62*2.4/$H62,CZ62),IF($F62&lt;OFFSET($BN$9,$CL62+3,0,1,1),IF(AND($H62&gt;2.4,Z62&lt;&gt;"e",Z62&lt;&gt;"f"),CZ62*2.4/$H62,CZ62),0)))))*COS(RADIANS($G62)))</f>
        <v>0</v>
      </c>
      <c r="CW62" s="51">
        <f ca="1">IF(CT62&gt;CR62,CR62,CT62)</f>
        <v>0</v>
      </c>
      <c r="CX62" s="51">
        <f ca="1">IF(CS62&gt;$CR62,$CR62,CS62)</f>
        <v>0</v>
      </c>
      <c r="CY62" s="51">
        <f ca="1">CW62*F62</f>
        <v>0</v>
      </c>
      <c r="CZ62" s="51">
        <f ca="1">IF($CU62&gt;$CR62,$CR62,$CU62)</f>
        <v>0</v>
      </c>
      <c r="DA62" s="51">
        <f ca="1">IF(CV62&gt;CR62,CR62,CV62)</f>
        <v>0</v>
      </c>
      <c r="DB62" s="51">
        <f ca="1">DA62*F62</f>
        <v>0</v>
      </c>
      <c r="DC62" s="993">
        <v>1</v>
      </c>
      <c r="DD62" s="758" t="str">
        <f>IF(OR(D62=BG$12,D62=BG$13),"External",IF(D62=BG$14,"Internal"," "))</f>
        <v xml:space="preserve"> </v>
      </c>
      <c r="DE62" s="51" t="str">
        <f t="shared" ca="1" si="2"/>
        <v/>
      </c>
      <c r="DF62" s="52" t="str">
        <f t="shared" ca="1" si="3"/>
        <v xml:space="preserve"> </v>
      </c>
      <c r="DG62" s="51">
        <f ca="1">IF(F62&lt;OFFSET($BM$9,CN62-1,0,1,1),0,IF(F62&lt;OFFSET($BN$9,CN62-1,0,1,1),((F62-OFFSET($BM$9,CN62-1,0,1,1))*OFFSET($CH$9,CN62-1,0,1,1))+OFFSET($BO$9,CN62-1,CQ62,1,1),IF(F62&lt;OFFSET($BN$9,CN62+0,0,1,1),((F62-OFFSET($BM$9,CN62+0,0,1,1))*OFFSET($CH$9,CN62+0,0,1,1))+OFFSET($BO$9,CN62+0,CQ62,1,1),IF(F62&lt;OFFSET($BN$9,CN62+1,0,1,1),((F62-OFFSET($BM$9,CN62+1,0,1,1))*OFFSET($CH$9,CN62+1,0,1,1))+OFFSET($BO$9,CN62+1,CQ62,1,1),IF(F62&lt;OFFSET($BN$9,CN62+2,0,1,1),((F62-OFFSET($BM$9,CN62+2,0,1,1))*OFFSET($CH$9,CN62+2,0,1,1))+OFFSET($BO$9,CN62+2,CQ62,1,1),IF(F62&lt;OFFSET($BN$9,CN62+3,0,1,1),((F62-OFFSET($BM$9,CN62+3,0,1,1))*OFFSET($CH$9,CN62+3,0,1,1))+OFFSET($BO$9,CN62+3,CQ62,1,1),0))))))</f>
        <v>0</v>
      </c>
      <c r="DH62" s="51">
        <f ca="1">IF($F62&lt;OFFSET($BM$9,$CN62-1,0,1,1),0,IF($F62&lt;OFFSET($BN$9,$CN62-1,0,1,1),IF(AND($H62&gt;2.4,Z62&lt;&gt;"e",Z62&lt;&gt;"f"),DL62*2.4/$H62,DL62),IF($F62&lt;OFFSET($BN$9,$CN62+0,0,1,1),IF(AND($H62&gt;2.4,Z62&lt;&gt;"e",Z62&lt;&gt;"f"),DL62*2.4/$H62,DL62),IF($F62&lt;OFFSET($BN$9,$CN62+1,0,1,1),IF(AND($H62&gt;2.4,Z62&lt;&gt;"e",Z62&lt;&gt;"f"),DL62*2.4/$H62,DL62),IF($F62&lt;OFFSET($BN$9,$CN62+2,0,1,1),IF(AND($H62&gt;2.4,Z62&lt;&gt;"e",Z62&lt;&gt;"f"),DL62*2.4/$H62,DL62),IF($F62&lt;OFFSET($BN$9,$CN62+3,0,1,1),IF(AND($H62&gt;2.4,Z62&lt;&gt;"e",Z62&lt;&gt;"f"),DL62*2.4/$H62,DL62),0)))))*COS(RADIANS($G62)))</f>
        <v>0</v>
      </c>
      <c r="DI62" s="51">
        <f ca="1">IF(F62&lt;OFFSET($BM$9,CN62-1,0,1,1),0,IF(F62&lt;OFFSET($BN$9,CN62-1,0,1,1),((F62-OFFSET($BM$9,CN62-1,0,1,1))*OFFSET($CI$9,CN62-1,0,1,1))+OFFSET($BP$9,CN62-1,CQ62,1,1),IF(F62&lt;OFFSET($BN$9,CN62+0,0,1,1),((F62-OFFSET($BM$9,CN62+0,0,1,1))*OFFSET($CI$9,CN62+0,0,1,1))+OFFSET($BP$9,CN62+0,CQ62,1,1),IF(F62&lt;OFFSET($BN$9,CN62+1,0,1,1),((F62-OFFSET($BM$9,CN62+1,0,1,1))*OFFSET($CI$9,CN62+1,0,1,1))+OFFSET($BP$9,CN62+1,CQ62,1,1),IF(F62&lt;OFFSET($BN$9,CN62+2,0,1,1),((F62-OFFSET($BM$9,CN62+2,0,1,1))*OFFSET($CI$9,CN62+2,0,1,1))+OFFSET($BP$9,CN62+2,CQ62,1,1),IF(F62&lt;OFFSET($BN$9,CN62+3,0,1,1),((F62-OFFSET($BM$9,CN62+3,0,1,1))*OFFSET($CI$9,CN62+3,0,1,1))+OFFSET($BP$9,CN62+3,CQ62,1,1),0))))))</f>
        <v>0</v>
      </c>
      <c r="DJ62" s="51">
        <f ca="1">IF($F62&lt;OFFSET($BM$9,$CN62-1,0,1,1),0,IF($F62&lt;OFFSET($BN$9,$CN62-1,0,1,1),IF(AND($H62&gt;2.4,Z62&lt;&gt;"e",Z62&lt;&gt;"f"),DN62*2.4/$H62,DN62),IF($F62&lt;OFFSET($BN$9,$CN62+0,0,1,1),IF(AND($H62&gt;2.4,Z62&lt;&gt;"e",Z62&lt;&gt;"f"),DN62*2.4/$H62,DN62),IF($F62&lt;OFFSET($BN$9,$CN62+1,0,1,1),IF(AND($H62&gt;2.4,Z62&lt;&gt;"e",Z62&lt;&gt;"f"),DN62*2.4/$H62,DN62),IF($F62&lt;OFFSET($BN$9,$CN62+2,0,1,1),IF(AND($H62&gt;2.4,Z62&lt;&gt;"e",Z62&lt;&gt;"f"),DN62*2.4/$H62,DN62),IF($F62&lt;OFFSET($BN$9,$CN62+3,0,1,1),IF(AND($H62&gt;2.4,Z62&lt;&gt;"e",Z62&lt;&gt;"f"),DN62*2.4/$H62,DN62),0)))))*COS(RADIANS($G62)))</f>
        <v>0</v>
      </c>
      <c r="DK62" s="51"/>
      <c r="DL62" s="51">
        <f ca="1">IF(DG62&gt;$CR62,$CR62,DG62)</f>
        <v>0</v>
      </c>
      <c r="DM62" s="51"/>
      <c r="DN62" s="51">
        <f ca="1">IF(DI62&gt;$CR62,$CR62,DI62)</f>
        <v>0</v>
      </c>
      <c r="DO62" s="435">
        <f ca="1">IF(DH62&gt;$CR62,$CR62,DH62)</f>
        <v>0</v>
      </c>
      <c r="DP62" s="435">
        <f ca="1">DO62*F62</f>
        <v>0</v>
      </c>
      <c r="DQ62" s="436">
        <f ca="1">IF(DJ62&gt;$CR62,$CR62,DJ62)</f>
        <v>0</v>
      </c>
      <c r="DR62" s="437">
        <f ca="1">DQ62*F62</f>
        <v>0</v>
      </c>
      <c r="DS62" s="426">
        <f ca="1">OFFSET($CH$9,CL62-1,-15,1,1)</f>
        <v>0</v>
      </c>
      <c r="DT62" s="451">
        <f t="shared" ca="1" si="27"/>
        <v>0</v>
      </c>
      <c r="DU62" s="188">
        <f ca="1">IF(F62&lt;OFFSET($BM$9,DT62-1,0,1,1),0,IF(F62&lt;OFFSET($BN$9,DT62-1,0,1,1),((F62-OFFSET($BM$9,DT62-1,0,1,1))*OFFSET($CH$9,DT62-1,0,1,1))+OFFSET($BO$9,DT62-1,CQ62,1,1),IF(F62&lt;OFFSET($BN$9,DT62+0,0,1,1),((F62-OFFSET($BM$9,DT62+0,0,1,1))*OFFSET($CH$9,DT62+0,0,1,1))+OFFSET($BO$9,DT62+0,CQ62,1,1),IF(F62&lt;OFFSET($BN$9,DT62+1,0,1,1),((F62-OFFSET($BM$9,DT62+1,0,1,1))*OFFSET($CH$9,DT62+1,0,1,1))+OFFSET($BO$9,DT62+1,CQ62,1,1),IF(F62&lt;OFFSET($BN$9,DT62+2,0,1,1),((F62-OFFSET($BM$9,DT62+2,0,1,1))*OFFSET($CH$9,DT62+2,0,1,1))+OFFSET($BO$9,DT62+2,CQ62,1,1),IF(F62&lt;OFFSET($BN$9,DT62+3,0,1,1),((F62-OFFSET($BM$9,DT62+3,0,1,1))*OFFSET($CH$9,DT62+3,0,1,1))+OFFSET($BO$9,DT62+3,CQ62,1,1),0))))))</f>
        <v>0</v>
      </c>
      <c r="DV62" s="51">
        <f ca="1">IF($F62&lt;OFFSET($BM$9,$DT62-1,0,1,1),0,IF($F62&lt;OFFSET($BN$9,$DT62-1,0,1,1),IF(AND($H62&gt;2.4,Z62&lt;&gt;"e",Z62&lt;&gt;"f"),DZ62*2.4/$H62,DZ62),IF($F62&lt;OFFSET($BN$9,$DT62+0,0,1,1),IF(AND($H62&gt;2.4,Z62&lt;&gt;"e",Z62&lt;&gt;"f"),DZ62*2.4/$H62,DZ62),IF($F62&lt;OFFSET($BN$9,$DT62+1,0,1,1),IF(AND($H62&gt;2.4,Z62&lt;&gt;"e",Z62&lt;&gt;"f"),DZ62*2.4/$H62,DZ62),IF($F62&lt;OFFSET($BN$9,$DT62+2,0,1,1),IF(AND($H62&gt;2.4,Z62&lt;&gt;"e",Z62&lt;&gt;"f"),DZ62*2.4/$H62,DZ62),IF($F62&lt;OFFSET($BN$9,$DT62+3,0,1,1),IF(AND($H62&gt;2.4,Z62&lt;&gt;"e",Z62&lt;&gt;"f"),DZ62*2.4/$H62,DZ62),0)))))*COS(RADIANS($G62)))</f>
        <v>0</v>
      </c>
      <c r="DW62" s="188">
        <f ca="1">IF(F62&lt;OFFSET($BM$9,DT62-1,0,1,1),0,IF(F62&lt;OFFSET($BN$9,DT62-1,0,1,1),((F62-OFFSET($BM$9,DT62-1,0,1,1))*OFFSET($CI$9,DT62-1,0,1,1))+OFFSET($BP$9,DT62-1,CQ62,1,1),IF(F62&lt;OFFSET($BN$9,DT62+0,0,1,1),((F62-OFFSET($BM$9,DT62+0,0,1,1))*OFFSET($CI$9,DT62+0,0,1,1))+OFFSET($BP$9,DT62+0,CQ62,1,1),IF(F62&lt;OFFSET($BN$9,DT62+1,0,1,1),((F62-OFFSET($BM$9,DT62+1,0,1,1))*OFFSET($CI$9,DT62+1,0,1,1))+OFFSET($BP$9,DT62+1,CQ62,1,1),IF(F62&lt;OFFSET($BN$9,DT62+2,0,1,1),((F62-OFFSET($BM$9,DT62+2,0,1,1))*OFFSET($CI$9,DT62+2,0,1,1))+OFFSET($BP$9,DT62+2,CQ62,1,1),IF(F62&lt;OFFSET($BN$9,DT62+3,0,1,1),((F62-OFFSET($BM$9,DT62+3,0,1,1))*OFFSET($CI$9,DT62+3,0,1,1))+OFFSET($BP$9,DT62+3,CQ62,1,1),0))))))</f>
        <v>0</v>
      </c>
      <c r="DX62" s="51">
        <f ca="1">IF($F62&lt;OFFSET($BM$9,$DT62-1,0,1,1),0,IF($F62&lt;OFFSET($BN$9,$DT62-1,0,1,1),IF(AND($H62&gt;2.4,Z62&lt;&gt;"e",Z62&lt;&gt;"f"),EB62*2.4/$H62,EB62),IF($F62&lt;OFFSET($BN$9,$DT62+0,0,1,1),IF(AND($H62&gt;2.4,Z62&lt;&gt;"e",Z62&lt;&gt;"f"),EB62*2.4/$H62,EB62),IF($F62&lt;OFFSET($BN$9,$DT62+1,0,1,1),IF(AND($H62&gt;2.4,Z62&lt;&gt;"e",Z62&lt;&gt;"f"),EB62*2.4/$H62,EB62),IF($F62&lt;OFFSET($BN$9,$DT62+2,0,1,1),IF(AND($H62&gt;2.4,Z62&lt;&gt;"e",Z62&lt;&gt;"f"),EB62*2.4/$H62,EB62),IF($F62&lt;OFFSET($BN$9,$DT62+3,0,1,1),IF(AND($H62&gt;2.4,Z62&lt;&gt;"e",Z62&lt;&gt;"f"),EB62*2.4/$H62,EB62),0)))))*COS(RADIANS($G62)))</f>
        <v>0</v>
      </c>
      <c r="DY62" s="188"/>
      <c r="DZ62" s="188">
        <f ca="1">IF(DU62&gt;$CR62,$CR62,DU62)</f>
        <v>0</v>
      </c>
      <c r="EA62" s="188"/>
      <c r="EB62" s="188">
        <f ca="1">IF(DW62&gt;$CR62,$CR62,DW62)</f>
        <v>0</v>
      </c>
      <c r="EC62" s="435">
        <f ca="1">IF(DV62&gt;$CR62,$CR62,DV62)</f>
        <v>0</v>
      </c>
      <c r="ED62" s="435">
        <f ca="1">EC62*F62</f>
        <v>0</v>
      </c>
      <c r="EE62" s="436">
        <f ca="1">IF(DX62&gt;$CR62,$CR62,DX62)</f>
        <v>0</v>
      </c>
      <c r="EF62" s="437">
        <f ca="1">EE62*F62</f>
        <v>0</v>
      </c>
      <c r="EG62" s="613" t="str">
        <f>IF(D62=BG$12,BG$12,"")</f>
        <v/>
      </c>
      <c r="EH62" s="614" t="str">
        <f>IF(D62=BG$13,BG$13,"")</f>
        <v/>
      </c>
      <c r="EI62" s="611">
        <f>IF(EG62=BG$12,M62,0)</f>
        <v>0</v>
      </c>
      <c r="EJ62" s="451">
        <f>IF(EG62=BG$12,O62,0)</f>
        <v>0</v>
      </c>
      <c r="EK62" s="451">
        <f>IF(EH62=BG$13,M62,0)</f>
        <v>0</v>
      </c>
      <c r="EL62" s="612">
        <f>IF(EH62=BG$13,O62,0)</f>
        <v>0</v>
      </c>
      <c r="EM62" s="426" t="str">
        <f ca="1">IF(AND(Z62&lt;&gt;"t",Z62&lt;&gt;"f"),"",IF(AND(EN62=$BH$13,K62=$BH$12),"NotOpt",IF(K62&lt;&gt;EN62,"Error","")))</f>
        <v/>
      </c>
      <c r="EN62" s="491" t="str">
        <f>IF(AND($BH$28=1,$BG$28=1),$BH$13,$BH$12)</f>
        <v>120 BU's</v>
      </c>
      <c r="EO62" s="426" t="str">
        <f>K62</f>
        <v xml:space="preserve"> </v>
      </c>
      <c r="EP62" s="497">
        <v>1</v>
      </c>
      <c r="EQ62" s="430" t="str">
        <f ca="1">IF(EP62=1," ",OFFSET(BF$15,EP62-2,0,1,1))</f>
        <v xml:space="preserve"> </v>
      </c>
      <c r="ER62" s="439" t="str">
        <f ca="1">IF(H62=0," ",H62)</f>
        <v xml:space="preserve"> </v>
      </c>
      <c r="ES62" s="440" t="str">
        <f ca="1">IF(ER62&lt;&gt;" ",IF(ER62&lt;&gt;ER$7,"Changed",""),"")</f>
        <v/>
      </c>
      <c r="ET62" s="440">
        <f t="shared" ca="1" si="15"/>
        <v>0</v>
      </c>
      <c r="EU62" s="957" t="str">
        <f ca="1">IF(I62=" "," ",IF(F62&lt;OFFSET($BM$9,CL62-1,0,1,1),1,""))</f>
        <v xml:space="preserve"> </v>
      </c>
      <c r="EW62" s="427"/>
      <c r="EX62"/>
    </row>
    <row r="63" spans="1:154" ht="17.100000000000001" customHeight="1" thickBot="1">
      <c r="A63" s="2685"/>
      <c r="B63" s="689" t="s">
        <v>246</v>
      </c>
      <c r="C63" s="684" t="str">
        <f>IF(OR(F63=0,I63="",I63=" ")," ",$V63)</f>
        <v xml:space="preserve"> </v>
      </c>
      <c r="D63" s="1033"/>
      <c r="E63" s="1360" t="s">
        <v>8</v>
      </c>
      <c r="F63" s="202"/>
      <c r="G63" s="1416"/>
      <c r="H63" s="199" t="str">
        <f ca="1">IF(OR(F63=0,Z63="E",Z63="f")," ",'Project Demand'!E$35)</f>
        <v xml:space="preserve"> </v>
      </c>
      <c r="I63" s="631" t="str">
        <f>IF($I$6&lt;&gt;$BG$8," ",AB63)</f>
        <v xml:space="preserve"> </v>
      </c>
      <c r="J63" s="44" t="str">
        <f ca="1">IF(OR(I63=" ",I63="")," ",OFFSET($BO$9,CL63-1,0-4,1,1))</f>
        <v xml:space="preserve"> </v>
      </c>
      <c r="K63" s="55" t="str">
        <f>IF(OR(I63=" ",I63="")," ",IF(OR(Z63="e",Z63="h"),"SD",BG$24))</f>
        <v xml:space="preserve"> </v>
      </c>
      <c r="L63" s="49">
        <f ca="1">CW63</f>
        <v>0</v>
      </c>
      <c r="M63" s="49">
        <f ca="1">CY63</f>
        <v>0</v>
      </c>
      <c r="N63" s="50">
        <f t="shared" ca="1" si="33"/>
        <v>0</v>
      </c>
      <c r="O63" s="126">
        <f t="shared" ca="1" si="33"/>
        <v>0</v>
      </c>
      <c r="P63" s="140"/>
      <c r="Q63" s="752" t="str">
        <f ca="1">IF(AND(OR(Z63="t",Z63="f"),K63=$BH$11),"No Floor!  Change Floor Type",IF(OR(I63=" ",I63="")," ",IF(F63&lt;OFFSET($BM$9,CL63-1,0,1,1),"check L(m)",DE63&amp;IF(AND(DP63&gt;=CY63,DR63&gt;=DB63),IF(AND(ED63&gt;=DP63,EF63&gt;=DR63),CONCATENATE(DS63," will provide same result"),CONCATENATE(CO63," will provide same result")),IF((DP63&gt;=CY63),CONCATENATE(CO63," provides same result in WIND"),IF((DR63&gt;=DB63),CONCATENATE(CO63," provides same result in EQ"),""))))))&amp;IF(ISERROR(FIND("pile",I63,1)),"",IF(INT(F63)&lt;&gt;F63,"Pile!  Use Whole Numbers Only",""))</f>
        <v xml:space="preserve"> </v>
      </c>
      <c r="R63" s="52"/>
      <c r="S63" s="1372"/>
      <c r="T63" s="1372"/>
      <c r="U63" s="1377"/>
      <c r="V63" s="52" t="str">
        <f ca="1">IF(AND(B$5=$BF$9,OR(I63=BH$16,I63=BH$17))," ",IF(ISNUMBER(B$62),(CONCATENATE(B$62,".",W63)),(CONCATENATE(B$62,W63))))</f>
        <v>V0</v>
      </c>
      <c r="W63" s="9">
        <f ca="1">W62+X63</f>
        <v>0</v>
      </c>
      <c r="X63" s="9">
        <f>IF(AND(B$5=$BF$9,OR($I63=$BH$16,$I63=$BH$17,$I63=" ",$I63="",$F63=0)),0,IF(OR($I63=" ",$I63="",$F63=0),0,1))</f>
        <v>0</v>
      </c>
      <c r="Y63" s="896"/>
      <c r="Z63" s="52" t="str">
        <f ca="1">IF(I63=" "," ",OFFSET($BM$9,$CL63-1,8,1,1))</f>
        <v xml:space="preserve"> </v>
      </c>
      <c r="AA63" s="51" t="str">
        <f>IF(G63&gt;=45,"WA","")</f>
        <v/>
      </c>
      <c r="AB63" s="1364" t="str">
        <f>IF(F63&lt;&gt;"",IF(OR(D63=$BG$12,D63=$BG$13),IF(E63&lt;&gt;$BG$17,$BF$12,$BF$13),IF(E63&lt;&gt;$BG$17,$BF$12,$BF$13))," ")</f>
        <v xml:space="preserve"> </v>
      </c>
      <c r="AC63" s="1"/>
      <c r="AK63" s="63" t="str">
        <f>'Custom Elements'!B24</f>
        <v xml:space="preserve">  </v>
      </c>
      <c r="AL63" s="860" t="str">
        <f>'Custom Elements'!C24</f>
        <v>Custom16</v>
      </c>
      <c r="AM63" s="11">
        <f>'Custom Elements'!D24</f>
        <v>9.9999999999999996E-76</v>
      </c>
      <c r="AN63" s="7">
        <f>'Custom Elements'!E24</f>
        <v>0</v>
      </c>
      <c r="AO63" s="7">
        <f>'Custom Elements'!F24</f>
        <v>0</v>
      </c>
      <c r="AP63" s="762" t="str">
        <f>'Custom Elements'!G24</f>
        <v>B</v>
      </c>
      <c r="AQ63" s="1777" t="str">
        <f>'Custom Elements'!H24</f>
        <v>Single</v>
      </c>
      <c r="AR63" s="1775" t="str">
        <f>'Custom Elements'!I24</f>
        <v>Yes</v>
      </c>
      <c r="AS63" s="442" t="str">
        <f>'Custom Elements'!J24</f>
        <v>Yes</v>
      </c>
      <c r="AT63" s="1598"/>
      <c r="AU63" s="1155"/>
      <c r="AZ63" s="442" t="str">
        <f>IF(AND('Custom Elements'!J24="Yes",'Custom Elements'!I24="Yes"),"T",IF('Custom Elements'!J24="Yes","F",IF('Custom Elements'!I24="Yes","H","E")))</f>
        <v>T</v>
      </c>
      <c r="BD63" s="641"/>
      <c r="BE63" s="1020"/>
      <c r="BF63" s="1020"/>
      <c r="BG63" s="1020"/>
      <c r="BH63" s="479"/>
      <c r="BI63" s="759"/>
      <c r="BJ63" s="897">
        <f t="shared" si="28"/>
        <v>55</v>
      </c>
      <c r="BK63" s="764"/>
      <c r="BL63" s="766"/>
      <c r="BM63" s="455">
        <f>Table!P5</f>
        <v>0.6</v>
      </c>
      <c r="BN63" s="455">
        <f>BM64</f>
        <v>0.8</v>
      </c>
      <c r="BO63" s="455">
        <f>Table!Q5</f>
        <v>95</v>
      </c>
      <c r="BP63" s="925">
        <f>Table!R5</f>
        <v>80</v>
      </c>
      <c r="BR63" s="764"/>
      <c r="BS63" s="455"/>
      <c r="BT63" s="455"/>
      <c r="BU63" s="925" t="s">
        <v>242</v>
      </c>
      <c r="BV63" s="895"/>
      <c r="BW63" s="912"/>
      <c r="BX63" s="925" t="str">
        <f>Table!T5</f>
        <v>Single</v>
      </c>
      <c r="CH63" s="764">
        <f>IF(BN63=999,0,(BO64-BO63)/(BN63-BM63))</f>
        <v>0</v>
      </c>
      <c r="CI63" s="925">
        <f>IF(BN63=999,0,(BP64-BP63)/(BN63-BM63))</f>
        <v>14.999999999999995</v>
      </c>
      <c r="CJ63" s="759"/>
      <c r="CK63" s="188"/>
      <c r="CL63" s="979">
        <f>VLOOKUP(I63,Prodlink,2,0)</f>
        <v>0</v>
      </c>
      <c r="CN63" s="497">
        <f ca="1">VLOOKUP(CO63,Prodlink,2,0)</f>
        <v>0</v>
      </c>
      <c r="CO63" s="497">
        <f ca="1">OFFSET($CH$9,CL63-1,-15,1,1)</f>
        <v>0</v>
      </c>
      <c r="CQ63" s="51">
        <v>0</v>
      </c>
      <c r="CR63" s="51">
        <f>IF(K63=$BH$12,$BH$23,IF(K63=$BH$13,$BH$24,10000))</f>
        <v>10000</v>
      </c>
      <c r="CS63" s="51">
        <f ca="1">IF(F63&lt;OFFSET($BM$9,CL63-1,0,1,1),0,IF(F63&lt;OFFSET($BN$9,CL63-1,0,1,1),((F63-OFFSET($BM$9,CL63-1,0,1,1))*OFFSET($CH$9,CL63-1,0,1,1))+OFFSET($BO$9,CL63-1,CQ63,1,1),IF(F63&lt;OFFSET($BN$9,CL63+0,0,1,1),((F63-OFFSET($BM$9,CL63+0,0,1,1))*OFFSET($CH$9,CL63+0,0,1,1))+OFFSET($BO$9,CL63+0,CQ63,1,1),IF(F63&lt;OFFSET($BN$9,CL63+1,0,1,1),((F63-OFFSET($BM$9,CL63+1,0,1,1))*OFFSET($CH$9,CL63+1,0,1,1))+OFFSET($BO$9,CL63+1,CQ63,1,1),IF(F63&lt;OFFSET($BN$9,CL63+2,0,1,1),((F63-OFFSET($BM$9,CL63+2,0,1,1))*OFFSET($CH$9,CL63+2,0,1,1))+OFFSET($BO$9,CL63+2,CQ63,1,1),IF(F63&lt;OFFSET($BN$9,CL63+3,0,1,1),((F63-OFFSET($BM$9,CL63+3,0,1,1))*OFFSET($CH$9,CL63+3,0,1,1))+OFFSET($BO$9,CL63+3,CQ63,1,1),0))))))</f>
        <v>0</v>
      </c>
      <c r="CT63" s="51">
        <f ca="1">IF($F63&lt;OFFSET($BM$9,$CL63-1,0,1,1),0,IF($F63&lt;OFFSET($BN$9,$CL63-1,0,1,1),IF(AND($H63&gt;2.4,Z63&lt;&gt;"e",Z63&lt;&gt;"f"),CX63*2.4/$H63,CX63),IF($F63&lt;OFFSET($BN$9,$CL63+0,0,1,1),IF(AND($H63&gt;2.4,Z63&lt;&gt;"e",Z63&lt;&gt;"f"),CX63*2.4/$H63,CX63),IF($F63&lt;OFFSET($BN$9,$CL63+1,0,1,1),IF(AND($H63&gt;2.4,Z63&lt;&gt;"e",Z63&lt;&gt;"f"),CX63*2.4/$H63,CX63),IF($F63&lt;OFFSET($BN$9,CL63+2,0,1,1),IF(AND($H63&gt;2.4,Z63&lt;&gt;"e",Z63&lt;&gt;"f"),CX63*2.4/$H63,CX63),IF($F63&lt;OFFSET($BN$9,CL63+3,0,1,1),IF(AND($H63&gt;2.4,Z63&lt;&gt;"e",Z63&lt;&gt;"f"),CX63*2.4/$H63,CX63),0)))))*COS(RADIANS($G63)))</f>
        <v>0</v>
      </c>
      <c r="CU63" s="51">
        <f ca="1">IF(F63&lt;OFFSET($BM$9,CL63-1,0,1,1),0,IF(F63&lt;OFFSET($BN$9,CL63-1,0,1,1),((F63-OFFSET($BM$9,CL63-1,0,1,1))*OFFSET($CI$9,CL63-1,0,1,1))+OFFSET($BP$9,CL63-1,CQ63,1,1),IF(F63&lt;OFFSET($BN$9,CL63+0,0,1,1),((F63-OFFSET($BM$9,CL63+0,0,1,1))*OFFSET($CI$9,CL63+0,0,1,1))+OFFSET($BP$9,CL63+0,CQ63,1,1),IF(F63&lt;OFFSET($BN$9,CL63+1,0,1,1),((F63-OFFSET($BM$9,CL63+1,0,1,1))*OFFSET($CI$9,CL63+1,0,1,1))+OFFSET($BP$9,CL63+1,CQ63,1,1),IF(F63&lt;OFFSET($BN$9,CL63+2,0,1,1),((F63-OFFSET($BM$9,CL63+2,0,1,1))*OFFSET($CI$9,CL63+2,0,1,1))+OFFSET($BP$9,CL63+2,CQ63,1,1),IF(F63&lt;OFFSET($BN$9,CL63+3,0,1,1),((F63-OFFSET($BM$9,CL63+3,0,1,1))*OFFSET($CI$9,CL63+3,0,1,1))+OFFSET($BP$9,CL63+3,CQ63,1,1),0))))))</f>
        <v>0</v>
      </c>
      <c r="CV63" s="51">
        <f ca="1">IF($F63&lt;OFFSET($BM$9,$CL63-1,0,1,1),0,IF($F63&lt;OFFSET($BN$9,$CL63-1,0,1,1),IF(AND($H63&gt;2.4,Z63&lt;&gt;"e",Z63&lt;&gt;"f"),CZ63*2.4/$H63,CZ63),IF($F63&lt;OFFSET($BN$9,$CL63+0,0,1,1),IF(AND($H63&gt;2.4,Z63&lt;&gt;"e",Z63&lt;&gt;"f"),CZ63*2.4/$H63,CZ63),IF($F63&lt;OFFSET($BN$9,$CL63+1,0,1,1),IF(AND($H63&gt;2.4,Z63&lt;&gt;"e",Z63&lt;&gt;"f"),CZ63*2.4/$H63,CZ63),IF($F63&lt;OFFSET($BN$9,$CL63+2,0,1,1),IF(AND($H63&gt;2.4,Z63&lt;&gt;"e",Z63&lt;&gt;"f"),CZ63*2.4/$H63,CZ63),IF($F63&lt;OFFSET($BN$9,$CL63+3,0,1,1),IF(AND($H63&gt;2.4,Z63&lt;&gt;"e",Z63&lt;&gt;"f"),CZ63*2.4/$H63,CZ63),0)))))*COS(RADIANS($G63)))</f>
        <v>0</v>
      </c>
      <c r="CW63" s="51">
        <f ca="1">IF(CT63&gt;CR63,CR63,CT63)</f>
        <v>0</v>
      </c>
      <c r="CX63" s="51">
        <f ca="1">IF(CS63&gt;$CR63,$CR63,CS63)</f>
        <v>0</v>
      </c>
      <c r="CY63" s="51">
        <f ca="1">CW63*F63</f>
        <v>0</v>
      </c>
      <c r="CZ63" s="51">
        <f ca="1">IF($CU63&gt;$CR63,$CR63,$CU63)</f>
        <v>0</v>
      </c>
      <c r="DA63" s="51">
        <f ca="1">IF(CV63&gt;CR63,CR63,CV63)</f>
        <v>0</v>
      </c>
      <c r="DB63" s="51">
        <f ca="1">DA63*F63</f>
        <v>0</v>
      </c>
      <c r="DC63" s="993">
        <v>1</v>
      </c>
      <c r="DD63" s="758" t="str">
        <f>IF(OR(D63=BG$12,D63=BG$13),"External",IF(D63=BG$14,"Internal"," "))</f>
        <v xml:space="preserve"> </v>
      </c>
      <c r="DE63" s="51" t="str">
        <f t="shared" ca="1" si="2"/>
        <v/>
      </c>
      <c r="DF63" s="52" t="str">
        <f t="shared" ca="1" si="3"/>
        <v xml:space="preserve"> </v>
      </c>
      <c r="DG63" s="51">
        <f ca="1">IF(F63&lt;OFFSET($BM$9,CN63-1,0,1,1),0,IF(F63&lt;OFFSET($BN$9,CN63-1,0,1,1),((F63-OFFSET($BM$9,CN63-1,0,1,1))*OFFSET($CH$9,CN63-1,0,1,1))+OFFSET($BO$9,CN63-1,CQ63,1,1),IF(F63&lt;OFFSET($BN$9,CN63+0,0,1,1),((F63-OFFSET($BM$9,CN63+0,0,1,1))*OFFSET($CH$9,CN63+0,0,1,1))+OFFSET($BO$9,CN63+0,CQ63,1,1),IF(F63&lt;OFFSET($BN$9,CN63+1,0,1,1),((F63-OFFSET($BM$9,CN63+1,0,1,1))*OFFSET($CH$9,CN63+1,0,1,1))+OFFSET($BO$9,CN63+1,CQ63,1,1),IF(F63&lt;OFFSET($BN$9,CN63+2,0,1,1),((F63-OFFSET($BM$9,CN63+2,0,1,1))*OFFSET($CH$9,CN63+2,0,1,1))+OFFSET($BO$9,CN63+2,CQ63,1,1),IF(F63&lt;OFFSET($BN$9,CN63+3,0,1,1),((F63-OFFSET($BM$9,CN63+3,0,1,1))*OFFSET($CH$9,CN63+3,0,1,1))+OFFSET($BO$9,CN63+3,CQ63,1,1),0))))))</f>
        <v>0</v>
      </c>
      <c r="DH63" s="51">
        <f ca="1">IF($F63&lt;OFFSET($BM$9,$CN63-1,0,1,1),0,IF($F63&lt;OFFSET($BN$9,$CN63-1,0,1,1),IF(AND($H63&gt;2.4,Z63&lt;&gt;"e",Z63&lt;&gt;"f"),DL63*2.4/$H63,DL63),IF($F63&lt;OFFSET($BN$9,$CN63+0,0,1,1),IF(AND($H63&gt;2.4,Z63&lt;&gt;"e",Z63&lt;&gt;"f"),DL63*2.4/$H63,DL63),IF($F63&lt;OFFSET($BN$9,$CN63+1,0,1,1),IF(AND($H63&gt;2.4,Z63&lt;&gt;"e",Z63&lt;&gt;"f"),DL63*2.4/$H63,DL63),IF($F63&lt;OFFSET($BN$9,$CN63+2,0,1,1),IF(AND($H63&gt;2.4,Z63&lt;&gt;"e",Z63&lt;&gt;"f"),DL63*2.4/$H63,DL63),IF($F63&lt;OFFSET($BN$9,$CN63+3,0,1,1),IF(AND($H63&gt;2.4,Z63&lt;&gt;"e",Z63&lt;&gt;"f"),DL63*2.4/$H63,DL63),0)))))*COS(RADIANS($G63)))</f>
        <v>0</v>
      </c>
      <c r="DI63" s="51">
        <f ca="1">IF(F63&lt;OFFSET($BM$9,CN63-1,0,1,1),0,IF(F63&lt;OFFSET($BN$9,CN63-1,0,1,1),((F63-OFFSET($BM$9,CN63-1,0,1,1))*OFFSET($CI$9,CN63-1,0,1,1))+OFFSET($BP$9,CN63-1,CQ63,1,1),IF(F63&lt;OFFSET($BN$9,CN63+0,0,1,1),((F63-OFFSET($BM$9,CN63+0,0,1,1))*OFFSET($CI$9,CN63+0,0,1,1))+OFFSET($BP$9,CN63+0,CQ63,1,1),IF(F63&lt;OFFSET($BN$9,CN63+1,0,1,1),((F63-OFFSET($BM$9,CN63+1,0,1,1))*OFFSET($CI$9,CN63+1,0,1,1))+OFFSET($BP$9,CN63+1,CQ63,1,1),IF(F63&lt;OFFSET($BN$9,CN63+2,0,1,1),((F63-OFFSET($BM$9,CN63+2,0,1,1))*OFFSET($CI$9,CN63+2,0,1,1))+OFFSET($BP$9,CN63+2,CQ63,1,1),IF(F63&lt;OFFSET($BN$9,CN63+3,0,1,1),((F63-OFFSET($BM$9,CN63+3,0,1,1))*OFFSET($CI$9,CN63+3,0,1,1))+OFFSET($BP$9,CN63+3,CQ63,1,1),0))))))</f>
        <v>0</v>
      </c>
      <c r="DJ63" s="51">
        <f ca="1">IF($F63&lt;OFFSET($BM$9,$CN63-1,0,1,1),0,IF($F63&lt;OFFSET($BN$9,$CN63-1,0,1,1),IF(AND($H63&gt;2.4,Z63&lt;&gt;"e",Z63&lt;&gt;"f"),DN63*2.4/$H63,DN63),IF($F63&lt;OFFSET($BN$9,$CN63+0,0,1,1),IF(AND($H63&gt;2.4,Z63&lt;&gt;"e",Z63&lt;&gt;"f"),DN63*2.4/$H63,DN63),IF($F63&lt;OFFSET($BN$9,$CN63+1,0,1,1),IF(AND($H63&gt;2.4,Z63&lt;&gt;"e",Z63&lt;&gt;"f"),DN63*2.4/$H63,DN63),IF($F63&lt;OFFSET($BN$9,$CN63+2,0,1,1),IF(AND($H63&gt;2.4,Z63&lt;&gt;"e",Z63&lt;&gt;"f"),DN63*2.4/$H63,DN63),IF($F63&lt;OFFSET($BN$9,$CN63+3,0,1,1),IF(AND($H63&gt;2.4,Z63&lt;&gt;"e",Z63&lt;&gt;"f"),DN63*2.4/$H63,DN63),0)))))*COS(RADIANS($G63)))</f>
        <v>0</v>
      </c>
      <c r="DK63" s="51"/>
      <c r="DL63" s="51">
        <f ca="1">IF(DG63&gt;$CR63,$CR63,DG63)</f>
        <v>0</v>
      </c>
      <c r="DM63" s="51"/>
      <c r="DN63" s="51">
        <f ca="1">IF(DI63&gt;$CR63,$CR63,DI63)</f>
        <v>0</v>
      </c>
      <c r="DO63" s="435">
        <f ca="1">IF(DH63&gt;$CR63,$CR63,DH63)</f>
        <v>0</v>
      </c>
      <c r="DP63" s="435">
        <f ca="1">DO63*F63</f>
        <v>0</v>
      </c>
      <c r="DQ63" s="436">
        <f ca="1">IF(DJ63&gt;$CR63,$CR63,DJ63)</f>
        <v>0</v>
      </c>
      <c r="DR63" s="437">
        <f ca="1">DQ63*F63</f>
        <v>0</v>
      </c>
      <c r="DS63" s="426">
        <f ca="1">OFFSET($CH$9,CL63-1,-15,1,1)</f>
        <v>0</v>
      </c>
      <c r="DT63" s="451">
        <f t="shared" ca="1" si="27"/>
        <v>0</v>
      </c>
      <c r="DU63" s="188">
        <f ca="1">IF(F63&lt;OFFSET($BM$9,DT63-1,0,1,1),0,IF(F63&lt;OFFSET($BN$9,DT63-1,0,1,1),((F63-OFFSET($BM$9,DT63-1,0,1,1))*OFFSET($CH$9,DT63-1,0,1,1))+OFFSET($BO$9,DT63-1,CQ63,1,1),IF(F63&lt;OFFSET($BN$9,DT63+0,0,1,1),((F63-OFFSET($BM$9,DT63+0,0,1,1))*OFFSET($CH$9,DT63+0,0,1,1))+OFFSET($BO$9,DT63+0,CQ63,1,1),IF(F63&lt;OFFSET($BN$9,DT63+1,0,1,1),((F63-OFFSET($BM$9,DT63+1,0,1,1))*OFFSET($CH$9,DT63+1,0,1,1))+OFFSET($BO$9,DT63+1,CQ63,1,1),IF(F63&lt;OFFSET($BN$9,DT63+2,0,1,1),((F63-OFFSET($BM$9,DT63+2,0,1,1))*OFFSET($CH$9,DT63+2,0,1,1))+OFFSET($BO$9,DT63+2,CQ63,1,1),IF(F63&lt;OFFSET($BN$9,DT63+3,0,1,1),((F63-OFFSET($BM$9,DT63+3,0,1,1))*OFFSET($CH$9,DT63+3,0,1,1))+OFFSET($BO$9,DT63+3,CQ63,1,1),0))))))</f>
        <v>0</v>
      </c>
      <c r="DV63" s="51">
        <f ca="1">IF($F63&lt;OFFSET($BM$9,$DT63-1,0,1,1),0,IF($F63&lt;OFFSET($BN$9,$DT63-1,0,1,1),IF(AND($H63&gt;2.4,Z63&lt;&gt;"e",Z63&lt;&gt;"f"),DZ63*2.4/$H63,DZ63),IF($F63&lt;OFFSET($BN$9,$DT63+0,0,1,1),IF(AND($H63&gt;2.4,Z63&lt;&gt;"e",Z63&lt;&gt;"f"),DZ63*2.4/$H63,DZ63),IF($F63&lt;OFFSET($BN$9,$DT63+1,0,1,1),IF(AND($H63&gt;2.4,Z63&lt;&gt;"e",Z63&lt;&gt;"f"),DZ63*2.4/$H63,DZ63),IF($F63&lt;OFFSET($BN$9,$DT63+2,0,1,1),IF(AND($H63&gt;2.4,Z63&lt;&gt;"e",Z63&lt;&gt;"f"),DZ63*2.4/$H63,DZ63),IF($F63&lt;OFFSET($BN$9,$DT63+3,0,1,1),IF(AND($H63&gt;2.4,Z63&lt;&gt;"e",Z63&lt;&gt;"f"),DZ63*2.4/$H63,DZ63),0)))))*COS(RADIANS($G63)))</f>
        <v>0</v>
      </c>
      <c r="DW63" s="188">
        <f ca="1">IF(F63&lt;OFFSET($BM$9,DT63-1,0,1,1),0,IF(F63&lt;OFFSET($BN$9,DT63-1,0,1,1),((F63-OFFSET($BM$9,DT63-1,0,1,1))*OFFSET($CI$9,DT63-1,0,1,1))+OFFSET($BP$9,DT63-1,CQ63,1,1),IF(F63&lt;OFFSET($BN$9,DT63+0,0,1,1),((F63-OFFSET($BM$9,DT63+0,0,1,1))*OFFSET($CI$9,DT63+0,0,1,1))+OFFSET($BP$9,DT63+0,CQ63,1,1),IF(F63&lt;OFFSET($BN$9,DT63+1,0,1,1),((F63-OFFSET($BM$9,DT63+1,0,1,1))*OFFSET($CI$9,DT63+1,0,1,1))+OFFSET($BP$9,DT63+1,CQ63,1,1),IF(F63&lt;OFFSET($BN$9,DT63+2,0,1,1),((F63-OFFSET($BM$9,DT63+2,0,1,1))*OFFSET($CI$9,DT63+2,0,1,1))+OFFSET($BP$9,DT63+2,CQ63,1,1),IF(F63&lt;OFFSET($BN$9,DT63+3,0,1,1),((F63-OFFSET($BM$9,DT63+3,0,1,1))*OFFSET($CI$9,DT63+3,0,1,1))+OFFSET($BP$9,DT63+3,CQ63,1,1),0))))))</f>
        <v>0</v>
      </c>
      <c r="DX63" s="51">
        <f ca="1">IF($F63&lt;OFFSET($BM$9,$DT63-1,0,1,1),0,IF($F63&lt;OFFSET($BN$9,$DT63-1,0,1,1),IF(AND($H63&gt;2.4,Z63&lt;&gt;"e",Z63&lt;&gt;"f"),EB63*2.4/$H63,EB63),IF($F63&lt;OFFSET($BN$9,$DT63+0,0,1,1),IF(AND($H63&gt;2.4,Z63&lt;&gt;"e",Z63&lt;&gt;"f"),EB63*2.4/$H63,EB63),IF($F63&lt;OFFSET($BN$9,$DT63+1,0,1,1),IF(AND($H63&gt;2.4,Z63&lt;&gt;"e",Z63&lt;&gt;"f"),EB63*2.4/$H63,EB63),IF($F63&lt;OFFSET($BN$9,$DT63+2,0,1,1),IF(AND($H63&gt;2.4,Z63&lt;&gt;"e",Z63&lt;&gt;"f"),EB63*2.4/$H63,EB63),IF($F63&lt;OFFSET($BN$9,$DT63+3,0,1,1),IF(AND($H63&gt;2.4,Z63&lt;&gt;"e",Z63&lt;&gt;"f"),EB63*2.4/$H63,EB63),0)))))*COS(RADIANS($G63)))</f>
        <v>0</v>
      </c>
      <c r="DY63" s="188"/>
      <c r="DZ63" s="188">
        <f ca="1">IF(DU63&gt;$CR63,$CR63,DU63)</f>
        <v>0</v>
      </c>
      <c r="EA63" s="188"/>
      <c r="EB63" s="188">
        <f ca="1">IF(DW63&gt;$CR63,$CR63,DW63)</f>
        <v>0</v>
      </c>
      <c r="EC63" s="435">
        <f ca="1">IF(DV63&gt;$CR63,$CR63,DV63)</f>
        <v>0</v>
      </c>
      <c r="ED63" s="435">
        <f ca="1">EC63*F63</f>
        <v>0</v>
      </c>
      <c r="EE63" s="436">
        <f ca="1">IF(DX63&gt;$CR63,$CR63,DX63)</f>
        <v>0</v>
      </c>
      <c r="EF63" s="437">
        <f ca="1">EE63*F63</f>
        <v>0</v>
      </c>
      <c r="EG63" s="613" t="str">
        <f>IF(D63=BG$12,BG$12,"")</f>
        <v/>
      </c>
      <c r="EH63" s="614" t="str">
        <f>IF(D63=BG$13,BG$13,"")</f>
        <v/>
      </c>
      <c r="EI63" s="611">
        <f>IF(EG63=BG$12,M63,0)</f>
        <v>0</v>
      </c>
      <c r="EJ63" s="451">
        <f>IF(EG63=BG$12,O63,0)</f>
        <v>0</v>
      </c>
      <c r="EK63" s="451">
        <f>IF(EH63=BG$13,M63,0)</f>
        <v>0</v>
      </c>
      <c r="EL63" s="612">
        <f>IF(EH63=BG$13,O63,0)</f>
        <v>0</v>
      </c>
      <c r="EM63" s="426" t="str">
        <f ca="1">IF(AND(Z63&lt;&gt;"t",Z63&lt;&gt;"f"),"",IF(AND(EN63=$BH$13,K63=$BH$12),"NotOpt",IF(K63&lt;&gt;EN63,"Error","")))</f>
        <v/>
      </c>
      <c r="EN63" s="491" t="str">
        <f>IF(AND($BH$28=1,$BG$28=1),$BH$13,$BH$12)</f>
        <v>120 BU's</v>
      </c>
      <c r="EO63" s="426" t="str">
        <f>K63</f>
        <v xml:space="preserve"> </v>
      </c>
      <c r="EP63" s="497">
        <v>1</v>
      </c>
      <c r="EQ63" s="430" t="str">
        <f ca="1">IF(EP63=1," ",OFFSET(BF$15,EP63-2,0,1,1))</f>
        <v xml:space="preserve"> </v>
      </c>
      <c r="ER63" s="439" t="str">
        <f ca="1">IF(H63=0," ",H63)</f>
        <v xml:space="preserve"> </v>
      </c>
      <c r="ES63" s="440" t="str">
        <f ca="1">IF(ER63&lt;&gt;" ",IF(ER63&lt;&gt;ER$7,"Changed",""),"")</f>
        <v/>
      </c>
      <c r="ET63" s="440">
        <f t="shared" ca="1" si="15"/>
        <v>0</v>
      </c>
      <c r="EU63" s="957" t="str">
        <f ca="1">IF(I63=" "," ",IF(F63&lt;OFFSET($BM$9,CL63-1,0,1,1),1,""))</f>
        <v xml:space="preserve"> </v>
      </c>
      <c r="EW63" s="427"/>
      <c r="EX63"/>
    </row>
    <row r="64" spans="1:154" ht="17.100000000000001" customHeight="1">
      <c r="A64" s="2685"/>
      <c r="B64" s="689" t="s">
        <v>246</v>
      </c>
      <c r="C64" s="684" t="str">
        <f>IF(OR(F64=0,I64="",I64=" ")," ",$V64)</f>
        <v xml:space="preserve"> </v>
      </c>
      <c r="D64" s="1033"/>
      <c r="E64" s="1360" t="s">
        <v>8</v>
      </c>
      <c r="F64" s="202"/>
      <c r="G64" s="1416"/>
      <c r="H64" s="199" t="str">
        <f ca="1">IF(OR(F64=0,Z64="E",Z64="f")," ",'Project Demand'!E$35)</f>
        <v xml:space="preserve"> </v>
      </c>
      <c r="I64" s="631" t="str">
        <f>IF($I$6&lt;&gt;$BG$8," ",AB64)</f>
        <v xml:space="preserve"> </v>
      </c>
      <c r="J64" s="44" t="str">
        <f ca="1">IF(OR(I64=" ",I64="")," ",OFFSET($BO$9,CL64-1,0-4,1,1))</f>
        <v xml:space="preserve"> </v>
      </c>
      <c r="K64" s="55" t="str">
        <f>IF(OR(I64=" ",I64="")," ",IF(OR(Z64="e",Z64="h"),"SD",BG$24))</f>
        <v xml:space="preserve"> </v>
      </c>
      <c r="L64" s="49">
        <f ca="1">CW64</f>
        <v>0</v>
      </c>
      <c r="M64" s="49">
        <f ca="1">CY64</f>
        <v>0</v>
      </c>
      <c r="N64" s="50">
        <f t="shared" ca="1" si="33"/>
        <v>0</v>
      </c>
      <c r="O64" s="126">
        <f t="shared" ca="1" si="33"/>
        <v>0</v>
      </c>
      <c r="P64" s="140"/>
      <c r="Q64" s="752" t="str">
        <f ca="1">IF(AND(OR(Z64="t",Z64="f"),K64=$BH$11),"No Floor!  Change Floor Type",IF(OR(I64=" ",I64="")," ",IF(F64&lt;OFFSET($BM$9,CL64-1,0,1,1),"check L(m)",DE64&amp;IF(AND(DP64&gt;=CY64,DR64&gt;=DB64),IF(AND(ED64&gt;=DP64,EF64&gt;=DR64),CONCATENATE(DS64," will provide same result"),CONCATENATE(CO64," will provide same result")),IF((DP64&gt;=CY64),CONCATENATE(CO64," provides same result in WIND"),IF((DR64&gt;=DB64),CONCATENATE(CO64," provides same result in EQ"),""))))))&amp;IF(ISERROR(FIND("pile",I64,1)),"",IF(INT(F64)&lt;&gt;F64,"Pile!  Use Whole Numbers Only",""))</f>
        <v xml:space="preserve"> </v>
      </c>
      <c r="R64" s="52"/>
      <c r="S64" s="1372"/>
      <c r="T64" s="1372"/>
      <c r="U64" s="1377"/>
      <c r="V64" s="52" t="str">
        <f ca="1">IF(AND(B$5=$BF$9,OR(I64=BH$16,I64=BH$17))," ",IF(ISNUMBER(B$62),(CONCATENATE(B$62,".",W64)),(CONCATENATE(B$62,W64))))</f>
        <v>V0</v>
      </c>
      <c r="W64" s="9">
        <f ca="1">W63+X64</f>
        <v>0</v>
      </c>
      <c r="X64" s="9">
        <f>IF(AND(B$5=$BF$9,OR($I64=$BH$16,$I64=$BH$17,$I64=" ",$I64="",$F64=0)),0,IF(OR($I64=" ",$I64="",$F64=0),0,1))</f>
        <v>0</v>
      </c>
      <c r="Y64" s="896"/>
      <c r="Z64" s="52" t="str">
        <f ca="1">IF(I64=" "," ",OFFSET($BM$9,$CL64-1,8,1,1))</f>
        <v xml:space="preserve"> </v>
      </c>
      <c r="AA64" s="51" t="str">
        <f>IF(G64&gt;=45,"WA","")</f>
        <v/>
      </c>
      <c r="AB64" s="1364" t="str">
        <f>IF(F64&lt;&gt;"",IF(OR(D64=$BG$12,D64=$BG$13),IF(E64&lt;&gt;$BG$17,$BF$12,$BF$13),IF(E64&lt;&gt;$BG$17,$BF$12,$BF$13))," ")</f>
        <v xml:space="preserve"> </v>
      </c>
      <c r="AC64" s="1"/>
      <c r="AK64" s="63" t="str">
        <f>'Custom Elements'!B25</f>
        <v xml:space="preserve">  </v>
      </c>
      <c r="AL64" s="860" t="str">
        <f>'Custom Elements'!C25</f>
        <v>Custom17</v>
      </c>
      <c r="AM64" s="11">
        <f>'Custom Elements'!D25</f>
        <v>9.9999999999999996E-76</v>
      </c>
      <c r="AN64" s="7">
        <f>'Custom Elements'!E25</f>
        <v>0</v>
      </c>
      <c r="AO64" s="7">
        <f>'Custom Elements'!F25</f>
        <v>0</v>
      </c>
      <c r="AP64" s="762" t="str">
        <f>'Custom Elements'!G25</f>
        <v>B</v>
      </c>
      <c r="AQ64" s="1777" t="str">
        <f>'Custom Elements'!H25</f>
        <v>Single</v>
      </c>
      <c r="AR64" s="1775" t="str">
        <f>'Custom Elements'!I25</f>
        <v>Yes</v>
      </c>
      <c r="AS64" s="442" t="str">
        <f>'Custom Elements'!J25</f>
        <v>Yes</v>
      </c>
      <c r="AT64" s="1598"/>
      <c r="AU64" s="1155"/>
      <c r="AZ64" s="442" t="str">
        <f>IF(AND('Custom Elements'!J25="Yes",'Custom Elements'!I25="Yes"),"T",IF('Custom Elements'!J25="Yes","F",IF('Custom Elements'!I25="Yes","H","E")))</f>
        <v>T</v>
      </c>
      <c r="BD64" s="641"/>
      <c r="BE64" s="1023" t="s">
        <v>906</v>
      </c>
      <c r="BF64" s="1024"/>
      <c r="BG64" s="1025"/>
      <c r="BH64" s="479"/>
      <c r="BI64" s="759"/>
      <c r="BJ64" s="897">
        <f t="shared" si="28"/>
        <v>56</v>
      </c>
      <c r="BK64" s="764"/>
      <c r="BL64" s="766"/>
      <c r="BM64" s="455">
        <f>Table!P6</f>
        <v>0.8</v>
      </c>
      <c r="BN64" s="455">
        <f>BM65</f>
        <v>1.2</v>
      </c>
      <c r="BO64" s="455">
        <f>Table!Q6</f>
        <v>95</v>
      </c>
      <c r="BP64" s="925">
        <f>Table!R6</f>
        <v>83</v>
      </c>
      <c r="BR64" s="764"/>
      <c r="BS64" s="455"/>
      <c r="BT64" s="455"/>
      <c r="BU64" s="925" t="s">
        <v>242</v>
      </c>
      <c r="BV64" s="895"/>
      <c r="BW64" s="912"/>
      <c r="BX64" s="925" t="str">
        <f>Table!T5</f>
        <v>Single</v>
      </c>
      <c r="CH64" s="764">
        <f>IF(BN64=999,0,(BO65-BO64)/(BN64-BM64))</f>
        <v>0</v>
      </c>
      <c r="CI64" s="925">
        <f>IF(BN64=999,0,(BP65-BP64)/(BN64-BM64))</f>
        <v>2.5000000000000004</v>
      </c>
      <c r="CJ64" s="759"/>
      <c r="CK64" s="188"/>
      <c r="CL64" s="979">
        <f>VLOOKUP(I64,Prodlink,2,0)</f>
        <v>0</v>
      </c>
      <c r="CN64" s="497">
        <f ca="1">VLOOKUP(CO64,Prodlink,2,0)</f>
        <v>0</v>
      </c>
      <c r="CO64" s="497">
        <f ca="1">OFFSET($CH$9,CL64-1,-15,1,1)</f>
        <v>0</v>
      </c>
      <c r="CQ64" s="51">
        <v>0</v>
      </c>
      <c r="CR64" s="51">
        <f>IF(K64=$BH$12,$BH$23,IF(K64=$BH$13,$BH$24,10000))</f>
        <v>10000</v>
      </c>
      <c r="CS64" s="51">
        <f ca="1">IF(F64&lt;OFFSET($BM$9,CL64-1,0,1,1),0,IF(F64&lt;OFFSET($BN$9,CL64-1,0,1,1),((F64-OFFSET($BM$9,CL64-1,0,1,1))*OFFSET($CH$9,CL64-1,0,1,1))+OFFSET($BO$9,CL64-1,CQ64,1,1),IF(F64&lt;OFFSET($BN$9,CL64+0,0,1,1),((F64-OFFSET($BM$9,CL64+0,0,1,1))*OFFSET($CH$9,CL64+0,0,1,1))+OFFSET($BO$9,CL64+0,CQ64,1,1),IF(F64&lt;OFFSET($BN$9,CL64+1,0,1,1),((F64-OFFSET($BM$9,CL64+1,0,1,1))*OFFSET($CH$9,CL64+1,0,1,1))+OFFSET($BO$9,CL64+1,CQ64,1,1),IF(F64&lt;OFFSET($BN$9,CL64+2,0,1,1),((F64-OFFSET($BM$9,CL64+2,0,1,1))*OFFSET($CH$9,CL64+2,0,1,1))+OFFSET($BO$9,CL64+2,CQ64,1,1),IF(F64&lt;OFFSET($BN$9,CL64+3,0,1,1),((F64-OFFSET($BM$9,CL64+3,0,1,1))*OFFSET($CH$9,CL64+3,0,1,1))+OFFSET($BO$9,CL64+3,CQ64,1,1),0))))))</f>
        <v>0</v>
      </c>
      <c r="CT64" s="51">
        <f ca="1">IF($F64&lt;OFFSET($BM$9,$CL64-1,0,1,1),0,IF($F64&lt;OFFSET($BN$9,$CL64-1,0,1,1),IF(AND($H64&gt;2.4,Z64&lt;&gt;"e",Z64&lt;&gt;"f"),CX64*2.4/$H64,CX64),IF($F64&lt;OFFSET($BN$9,$CL64+0,0,1,1),IF(AND($H64&gt;2.4,Z64&lt;&gt;"e",Z64&lt;&gt;"f"),CX64*2.4/$H64,CX64),IF($F64&lt;OFFSET($BN$9,$CL64+1,0,1,1),IF(AND($H64&gt;2.4,Z64&lt;&gt;"e",Z64&lt;&gt;"f"),CX64*2.4/$H64,CX64),IF($F64&lt;OFFSET($BN$9,CL64+2,0,1,1),IF(AND($H64&gt;2.4,Z64&lt;&gt;"e",Z64&lt;&gt;"f"),CX64*2.4/$H64,CX64),IF($F64&lt;OFFSET($BN$9,CL64+3,0,1,1),IF(AND($H64&gt;2.4,Z64&lt;&gt;"e",Z64&lt;&gt;"f"),CX64*2.4/$H64,CX64),0)))))*COS(RADIANS($G64)))</f>
        <v>0</v>
      </c>
      <c r="CU64" s="51">
        <f ca="1">IF(F64&lt;OFFSET($BM$9,CL64-1,0,1,1),0,IF(F64&lt;OFFSET($BN$9,CL64-1,0,1,1),((F64-OFFSET($BM$9,CL64-1,0,1,1))*OFFSET($CI$9,CL64-1,0,1,1))+OFFSET($BP$9,CL64-1,CQ64,1,1),IF(F64&lt;OFFSET($BN$9,CL64+0,0,1,1),((F64-OFFSET($BM$9,CL64+0,0,1,1))*OFFSET($CI$9,CL64+0,0,1,1))+OFFSET($BP$9,CL64+0,CQ64,1,1),IF(F64&lt;OFFSET($BN$9,CL64+1,0,1,1),((F64-OFFSET($BM$9,CL64+1,0,1,1))*OFFSET($CI$9,CL64+1,0,1,1))+OFFSET($BP$9,CL64+1,CQ64,1,1),IF(F64&lt;OFFSET($BN$9,CL64+2,0,1,1),((F64-OFFSET($BM$9,CL64+2,0,1,1))*OFFSET($CI$9,CL64+2,0,1,1))+OFFSET($BP$9,CL64+2,CQ64,1,1),IF(F64&lt;OFFSET($BN$9,CL64+3,0,1,1),((F64-OFFSET($BM$9,CL64+3,0,1,1))*OFFSET($CI$9,CL64+3,0,1,1))+OFFSET($BP$9,CL64+3,CQ64,1,1),0))))))</f>
        <v>0</v>
      </c>
      <c r="CV64" s="51">
        <f ca="1">IF($F64&lt;OFFSET($BM$9,$CL64-1,0,1,1),0,IF($F64&lt;OFFSET($BN$9,$CL64-1,0,1,1),IF(AND($H64&gt;2.4,Z64&lt;&gt;"e",Z64&lt;&gt;"f"),CZ64*2.4/$H64,CZ64),IF($F64&lt;OFFSET($BN$9,$CL64+0,0,1,1),IF(AND($H64&gt;2.4,Z64&lt;&gt;"e",Z64&lt;&gt;"f"),CZ64*2.4/$H64,CZ64),IF($F64&lt;OFFSET($BN$9,$CL64+1,0,1,1),IF(AND($H64&gt;2.4,Z64&lt;&gt;"e",Z64&lt;&gt;"f"),CZ64*2.4/$H64,CZ64),IF($F64&lt;OFFSET($BN$9,$CL64+2,0,1,1),IF(AND($H64&gt;2.4,Z64&lt;&gt;"e",Z64&lt;&gt;"f"),CZ64*2.4/$H64,CZ64),IF($F64&lt;OFFSET($BN$9,$CL64+3,0,1,1),IF(AND($H64&gt;2.4,Z64&lt;&gt;"e",Z64&lt;&gt;"f"),CZ64*2.4/$H64,CZ64),0)))))*COS(RADIANS($G64)))</f>
        <v>0</v>
      </c>
      <c r="CW64" s="51">
        <f ca="1">IF(CT64&gt;CR64,CR64,CT64)</f>
        <v>0</v>
      </c>
      <c r="CX64" s="51">
        <f ca="1">IF(CS64&gt;$CR64,$CR64,CS64)</f>
        <v>0</v>
      </c>
      <c r="CY64" s="51">
        <f ca="1">CW64*F64</f>
        <v>0</v>
      </c>
      <c r="CZ64" s="51">
        <f ca="1">IF($CU64&gt;$CR64,$CR64,$CU64)</f>
        <v>0</v>
      </c>
      <c r="DA64" s="51">
        <f ca="1">IF(CV64&gt;CR64,CR64,CV64)</f>
        <v>0</v>
      </c>
      <c r="DB64" s="51">
        <f ca="1">DA64*F64</f>
        <v>0</v>
      </c>
      <c r="DC64" s="993">
        <v>1</v>
      </c>
      <c r="DD64" s="758" t="str">
        <f>IF(OR(D64=BG$12,D64=BG$13),"External",IF(D64=BG$14,"Internal"," "))</f>
        <v xml:space="preserve"> </v>
      </c>
      <c r="DE64" s="51" t="str">
        <f t="shared" ca="1" si="2"/>
        <v/>
      </c>
      <c r="DF64" s="52" t="str">
        <f t="shared" ca="1" si="3"/>
        <v xml:space="preserve"> </v>
      </c>
      <c r="DG64" s="51">
        <f ca="1">IF(F64&lt;OFFSET($BM$9,CN64-1,0,1,1),0,IF(F64&lt;OFFSET($BN$9,CN64-1,0,1,1),((F64-OFFSET($BM$9,CN64-1,0,1,1))*OFFSET($CH$9,CN64-1,0,1,1))+OFFSET($BO$9,CN64-1,CQ64,1,1),IF(F64&lt;OFFSET($BN$9,CN64+0,0,1,1),((F64-OFFSET($BM$9,CN64+0,0,1,1))*OFFSET($CH$9,CN64+0,0,1,1))+OFFSET($BO$9,CN64+0,CQ64,1,1),IF(F64&lt;OFFSET($BN$9,CN64+1,0,1,1),((F64-OFFSET($BM$9,CN64+1,0,1,1))*OFFSET($CH$9,CN64+1,0,1,1))+OFFSET($BO$9,CN64+1,CQ64,1,1),IF(F64&lt;OFFSET($BN$9,CN64+2,0,1,1),((F64-OFFSET($BM$9,CN64+2,0,1,1))*OFFSET($CH$9,CN64+2,0,1,1))+OFFSET($BO$9,CN64+2,CQ64,1,1),IF(F64&lt;OFFSET($BN$9,CN64+3,0,1,1),((F64-OFFSET($BM$9,CN64+3,0,1,1))*OFFSET($CH$9,CN64+3,0,1,1))+OFFSET($BO$9,CN64+3,CQ64,1,1),0))))))</f>
        <v>0</v>
      </c>
      <c r="DH64" s="51">
        <f ca="1">IF($F64&lt;OFFSET($BM$9,$CN64-1,0,1,1),0,IF($F64&lt;OFFSET($BN$9,$CN64-1,0,1,1),IF(AND($H64&gt;2.4,Z64&lt;&gt;"e",Z64&lt;&gt;"f"),DL64*2.4/$H64,DL64),IF($F64&lt;OFFSET($BN$9,$CN64+0,0,1,1),IF(AND($H64&gt;2.4,Z64&lt;&gt;"e",Z64&lt;&gt;"f"),DL64*2.4/$H64,DL64),IF($F64&lt;OFFSET($BN$9,$CN64+1,0,1,1),IF(AND($H64&gt;2.4,Z64&lt;&gt;"e",Z64&lt;&gt;"f"),DL64*2.4/$H64,DL64),IF($F64&lt;OFFSET($BN$9,$CN64+2,0,1,1),IF(AND($H64&gt;2.4,Z64&lt;&gt;"e",Z64&lt;&gt;"f"),DL64*2.4/$H64,DL64),IF($F64&lt;OFFSET($BN$9,$CN64+3,0,1,1),IF(AND($H64&gt;2.4,Z64&lt;&gt;"e",Z64&lt;&gt;"f"),DL64*2.4/$H64,DL64),0)))))*COS(RADIANS($G64)))</f>
        <v>0</v>
      </c>
      <c r="DI64" s="51">
        <f ca="1">IF(F64&lt;OFFSET($BM$9,CN64-1,0,1,1),0,IF(F64&lt;OFFSET($BN$9,CN64-1,0,1,1),((F64-OFFSET($BM$9,CN64-1,0,1,1))*OFFSET($CI$9,CN64-1,0,1,1))+OFFSET($BP$9,CN64-1,CQ64,1,1),IF(F64&lt;OFFSET($BN$9,CN64+0,0,1,1),((F64-OFFSET($BM$9,CN64+0,0,1,1))*OFFSET($CI$9,CN64+0,0,1,1))+OFFSET($BP$9,CN64+0,CQ64,1,1),IF(F64&lt;OFFSET($BN$9,CN64+1,0,1,1),((F64-OFFSET($BM$9,CN64+1,0,1,1))*OFFSET($CI$9,CN64+1,0,1,1))+OFFSET($BP$9,CN64+1,CQ64,1,1),IF(F64&lt;OFFSET($BN$9,CN64+2,0,1,1),((F64-OFFSET($BM$9,CN64+2,0,1,1))*OFFSET($CI$9,CN64+2,0,1,1))+OFFSET($BP$9,CN64+2,CQ64,1,1),IF(F64&lt;OFFSET($BN$9,CN64+3,0,1,1),((F64-OFFSET($BM$9,CN64+3,0,1,1))*OFFSET($CI$9,CN64+3,0,1,1))+OFFSET($BP$9,CN64+3,CQ64,1,1),0))))))</f>
        <v>0</v>
      </c>
      <c r="DJ64" s="51">
        <f ca="1">IF($F64&lt;OFFSET($BM$9,$CN64-1,0,1,1),0,IF($F64&lt;OFFSET($BN$9,$CN64-1,0,1,1),IF(AND($H64&gt;2.4,Z64&lt;&gt;"e",Z64&lt;&gt;"f"),DN64*2.4/$H64,DN64),IF($F64&lt;OFFSET($BN$9,$CN64+0,0,1,1),IF(AND($H64&gt;2.4,Z64&lt;&gt;"e",Z64&lt;&gt;"f"),DN64*2.4/$H64,DN64),IF($F64&lt;OFFSET($BN$9,$CN64+1,0,1,1),IF(AND($H64&gt;2.4,Z64&lt;&gt;"e",Z64&lt;&gt;"f"),DN64*2.4/$H64,DN64),IF($F64&lt;OFFSET($BN$9,$CN64+2,0,1,1),IF(AND($H64&gt;2.4,Z64&lt;&gt;"e",Z64&lt;&gt;"f"),DN64*2.4/$H64,DN64),IF($F64&lt;OFFSET($BN$9,$CN64+3,0,1,1),IF(AND($H64&gt;2.4,Z64&lt;&gt;"e",Z64&lt;&gt;"f"),DN64*2.4/$H64,DN64),0)))))*COS(RADIANS($G64)))</f>
        <v>0</v>
      </c>
      <c r="DK64" s="51"/>
      <c r="DL64" s="51">
        <f ca="1">IF(DG64&gt;$CR64,$CR64,DG64)</f>
        <v>0</v>
      </c>
      <c r="DM64" s="51"/>
      <c r="DN64" s="51">
        <f ca="1">IF(DI64&gt;$CR64,$CR64,DI64)</f>
        <v>0</v>
      </c>
      <c r="DO64" s="435">
        <f ca="1">IF(DH64&gt;$CR64,$CR64,DH64)</f>
        <v>0</v>
      </c>
      <c r="DP64" s="435">
        <f ca="1">DO64*F64</f>
        <v>0</v>
      </c>
      <c r="DQ64" s="436">
        <f ca="1">IF(DJ64&gt;$CR64,$CR64,DJ64)</f>
        <v>0</v>
      </c>
      <c r="DR64" s="437">
        <f ca="1">DQ64*F64</f>
        <v>0</v>
      </c>
      <c r="DS64" s="426">
        <f ca="1">OFFSET($CH$9,CL64-1,-15,1,1)</f>
        <v>0</v>
      </c>
      <c r="DT64" s="451">
        <f t="shared" ca="1" si="27"/>
        <v>0</v>
      </c>
      <c r="DU64" s="188">
        <f ca="1">IF(F64&lt;OFFSET($BM$9,DT64-1,0,1,1),0,IF(F64&lt;OFFSET($BN$9,DT64-1,0,1,1),((F64-OFFSET($BM$9,DT64-1,0,1,1))*OFFSET($CH$9,DT64-1,0,1,1))+OFFSET($BO$9,DT64-1,CQ64,1,1),IF(F64&lt;OFFSET($BN$9,DT64+0,0,1,1),((F64-OFFSET($BM$9,DT64+0,0,1,1))*OFFSET($CH$9,DT64+0,0,1,1))+OFFSET($BO$9,DT64+0,CQ64,1,1),IF(F64&lt;OFFSET($BN$9,DT64+1,0,1,1),((F64-OFFSET($BM$9,DT64+1,0,1,1))*OFFSET($CH$9,DT64+1,0,1,1))+OFFSET($BO$9,DT64+1,CQ64,1,1),IF(F64&lt;OFFSET($BN$9,DT64+2,0,1,1),((F64-OFFSET($BM$9,DT64+2,0,1,1))*OFFSET($CH$9,DT64+2,0,1,1))+OFFSET($BO$9,DT64+2,CQ64,1,1),IF(F64&lt;OFFSET($BN$9,DT64+3,0,1,1),((F64-OFFSET($BM$9,DT64+3,0,1,1))*OFFSET($CH$9,DT64+3,0,1,1))+OFFSET($BO$9,DT64+3,CQ64,1,1),0))))))</f>
        <v>0</v>
      </c>
      <c r="DV64" s="51">
        <f ca="1">IF($F64&lt;OFFSET($BM$9,$DT64-1,0,1,1),0,IF($F64&lt;OFFSET($BN$9,$DT64-1,0,1,1),IF(AND($H64&gt;2.4,Z64&lt;&gt;"e",Z64&lt;&gt;"f"),DZ64*2.4/$H64,DZ64),IF($F64&lt;OFFSET($BN$9,$DT64+0,0,1,1),IF(AND($H64&gt;2.4,Z64&lt;&gt;"e",Z64&lt;&gt;"f"),DZ64*2.4/$H64,DZ64),IF($F64&lt;OFFSET($BN$9,$DT64+1,0,1,1),IF(AND($H64&gt;2.4,Z64&lt;&gt;"e",Z64&lt;&gt;"f"),DZ64*2.4/$H64,DZ64),IF($F64&lt;OFFSET($BN$9,$DT64+2,0,1,1),IF(AND($H64&gt;2.4,Z64&lt;&gt;"e",Z64&lt;&gt;"f"),DZ64*2.4/$H64,DZ64),IF($F64&lt;OFFSET($BN$9,$DT64+3,0,1,1),IF(AND($H64&gt;2.4,Z64&lt;&gt;"e",Z64&lt;&gt;"f"),DZ64*2.4/$H64,DZ64),0)))))*COS(RADIANS($G64)))</f>
        <v>0</v>
      </c>
      <c r="DW64" s="188">
        <f ca="1">IF(F64&lt;OFFSET($BM$9,DT64-1,0,1,1),0,IF(F64&lt;OFFSET($BN$9,DT64-1,0,1,1),((F64-OFFSET($BM$9,DT64-1,0,1,1))*OFFSET($CI$9,DT64-1,0,1,1))+OFFSET($BP$9,DT64-1,CQ64,1,1),IF(F64&lt;OFFSET($BN$9,DT64+0,0,1,1),((F64-OFFSET($BM$9,DT64+0,0,1,1))*OFFSET($CI$9,DT64+0,0,1,1))+OFFSET($BP$9,DT64+0,CQ64,1,1),IF(F64&lt;OFFSET($BN$9,DT64+1,0,1,1),((F64-OFFSET($BM$9,DT64+1,0,1,1))*OFFSET($CI$9,DT64+1,0,1,1))+OFFSET($BP$9,DT64+1,CQ64,1,1),IF(F64&lt;OFFSET($BN$9,DT64+2,0,1,1),((F64-OFFSET($BM$9,DT64+2,0,1,1))*OFFSET($CI$9,DT64+2,0,1,1))+OFFSET($BP$9,DT64+2,CQ64,1,1),IF(F64&lt;OFFSET($BN$9,DT64+3,0,1,1),((F64-OFFSET($BM$9,DT64+3,0,1,1))*OFFSET($CI$9,DT64+3,0,1,1))+OFFSET($BP$9,DT64+3,CQ64,1,1),0))))))</f>
        <v>0</v>
      </c>
      <c r="DX64" s="51">
        <f ca="1">IF($F64&lt;OFFSET($BM$9,$DT64-1,0,1,1),0,IF($F64&lt;OFFSET($BN$9,$DT64-1,0,1,1),IF(AND($H64&gt;2.4,Z64&lt;&gt;"e",Z64&lt;&gt;"f"),EB64*2.4/$H64,EB64),IF($F64&lt;OFFSET($BN$9,$DT64+0,0,1,1),IF(AND($H64&gt;2.4,Z64&lt;&gt;"e",Z64&lt;&gt;"f"),EB64*2.4/$H64,EB64),IF($F64&lt;OFFSET($BN$9,$DT64+1,0,1,1),IF(AND($H64&gt;2.4,Z64&lt;&gt;"e",Z64&lt;&gt;"f"),EB64*2.4/$H64,EB64),IF($F64&lt;OFFSET($BN$9,$DT64+2,0,1,1),IF(AND($H64&gt;2.4,Z64&lt;&gt;"e",Z64&lt;&gt;"f"),EB64*2.4/$H64,EB64),IF($F64&lt;OFFSET($BN$9,$DT64+3,0,1,1),IF(AND($H64&gt;2.4,Z64&lt;&gt;"e",Z64&lt;&gt;"f"),EB64*2.4/$H64,EB64),0)))))*COS(RADIANS($G64)))</f>
        <v>0</v>
      </c>
      <c r="DY64" s="188"/>
      <c r="DZ64" s="188">
        <f ca="1">IF(DU64&gt;$CR64,$CR64,DU64)</f>
        <v>0</v>
      </c>
      <c r="EA64" s="188"/>
      <c r="EB64" s="188">
        <f ca="1">IF(DW64&gt;$CR64,$CR64,DW64)</f>
        <v>0</v>
      </c>
      <c r="EC64" s="435">
        <f ca="1">IF(DV64&gt;$CR64,$CR64,DV64)</f>
        <v>0</v>
      </c>
      <c r="ED64" s="435">
        <f ca="1">EC64*F64</f>
        <v>0</v>
      </c>
      <c r="EE64" s="436">
        <f ca="1">IF(DX64&gt;$CR64,$CR64,DX64)</f>
        <v>0</v>
      </c>
      <c r="EF64" s="437">
        <f ca="1">EE64*F64</f>
        <v>0</v>
      </c>
      <c r="EG64" s="613" t="str">
        <f>IF(D64=BG$12,BG$12,"")</f>
        <v/>
      </c>
      <c r="EH64" s="614" t="str">
        <f>IF(D64=BG$13,BG$13,"")</f>
        <v/>
      </c>
      <c r="EI64" s="611">
        <f>IF(EG64=BG$12,M64,0)</f>
        <v>0</v>
      </c>
      <c r="EJ64" s="451">
        <f>IF(EG64=BG$12,O64,0)</f>
        <v>0</v>
      </c>
      <c r="EK64" s="451">
        <f>IF(EH64=BG$13,M64,0)</f>
        <v>0</v>
      </c>
      <c r="EL64" s="612">
        <f>IF(EH64=BG$13,O64,0)</f>
        <v>0</v>
      </c>
      <c r="EM64" s="426" t="str">
        <f ca="1">IF(AND(Z64&lt;&gt;"t",Z64&lt;&gt;"f"),"",IF(AND(EN64=$BH$13,K64=$BH$12),"NotOpt",IF(K64&lt;&gt;EN64,"Error","")))</f>
        <v/>
      </c>
      <c r="EN64" s="491" t="str">
        <f>IF(AND($BH$28=1,$BG$28=1),$BH$13,$BH$12)</f>
        <v>120 BU's</v>
      </c>
      <c r="EO64" s="426" t="str">
        <f>K64</f>
        <v xml:space="preserve"> </v>
      </c>
      <c r="EP64" s="497">
        <v>1</v>
      </c>
      <c r="EQ64" s="430" t="str">
        <f ca="1">IF(EP64=1," ",OFFSET(BF$15,EP64-2,0,1,1))</f>
        <v xml:space="preserve"> </v>
      </c>
      <c r="ER64" s="439" t="str">
        <f ca="1">IF(H64=0," ",H64)</f>
        <v xml:space="preserve"> </v>
      </c>
      <c r="ES64" s="440" t="str">
        <f ca="1">IF(ER64&lt;&gt;" ",IF(ER64&lt;&gt;ER$7,"Changed",""),"")</f>
        <v/>
      </c>
      <c r="ET64" s="440">
        <f t="shared" ca="1" si="15"/>
        <v>0</v>
      </c>
      <c r="EU64" s="957" t="str">
        <f ca="1">IF(I64=" "," ",IF(F64&lt;OFFSET($BM$9,CL64-1,0,1,1),1,""))</f>
        <v xml:space="preserve"> </v>
      </c>
      <c r="EW64" s="427"/>
      <c r="EX64"/>
    </row>
    <row r="65" spans="1:154" ht="17.100000000000001" customHeight="1">
      <c r="A65" s="2685"/>
      <c r="B65" s="689" t="s">
        <v>246</v>
      </c>
      <c r="C65" s="684" t="str">
        <f>IF(OR(F65=0,I65="",I65=" ")," ",$V65)</f>
        <v xml:space="preserve"> </v>
      </c>
      <c r="D65" s="1033"/>
      <c r="E65" s="1360" t="s">
        <v>8</v>
      </c>
      <c r="F65" s="202"/>
      <c r="G65" s="1416"/>
      <c r="H65" s="199" t="str">
        <f ca="1">IF(OR(F65=0,Z65="E",Z65="f")," ",'Project Demand'!E$35)</f>
        <v xml:space="preserve"> </v>
      </c>
      <c r="I65" s="631" t="str">
        <f>IF($I$6&lt;&gt;$BG$8," ",AB65)</f>
        <v xml:space="preserve"> </v>
      </c>
      <c r="J65" s="44" t="str">
        <f ca="1">IF(OR(I65=" ",I65="")," ",OFFSET($BO$9,CL65-1,0-4,1,1))</f>
        <v xml:space="preserve"> </v>
      </c>
      <c r="K65" s="55" t="str">
        <f>IF(OR(I65=" ",I65="")," ",IF(OR(Z65="e",Z65="h"),"SD",BG$24))</f>
        <v xml:space="preserve"> </v>
      </c>
      <c r="L65" s="49">
        <f ca="1">CW65</f>
        <v>0</v>
      </c>
      <c r="M65" s="49">
        <f ca="1">CY65</f>
        <v>0</v>
      </c>
      <c r="N65" s="50">
        <f t="shared" ca="1" si="33"/>
        <v>0</v>
      </c>
      <c r="O65" s="126">
        <f t="shared" ca="1" si="33"/>
        <v>0</v>
      </c>
      <c r="P65" s="140"/>
      <c r="Q65" s="752" t="str">
        <f ca="1">IF(AND(OR(Z65="t",Z65="f"),K65=$BH$11),"No Floor!  Change Floor Type",IF(OR(I65=" ",I65="")," ",IF(F65&lt;OFFSET($BM$9,CL65-1,0,1,1),"check L(m)",DE65&amp;IF(AND(DP65&gt;=CY65,DR65&gt;=DB65),IF(AND(ED65&gt;=DP65,EF65&gt;=DR65),CONCATENATE(DS65," will provide same result"),CONCATENATE(CO65," will provide same result")),IF((DP65&gt;=CY65),CONCATENATE(CO65," provides same result in WIND"),IF((DR65&gt;=DB65),CONCATENATE(CO65," provides same result in EQ"),""))))))&amp;IF(ISERROR(FIND("pile",I65,1)),"",IF(INT(F65)&lt;&gt;F65,"Pile!  Use Whole Numbers Only",""))</f>
        <v xml:space="preserve"> </v>
      </c>
      <c r="R65" s="52"/>
      <c r="S65" s="1372"/>
      <c r="T65" s="1372"/>
      <c r="U65" s="1377"/>
      <c r="V65" s="52" t="str">
        <f ca="1">IF(AND(B$5=$BF$9,OR(I65=BH$16,I65=BH$17))," ",IF(ISNUMBER(B$62),(CONCATENATE(B$62,".",W65)),(CONCATENATE(B$62,W65))))</f>
        <v>V0</v>
      </c>
      <c r="W65" s="9">
        <f ca="1">W64+X65</f>
        <v>0</v>
      </c>
      <c r="X65" s="9">
        <f>IF(AND(B$5=$BF$9,OR($I65=$BH$16,$I65=$BH$17,$I65=" ",$I65="",$F65=0)),0,IF(OR($I65=" ",$I65="",$F65=0),0,1))</f>
        <v>0</v>
      </c>
      <c r="Y65" s="896"/>
      <c r="Z65" s="52" t="str">
        <f ca="1">IF(I65=" "," ",OFFSET($BM$9,$CL65-1,8,1,1))</f>
        <v xml:space="preserve"> </v>
      </c>
      <c r="AA65" s="51" t="str">
        <f>IF(G65&gt;=45,"WA","")</f>
        <v/>
      </c>
      <c r="AB65" s="1364" t="str">
        <f>IF(F65&lt;&gt;"",IF(OR(D65=$BG$12,D65=$BG$13),IF(E65&lt;&gt;$BG$17,$BF$12,$BF$13),IF(E65&lt;&gt;$BG$17,$BF$12,$BF$13))," ")</f>
        <v xml:space="preserve"> </v>
      </c>
      <c r="AC65" s="1"/>
      <c r="AK65" s="63" t="str">
        <f>'Custom Elements'!B26</f>
        <v xml:space="preserve">  </v>
      </c>
      <c r="AL65" s="860" t="str">
        <f>'Custom Elements'!C26</f>
        <v>Custom18</v>
      </c>
      <c r="AM65" s="11">
        <f>'Custom Elements'!D26</f>
        <v>9.9999999999999996E-76</v>
      </c>
      <c r="AN65" s="7">
        <f>'Custom Elements'!E26</f>
        <v>0</v>
      </c>
      <c r="AO65" s="7">
        <f>'Custom Elements'!F26</f>
        <v>0</v>
      </c>
      <c r="AP65" s="762" t="str">
        <f>'Custom Elements'!G26</f>
        <v>B</v>
      </c>
      <c r="AQ65" s="1777" t="str">
        <f>'Custom Elements'!H26</f>
        <v>Single</v>
      </c>
      <c r="AR65" s="1775" t="str">
        <f>'Custom Elements'!I26</f>
        <v>Yes</v>
      </c>
      <c r="AS65" s="442" t="str">
        <f>'Custom Elements'!J26</f>
        <v>Yes</v>
      </c>
      <c r="AT65" s="1598"/>
      <c r="AU65" s="1155"/>
      <c r="AZ65" s="442" t="str">
        <f>IF(AND('Custom Elements'!J26="Yes",'Custom Elements'!I26="Yes"),"T",IF('Custom Elements'!J26="Yes","F",IF('Custom Elements'!I26="Yes","H","E")))</f>
        <v>T</v>
      </c>
      <c r="BD65" s="641"/>
      <c r="BE65" s="1026" t="s">
        <v>904</v>
      </c>
      <c r="BF65" s="640"/>
      <c r="BG65" s="1027"/>
      <c r="BH65" s="479"/>
      <c r="BI65" s="759"/>
      <c r="BJ65" s="897">
        <f t="shared" si="28"/>
        <v>57</v>
      </c>
      <c r="BK65" s="764"/>
      <c r="BL65" s="766"/>
      <c r="BM65" s="455">
        <f>Table!P7</f>
        <v>1.2</v>
      </c>
      <c r="BN65" s="455">
        <f>BM66</f>
        <v>1.8</v>
      </c>
      <c r="BO65" s="455">
        <f>Table!Q7</f>
        <v>95</v>
      </c>
      <c r="BP65" s="925">
        <f>Table!R7</f>
        <v>84</v>
      </c>
      <c r="BR65" s="764"/>
      <c r="BS65" s="455"/>
      <c r="BT65" s="455"/>
      <c r="BU65" s="925" t="s">
        <v>242</v>
      </c>
      <c r="BV65" s="895"/>
      <c r="BW65" s="912"/>
      <c r="BX65" s="925" t="str">
        <f>Table!T5</f>
        <v>Single</v>
      </c>
      <c r="CH65" s="764">
        <f>IF(BN65=999,0,(BO66-BO65)/(BN65-BM65))</f>
        <v>24.999999999999996</v>
      </c>
      <c r="CI65" s="925">
        <f>IF(BN65=999,0,(BP66-BP65)/(BN65-BM65))</f>
        <v>0</v>
      </c>
      <c r="CJ65" s="759"/>
      <c r="CK65" s="188"/>
      <c r="CL65" s="979">
        <f>VLOOKUP(I65,Prodlink,2,0)</f>
        <v>0</v>
      </c>
      <c r="CN65" s="497">
        <f ca="1">VLOOKUP(CO65,Prodlink,2,0)</f>
        <v>0</v>
      </c>
      <c r="CO65" s="497">
        <f ca="1">OFFSET($CH$9,CL65-1,-15,1,1)</f>
        <v>0</v>
      </c>
      <c r="CQ65" s="51">
        <v>0</v>
      </c>
      <c r="CR65" s="51">
        <f>IF(K65=$BH$12,$BH$23,IF(K65=$BH$13,$BH$24,10000))</f>
        <v>10000</v>
      </c>
      <c r="CS65" s="51">
        <f ca="1">IF(F65&lt;OFFSET($BM$9,CL65-1,0,1,1),0,IF(F65&lt;OFFSET($BN$9,CL65-1,0,1,1),((F65-OFFSET($BM$9,CL65-1,0,1,1))*OFFSET($CH$9,CL65-1,0,1,1))+OFFSET($BO$9,CL65-1,CQ65,1,1),IF(F65&lt;OFFSET($BN$9,CL65+0,0,1,1),((F65-OFFSET($BM$9,CL65+0,0,1,1))*OFFSET($CH$9,CL65+0,0,1,1))+OFFSET($BO$9,CL65+0,CQ65,1,1),IF(F65&lt;OFFSET($BN$9,CL65+1,0,1,1),((F65-OFFSET($BM$9,CL65+1,0,1,1))*OFFSET($CH$9,CL65+1,0,1,1))+OFFSET($BO$9,CL65+1,CQ65,1,1),IF(F65&lt;OFFSET($BN$9,CL65+2,0,1,1),((F65-OFFSET($BM$9,CL65+2,0,1,1))*OFFSET($CH$9,CL65+2,0,1,1))+OFFSET($BO$9,CL65+2,CQ65,1,1),IF(F65&lt;OFFSET($BN$9,CL65+3,0,1,1),((F65-OFFSET($BM$9,CL65+3,0,1,1))*OFFSET($CH$9,CL65+3,0,1,1))+OFFSET($BO$9,CL65+3,CQ65,1,1),0))))))</f>
        <v>0</v>
      </c>
      <c r="CT65" s="51">
        <f ca="1">IF($F65&lt;OFFSET($BM$9,$CL65-1,0,1,1),0,IF($F65&lt;OFFSET($BN$9,$CL65-1,0,1,1),IF(AND($H65&gt;2.4,Z65&lt;&gt;"e",Z65&lt;&gt;"f"),CX65*2.4/$H65,CX65),IF($F65&lt;OFFSET($BN$9,$CL65+0,0,1,1),IF(AND($H65&gt;2.4,Z65&lt;&gt;"e",Z65&lt;&gt;"f"),CX65*2.4/$H65,CX65),IF($F65&lt;OFFSET($BN$9,$CL65+1,0,1,1),IF(AND($H65&gt;2.4,Z65&lt;&gt;"e",Z65&lt;&gt;"f"),CX65*2.4/$H65,CX65),IF($F65&lt;OFFSET($BN$9,CL65+2,0,1,1),IF(AND($H65&gt;2.4,Z65&lt;&gt;"e",Z65&lt;&gt;"f"),CX65*2.4/$H65,CX65),IF($F65&lt;OFFSET($BN$9,CL65+3,0,1,1),IF(AND($H65&gt;2.4,Z65&lt;&gt;"e",Z65&lt;&gt;"f"),CX65*2.4/$H65,CX65),0)))))*COS(RADIANS($G65)))</f>
        <v>0</v>
      </c>
      <c r="CU65" s="51">
        <f ca="1">IF(F65&lt;OFFSET($BM$9,CL65-1,0,1,1),0,IF(F65&lt;OFFSET($BN$9,CL65-1,0,1,1),((F65-OFFSET($BM$9,CL65-1,0,1,1))*OFFSET($CI$9,CL65-1,0,1,1))+OFFSET($BP$9,CL65-1,CQ65,1,1),IF(F65&lt;OFFSET($BN$9,CL65+0,0,1,1),((F65-OFFSET($BM$9,CL65+0,0,1,1))*OFFSET($CI$9,CL65+0,0,1,1))+OFFSET($BP$9,CL65+0,CQ65,1,1),IF(F65&lt;OFFSET($BN$9,CL65+1,0,1,1),((F65-OFFSET($BM$9,CL65+1,0,1,1))*OFFSET($CI$9,CL65+1,0,1,1))+OFFSET($BP$9,CL65+1,CQ65,1,1),IF(F65&lt;OFFSET($BN$9,CL65+2,0,1,1),((F65-OFFSET($BM$9,CL65+2,0,1,1))*OFFSET($CI$9,CL65+2,0,1,1))+OFFSET($BP$9,CL65+2,CQ65,1,1),IF(F65&lt;OFFSET($BN$9,CL65+3,0,1,1),((F65-OFFSET($BM$9,CL65+3,0,1,1))*OFFSET($CI$9,CL65+3,0,1,1))+OFFSET($BP$9,CL65+3,CQ65,1,1),0))))))</f>
        <v>0</v>
      </c>
      <c r="CV65" s="51">
        <f ca="1">IF($F65&lt;OFFSET($BM$9,$CL65-1,0,1,1),0,IF($F65&lt;OFFSET($BN$9,$CL65-1,0,1,1),IF(AND($H65&gt;2.4,Z65&lt;&gt;"e",Z65&lt;&gt;"f"),CZ65*2.4/$H65,CZ65),IF($F65&lt;OFFSET($BN$9,$CL65+0,0,1,1),IF(AND($H65&gt;2.4,Z65&lt;&gt;"e",Z65&lt;&gt;"f"),CZ65*2.4/$H65,CZ65),IF($F65&lt;OFFSET($BN$9,$CL65+1,0,1,1),IF(AND($H65&gt;2.4,Z65&lt;&gt;"e",Z65&lt;&gt;"f"),CZ65*2.4/$H65,CZ65),IF($F65&lt;OFFSET($BN$9,$CL65+2,0,1,1),IF(AND($H65&gt;2.4,Z65&lt;&gt;"e",Z65&lt;&gt;"f"),CZ65*2.4/$H65,CZ65),IF($F65&lt;OFFSET($BN$9,$CL65+3,0,1,1),IF(AND($H65&gt;2.4,Z65&lt;&gt;"e",Z65&lt;&gt;"f"),CZ65*2.4/$H65,CZ65),0)))))*COS(RADIANS($G65)))</f>
        <v>0</v>
      </c>
      <c r="CW65" s="51">
        <f ca="1">IF(CT65&gt;CR65,CR65,CT65)</f>
        <v>0</v>
      </c>
      <c r="CX65" s="51">
        <f ca="1">IF(CS65&gt;$CR65,$CR65,CS65)</f>
        <v>0</v>
      </c>
      <c r="CY65" s="51">
        <f ca="1">CW65*F65</f>
        <v>0</v>
      </c>
      <c r="CZ65" s="51">
        <f ca="1">IF($CU65&gt;$CR65,$CR65,$CU65)</f>
        <v>0</v>
      </c>
      <c r="DA65" s="51">
        <f ca="1">IF(CV65&gt;CR65,CR65,CV65)</f>
        <v>0</v>
      </c>
      <c r="DB65" s="51">
        <f ca="1">DA65*F65</f>
        <v>0</v>
      </c>
      <c r="DC65" s="993">
        <v>1</v>
      </c>
      <c r="DD65" s="758" t="str">
        <f>IF(OR(D65=BG$12,D65=BG$13),"External",IF(D65=BG$14,"Internal"," "))</f>
        <v xml:space="preserve"> </v>
      </c>
      <c r="DE65" s="51" t="str">
        <f t="shared" ca="1" si="2"/>
        <v/>
      </c>
      <c r="DF65" s="52" t="str">
        <f t="shared" ca="1" si="3"/>
        <v xml:space="preserve"> </v>
      </c>
      <c r="DG65" s="51">
        <f ca="1">IF(F65&lt;OFFSET($BM$9,CN65-1,0,1,1),0,IF(F65&lt;OFFSET($BN$9,CN65-1,0,1,1),((F65-OFFSET($BM$9,CN65-1,0,1,1))*OFFSET($CH$9,CN65-1,0,1,1))+OFFSET($BO$9,CN65-1,CQ65,1,1),IF(F65&lt;OFFSET($BN$9,CN65+0,0,1,1),((F65-OFFSET($BM$9,CN65+0,0,1,1))*OFFSET($CH$9,CN65+0,0,1,1))+OFFSET($BO$9,CN65+0,CQ65,1,1),IF(F65&lt;OFFSET($BN$9,CN65+1,0,1,1),((F65-OFFSET($BM$9,CN65+1,0,1,1))*OFFSET($CH$9,CN65+1,0,1,1))+OFFSET($BO$9,CN65+1,CQ65,1,1),IF(F65&lt;OFFSET($BN$9,CN65+2,0,1,1),((F65-OFFSET($BM$9,CN65+2,0,1,1))*OFFSET($CH$9,CN65+2,0,1,1))+OFFSET($BO$9,CN65+2,CQ65,1,1),IF(F65&lt;OFFSET($BN$9,CN65+3,0,1,1),((F65-OFFSET($BM$9,CN65+3,0,1,1))*OFFSET($CH$9,CN65+3,0,1,1))+OFFSET($BO$9,CN65+3,CQ65,1,1),0))))))</f>
        <v>0</v>
      </c>
      <c r="DH65" s="51">
        <f ca="1">IF($F65&lt;OFFSET($BM$9,$CN65-1,0,1,1),0,IF($F65&lt;OFFSET($BN$9,$CN65-1,0,1,1),IF(AND($H65&gt;2.4,Z65&lt;&gt;"e",Z65&lt;&gt;"f"),DL65*2.4/$H65,DL65),IF($F65&lt;OFFSET($BN$9,$CN65+0,0,1,1),IF(AND($H65&gt;2.4,Z65&lt;&gt;"e",Z65&lt;&gt;"f"),DL65*2.4/$H65,DL65),IF($F65&lt;OFFSET($BN$9,$CN65+1,0,1,1),IF(AND($H65&gt;2.4,Z65&lt;&gt;"e",Z65&lt;&gt;"f"),DL65*2.4/$H65,DL65),IF($F65&lt;OFFSET($BN$9,$CN65+2,0,1,1),IF(AND($H65&gt;2.4,Z65&lt;&gt;"e",Z65&lt;&gt;"f"),DL65*2.4/$H65,DL65),IF($F65&lt;OFFSET($BN$9,$CN65+3,0,1,1),IF(AND($H65&gt;2.4,Z65&lt;&gt;"e",Z65&lt;&gt;"f"),DL65*2.4/$H65,DL65),0)))))*COS(RADIANS($G65)))</f>
        <v>0</v>
      </c>
      <c r="DI65" s="51">
        <f ca="1">IF(F65&lt;OFFSET($BM$9,CN65-1,0,1,1),0,IF(F65&lt;OFFSET($BN$9,CN65-1,0,1,1),((F65-OFFSET($BM$9,CN65-1,0,1,1))*OFFSET($CI$9,CN65-1,0,1,1))+OFFSET($BP$9,CN65-1,CQ65,1,1),IF(F65&lt;OFFSET($BN$9,CN65+0,0,1,1),((F65-OFFSET($BM$9,CN65+0,0,1,1))*OFFSET($CI$9,CN65+0,0,1,1))+OFFSET($BP$9,CN65+0,CQ65,1,1),IF(F65&lt;OFFSET($BN$9,CN65+1,0,1,1),((F65-OFFSET($BM$9,CN65+1,0,1,1))*OFFSET($CI$9,CN65+1,0,1,1))+OFFSET($BP$9,CN65+1,CQ65,1,1),IF(F65&lt;OFFSET($BN$9,CN65+2,0,1,1),((F65-OFFSET($BM$9,CN65+2,0,1,1))*OFFSET($CI$9,CN65+2,0,1,1))+OFFSET($BP$9,CN65+2,CQ65,1,1),IF(F65&lt;OFFSET($BN$9,CN65+3,0,1,1),((F65-OFFSET($BM$9,CN65+3,0,1,1))*OFFSET($CI$9,CN65+3,0,1,1))+OFFSET($BP$9,CN65+3,CQ65,1,1),0))))))</f>
        <v>0</v>
      </c>
      <c r="DJ65" s="51">
        <f ca="1">IF($F65&lt;OFFSET($BM$9,$CN65-1,0,1,1),0,IF($F65&lt;OFFSET($BN$9,$CN65-1,0,1,1),IF(AND($H65&gt;2.4,Z65&lt;&gt;"e",Z65&lt;&gt;"f"),DN65*2.4/$H65,DN65),IF($F65&lt;OFFSET($BN$9,$CN65+0,0,1,1),IF(AND($H65&gt;2.4,Z65&lt;&gt;"e",Z65&lt;&gt;"f"),DN65*2.4/$H65,DN65),IF($F65&lt;OFFSET($BN$9,$CN65+1,0,1,1),IF(AND($H65&gt;2.4,Z65&lt;&gt;"e",Z65&lt;&gt;"f"),DN65*2.4/$H65,DN65),IF($F65&lt;OFFSET($BN$9,$CN65+2,0,1,1),IF(AND($H65&gt;2.4,Z65&lt;&gt;"e",Z65&lt;&gt;"f"),DN65*2.4/$H65,DN65),IF($F65&lt;OFFSET($BN$9,$CN65+3,0,1,1),IF(AND($H65&gt;2.4,Z65&lt;&gt;"e",Z65&lt;&gt;"f"),DN65*2.4/$H65,DN65),0)))))*COS(RADIANS($G65)))</f>
        <v>0</v>
      </c>
      <c r="DK65" s="51"/>
      <c r="DL65" s="51">
        <f ca="1">IF(DG65&gt;$CR65,$CR65,DG65)</f>
        <v>0</v>
      </c>
      <c r="DM65" s="51"/>
      <c r="DN65" s="51">
        <f ca="1">IF(DI65&gt;$CR65,$CR65,DI65)</f>
        <v>0</v>
      </c>
      <c r="DO65" s="435">
        <f ca="1">IF(DH65&gt;$CR65,$CR65,DH65)</f>
        <v>0</v>
      </c>
      <c r="DP65" s="435">
        <f ca="1">DO65*F65</f>
        <v>0</v>
      </c>
      <c r="DQ65" s="436">
        <f ca="1">IF(DJ65&gt;$CR65,$CR65,DJ65)</f>
        <v>0</v>
      </c>
      <c r="DR65" s="437">
        <f ca="1">DQ65*F65</f>
        <v>0</v>
      </c>
      <c r="DS65" s="426">
        <f ca="1">OFFSET($CH$9,CL65-1,-15,1,1)</f>
        <v>0</v>
      </c>
      <c r="DT65" s="451">
        <f t="shared" ca="1" si="27"/>
        <v>0</v>
      </c>
      <c r="DU65" s="188">
        <f ca="1">IF(F65&lt;OFFSET($BM$9,DT65-1,0,1,1),0,IF(F65&lt;OFFSET($BN$9,DT65-1,0,1,1),((F65-OFFSET($BM$9,DT65-1,0,1,1))*OFFSET($CH$9,DT65-1,0,1,1))+OFFSET($BO$9,DT65-1,CQ65,1,1),IF(F65&lt;OFFSET($BN$9,DT65+0,0,1,1),((F65-OFFSET($BM$9,DT65+0,0,1,1))*OFFSET($CH$9,DT65+0,0,1,1))+OFFSET($BO$9,DT65+0,CQ65,1,1),IF(F65&lt;OFFSET($BN$9,DT65+1,0,1,1),((F65-OFFSET($BM$9,DT65+1,0,1,1))*OFFSET($CH$9,DT65+1,0,1,1))+OFFSET($BO$9,DT65+1,CQ65,1,1),IF(F65&lt;OFFSET($BN$9,DT65+2,0,1,1),((F65-OFFSET($BM$9,DT65+2,0,1,1))*OFFSET($CH$9,DT65+2,0,1,1))+OFFSET($BO$9,DT65+2,CQ65,1,1),IF(F65&lt;OFFSET($BN$9,DT65+3,0,1,1),((F65-OFFSET($BM$9,DT65+3,0,1,1))*OFFSET($CH$9,DT65+3,0,1,1))+OFFSET($BO$9,DT65+3,CQ65,1,1),0))))))</f>
        <v>0</v>
      </c>
      <c r="DV65" s="51">
        <f ca="1">IF($F65&lt;OFFSET($BM$9,$DT65-1,0,1,1),0,IF($F65&lt;OFFSET($BN$9,$DT65-1,0,1,1),IF(AND($H65&gt;2.4,Z65&lt;&gt;"e",Z65&lt;&gt;"f"),DZ65*2.4/$H65,DZ65),IF($F65&lt;OFFSET($BN$9,$DT65+0,0,1,1),IF(AND($H65&gt;2.4,Z65&lt;&gt;"e",Z65&lt;&gt;"f"),DZ65*2.4/$H65,DZ65),IF($F65&lt;OFFSET($BN$9,$DT65+1,0,1,1),IF(AND($H65&gt;2.4,Z65&lt;&gt;"e",Z65&lt;&gt;"f"),DZ65*2.4/$H65,DZ65),IF($F65&lt;OFFSET($BN$9,$DT65+2,0,1,1),IF(AND($H65&gt;2.4,Z65&lt;&gt;"e",Z65&lt;&gt;"f"),DZ65*2.4/$H65,DZ65),IF($F65&lt;OFFSET($BN$9,$DT65+3,0,1,1),IF(AND($H65&gt;2.4,Z65&lt;&gt;"e",Z65&lt;&gt;"f"),DZ65*2.4/$H65,DZ65),0)))))*COS(RADIANS($G65)))</f>
        <v>0</v>
      </c>
      <c r="DW65" s="188">
        <f ca="1">IF(F65&lt;OFFSET($BM$9,DT65-1,0,1,1),0,IF(F65&lt;OFFSET($BN$9,DT65-1,0,1,1),((F65-OFFSET($BM$9,DT65-1,0,1,1))*OFFSET($CI$9,DT65-1,0,1,1))+OFFSET($BP$9,DT65-1,CQ65,1,1),IF(F65&lt;OFFSET($BN$9,DT65+0,0,1,1),((F65-OFFSET($BM$9,DT65+0,0,1,1))*OFFSET($CI$9,DT65+0,0,1,1))+OFFSET($BP$9,DT65+0,CQ65,1,1),IF(F65&lt;OFFSET($BN$9,DT65+1,0,1,1),((F65-OFFSET($BM$9,DT65+1,0,1,1))*OFFSET($CI$9,DT65+1,0,1,1))+OFFSET($BP$9,DT65+1,CQ65,1,1),IF(F65&lt;OFFSET($BN$9,DT65+2,0,1,1),((F65-OFFSET($BM$9,DT65+2,0,1,1))*OFFSET($CI$9,DT65+2,0,1,1))+OFFSET($BP$9,DT65+2,CQ65,1,1),IF(F65&lt;OFFSET($BN$9,DT65+3,0,1,1),((F65-OFFSET($BM$9,DT65+3,0,1,1))*OFFSET($CI$9,DT65+3,0,1,1))+OFFSET($BP$9,DT65+3,CQ65,1,1),0))))))</f>
        <v>0</v>
      </c>
      <c r="DX65" s="51">
        <f ca="1">IF($F65&lt;OFFSET($BM$9,$DT65-1,0,1,1),0,IF($F65&lt;OFFSET($BN$9,$DT65-1,0,1,1),IF(AND($H65&gt;2.4,Z65&lt;&gt;"e",Z65&lt;&gt;"f"),EB65*2.4/$H65,EB65),IF($F65&lt;OFFSET($BN$9,$DT65+0,0,1,1),IF(AND($H65&gt;2.4,Z65&lt;&gt;"e",Z65&lt;&gt;"f"),EB65*2.4/$H65,EB65),IF($F65&lt;OFFSET($BN$9,$DT65+1,0,1,1),IF(AND($H65&gt;2.4,Z65&lt;&gt;"e",Z65&lt;&gt;"f"),EB65*2.4/$H65,EB65),IF($F65&lt;OFFSET($BN$9,$DT65+2,0,1,1),IF(AND($H65&gt;2.4,Z65&lt;&gt;"e",Z65&lt;&gt;"f"),EB65*2.4/$H65,EB65),IF($F65&lt;OFFSET($BN$9,$DT65+3,0,1,1),IF(AND($H65&gt;2.4,Z65&lt;&gt;"e",Z65&lt;&gt;"f"),EB65*2.4/$H65,EB65),0)))))*COS(RADIANS($G65)))</f>
        <v>0</v>
      </c>
      <c r="DY65" s="188"/>
      <c r="DZ65" s="188">
        <f ca="1">IF(DU65&gt;$CR65,$CR65,DU65)</f>
        <v>0</v>
      </c>
      <c r="EA65" s="188"/>
      <c r="EB65" s="188">
        <f ca="1">IF(DW65&gt;$CR65,$CR65,DW65)</f>
        <v>0</v>
      </c>
      <c r="EC65" s="435">
        <f ca="1">IF(DV65&gt;$CR65,$CR65,DV65)</f>
        <v>0</v>
      </c>
      <c r="ED65" s="435">
        <f ca="1">EC65*F65</f>
        <v>0</v>
      </c>
      <c r="EE65" s="436">
        <f ca="1">IF(DX65&gt;$CR65,$CR65,DX65)</f>
        <v>0</v>
      </c>
      <c r="EF65" s="437">
        <f ca="1">EE65*F65</f>
        <v>0</v>
      </c>
      <c r="EG65" s="613" t="str">
        <f>IF(D65=BG$12,BG$12,"")</f>
        <v/>
      </c>
      <c r="EH65" s="614" t="str">
        <f>IF(D65=BG$13,BG$13,"")</f>
        <v/>
      </c>
      <c r="EI65" s="611">
        <f>IF(EG65=BG$12,M65,0)</f>
        <v>0</v>
      </c>
      <c r="EJ65" s="451">
        <f>IF(EG65=BG$12,O65,0)</f>
        <v>0</v>
      </c>
      <c r="EK65" s="451">
        <f>IF(EH65=BG$13,M65,0)</f>
        <v>0</v>
      </c>
      <c r="EL65" s="612">
        <f>IF(EH65=BG$13,O65,0)</f>
        <v>0</v>
      </c>
      <c r="EM65" s="426" t="str">
        <f ca="1">IF(AND(Z65&lt;&gt;"t",Z65&lt;&gt;"f"),"",IF(AND(EN65=$BH$13,K65=$BH$12),"NotOpt",IF(K65&lt;&gt;EN65,"Error","")))</f>
        <v/>
      </c>
      <c r="EN65" s="491" t="str">
        <f>IF(AND($BH$28=1,$BG$28=1),$BH$13,$BH$12)</f>
        <v>120 BU's</v>
      </c>
      <c r="EO65" s="426" t="str">
        <f>K65</f>
        <v xml:space="preserve"> </v>
      </c>
      <c r="EP65" s="497">
        <v>1</v>
      </c>
      <c r="EQ65" s="430" t="str">
        <f ca="1">IF(EP65=1," ",OFFSET(BF$15,EP65-2,0,1,1))</f>
        <v xml:space="preserve"> </v>
      </c>
      <c r="ER65" s="439" t="str">
        <f ca="1">IF(H65=0," ",H65)</f>
        <v xml:space="preserve"> </v>
      </c>
      <c r="ES65" s="440" t="str">
        <f ca="1">IF(ER65&lt;&gt;" ",IF(ER65&lt;&gt;ER$7,"Changed",""),"")</f>
        <v/>
      </c>
      <c r="ET65" s="440">
        <f t="shared" ca="1" si="15"/>
        <v>0</v>
      </c>
      <c r="EU65" s="957" t="str">
        <f ca="1">IF(I65=" "," ",IF(F65&lt;OFFSET($BM$9,CL65-1,0,1,1),1,""))</f>
        <v xml:space="preserve"> </v>
      </c>
      <c r="EW65" s="427"/>
      <c r="EX65"/>
    </row>
    <row r="66" spans="1:154" ht="17.100000000000001" customHeight="1" thickBot="1">
      <c r="A66" s="2685"/>
      <c r="B66" s="689" t="s">
        <v>246</v>
      </c>
      <c r="C66" s="684" t="str">
        <f>IF(OR(F66=0,I66="",I66=" ")," ",$V66)</f>
        <v xml:space="preserve"> </v>
      </c>
      <c r="D66" s="1033"/>
      <c r="E66" s="1360" t="s">
        <v>8</v>
      </c>
      <c r="F66" s="202"/>
      <c r="G66" s="1416"/>
      <c r="H66" s="199" t="str">
        <f ca="1">IF(OR(F66=0,Z66="E",Z66="f")," ",'Project Demand'!E$35)</f>
        <v xml:space="preserve"> </v>
      </c>
      <c r="I66" s="631" t="str">
        <f>IF($I$6&lt;&gt;$BG$8," ",AB66)</f>
        <v xml:space="preserve"> </v>
      </c>
      <c r="J66" s="44" t="str">
        <f ca="1">IF(OR(I66=" ",I66="")," ",OFFSET($BO$9,CL66-1,0-4,1,1))</f>
        <v xml:space="preserve"> </v>
      </c>
      <c r="K66" s="55" t="str">
        <f>IF(OR(I66=" ",I66="")," ",IF(OR(Z66="e",Z66="h"),"SD",BG$24))</f>
        <v xml:space="preserve"> </v>
      </c>
      <c r="L66" s="49">
        <f ca="1">CW66</f>
        <v>0</v>
      </c>
      <c r="M66" s="49">
        <f ca="1">CY66</f>
        <v>0</v>
      </c>
      <c r="N66" s="50">
        <f t="shared" ca="1" si="33"/>
        <v>0</v>
      </c>
      <c r="O66" s="126">
        <f t="shared" ca="1" si="33"/>
        <v>0</v>
      </c>
      <c r="P66" s="140"/>
      <c r="Q66" s="752" t="str">
        <f ca="1">IF(AND(OR(Z66="t",Z66="f"),K66=$BH$11),"No Floor!  Change Floor Type",IF(OR(I66=" ",I66="")," ",IF(F66&lt;OFFSET($BM$9,CL66-1,0,1,1),"check L(m)",DE66&amp;IF(AND(DP66&gt;=CY66,DR66&gt;=DB66),IF(AND(ED66&gt;=DP66,EF66&gt;=DR66),CONCATENATE(DS66," will provide same result"),CONCATENATE(CO66," will provide same result")),IF((DP66&gt;=CY66),CONCATENATE(CO66," provides same result in WIND"),IF((DR66&gt;=DB66),CONCATENATE(CO66," provides same result in EQ"),""))))))&amp;IF(ISERROR(FIND("pile",I66,1)),"",IF(INT(F66)&lt;&gt;F66,"Pile!  Use Whole Numbers Only",""))</f>
        <v xml:space="preserve"> </v>
      </c>
      <c r="R66" s="52"/>
      <c r="S66" s="1372"/>
      <c r="T66" s="1372"/>
      <c r="U66" s="1377"/>
      <c r="V66" s="52" t="str">
        <f ca="1">IF(AND(B$5=$BF$9,OR(I66=BH$16,I66=BH$17))," ",IF(ISNUMBER(B$62),(CONCATENATE(B$62,".",W66)),(CONCATENATE(B$62,W66))))</f>
        <v>V0</v>
      </c>
      <c r="W66" s="9">
        <f ca="1">W65+X66</f>
        <v>0</v>
      </c>
      <c r="X66" s="9">
        <f>IF(AND(B$5=$BF$9,OR($I66=$BH$16,$I66=$BH$17,$I66=" ",$I66="",$F66=0)),0,IF(OR($I66=" ",$I66="",$F66=0),0,1))</f>
        <v>0</v>
      </c>
      <c r="Y66" s="896"/>
      <c r="Z66" s="52" t="str">
        <f ca="1">IF(I66=" "," ",OFFSET($BM$9,$CL66-1,8,1,1))</f>
        <v xml:space="preserve"> </v>
      </c>
      <c r="AA66" s="51" t="str">
        <f>IF(G66&gt;=45,"WA","")</f>
        <v/>
      </c>
      <c r="AB66" s="1364" t="str">
        <f>IF(F66&lt;&gt;"",IF(OR(D66=$BG$12,D66=$BG$13),IF(E66&lt;&gt;$BG$17,$BF$12,$BF$13),IF(E66&lt;&gt;$BG$17,$BF$12,$BF$13))," ")</f>
        <v xml:space="preserve"> </v>
      </c>
      <c r="AC66" s="1"/>
      <c r="AK66" s="63" t="str">
        <f>'Custom Elements'!B27</f>
        <v xml:space="preserve">  </v>
      </c>
      <c r="AL66" s="860" t="str">
        <f>'Custom Elements'!C27</f>
        <v>Custom19</v>
      </c>
      <c r="AM66" s="11">
        <f>'Custom Elements'!D27</f>
        <v>9.9999999999999996E-76</v>
      </c>
      <c r="AN66" s="7">
        <f>'Custom Elements'!E27</f>
        <v>0</v>
      </c>
      <c r="AO66" s="7">
        <f>'Custom Elements'!F27</f>
        <v>0</v>
      </c>
      <c r="AP66" s="762" t="str">
        <f>'Custom Elements'!G27</f>
        <v>B</v>
      </c>
      <c r="AQ66" s="1777" t="str">
        <f>'Custom Elements'!H27</f>
        <v>Single</v>
      </c>
      <c r="AR66" s="1775" t="str">
        <f>'Custom Elements'!I27</f>
        <v>Yes</v>
      </c>
      <c r="AS66" s="442" t="str">
        <f>'Custom Elements'!J27</f>
        <v>Yes</v>
      </c>
      <c r="AT66" s="1598"/>
      <c r="AU66" s="1155"/>
      <c r="AZ66" s="442" t="str">
        <f>IF(AND('Custom Elements'!J27="Yes",'Custom Elements'!I27="Yes"),"T",IF('Custom Elements'!J27="Yes","F",IF('Custom Elements'!I27="Yes","H","E")))</f>
        <v>T</v>
      </c>
      <c r="BD66" s="641"/>
      <c r="BE66" s="2715" t="s">
        <v>862</v>
      </c>
      <c r="BF66" s="2716"/>
      <c r="BG66" s="2838"/>
      <c r="BH66" s="479"/>
      <c r="BI66" s="759"/>
      <c r="BJ66" s="897">
        <f t="shared" si="28"/>
        <v>58</v>
      </c>
      <c r="BK66" s="908"/>
      <c r="BL66" s="767"/>
      <c r="BM66" s="776">
        <f>Table!P8</f>
        <v>1.8</v>
      </c>
      <c r="BN66" s="776">
        <v>999</v>
      </c>
      <c r="BO66" s="776">
        <f>Table!Q8</f>
        <v>110</v>
      </c>
      <c r="BP66" s="926">
        <f>Table!R8</f>
        <v>84</v>
      </c>
      <c r="BQ66" s="1183"/>
      <c r="BR66" s="908"/>
      <c r="BS66" s="776"/>
      <c r="BT66" s="776"/>
      <c r="BU66" s="926" t="s">
        <v>242</v>
      </c>
      <c r="BV66" s="433"/>
      <c r="BW66" s="914"/>
      <c r="BX66" s="926" t="str">
        <f>Table!T5</f>
        <v>Single</v>
      </c>
      <c r="CH66" s="908">
        <f>IF(BN66=999,0,(BO67-BO66)/(BN66-BM66))</f>
        <v>0</v>
      </c>
      <c r="CI66" s="926">
        <f>IF(BN66=999,0,(BP67-BP66)/(BN66-BM66))</f>
        <v>0</v>
      </c>
      <c r="CJ66" s="759"/>
      <c r="CK66" s="188"/>
      <c r="CL66" s="979">
        <f>VLOOKUP(I66,Prodlink,2,0)</f>
        <v>0</v>
      </c>
      <c r="CN66" s="497">
        <f ca="1">VLOOKUP(CO66,Prodlink,2,0)</f>
        <v>0</v>
      </c>
      <c r="CO66" s="497">
        <f ca="1">OFFSET($CH$9,CL66-1,-15,1,1)</f>
        <v>0</v>
      </c>
      <c r="CQ66" s="51">
        <v>0</v>
      </c>
      <c r="CR66" s="51">
        <f>IF(K66=$BH$12,$BH$23,IF(K66=$BH$13,$BH$24,10000))</f>
        <v>10000</v>
      </c>
      <c r="CS66" s="51">
        <f ca="1">IF(F66&lt;OFFSET($BM$9,CL66-1,0,1,1),0,IF(F66&lt;OFFSET($BN$9,CL66-1,0,1,1),((F66-OFFSET($BM$9,CL66-1,0,1,1))*OFFSET($CH$9,CL66-1,0,1,1))+OFFSET($BO$9,CL66-1,CQ66,1,1),IF(F66&lt;OFFSET($BN$9,CL66+0,0,1,1),((F66-OFFSET($BM$9,CL66+0,0,1,1))*OFFSET($CH$9,CL66+0,0,1,1))+OFFSET($BO$9,CL66+0,CQ66,1,1),IF(F66&lt;OFFSET($BN$9,CL66+1,0,1,1),((F66-OFFSET($BM$9,CL66+1,0,1,1))*OFFSET($CH$9,CL66+1,0,1,1))+OFFSET($BO$9,CL66+1,CQ66,1,1),IF(F66&lt;OFFSET($BN$9,CL66+2,0,1,1),((F66-OFFSET($BM$9,CL66+2,0,1,1))*OFFSET($CH$9,CL66+2,0,1,1))+OFFSET($BO$9,CL66+2,CQ66,1,1),IF(F66&lt;OFFSET($BN$9,CL66+3,0,1,1),((F66-OFFSET($BM$9,CL66+3,0,1,1))*OFFSET($CH$9,CL66+3,0,1,1))+OFFSET($BO$9,CL66+3,CQ66,1,1),0))))))</f>
        <v>0</v>
      </c>
      <c r="CT66" s="51">
        <f ca="1">IF($F66&lt;OFFSET($BM$9,$CL66-1,0,1,1),0,IF($F66&lt;OFFSET($BN$9,$CL66-1,0,1,1),IF(AND($H66&gt;2.4,Z66&lt;&gt;"e",Z66&lt;&gt;"f"),CX66*2.4/$H66,CX66),IF($F66&lt;OFFSET($BN$9,$CL66+0,0,1,1),IF(AND($H66&gt;2.4,Z66&lt;&gt;"e",Z66&lt;&gt;"f"),CX66*2.4/$H66,CX66),IF($F66&lt;OFFSET($BN$9,$CL66+1,0,1,1),IF(AND($H66&gt;2.4,Z66&lt;&gt;"e",Z66&lt;&gt;"f"),CX66*2.4/$H66,CX66),IF($F66&lt;OFFSET($BN$9,CL66+2,0,1,1),IF(AND($H66&gt;2.4,Z66&lt;&gt;"e",Z66&lt;&gt;"f"),CX66*2.4/$H66,CX66),IF($F66&lt;OFFSET($BN$9,CL66+3,0,1,1),IF(AND($H66&gt;2.4,Z66&lt;&gt;"e",Z66&lt;&gt;"f"),CX66*2.4/$H66,CX66),0)))))*COS(RADIANS($G66)))</f>
        <v>0</v>
      </c>
      <c r="CU66" s="51">
        <f ca="1">IF(F66&lt;OFFSET($BM$9,CL66-1,0,1,1),0,IF(F66&lt;OFFSET($BN$9,CL66-1,0,1,1),((F66-OFFSET($BM$9,CL66-1,0,1,1))*OFFSET($CI$9,CL66-1,0,1,1))+OFFSET($BP$9,CL66-1,CQ66,1,1),IF(F66&lt;OFFSET($BN$9,CL66+0,0,1,1),((F66-OFFSET($BM$9,CL66+0,0,1,1))*OFFSET($CI$9,CL66+0,0,1,1))+OFFSET($BP$9,CL66+0,CQ66,1,1),IF(F66&lt;OFFSET($BN$9,CL66+1,0,1,1),((F66-OFFSET($BM$9,CL66+1,0,1,1))*OFFSET($CI$9,CL66+1,0,1,1))+OFFSET($BP$9,CL66+1,CQ66,1,1),IF(F66&lt;OFFSET($BN$9,CL66+2,0,1,1),((F66-OFFSET($BM$9,CL66+2,0,1,1))*OFFSET($CI$9,CL66+2,0,1,1))+OFFSET($BP$9,CL66+2,CQ66,1,1),IF(F66&lt;OFFSET($BN$9,CL66+3,0,1,1),((F66-OFFSET($BM$9,CL66+3,0,1,1))*OFFSET($CI$9,CL66+3,0,1,1))+OFFSET($BP$9,CL66+3,CQ66,1,1),0))))))</f>
        <v>0</v>
      </c>
      <c r="CV66" s="51">
        <f ca="1">IF($F66&lt;OFFSET($BM$9,$CL66-1,0,1,1),0,IF($F66&lt;OFFSET($BN$9,$CL66-1,0,1,1),IF(AND($H66&gt;2.4,Z66&lt;&gt;"e",Z66&lt;&gt;"f"),CZ66*2.4/$H66,CZ66),IF($F66&lt;OFFSET($BN$9,$CL66+0,0,1,1),IF(AND($H66&gt;2.4,Z66&lt;&gt;"e",Z66&lt;&gt;"f"),CZ66*2.4/$H66,CZ66),IF($F66&lt;OFFSET($BN$9,$CL66+1,0,1,1),IF(AND($H66&gt;2.4,Z66&lt;&gt;"e",Z66&lt;&gt;"f"),CZ66*2.4/$H66,CZ66),IF($F66&lt;OFFSET($BN$9,$CL66+2,0,1,1),IF(AND($H66&gt;2.4,Z66&lt;&gt;"e",Z66&lt;&gt;"f"),CZ66*2.4/$H66,CZ66),IF($F66&lt;OFFSET($BN$9,$CL66+3,0,1,1),IF(AND($H66&gt;2.4,Z66&lt;&gt;"e",Z66&lt;&gt;"f"),CZ66*2.4/$H66,CZ66),0)))))*COS(RADIANS($G66)))</f>
        <v>0</v>
      </c>
      <c r="CW66" s="51">
        <f ca="1">IF(CT66&gt;CR66,CR66,CT66)</f>
        <v>0</v>
      </c>
      <c r="CX66" s="51">
        <f ca="1">IF(CS66&gt;$CR66,$CR66,CS66)</f>
        <v>0</v>
      </c>
      <c r="CY66" s="51">
        <f ca="1">CW66*F66</f>
        <v>0</v>
      </c>
      <c r="CZ66" s="51">
        <f ca="1">IF($CU66&gt;$CR66,$CR66,$CU66)</f>
        <v>0</v>
      </c>
      <c r="DA66" s="51">
        <f ca="1">IF(CV66&gt;CR66,CR66,CV66)</f>
        <v>0</v>
      </c>
      <c r="DB66" s="51">
        <f ca="1">DA66*F66</f>
        <v>0</v>
      </c>
      <c r="DC66" s="993">
        <v>1</v>
      </c>
      <c r="DD66" s="758" t="str">
        <f>IF(OR(D66=BG$12,D66=BG$13),"External",IF(D66=BG$14,"Internal"," "))</f>
        <v xml:space="preserve"> </v>
      </c>
      <c r="DE66" s="51" t="str">
        <f t="shared" ca="1" si="2"/>
        <v/>
      </c>
      <c r="DF66" s="52" t="str">
        <f t="shared" ca="1" si="3"/>
        <v xml:space="preserve"> </v>
      </c>
      <c r="DG66" s="51">
        <f ca="1">IF(F66&lt;OFFSET($BM$9,CN66-1,0,1,1),0,IF(F66&lt;OFFSET($BN$9,CN66-1,0,1,1),((F66-OFFSET($BM$9,CN66-1,0,1,1))*OFFSET($CH$9,CN66-1,0,1,1))+OFFSET($BO$9,CN66-1,CQ66,1,1),IF(F66&lt;OFFSET($BN$9,CN66+0,0,1,1),((F66-OFFSET($BM$9,CN66+0,0,1,1))*OFFSET($CH$9,CN66+0,0,1,1))+OFFSET($BO$9,CN66+0,CQ66,1,1),IF(F66&lt;OFFSET($BN$9,CN66+1,0,1,1),((F66-OFFSET($BM$9,CN66+1,0,1,1))*OFFSET($CH$9,CN66+1,0,1,1))+OFFSET($BO$9,CN66+1,CQ66,1,1),IF(F66&lt;OFFSET($BN$9,CN66+2,0,1,1),((F66-OFFSET($BM$9,CN66+2,0,1,1))*OFFSET($CH$9,CN66+2,0,1,1))+OFFSET($BO$9,CN66+2,CQ66,1,1),IF(F66&lt;OFFSET($BN$9,CN66+3,0,1,1),((F66-OFFSET($BM$9,CN66+3,0,1,1))*OFFSET($CH$9,CN66+3,0,1,1))+OFFSET($BO$9,CN66+3,CQ66,1,1),0))))))</f>
        <v>0</v>
      </c>
      <c r="DH66" s="51">
        <f ca="1">IF($F66&lt;OFFSET($BM$9,$CN66-1,0,1,1),0,IF($F66&lt;OFFSET($BN$9,$CN66-1,0,1,1),IF(AND($H66&gt;2.4,Z66&lt;&gt;"e",Z66&lt;&gt;"f"),DL66*2.4/$H66,DL66),IF($F66&lt;OFFSET($BN$9,$CN66+0,0,1,1),IF(AND($H66&gt;2.4,Z66&lt;&gt;"e",Z66&lt;&gt;"f"),DL66*2.4/$H66,DL66),IF($F66&lt;OFFSET($BN$9,$CN66+1,0,1,1),IF(AND($H66&gt;2.4,Z66&lt;&gt;"e",Z66&lt;&gt;"f"),DL66*2.4/$H66,DL66),IF($F66&lt;OFFSET($BN$9,$CN66+2,0,1,1),IF(AND($H66&gt;2.4,Z66&lt;&gt;"e",Z66&lt;&gt;"f"),DL66*2.4/$H66,DL66),IF($F66&lt;OFFSET($BN$9,$CN66+3,0,1,1),IF(AND($H66&gt;2.4,Z66&lt;&gt;"e",Z66&lt;&gt;"f"),DL66*2.4/$H66,DL66),0)))))*COS(RADIANS($G66)))</f>
        <v>0</v>
      </c>
      <c r="DI66" s="51">
        <f ca="1">IF(F66&lt;OFFSET($BM$9,CN66-1,0,1,1),0,IF(F66&lt;OFFSET($BN$9,CN66-1,0,1,1),((F66-OFFSET($BM$9,CN66-1,0,1,1))*OFFSET($CI$9,CN66-1,0,1,1))+OFFSET($BP$9,CN66-1,CQ66,1,1),IF(F66&lt;OFFSET($BN$9,CN66+0,0,1,1),((F66-OFFSET($BM$9,CN66+0,0,1,1))*OFFSET($CI$9,CN66+0,0,1,1))+OFFSET($BP$9,CN66+0,CQ66,1,1),IF(F66&lt;OFFSET($BN$9,CN66+1,0,1,1),((F66-OFFSET($BM$9,CN66+1,0,1,1))*OFFSET($CI$9,CN66+1,0,1,1))+OFFSET($BP$9,CN66+1,CQ66,1,1),IF(F66&lt;OFFSET($BN$9,CN66+2,0,1,1),((F66-OFFSET($BM$9,CN66+2,0,1,1))*OFFSET($CI$9,CN66+2,0,1,1))+OFFSET($BP$9,CN66+2,CQ66,1,1),IF(F66&lt;OFFSET($BN$9,CN66+3,0,1,1),((F66-OFFSET($BM$9,CN66+3,0,1,1))*OFFSET($CI$9,CN66+3,0,1,1))+OFFSET($BP$9,CN66+3,CQ66,1,1),0))))))</f>
        <v>0</v>
      </c>
      <c r="DJ66" s="51">
        <f ca="1">IF($F66&lt;OFFSET($BM$9,$CN66-1,0,1,1),0,IF($F66&lt;OFFSET($BN$9,$CN66-1,0,1,1),IF(AND($H66&gt;2.4,Z66&lt;&gt;"e",Z66&lt;&gt;"f"),DN66*2.4/$H66,DN66),IF($F66&lt;OFFSET($BN$9,$CN66+0,0,1,1),IF(AND($H66&gt;2.4,Z66&lt;&gt;"e",Z66&lt;&gt;"f"),DN66*2.4/$H66,DN66),IF($F66&lt;OFFSET($BN$9,$CN66+1,0,1,1),IF(AND($H66&gt;2.4,Z66&lt;&gt;"e",Z66&lt;&gt;"f"),DN66*2.4/$H66,DN66),IF($F66&lt;OFFSET($BN$9,$CN66+2,0,1,1),IF(AND($H66&gt;2.4,Z66&lt;&gt;"e",Z66&lt;&gt;"f"),DN66*2.4/$H66,DN66),IF($F66&lt;OFFSET($BN$9,$CN66+3,0,1,1),IF(AND($H66&gt;2.4,Z66&lt;&gt;"e",Z66&lt;&gt;"f"),DN66*2.4/$H66,DN66),0)))))*COS(RADIANS($G66)))</f>
        <v>0</v>
      </c>
      <c r="DK66" s="51"/>
      <c r="DL66" s="51">
        <f ca="1">IF(DG66&gt;$CR66,$CR66,DG66)</f>
        <v>0</v>
      </c>
      <c r="DM66" s="51"/>
      <c r="DN66" s="51">
        <f ca="1">IF(DI66&gt;$CR66,$CR66,DI66)</f>
        <v>0</v>
      </c>
      <c r="DO66" s="435">
        <f ca="1">IF(DH66&gt;$CR66,$CR66,DH66)</f>
        <v>0</v>
      </c>
      <c r="DP66" s="435">
        <f ca="1">DO66*F66</f>
        <v>0</v>
      </c>
      <c r="DQ66" s="436">
        <f ca="1">IF(DJ66&gt;$CR66,$CR66,DJ66)</f>
        <v>0</v>
      </c>
      <c r="DR66" s="437">
        <f ca="1">DQ66*F66</f>
        <v>0</v>
      </c>
      <c r="DS66" s="426">
        <f ca="1">OFFSET($CH$9,CL66-1,-15,1,1)</f>
        <v>0</v>
      </c>
      <c r="DT66" s="451">
        <f t="shared" ca="1" si="27"/>
        <v>0</v>
      </c>
      <c r="DU66" s="188">
        <f ca="1">IF(F66&lt;OFFSET($BM$9,DT66-1,0,1,1),0,IF(F66&lt;OFFSET($BN$9,DT66-1,0,1,1),((F66-OFFSET($BM$9,DT66-1,0,1,1))*OFFSET($CH$9,DT66-1,0,1,1))+OFFSET($BO$9,DT66-1,CQ66,1,1),IF(F66&lt;OFFSET($BN$9,DT66+0,0,1,1),((F66-OFFSET($BM$9,DT66+0,0,1,1))*OFFSET($CH$9,DT66+0,0,1,1))+OFFSET($BO$9,DT66+0,CQ66,1,1),IF(F66&lt;OFFSET($BN$9,DT66+1,0,1,1),((F66-OFFSET($BM$9,DT66+1,0,1,1))*OFFSET($CH$9,DT66+1,0,1,1))+OFFSET($BO$9,DT66+1,CQ66,1,1),IF(F66&lt;OFFSET($BN$9,DT66+2,0,1,1),((F66-OFFSET($BM$9,DT66+2,0,1,1))*OFFSET($CH$9,DT66+2,0,1,1))+OFFSET($BO$9,DT66+2,CQ66,1,1),IF(F66&lt;OFFSET($BN$9,DT66+3,0,1,1),((F66-OFFSET($BM$9,DT66+3,0,1,1))*OFFSET($CH$9,DT66+3,0,1,1))+OFFSET($BO$9,DT66+3,CQ66,1,1),0))))))</f>
        <v>0</v>
      </c>
      <c r="DV66" s="51">
        <f ca="1">IF($F66&lt;OFFSET($BM$9,$DT66-1,0,1,1),0,IF($F66&lt;OFFSET($BN$9,$DT66-1,0,1,1),IF(AND($H66&gt;2.4,Z66&lt;&gt;"e",Z66&lt;&gt;"f"),DZ66*2.4/$H66,DZ66),IF($F66&lt;OFFSET($BN$9,$DT66+0,0,1,1),IF(AND($H66&gt;2.4,Z66&lt;&gt;"e",Z66&lt;&gt;"f"),DZ66*2.4/$H66,DZ66),IF($F66&lt;OFFSET($BN$9,$DT66+1,0,1,1),IF(AND($H66&gt;2.4,Z66&lt;&gt;"e",Z66&lt;&gt;"f"),DZ66*2.4/$H66,DZ66),IF($F66&lt;OFFSET($BN$9,$DT66+2,0,1,1),IF(AND($H66&gt;2.4,Z66&lt;&gt;"e",Z66&lt;&gt;"f"),DZ66*2.4/$H66,DZ66),IF($F66&lt;OFFSET($BN$9,$DT66+3,0,1,1),IF(AND($H66&gt;2.4,Z66&lt;&gt;"e",Z66&lt;&gt;"f"),DZ66*2.4/$H66,DZ66),0)))))*COS(RADIANS($G66)))</f>
        <v>0</v>
      </c>
      <c r="DW66" s="188">
        <f ca="1">IF(F66&lt;OFFSET($BM$9,DT66-1,0,1,1),0,IF(F66&lt;OFFSET($BN$9,DT66-1,0,1,1),((F66-OFFSET($BM$9,DT66-1,0,1,1))*OFFSET($CI$9,DT66-1,0,1,1))+OFFSET($BP$9,DT66-1,CQ66,1,1),IF(F66&lt;OFFSET($BN$9,DT66+0,0,1,1),((F66-OFFSET($BM$9,DT66+0,0,1,1))*OFFSET($CI$9,DT66+0,0,1,1))+OFFSET($BP$9,DT66+0,CQ66,1,1),IF(F66&lt;OFFSET($BN$9,DT66+1,0,1,1),((F66-OFFSET($BM$9,DT66+1,0,1,1))*OFFSET($CI$9,DT66+1,0,1,1))+OFFSET($BP$9,DT66+1,CQ66,1,1),IF(F66&lt;OFFSET($BN$9,DT66+2,0,1,1),((F66-OFFSET($BM$9,DT66+2,0,1,1))*OFFSET($CI$9,DT66+2,0,1,1))+OFFSET($BP$9,DT66+2,CQ66,1,1),IF(F66&lt;OFFSET($BN$9,DT66+3,0,1,1),((F66-OFFSET($BM$9,DT66+3,0,1,1))*OFFSET($CI$9,DT66+3,0,1,1))+OFFSET($BP$9,DT66+3,CQ66,1,1),0))))))</f>
        <v>0</v>
      </c>
      <c r="DX66" s="51">
        <f ca="1">IF($F66&lt;OFFSET($BM$9,$DT66-1,0,1,1),0,IF($F66&lt;OFFSET($BN$9,$DT66-1,0,1,1),IF(AND($H66&gt;2.4,Z66&lt;&gt;"e",Z66&lt;&gt;"f"),EB66*2.4/$H66,EB66),IF($F66&lt;OFFSET($BN$9,$DT66+0,0,1,1),IF(AND($H66&gt;2.4,Z66&lt;&gt;"e",Z66&lt;&gt;"f"),EB66*2.4/$H66,EB66),IF($F66&lt;OFFSET($BN$9,$DT66+1,0,1,1),IF(AND($H66&gt;2.4,Z66&lt;&gt;"e",Z66&lt;&gt;"f"),EB66*2.4/$H66,EB66),IF($F66&lt;OFFSET($BN$9,$DT66+2,0,1,1),IF(AND($H66&gt;2.4,Z66&lt;&gt;"e",Z66&lt;&gt;"f"),EB66*2.4/$H66,EB66),IF($F66&lt;OFFSET($BN$9,$DT66+3,0,1,1),IF(AND($H66&gt;2.4,Z66&lt;&gt;"e",Z66&lt;&gt;"f"),EB66*2.4/$H66,EB66),0)))))*COS(RADIANS($G66)))</f>
        <v>0</v>
      </c>
      <c r="DY66" s="188"/>
      <c r="DZ66" s="188">
        <f ca="1">IF(DU66&gt;$CR66,$CR66,DU66)</f>
        <v>0</v>
      </c>
      <c r="EA66" s="188"/>
      <c r="EB66" s="188">
        <f ca="1">IF(DW66&gt;$CR66,$CR66,DW66)</f>
        <v>0</v>
      </c>
      <c r="EC66" s="435">
        <f ca="1">IF(DV66&gt;$CR66,$CR66,DV66)</f>
        <v>0</v>
      </c>
      <c r="ED66" s="435">
        <f ca="1">EC66*F66</f>
        <v>0</v>
      </c>
      <c r="EE66" s="436">
        <f ca="1">IF(DX66&gt;$CR66,$CR66,DX66)</f>
        <v>0</v>
      </c>
      <c r="EF66" s="437">
        <f ca="1">EE66*F66</f>
        <v>0</v>
      </c>
      <c r="EG66" s="613" t="str">
        <f>IF(D66=BG$12,BG$12,"")</f>
        <v/>
      </c>
      <c r="EH66" s="614" t="str">
        <f>IF(D66=BG$13,BG$13,"")</f>
        <v/>
      </c>
      <c r="EI66" s="611">
        <f>IF(EG66=BG$12,M66,0)</f>
        <v>0</v>
      </c>
      <c r="EJ66" s="451">
        <f>IF(EG66=BG$12,O66,0)</f>
        <v>0</v>
      </c>
      <c r="EK66" s="451">
        <f>IF(EH66=BG$13,M66,0)</f>
        <v>0</v>
      </c>
      <c r="EL66" s="612">
        <f>IF(EH66=BG$13,O66,0)</f>
        <v>0</v>
      </c>
      <c r="EM66" s="426" t="str">
        <f ca="1">IF(AND(Z66&lt;&gt;"t",Z66&lt;&gt;"f"),"",IF(AND(EN66=$BH$13,K66=$BH$12),"NotOpt",IF(K66&lt;&gt;EN66,"Error","")))</f>
        <v/>
      </c>
      <c r="EN66" s="491" t="str">
        <f>IF(AND($BH$28=1,$BG$28=1),$BH$13,$BH$12)</f>
        <v>120 BU's</v>
      </c>
      <c r="EO66" s="426" t="str">
        <f>K66</f>
        <v xml:space="preserve"> </v>
      </c>
      <c r="EP66" s="497">
        <v>1</v>
      </c>
      <c r="EQ66" s="430" t="str">
        <f ca="1">IF(EP66=1," ",OFFSET(BF$15,EP66-2,0,1,1))</f>
        <v xml:space="preserve"> </v>
      </c>
      <c r="ER66" s="439" t="str">
        <f ca="1">IF(H66=0," ",H66)</f>
        <v xml:space="preserve"> </v>
      </c>
      <c r="ES66" s="440" t="str">
        <f ca="1">IF(ER66&lt;&gt;" ",IF(ER66&lt;&gt;ER$7,"Changed",""),"")</f>
        <v/>
      </c>
      <c r="ET66" s="440">
        <f t="shared" ca="1" si="15"/>
        <v>0</v>
      </c>
      <c r="EU66" s="957" t="str">
        <f ca="1">IF(I66=" "," ",IF(F66&lt;OFFSET($BM$9,CL66-1,0,1,1),1,""))</f>
        <v xml:space="preserve"> </v>
      </c>
      <c r="EW66" s="427"/>
      <c r="EX66"/>
    </row>
    <row r="67" spans="1:154" ht="17.100000000000001" customHeight="1" thickBot="1">
      <c r="A67" s="2685"/>
      <c r="B67" s="2686" t="s">
        <v>8</v>
      </c>
      <c r="C67" s="2687"/>
      <c r="D67" s="1461" t="s">
        <v>8</v>
      </c>
      <c r="E67" s="659"/>
      <c r="F67" s="659"/>
      <c r="G67" s="659"/>
      <c r="H67" s="659"/>
      <c r="I67" s="1462"/>
      <c r="J67" s="1365" t="str">
        <f ca="1">(CONCATENATE(B62,$BE$54))</f>
        <v>V  Line:  Min. Requirement</v>
      </c>
      <c r="K67" s="23"/>
      <c r="L67" s="1019">
        <f ca="1">L$5</f>
        <v>0</v>
      </c>
      <c r="M67" s="48">
        <f ca="1">IF(B62=B56,SUM(M62:M66)+M61,SUM(M62:M66))</f>
        <v>0</v>
      </c>
      <c r="N67" s="1019">
        <f ca="1">N$5</f>
        <v>0</v>
      </c>
      <c r="O67" s="125">
        <f ca="1">IF(B62=B56,SUM(O62:O66)+O61,SUM(O62:O66))</f>
        <v>0</v>
      </c>
      <c r="P67" s="139"/>
      <c r="Q67" s="42" t="str">
        <f ca="1">IF(B62=B68,"",IF(AND(M67&gt;0,L67=L$5,OR(M67&lt;$M$105,M67&lt;$BF$3)),"Achieved &lt; Min Req per Line",IF(AND(O67&gt;0,N67=N$5,OR(O67&lt;$O$105,O67&lt;$BF$3)),"Achieved &lt; Min Req per Line",IF(AND(M67&gt;0,L67&gt;M67),"More Required on this line",IF(AND(O67&gt;0,N67&gt;O67),"More Required on this line",IF(AND(L67&gt;0,L67&lt;$BF$3),$BE$59,IF(AND(N67&gt;0,N67&lt;$BF$3),$BE$59,"")))))))</f>
        <v/>
      </c>
      <c r="R67" s="52"/>
      <c r="S67" s="52"/>
      <c r="T67" s="52"/>
      <c r="U67" s="1378"/>
      <c r="V67" s="52"/>
      <c r="W67" s="9"/>
      <c r="X67" s="9"/>
      <c r="Y67" s="896"/>
      <c r="Z67" s="52"/>
      <c r="AA67" s="51"/>
      <c r="AB67" s="1364"/>
      <c r="AC67" s="1"/>
      <c r="AK67" s="200" t="str">
        <f>'Custom Elements'!B28</f>
        <v xml:space="preserve"> </v>
      </c>
      <c r="AL67" s="861" t="str">
        <f>'Custom Elements'!C28</f>
        <v>Custom20</v>
      </c>
      <c r="AM67" s="117">
        <f>'Custom Elements'!D28</f>
        <v>9.9999999999999996E-76</v>
      </c>
      <c r="AN67" s="62">
        <f>'Custom Elements'!E28</f>
        <v>0</v>
      </c>
      <c r="AO67" s="62">
        <f>'Custom Elements'!F28</f>
        <v>0</v>
      </c>
      <c r="AP67" s="762" t="str">
        <f>'Custom Elements'!G28</f>
        <v>B</v>
      </c>
      <c r="AQ67" s="1778" t="str">
        <f>'Custom Elements'!H28</f>
        <v>Single</v>
      </c>
      <c r="AR67" s="1776" t="str">
        <f>'Custom Elements'!I28</f>
        <v>Yes</v>
      </c>
      <c r="AS67" s="443" t="str">
        <f>'Custom Elements'!J28</f>
        <v>Yes</v>
      </c>
      <c r="AT67" s="1598"/>
      <c r="AU67" s="1155"/>
      <c r="AZ67" s="442" t="str">
        <f>IF(AND('Custom Elements'!J28="Yes",'Custom Elements'!I28="Yes"),"T",IF('Custom Elements'!J28="Yes","F",IF('Custom Elements'!I28="Yes","H","E")))</f>
        <v>T</v>
      </c>
      <c r="BD67" s="641"/>
      <c r="BE67" s="1362" t="s">
        <v>1053</v>
      </c>
      <c r="BF67" s="1020"/>
      <c r="BG67" s="1020"/>
      <c r="BH67" s="479"/>
      <c r="BI67" s="759"/>
      <c r="BJ67" s="897">
        <f t="shared" si="28"/>
        <v>59</v>
      </c>
      <c r="BK67" s="1231"/>
      <c r="BL67" s="1234"/>
      <c r="BM67" s="1205"/>
      <c r="BN67" s="1205"/>
      <c r="BO67" s="1205"/>
      <c r="BP67" s="1205"/>
      <c r="BQ67" s="1233"/>
      <c r="BR67" s="1205"/>
      <c r="BS67" s="1205"/>
      <c r="BT67" s="1205"/>
      <c r="BU67" s="1205"/>
      <c r="BV67" s="1233"/>
      <c r="BW67" s="1235"/>
      <c r="BX67" s="1205"/>
      <c r="CH67" s="970"/>
      <c r="CI67" s="971"/>
      <c r="CJ67" s="759"/>
      <c r="CK67" s="188"/>
      <c r="CL67" s="979"/>
      <c r="CN67" s="497"/>
      <c r="CO67" s="497"/>
      <c r="CQ67" s="51" t="s">
        <v>8</v>
      </c>
      <c r="CR67" s="51" t="s">
        <v>8</v>
      </c>
      <c r="CS67" s="51" t="s">
        <v>8</v>
      </c>
      <c r="CT67" s="51" t="s">
        <v>8</v>
      </c>
      <c r="CU67" s="51" t="s">
        <v>8</v>
      </c>
      <c r="CV67" s="51" t="s">
        <v>8</v>
      </c>
      <c r="CW67" s="51" t="s">
        <v>8</v>
      </c>
      <c r="CX67" s="51" t="s">
        <v>8</v>
      </c>
      <c r="CY67" s="51"/>
      <c r="CZ67" s="51" t="s">
        <v>8</v>
      </c>
      <c r="DA67" s="51" t="s">
        <v>8</v>
      </c>
      <c r="DD67" s="758"/>
      <c r="DF67" s="52"/>
      <c r="DG67" s="51" t="s">
        <v>8</v>
      </c>
      <c r="DH67" s="51"/>
      <c r="DI67" s="51" t="s">
        <v>8</v>
      </c>
      <c r="DJ67" s="51"/>
      <c r="DK67" s="51"/>
      <c r="DL67" s="51" t="s">
        <v>8</v>
      </c>
      <c r="DM67" s="51"/>
      <c r="DN67" s="51" t="s">
        <v>8</v>
      </c>
      <c r="DO67" s="435" t="s">
        <v>8</v>
      </c>
      <c r="DP67" s="435"/>
      <c r="DQ67" s="868" t="s">
        <v>8</v>
      </c>
      <c r="DR67" s="868"/>
      <c r="DS67" s="426" t="s">
        <v>8</v>
      </c>
      <c r="DT67" s="451" t="s">
        <v>8</v>
      </c>
      <c r="DU67" s="188" t="s">
        <v>8</v>
      </c>
      <c r="DV67" s="188" t="s">
        <v>8</v>
      </c>
      <c r="DW67" s="188" t="s">
        <v>8</v>
      </c>
      <c r="DX67" s="188" t="s">
        <v>8</v>
      </c>
      <c r="DY67" s="188"/>
      <c r="DZ67" s="188" t="s">
        <v>8</v>
      </c>
      <c r="EA67" s="188" t="s">
        <v>8</v>
      </c>
      <c r="EB67" s="188" t="s">
        <v>8</v>
      </c>
      <c r="EC67" s="435" t="s">
        <v>8</v>
      </c>
      <c r="ED67" s="435" t="s">
        <v>8</v>
      </c>
      <c r="EE67" s="868" t="s">
        <v>8</v>
      </c>
      <c r="EF67" s="867" t="s">
        <v>8</v>
      </c>
      <c r="EG67" s="613"/>
      <c r="EH67" s="614"/>
      <c r="EI67" s="613"/>
      <c r="EJ67" s="435"/>
      <c r="EK67" s="451"/>
      <c r="EL67" s="612"/>
      <c r="EN67" s="947"/>
      <c r="ER67" s="441"/>
      <c r="ES67" s="440"/>
      <c r="ET67" s="440"/>
      <c r="EU67" s="957"/>
      <c r="EW67" s="427"/>
      <c r="EX67"/>
    </row>
    <row r="68" spans="1:154" ht="17.100000000000001" hidden="1" customHeight="1" thickBot="1">
      <c r="A68" s="2685"/>
      <c r="B68" s="1369" t="str">
        <f ca="1">S68</f>
        <v>W</v>
      </c>
      <c r="C68" s="684" t="str">
        <f>IF(OR(F68=0,I68="",I68=" ")," ",$V68)</f>
        <v xml:space="preserve"> </v>
      </c>
      <c r="D68" s="1033"/>
      <c r="E68" s="1360" t="s">
        <v>8</v>
      </c>
      <c r="F68" s="202"/>
      <c r="G68" s="1416"/>
      <c r="H68" s="199" t="str">
        <f ca="1">IF(OR(F68=0,Z68="E",Z68="f")," ",'Project Demand'!E$35)</f>
        <v xml:space="preserve"> </v>
      </c>
      <c r="I68" s="631" t="str">
        <f>IF($I$6&lt;&gt;$BG$8," ",AB68)</f>
        <v xml:space="preserve"> </v>
      </c>
      <c r="J68" s="43" t="str">
        <f ca="1">IF(OR(I68=" ",I68="")," ",OFFSET($BO$9,CL68-1,0-4,1,1))</f>
        <v xml:space="preserve"> </v>
      </c>
      <c r="K68" s="55" t="str">
        <f>IF(OR(I68=" ",I68="")," ",IF(OR(Z68="e",Z68="h"),"SD",BG$24))</f>
        <v xml:space="preserve"> </v>
      </c>
      <c r="L68" s="49">
        <f ca="1">CW68</f>
        <v>0</v>
      </c>
      <c r="M68" s="49">
        <f ca="1">CY68</f>
        <v>0</v>
      </c>
      <c r="N68" s="50">
        <f t="shared" ref="N68:O72" ca="1" si="34">DA68</f>
        <v>0</v>
      </c>
      <c r="O68" s="126">
        <f t="shared" ca="1" si="34"/>
        <v>0</v>
      </c>
      <c r="P68" s="140"/>
      <c r="Q68" s="752" t="str">
        <f ca="1">IF(OR(I68=" ",I68="")," ",IF(F68&lt;OFFSET($BM$9,CL68-1,0,1,1),"check L(m)",IF(DE68&lt;&gt;"",DE68,IF(AND(DP68&gt;=CY68,DR68&gt;=DB68),IF(AND(ED68&gt;=DP68,EF68&gt;=DR68),CONCATENATE(DS68," provides same results"),CONCATENATE(CO68," provides same results")),IF((DP68&gt;=CY68),CONCATENATE(CO68," provides same result in WIND"),IF((DR68&gt;=DB68),CONCATENATE(CO68," provides same result in EQ",""),""))))))</f>
        <v xml:space="preserve"> </v>
      </c>
      <c r="R68" s="52">
        <f ca="1">IF(T62&lt;&gt;2,(COLUMN(INDIRECT(B62&amp;1))+1),U68)</f>
        <v>23</v>
      </c>
      <c r="S68" s="1372" t="str">
        <f ca="1">SUBSTITUTE(ADDRESS(1,R68,4),"1","")</f>
        <v>W</v>
      </c>
      <c r="T68" s="451">
        <f ca="1">IF(AND(ISTEXT(B68),SUBSTITUTE(SUBSTITUTE(SUBSTITUTE(SUBSTITUTE(SUBSTITUTE(SUBSTITUTE(SUBSTITUTE(SUBSTITUTE(SUBSTITUTE(SUBSTITUTE(SUBSTITUTE(SUBSTITUTE(SUBSTITUTE(SUBSTITUTE(SUBSTITUTE(SUBSTITUTE(SUBSTITUTE(SUBSTITUTE(SUBSTITUTE(SUBSTITUTE(SUBSTITUTE(SUBSTITUTE(SUBSTITUTE(SUBSTITUTE(SUBSTITUTE(SUBSTITUTE(LOWER(B68),"a",),"b",),"c",),"d",),"e",),"f",),"g",),"h",),"i",),"j",),"k",),"l",),"m",),"n",),"o",),"p",),"q",),"r",),"s",),"t",),"u",),"v",),"w",),"x",),"y",),"z",)=""),1,2)</f>
        <v>1</v>
      </c>
      <c r="U68" s="1377">
        <v>23</v>
      </c>
      <c r="V68" s="52" t="str">
        <f ca="1">IF(AND(B$5=$BF$9,OR(I68=BH$16,I68=BH$17))," ",IF(ISNUMBER(B$68),(CONCATENATE(B$68,".",W68)),(CONCATENATE(B$68,W68))))</f>
        <v>W0</v>
      </c>
      <c r="W68" s="9">
        <f ca="1">IF(B62=B68,W66+X68,X68)</f>
        <v>0</v>
      </c>
      <c r="X68" s="9">
        <f>IF(AND(B$5=$BF$9,OR($I68=$BH$16,$I68=$BH$17,$I68=" ",$I68="",$F68=0)),0,IF(OR($I68=" ",$I68="",$F68=0),0,1))</f>
        <v>0</v>
      </c>
      <c r="Y68" s="896">
        <f ca="1">IF(AND(M73&gt;0,B68&lt;&gt;B74),1,0)</f>
        <v>0</v>
      </c>
      <c r="Z68" s="52" t="str">
        <f ca="1">IF(I68=" "," ",OFFSET($BM$9,$CL68-1,8,1,1))</f>
        <v xml:space="preserve"> </v>
      </c>
      <c r="AA68" s="51" t="str">
        <f>IF(G68&gt;=45,"WA","")</f>
        <v/>
      </c>
      <c r="AB68" s="1364" t="str">
        <f>IF(F68&lt;&gt;"",IF(OR(D68=$BG$12,D68=$BG$13),IF(E68&lt;&gt;$BG$17,$BF$12,$BF$13),IF(E68&lt;&gt;$BG$17,$BF$12,$BF$13))," ")</f>
        <v xml:space="preserve"> </v>
      </c>
      <c r="AC68" s="1"/>
      <c r="BD68" s="641"/>
      <c r="BE68" s="2714" t="s">
        <v>903</v>
      </c>
      <c r="BF68" s="2714"/>
      <c r="BG68" s="2714"/>
      <c r="BH68" s="2714"/>
      <c r="BI68" s="759"/>
      <c r="BJ68" s="897">
        <f t="shared" si="28"/>
        <v>60</v>
      </c>
      <c r="BK68" s="768" t="str">
        <f>BK62</f>
        <v xml:space="preserve">EPB </v>
      </c>
      <c r="BL68" s="765" t="str">
        <f>Table!O10</f>
        <v>ESSH</v>
      </c>
      <c r="BM68" s="454">
        <f>Table!P10</f>
        <v>0.4</v>
      </c>
      <c r="BN68" s="454">
        <f>BM69</f>
        <v>0.6</v>
      </c>
      <c r="BO68" s="454">
        <f>Table!Q10</f>
        <v>95</v>
      </c>
      <c r="BP68" s="924">
        <f>Table!R10</f>
        <v>109</v>
      </c>
      <c r="BQ68" s="920"/>
      <c r="BR68" s="768" t="str">
        <f>Table!S10</f>
        <v>ES-H</v>
      </c>
      <c r="BS68" s="454" t="str">
        <f>Table!S11</f>
        <v>EM-H</v>
      </c>
      <c r="BT68" s="454" t="str">
        <f>Table!T10</f>
        <v>I</v>
      </c>
      <c r="BU68" s="924" t="s">
        <v>242</v>
      </c>
      <c r="BV68" s="1230" t="str">
        <f>Table!AI79</f>
        <v>ESSH</v>
      </c>
      <c r="BW68" s="1229">
        <f>BJ68</f>
        <v>60</v>
      </c>
      <c r="BX68" s="924" t="str">
        <f>Table!T11</f>
        <v>Double</v>
      </c>
      <c r="CH68" s="768">
        <f>IF(BN68=999,0,(BO69-BO68)/(BN68-BM68))</f>
        <v>150.00000000000003</v>
      </c>
      <c r="CI68" s="924">
        <f>IF(BN68=999,0,(BP69-BP68)/(BN68-BM68))</f>
        <v>80.000000000000014</v>
      </c>
      <c r="CJ68" s="759"/>
      <c r="CK68" s="188"/>
      <c r="CL68" s="979">
        <f>VLOOKUP(I68,Prodlink,2,0)</f>
        <v>0</v>
      </c>
      <c r="CN68" s="497">
        <f ca="1">VLOOKUP(CO68,Prodlink,2,0)</f>
        <v>0</v>
      </c>
      <c r="CO68" s="497">
        <f ca="1">OFFSET($CH$9,CL68-1,-15,1,1)</f>
        <v>0</v>
      </c>
      <c r="CQ68" s="51">
        <v>0</v>
      </c>
      <c r="CR68" s="51">
        <f>IF(K68=$BH$12,$BH$23,IF(K68=$BH$13,$BH$24,10000))</f>
        <v>10000</v>
      </c>
      <c r="CS68" s="51">
        <f ca="1">IF(F68&lt;OFFSET($BM$9,CL68-1,0,1,1),0,IF(F68&lt;OFFSET($BN$9,CL68-1,0,1,1),((F68-OFFSET($BM$9,CL68-1,0,1,1))*OFFSET($CH$9,CL68-1,0,1,1))+OFFSET($BO$9,CL68-1,CQ68,1,1),IF(F68&lt;OFFSET($BN$9,CL68+0,0,1,1),((F68-OFFSET($BM$9,CL68+0,0,1,1))*OFFSET($CH$9,CL68+0,0,1,1))+OFFSET($BO$9,CL68+0,CQ68,1,1),IF(F68&lt;OFFSET($BN$9,CL68+1,0,1,1),((F68-OFFSET($BM$9,CL68+1,0,1,1))*OFFSET($CH$9,CL68+1,0,1,1))+OFFSET($BO$9,CL68+1,CQ68,1,1),IF(F68&lt;OFFSET($BN$9,CL68+2,0,1,1),((F68-OFFSET($BM$9,CL68+2,0,1,1))*OFFSET($CH$9,CL68+2,0,1,1))+OFFSET($BO$9,CL68+2,CQ68,1,1),IF(F68&lt;OFFSET($BN$9,CL68+3,0,1,1),((F68-OFFSET($BM$9,CL68+3,0,1,1))*OFFSET($CH$9,CL68+3,0,1,1))+OFFSET($BO$9,CL68+3,CQ68,1,1),0))))))</f>
        <v>0</v>
      </c>
      <c r="CT68" s="51">
        <f ca="1">IF($F68&lt;OFFSET($BM$9,$CL68-1,0,1,1),0,IF($F68&lt;OFFSET($BN$9,$CL68-1,0,1,1),IF(AND($H68&gt;2.4,Z68&lt;&gt;"e",Z68&lt;&gt;"f"),CX68*2.4/$H68,CX68),IF($F68&lt;OFFSET($BN$9,$CL68+0,0,1,1),IF(AND($H68&gt;2.4,Z68&lt;&gt;"e",Z68&lt;&gt;"f"),CX68*2.4/$H68,CX68),IF($F68&lt;OFFSET($BN$9,$CL68+1,0,1,1),IF(AND($H68&gt;2.4,Z68&lt;&gt;"e",Z68&lt;&gt;"f"),CX68*2.4/$H68,CX68),IF($F68&lt;OFFSET($BN$9,CL68+2,0,1,1),IF(AND($H68&gt;2.4,Z68&lt;&gt;"e",Z68&lt;&gt;"f"),CX68*2.4/$H68,CX68),IF($F68&lt;OFFSET($BN$9,CL68+3,0,1,1),IF(AND($H68&gt;2.4,Z68&lt;&gt;"e",Z68&lt;&gt;"f"),CX68*2.4/$H68,CX68),0)))))*COS(RADIANS($G68)))</f>
        <v>0</v>
      </c>
      <c r="CU68" s="51">
        <f ca="1">IF(F68&lt;OFFSET($BM$9,CL68-1,0,1,1),0,IF(F68&lt;OFFSET($BN$9,CL68-1,0,1,1),((F68-OFFSET($BM$9,CL68-1,0,1,1))*OFFSET($CI$9,CL68-1,0,1,1))+OFFSET($BP$9,CL68-1,CQ68,1,1),IF(F68&lt;OFFSET($BN$9,CL68+0,0,1,1),((F68-OFFSET($BM$9,CL68+0,0,1,1))*OFFSET($CI$9,CL68+0,0,1,1))+OFFSET($BP$9,CL68+0,CQ68,1,1),IF(F68&lt;OFFSET($BN$9,CL68+1,0,1,1),((F68-OFFSET($BM$9,CL68+1,0,1,1))*OFFSET($CI$9,CL68+1,0,1,1))+OFFSET($BP$9,CL68+1,CQ68,1,1),IF(F68&lt;OFFSET($BN$9,CL68+2,0,1,1),((F68-OFFSET($BM$9,CL68+2,0,1,1))*OFFSET($CI$9,CL68+2,0,1,1))+OFFSET($BP$9,CL68+2,CQ68,1,1),IF(F68&lt;OFFSET($BN$9,CL68+3,0,1,1),((F68-OFFSET($BM$9,CL68+3,0,1,1))*OFFSET($CI$9,CL68+3,0,1,1))+OFFSET($BP$9,CL68+3,CQ68,1,1),0))))))</f>
        <v>0</v>
      </c>
      <c r="CV68" s="51">
        <f ca="1">IF($F68&lt;OFFSET($BM$9,$CL68-1,0,1,1),0,IF($F68&lt;OFFSET($BN$9,$CL68-1,0,1,1),IF(AND($H68&gt;2.4,Z68&lt;&gt;"e",Z68&lt;&gt;"f"),CZ68*2.4/$H68,CZ68),IF($F68&lt;OFFSET($BN$9,$CL68+0,0,1,1),IF(AND($H68&gt;2.4,Z68&lt;&gt;"e",Z68&lt;&gt;"f"),CZ68*2.4/$H68,CZ68),IF($F68&lt;OFFSET($BN$9,$CL68+1,0,1,1),IF(AND($H68&gt;2.4,Z68&lt;&gt;"e",Z68&lt;&gt;"f"),CZ68*2.4/$H68,CZ68),IF($F68&lt;OFFSET($BN$9,$CL68+2,0,1,1),IF(AND($H68&gt;2.4,Z68&lt;&gt;"e",Z68&lt;&gt;"f"),CZ68*2.4/$H68,CZ68),IF($F68&lt;OFFSET($BN$9,$CL68+3,0,1,1),IF(AND($H68&gt;2.4,Z68&lt;&gt;"e",Z68&lt;&gt;"f"),CZ68*2.4/$H68,CZ68),0)))))*COS(RADIANS($G68)))</f>
        <v>0</v>
      </c>
      <c r="CW68" s="51">
        <f ca="1">IF(CT68&gt;CR68,CR68,CT68)</f>
        <v>0</v>
      </c>
      <c r="CX68" s="51">
        <f ca="1">IF(CS68&gt;$CR68,$CR68,CS68)</f>
        <v>0</v>
      </c>
      <c r="CY68" s="51">
        <f ca="1">CW68*F68</f>
        <v>0</v>
      </c>
      <c r="CZ68" s="51">
        <f ca="1">IF($CU68&gt;$CR68,$CR68,$CU68)</f>
        <v>0</v>
      </c>
      <c r="DA68" s="51">
        <f ca="1">IF(CV68&gt;CR68,CR68,CV68)</f>
        <v>0</v>
      </c>
      <c r="DB68" s="51">
        <f ca="1">DA68*F68</f>
        <v>0</v>
      </c>
      <c r="DC68" s="993">
        <v>1</v>
      </c>
      <c r="DD68" s="758" t="str">
        <f>IF(OR(D68=BG$12,D68=BG$13),"External",IF(D68=BG$14,"Internal"," "))</f>
        <v xml:space="preserve"> </v>
      </c>
      <c r="DE68" s="51" t="str">
        <f t="shared" ca="1" si="2"/>
        <v/>
      </c>
      <c r="DF68" s="52" t="str">
        <f t="shared" ca="1" si="3"/>
        <v xml:space="preserve"> </v>
      </c>
      <c r="DG68" s="51">
        <f ca="1">IF(F68&lt;OFFSET($BM$9,CN68-1,0,1,1),0,IF(F68&lt;OFFSET($BN$9,CN68-1,0,1,1),((F68-OFFSET($BM$9,CN68-1,0,1,1))*OFFSET($CH$9,CN68-1,0,1,1))+OFFSET($BO$9,CN68-1,CQ68,1,1),IF(F68&lt;OFFSET($BN$9,CN68+0,0,1,1),((F68-OFFSET($BM$9,CN68+0,0,1,1))*OFFSET($CH$9,CN68+0,0,1,1))+OFFSET($BO$9,CN68+0,CQ68,1,1),IF(F68&lt;OFFSET($BN$9,CN68+1,0,1,1),((F68-OFFSET($BM$9,CN68+1,0,1,1))*OFFSET($CH$9,CN68+1,0,1,1))+OFFSET($BO$9,CN68+1,CQ68,1,1),IF(F68&lt;OFFSET($BN$9,CN68+2,0,1,1),((F68-OFFSET($BM$9,CN68+2,0,1,1))*OFFSET($CH$9,CN68+2,0,1,1))+OFFSET($BO$9,CN68+2,CQ68,1,1),IF(F68&lt;OFFSET($BN$9,CN68+3,0,1,1),((F68-OFFSET($BM$9,CN68+3,0,1,1))*OFFSET($CH$9,CN68+3,0,1,1))+OFFSET($BO$9,CN68+3,CQ68,1,1),0))))))</f>
        <v>0</v>
      </c>
      <c r="DH68" s="51">
        <f ca="1">IF($F68&lt;OFFSET($BM$9,$CN68-1,0,1,1),0,IF($F68&lt;OFFSET($BN$9,$CN68-1,0,1,1),IF(AND($H68&gt;2.4,Z68&lt;&gt;"e",Z68&lt;&gt;"f"),DL68*2.4/$H68,DL68),IF($F68&lt;OFFSET($BN$9,$CN68+0,0,1,1),IF(AND($H68&gt;2.4,Z68&lt;&gt;"e",Z68&lt;&gt;"f"),DL68*2.4/$H68,DL68),IF($F68&lt;OFFSET($BN$9,$CN68+1,0,1,1),IF(AND($H68&gt;2.4,Z68&lt;&gt;"e",Z68&lt;&gt;"f"),DL68*2.4/$H68,DL68),IF($F68&lt;OFFSET($BN$9,$CN68+2,0,1,1),IF(AND($H68&gt;2.4,Z68&lt;&gt;"e",Z68&lt;&gt;"f"),DL68*2.4/$H68,DL68),IF($F68&lt;OFFSET($BN$9,$CN68+3,0,1,1),IF(AND($H68&gt;2.4,Z68&lt;&gt;"e",Z68&lt;&gt;"f"),DL68*2.4/$H68,DL68),0)))))*COS(RADIANS($G68)))</f>
        <v>0</v>
      </c>
      <c r="DI68" s="51">
        <f ca="1">IF(F68&lt;OFFSET($BM$9,CN68-1,0,1,1),0,IF(F68&lt;OFFSET($BN$9,CN68-1,0,1,1),((F68-OFFSET($BM$9,CN68-1,0,1,1))*OFFSET($CI$9,CN68-1,0,1,1))+OFFSET($BP$9,CN68-1,CQ68,1,1),IF(F68&lt;OFFSET($BN$9,CN68+0,0,1,1),((F68-OFFSET($BM$9,CN68+0,0,1,1))*OFFSET($CI$9,CN68+0,0,1,1))+OFFSET($BP$9,CN68+0,CQ68,1,1),IF(F68&lt;OFFSET($BN$9,CN68+1,0,1,1),((F68-OFFSET($BM$9,CN68+1,0,1,1))*OFFSET($CI$9,CN68+1,0,1,1))+OFFSET($BP$9,CN68+1,CQ68,1,1),IF(F68&lt;OFFSET($BN$9,CN68+2,0,1,1),((F68-OFFSET($BM$9,CN68+2,0,1,1))*OFFSET($CI$9,CN68+2,0,1,1))+OFFSET($BP$9,CN68+2,CQ68,1,1),IF(F68&lt;OFFSET($BN$9,CN68+3,0,1,1),((F68-OFFSET($BM$9,CN68+3,0,1,1))*OFFSET($CI$9,CN68+3,0,1,1))+OFFSET($BP$9,CN68+3,CQ68,1,1),0))))))</f>
        <v>0</v>
      </c>
      <c r="DJ68" s="51">
        <f ca="1">IF($F68&lt;OFFSET($BM$9,$CN68-1,0,1,1),0,IF($F68&lt;OFFSET($BN$9,$CN68-1,0,1,1),IF(AND($H68&gt;2.4,Z68&lt;&gt;"e",Z68&lt;&gt;"f"),DN68*2.4/$H68,DN68),IF($F68&lt;OFFSET($BN$9,$CN68+0,0,1,1),IF(AND($H68&gt;2.4,Z68&lt;&gt;"e",Z68&lt;&gt;"f"),DN68*2.4/$H68,DN68),IF($F68&lt;OFFSET($BN$9,$CN68+1,0,1,1),IF(AND($H68&gt;2.4,Z68&lt;&gt;"e",Z68&lt;&gt;"f"),DN68*2.4/$H68,DN68),IF($F68&lt;OFFSET($BN$9,$CN68+2,0,1,1),IF(AND($H68&gt;2.4,Z68&lt;&gt;"e",Z68&lt;&gt;"f"),DN68*2.4/$H68,DN68),IF($F68&lt;OFFSET($BN$9,$CN68+3,0,1,1),IF(AND($H68&gt;2.4,Z68&lt;&gt;"e",Z68&lt;&gt;"f"),DN68*2.4/$H68,DN68),0)))))*COS(RADIANS($G68)))</f>
        <v>0</v>
      </c>
      <c r="DK68" s="51"/>
      <c r="DL68" s="51">
        <f ca="1">IF(DG68&gt;$CR68,$CR68,DG68)</f>
        <v>0</v>
      </c>
      <c r="DM68" s="51"/>
      <c r="DN68" s="51">
        <f ca="1">IF(DI68&gt;$CR68,$CR68,DI68)</f>
        <v>0</v>
      </c>
      <c r="DO68" s="435">
        <f ca="1">IF(DH68&gt;$CR68,$CR68,DH68)</f>
        <v>0</v>
      </c>
      <c r="DP68" s="435">
        <f ca="1">DO68*F68</f>
        <v>0</v>
      </c>
      <c r="DQ68" s="436">
        <f ca="1">IF(DJ68&gt;$CR68,$CR68,DJ68)</f>
        <v>0</v>
      </c>
      <c r="DR68" s="437">
        <f ca="1">DQ68*F68</f>
        <v>0</v>
      </c>
      <c r="DS68" s="426">
        <f ca="1">OFFSET($CH$9,CL68-1,-15,1,1)</f>
        <v>0</v>
      </c>
      <c r="DT68" s="451">
        <f ca="1">VLOOKUP(DS68,Prodlink,2,0)</f>
        <v>0</v>
      </c>
      <c r="DU68" s="188">
        <f ca="1">IF(F68&lt;OFFSET($BM$9,DT68-1,0,1,1),0,IF(F68&lt;OFFSET($BN$9,DT68-1,0,1,1),((F68-OFFSET($BM$9,DT68-1,0,1,1))*OFFSET($CH$9,DT68-1,0,1,1))+OFFSET($BO$9,DT68-1,CQ68,1,1),IF(F68&lt;OFFSET($BN$9,DT68+0,0,1,1),((F68-OFFSET($BM$9,DT68+0,0,1,1))*OFFSET($CH$9,DT68+0,0,1,1))+OFFSET($BO$9,DT68+0,CQ68,1,1),IF(F68&lt;OFFSET($BN$9,DT68+1,0,1,1),((F68-OFFSET($BM$9,DT68+1,0,1,1))*OFFSET($CH$9,DT68+1,0,1,1))+OFFSET($BO$9,DT68+1,CQ68,1,1),IF(F68&lt;OFFSET($BN$9,DT68+2,0,1,1),((F68-OFFSET($BM$9,DT68+2,0,1,1))*OFFSET($CH$9,DT68+2,0,1,1))+OFFSET($BO$9,DT68+2,CQ68,1,1),IF(F68&lt;OFFSET($BN$9,DT68+3,0,1,1),((F68-OFFSET($BM$9,DT68+3,0,1,1))*OFFSET($CH$9,DT68+3,0,1,1))+OFFSET($BO$9,DT68+3,CQ68,1,1),0))))))</f>
        <v>0</v>
      </c>
      <c r="DV68" s="51">
        <f ca="1">IF($F68&lt;OFFSET($BM$9,$DT68-1,0,1,1),0,IF($F68&lt;OFFSET($BN$9,$DT68-1,0,1,1),IF(AND($H68&gt;2.4,Z68&lt;&gt;"e",Z68&lt;&gt;"f"),DZ68*2.4/$H68,DZ68),IF($F68&lt;OFFSET($BN$9,$DT68+0,0,1,1),IF(AND($H68&gt;2.4,Z68&lt;&gt;"e",Z68&lt;&gt;"f"),DZ68*2.4/$H68,DZ68),IF($F68&lt;OFFSET($BN$9,$DT68+1,0,1,1),IF(AND($H68&gt;2.4,Z68&lt;&gt;"e",Z68&lt;&gt;"f"),DZ68*2.4/$H68,DZ68),IF($F68&lt;OFFSET($BN$9,$DT68+2,0,1,1),IF(AND($H68&gt;2.4,Z68&lt;&gt;"e",Z68&lt;&gt;"f"),DZ68*2.4/$H68,DZ68),IF($F68&lt;OFFSET($BN$9,$DT68+3,0,1,1),IF(AND($H68&gt;2.4,Z68&lt;&gt;"e",Z68&lt;&gt;"f"),DZ68*2.4/$H68,DZ68),0)))))*COS(RADIANS($G68)))</f>
        <v>0</v>
      </c>
      <c r="DW68" s="188">
        <f ca="1">IF(F68&lt;OFFSET($BM$9,DT68-1,0,1,1),0,IF(F68&lt;OFFSET($BN$9,DT68-1,0,1,1),((F68-OFFSET($BM$9,DT68-1,0,1,1))*OFFSET($CI$9,DT68-1,0,1,1))+OFFSET($BP$9,DT68-1,CQ68,1,1),IF(F68&lt;OFFSET($BN$9,DT68+0,0,1,1),((F68-OFFSET($BM$9,DT68+0,0,1,1))*OFFSET($CI$9,DT68+0,0,1,1))+OFFSET($BP$9,DT68+0,CQ68,1,1),IF(F68&lt;OFFSET($BN$9,DT68+1,0,1,1),((F68-OFFSET($BM$9,DT68+1,0,1,1))*OFFSET($CI$9,DT68+1,0,1,1))+OFFSET($BP$9,DT68+1,CQ68,1,1),IF(F68&lt;OFFSET($BN$9,DT68+2,0,1,1),((F68-OFFSET($BM$9,DT68+2,0,1,1))*OFFSET($CI$9,DT68+2,0,1,1))+OFFSET($BP$9,DT68+2,CQ68,1,1),IF(F68&lt;OFFSET($BN$9,DT68+3,0,1,1),((F68-OFFSET($BM$9,DT68+3,0,1,1))*OFFSET($CI$9,DT68+3,0,1,1))+OFFSET($BP$9,DT68+3,CQ68,1,1),0))))))</f>
        <v>0</v>
      </c>
      <c r="DX68" s="51">
        <f ca="1">IF($F68&lt;OFFSET($BM$9,$DT68-1,0,1,1),0,IF($F68&lt;OFFSET($BN$9,$DT68-1,0,1,1),IF(AND($H68&gt;2.4,Z68&lt;&gt;"e",Z68&lt;&gt;"f"),EB68*2.4/$H68,EB68),IF($F68&lt;OFFSET($BN$9,$DT68+0,0,1,1),IF(AND($H68&gt;2.4,Z68&lt;&gt;"e",Z68&lt;&gt;"f"),EB68*2.4/$H68,EB68),IF($F68&lt;OFFSET($BN$9,$DT68+1,0,1,1),IF(AND($H68&gt;2.4,Z68&lt;&gt;"e",Z68&lt;&gt;"f"),EB68*2.4/$H68,EB68),IF($F68&lt;OFFSET($BN$9,$DT68+2,0,1,1),IF(AND($H68&gt;2.4,Z68&lt;&gt;"e",Z68&lt;&gt;"f"),EB68*2.4/$H68,EB68),IF($F68&lt;OFFSET($BN$9,$DT68+3,0,1,1),IF(AND($H68&gt;2.4,Z68&lt;&gt;"e",Z68&lt;&gt;"f"),EB68*2.4/$H68,EB68),0)))))*COS(RADIANS($G68)))</f>
        <v>0</v>
      </c>
      <c r="DY68" s="188"/>
      <c r="DZ68" s="188">
        <f ca="1">IF(DU68&gt;$CR68,$CR68,DU68)</f>
        <v>0</v>
      </c>
      <c r="EA68" s="188"/>
      <c r="EB68" s="188">
        <f ca="1">IF(DW68&gt;$CR68,$CR68,DW68)</f>
        <v>0</v>
      </c>
      <c r="EC68" s="435">
        <f ca="1">IF(DV68&gt;$CR68,$CR68,DV68)</f>
        <v>0</v>
      </c>
      <c r="ED68" s="435">
        <f ca="1">EC68*F68</f>
        <v>0</v>
      </c>
      <c r="EE68" s="436">
        <f ca="1">IF(DX68&gt;$CR68,$CR68,DX68)</f>
        <v>0</v>
      </c>
      <c r="EF68" s="437">
        <f ca="1">EE68*F68</f>
        <v>0</v>
      </c>
      <c r="EG68" s="613" t="str">
        <f>IF(D68=BG$12,BG$12,"")</f>
        <v/>
      </c>
      <c r="EH68" s="614" t="str">
        <f>IF(D68=BG$13,BG$13,"")</f>
        <v/>
      </c>
      <c r="EI68" s="611">
        <f>IF(EG68=BG$12,M68,0)</f>
        <v>0</v>
      </c>
      <c r="EJ68" s="451">
        <f>IF(EG68=BG$12,O68,0)</f>
        <v>0</v>
      </c>
      <c r="EK68" s="451">
        <f>IF(EH68=BG$13,M68,0)</f>
        <v>0</v>
      </c>
      <c r="EL68" s="612">
        <f>IF(EH68=BG$13,O68,0)</f>
        <v>0</v>
      </c>
      <c r="EM68" s="426" t="str">
        <f ca="1">IF(AND(Z68&lt;&gt;"t",Z68&lt;&gt;"f"),"",IF(AND(EN68=$BH$13,K68=$BH$12),"NotOpt",IF(K68&lt;&gt;EN68,"Error","")))</f>
        <v/>
      </c>
      <c r="EN68" s="491" t="str">
        <f>IF(AND($BH$28=1,$BG$28=1),$BH$13,$BH$12)</f>
        <v>120 BU's</v>
      </c>
      <c r="EO68" s="426" t="str">
        <f>K68</f>
        <v xml:space="preserve"> </v>
      </c>
      <c r="EP68" s="497">
        <v>1</v>
      </c>
      <c r="EQ68" s="430" t="str">
        <f ca="1">IF(EP68=1," ",OFFSET(BF$15,EP68-2,0,1,1))</f>
        <v xml:space="preserve"> </v>
      </c>
      <c r="ER68" s="439" t="str">
        <f ca="1">IF(H68=0," ",H68)</f>
        <v xml:space="preserve"> </v>
      </c>
      <c r="ES68" s="440" t="str">
        <f ca="1">IF(ER68&lt;&gt;" ",IF(ER68&lt;&gt;ER$7,"Changed",""),"")</f>
        <v/>
      </c>
      <c r="ET68" s="440">
        <f ca="1">IF(ER68&lt;&gt;" ",IF(ER68&lt;&gt;ER$7,1,0),0)</f>
        <v>0</v>
      </c>
      <c r="EU68" s="957"/>
      <c r="EW68" s="427"/>
      <c r="EX68"/>
    </row>
    <row r="69" spans="1:154" ht="17.100000000000001" hidden="1" customHeight="1">
      <c r="A69" s="2685"/>
      <c r="B69" s="689" t="s">
        <v>246</v>
      </c>
      <c r="C69" s="684" t="str">
        <f>IF(OR(F69=0,I69="",I69=" ")," ",$V69)</f>
        <v xml:space="preserve"> </v>
      </c>
      <c r="D69" s="1033"/>
      <c r="E69" s="1360" t="s">
        <v>8</v>
      </c>
      <c r="F69" s="202"/>
      <c r="G69" s="1416"/>
      <c r="H69" s="199" t="str">
        <f ca="1">IF(OR(F69=0,Z69="E",Z69="f")," ",'Project Demand'!E$35)</f>
        <v xml:space="preserve"> </v>
      </c>
      <c r="I69" s="631" t="str">
        <f>IF($I$6&lt;&gt;$BG$8," ",AB69)</f>
        <v xml:space="preserve"> </v>
      </c>
      <c r="J69" s="44" t="str">
        <f ca="1">IF(OR(I69=" ",I69="")," ",OFFSET($BO$9,CL69-1,0-4,1,1))</f>
        <v xml:space="preserve"> </v>
      </c>
      <c r="K69" s="55" t="str">
        <f>IF(OR(I69=" ",I69="")," ",IF(OR(Z69="e",Z69="h"),"SD",BG$24))</f>
        <v xml:space="preserve"> </v>
      </c>
      <c r="L69" s="49">
        <f ca="1">CW69</f>
        <v>0</v>
      </c>
      <c r="M69" s="49">
        <f ca="1">CY69</f>
        <v>0</v>
      </c>
      <c r="N69" s="50">
        <f t="shared" ca="1" si="34"/>
        <v>0</v>
      </c>
      <c r="O69" s="126">
        <f t="shared" ca="1" si="34"/>
        <v>0</v>
      </c>
      <c r="P69" s="140"/>
      <c r="Q69" s="752" t="str">
        <f ca="1">IF(OR(I69=" ",I69="")," ",IF(F69&lt;OFFSET($BM$9,CL69-1,0,1,1),"check L(m)",IF(DE69&lt;&gt;"",DE69,IF(AND(DP69&gt;=CY69,DR69&gt;=DB69),IF(AND(ED69&gt;=DP69,EF69&gt;=DR69),CONCATENATE(DS69," provides same results"),CONCATENATE(CO69," provides same results")),IF((DP69&gt;=CY69),CONCATENATE(CO69," provides same result in WIND"),IF((DR69&gt;=DB69),CONCATENATE(CO69," provides same result in EQ",""),""))))))</f>
        <v xml:space="preserve"> </v>
      </c>
      <c r="R69" s="52"/>
      <c r="S69" s="1372"/>
      <c r="T69" s="1372"/>
      <c r="U69" s="1377"/>
      <c r="V69" s="52" t="str">
        <f ca="1">IF(AND(B$5=$BF$9,OR(I69=BH$16,I69=BH$17))," ",IF(ISNUMBER(B$68),(CONCATENATE(B$68,".",W69)),(CONCATENATE(B$68,W69))))</f>
        <v>W0</v>
      </c>
      <c r="W69" s="9">
        <f ca="1">W68+X69</f>
        <v>0</v>
      </c>
      <c r="X69" s="9">
        <f>IF(AND(B$5=$BF$9,OR($I69=$BH$16,$I69=$BH$17,$I69=" ",$I69="",$F69=0)),0,IF(OR($I69=" ",$I69="",$F69=0),0,1))</f>
        <v>0</v>
      </c>
      <c r="Y69" s="896"/>
      <c r="Z69" s="52" t="str">
        <f ca="1">IF(I69=" "," ",OFFSET($BM$9,$CL69-1,8,1,1))</f>
        <v xml:space="preserve"> </v>
      </c>
      <c r="AA69" s="51" t="str">
        <f>IF(G69&gt;=45,"WA","")</f>
        <v/>
      </c>
      <c r="AB69" s="1364" t="str">
        <f>IF(F69&lt;&gt;"",IF(OR(D69=$BG$12,D69=$BG$13),IF(E69&lt;&gt;$BG$17,$BF$12,$BF$13),IF(E69&lt;&gt;$BG$17,$BF$12,$BF$13))," ")</f>
        <v xml:space="preserve"> </v>
      </c>
      <c r="AC69" s="1"/>
      <c r="BD69" s="641"/>
      <c r="BI69" s="759"/>
      <c r="BJ69" s="897">
        <f t="shared" si="28"/>
        <v>61</v>
      </c>
      <c r="BK69" s="764"/>
      <c r="BL69" s="766"/>
      <c r="BM69" s="455">
        <f>Table!P11</f>
        <v>0.6</v>
      </c>
      <c r="BN69" s="455">
        <f>BM70</f>
        <v>0.8</v>
      </c>
      <c r="BO69" s="455">
        <f>Table!Q11</f>
        <v>125</v>
      </c>
      <c r="BP69" s="925">
        <f>Table!R11</f>
        <v>125</v>
      </c>
      <c r="BR69" s="764"/>
      <c r="BS69" s="455"/>
      <c r="BT69" s="455"/>
      <c r="BU69" s="925" t="s">
        <v>242</v>
      </c>
      <c r="BV69" s="895"/>
      <c r="BW69" s="912"/>
      <c r="BX69" s="925" t="str">
        <f>Table!T11</f>
        <v>Double</v>
      </c>
      <c r="CH69" s="764">
        <f>IF(BN69=999,0,(BO70-BO69)/(BN69-BM69))</f>
        <v>49.999999999999986</v>
      </c>
      <c r="CI69" s="925">
        <f>IF(BN69=999,0,(BP70-BP69)/(BN69-BM69))</f>
        <v>0</v>
      </c>
      <c r="CJ69" s="759"/>
      <c r="CK69" s="188"/>
      <c r="CL69" s="979">
        <f>VLOOKUP(I69,Prodlink,2,0)</f>
        <v>0</v>
      </c>
      <c r="CN69" s="497">
        <f ca="1">VLOOKUP(CO69,Prodlink,2,0)</f>
        <v>0</v>
      </c>
      <c r="CO69" s="497">
        <f ca="1">OFFSET($CH$9,CL69-1,-15,1,1)</f>
        <v>0</v>
      </c>
      <c r="CQ69" s="51">
        <v>0</v>
      </c>
      <c r="CR69" s="51">
        <f>IF(K69=$BH$12,$BH$23,IF(K69=$BH$13,$BH$24,10000))</f>
        <v>10000</v>
      </c>
      <c r="CS69" s="51">
        <f ca="1">IF(F69&lt;OFFSET($BM$9,CL69-1,0,1,1),0,IF(F69&lt;OFFSET($BN$9,CL69-1,0,1,1),((F69-OFFSET($BM$9,CL69-1,0,1,1))*OFFSET($CH$9,CL69-1,0,1,1))+OFFSET($BO$9,CL69-1,CQ69,1,1),IF(F69&lt;OFFSET($BN$9,CL69+0,0,1,1),((F69-OFFSET($BM$9,CL69+0,0,1,1))*OFFSET($CH$9,CL69+0,0,1,1))+OFFSET($BO$9,CL69+0,CQ69,1,1),IF(F69&lt;OFFSET($BN$9,CL69+1,0,1,1),((F69-OFFSET($BM$9,CL69+1,0,1,1))*OFFSET($CH$9,CL69+1,0,1,1))+OFFSET($BO$9,CL69+1,CQ69,1,1),IF(F69&lt;OFFSET($BN$9,CL69+2,0,1,1),((F69-OFFSET($BM$9,CL69+2,0,1,1))*OFFSET($CH$9,CL69+2,0,1,1))+OFFSET($BO$9,CL69+2,CQ69,1,1),IF(F69&lt;OFFSET($BN$9,CL69+3,0,1,1),((F69-OFFSET($BM$9,CL69+3,0,1,1))*OFFSET($CH$9,CL69+3,0,1,1))+OFFSET($BO$9,CL69+3,CQ69,1,1),0))))))</f>
        <v>0</v>
      </c>
      <c r="CT69" s="51">
        <f ca="1">IF($F69&lt;OFFSET($BM$9,$CL69-1,0,1,1),0,IF($F69&lt;OFFSET($BN$9,$CL69-1,0,1,1),IF(AND($H69&gt;2.4,Z69&lt;&gt;"e",Z69&lt;&gt;"f"),CX69*2.4/$H69,CX69),IF($F69&lt;OFFSET($BN$9,$CL69+0,0,1,1),IF(AND($H69&gt;2.4,Z69&lt;&gt;"e",Z69&lt;&gt;"f"),CX69*2.4/$H69,CX69),IF($F69&lt;OFFSET($BN$9,$CL69+1,0,1,1),IF(AND($H69&gt;2.4,Z69&lt;&gt;"e",Z69&lt;&gt;"f"),CX69*2.4/$H69,CX69),IF($F69&lt;OFFSET($BN$9,CL69+2,0,1,1),IF(AND($H69&gt;2.4,Z69&lt;&gt;"e",Z69&lt;&gt;"f"),CX69*2.4/$H69,CX69),IF($F69&lt;OFFSET($BN$9,CL69+3,0,1,1),IF(AND($H69&gt;2.4,Z69&lt;&gt;"e",Z69&lt;&gt;"f"),CX69*2.4/$H69,CX69),0)))))*COS(RADIANS($G69)))</f>
        <v>0</v>
      </c>
      <c r="CU69" s="51">
        <f ca="1">IF(F69&lt;OFFSET($BM$9,CL69-1,0,1,1),0,IF(F69&lt;OFFSET($BN$9,CL69-1,0,1,1),((F69-OFFSET($BM$9,CL69-1,0,1,1))*OFFSET($CI$9,CL69-1,0,1,1))+OFFSET($BP$9,CL69-1,CQ69,1,1),IF(F69&lt;OFFSET($BN$9,CL69+0,0,1,1),((F69-OFFSET($BM$9,CL69+0,0,1,1))*OFFSET($CI$9,CL69+0,0,1,1))+OFFSET($BP$9,CL69+0,CQ69,1,1),IF(F69&lt;OFFSET($BN$9,CL69+1,0,1,1),((F69-OFFSET($BM$9,CL69+1,0,1,1))*OFFSET($CI$9,CL69+1,0,1,1))+OFFSET($BP$9,CL69+1,CQ69,1,1),IF(F69&lt;OFFSET($BN$9,CL69+2,0,1,1),((F69-OFFSET($BM$9,CL69+2,0,1,1))*OFFSET($CI$9,CL69+2,0,1,1))+OFFSET($BP$9,CL69+2,CQ69,1,1),IF(F69&lt;OFFSET($BN$9,CL69+3,0,1,1),((F69-OFFSET($BM$9,CL69+3,0,1,1))*OFFSET($CI$9,CL69+3,0,1,1))+OFFSET($BP$9,CL69+3,CQ69,1,1),0))))))</f>
        <v>0</v>
      </c>
      <c r="CV69" s="51">
        <f ca="1">IF($F69&lt;OFFSET($BM$9,$CL69-1,0,1,1),0,IF($F69&lt;OFFSET($BN$9,$CL69-1,0,1,1),IF(AND($H69&gt;2.4,Z69&lt;&gt;"e",Z69&lt;&gt;"f"),CZ69*2.4/$H69,CZ69),IF($F69&lt;OFFSET($BN$9,$CL69+0,0,1,1),IF(AND($H69&gt;2.4,Z69&lt;&gt;"e",Z69&lt;&gt;"f"),CZ69*2.4/$H69,CZ69),IF($F69&lt;OFFSET($BN$9,$CL69+1,0,1,1),IF(AND($H69&gt;2.4,Z69&lt;&gt;"e",Z69&lt;&gt;"f"),CZ69*2.4/$H69,CZ69),IF($F69&lt;OFFSET($BN$9,$CL69+2,0,1,1),IF(AND($H69&gt;2.4,Z69&lt;&gt;"e",Z69&lt;&gt;"f"),CZ69*2.4/$H69,CZ69),IF($F69&lt;OFFSET($BN$9,$CL69+3,0,1,1),IF(AND($H69&gt;2.4,Z69&lt;&gt;"e",Z69&lt;&gt;"f"),CZ69*2.4/$H69,CZ69),0)))))*COS(RADIANS($G69)))</f>
        <v>0</v>
      </c>
      <c r="CW69" s="51">
        <f ca="1">IF(CT69&gt;CR69,CR69,CT69)</f>
        <v>0</v>
      </c>
      <c r="CX69" s="51">
        <f ca="1">IF(CS69&gt;$CR69,$CR69,CS69)</f>
        <v>0</v>
      </c>
      <c r="CY69" s="51">
        <f ca="1">CW69*F69</f>
        <v>0</v>
      </c>
      <c r="CZ69" s="51">
        <f ca="1">IF($CU69&gt;$CR69,$CR69,$CU69)</f>
        <v>0</v>
      </c>
      <c r="DA69" s="51">
        <f ca="1">IF(CV69&gt;CR69,CR69,CV69)</f>
        <v>0</v>
      </c>
      <c r="DB69" s="51">
        <f ca="1">DA69*F69</f>
        <v>0</v>
      </c>
      <c r="DC69" s="993">
        <v>1</v>
      </c>
      <c r="DD69" s="758" t="str">
        <f>IF(OR(D69=BG$12,D69=BG$13),"External",IF(D69=BG$14,"Internal"," "))</f>
        <v xml:space="preserve"> </v>
      </c>
      <c r="DE69" s="51" t="str">
        <f t="shared" ca="1" si="2"/>
        <v/>
      </c>
      <c r="DF69" s="52" t="str">
        <f t="shared" ca="1" si="3"/>
        <v xml:space="preserve"> </v>
      </c>
      <c r="DG69" s="51">
        <f ca="1">IF(F69&lt;OFFSET($BM$9,CN69-1,0,1,1),0,IF(F69&lt;OFFSET($BN$9,CN69-1,0,1,1),((F69-OFFSET($BM$9,CN69-1,0,1,1))*OFFSET($CH$9,CN69-1,0,1,1))+OFFSET($BO$9,CN69-1,CQ69,1,1),IF(F69&lt;OFFSET($BN$9,CN69+0,0,1,1),((F69-OFFSET($BM$9,CN69+0,0,1,1))*OFFSET($CH$9,CN69+0,0,1,1))+OFFSET($BO$9,CN69+0,CQ69,1,1),IF(F69&lt;OFFSET($BN$9,CN69+1,0,1,1),((F69-OFFSET($BM$9,CN69+1,0,1,1))*OFFSET($CH$9,CN69+1,0,1,1))+OFFSET($BO$9,CN69+1,CQ69,1,1),IF(F69&lt;OFFSET($BN$9,CN69+2,0,1,1),((F69-OFFSET($BM$9,CN69+2,0,1,1))*OFFSET($CH$9,CN69+2,0,1,1))+OFFSET($BO$9,CN69+2,CQ69,1,1),IF(F69&lt;OFFSET($BN$9,CN69+3,0,1,1),((F69-OFFSET($BM$9,CN69+3,0,1,1))*OFFSET($CH$9,CN69+3,0,1,1))+OFFSET($BO$9,CN69+3,CQ69,1,1),0))))))</f>
        <v>0</v>
      </c>
      <c r="DH69" s="51">
        <f ca="1">IF($F69&lt;OFFSET($BM$9,$CN69-1,0,1,1),0,IF($F69&lt;OFFSET($BN$9,$CN69-1,0,1,1),IF(AND($H69&gt;2.4,Z69&lt;&gt;"e",Z69&lt;&gt;"f"),DL69*2.4/$H69,DL69),IF($F69&lt;OFFSET($BN$9,$CN69+0,0,1,1),IF(AND($H69&gt;2.4,Z69&lt;&gt;"e",Z69&lt;&gt;"f"),DL69*2.4/$H69,DL69),IF($F69&lt;OFFSET($BN$9,$CN69+1,0,1,1),IF(AND($H69&gt;2.4,Z69&lt;&gt;"e",Z69&lt;&gt;"f"),DL69*2.4/$H69,DL69),IF($F69&lt;OFFSET($BN$9,$CN69+2,0,1,1),IF(AND($H69&gt;2.4,Z69&lt;&gt;"e",Z69&lt;&gt;"f"),DL69*2.4/$H69,DL69),IF($F69&lt;OFFSET($BN$9,$CN69+3,0,1,1),IF(AND($H69&gt;2.4,Z69&lt;&gt;"e",Z69&lt;&gt;"f"),DL69*2.4/$H69,DL69),0)))))*COS(RADIANS($G69)))</f>
        <v>0</v>
      </c>
      <c r="DI69" s="51">
        <f ca="1">IF(F69&lt;OFFSET($BM$9,CN69-1,0,1,1),0,IF(F69&lt;OFFSET($BN$9,CN69-1,0,1,1),((F69-OFFSET($BM$9,CN69-1,0,1,1))*OFFSET($CI$9,CN69-1,0,1,1))+OFFSET($BP$9,CN69-1,CQ69,1,1),IF(F69&lt;OFFSET($BN$9,CN69+0,0,1,1),((F69-OFFSET($BM$9,CN69+0,0,1,1))*OFFSET($CI$9,CN69+0,0,1,1))+OFFSET($BP$9,CN69+0,CQ69,1,1),IF(F69&lt;OFFSET($BN$9,CN69+1,0,1,1),((F69-OFFSET($BM$9,CN69+1,0,1,1))*OFFSET($CI$9,CN69+1,0,1,1))+OFFSET($BP$9,CN69+1,CQ69,1,1),IF(F69&lt;OFFSET($BN$9,CN69+2,0,1,1),((F69-OFFSET($BM$9,CN69+2,0,1,1))*OFFSET($CI$9,CN69+2,0,1,1))+OFFSET($BP$9,CN69+2,CQ69,1,1),IF(F69&lt;OFFSET($BN$9,CN69+3,0,1,1),((F69-OFFSET($BM$9,CN69+3,0,1,1))*OFFSET($CI$9,CN69+3,0,1,1))+OFFSET($BP$9,CN69+3,CQ69,1,1),0))))))</f>
        <v>0</v>
      </c>
      <c r="DJ69" s="51">
        <f ca="1">IF($F69&lt;OFFSET($BM$9,$CN69-1,0,1,1),0,IF($F69&lt;OFFSET($BN$9,$CN69-1,0,1,1),IF(AND($H69&gt;2.4,Z69&lt;&gt;"e",Z69&lt;&gt;"f"),DN69*2.4/$H69,DN69),IF($F69&lt;OFFSET($BN$9,$CN69+0,0,1,1),IF(AND($H69&gt;2.4,Z69&lt;&gt;"e",Z69&lt;&gt;"f"),DN69*2.4/$H69,DN69),IF($F69&lt;OFFSET($BN$9,$CN69+1,0,1,1),IF(AND($H69&gt;2.4,Z69&lt;&gt;"e",Z69&lt;&gt;"f"),DN69*2.4/$H69,DN69),IF($F69&lt;OFFSET($BN$9,$CN69+2,0,1,1),IF(AND($H69&gt;2.4,Z69&lt;&gt;"e",Z69&lt;&gt;"f"),DN69*2.4/$H69,DN69),IF($F69&lt;OFFSET($BN$9,$CN69+3,0,1,1),IF(AND($H69&gt;2.4,Z69&lt;&gt;"e",Z69&lt;&gt;"f"),DN69*2.4/$H69,DN69),0)))))*COS(RADIANS($G69)))</f>
        <v>0</v>
      </c>
      <c r="DK69" s="51"/>
      <c r="DL69" s="51">
        <f ca="1">IF(DG69&gt;$CR69,$CR69,DG69)</f>
        <v>0</v>
      </c>
      <c r="DM69" s="51"/>
      <c r="DN69" s="51">
        <f ca="1">IF(DI69&gt;$CR69,$CR69,DI69)</f>
        <v>0</v>
      </c>
      <c r="DO69" s="435">
        <f ca="1">IF(DH69&gt;$CR69,$CR69,DH69)</f>
        <v>0</v>
      </c>
      <c r="DP69" s="435">
        <f ca="1">DO69*F69</f>
        <v>0</v>
      </c>
      <c r="DQ69" s="436">
        <f ca="1">IF(DJ69&gt;$CR69,$CR69,DJ69)</f>
        <v>0</v>
      </c>
      <c r="DR69" s="437">
        <f ca="1">DQ69*F69</f>
        <v>0</v>
      </c>
      <c r="DS69" s="426">
        <f ca="1">OFFSET($CH$9,CL69-1,-15,1,1)</f>
        <v>0</v>
      </c>
      <c r="DT69" s="451">
        <f ca="1">VLOOKUP(DS69,Prodlink,2,0)</f>
        <v>0</v>
      </c>
      <c r="DU69" s="188">
        <f ca="1">IF(F69&lt;OFFSET($BM$9,DT69-1,0,1,1),0,IF(F69&lt;OFFSET($BN$9,DT69-1,0,1,1),((F69-OFFSET($BM$9,DT69-1,0,1,1))*OFFSET($CH$9,DT69-1,0,1,1))+OFFSET($BO$9,DT69-1,CQ69,1,1),IF(F69&lt;OFFSET($BN$9,DT69+0,0,1,1),((F69-OFFSET($BM$9,DT69+0,0,1,1))*OFFSET($CH$9,DT69+0,0,1,1))+OFFSET($BO$9,DT69+0,CQ69,1,1),IF(F69&lt;OFFSET($BN$9,DT69+1,0,1,1),((F69-OFFSET($BM$9,DT69+1,0,1,1))*OFFSET($CH$9,DT69+1,0,1,1))+OFFSET($BO$9,DT69+1,CQ69,1,1),IF(F69&lt;OFFSET($BN$9,DT69+2,0,1,1),((F69-OFFSET($BM$9,DT69+2,0,1,1))*OFFSET($CH$9,DT69+2,0,1,1))+OFFSET($BO$9,DT69+2,CQ69,1,1),IF(F69&lt;OFFSET($BN$9,DT69+3,0,1,1),((F69-OFFSET($BM$9,DT69+3,0,1,1))*OFFSET($CH$9,DT69+3,0,1,1))+OFFSET($BO$9,DT69+3,CQ69,1,1),0))))))</f>
        <v>0</v>
      </c>
      <c r="DV69" s="51">
        <f ca="1">IF($F69&lt;OFFSET($BM$9,$DT69-1,0,1,1),0,IF($F69&lt;OFFSET($BN$9,$DT69-1,0,1,1),IF(AND($H69&gt;2.4,Z69&lt;&gt;"e",Z69&lt;&gt;"f"),DZ69*2.4/$H69,DZ69),IF($F69&lt;OFFSET($BN$9,$DT69+0,0,1,1),IF(AND($H69&gt;2.4,Z69&lt;&gt;"e",Z69&lt;&gt;"f"),DZ69*2.4/$H69,DZ69),IF($F69&lt;OFFSET($BN$9,$DT69+1,0,1,1),IF(AND($H69&gt;2.4,Z69&lt;&gt;"e",Z69&lt;&gt;"f"),DZ69*2.4/$H69,DZ69),IF($F69&lt;OFFSET($BN$9,$DT69+2,0,1,1),IF(AND($H69&gt;2.4,Z69&lt;&gt;"e",Z69&lt;&gt;"f"),DZ69*2.4/$H69,DZ69),IF($F69&lt;OFFSET($BN$9,$DT69+3,0,1,1),IF(AND($H69&gt;2.4,Z69&lt;&gt;"e",Z69&lt;&gt;"f"),DZ69*2.4/$H69,DZ69),0)))))*COS(RADIANS($G69)))</f>
        <v>0</v>
      </c>
      <c r="DW69" s="188">
        <f ca="1">IF(F69&lt;OFFSET($BM$9,DT69-1,0,1,1),0,IF(F69&lt;OFFSET($BN$9,DT69-1,0,1,1),((F69-OFFSET($BM$9,DT69-1,0,1,1))*OFFSET($CI$9,DT69-1,0,1,1))+OFFSET($BP$9,DT69-1,CQ69,1,1),IF(F69&lt;OFFSET($BN$9,DT69+0,0,1,1),((F69-OFFSET($BM$9,DT69+0,0,1,1))*OFFSET($CI$9,DT69+0,0,1,1))+OFFSET($BP$9,DT69+0,CQ69,1,1),IF(F69&lt;OFFSET($BN$9,DT69+1,0,1,1),((F69-OFFSET($BM$9,DT69+1,0,1,1))*OFFSET($CI$9,DT69+1,0,1,1))+OFFSET($BP$9,DT69+1,CQ69,1,1),IF(F69&lt;OFFSET($BN$9,DT69+2,0,1,1),((F69-OFFSET($BM$9,DT69+2,0,1,1))*OFFSET($CI$9,DT69+2,0,1,1))+OFFSET($BP$9,DT69+2,CQ69,1,1),IF(F69&lt;OFFSET($BN$9,DT69+3,0,1,1),((F69-OFFSET($BM$9,DT69+3,0,1,1))*OFFSET($CI$9,DT69+3,0,1,1))+OFFSET($BP$9,DT69+3,CQ69,1,1),0))))))</f>
        <v>0</v>
      </c>
      <c r="DX69" s="51">
        <f ca="1">IF($F69&lt;OFFSET($BM$9,$DT69-1,0,1,1),0,IF($F69&lt;OFFSET($BN$9,$DT69-1,0,1,1),IF(AND($H69&gt;2.4,Z69&lt;&gt;"e",Z69&lt;&gt;"f"),EB69*2.4/$H69,EB69),IF($F69&lt;OFFSET($BN$9,$DT69+0,0,1,1),IF(AND($H69&gt;2.4,Z69&lt;&gt;"e",Z69&lt;&gt;"f"),EB69*2.4/$H69,EB69),IF($F69&lt;OFFSET($BN$9,$DT69+1,0,1,1),IF(AND($H69&gt;2.4,Z69&lt;&gt;"e",Z69&lt;&gt;"f"),EB69*2.4/$H69,EB69),IF($F69&lt;OFFSET($BN$9,$DT69+2,0,1,1),IF(AND($H69&gt;2.4,Z69&lt;&gt;"e",Z69&lt;&gt;"f"),EB69*2.4/$H69,EB69),IF($F69&lt;OFFSET($BN$9,$DT69+3,0,1,1),IF(AND($H69&gt;2.4,Z69&lt;&gt;"e",Z69&lt;&gt;"f"),EB69*2.4/$H69,EB69),0)))))*COS(RADIANS($G69)))</f>
        <v>0</v>
      </c>
      <c r="DY69" s="188"/>
      <c r="DZ69" s="188">
        <f ca="1">IF(DU69&gt;$CR69,$CR69,DU69)</f>
        <v>0</v>
      </c>
      <c r="EA69" s="188"/>
      <c r="EB69" s="188">
        <f ca="1">IF(DW69&gt;$CR69,$CR69,DW69)</f>
        <v>0</v>
      </c>
      <c r="EC69" s="435">
        <f ca="1">IF(DV69&gt;$CR69,$CR69,DV69)</f>
        <v>0</v>
      </c>
      <c r="ED69" s="435">
        <f ca="1">EC69*F69</f>
        <v>0</v>
      </c>
      <c r="EE69" s="436">
        <f ca="1">IF(DX69&gt;$CR69,$CR69,DX69)</f>
        <v>0</v>
      </c>
      <c r="EF69" s="437">
        <f ca="1">EE69*F69</f>
        <v>0</v>
      </c>
      <c r="EG69" s="613" t="str">
        <f>IF(D69=BG$12,BG$12,"")</f>
        <v/>
      </c>
      <c r="EH69" s="614" t="str">
        <f>IF(D69=BG$13,BG$13,"")</f>
        <v/>
      </c>
      <c r="EI69" s="611">
        <f>IF(EG69=BG$12,M69,0)</f>
        <v>0</v>
      </c>
      <c r="EJ69" s="451">
        <f>IF(EG69=BG$12,O69,0)</f>
        <v>0</v>
      </c>
      <c r="EK69" s="451">
        <f>IF(EH69=BG$13,M69,0)</f>
        <v>0</v>
      </c>
      <c r="EL69" s="612">
        <f>IF(EH69=BG$13,O69,0)</f>
        <v>0</v>
      </c>
      <c r="EM69" s="426" t="str">
        <f ca="1">IF(AND(Z69&lt;&gt;"t",Z69&lt;&gt;"f"),"",IF(AND(EN69=$BH$13,K69=$BH$12),"NotOpt",IF(K69&lt;&gt;EN69,"Error","")))</f>
        <v/>
      </c>
      <c r="EN69" s="491" t="str">
        <f>IF(AND($BH$28=1,$BG$28=1),$BH$13,$BH$12)</f>
        <v>120 BU's</v>
      </c>
      <c r="EO69" s="426" t="str">
        <f>K69</f>
        <v xml:space="preserve"> </v>
      </c>
      <c r="EP69" s="497">
        <v>1</v>
      </c>
      <c r="EQ69" s="430" t="str">
        <f ca="1">IF(EP69=1," ",OFFSET(BF$15,EP69-2,0,1,1))</f>
        <v xml:space="preserve"> </v>
      </c>
      <c r="ER69" s="439" t="str">
        <f ca="1">IF(H69=0," ",H69)</f>
        <v xml:space="preserve"> </v>
      </c>
      <c r="ES69" s="440" t="str">
        <f ca="1">IF(ER69&lt;&gt;" ",IF(ER69&lt;&gt;ER$7,"Changed",""),"")</f>
        <v/>
      </c>
      <c r="ET69" s="440">
        <f ca="1">IF(ER69&lt;&gt;" ",IF(ER69&lt;&gt;ER$7,1,0),0)</f>
        <v>0</v>
      </c>
      <c r="EU69" s="957"/>
      <c r="EW69" s="427"/>
      <c r="EX69"/>
    </row>
    <row r="70" spans="1:154" ht="17.100000000000001" hidden="1" customHeight="1">
      <c r="A70" s="2685"/>
      <c r="B70" s="689" t="s">
        <v>246</v>
      </c>
      <c r="C70" s="684" t="str">
        <f>IF(OR(F70=0,I70="",I70=" ")," ",$V70)</f>
        <v xml:space="preserve"> </v>
      </c>
      <c r="D70" s="1033"/>
      <c r="E70" s="1360" t="s">
        <v>8</v>
      </c>
      <c r="F70" s="202"/>
      <c r="G70" s="1416"/>
      <c r="H70" s="199" t="str">
        <f ca="1">IF(OR(F70=0,Z70="E",Z70="f")," ",'Project Demand'!E$35)</f>
        <v xml:space="preserve"> </v>
      </c>
      <c r="I70" s="631" t="str">
        <f>IF($I$6&lt;&gt;$BG$8," ",AB70)</f>
        <v xml:space="preserve"> </v>
      </c>
      <c r="J70" s="44" t="str">
        <f ca="1">IF(OR(I70=" ",I70="")," ",OFFSET($BO$9,CL70-1,0-4,1,1))</f>
        <v xml:space="preserve"> </v>
      </c>
      <c r="K70" s="55" t="str">
        <f>IF(OR(I70=" ",I70="")," ",IF(OR(Z70="e",Z70="h"),"SD",BG$24))</f>
        <v xml:space="preserve"> </v>
      </c>
      <c r="L70" s="49">
        <f ca="1">CW70</f>
        <v>0</v>
      </c>
      <c r="M70" s="49">
        <f ca="1">CY70</f>
        <v>0</v>
      </c>
      <c r="N70" s="50">
        <f t="shared" ca="1" si="34"/>
        <v>0</v>
      </c>
      <c r="O70" s="126">
        <f t="shared" ca="1" si="34"/>
        <v>0</v>
      </c>
      <c r="P70" s="140"/>
      <c r="Q70" s="752" t="str">
        <f ca="1">IF(OR(I70=" ",I70="")," ",IF(F70&lt;OFFSET($BM$9,CL70-1,0,1,1),"check L(m)",IF(DE70&lt;&gt;"",DE70,IF(AND(DP70&gt;=CY70,DR70&gt;=DB70),IF(AND(ED70&gt;=DP70,EF70&gt;=DR70),CONCATENATE(DS70," provides same results"),CONCATENATE(CO70," provides same results")),IF((DP70&gt;=CY70),CONCATENATE(CO70," provides same result in WIND"),IF((DR70&gt;=DB70),CONCATENATE(CO70," provides same result in EQ",""),""))))))</f>
        <v xml:space="preserve"> </v>
      </c>
      <c r="R70" s="52"/>
      <c r="S70" s="1372"/>
      <c r="T70" s="1372"/>
      <c r="U70" s="1377"/>
      <c r="V70" s="52" t="str">
        <f ca="1">IF(AND(B$5=$BF$9,OR(I70=BH$16,I70=BH$17))," ",IF(ISNUMBER(B$68),(CONCATENATE(B$68,".",W70)),(CONCATENATE(B$68,W70))))</f>
        <v>W0</v>
      </c>
      <c r="W70" s="9">
        <f ca="1">W69+X70</f>
        <v>0</v>
      </c>
      <c r="X70" s="9">
        <f>IF(AND(B$5=$BF$9,OR($I70=$BH$16,$I70=$BH$17,$I70=" ",$I70="",$F70=0)),0,IF(OR($I70=" ",$I70="",$F70=0),0,1))</f>
        <v>0</v>
      </c>
      <c r="Y70" s="896"/>
      <c r="Z70" s="52" t="str">
        <f ca="1">IF(I70=" "," ",OFFSET($BM$9,$CL70-1,8,1,1))</f>
        <v xml:space="preserve"> </v>
      </c>
      <c r="AA70" s="51" t="str">
        <f>IF(G70&gt;=45,"WA","")</f>
        <v/>
      </c>
      <c r="AB70" s="1364" t="str">
        <f>IF(F70&lt;&gt;"",IF(OR(D70=$BG$12,D70=$BG$13),IF(E70&lt;&gt;$BG$17,$BF$12,$BF$13),IF(E70&lt;&gt;$BG$17,$BF$12,$BF$13))," ")</f>
        <v xml:space="preserve"> </v>
      </c>
      <c r="AC70" s="1"/>
      <c r="BD70" s="641"/>
      <c r="BI70" s="759"/>
      <c r="BJ70" s="897">
        <f t="shared" si="28"/>
        <v>62</v>
      </c>
      <c r="BK70" s="764"/>
      <c r="BL70" s="766"/>
      <c r="BM70" s="455">
        <f>Table!P12</f>
        <v>0.8</v>
      </c>
      <c r="BN70" s="455">
        <f>BM71</f>
        <v>1</v>
      </c>
      <c r="BO70" s="455">
        <f>Table!Q12</f>
        <v>135</v>
      </c>
      <c r="BP70" s="925">
        <f>Table!R12</f>
        <v>125</v>
      </c>
      <c r="BR70" s="764"/>
      <c r="BS70" s="455"/>
      <c r="BT70" s="455"/>
      <c r="BU70" s="925" t="s">
        <v>242</v>
      </c>
      <c r="BV70" s="895"/>
      <c r="BW70" s="912"/>
      <c r="BX70" s="925" t="str">
        <f>Table!T11</f>
        <v>Double</v>
      </c>
      <c r="CH70" s="764">
        <f>IF(BN70=999,0,(BO71-BO70)/(BN70-BM70))</f>
        <v>25.000000000000007</v>
      </c>
      <c r="CI70" s="925">
        <f>IF(BN70=999,0,(BP71-BP70)/(BN70-BM70))</f>
        <v>25.000000000000007</v>
      </c>
      <c r="CJ70" s="759"/>
      <c r="CK70" s="188"/>
      <c r="CL70" s="979">
        <f>VLOOKUP(I70,Prodlink,2,0)</f>
        <v>0</v>
      </c>
      <c r="CN70" s="497">
        <f ca="1">VLOOKUP(CO70,Prodlink,2,0)</f>
        <v>0</v>
      </c>
      <c r="CO70" s="497">
        <f ca="1">OFFSET($CH$9,CL70-1,-15,1,1)</f>
        <v>0</v>
      </c>
      <c r="CQ70" s="51">
        <v>0</v>
      </c>
      <c r="CR70" s="51">
        <f>IF(K70=$BH$12,$BH$23,IF(K70=$BH$13,$BH$24,10000))</f>
        <v>10000</v>
      </c>
      <c r="CS70" s="51">
        <f ca="1">IF(F70&lt;OFFSET($BM$9,CL70-1,0,1,1),0,IF(F70&lt;OFFSET($BN$9,CL70-1,0,1,1),((F70-OFFSET($BM$9,CL70-1,0,1,1))*OFFSET($CH$9,CL70-1,0,1,1))+OFFSET($BO$9,CL70-1,CQ70,1,1),IF(F70&lt;OFFSET($BN$9,CL70+0,0,1,1),((F70-OFFSET($BM$9,CL70+0,0,1,1))*OFFSET($CH$9,CL70+0,0,1,1))+OFFSET($BO$9,CL70+0,CQ70,1,1),IF(F70&lt;OFFSET($BN$9,CL70+1,0,1,1),((F70-OFFSET($BM$9,CL70+1,0,1,1))*OFFSET($CH$9,CL70+1,0,1,1))+OFFSET($BO$9,CL70+1,CQ70,1,1),IF(F70&lt;OFFSET($BN$9,CL70+2,0,1,1),((F70-OFFSET($BM$9,CL70+2,0,1,1))*OFFSET($CH$9,CL70+2,0,1,1))+OFFSET($BO$9,CL70+2,CQ70,1,1),IF(F70&lt;OFFSET($BN$9,CL70+3,0,1,1),((F70-OFFSET($BM$9,CL70+3,0,1,1))*OFFSET($CH$9,CL70+3,0,1,1))+OFFSET($BO$9,CL70+3,CQ70,1,1),0))))))</f>
        <v>0</v>
      </c>
      <c r="CT70" s="51">
        <f ca="1">IF($F70&lt;OFFSET($BM$9,$CL70-1,0,1,1),0,IF($F70&lt;OFFSET($BN$9,$CL70-1,0,1,1),IF(AND($H70&gt;2.4,Z70&lt;&gt;"e",Z70&lt;&gt;"f"),CX70*2.4/$H70,CX70),IF($F70&lt;OFFSET($BN$9,$CL70+0,0,1,1),IF(AND($H70&gt;2.4,Z70&lt;&gt;"e",Z70&lt;&gt;"f"),CX70*2.4/$H70,CX70),IF($F70&lt;OFFSET($BN$9,$CL70+1,0,1,1),IF(AND($H70&gt;2.4,Z70&lt;&gt;"e",Z70&lt;&gt;"f"),CX70*2.4/$H70,CX70),IF($F70&lt;OFFSET($BN$9,CL70+2,0,1,1),IF(AND($H70&gt;2.4,Z70&lt;&gt;"e",Z70&lt;&gt;"f"),CX70*2.4/$H70,CX70),IF($F70&lt;OFFSET($BN$9,CL70+3,0,1,1),IF(AND($H70&gt;2.4,Z70&lt;&gt;"e",Z70&lt;&gt;"f"),CX70*2.4/$H70,CX70),0)))))*COS(RADIANS($G70)))</f>
        <v>0</v>
      </c>
      <c r="CU70" s="51">
        <f ca="1">IF(F70&lt;OFFSET($BM$9,CL70-1,0,1,1),0,IF(F70&lt;OFFSET($BN$9,CL70-1,0,1,1),((F70-OFFSET($BM$9,CL70-1,0,1,1))*OFFSET($CI$9,CL70-1,0,1,1))+OFFSET($BP$9,CL70-1,CQ70,1,1),IF(F70&lt;OFFSET($BN$9,CL70+0,0,1,1),((F70-OFFSET($BM$9,CL70+0,0,1,1))*OFFSET($CI$9,CL70+0,0,1,1))+OFFSET($BP$9,CL70+0,CQ70,1,1),IF(F70&lt;OFFSET($BN$9,CL70+1,0,1,1),((F70-OFFSET($BM$9,CL70+1,0,1,1))*OFFSET($CI$9,CL70+1,0,1,1))+OFFSET($BP$9,CL70+1,CQ70,1,1),IF(F70&lt;OFFSET($BN$9,CL70+2,0,1,1),((F70-OFFSET($BM$9,CL70+2,0,1,1))*OFFSET($CI$9,CL70+2,0,1,1))+OFFSET($BP$9,CL70+2,CQ70,1,1),IF(F70&lt;OFFSET($BN$9,CL70+3,0,1,1),((F70-OFFSET($BM$9,CL70+3,0,1,1))*OFFSET($CI$9,CL70+3,0,1,1))+OFFSET($BP$9,CL70+3,CQ70,1,1),0))))))</f>
        <v>0</v>
      </c>
      <c r="CV70" s="51">
        <f ca="1">IF($F70&lt;OFFSET($BM$9,$CL70-1,0,1,1),0,IF($F70&lt;OFFSET($BN$9,$CL70-1,0,1,1),IF(AND($H70&gt;2.4,Z70&lt;&gt;"e",Z70&lt;&gt;"f"),CZ70*2.4/$H70,CZ70),IF($F70&lt;OFFSET($BN$9,$CL70+0,0,1,1),IF(AND($H70&gt;2.4,Z70&lt;&gt;"e",Z70&lt;&gt;"f"),CZ70*2.4/$H70,CZ70),IF($F70&lt;OFFSET($BN$9,$CL70+1,0,1,1),IF(AND($H70&gt;2.4,Z70&lt;&gt;"e",Z70&lt;&gt;"f"),CZ70*2.4/$H70,CZ70),IF($F70&lt;OFFSET($BN$9,$CL70+2,0,1,1),IF(AND($H70&gt;2.4,Z70&lt;&gt;"e",Z70&lt;&gt;"f"),CZ70*2.4/$H70,CZ70),IF($F70&lt;OFFSET($BN$9,$CL70+3,0,1,1),IF(AND($H70&gt;2.4,Z70&lt;&gt;"e",Z70&lt;&gt;"f"),CZ70*2.4/$H70,CZ70),0)))))*COS(RADIANS($G70)))</f>
        <v>0</v>
      </c>
      <c r="CW70" s="51">
        <f ca="1">IF(CT70&gt;CR70,CR70,CT70)</f>
        <v>0</v>
      </c>
      <c r="CX70" s="51">
        <f ca="1">IF(CS70&gt;$CR70,$CR70,CS70)</f>
        <v>0</v>
      </c>
      <c r="CY70" s="51">
        <f ca="1">CW70*F70</f>
        <v>0</v>
      </c>
      <c r="CZ70" s="51">
        <f ca="1">IF($CU70&gt;$CR70,$CR70,$CU70)</f>
        <v>0</v>
      </c>
      <c r="DA70" s="51">
        <f ca="1">IF(CV70&gt;CR70,CR70,CV70)</f>
        <v>0</v>
      </c>
      <c r="DB70" s="51">
        <f ca="1">DA70*F70</f>
        <v>0</v>
      </c>
      <c r="DC70" s="993">
        <v>1</v>
      </c>
      <c r="DD70" s="758" t="str">
        <f>IF(OR(D70=BG$12,D70=BG$13),"External",IF(D70=BG$14,"Internal"," "))</f>
        <v xml:space="preserve"> </v>
      </c>
      <c r="DE70" s="51" t="str">
        <f t="shared" ca="1" si="2"/>
        <v/>
      </c>
      <c r="DF70" s="52" t="str">
        <f t="shared" ca="1" si="3"/>
        <v xml:space="preserve"> </v>
      </c>
      <c r="DG70" s="51">
        <f ca="1">IF(F70&lt;OFFSET($BM$9,CN70-1,0,1,1),0,IF(F70&lt;OFFSET($BN$9,CN70-1,0,1,1),((F70-OFFSET($BM$9,CN70-1,0,1,1))*OFFSET($CH$9,CN70-1,0,1,1))+OFFSET($BO$9,CN70-1,CQ70,1,1),IF(F70&lt;OFFSET($BN$9,CN70+0,0,1,1),((F70-OFFSET($BM$9,CN70+0,0,1,1))*OFFSET($CH$9,CN70+0,0,1,1))+OFFSET($BO$9,CN70+0,CQ70,1,1),IF(F70&lt;OFFSET($BN$9,CN70+1,0,1,1),((F70-OFFSET($BM$9,CN70+1,0,1,1))*OFFSET($CH$9,CN70+1,0,1,1))+OFFSET($BO$9,CN70+1,CQ70,1,1),IF(F70&lt;OFFSET($BN$9,CN70+2,0,1,1),((F70-OFFSET($BM$9,CN70+2,0,1,1))*OFFSET($CH$9,CN70+2,0,1,1))+OFFSET($BO$9,CN70+2,CQ70,1,1),IF(F70&lt;OFFSET($BN$9,CN70+3,0,1,1),((F70-OFFSET($BM$9,CN70+3,0,1,1))*OFFSET($CH$9,CN70+3,0,1,1))+OFFSET($BO$9,CN70+3,CQ70,1,1),0))))))</f>
        <v>0</v>
      </c>
      <c r="DH70" s="51">
        <f ca="1">IF($F70&lt;OFFSET($BM$9,$CN70-1,0,1,1),0,IF($F70&lt;OFFSET($BN$9,$CN70-1,0,1,1),IF(AND($H70&gt;2.4,Z70&lt;&gt;"e",Z70&lt;&gt;"f"),DL70*2.4/$H70,DL70),IF($F70&lt;OFFSET($BN$9,$CN70+0,0,1,1),IF(AND($H70&gt;2.4,Z70&lt;&gt;"e",Z70&lt;&gt;"f"),DL70*2.4/$H70,DL70),IF($F70&lt;OFFSET($BN$9,$CN70+1,0,1,1),IF(AND($H70&gt;2.4,Z70&lt;&gt;"e",Z70&lt;&gt;"f"),DL70*2.4/$H70,DL70),IF($F70&lt;OFFSET($BN$9,$CN70+2,0,1,1),IF(AND($H70&gt;2.4,Z70&lt;&gt;"e",Z70&lt;&gt;"f"),DL70*2.4/$H70,DL70),IF($F70&lt;OFFSET($BN$9,$CN70+3,0,1,1),IF(AND($H70&gt;2.4,Z70&lt;&gt;"e",Z70&lt;&gt;"f"),DL70*2.4/$H70,DL70),0)))))*COS(RADIANS($G70)))</f>
        <v>0</v>
      </c>
      <c r="DI70" s="51">
        <f ca="1">IF(F70&lt;OFFSET($BM$9,CN70-1,0,1,1),0,IF(F70&lt;OFFSET($BN$9,CN70-1,0,1,1),((F70-OFFSET($BM$9,CN70-1,0,1,1))*OFFSET($CI$9,CN70-1,0,1,1))+OFFSET($BP$9,CN70-1,CQ70,1,1),IF(F70&lt;OFFSET($BN$9,CN70+0,0,1,1),((F70-OFFSET($BM$9,CN70+0,0,1,1))*OFFSET($CI$9,CN70+0,0,1,1))+OFFSET($BP$9,CN70+0,CQ70,1,1),IF(F70&lt;OFFSET($BN$9,CN70+1,0,1,1),((F70-OFFSET($BM$9,CN70+1,0,1,1))*OFFSET($CI$9,CN70+1,0,1,1))+OFFSET($BP$9,CN70+1,CQ70,1,1),IF(F70&lt;OFFSET($BN$9,CN70+2,0,1,1),((F70-OFFSET($BM$9,CN70+2,0,1,1))*OFFSET($CI$9,CN70+2,0,1,1))+OFFSET($BP$9,CN70+2,CQ70,1,1),IF(F70&lt;OFFSET($BN$9,CN70+3,0,1,1),((F70-OFFSET($BM$9,CN70+3,0,1,1))*OFFSET($CI$9,CN70+3,0,1,1))+OFFSET($BP$9,CN70+3,CQ70,1,1),0))))))</f>
        <v>0</v>
      </c>
      <c r="DJ70" s="51">
        <f ca="1">IF($F70&lt;OFFSET($BM$9,$CN70-1,0,1,1),0,IF($F70&lt;OFFSET($BN$9,$CN70-1,0,1,1),IF(AND($H70&gt;2.4,Z70&lt;&gt;"e",Z70&lt;&gt;"f"),DN70*2.4/$H70,DN70),IF($F70&lt;OFFSET($BN$9,$CN70+0,0,1,1),IF(AND($H70&gt;2.4,Z70&lt;&gt;"e",Z70&lt;&gt;"f"),DN70*2.4/$H70,DN70),IF($F70&lt;OFFSET($BN$9,$CN70+1,0,1,1),IF(AND($H70&gt;2.4,Z70&lt;&gt;"e",Z70&lt;&gt;"f"),DN70*2.4/$H70,DN70),IF($F70&lt;OFFSET($BN$9,$CN70+2,0,1,1),IF(AND($H70&gt;2.4,Z70&lt;&gt;"e",Z70&lt;&gt;"f"),DN70*2.4/$H70,DN70),IF($F70&lt;OFFSET($BN$9,$CN70+3,0,1,1),IF(AND($H70&gt;2.4,Z70&lt;&gt;"e",Z70&lt;&gt;"f"),DN70*2.4/$H70,DN70),0)))))*COS(RADIANS($G70)))</f>
        <v>0</v>
      </c>
      <c r="DK70" s="51"/>
      <c r="DL70" s="51">
        <f ca="1">IF(DG70&gt;$CR70,$CR70,DG70)</f>
        <v>0</v>
      </c>
      <c r="DM70" s="51"/>
      <c r="DN70" s="51">
        <f ca="1">IF(DI70&gt;$CR70,$CR70,DI70)</f>
        <v>0</v>
      </c>
      <c r="DO70" s="435">
        <f ca="1">IF(DH70&gt;$CR70,$CR70,DH70)</f>
        <v>0</v>
      </c>
      <c r="DP70" s="435">
        <f ca="1">DO70*F70</f>
        <v>0</v>
      </c>
      <c r="DQ70" s="436">
        <f ca="1">IF(DJ70&gt;$CR70,$CR70,DJ70)</f>
        <v>0</v>
      </c>
      <c r="DR70" s="437">
        <f ca="1">DQ70*F70</f>
        <v>0</v>
      </c>
      <c r="DS70" s="426">
        <f ca="1">OFFSET($CH$9,CL70-1,-15,1,1)</f>
        <v>0</v>
      </c>
      <c r="DT70" s="451">
        <f ca="1">VLOOKUP(DS70,Prodlink,2,0)</f>
        <v>0</v>
      </c>
      <c r="DU70" s="188">
        <f ca="1">IF(F70&lt;OFFSET($BM$9,DT70-1,0,1,1),0,IF(F70&lt;OFFSET($BN$9,DT70-1,0,1,1),((F70-OFFSET($BM$9,DT70-1,0,1,1))*OFFSET($CH$9,DT70-1,0,1,1))+OFFSET($BO$9,DT70-1,CQ70,1,1),IF(F70&lt;OFFSET($BN$9,DT70+0,0,1,1),((F70-OFFSET($BM$9,DT70+0,0,1,1))*OFFSET($CH$9,DT70+0,0,1,1))+OFFSET($BO$9,DT70+0,CQ70,1,1),IF(F70&lt;OFFSET($BN$9,DT70+1,0,1,1),((F70-OFFSET($BM$9,DT70+1,0,1,1))*OFFSET($CH$9,DT70+1,0,1,1))+OFFSET($BO$9,DT70+1,CQ70,1,1),IF(F70&lt;OFFSET($BN$9,DT70+2,0,1,1),((F70-OFFSET($BM$9,DT70+2,0,1,1))*OFFSET($CH$9,DT70+2,0,1,1))+OFFSET($BO$9,DT70+2,CQ70,1,1),IF(F70&lt;OFFSET($BN$9,DT70+3,0,1,1),((F70-OFFSET($BM$9,DT70+3,0,1,1))*OFFSET($CH$9,DT70+3,0,1,1))+OFFSET($BO$9,DT70+3,CQ70,1,1),0))))))</f>
        <v>0</v>
      </c>
      <c r="DV70" s="51">
        <f ca="1">IF($F70&lt;OFFSET($BM$9,$DT70-1,0,1,1),0,IF($F70&lt;OFFSET($BN$9,$DT70-1,0,1,1),IF(AND($H70&gt;2.4,Z70&lt;&gt;"e",Z70&lt;&gt;"f"),DZ70*2.4/$H70,DZ70),IF($F70&lt;OFFSET($BN$9,$DT70+0,0,1,1),IF(AND($H70&gt;2.4,Z70&lt;&gt;"e",Z70&lt;&gt;"f"),DZ70*2.4/$H70,DZ70),IF($F70&lt;OFFSET($BN$9,$DT70+1,0,1,1),IF(AND($H70&gt;2.4,Z70&lt;&gt;"e",Z70&lt;&gt;"f"),DZ70*2.4/$H70,DZ70),IF($F70&lt;OFFSET($BN$9,$DT70+2,0,1,1),IF(AND($H70&gt;2.4,Z70&lt;&gt;"e",Z70&lt;&gt;"f"),DZ70*2.4/$H70,DZ70),IF($F70&lt;OFFSET($BN$9,$DT70+3,0,1,1),IF(AND($H70&gt;2.4,Z70&lt;&gt;"e",Z70&lt;&gt;"f"),DZ70*2.4/$H70,DZ70),0)))))*COS(RADIANS($G70)))</f>
        <v>0</v>
      </c>
      <c r="DW70" s="188">
        <f ca="1">IF(F70&lt;OFFSET($BM$9,DT70-1,0,1,1),0,IF(F70&lt;OFFSET($BN$9,DT70-1,0,1,1),((F70-OFFSET($BM$9,DT70-1,0,1,1))*OFFSET($CI$9,DT70-1,0,1,1))+OFFSET($BP$9,DT70-1,CQ70,1,1),IF(F70&lt;OFFSET($BN$9,DT70+0,0,1,1),((F70-OFFSET($BM$9,DT70+0,0,1,1))*OFFSET($CI$9,DT70+0,0,1,1))+OFFSET($BP$9,DT70+0,CQ70,1,1),IF(F70&lt;OFFSET($BN$9,DT70+1,0,1,1),((F70-OFFSET($BM$9,DT70+1,0,1,1))*OFFSET($CI$9,DT70+1,0,1,1))+OFFSET($BP$9,DT70+1,CQ70,1,1),IF(F70&lt;OFFSET($BN$9,DT70+2,0,1,1),((F70-OFFSET($BM$9,DT70+2,0,1,1))*OFFSET($CI$9,DT70+2,0,1,1))+OFFSET($BP$9,DT70+2,CQ70,1,1),IF(F70&lt;OFFSET($BN$9,DT70+3,0,1,1),((F70-OFFSET($BM$9,DT70+3,0,1,1))*OFFSET($CI$9,DT70+3,0,1,1))+OFFSET($BP$9,DT70+3,CQ70,1,1),0))))))</f>
        <v>0</v>
      </c>
      <c r="DX70" s="51">
        <f ca="1">IF($F70&lt;OFFSET($BM$9,$DT70-1,0,1,1),0,IF($F70&lt;OFFSET($BN$9,$DT70-1,0,1,1),IF(AND($H70&gt;2.4,Z70&lt;&gt;"e",Z70&lt;&gt;"f"),EB70*2.4/$H70,EB70),IF($F70&lt;OFFSET($BN$9,$DT70+0,0,1,1),IF(AND($H70&gt;2.4,Z70&lt;&gt;"e",Z70&lt;&gt;"f"),EB70*2.4/$H70,EB70),IF($F70&lt;OFFSET($BN$9,$DT70+1,0,1,1),IF(AND($H70&gt;2.4,Z70&lt;&gt;"e",Z70&lt;&gt;"f"),EB70*2.4/$H70,EB70),IF($F70&lt;OFFSET($BN$9,$DT70+2,0,1,1),IF(AND($H70&gt;2.4,Z70&lt;&gt;"e",Z70&lt;&gt;"f"),EB70*2.4/$H70,EB70),IF($F70&lt;OFFSET($BN$9,$DT70+3,0,1,1),IF(AND($H70&gt;2.4,Z70&lt;&gt;"e",Z70&lt;&gt;"f"),EB70*2.4/$H70,EB70),0)))))*COS(RADIANS($G70)))</f>
        <v>0</v>
      </c>
      <c r="DY70" s="188"/>
      <c r="DZ70" s="188">
        <f ca="1">IF(DU70&gt;$CR70,$CR70,DU70)</f>
        <v>0</v>
      </c>
      <c r="EA70" s="188"/>
      <c r="EB70" s="188">
        <f ca="1">IF(DW70&gt;$CR70,$CR70,DW70)</f>
        <v>0</v>
      </c>
      <c r="EC70" s="435">
        <f ca="1">IF(DV70&gt;$CR70,$CR70,DV70)</f>
        <v>0</v>
      </c>
      <c r="ED70" s="435">
        <f ca="1">EC70*F70</f>
        <v>0</v>
      </c>
      <c r="EE70" s="436">
        <f ca="1">IF(DX70&gt;$CR70,$CR70,DX70)</f>
        <v>0</v>
      </c>
      <c r="EF70" s="437">
        <f ca="1">EE70*F70</f>
        <v>0</v>
      </c>
      <c r="EG70" s="613" t="str">
        <f>IF(D70=BG$12,BG$12,"")</f>
        <v/>
      </c>
      <c r="EH70" s="614" t="str">
        <f>IF(D70=BG$13,BG$13,"")</f>
        <v/>
      </c>
      <c r="EI70" s="611">
        <f>IF(EG70=BG$12,M70,0)</f>
        <v>0</v>
      </c>
      <c r="EJ70" s="451">
        <f>IF(EG70=BG$12,O70,0)</f>
        <v>0</v>
      </c>
      <c r="EK70" s="451">
        <f>IF(EH70=BG$13,M70,0)</f>
        <v>0</v>
      </c>
      <c r="EL70" s="612">
        <f>IF(EH70=BG$13,O70,0)</f>
        <v>0</v>
      </c>
      <c r="EM70" s="426" t="str">
        <f ca="1">IF(AND(Z70&lt;&gt;"t",Z70&lt;&gt;"f"),"",IF(AND(EN70=$BH$13,K70=$BH$12),"NotOpt",IF(K70&lt;&gt;EN70,"Error","")))</f>
        <v/>
      </c>
      <c r="EN70" s="491" t="str">
        <f>IF(AND($BH$28=1,$BG$28=1),$BH$13,$BH$12)</f>
        <v>120 BU's</v>
      </c>
      <c r="EO70" s="426" t="str">
        <f>K70</f>
        <v xml:space="preserve"> </v>
      </c>
      <c r="EP70" s="497">
        <v>1</v>
      </c>
      <c r="EQ70" s="430" t="str">
        <f ca="1">IF(EP70=1," ",OFFSET(BF$15,EP70-2,0,1,1))</f>
        <v xml:space="preserve"> </v>
      </c>
      <c r="ER70" s="439" t="str">
        <f ca="1">IF(H70=0," ",H70)</f>
        <v xml:space="preserve"> </v>
      </c>
      <c r="ES70" s="440" t="str">
        <f ca="1">IF(ER70&lt;&gt;" ",IF(ER70&lt;&gt;ER$7,"Changed",""),"")</f>
        <v/>
      </c>
      <c r="ET70" s="440">
        <f ca="1">IF(ER70&lt;&gt;" ",IF(ER70&lt;&gt;ER$7,1,0),0)</f>
        <v>0</v>
      </c>
      <c r="EU70" s="957"/>
      <c r="EW70" s="427"/>
      <c r="EX70"/>
    </row>
    <row r="71" spans="1:154" ht="17.100000000000001" hidden="1" customHeight="1">
      <c r="A71" s="2685"/>
      <c r="B71" s="689" t="s">
        <v>246</v>
      </c>
      <c r="C71" s="684" t="str">
        <f>IF(OR(F71=0,I71="",I71=" ")," ",$V71)</f>
        <v xml:space="preserve"> </v>
      </c>
      <c r="D71" s="1033"/>
      <c r="E71" s="1360" t="s">
        <v>8</v>
      </c>
      <c r="F71" s="202"/>
      <c r="G71" s="1416"/>
      <c r="H71" s="199" t="str">
        <f ca="1">IF(OR(F71=0,Z71="E",Z71="f")," ",'Project Demand'!E$35)</f>
        <v xml:space="preserve"> </v>
      </c>
      <c r="I71" s="631" t="str">
        <f>IF($I$6&lt;&gt;$BG$8," ",AB71)</f>
        <v xml:space="preserve"> </v>
      </c>
      <c r="J71" s="44" t="str">
        <f ca="1">IF(OR(I71=" ",I71="")," ",OFFSET($BO$9,CL71-1,0-4,1,1))</f>
        <v xml:space="preserve"> </v>
      </c>
      <c r="K71" s="55" t="str">
        <f>IF(OR(I71=" ",I71="")," ",IF(OR(Z71="e",Z71="h"),"SD",BG$24))</f>
        <v xml:space="preserve"> </v>
      </c>
      <c r="L71" s="49">
        <f ca="1">CW71</f>
        <v>0</v>
      </c>
      <c r="M71" s="49">
        <f ca="1">CY71</f>
        <v>0</v>
      </c>
      <c r="N71" s="50">
        <f t="shared" ca="1" si="34"/>
        <v>0</v>
      </c>
      <c r="O71" s="126">
        <f t="shared" ca="1" si="34"/>
        <v>0</v>
      </c>
      <c r="P71" s="140"/>
      <c r="Q71" s="752" t="str">
        <f ca="1">IF(OR(I71=" ",I71="")," ",IF(F71&lt;OFFSET($BM$9,CL71-1,0,1,1),"check L(m)",IF(DE71&lt;&gt;"",DE71,IF(AND(DP71&gt;=CY71,DR71&gt;=DB71),IF(AND(ED71&gt;=DP71,EF71&gt;=DR71),CONCATENATE(DS71," provides same results"),CONCATENATE(CO71," provides same results")),IF((DP71&gt;=CY71),CONCATENATE(CO71," provides same result in WIND"),IF((DR71&gt;=DB71),CONCATENATE(CO71," provides same result in EQ",""),""))))))</f>
        <v xml:space="preserve"> </v>
      </c>
      <c r="R71" s="52"/>
      <c r="S71" s="1372"/>
      <c r="T71" s="1372"/>
      <c r="U71" s="1377"/>
      <c r="V71" s="52" t="str">
        <f ca="1">IF(AND(B$5=$BF$9,OR(I71=BH$16,I71=BH$17))," ",IF(ISNUMBER(B$68),(CONCATENATE(B$68,".",W71)),(CONCATENATE(B$68,W71))))</f>
        <v>W0</v>
      </c>
      <c r="W71" s="9">
        <f ca="1">W70+X71</f>
        <v>0</v>
      </c>
      <c r="X71" s="9">
        <f>IF(AND(B$5=$BF$9,OR($I71=$BH$16,$I71=$BH$17,$I71=" ",$I71="",$F71=0)),0,IF(OR($I71=" ",$I71="",$F71=0),0,1))</f>
        <v>0</v>
      </c>
      <c r="Y71" s="896"/>
      <c r="Z71" s="52" t="str">
        <f ca="1">IF(I71=" "," ",OFFSET($BM$9,$CL71-1,8,1,1))</f>
        <v xml:space="preserve"> </v>
      </c>
      <c r="AA71" s="51" t="str">
        <f>IF(G71&gt;=45,"WA","")</f>
        <v/>
      </c>
      <c r="AB71" s="1364" t="str">
        <f>IF(F71&lt;&gt;"",IF(OR(D71=$BG$12,D71=$BG$13),IF(E71&lt;&gt;$BG$17,$BF$12,$BF$13),IF(E71&lt;&gt;$BG$17,$BF$12,$BF$13))," ")</f>
        <v xml:space="preserve"> </v>
      </c>
      <c r="AC71" s="1"/>
      <c r="BD71" s="652"/>
      <c r="BI71" s="759"/>
      <c r="BJ71" s="897">
        <f t="shared" si="28"/>
        <v>63</v>
      </c>
      <c r="BK71" s="764"/>
      <c r="BL71" s="766"/>
      <c r="BM71" s="455">
        <f>Table!P13</f>
        <v>1</v>
      </c>
      <c r="BN71" s="455">
        <f>BM72</f>
        <v>1.2</v>
      </c>
      <c r="BO71" s="455">
        <f>Table!Q13</f>
        <v>140</v>
      </c>
      <c r="BP71" s="925">
        <f>Table!R13</f>
        <v>130</v>
      </c>
      <c r="BR71" s="764"/>
      <c r="BS71" s="455"/>
      <c r="BT71" s="455"/>
      <c r="BU71" s="925" t="s">
        <v>242</v>
      </c>
      <c r="BV71" s="895"/>
      <c r="BW71" s="912"/>
      <c r="BX71" s="925" t="str">
        <f>Table!T11</f>
        <v>Double</v>
      </c>
      <c r="CH71" s="764">
        <f>IF(BN71=999,0,(BO72-BO71)/(BN71-BM71))</f>
        <v>50.000000000000014</v>
      </c>
      <c r="CI71" s="925">
        <f>IF(BN71=999,0,(BP72-BP71)/(BN71-BM71))</f>
        <v>25.000000000000007</v>
      </c>
      <c r="CJ71" s="759"/>
      <c r="CK71" s="188"/>
      <c r="CL71" s="979">
        <f>VLOOKUP(I71,Prodlink,2,0)</f>
        <v>0</v>
      </c>
      <c r="CN71" s="497">
        <f ca="1">VLOOKUP(CO71,Prodlink,2,0)</f>
        <v>0</v>
      </c>
      <c r="CO71" s="497">
        <f ca="1">OFFSET($CH$9,CL71-1,-15,1,1)</f>
        <v>0</v>
      </c>
      <c r="CQ71" s="51">
        <v>0</v>
      </c>
      <c r="CR71" s="51">
        <f>IF(K71=$BH$12,$BH$23,IF(K71=$BH$13,$BH$24,10000))</f>
        <v>10000</v>
      </c>
      <c r="CS71" s="51">
        <f ca="1">IF(F71&lt;OFFSET($BM$9,CL71-1,0,1,1),0,IF(F71&lt;OFFSET($BN$9,CL71-1,0,1,1),((F71-OFFSET($BM$9,CL71-1,0,1,1))*OFFSET($CH$9,CL71-1,0,1,1))+OFFSET($BO$9,CL71-1,CQ71,1,1),IF(F71&lt;OFFSET($BN$9,CL71+0,0,1,1),((F71-OFFSET($BM$9,CL71+0,0,1,1))*OFFSET($CH$9,CL71+0,0,1,1))+OFFSET($BO$9,CL71+0,CQ71,1,1),IF(F71&lt;OFFSET($BN$9,CL71+1,0,1,1),((F71-OFFSET($BM$9,CL71+1,0,1,1))*OFFSET($CH$9,CL71+1,0,1,1))+OFFSET($BO$9,CL71+1,CQ71,1,1),IF(F71&lt;OFFSET($BN$9,CL71+2,0,1,1),((F71-OFFSET($BM$9,CL71+2,0,1,1))*OFFSET($CH$9,CL71+2,0,1,1))+OFFSET($BO$9,CL71+2,CQ71,1,1),IF(F71&lt;OFFSET($BN$9,CL71+3,0,1,1),((F71-OFFSET($BM$9,CL71+3,0,1,1))*OFFSET($CH$9,CL71+3,0,1,1))+OFFSET($BO$9,CL71+3,CQ71,1,1),0))))))</f>
        <v>0</v>
      </c>
      <c r="CT71" s="51">
        <f ca="1">IF($F71&lt;OFFSET($BM$9,$CL71-1,0,1,1),0,IF($F71&lt;OFFSET($BN$9,$CL71-1,0,1,1),IF(AND($H71&gt;2.4,Z71&lt;&gt;"e",Z71&lt;&gt;"f"),CX71*2.4/$H71,CX71),IF($F71&lt;OFFSET($BN$9,$CL71+0,0,1,1),IF(AND($H71&gt;2.4,Z71&lt;&gt;"e",Z71&lt;&gt;"f"),CX71*2.4/$H71,CX71),IF($F71&lt;OFFSET($BN$9,$CL71+1,0,1,1),IF(AND($H71&gt;2.4,Z71&lt;&gt;"e",Z71&lt;&gt;"f"),CX71*2.4/$H71,CX71),IF($F71&lt;OFFSET($BN$9,CL71+2,0,1,1),IF(AND($H71&gt;2.4,Z71&lt;&gt;"e",Z71&lt;&gt;"f"),CX71*2.4/$H71,CX71),IF($F71&lt;OFFSET($BN$9,CL71+3,0,1,1),IF(AND($H71&gt;2.4,Z71&lt;&gt;"e",Z71&lt;&gt;"f"),CX71*2.4/$H71,CX71),0)))))*COS(RADIANS($G71)))</f>
        <v>0</v>
      </c>
      <c r="CU71" s="51">
        <f ca="1">IF(F71&lt;OFFSET($BM$9,CL71-1,0,1,1),0,IF(F71&lt;OFFSET($BN$9,CL71-1,0,1,1),((F71-OFFSET($BM$9,CL71-1,0,1,1))*OFFSET($CI$9,CL71-1,0,1,1))+OFFSET($BP$9,CL71-1,CQ71,1,1),IF(F71&lt;OFFSET($BN$9,CL71+0,0,1,1),((F71-OFFSET($BM$9,CL71+0,0,1,1))*OFFSET($CI$9,CL71+0,0,1,1))+OFFSET($BP$9,CL71+0,CQ71,1,1),IF(F71&lt;OFFSET($BN$9,CL71+1,0,1,1),((F71-OFFSET($BM$9,CL71+1,0,1,1))*OFFSET($CI$9,CL71+1,0,1,1))+OFFSET($BP$9,CL71+1,CQ71,1,1),IF(F71&lt;OFFSET($BN$9,CL71+2,0,1,1),((F71-OFFSET($BM$9,CL71+2,0,1,1))*OFFSET($CI$9,CL71+2,0,1,1))+OFFSET($BP$9,CL71+2,CQ71,1,1),IF(F71&lt;OFFSET($BN$9,CL71+3,0,1,1),((F71-OFFSET($BM$9,CL71+3,0,1,1))*OFFSET($CI$9,CL71+3,0,1,1))+OFFSET($BP$9,CL71+3,CQ71,1,1),0))))))</f>
        <v>0</v>
      </c>
      <c r="CV71" s="51">
        <f ca="1">IF($F71&lt;OFFSET($BM$9,$CL71-1,0,1,1),0,IF($F71&lt;OFFSET($BN$9,$CL71-1,0,1,1),IF(AND($H71&gt;2.4,Z71&lt;&gt;"e",Z71&lt;&gt;"f"),CZ71*2.4/$H71,CZ71),IF($F71&lt;OFFSET($BN$9,$CL71+0,0,1,1),IF(AND($H71&gt;2.4,Z71&lt;&gt;"e",Z71&lt;&gt;"f"),CZ71*2.4/$H71,CZ71),IF($F71&lt;OFFSET($BN$9,$CL71+1,0,1,1),IF(AND($H71&gt;2.4,Z71&lt;&gt;"e",Z71&lt;&gt;"f"),CZ71*2.4/$H71,CZ71),IF($F71&lt;OFFSET($BN$9,$CL71+2,0,1,1),IF(AND($H71&gt;2.4,Z71&lt;&gt;"e",Z71&lt;&gt;"f"),CZ71*2.4/$H71,CZ71),IF($F71&lt;OFFSET($BN$9,$CL71+3,0,1,1),IF(AND($H71&gt;2.4,Z71&lt;&gt;"e",Z71&lt;&gt;"f"),CZ71*2.4/$H71,CZ71),0)))))*COS(RADIANS($G71)))</f>
        <v>0</v>
      </c>
      <c r="CW71" s="51">
        <f ca="1">IF(CT71&gt;CR71,CR71,CT71)</f>
        <v>0</v>
      </c>
      <c r="CX71" s="51">
        <f ca="1">IF(CS71&gt;$CR71,$CR71,CS71)</f>
        <v>0</v>
      </c>
      <c r="CY71" s="51">
        <f ca="1">CW71*F71</f>
        <v>0</v>
      </c>
      <c r="CZ71" s="51">
        <f ca="1">IF($CU71&gt;$CR71,$CR71,$CU71)</f>
        <v>0</v>
      </c>
      <c r="DA71" s="51">
        <f ca="1">IF(CV71&gt;CR71,CR71,CV71)</f>
        <v>0</v>
      </c>
      <c r="DB71" s="51">
        <f ca="1">DA71*F71</f>
        <v>0</v>
      </c>
      <c r="DC71" s="993">
        <v>1</v>
      </c>
      <c r="DD71" s="758" t="str">
        <f>IF(OR(D71=BG$12,D71=BG$13),"External",IF(D71=BG$14,"Internal"," "))</f>
        <v xml:space="preserve"> </v>
      </c>
      <c r="DE71" s="51" t="str">
        <f t="shared" ca="1" si="2"/>
        <v/>
      </c>
      <c r="DF71" s="52" t="str">
        <f t="shared" ca="1" si="3"/>
        <v xml:space="preserve"> </v>
      </c>
      <c r="DG71" s="51">
        <f ca="1">IF(F71&lt;OFFSET($BM$9,CN71-1,0,1,1),0,IF(F71&lt;OFFSET($BN$9,CN71-1,0,1,1),((F71-OFFSET($BM$9,CN71-1,0,1,1))*OFFSET($CH$9,CN71-1,0,1,1))+OFFSET($BO$9,CN71-1,CQ71,1,1),IF(F71&lt;OFFSET($BN$9,CN71+0,0,1,1),((F71-OFFSET($BM$9,CN71+0,0,1,1))*OFFSET($CH$9,CN71+0,0,1,1))+OFFSET($BO$9,CN71+0,CQ71,1,1),IF(F71&lt;OFFSET($BN$9,CN71+1,0,1,1),((F71-OFFSET($BM$9,CN71+1,0,1,1))*OFFSET($CH$9,CN71+1,0,1,1))+OFFSET($BO$9,CN71+1,CQ71,1,1),IF(F71&lt;OFFSET($BN$9,CN71+2,0,1,1),((F71-OFFSET($BM$9,CN71+2,0,1,1))*OFFSET($CH$9,CN71+2,0,1,1))+OFFSET($BO$9,CN71+2,CQ71,1,1),IF(F71&lt;OFFSET($BN$9,CN71+3,0,1,1),((F71-OFFSET($BM$9,CN71+3,0,1,1))*OFFSET($CH$9,CN71+3,0,1,1))+OFFSET($BO$9,CN71+3,CQ71,1,1),0))))))</f>
        <v>0</v>
      </c>
      <c r="DH71" s="51">
        <f ca="1">IF($F71&lt;OFFSET($BM$9,$CN71-1,0,1,1),0,IF($F71&lt;OFFSET($BN$9,$CN71-1,0,1,1),IF(AND($H71&gt;2.4,Z71&lt;&gt;"e",Z71&lt;&gt;"f"),DL71*2.4/$H71,DL71),IF($F71&lt;OFFSET($BN$9,$CN71+0,0,1,1),IF(AND($H71&gt;2.4,Z71&lt;&gt;"e",Z71&lt;&gt;"f"),DL71*2.4/$H71,DL71),IF($F71&lt;OFFSET($BN$9,$CN71+1,0,1,1),IF(AND($H71&gt;2.4,Z71&lt;&gt;"e",Z71&lt;&gt;"f"),DL71*2.4/$H71,DL71),IF($F71&lt;OFFSET($BN$9,$CN71+2,0,1,1),IF(AND($H71&gt;2.4,Z71&lt;&gt;"e",Z71&lt;&gt;"f"),DL71*2.4/$H71,DL71),IF($F71&lt;OFFSET($BN$9,$CN71+3,0,1,1),IF(AND($H71&gt;2.4,Z71&lt;&gt;"e",Z71&lt;&gt;"f"),DL71*2.4/$H71,DL71),0)))))*COS(RADIANS($G71)))</f>
        <v>0</v>
      </c>
      <c r="DI71" s="51">
        <f ca="1">IF(F71&lt;OFFSET($BM$9,CN71-1,0,1,1),0,IF(F71&lt;OFFSET($BN$9,CN71-1,0,1,1),((F71-OFFSET($BM$9,CN71-1,0,1,1))*OFFSET($CI$9,CN71-1,0,1,1))+OFFSET($BP$9,CN71-1,CQ71,1,1),IF(F71&lt;OFFSET($BN$9,CN71+0,0,1,1),((F71-OFFSET($BM$9,CN71+0,0,1,1))*OFFSET($CI$9,CN71+0,0,1,1))+OFFSET($BP$9,CN71+0,CQ71,1,1),IF(F71&lt;OFFSET($BN$9,CN71+1,0,1,1),((F71-OFFSET($BM$9,CN71+1,0,1,1))*OFFSET($CI$9,CN71+1,0,1,1))+OFFSET($BP$9,CN71+1,CQ71,1,1),IF(F71&lt;OFFSET($BN$9,CN71+2,0,1,1),((F71-OFFSET($BM$9,CN71+2,0,1,1))*OFFSET($CI$9,CN71+2,0,1,1))+OFFSET($BP$9,CN71+2,CQ71,1,1),IF(F71&lt;OFFSET($BN$9,CN71+3,0,1,1),((F71-OFFSET($BM$9,CN71+3,0,1,1))*OFFSET($CI$9,CN71+3,0,1,1))+OFFSET($BP$9,CN71+3,CQ71,1,1),0))))))</f>
        <v>0</v>
      </c>
      <c r="DJ71" s="51">
        <f ca="1">IF($F71&lt;OFFSET($BM$9,$CN71-1,0,1,1),0,IF($F71&lt;OFFSET($BN$9,$CN71-1,0,1,1),IF(AND($H71&gt;2.4,Z71&lt;&gt;"e",Z71&lt;&gt;"f"),DN71*2.4/$H71,DN71),IF($F71&lt;OFFSET($BN$9,$CN71+0,0,1,1),IF(AND($H71&gt;2.4,Z71&lt;&gt;"e",Z71&lt;&gt;"f"),DN71*2.4/$H71,DN71),IF($F71&lt;OFFSET($BN$9,$CN71+1,0,1,1),IF(AND($H71&gt;2.4,Z71&lt;&gt;"e",Z71&lt;&gt;"f"),DN71*2.4/$H71,DN71),IF($F71&lt;OFFSET($BN$9,$CN71+2,0,1,1),IF(AND($H71&gt;2.4,Z71&lt;&gt;"e",Z71&lt;&gt;"f"),DN71*2.4/$H71,DN71),IF($F71&lt;OFFSET($BN$9,$CN71+3,0,1,1),IF(AND($H71&gt;2.4,Z71&lt;&gt;"e",Z71&lt;&gt;"f"),DN71*2.4/$H71,DN71),0)))))*COS(RADIANS($G71)))</f>
        <v>0</v>
      </c>
      <c r="DK71" s="51"/>
      <c r="DL71" s="51">
        <f ca="1">IF(DG71&gt;$CR71,$CR71,DG71)</f>
        <v>0</v>
      </c>
      <c r="DM71" s="51"/>
      <c r="DN71" s="51">
        <f ca="1">IF(DI71&gt;$CR71,$CR71,DI71)</f>
        <v>0</v>
      </c>
      <c r="DO71" s="435">
        <f ca="1">IF(DH71&gt;$CR71,$CR71,DH71)</f>
        <v>0</v>
      </c>
      <c r="DP71" s="435">
        <f ca="1">DO71*F71</f>
        <v>0</v>
      </c>
      <c r="DQ71" s="436">
        <f ca="1">IF(DJ71&gt;$CR71,$CR71,DJ71)</f>
        <v>0</v>
      </c>
      <c r="DR71" s="437">
        <f ca="1">DQ71*F71</f>
        <v>0</v>
      </c>
      <c r="DS71" s="426">
        <f ca="1">OFFSET($CH$9,CL71-1,-15,1,1)</f>
        <v>0</v>
      </c>
      <c r="DT71" s="451">
        <f ca="1">VLOOKUP(DS71,Prodlink,2,0)</f>
        <v>0</v>
      </c>
      <c r="DU71" s="188">
        <f ca="1">IF(F71&lt;OFFSET($BM$9,DT71-1,0,1,1),0,IF(F71&lt;OFFSET($BN$9,DT71-1,0,1,1),((F71-OFFSET($BM$9,DT71-1,0,1,1))*OFFSET($CH$9,DT71-1,0,1,1))+OFFSET($BO$9,DT71-1,CQ71,1,1),IF(F71&lt;OFFSET($BN$9,DT71+0,0,1,1),((F71-OFFSET($BM$9,DT71+0,0,1,1))*OFFSET($CH$9,DT71+0,0,1,1))+OFFSET($BO$9,DT71+0,CQ71,1,1),IF(F71&lt;OFFSET($BN$9,DT71+1,0,1,1),((F71-OFFSET($BM$9,DT71+1,0,1,1))*OFFSET($CH$9,DT71+1,0,1,1))+OFFSET($BO$9,DT71+1,CQ71,1,1),IF(F71&lt;OFFSET($BN$9,DT71+2,0,1,1),((F71-OFFSET($BM$9,DT71+2,0,1,1))*OFFSET($CH$9,DT71+2,0,1,1))+OFFSET($BO$9,DT71+2,CQ71,1,1),IF(F71&lt;OFFSET($BN$9,DT71+3,0,1,1),((F71-OFFSET($BM$9,DT71+3,0,1,1))*OFFSET($CH$9,DT71+3,0,1,1))+OFFSET($BO$9,DT71+3,CQ71,1,1),0))))))</f>
        <v>0</v>
      </c>
      <c r="DV71" s="51">
        <f ca="1">IF($F71&lt;OFFSET($BM$9,$DT71-1,0,1,1),0,IF($F71&lt;OFFSET($BN$9,$DT71-1,0,1,1),IF(AND($H71&gt;2.4,Z71&lt;&gt;"e",Z71&lt;&gt;"f"),DZ71*2.4/$H71,DZ71),IF($F71&lt;OFFSET($BN$9,$DT71+0,0,1,1),IF(AND($H71&gt;2.4,Z71&lt;&gt;"e",Z71&lt;&gt;"f"),DZ71*2.4/$H71,DZ71),IF($F71&lt;OFFSET($BN$9,$DT71+1,0,1,1),IF(AND($H71&gt;2.4,Z71&lt;&gt;"e",Z71&lt;&gt;"f"),DZ71*2.4/$H71,DZ71),IF($F71&lt;OFFSET($BN$9,$DT71+2,0,1,1),IF(AND($H71&gt;2.4,Z71&lt;&gt;"e",Z71&lt;&gt;"f"),DZ71*2.4/$H71,DZ71),IF($F71&lt;OFFSET($BN$9,$DT71+3,0,1,1),IF(AND($H71&gt;2.4,Z71&lt;&gt;"e",Z71&lt;&gt;"f"),DZ71*2.4/$H71,DZ71),0)))))*COS(RADIANS($G71)))</f>
        <v>0</v>
      </c>
      <c r="DW71" s="188">
        <f ca="1">IF(F71&lt;OFFSET($BM$9,DT71-1,0,1,1),0,IF(F71&lt;OFFSET($BN$9,DT71-1,0,1,1),((F71-OFFSET($BM$9,DT71-1,0,1,1))*OFFSET($CI$9,DT71-1,0,1,1))+OFFSET($BP$9,DT71-1,CQ71,1,1),IF(F71&lt;OFFSET($BN$9,DT71+0,0,1,1),((F71-OFFSET($BM$9,DT71+0,0,1,1))*OFFSET($CI$9,DT71+0,0,1,1))+OFFSET($BP$9,DT71+0,CQ71,1,1),IF(F71&lt;OFFSET($BN$9,DT71+1,0,1,1),((F71-OFFSET($BM$9,DT71+1,0,1,1))*OFFSET($CI$9,DT71+1,0,1,1))+OFFSET($BP$9,DT71+1,CQ71,1,1),IF(F71&lt;OFFSET($BN$9,DT71+2,0,1,1),((F71-OFFSET($BM$9,DT71+2,0,1,1))*OFFSET($CI$9,DT71+2,0,1,1))+OFFSET($BP$9,DT71+2,CQ71,1,1),IF(F71&lt;OFFSET($BN$9,DT71+3,0,1,1),((F71-OFFSET($BM$9,DT71+3,0,1,1))*OFFSET($CI$9,DT71+3,0,1,1))+OFFSET($BP$9,DT71+3,CQ71,1,1),0))))))</f>
        <v>0</v>
      </c>
      <c r="DX71" s="51">
        <f ca="1">IF($F71&lt;OFFSET($BM$9,$DT71-1,0,1,1),0,IF($F71&lt;OFFSET($BN$9,$DT71-1,0,1,1),IF(AND($H71&gt;2.4,Z71&lt;&gt;"e",Z71&lt;&gt;"f"),EB71*2.4/$H71,EB71),IF($F71&lt;OFFSET($BN$9,$DT71+0,0,1,1),IF(AND($H71&gt;2.4,Z71&lt;&gt;"e",Z71&lt;&gt;"f"),EB71*2.4/$H71,EB71),IF($F71&lt;OFFSET($BN$9,$DT71+1,0,1,1),IF(AND($H71&gt;2.4,Z71&lt;&gt;"e",Z71&lt;&gt;"f"),EB71*2.4/$H71,EB71),IF($F71&lt;OFFSET($BN$9,$DT71+2,0,1,1),IF(AND($H71&gt;2.4,Z71&lt;&gt;"e",Z71&lt;&gt;"f"),EB71*2.4/$H71,EB71),IF($F71&lt;OFFSET($BN$9,$DT71+3,0,1,1),IF(AND($H71&gt;2.4,Z71&lt;&gt;"e",Z71&lt;&gt;"f"),EB71*2.4/$H71,EB71),0)))))*COS(RADIANS($G71)))</f>
        <v>0</v>
      </c>
      <c r="DY71" s="188"/>
      <c r="DZ71" s="188">
        <f ca="1">IF(DU71&gt;$CR71,$CR71,DU71)</f>
        <v>0</v>
      </c>
      <c r="EA71" s="188"/>
      <c r="EB71" s="188">
        <f ca="1">IF(DW71&gt;$CR71,$CR71,DW71)</f>
        <v>0</v>
      </c>
      <c r="EC71" s="435">
        <f ca="1">IF(DV71&gt;$CR71,$CR71,DV71)</f>
        <v>0</v>
      </c>
      <c r="ED71" s="435">
        <f ca="1">EC71*F71</f>
        <v>0</v>
      </c>
      <c r="EE71" s="436">
        <f ca="1">IF(DX71&gt;$CR71,$CR71,DX71)</f>
        <v>0</v>
      </c>
      <c r="EF71" s="437">
        <f ca="1">EE71*F71</f>
        <v>0</v>
      </c>
      <c r="EG71" s="613" t="str">
        <f>IF(D71=BG$12,BG$12,"")</f>
        <v/>
      </c>
      <c r="EH71" s="614" t="str">
        <f>IF(D71=BG$13,BG$13,"")</f>
        <v/>
      </c>
      <c r="EI71" s="611">
        <f>IF(EG71=BG$12,M71,0)</f>
        <v>0</v>
      </c>
      <c r="EJ71" s="451">
        <f>IF(EG71=BG$12,O71,0)</f>
        <v>0</v>
      </c>
      <c r="EK71" s="451">
        <f>IF(EH71=BG$13,M71,0)</f>
        <v>0</v>
      </c>
      <c r="EL71" s="612">
        <f>IF(EH71=BG$13,O71,0)</f>
        <v>0</v>
      </c>
      <c r="EM71" s="426" t="str">
        <f ca="1">IF(AND(Z71&lt;&gt;"t",Z71&lt;&gt;"f"),"",IF(AND(EN71=$BH$13,K71=$BH$12),"NotOpt",IF(K71&lt;&gt;EN71,"Error","")))</f>
        <v/>
      </c>
      <c r="EN71" s="491" t="str">
        <f>IF(AND($BH$28=1,$BG$28=1),$BH$13,$BH$12)</f>
        <v>120 BU's</v>
      </c>
      <c r="EO71" s="426" t="str">
        <f>K71</f>
        <v xml:space="preserve"> </v>
      </c>
      <c r="EP71" s="497">
        <v>1</v>
      </c>
      <c r="EQ71" s="430" t="str">
        <f ca="1">IF(EP71=1," ",OFFSET(BF$15,EP71-2,0,1,1))</f>
        <v xml:space="preserve"> </v>
      </c>
      <c r="ER71" s="439" t="str">
        <f ca="1">IF(H71=0," ",H71)</f>
        <v xml:space="preserve"> </v>
      </c>
      <c r="ES71" s="440" t="str">
        <f ca="1">IF(ER71&lt;&gt;" ",IF(ER71&lt;&gt;ER$7,"Changed",""),"")</f>
        <v/>
      </c>
      <c r="ET71" s="440">
        <f ca="1">IF(ER71&lt;&gt;" ",IF(ER71&lt;&gt;ER$7,1,0),0)</f>
        <v>0</v>
      </c>
      <c r="EU71" s="957"/>
      <c r="EW71" s="427"/>
      <c r="EX71"/>
    </row>
    <row r="72" spans="1:154" ht="17.100000000000001" hidden="1" customHeight="1" thickBot="1">
      <c r="A72" s="2685"/>
      <c r="B72" s="689" t="s">
        <v>246</v>
      </c>
      <c r="C72" s="684" t="str">
        <f>IF(OR(F72=0,I72="",I72=" ")," ",$V72)</f>
        <v xml:space="preserve"> </v>
      </c>
      <c r="D72" s="1033"/>
      <c r="E72" s="1360" t="s">
        <v>8</v>
      </c>
      <c r="F72" s="202"/>
      <c r="G72" s="1416"/>
      <c r="H72" s="199" t="str">
        <f ca="1">IF(OR(F72=0,Z72="E",Z72="f")," ",'Project Demand'!E$35)</f>
        <v xml:space="preserve"> </v>
      </c>
      <c r="I72" s="631" t="str">
        <f>IF($I$6&lt;&gt;$BG$8," ",AB72)</f>
        <v xml:space="preserve"> </v>
      </c>
      <c r="J72" s="44" t="str">
        <f ca="1">IF(OR(I72=" ",I72="")," ",OFFSET($BO$9,CL72-1,0-4,1,1))</f>
        <v xml:space="preserve"> </v>
      </c>
      <c r="K72" s="55" t="str">
        <f>IF(OR(I72=" ",I72="")," ",IF(OR(Z72="e",Z72="h"),"SD",BG$24))</f>
        <v xml:space="preserve"> </v>
      </c>
      <c r="L72" s="49">
        <f ca="1">CW72</f>
        <v>0</v>
      </c>
      <c r="M72" s="49">
        <f ca="1">CY72</f>
        <v>0</v>
      </c>
      <c r="N72" s="50">
        <f t="shared" ca="1" si="34"/>
        <v>0</v>
      </c>
      <c r="O72" s="126">
        <f t="shared" ca="1" si="34"/>
        <v>0</v>
      </c>
      <c r="P72" s="140"/>
      <c r="Q72" s="752" t="str">
        <f ca="1">IF(OR(I72=" ",I72="")," ",IF(F72&lt;OFFSET($BM$9,CL72-1,0,1,1),"check L(m)",IF(DE72&lt;&gt;"",DE72,IF(AND(DP72&gt;=CY72,DR72&gt;=DB72),IF(AND(ED72&gt;=DP72,EF72&gt;=DR72),CONCATENATE(DS72," provides same results"),CONCATENATE(CO72," provides same results")),IF((DP72&gt;=CY72),CONCATENATE(CO72," provides same result in WIND"),IF((DR72&gt;=DB72),CONCATENATE(CO72," provides same result in EQ",""),""))))))</f>
        <v xml:space="preserve"> </v>
      </c>
      <c r="R72" s="52"/>
      <c r="S72" s="1372"/>
      <c r="T72" s="1372"/>
      <c r="U72" s="1377"/>
      <c r="V72" s="52" t="str">
        <f ca="1">IF(AND(B$5=$BF$9,OR(I72=BH$16,I72=BH$17))," ",IF(ISNUMBER(B$68),(CONCATENATE(B$68,".",W72)),(CONCATENATE(B$68,W72))))</f>
        <v>W0</v>
      </c>
      <c r="W72" s="9">
        <f ca="1">W71+X72</f>
        <v>0</v>
      </c>
      <c r="X72" s="9">
        <f>IF(AND(B$5=$BF$9,OR($I72=$BH$16,$I72=$BH$17,$I72=" ",$I72="",$F72=0)),0,IF(OR($I72=" ",$I72="",$F72=0),0,1))</f>
        <v>0</v>
      </c>
      <c r="Y72" s="896"/>
      <c r="Z72" s="52" t="str">
        <f ca="1">IF(I72=" "," ",OFFSET($BM$9,$CL72-1,8,1,1))</f>
        <v xml:space="preserve"> </v>
      </c>
      <c r="AA72" s="51" t="str">
        <f>IF(G72&gt;=45,"WA","")</f>
        <v/>
      </c>
      <c r="AB72" s="1364" t="str">
        <f>IF(F72&lt;&gt;"",IF(OR(D72=$BG$12,D72=$BG$13),IF(E72&lt;&gt;$BG$17,$BF$12,$BF$13),IF(E72&lt;&gt;$BG$17,$BF$12,$BF$13))," ")</f>
        <v xml:space="preserve"> </v>
      </c>
      <c r="AC72" s="1"/>
      <c r="BD72" s="652"/>
      <c r="BI72" s="759"/>
      <c r="BJ72" s="897">
        <f t="shared" si="28"/>
        <v>64</v>
      </c>
      <c r="BK72" s="908"/>
      <c r="BL72" s="767"/>
      <c r="BM72" s="776">
        <f>Table!P14</f>
        <v>1.2</v>
      </c>
      <c r="BN72" s="776">
        <v>999</v>
      </c>
      <c r="BO72" s="776">
        <f>Table!Q14</f>
        <v>150</v>
      </c>
      <c r="BP72" s="926">
        <f>Table!R14</f>
        <v>135</v>
      </c>
      <c r="BQ72" s="1183"/>
      <c r="BR72" s="908"/>
      <c r="BS72" s="776"/>
      <c r="BT72" s="776"/>
      <c r="BU72" s="926" t="s">
        <v>242</v>
      </c>
      <c r="BV72" s="433"/>
      <c r="BW72" s="914"/>
      <c r="BX72" s="926" t="str">
        <f>Table!T11</f>
        <v>Double</v>
      </c>
      <c r="CH72" s="908">
        <f>IF(BN72=999,0,(BO73-BO72)/(BN72-BM72))</f>
        <v>0</v>
      </c>
      <c r="CI72" s="926">
        <f>IF(BN72=999,0,(BP73-BP72)/(BN72-BM72))</f>
        <v>0</v>
      </c>
      <c r="CJ72" s="759"/>
      <c r="CK72" s="188"/>
      <c r="CL72" s="979">
        <f>VLOOKUP(I72,Prodlink,2,0)</f>
        <v>0</v>
      </c>
      <c r="CN72" s="497">
        <f ca="1">VLOOKUP(CO72,Prodlink,2,0)</f>
        <v>0</v>
      </c>
      <c r="CO72" s="497">
        <f ca="1">OFFSET($CH$9,CL72-1,-15,1,1)</f>
        <v>0</v>
      </c>
      <c r="CQ72" s="51">
        <v>0</v>
      </c>
      <c r="CR72" s="51">
        <f>IF(K72=$BH$12,$BH$23,IF(K72=$BH$13,$BH$24,10000))</f>
        <v>10000</v>
      </c>
      <c r="CS72" s="51">
        <f ca="1">IF(F72&lt;OFFSET($BM$9,CL72-1,0,1,1),0,IF(F72&lt;OFFSET($BN$9,CL72-1,0,1,1),((F72-OFFSET($BM$9,CL72-1,0,1,1))*OFFSET($CH$9,CL72-1,0,1,1))+OFFSET($BO$9,CL72-1,CQ72,1,1),IF(F72&lt;OFFSET($BN$9,CL72+0,0,1,1),((F72-OFFSET($BM$9,CL72+0,0,1,1))*OFFSET($CH$9,CL72+0,0,1,1))+OFFSET($BO$9,CL72+0,CQ72,1,1),IF(F72&lt;OFFSET($BN$9,CL72+1,0,1,1),((F72-OFFSET($BM$9,CL72+1,0,1,1))*OFFSET($CH$9,CL72+1,0,1,1))+OFFSET($BO$9,CL72+1,CQ72,1,1),IF(F72&lt;OFFSET($BN$9,CL72+2,0,1,1),((F72-OFFSET($BM$9,CL72+2,0,1,1))*OFFSET($CH$9,CL72+2,0,1,1))+OFFSET($BO$9,CL72+2,CQ72,1,1),IF(F72&lt;OFFSET($BN$9,CL72+3,0,1,1),((F72-OFFSET($BM$9,CL72+3,0,1,1))*OFFSET($CH$9,CL72+3,0,1,1))+OFFSET($BO$9,CL72+3,CQ72,1,1),0))))))</f>
        <v>0</v>
      </c>
      <c r="CT72" s="51">
        <f ca="1">IF($F72&lt;OFFSET($BM$9,$CL72-1,0,1,1),0,IF($F72&lt;OFFSET($BN$9,$CL72-1,0,1,1),IF(AND($H72&gt;2.4,Z72&lt;&gt;"e",Z72&lt;&gt;"f"),CX72*2.4/$H72,CX72),IF($F72&lt;OFFSET($BN$9,$CL72+0,0,1,1),IF(AND($H72&gt;2.4,Z72&lt;&gt;"e",Z72&lt;&gt;"f"),CX72*2.4/$H72,CX72),IF($F72&lt;OFFSET($BN$9,$CL72+1,0,1,1),IF(AND($H72&gt;2.4,Z72&lt;&gt;"e",Z72&lt;&gt;"f"),CX72*2.4/$H72,CX72),IF($F72&lt;OFFSET($BN$9,CL72+2,0,1,1),IF(AND($H72&gt;2.4,Z72&lt;&gt;"e",Z72&lt;&gt;"f"),CX72*2.4/$H72,CX72),IF($F72&lt;OFFSET($BN$9,CL72+3,0,1,1),IF(AND($H72&gt;2.4,Z72&lt;&gt;"e",Z72&lt;&gt;"f"),CX72*2.4/$H72,CX72),0)))))*COS(RADIANS($G72)))</f>
        <v>0</v>
      </c>
      <c r="CU72" s="51">
        <f ca="1">IF(F72&lt;OFFSET($BM$9,CL72-1,0,1,1),0,IF(F72&lt;OFFSET($BN$9,CL72-1,0,1,1),((F72-OFFSET($BM$9,CL72-1,0,1,1))*OFFSET($CI$9,CL72-1,0,1,1))+OFFSET($BP$9,CL72-1,CQ72,1,1),IF(F72&lt;OFFSET($BN$9,CL72+0,0,1,1),((F72-OFFSET($BM$9,CL72+0,0,1,1))*OFFSET($CI$9,CL72+0,0,1,1))+OFFSET($BP$9,CL72+0,CQ72,1,1),IF(F72&lt;OFFSET($BN$9,CL72+1,0,1,1),((F72-OFFSET($BM$9,CL72+1,0,1,1))*OFFSET($CI$9,CL72+1,0,1,1))+OFFSET($BP$9,CL72+1,CQ72,1,1),IF(F72&lt;OFFSET($BN$9,CL72+2,0,1,1),((F72-OFFSET($BM$9,CL72+2,0,1,1))*OFFSET($CI$9,CL72+2,0,1,1))+OFFSET($BP$9,CL72+2,CQ72,1,1),IF(F72&lt;OFFSET($BN$9,CL72+3,0,1,1),((F72-OFFSET($BM$9,CL72+3,0,1,1))*OFFSET($CI$9,CL72+3,0,1,1))+OFFSET($BP$9,CL72+3,CQ72,1,1),0))))))</f>
        <v>0</v>
      </c>
      <c r="CV72" s="51">
        <f ca="1">IF($F72&lt;OFFSET($BM$9,$CL72-1,0,1,1),0,IF($F72&lt;OFFSET($BN$9,$CL72-1,0,1,1),IF(AND($H72&gt;2.4,Z72&lt;&gt;"e",Z72&lt;&gt;"f"),CZ72*2.4/$H72,CZ72),IF($F72&lt;OFFSET($BN$9,$CL72+0,0,1,1),IF(AND($H72&gt;2.4,Z72&lt;&gt;"e",Z72&lt;&gt;"f"),CZ72*2.4/$H72,CZ72),IF($F72&lt;OFFSET($BN$9,$CL72+1,0,1,1),IF(AND($H72&gt;2.4,Z72&lt;&gt;"e",Z72&lt;&gt;"f"),CZ72*2.4/$H72,CZ72),IF($F72&lt;OFFSET($BN$9,$CL72+2,0,1,1),IF(AND($H72&gt;2.4,Z72&lt;&gt;"e",Z72&lt;&gt;"f"),CZ72*2.4/$H72,CZ72),IF($F72&lt;OFFSET($BN$9,$CL72+3,0,1,1),IF(AND($H72&gt;2.4,Z72&lt;&gt;"e",Z72&lt;&gt;"f"),CZ72*2.4/$H72,CZ72),0)))))*COS(RADIANS($G72)))</f>
        <v>0</v>
      </c>
      <c r="CW72" s="51">
        <f ca="1">IF(CT72&gt;CR72,CR72,CT72)</f>
        <v>0</v>
      </c>
      <c r="CX72" s="51">
        <f ca="1">IF(CS72&gt;$CR72,$CR72,CS72)</f>
        <v>0</v>
      </c>
      <c r="CY72" s="51">
        <f ca="1">CW72*F72</f>
        <v>0</v>
      </c>
      <c r="CZ72" s="51">
        <f ca="1">IF($CU72&gt;$CR72,$CR72,$CU72)</f>
        <v>0</v>
      </c>
      <c r="DA72" s="51">
        <f ca="1">IF(CV72&gt;CR72,CR72,CV72)</f>
        <v>0</v>
      </c>
      <c r="DB72" s="51">
        <f ca="1">DA72*F72</f>
        <v>0</v>
      </c>
      <c r="DC72" s="993">
        <v>1</v>
      </c>
      <c r="DD72" s="758" t="str">
        <f>IF(OR(D72=BG$12,D72=BG$13),"External",IF(D72=BG$14,"Internal"," "))</f>
        <v xml:space="preserve"> </v>
      </c>
      <c r="DE72" s="51" t="str">
        <f t="shared" ca="1" si="2"/>
        <v/>
      </c>
      <c r="DF72" s="52" t="str">
        <f t="shared" ca="1" si="3"/>
        <v xml:space="preserve"> </v>
      </c>
      <c r="DG72" s="51">
        <f ca="1">IF(F72&lt;OFFSET($BM$9,CN72-1,0,1,1),0,IF(F72&lt;OFFSET($BN$9,CN72-1,0,1,1),((F72-OFFSET($BM$9,CN72-1,0,1,1))*OFFSET($CH$9,CN72-1,0,1,1))+OFFSET($BO$9,CN72-1,CQ72,1,1),IF(F72&lt;OFFSET($BN$9,CN72+0,0,1,1),((F72-OFFSET($BM$9,CN72+0,0,1,1))*OFFSET($CH$9,CN72+0,0,1,1))+OFFSET($BO$9,CN72+0,CQ72,1,1),IF(F72&lt;OFFSET($BN$9,CN72+1,0,1,1),((F72-OFFSET($BM$9,CN72+1,0,1,1))*OFFSET($CH$9,CN72+1,0,1,1))+OFFSET($BO$9,CN72+1,CQ72,1,1),IF(F72&lt;OFFSET($BN$9,CN72+2,0,1,1),((F72-OFFSET($BM$9,CN72+2,0,1,1))*OFFSET($CH$9,CN72+2,0,1,1))+OFFSET($BO$9,CN72+2,CQ72,1,1),IF(F72&lt;OFFSET($BN$9,CN72+3,0,1,1),((F72-OFFSET($BM$9,CN72+3,0,1,1))*OFFSET($CH$9,CN72+3,0,1,1))+OFFSET($BO$9,CN72+3,CQ72,1,1),0))))))</f>
        <v>0</v>
      </c>
      <c r="DH72" s="51">
        <f ca="1">IF($F72&lt;OFFSET($BM$9,$CN72-1,0,1,1),0,IF($F72&lt;OFFSET($BN$9,$CN72-1,0,1,1),IF(AND($H72&gt;2.4,Z72&lt;&gt;"e",Z72&lt;&gt;"f"),DL72*2.4/$H72,DL72),IF($F72&lt;OFFSET($BN$9,$CN72+0,0,1,1),IF(AND($H72&gt;2.4,Z72&lt;&gt;"e",Z72&lt;&gt;"f"),DL72*2.4/$H72,DL72),IF($F72&lt;OFFSET($BN$9,$CN72+1,0,1,1),IF(AND($H72&gt;2.4,Z72&lt;&gt;"e",Z72&lt;&gt;"f"),DL72*2.4/$H72,DL72),IF($F72&lt;OFFSET($BN$9,$CN72+2,0,1,1),IF(AND($H72&gt;2.4,Z72&lt;&gt;"e",Z72&lt;&gt;"f"),DL72*2.4/$H72,DL72),IF($F72&lt;OFFSET($BN$9,$CN72+3,0,1,1),IF(AND($H72&gt;2.4,Z72&lt;&gt;"e",Z72&lt;&gt;"f"),DL72*2.4/$H72,DL72),0)))))*COS(RADIANS($G72)))</f>
        <v>0</v>
      </c>
      <c r="DI72" s="51">
        <f ca="1">IF(F72&lt;OFFSET($BM$9,CN72-1,0,1,1),0,IF(F72&lt;OFFSET($BN$9,CN72-1,0,1,1),((F72-OFFSET($BM$9,CN72-1,0,1,1))*OFFSET($CI$9,CN72-1,0,1,1))+OFFSET($BP$9,CN72-1,CQ72,1,1),IF(F72&lt;OFFSET($BN$9,CN72+0,0,1,1),((F72-OFFSET($BM$9,CN72+0,0,1,1))*OFFSET($CI$9,CN72+0,0,1,1))+OFFSET($BP$9,CN72+0,CQ72,1,1),IF(F72&lt;OFFSET($BN$9,CN72+1,0,1,1),((F72-OFFSET($BM$9,CN72+1,0,1,1))*OFFSET($CI$9,CN72+1,0,1,1))+OFFSET($BP$9,CN72+1,CQ72,1,1),IF(F72&lt;OFFSET($BN$9,CN72+2,0,1,1),((F72-OFFSET($BM$9,CN72+2,0,1,1))*OFFSET($CI$9,CN72+2,0,1,1))+OFFSET($BP$9,CN72+2,CQ72,1,1),IF(F72&lt;OFFSET($BN$9,CN72+3,0,1,1),((F72-OFFSET($BM$9,CN72+3,0,1,1))*OFFSET($CI$9,CN72+3,0,1,1))+OFFSET($BP$9,CN72+3,CQ72,1,1),0))))))</f>
        <v>0</v>
      </c>
      <c r="DJ72" s="51">
        <f ca="1">IF($F72&lt;OFFSET($BM$9,$CN72-1,0,1,1),0,IF($F72&lt;OFFSET($BN$9,$CN72-1,0,1,1),IF(AND($H72&gt;2.4,Z72&lt;&gt;"e",Z72&lt;&gt;"f"),DN72*2.4/$H72,DN72),IF($F72&lt;OFFSET($BN$9,$CN72+0,0,1,1),IF(AND($H72&gt;2.4,Z72&lt;&gt;"e",Z72&lt;&gt;"f"),DN72*2.4/$H72,DN72),IF($F72&lt;OFFSET($BN$9,$CN72+1,0,1,1),IF(AND($H72&gt;2.4,Z72&lt;&gt;"e",Z72&lt;&gt;"f"),DN72*2.4/$H72,DN72),IF($F72&lt;OFFSET($BN$9,$CN72+2,0,1,1),IF(AND($H72&gt;2.4,Z72&lt;&gt;"e",Z72&lt;&gt;"f"),DN72*2.4/$H72,DN72),IF($F72&lt;OFFSET($BN$9,$CN72+3,0,1,1),IF(AND($H72&gt;2.4,Z72&lt;&gt;"e",Z72&lt;&gt;"f"),DN72*2.4/$H72,DN72),0)))))*COS(RADIANS($G72)))</f>
        <v>0</v>
      </c>
      <c r="DK72" s="51"/>
      <c r="DL72" s="51">
        <f ca="1">IF(DG72&gt;$CR72,$CR72,DG72)</f>
        <v>0</v>
      </c>
      <c r="DM72" s="51"/>
      <c r="DN72" s="51">
        <f ca="1">IF(DI72&gt;$CR72,$CR72,DI72)</f>
        <v>0</v>
      </c>
      <c r="DO72" s="435">
        <f ca="1">IF(DH72&gt;$CR72,$CR72,DH72)</f>
        <v>0</v>
      </c>
      <c r="DP72" s="435">
        <f ca="1">DO72*F72</f>
        <v>0</v>
      </c>
      <c r="DQ72" s="436">
        <f ca="1">IF(DJ72&gt;$CR72,$CR72,DJ72)</f>
        <v>0</v>
      </c>
      <c r="DR72" s="437">
        <f ca="1">DQ72*F72</f>
        <v>0</v>
      </c>
      <c r="DS72" s="426">
        <f ca="1">OFFSET($CH$9,CL72-1,-15,1,1)</f>
        <v>0</v>
      </c>
      <c r="DT72" s="451">
        <f ca="1">VLOOKUP(DS72,Prodlink,2,0)</f>
        <v>0</v>
      </c>
      <c r="DU72" s="188">
        <f ca="1">IF(F72&lt;OFFSET($BM$9,DT72-1,0,1,1),0,IF(F72&lt;OFFSET($BN$9,DT72-1,0,1,1),((F72-OFFSET($BM$9,DT72-1,0,1,1))*OFFSET($CH$9,DT72-1,0,1,1))+OFFSET($BO$9,DT72-1,CQ72,1,1),IF(F72&lt;OFFSET($BN$9,DT72+0,0,1,1),((F72-OFFSET($BM$9,DT72+0,0,1,1))*OFFSET($CH$9,DT72+0,0,1,1))+OFFSET($BO$9,DT72+0,CQ72,1,1),IF(F72&lt;OFFSET($BN$9,DT72+1,0,1,1),((F72-OFFSET($BM$9,DT72+1,0,1,1))*OFFSET($CH$9,DT72+1,0,1,1))+OFFSET($BO$9,DT72+1,CQ72,1,1),IF(F72&lt;OFFSET($BN$9,DT72+2,0,1,1),((F72-OFFSET($BM$9,DT72+2,0,1,1))*OFFSET($CH$9,DT72+2,0,1,1))+OFFSET($BO$9,DT72+2,CQ72,1,1),IF(F72&lt;OFFSET($BN$9,DT72+3,0,1,1),((F72-OFFSET($BM$9,DT72+3,0,1,1))*OFFSET($CH$9,DT72+3,0,1,1))+OFFSET($BO$9,DT72+3,CQ72,1,1),0))))))</f>
        <v>0</v>
      </c>
      <c r="DV72" s="51">
        <f ca="1">IF($F72&lt;OFFSET($BM$9,$DT72-1,0,1,1),0,IF($F72&lt;OFFSET($BN$9,$DT72-1,0,1,1),IF(AND($H72&gt;2.4,Z72&lt;&gt;"e",Z72&lt;&gt;"f"),DZ72*2.4/$H72,DZ72),IF($F72&lt;OFFSET($BN$9,$DT72+0,0,1,1),IF(AND($H72&gt;2.4,Z72&lt;&gt;"e",Z72&lt;&gt;"f"),DZ72*2.4/$H72,DZ72),IF($F72&lt;OFFSET($BN$9,$DT72+1,0,1,1),IF(AND($H72&gt;2.4,Z72&lt;&gt;"e",Z72&lt;&gt;"f"),DZ72*2.4/$H72,DZ72),IF($F72&lt;OFFSET($BN$9,$DT72+2,0,1,1),IF(AND($H72&gt;2.4,Z72&lt;&gt;"e",Z72&lt;&gt;"f"),DZ72*2.4/$H72,DZ72),IF($F72&lt;OFFSET($BN$9,$DT72+3,0,1,1),IF(AND($H72&gt;2.4,Z72&lt;&gt;"e",Z72&lt;&gt;"f"),DZ72*2.4/$H72,DZ72),0)))))*COS(RADIANS($G72)))</f>
        <v>0</v>
      </c>
      <c r="DW72" s="188">
        <f ca="1">IF(F72&lt;OFFSET($BM$9,DT72-1,0,1,1),0,IF(F72&lt;OFFSET($BN$9,DT72-1,0,1,1),((F72-OFFSET($BM$9,DT72-1,0,1,1))*OFFSET($CI$9,DT72-1,0,1,1))+OFFSET($BP$9,DT72-1,CQ72,1,1),IF(F72&lt;OFFSET($BN$9,DT72+0,0,1,1),((F72-OFFSET($BM$9,DT72+0,0,1,1))*OFFSET($CI$9,DT72+0,0,1,1))+OFFSET($BP$9,DT72+0,CQ72,1,1),IF(F72&lt;OFFSET($BN$9,DT72+1,0,1,1),((F72-OFFSET($BM$9,DT72+1,0,1,1))*OFFSET($CI$9,DT72+1,0,1,1))+OFFSET($BP$9,DT72+1,CQ72,1,1),IF(F72&lt;OFFSET($BN$9,DT72+2,0,1,1),((F72-OFFSET($BM$9,DT72+2,0,1,1))*OFFSET($CI$9,DT72+2,0,1,1))+OFFSET($BP$9,DT72+2,CQ72,1,1),IF(F72&lt;OFFSET($BN$9,DT72+3,0,1,1),((F72-OFFSET($BM$9,DT72+3,0,1,1))*OFFSET($CI$9,DT72+3,0,1,1))+OFFSET($BP$9,DT72+3,CQ72,1,1),0))))))</f>
        <v>0</v>
      </c>
      <c r="DX72" s="51">
        <f ca="1">IF($F72&lt;OFFSET($BM$9,$DT72-1,0,1,1),0,IF($F72&lt;OFFSET($BN$9,$DT72-1,0,1,1),IF(AND($H72&gt;2.4,Z72&lt;&gt;"e",Z72&lt;&gt;"f"),EB72*2.4/$H72,EB72),IF($F72&lt;OFFSET($BN$9,$DT72+0,0,1,1),IF(AND($H72&gt;2.4,Z72&lt;&gt;"e",Z72&lt;&gt;"f"),EB72*2.4/$H72,EB72),IF($F72&lt;OFFSET($BN$9,$DT72+1,0,1,1),IF(AND($H72&gt;2.4,Z72&lt;&gt;"e",Z72&lt;&gt;"f"),EB72*2.4/$H72,EB72),IF($F72&lt;OFFSET($BN$9,$DT72+2,0,1,1),IF(AND($H72&gt;2.4,Z72&lt;&gt;"e",Z72&lt;&gt;"f"),EB72*2.4/$H72,EB72),IF($F72&lt;OFFSET($BN$9,$DT72+3,0,1,1),IF(AND($H72&gt;2.4,Z72&lt;&gt;"e",Z72&lt;&gt;"f"),EB72*2.4/$H72,EB72),0)))))*COS(RADIANS($G72)))</f>
        <v>0</v>
      </c>
      <c r="DY72" s="188"/>
      <c r="DZ72" s="188">
        <f ca="1">IF(DU72&gt;$CR72,$CR72,DU72)</f>
        <v>0</v>
      </c>
      <c r="EA72" s="188"/>
      <c r="EB72" s="188">
        <f ca="1">IF(DW72&gt;$CR72,$CR72,DW72)</f>
        <v>0</v>
      </c>
      <c r="EC72" s="435">
        <f ca="1">IF(DV72&gt;$CR72,$CR72,DV72)</f>
        <v>0</v>
      </c>
      <c r="ED72" s="435">
        <f ca="1">EC72*F72</f>
        <v>0</v>
      </c>
      <c r="EE72" s="436">
        <f ca="1">IF(DX72&gt;$CR72,$CR72,DX72)</f>
        <v>0</v>
      </c>
      <c r="EF72" s="437">
        <f ca="1">EE72*F72</f>
        <v>0</v>
      </c>
      <c r="EG72" s="613" t="str">
        <f>IF(D72=BG$12,BG$12,"")</f>
        <v/>
      </c>
      <c r="EH72" s="614" t="str">
        <f>IF(D72=BG$13,BG$13,"")</f>
        <v/>
      </c>
      <c r="EI72" s="611">
        <f>IF(EG72=BG$12,M72,0)</f>
        <v>0</v>
      </c>
      <c r="EJ72" s="451">
        <f>IF(EG72=BG$12,O72,0)</f>
        <v>0</v>
      </c>
      <c r="EK72" s="451">
        <f>IF(EH72=BG$13,M72,0)</f>
        <v>0</v>
      </c>
      <c r="EL72" s="612">
        <f>IF(EH72=BG$13,O72,0)</f>
        <v>0</v>
      </c>
      <c r="EM72" s="426" t="str">
        <f ca="1">IF(AND(Z72&lt;&gt;"t",Z72&lt;&gt;"f"),"",IF(AND(EN72=$BH$13,K72=$BH$12),"NotOpt",IF(K72&lt;&gt;EN72,"Error","")))</f>
        <v/>
      </c>
      <c r="EN72" s="491" t="str">
        <f>IF(AND($BH$28=1,$BG$28=1),$BH$13,$BH$12)</f>
        <v>120 BU's</v>
      </c>
      <c r="EO72" s="426" t="str">
        <f>K72</f>
        <v xml:space="preserve"> </v>
      </c>
      <c r="EP72" s="497">
        <v>1</v>
      </c>
      <c r="EQ72" s="430" t="str">
        <f ca="1">IF(EP72=1," ",OFFSET(BF$15,EP72-2,0,1,1))</f>
        <v xml:space="preserve"> </v>
      </c>
      <c r="ER72" s="439" t="str">
        <f ca="1">IF(H72=0," ",H72)</f>
        <v xml:space="preserve"> </v>
      </c>
      <c r="ES72" s="440" t="str">
        <f ca="1">IF(ER72&lt;&gt;" ",IF(ER72&lt;&gt;ER$7,"Changed",""),"")</f>
        <v/>
      </c>
      <c r="ET72" s="440">
        <f ca="1">IF(ER72&lt;&gt;" ",IF(ER72&lt;&gt;ER$7,1,0),0)</f>
        <v>0</v>
      </c>
      <c r="EU72" s="957"/>
      <c r="EW72" s="427"/>
      <c r="EX72"/>
    </row>
    <row r="73" spans="1:154" ht="17.100000000000001" hidden="1" customHeight="1" thickBot="1">
      <c r="A73" s="2685"/>
      <c r="B73" s="2686" t="s">
        <v>8</v>
      </c>
      <c r="C73" s="2687"/>
      <c r="D73" s="1461" t="s">
        <v>8</v>
      </c>
      <c r="E73" s="659"/>
      <c r="F73" s="659"/>
      <c r="G73" s="659"/>
      <c r="H73" s="659"/>
      <c r="I73" s="1462"/>
      <c r="J73" s="1365" t="str">
        <f ca="1">(CONCATENATE(B68,$BE$54))</f>
        <v>W  Line:  Min. Requirement</v>
      </c>
      <c r="K73" s="23"/>
      <c r="L73" s="1019">
        <f ca="1">L$5</f>
        <v>0</v>
      </c>
      <c r="M73" s="48">
        <f ca="1">IF(B68=B62,SUM(M68:M72)+M67,SUM(M68:M72))</f>
        <v>0</v>
      </c>
      <c r="N73" s="1019">
        <f ca="1">N$5</f>
        <v>0</v>
      </c>
      <c r="O73" s="125">
        <f ca="1">IF(B68=B62,SUM(O68:O72)+O67,SUM(O68:O72))</f>
        <v>0</v>
      </c>
      <c r="P73" s="139"/>
      <c r="Q73" s="42" t="str">
        <f ca="1">IF(B68=B74,"",IF(AND(M73&gt;0,L73=L$5,OR(M73&lt;$M$105,M73&lt;$BF$3)),"Achieved &lt; Min Req per Line",IF(AND(O73&gt;0,N73=N$5,OR(O73&lt;$O$105,O73&lt;$BF$3)),"Achieved &lt; Min Req per Line",IF(AND(M73&gt;0,L73&gt;M73),"More Required on this line",IF(AND(O73&gt;0,N73&gt;O73),"More Required on this line",IF(AND(L73&gt;0,L73&lt;$BF$3),$BE$59,IF(AND(N73&gt;0,N73&lt;$BF$3),$BE$59,"")))))))</f>
        <v/>
      </c>
      <c r="R73" s="52"/>
      <c r="S73" s="52"/>
      <c r="T73" s="52"/>
      <c r="U73" s="1378"/>
      <c r="V73" s="52"/>
      <c r="W73" s="9"/>
      <c r="X73" s="9"/>
      <c r="Y73" s="896"/>
      <c r="Z73" s="52"/>
      <c r="AA73" s="51"/>
      <c r="AB73" s="1364"/>
      <c r="AC73" s="1"/>
      <c r="BD73" s="652"/>
      <c r="BI73" s="759"/>
      <c r="BJ73" s="897">
        <f t="shared" si="28"/>
        <v>65</v>
      </c>
      <c r="BK73" s="1231"/>
      <c r="BL73" s="1234"/>
      <c r="BM73" s="1205"/>
      <c r="BN73" s="1205"/>
      <c r="BO73" s="1205"/>
      <c r="BP73" s="1205"/>
      <c r="BQ73" s="1233"/>
      <c r="BR73" s="1205"/>
      <c r="BS73" s="1205"/>
      <c r="BT73" s="1205"/>
      <c r="BU73" s="1205"/>
      <c r="BV73" s="1233"/>
      <c r="BW73" s="1235"/>
      <c r="BX73" s="1205"/>
      <c r="CH73" s="970"/>
      <c r="CI73" s="971"/>
      <c r="CJ73" s="759"/>
      <c r="CK73" s="188"/>
      <c r="CL73" s="979"/>
      <c r="CN73" s="52"/>
      <c r="CO73" s="52"/>
      <c r="CQ73" s="51"/>
      <c r="CR73" s="51"/>
      <c r="CS73" s="51"/>
      <c r="CT73" s="51" t="s">
        <v>8</v>
      </c>
      <c r="CU73" s="51"/>
      <c r="CV73" s="51" t="s">
        <v>8</v>
      </c>
      <c r="CW73" s="51"/>
      <c r="CX73" s="51"/>
      <c r="CY73" s="51"/>
      <c r="CZ73" s="51"/>
      <c r="DD73" s="758"/>
      <c r="DF73" s="52"/>
      <c r="DG73" s="51"/>
      <c r="DH73" s="51"/>
      <c r="DI73" s="51"/>
      <c r="DJ73" s="51"/>
      <c r="DK73" s="51"/>
      <c r="DL73" s="51"/>
      <c r="DM73" s="51"/>
      <c r="DN73" s="51"/>
      <c r="DO73" s="435"/>
      <c r="DP73" s="435"/>
      <c r="DQ73" s="868"/>
      <c r="DR73" s="868"/>
      <c r="DU73" s="188"/>
      <c r="DV73" s="188" t="s">
        <v>8</v>
      </c>
      <c r="DW73" s="188"/>
      <c r="DX73" s="188" t="s">
        <v>8</v>
      </c>
      <c r="DY73" s="188"/>
      <c r="DZ73" s="188"/>
      <c r="EA73" s="188"/>
      <c r="EB73" s="188"/>
      <c r="EC73" s="435"/>
      <c r="ED73" s="435"/>
      <c r="EE73" s="868"/>
      <c r="EF73" s="867"/>
      <c r="EG73" s="613"/>
      <c r="EH73" s="614"/>
      <c r="EI73" s="613"/>
      <c r="EJ73" s="435"/>
      <c r="EK73" s="451"/>
      <c r="EL73" s="612"/>
      <c r="EN73" s="947"/>
      <c r="ER73" s="441"/>
      <c r="ES73" s="440"/>
      <c r="ET73" s="440"/>
      <c r="EU73" s="957"/>
      <c r="EW73" s="427"/>
      <c r="EX73"/>
    </row>
    <row r="74" spans="1:154" ht="17.100000000000001" hidden="1" customHeight="1" thickBot="1">
      <c r="A74" s="2685"/>
      <c r="B74" s="1369" t="str">
        <f ca="1">S74</f>
        <v>X</v>
      </c>
      <c r="C74" s="684" t="str">
        <f>IF(OR(F74=0,I74="",I74=" ")," ",$V74)</f>
        <v xml:space="preserve"> </v>
      </c>
      <c r="D74" s="1033"/>
      <c r="E74" s="1360" t="s">
        <v>8</v>
      </c>
      <c r="F74" s="202"/>
      <c r="G74" s="1416"/>
      <c r="H74" s="199" t="str">
        <f ca="1">IF(OR(F74=0,Z74="E",Z74="f")," ",'Project Demand'!E$35)</f>
        <v xml:space="preserve"> </v>
      </c>
      <c r="I74" s="631" t="str">
        <f>IF($I$6&lt;&gt;$BG$8," ",AB74)</f>
        <v xml:space="preserve"> </v>
      </c>
      <c r="J74" s="43" t="str">
        <f ca="1">IF(OR(I74=" ",I74="")," ",OFFSET($BO$9,CL74-1,0-4,1,1))</f>
        <v xml:space="preserve"> </v>
      </c>
      <c r="K74" s="55" t="str">
        <f>IF(OR(I74=" ",I74="")," ",IF(OR(Z74="e",Z74="h"),"SD",BG$24))</f>
        <v xml:space="preserve"> </v>
      </c>
      <c r="L74" s="49">
        <f ca="1">CW74</f>
        <v>0</v>
      </c>
      <c r="M74" s="49">
        <f ca="1">CY74</f>
        <v>0</v>
      </c>
      <c r="N74" s="50">
        <f t="shared" ref="N74:O78" ca="1" si="35">DA74</f>
        <v>0</v>
      </c>
      <c r="O74" s="126">
        <f t="shared" ca="1" si="35"/>
        <v>0</v>
      </c>
      <c r="P74" s="140"/>
      <c r="Q74" s="752" t="str">
        <f ca="1">IF(OR(I74=" ",I74="")," ",IF(F74&lt;OFFSET($BM$9,CL74-1,0,1,1),"check L(m)",IF(DE74&lt;&gt;"",DE74,IF(AND(DP74&gt;=CY74,DR74&gt;=DB74),IF(AND(ED74&gt;=DP74,EF74&gt;=DR74),CONCATENATE(DS74," provides same results"),CONCATENATE(CO74," provides same results")),IF((DP74&gt;=CY74),CONCATENATE(CO74," provides same result in WIND"),IF((DR74&gt;=DB74),CONCATENATE(CO74," provides same result in EQ",""),""))))))</f>
        <v xml:space="preserve"> </v>
      </c>
      <c r="R74" s="52">
        <f ca="1">IF(T68&lt;&gt;2,(COLUMN(INDIRECT(B68&amp;1))+1),U74)</f>
        <v>24</v>
      </c>
      <c r="S74" s="1372" t="str">
        <f ca="1">SUBSTITUTE(ADDRESS(1,R74,4),"1","")</f>
        <v>X</v>
      </c>
      <c r="T74" s="451">
        <f ca="1">IF(AND(ISTEXT(B74),SUBSTITUTE(SUBSTITUTE(SUBSTITUTE(SUBSTITUTE(SUBSTITUTE(SUBSTITUTE(SUBSTITUTE(SUBSTITUTE(SUBSTITUTE(SUBSTITUTE(SUBSTITUTE(SUBSTITUTE(SUBSTITUTE(SUBSTITUTE(SUBSTITUTE(SUBSTITUTE(SUBSTITUTE(SUBSTITUTE(SUBSTITUTE(SUBSTITUTE(SUBSTITUTE(SUBSTITUTE(SUBSTITUTE(SUBSTITUTE(SUBSTITUTE(SUBSTITUTE(LOWER(B74),"a",),"b",),"c",),"d",),"e",),"f",),"g",),"h",),"i",),"j",),"k",),"l",),"m",),"n",),"o",),"p",),"q",),"r",),"s",),"t",),"u",),"v",),"w",),"x",),"y",),"z",)=""),1,2)</f>
        <v>1</v>
      </c>
      <c r="U74" s="1377">
        <v>24</v>
      </c>
      <c r="V74" s="52" t="str">
        <f ca="1">IF(AND(B$5=$BF$9,OR(I74=BH$16,I74=BH$17))," ",IF(ISNUMBER(B$74),(CONCATENATE(B$74,".",W74)),(CONCATENATE(B$74,W74))))</f>
        <v>X0</v>
      </c>
      <c r="W74" s="9">
        <f ca="1">IF(B68=B74,W72+X74,X74)</f>
        <v>0</v>
      </c>
      <c r="X74" s="9">
        <f>IF(AND(B$5=$BF$9,OR($I74=$BH$16,$I74=$BH$17,$I74=" ",$I74="",$F74=0)),0,IF(OR($I74=" ",$I74="",$F74=0),0,1))</f>
        <v>0</v>
      </c>
      <c r="Y74" s="896">
        <f ca="1">IF(AND(M79&gt;0,B74&lt;&gt;B80),1,0)</f>
        <v>0</v>
      </c>
      <c r="Z74" s="52" t="str">
        <f ca="1">IF(I74=" "," ",OFFSET($BM$9,$CL74-1,8,1,1))</f>
        <v xml:space="preserve"> </v>
      </c>
      <c r="AA74" s="51" t="str">
        <f>IF(G74&gt;=45,"WA","")</f>
        <v/>
      </c>
      <c r="AB74" s="1364" t="str">
        <f>IF(F74&lt;&gt;"",IF(OR(D74=$BG$12,D74=$BG$13),IF(E74&lt;&gt;$BG$17,$BF$12,$BF$13),IF(E74&lt;&gt;$BG$17,$BF$12,$BF$13))," ")</f>
        <v xml:space="preserve"> </v>
      </c>
      <c r="AC74" s="1"/>
      <c r="BD74" s="652"/>
      <c r="BI74" s="759"/>
      <c r="BJ74" s="897">
        <f t="shared" si="28"/>
        <v>66</v>
      </c>
      <c r="BK74" s="768" t="str">
        <f>BK68</f>
        <v xml:space="preserve">EPB </v>
      </c>
      <c r="BL74" s="765" t="str">
        <f>Table!O16</f>
        <v>ESPH</v>
      </c>
      <c r="BM74" s="454">
        <f>Table!P16</f>
        <v>0.4</v>
      </c>
      <c r="BN74" s="454">
        <f>BM75</f>
        <v>0.6</v>
      </c>
      <c r="BO74" s="454">
        <f>Table!Q16</f>
        <v>102</v>
      </c>
      <c r="BP74" s="924">
        <f>Table!R16</f>
        <v>114</v>
      </c>
      <c r="BQ74" s="920"/>
      <c r="BR74" s="768" t="str">
        <f>Table!S16</f>
        <v>ES-H</v>
      </c>
      <c r="BS74" s="454" t="str">
        <f>Table!S17</f>
        <v>EM-H</v>
      </c>
      <c r="BT74" s="454" t="str">
        <f>Table!T16</f>
        <v>E</v>
      </c>
      <c r="BU74" s="924" t="s">
        <v>242</v>
      </c>
      <c r="BV74" s="1230" t="str">
        <f>Table!AI83</f>
        <v>ESPH</v>
      </c>
      <c r="BW74" s="1229">
        <f>BJ74</f>
        <v>66</v>
      </c>
      <c r="BX74" s="924" t="str">
        <f>Table!T17</f>
        <v>Double</v>
      </c>
      <c r="CH74" s="768">
        <f>IF(BN74=999,0,(BO75-BO74)/(BN74-BM74))</f>
        <v>90.000000000000014</v>
      </c>
      <c r="CI74" s="924">
        <f>IF(BN74=999,0,(BP75-BP74)/(BN74-BM74))</f>
        <v>80.000000000000014</v>
      </c>
      <c r="CJ74" s="759"/>
      <c r="CK74" s="188"/>
      <c r="CL74" s="979">
        <f>VLOOKUP(I74,Prodlink,2,0)</f>
        <v>0</v>
      </c>
      <c r="CN74" s="497">
        <f ca="1">VLOOKUP(CO74,Prodlink,2,0)</f>
        <v>0</v>
      </c>
      <c r="CO74" s="497">
        <f ca="1">OFFSET($CH$9,CL74-1,-15,1,1)</f>
        <v>0</v>
      </c>
      <c r="CQ74" s="51">
        <v>0</v>
      </c>
      <c r="CR74" s="51">
        <f>IF(K74=$BH$12,$BH$23,IF(K74=$BH$13,$BH$24,10000))</f>
        <v>10000</v>
      </c>
      <c r="CS74" s="51">
        <f ca="1">IF(F74&lt;OFFSET($BM$9,CL74-1,0,1,1),0,IF(F74&lt;OFFSET($BN$9,CL74-1,0,1,1),((F74-OFFSET($BM$9,CL74-1,0,1,1))*OFFSET($CH$9,CL74-1,0,1,1))+OFFSET($BO$9,CL74-1,CQ74,1,1),IF(F74&lt;OFFSET($BN$9,CL74+0,0,1,1),((F74-OFFSET($BM$9,CL74+0,0,1,1))*OFFSET($CH$9,CL74+0,0,1,1))+OFFSET($BO$9,CL74+0,CQ74,1,1),IF(F74&lt;OFFSET($BN$9,CL74+1,0,1,1),((F74-OFFSET($BM$9,CL74+1,0,1,1))*OFFSET($CH$9,CL74+1,0,1,1))+OFFSET($BO$9,CL74+1,CQ74,1,1),IF(F74&lt;OFFSET($BN$9,CL74+2,0,1,1),((F74-OFFSET($BM$9,CL74+2,0,1,1))*OFFSET($CH$9,CL74+2,0,1,1))+OFFSET($BO$9,CL74+2,CQ74,1,1),IF(F74&lt;OFFSET($BN$9,CL74+3,0,1,1),((F74-OFFSET($BM$9,CL74+3,0,1,1))*OFFSET($CH$9,CL74+3,0,1,1))+OFFSET($BO$9,CL74+3,CQ74,1,1),0))))))</f>
        <v>0</v>
      </c>
      <c r="CT74" s="51">
        <f ca="1">IF($F74&lt;OFFSET($BM$9,$CL74-1,0,1,1),0,IF($F74&lt;OFFSET($BN$9,$CL74-1,0,1,1),IF(AND($H74&gt;2.4,Z74&lt;&gt;"e",Z74&lt;&gt;"f"),CX74*2.4/$H74,CX74),IF($F74&lt;OFFSET($BN$9,$CL74+0,0,1,1),IF(AND($H74&gt;2.4,Z74&lt;&gt;"e",Z74&lt;&gt;"f"),CX74*2.4/$H74,CX74),IF($F74&lt;OFFSET($BN$9,$CL74+1,0,1,1),IF(AND($H74&gt;2.4,Z74&lt;&gt;"e",Z74&lt;&gt;"f"),CX74*2.4/$H74,CX74),IF($F74&lt;OFFSET($BN$9,CL74+2,0,1,1),IF(AND($H74&gt;2.4,Z74&lt;&gt;"e",Z74&lt;&gt;"f"),CX74*2.4/$H74,CX74),IF($F74&lt;OFFSET($BN$9,CL74+3,0,1,1),IF(AND($H74&gt;2.4,Z74&lt;&gt;"e",Z74&lt;&gt;"f"),CX74*2.4/$H74,CX74),0)))))*COS(RADIANS($G74)))</f>
        <v>0</v>
      </c>
      <c r="CU74" s="51">
        <f ca="1">IF(F74&lt;OFFSET($BM$9,CL74-1,0,1,1),0,IF(F74&lt;OFFSET($BN$9,CL74-1,0,1,1),((F74-OFFSET($BM$9,CL74-1,0,1,1))*OFFSET($CI$9,CL74-1,0,1,1))+OFFSET($BP$9,CL74-1,CQ74,1,1),IF(F74&lt;OFFSET($BN$9,CL74+0,0,1,1),((F74-OFFSET($BM$9,CL74+0,0,1,1))*OFFSET($CI$9,CL74+0,0,1,1))+OFFSET($BP$9,CL74+0,CQ74,1,1),IF(F74&lt;OFFSET($BN$9,CL74+1,0,1,1),((F74-OFFSET($BM$9,CL74+1,0,1,1))*OFFSET($CI$9,CL74+1,0,1,1))+OFFSET($BP$9,CL74+1,CQ74,1,1),IF(F74&lt;OFFSET($BN$9,CL74+2,0,1,1),((F74-OFFSET($BM$9,CL74+2,0,1,1))*OFFSET($CI$9,CL74+2,0,1,1))+OFFSET($BP$9,CL74+2,CQ74,1,1),IF(F74&lt;OFFSET($BN$9,CL74+3,0,1,1),((F74-OFFSET($BM$9,CL74+3,0,1,1))*OFFSET($CI$9,CL74+3,0,1,1))+OFFSET($BP$9,CL74+3,CQ74,1,1),0))))))</f>
        <v>0</v>
      </c>
      <c r="CV74" s="51">
        <f ca="1">IF($F74&lt;OFFSET($BM$9,$CL74-1,0,1,1),0,IF($F74&lt;OFFSET($BN$9,$CL74-1,0,1,1),IF(AND($H74&gt;2.4,Z74&lt;&gt;"e",Z74&lt;&gt;"f"),CZ74*2.4/$H74,CZ74),IF($F74&lt;OFFSET($BN$9,$CL74+0,0,1,1),IF(AND($H74&gt;2.4,Z74&lt;&gt;"e",Z74&lt;&gt;"f"),CZ74*2.4/$H74,CZ74),IF($F74&lt;OFFSET($BN$9,$CL74+1,0,1,1),IF(AND($H74&gt;2.4,Z74&lt;&gt;"e",Z74&lt;&gt;"f"),CZ74*2.4/$H74,CZ74),IF($F74&lt;OFFSET($BN$9,$CL74+2,0,1,1),IF(AND($H74&gt;2.4,Z74&lt;&gt;"e",Z74&lt;&gt;"f"),CZ74*2.4/$H74,CZ74),IF($F74&lt;OFFSET($BN$9,$CL74+3,0,1,1),IF(AND($H74&gt;2.4,Z74&lt;&gt;"e",Z74&lt;&gt;"f"),CZ74*2.4/$H74,CZ74),0)))))*COS(RADIANS($G74)))</f>
        <v>0</v>
      </c>
      <c r="CW74" s="51">
        <f ca="1">IF(CT74&gt;CR74,CR74,CT74)</f>
        <v>0</v>
      </c>
      <c r="CX74" s="51">
        <f ca="1">IF(CS74&gt;$CR74,$CR74,CS74)</f>
        <v>0</v>
      </c>
      <c r="CY74" s="51">
        <f ca="1">CW74*F74</f>
        <v>0</v>
      </c>
      <c r="CZ74" s="51">
        <f ca="1">IF($CU74&gt;$CR74,$CR74,$CU74)</f>
        <v>0</v>
      </c>
      <c r="DA74" s="51">
        <f ca="1">IF(CV74&gt;CR74,CR74,CV74)</f>
        <v>0</v>
      </c>
      <c r="DB74" s="51">
        <f ca="1">DA74*F74</f>
        <v>0</v>
      </c>
      <c r="DC74" s="993">
        <v>1</v>
      </c>
      <c r="DD74" s="758" t="str">
        <f>IF(OR(D74=BG$12,D74=BG$13),"External",IF(D74=BG$14,"Internal"," "))</f>
        <v xml:space="preserve"> </v>
      </c>
      <c r="DE74" s="51" t="str">
        <f t="shared" ref="DE74:DE78" ca="1" si="36">IF(AND(OFFSET($CH$9,CL74-1,-14,1,1)="I",DD74="External"),BE$66,IF(AND(OFFSET($CH$9,CL74-1,-14,1,1)="M",DD74="Internal"),BE$65,IF(AND(OFFSET($CH$9,CL74-1,-14,1,1)="M",DD74=" "),BE$64,IF(AND(OFFSET($CH$9,CL74-1,-14,1,1)="E",DD74="Internal"),BE$62,IF(AND(OFFSET($CH$9,CL74-1,-14,1,1)="E",DD74=" "),BE$61,IF(AND(DF74="Double",E74=$BG$16),BE$67,""))))))</f>
        <v/>
      </c>
      <c r="DF74" s="52" t="str">
        <f t="shared" ref="DF74:DF78" ca="1" si="37">IF(I74=" "," ",OFFSET($BM$9,$CL74-1,11,1,1))</f>
        <v xml:space="preserve"> </v>
      </c>
      <c r="DG74" s="51">
        <f ca="1">IF(F74&lt;OFFSET($BM$9,CN74-1,0,1,1),0,IF(F74&lt;OFFSET($BN$9,CN74-1,0,1,1),((F74-OFFSET($BM$9,CN74-1,0,1,1))*OFFSET($CH$9,CN74-1,0,1,1))+OFFSET($BO$9,CN74-1,CQ74,1,1),IF(F74&lt;OFFSET($BN$9,CN74+0,0,1,1),((F74-OFFSET($BM$9,CN74+0,0,1,1))*OFFSET($CH$9,CN74+0,0,1,1))+OFFSET($BO$9,CN74+0,CQ74,1,1),IF(F74&lt;OFFSET($BN$9,CN74+1,0,1,1),((F74-OFFSET($BM$9,CN74+1,0,1,1))*OFFSET($CH$9,CN74+1,0,1,1))+OFFSET($BO$9,CN74+1,CQ74,1,1),IF(F74&lt;OFFSET($BN$9,CN74+2,0,1,1),((F74-OFFSET($BM$9,CN74+2,0,1,1))*OFFSET($CH$9,CN74+2,0,1,1))+OFFSET($BO$9,CN74+2,CQ74,1,1),IF(F74&lt;OFFSET($BN$9,CN74+3,0,1,1),((F74-OFFSET($BM$9,CN74+3,0,1,1))*OFFSET($CH$9,CN74+3,0,1,1))+OFFSET($BO$9,CN74+3,CQ74,1,1),0))))))</f>
        <v>0</v>
      </c>
      <c r="DH74" s="51">
        <f ca="1">IF($F74&lt;OFFSET($BM$9,$CN74-1,0,1,1),0,IF($F74&lt;OFFSET($BN$9,$CN74-1,0,1,1),IF(AND($H74&gt;2.4,Z74&lt;&gt;"e",Z74&lt;&gt;"f"),DL74*2.4/$H74,DL74),IF($F74&lt;OFFSET($BN$9,$CN74+0,0,1,1),IF(AND($H74&gt;2.4,Z74&lt;&gt;"e",Z74&lt;&gt;"f"),DL74*2.4/$H74,DL74),IF($F74&lt;OFFSET($BN$9,$CN74+1,0,1,1),IF(AND($H74&gt;2.4,Z74&lt;&gt;"e",Z74&lt;&gt;"f"),DL74*2.4/$H74,DL74),IF($F74&lt;OFFSET($BN$9,$CN74+2,0,1,1),IF(AND($H74&gt;2.4,Z74&lt;&gt;"e",Z74&lt;&gt;"f"),DL74*2.4/$H74,DL74),IF($F74&lt;OFFSET($BN$9,$CN74+3,0,1,1),IF(AND($H74&gt;2.4,Z74&lt;&gt;"e",Z74&lt;&gt;"f"),DL74*2.4/$H74,DL74),0)))))*COS(RADIANS($G74)))</f>
        <v>0</v>
      </c>
      <c r="DI74" s="51">
        <f ca="1">IF(F74&lt;OFFSET($BM$9,CN74-1,0,1,1),0,IF(F74&lt;OFFSET($BN$9,CN74-1,0,1,1),((F74-OFFSET($BM$9,CN74-1,0,1,1))*OFFSET($CI$9,CN74-1,0,1,1))+OFFSET($BP$9,CN74-1,CQ74,1,1),IF(F74&lt;OFFSET($BN$9,CN74+0,0,1,1),((F74-OFFSET($BM$9,CN74+0,0,1,1))*OFFSET($CI$9,CN74+0,0,1,1))+OFFSET($BP$9,CN74+0,CQ74,1,1),IF(F74&lt;OFFSET($BN$9,CN74+1,0,1,1),((F74-OFFSET($BM$9,CN74+1,0,1,1))*OFFSET($CI$9,CN74+1,0,1,1))+OFFSET($BP$9,CN74+1,CQ74,1,1),IF(F74&lt;OFFSET($BN$9,CN74+2,0,1,1),((F74-OFFSET($BM$9,CN74+2,0,1,1))*OFFSET($CI$9,CN74+2,0,1,1))+OFFSET($BP$9,CN74+2,CQ74,1,1),IF(F74&lt;OFFSET($BN$9,CN74+3,0,1,1),((F74-OFFSET($BM$9,CN74+3,0,1,1))*OFFSET($CI$9,CN74+3,0,1,1))+OFFSET($BP$9,CN74+3,CQ74,1,1),0))))))</f>
        <v>0</v>
      </c>
      <c r="DJ74" s="51">
        <f ca="1">IF($F74&lt;OFFSET($BM$9,$CN74-1,0,1,1),0,IF($F74&lt;OFFSET($BN$9,$CN74-1,0,1,1),IF(AND($H74&gt;2.4,Z74&lt;&gt;"e",Z74&lt;&gt;"f"),DN74*2.4/$H74,DN74),IF($F74&lt;OFFSET($BN$9,$CN74+0,0,1,1),IF(AND($H74&gt;2.4,Z74&lt;&gt;"e",Z74&lt;&gt;"f"),DN74*2.4/$H74,DN74),IF($F74&lt;OFFSET($BN$9,$CN74+1,0,1,1),IF(AND($H74&gt;2.4,Z74&lt;&gt;"e",Z74&lt;&gt;"f"),DN74*2.4/$H74,DN74),IF($F74&lt;OFFSET($BN$9,$CN74+2,0,1,1),IF(AND($H74&gt;2.4,Z74&lt;&gt;"e",Z74&lt;&gt;"f"),DN74*2.4/$H74,DN74),IF($F74&lt;OFFSET($BN$9,$CN74+3,0,1,1),IF(AND($H74&gt;2.4,Z74&lt;&gt;"e",Z74&lt;&gt;"f"),DN74*2.4/$H74,DN74),0)))))*COS(RADIANS($G74)))</f>
        <v>0</v>
      </c>
      <c r="DK74" s="51"/>
      <c r="DL74" s="51">
        <f ca="1">IF(DG74&gt;$CR74,$CR74,DG74)</f>
        <v>0</v>
      </c>
      <c r="DM74" s="51"/>
      <c r="DN74" s="51">
        <f ca="1">IF(DI74&gt;$CR74,$CR74,DI74)</f>
        <v>0</v>
      </c>
      <c r="DO74" s="435">
        <f ca="1">IF(DH74&gt;$CR74,$CR74,DH74)</f>
        <v>0</v>
      </c>
      <c r="DP74" s="435">
        <f ca="1">DO74*F74</f>
        <v>0</v>
      </c>
      <c r="DQ74" s="436">
        <f ca="1">IF(DJ74&gt;$CR74,$CR74,DJ74)</f>
        <v>0</v>
      </c>
      <c r="DR74" s="437">
        <f ca="1">DQ74*F74</f>
        <v>0</v>
      </c>
      <c r="DS74" s="426">
        <f ca="1">OFFSET($CH$9,CL74-1,-15,1,1)</f>
        <v>0</v>
      </c>
      <c r="DT74" s="451">
        <f ca="1">VLOOKUP(DS74,Prodlink,2,0)</f>
        <v>0</v>
      </c>
      <c r="DU74" s="188">
        <f ca="1">IF(F74&lt;OFFSET($BM$9,DT74-1,0,1,1),0,IF(F74&lt;OFFSET($BN$9,DT74-1,0,1,1),((F74-OFFSET($BM$9,DT74-1,0,1,1))*OFFSET($CH$9,DT74-1,0,1,1))+OFFSET($BO$9,DT74-1,CQ74,1,1),IF(F74&lt;OFFSET($BN$9,DT74+0,0,1,1),((F74-OFFSET($BM$9,DT74+0,0,1,1))*OFFSET($CH$9,DT74+0,0,1,1))+OFFSET($BO$9,DT74+0,CQ74,1,1),IF(F74&lt;OFFSET($BN$9,DT74+1,0,1,1),((F74-OFFSET($BM$9,DT74+1,0,1,1))*OFFSET($CH$9,DT74+1,0,1,1))+OFFSET($BO$9,DT74+1,CQ74,1,1),IF(F74&lt;OFFSET($BN$9,DT74+2,0,1,1),((F74-OFFSET($BM$9,DT74+2,0,1,1))*OFFSET($CH$9,DT74+2,0,1,1))+OFFSET($BO$9,DT74+2,CQ74,1,1),IF(F74&lt;OFFSET($BN$9,DT74+3,0,1,1),((F74-OFFSET($BM$9,DT74+3,0,1,1))*OFFSET($CH$9,DT74+3,0,1,1))+OFFSET($BO$9,DT74+3,CQ74,1,1),0))))))</f>
        <v>0</v>
      </c>
      <c r="DV74" s="51">
        <f ca="1">IF($F74&lt;OFFSET($BM$9,$DT74-1,0,1,1),0,IF($F74&lt;OFFSET($BN$9,$DT74-1,0,1,1),IF(AND($H74&gt;2.4,Z74&lt;&gt;"e",Z74&lt;&gt;"f"),DZ74*2.4/$H74,DZ74),IF($F74&lt;OFFSET($BN$9,$DT74+0,0,1,1),IF(AND($H74&gt;2.4,Z74&lt;&gt;"e",Z74&lt;&gt;"f"),DZ74*2.4/$H74,DZ74),IF($F74&lt;OFFSET($BN$9,$DT74+1,0,1,1),IF(AND($H74&gt;2.4,Z74&lt;&gt;"e",Z74&lt;&gt;"f"),DZ74*2.4/$H74,DZ74),IF($F74&lt;OFFSET($BN$9,$DT74+2,0,1,1),IF(AND($H74&gt;2.4,Z74&lt;&gt;"e",Z74&lt;&gt;"f"),DZ74*2.4/$H74,DZ74),IF($F74&lt;OFFSET($BN$9,$DT74+3,0,1,1),IF(AND($H74&gt;2.4,Z74&lt;&gt;"e",Z74&lt;&gt;"f"),DZ74*2.4/$H74,DZ74),0)))))*COS(RADIANS($G74)))</f>
        <v>0</v>
      </c>
      <c r="DW74" s="188">
        <f ca="1">IF(F74&lt;OFFSET($BM$9,DT74-1,0,1,1),0,IF(F74&lt;OFFSET($BN$9,DT74-1,0,1,1),((F74-OFFSET($BM$9,DT74-1,0,1,1))*OFFSET($CI$9,DT74-1,0,1,1))+OFFSET($BP$9,DT74-1,CQ74,1,1),IF(F74&lt;OFFSET($BN$9,DT74+0,0,1,1),((F74-OFFSET($BM$9,DT74+0,0,1,1))*OFFSET($CI$9,DT74+0,0,1,1))+OFFSET($BP$9,DT74+0,CQ74,1,1),IF(F74&lt;OFFSET($BN$9,DT74+1,0,1,1),((F74-OFFSET($BM$9,DT74+1,0,1,1))*OFFSET($CI$9,DT74+1,0,1,1))+OFFSET($BP$9,DT74+1,CQ74,1,1),IF(F74&lt;OFFSET($BN$9,DT74+2,0,1,1),((F74-OFFSET($BM$9,DT74+2,0,1,1))*OFFSET($CI$9,DT74+2,0,1,1))+OFFSET($BP$9,DT74+2,CQ74,1,1),IF(F74&lt;OFFSET($BN$9,DT74+3,0,1,1),((F74-OFFSET($BM$9,DT74+3,0,1,1))*OFFSET($CI$9,DT74+3,0,1,1))+OFFSET($BP$9,DT74+3,CQ74,1,1),0))))))</f>
        <v>0</v>
      </c>
      <c r="DX74" s="51">
        <f ca="1">IF($F74&lt;OFFSET($BM$9,$DT74-1,0,1,1),0,IF($F74&lt;OFFSET($BN$9,$DT74-1,0,1,1),IF(AND($H74&gt;2.4,Z74&lt;&gt;"e",Z74&lt;&gt;"f"),EB74*2.4/$H74,EB74),IF($F74&lt;OFFSET($BN$9,$DT74+0,0,1,1),IF(AND($H74&gt;2.4,Z74&lt;&gt;"e",Z74&lt;&gt;"f"),EB74*2.4/$H74,EB74),IF($F74&lt;OFFSET($BN$9,$DT74+1,0,1,1),IF(AND($H74&gt;2.4,Z74&lt;&gt;"e",Z74&lt;&gt;"f"),EB74*2.4/$H74,EB74),IF($F74&lt;OFFSET($BN$9,$DT74+2,0,1,1),IF(AND($H74&gt;2.4,Z74&lt;&gt;"e",Z74&lt;&gt;"f"),EB74*2.4/$H74,EB74),IF($F74&lt;OFFSET($BN$9,$DT74+3,0,1,1),IF(AND($H74&gt;2.4,Z74&lt;&gt;"e",Z74&lt;&gt;"f"),EB74*2.4/$H74,EB74),0)))))*COS(RADIANS($G74)))</f>
        <v>0</v>
      </c>
      <c r="DY74" s="188"/>
      <c r="DZ74" s="188">
        <f ca="1">IF(DU74&gt;$CR74,$CR74,DU74)</f>
        <v>0</v>
      </c>
      <c r="EA74" s="188"/>
      <c r="EB74" s="188">
        <f ca="1">IF(DW74&gt;$CR74,$CR74,DW74)</f>
        <v>0</v>
      </c>
      <c r="EC74" s="435">
        <f ca="1">IF(DV74&gt;$CR74,$CR74,DV74)</f>
        <v>0</v>
      </c>
      <c r="ED74" s="435">
        <f ca="1">EC74*F74</f>
        <v>0</v>
      </c>
      <c r="EE74" s="436">
        <f ca="1">IF(DX74&gt;$CR74,$CR74,DX74)</f>
        <v>0</v>
      </c>
      <c r="EF74" s="437">
        <f ca="1">EE74*F74</f>
        <v>0</v>
      </c>
      <c r="EG74" s="613" t="str">
        <f>IF(D74=BG$12,BG$12,"")</f>
        <v/>
      </c>
      <c r="EH74" s="614" t="str">
        <f>IF(D74=BG$13,BG$13,"")</f>
        <v/>
      </c>
      <c r="EI74" s="611">
        <f>IF(EG74=BG$12,M74,0)</f>
        <v>0</v>
      </c>
      <c r="EJ74" s="451">
        <f>IF(EG74=BG$12,O74,0)</f>
        <v>0</v>
      </c>
      <c r="EK74" s="451">
        <f>IF(EH74=BG$13,M74,0)</f>
        <v>0</v>
      </c>
      <c r="EL74" s="612">
        <f>IF(EH74=BG$13,O74,0)</f>
        <v>0</v>
      </c>
      <c r="EM74" s="426" t="str">
        <f ca="1">IF(AND(Z74&lt;&gt;"t",Z74&lt;&gt;"f"),"",IF(AND(EN74=$BH$13,K74=$BH$12),"NotOpt",IF(K74&lt;&gt;EN74,"Error","")))</f>
        <v/>
      </c>
      <c r="EN74" s="491" t="str">
        <f>IF(AND($BH$28=1,$BG$28=1),$BH$13,$BH$12)</f>
        <v>120 BU's</v>
      </c>
      <c r="EO74" s="426" t="str">
        <f>K74</f>
        <v xml:space="preserve"> </v>
      </c>
      <c r="EP74" s="497">
        <v>1</v>
      </c>
      <c r="EQ74" s="430" t="str">
        <f ca="1">IF(EP74=1," ",OFFSET(BF$15,EP74-2,0,1,1))</f>
        <v xml:space="preserve"> </v>
      </c>
      <c r="ER74" s="439" t="str">
        <f ca="1">IF(H74=0," ",H74)</f>
        <v xml:space="preserve"> </v>
      </c>
      <c r="ES74" s="440" t="str">
        <f ca="1">IF(ER74&lt;&gt;" ",IF(ER74&lt;&gt;ER$7,"Changed",""),"")</f>
        <v/>
      </c>
      <c r="ET74" s="440">
        <f ca="1">IF(ER74&lt;&gt;" ",IF(ER74&lt;&gt;ER$7,1,0),0)</f>
        <v>0</v>
      </c>
      <c r="EU74" s="957"/>
      <c r="EW74" s="427"/>
      <c r="EX74"/>
    </row>
    <row r="75" spans="1:154" ht="17.100000000000001" hidden="1" customHeight="1">
      <c r="A75" s="2685"/>
      <c r="B75" s="689" t="s">
        <v>246</v>
      </c>
      <c r="C75" s="684" t="str">
        <f>IF(OR(F75=0,I75="",I75=" ")," ",$V75)</f>
        <v xml:space="preserve"> </v>
      </c>
      <c r="D75" s="1033"/>
      <c r="E75" s="1360" t="s">
        <v>8</v>
      </c>
      <c r="F75" s="202"/>
      <c r="G75" s="1416"/>
      <c r="H75" s="199" t="str">
        <f ca="1">IF(OR(F75=0,Z75="E",Z75="f")," ",'Project Demand'!E$35)</f>
        <v xml:space="preserve"> </v>
      </c>
      <c r="I75" s="631" t="str">
        <f>IF($I$6&lt;&gt;$BG$8," ",AB75)</f>
        <v xml:space="preserve"> </v>
      </c>
      <c r="J75" s="44" t="str">
        <f ca="1">IF(OR(I75=" ",I75="")," ",OFFSET($BO$9,CL75-1,0-4,1,1))</f>
        <v xml:space="preserve"> </v>
      </c>
      <c r="K75" s="55" t="str">
        <f>IF(OR(I75=" ",I75="")," ",IF(OR(Z75="e",Z75="h"),"SD",BG$24))</f>
        <v xml:space="preserve"> </v>
      </c>
      <c r="L75" s="49">
        <f ca="1">CW75</f>
        <v>0</v>
      </c>
      <c r="M75" s="49">
        <f ca="1">CY75</f>
        <v>0</v>
      </c>
      <c r="N75" s="50">
        <f t="shared" ca="1" si="35"/>
        <v>0</v>
      </c>
      <c r="O75" s="126">
        <f t="shared" ca="1" si="35"/>
        <v>0</v>
      </c>
      <c r="P75" s="140"/>
      <c r="Q75" s="752" t="str">
        <f ca="1">IF(OR(I75=" ",I75="")," ",IF(F75&lt;OFFSET($BM$9,CL75-1,0,1,1),"check L(m)",IF(DE75&lt;&gt;"",DE75,IF(AND(DP75&gt;=CY75,DR75&gt;=DB75),IF(AND(ED75&gt;=DP75,EF75&gt;=DR75),CONCATENATE(DS75," provides same results"),CONCATENATE(CO75," provides same results")),IF((DP75&gt;=CY75),CONCATENATE(CO75," provides same result in WIND"),IF((DR75&gt;=DB75),CONCATENATE(CO75," provides same result in EQ",""),""))))))</f>
        <v xml:space="preserve"> </v>
      </c>
      <c r="R75" s="52"/>
      <c r="S75" s="1372"/>
      <c r="T75" s="1372"/>
      <c r="U75" s="1377"/>
      <c r="V75" s="52" t="str">
        <f ca="1">IF(AND(B$5=$BF$9,OR(I75=BH$16,I75=BH$17))," ",IF(ISNUMBER(B$74),(CONCATENATE(B$74,".",W75)),(CONCATENATE(B$74,W75))))</f>
        <v>X0</v>
      </c>
      <c r="W75" s="9">
        <f ca="1">W74+X75</f>
        <v>0</v>
      </c>
      <c r="X75" s="9">
        <f>IF(AND(B$5=$BF$9,OR($I75=$BH$16,$I75=$BH$17,$I75=" ",$I75="",$F75=0)),0,IF(OR($I75=" ",$I75="",$F75=0),0,1))</f>
        <v>0</v>
      </c>
      <c r="Y75" s="896"/>
      <c r="Z75" s="52" t="str">
        <f ca="1">IF(I75=" "," ",OFFSET($BM$9,$CL75-1,8,1,1))</f>
        <v xml:space="preserve"> </v>
      </c>
      <c r="AA75" s="51" t="str">
        <f>IF(G75&gt;=45,"WA","")</f>
        <v/>
      </c>
      <c r="AB75" s="1364" t="str">
        <f>IF(F75&lt;&gt;"",IF(OR(D75=$BG$12,D75=$BG$13),IF(E75&lt;&gt;$BG$17,$BF$12,$BF$13),IF(E75&lt;&gt;$BG$17,$BF$12,$BF$13))," ")</f>
        <v xml:space="preserve"> </v>
      </c>
      <c r="AC75" s="1"/>
      <c r="BD75" s="652"/>
      <c r="BI75" s="759"/>
      <c r="BJ75" s="897">
        <f t="shared" si="28"/>
        <v>67</v>
      </c>
      <c r="BK75" s="764"/>
      <c r="BL75" s="773"/>
      <c r="BM75" s="455">
        <f>Table!P17</f>
        <v>0.6</v>
      </c>
      <c r="BN75" s="455">
        <f>BM76</f>
        <v>0.8</v>
      </c>
      <c r="BO75" s="455">
        <f>Table!Q17</f>
        <v>120</v>
      </c>
      <c r="BP75" s="925">
        <f>Table!R17</f>
        <v>130</v>
      </c>
      <c r="BR75" s="764"/>
      <c r="BS75" s="455"/>
      <c r="BT75" s="455"/>
      <c r="BU75" s="925" t="s">
        <v>242</v>
      </c>
      <c r="BV75" s="895"/>
      <c r="BW75" s="912"/>
      <c r="BX75" s="925" t="str">
        <f>Table!T17</f>
        <v>Double</v>
      </c>
      <c r="CH75" s="764">
        <f>IF(BN75=999,0,(BO76-BO75)/(BN75-BM75))</f>
        <v>99.999999999999972</v>
      </c>
      <c r="CI75" s="925">
        <f>IF(BN75=999,0,(BP76-BP75)/(BN75-BM75))</f>
        <v>49.999999999999986</v>
      </c>
      <c r="CJ75" s="759"/>
      <c r="CK75" s="188"/>
      <c r="CL75" s="979">
        <f>VLOOKUP(I75,Prodlink,2,0)</f>
        <v>0</v>
      </c>
      <c r="CN75" s="497">
        <f ca="1">VLOOKUP(CO75,Prodlink,2,0)</f>
        <v>0</v>
      </c>
      <c r="CO75" s="497">
        <f ca="1">OFFSET($CH$9,CL75-1,-15,1,1)</f>
        <v>0</v>
      </c>
      <c r="CQ75" s="51">
        <v>0</v>
      </c>
      <c r="CR75" s="51">
        <f>IF(K75=$BH$12,$BH$23,IF(K75=$BH$13,$BH$24,10000))</f>
        <v>10000</v>
      </c>
      <c r="CS75" s="51">
        <f ca="1">IF(F75&lt;OFFSET($BM$9,CL75-1,0,1,1),0,IF(F75&lt;OFFSET($BN$9,CL75-1,0,1,1),((F75-OFFSET($BM$9,CL75-1,0,1,1))*OFFSET($CH$9,CL75-1,0,1,1))+OFFSET($BO$9,CL75-1,CQ75,1,1),IF(F75&lt;OFFSET($BN$9,CL75+0,0,1,1),((F75-OFFSET($BM$9,CL75+0,0,1,1))*OFFSET($CH$9,CL75+0,0,1,1))+OFFSET($BO$9,CL75+0,CQ75,1,1),IF(F75&lt;OFFSET($BN$9,CL75+1,0,1,1),((F75-OFFSET($BM$9,CL75+1,0,1,1))*OFFSET($CH$9,CL75+1,0,1,1))+OFFSET($BO$9,CL75+1,CQ75,1,1),IF(F75&lt;OFFSET($BN$9,CL75+2,0,1,1),((F75-OFFSET($BM$9,CL75+2,0,1,1))*OFFSET($CH$9,CL75+2,0,1,1))+OFFSET($BO$9,CL75+2,CQ75,1,1),IF(F75&lt;OFFSET($BN$9,CL75+3,0,1,1),((F75-OFFSET($BM$9,CL75+3,0,1,1))*OFFSET($CH$9,CL75+3,0,1,1))+OFFSET($BO$9,CL75+3,CQ75,1,1),0))))))</f>
        <v>0</v>
      </c>
      <c r="CT75" s="51">
        <f ca="1">IF($F75&lt;OFFSET($BM$9,$CL75-1,0,1,1),0,IF($F75&lt;OFFSET($BN$9,$CL75-1,0,1,1),IF(AND($H75&gt;2.4,Z75&lt;&gt;"e",Z75&lt;&gt;"f"),CX75*2.4/$H75,CX75),IF($F75&lt;OFFSET($BN$9,$CL75+0,0,1,1),IF(AND($H75&gt;2.4,Z75&lt;&gt;"e",Z75&lt;&gt;"f"),CX75*2.4/$H75,CX75),IF($F75&lt;OFFSET($BN$9,$CL75+1,0,1,1),IF(AND($H75&gt;2.4,Z75&lt;&gt;"e",Z75&lt;&gt;"f"),CX75*2.4/$H75,CX75),IF($F75&lt;OFFSET($BN$9,CL75+2,0,1,1),IF(AND($H75&gt;2.4,Z75&lt;&gt;"e",Z75&lt;&gt;"f"),CX75*2.4/$H75,CX75),IF($F75&lt;OFFSET($BN$9,CL75+3,0,1,1),IF(AND($H75&gt;2.4,Z75&lt;&gt;"e",Z75&lt;&gt;"f"),CX75*2.4/$H75,CX75),0)))))*COS(RADIANS($G75)))</f>
        <v>0</v>
      </c>
      <c r="CU75" s="51">
        <f ca="1">IF(F75&lt;OFFSET($BM$9,CL75-1,0,1,1),0,IF(F75&lt;OFFSET($BN$9,CL75-1,0,1,1),((F75-OFFSET($BM$9,CL75-1,0,1,1))*OFFSET($CI$9,CL75-1,0,1,1))+OFFSET($BP$9,CL75-1,CQ75,1,1),IF(F75&lt;OFFSET($BN$9,CL75+0,0,1,1),((F75-OFFSET($BM$9,CL75+0,0,1,1))*OFFSET($CI$9,CL75+0,0,1,1))+OFFSET($BP$9,CL75+0,CQ75,1,1),IF(F75&lt;OFFSET($BN$9,CL75+1,0,1,1),((F75-OFFSET($BM$9,CL75+1,0,1,1))*OFFSET($CI$9,CL75+1,0,1,1))+OFFSET($BP$9,CL75+1,CQ75,1,1),IF(F75&lt;OFFSET($BN$9,CL75+2,0,1,1),((F75-OFFSET($BM$9,CL75+2,0,1,1))*OFFSET($CI$9,CL75+2,0,1,1))+OFFSET($BP$9,CL75+2,CQ75,1,1),IF(F75&lt;OFFSET($BN$9,CL75+3,0,1,1),((F75-OFFSET($BM$9,CL75+3,0,1,1))*OFFSET($CI$9,CL75+3,0,1,1))+OFFSET($BP$9,CL75+3,CQ75,1,1),0))))))</f>
        <v>0</v>
      </c>
      <c r="CV75" s="51">
        <f ca="1">IF($F75&lt;OFFSET($BM$9,$CL75-1,0,1,1),0,IF($F75&lt;OFFSET($BN$9,$CL75-1,0,1,1),IF(AND($H75&gt;2.4,Z75&lt;&gt;"e",Z75&lt;&gt;"f"),CZ75*2.4/$H75,CZ75),IF($F75&lt;OFFSET($BN$9,$CL75+0,0,1,1),IF(AND($H75&gt;2.4,Z75&lt;&gt;"e",Z75&lt;&gt;"f"),CZ75*2.4/$H75,CZ75),IF($F75&lt;OFFSET($BN$9,$CL75+1,0,1,1),IF(AND($H75&gt;2.4,Z75&lt;&gt;"e",Z75&lt;&gt;"f"),CZ75*2.4/$H75,CZ75),IF($F75&lt;OFFSET($BN$9,$CL75+2,0,1,1),IF(AND($H75&gt;2.4,Z75&lt;&gt;"e",Z75&lt;&gt;"f"),CZ75*2.4/$H75,CZ75),IF($F75&lt;OFFSET($BN$9,$CL75+3,0,1,1),IF(AND($H75&gt;2.4,Z75&lt;&gt;"e",Z75&lt;&gt;"f"),CZ75*2.4/$H75,CZ75),0)))))*COS(RADIANS($G75)))</f>
        <v>0</v>
      </c>
      <c r="CW75" s="51">
        <f ca="1">IF(CT75&gt;CR75,CR75,CT75)</f>
        <v>0</v>
      </c>
      <c r="CX75" s="51">
        <f ca="1">IF(CS75&gt;$CR75,$CR75,CS75)</f>
        <v>0</v>
      </c>
      <c r="CY75" s="51">
        <f ca="1">CW75*F75</f>
        <v>0</v>
      </c>
      <c r="CZ75" s="51">
        <f ca="1">IF($CU75&gt;$CR75,$CR75,$CU75)</f>
        <v>0</v>
      </c>
      <c r="DA75" s="51">
        <f ca="1">IF(CV75&gt;CR75,CR75,CV75)</f>
        <v>0</v>
      </c>
      <c r="DB75" s="51">
        <f ca="1">DA75*F75</f>
        <v>0</v>
      </c>
      <c r="DC75" s="993">
        <v>1</v>
      </c>
      <c r="DD75" s="758" t="str">
        <f>IF(OR(D75=BG$12,D75=BG$13),"External",IF(D75=BG$14,"Internal"," "))</f>
        <v xml:space="preserve"> </v>
      </c>
      <c r="DE75" s="51" t="str">
        <f t="shared" ca="1" si="36"/>
        <v/>
      </c>
      <c r="DF75" s="52" t="str">
        <f t="shared" ca="1" si="37"/>
        <v xml:space="preserve"> </v>
      </c>
      <c r="DG75" s="51">
        <f ca="1">IF(F75&lt;OFFSET($BM$9,CN75-1,0,1,1),0,IF(F75&lt;OFFSET($BN$9,CN75-1,0,1,1),((F75-OFFSET($BM$9,CN75-1,0,1,1))*OFFSET($CH$9,CN75-1,0,1,1))+OFFSET($BO$9,CN75-1,CQ75,1,1),IF(F75&lt;OFFSET($BN$9,CN75+0,0,1,1),((F75-OFFSET($BM$9,CN75+0,0,1,1))*OFFSET($CH$9,CN75+0,0,1,1))+OFFSET($BO$9,CN75+0,CQ75,1,1),IF(F75&lt;OFFSET($BN$9,CN75+1,0,1,1),((F75-OFFSET($BM$9,CN75+1,0,1,1))*OFFSET($CH$9,CN75+1,0,1,1))+OFFSET($BO$9,CN75+1,CQ75,1,1),IF(F75&lt;OFFSET($BN$9,CN75+2,0,1,1),((F75-OFFSET($BM$9,CN75+2,0,1,1))*OFFSET($CH$9,CN75+2,0,1,1))+OFFSET($BO$9,CN75+2,CQ75,1,1),IF(F75&lt;OFFSET($BN$9,CN75+3,0,1,1),((F75-OFFSET($BM$9,CN75+3,0,1,1))*OFFSET($CH$9,CN75+3,0,1,1))+OFFSET($BO$9,CN75+3,CQ75,1,1),0))))))</f>
        <v>0</v>
      </c>
      <c r="DH75" s="51">
        <f ca="1">IF($F75&lt;OFFSET($BM$9,$CN75-1,0,1,1),0,IF($F75&lt;OFFSET($BN$9,$CN75-1,0,1,1),IF(AND($H75&gt;2.4,Z75&lt;&gt;"e",Z75&lt;&gt;"f"),DL75*2.4/$H75,DL75),IF($F75&lt;OFFSET($BN$9,$CN75+0,0,1,1),IF(AND($H75&gt;2.4,Z75&lt;&gt;"e",Z75&lt;&gt;"f"),DL75*2.4/$H75,DL75),IF($F75&lt;OFFSET($BN$9,$CN75+1,0,1,1),IF(AND($H75&gt;2.4,Z75&lt;&gt;"e",Z75&lt;&gt;"f"),DL75*2.4/$H75,DL75),IF($F75&lt;OFFSET($BN$9,$CN75+2,0,1,1),IF(AND($H75&gt;2.4,Z75&lt;&gt;"e",Z75&lt;&gt;"f"),DL75*2.4/$H75,DL75),IF($F75&lt;OFFSET($BN$9,$CN75+3,0,1,1),IF(AND($H75&gt;2.4,Z75&lt;&gt;"e",Z75&lt;&gt;"f"),DL75*2.4/$H75,DL75),0)))))*COS(RADIANS($G75)))</f>
        <v>0</v>
      </c>
      <c r="DI75" s="51">
        <f ca="1">IF(F75&lt;OFFSET($BM$9,CN75-1,0,1,1),0,IF(F75&lt;OFFSET($BN$9,CN75-1,0,1,1),((F75-OFFSET($BM$9,CN75-1,0,1,1))*OFFSET($CI$9,CN75-1,0,1,1))+OFFSET($BP$9,CN75-1,CQ75,1,1),IF(F75&lt;OFFSET($BN$9,CN75+0,0,1,1),((F75-OFFSET($BM$9,CN75+0,0,1,1))*OFFSET($CI$9,CN75+0,0,1,1))+OFFSET($BP$9,CN75+0,CQ75,1,1),IF(F75&lt;OFFSET($BN$9,CN75+1,0,1,1),((F75-OFFSET($BM$9,CN75+1,0,1,1))*OFFSET($CI$9,CN75+1,0,1,1))+OFFSET($BP$9,CN75+1,CQ75,1,1),IF(F75&lt;OFFSET($BN$9,CN75+2,0,1,1),((F75-OFFSET($BM$9,CN75+2,0,1,1))*OFFSET($CI$9,CN75+2,0,1,1))+OFFSET($BP$9,CN75+2,CQ75,1,1),IF(F75&lt;OFFSET($BN$9,CN75+3,0,1,1),((F75-OFFSET($BM$9,CN75+3,0,1,1))*OFFSET($CI$9,CN75+3,0,1,1))+OFFSET($BP$9,CN75+3,CQ75,1,1),0))))))</f>
        <v>0</v>
      </c>
      <c r="DJ75" s="51">
        <f ca="1">IF($F75&lt;OFFSET($BM$9,$CN75-1,0,1,1),0,IF($F75&lt;OFFSET($BN$9,$CN75-1,0,1,1),IF(AND($H75&gt;2.4,Z75&lt;&gt;"e",Z75&lt;&gt;"f"),DN75*2.4/$H75,DN75),IF($F75&lt;OFFSET($BN$9,$CN75+0,0,1,1),IF(AND($H75&gt;2.4,Z75&lt;&gt;"e",Z75&lt;&gt;"f"),DN75*2.4/$H75,DN75),IF($F75&lt;OFFSET($BN$9,$CN75+1,0,1,1),IF(AND($H75&gt;2.4,Z75&lt;&gt;"e",Z75&lt;&gt;"f"),DN75*2.4/$H75,DN75),IF($F75&lt;OFFSET($BN$9,$CN75+2,0,1,1),IF(AND($H75&gt;2.4,Z75&lt;&gt;"e",Z75&lt;&gt;"f"),DN75*2.4/$H75,DN75),IF($F75&lt;OFFSET($BN$9,$CN75+3,0,1,1),IF(AND($H75&gt;2.4,Z75&lt;&gt;"e",Z75&lt;&gt;"f"),DN75*2.4/$H75,DN75),0)))))*COS(RADIANS($G75)))</f>
        <v>0</v>
      </c>
      <c r="DK75" s="51"/>
      <c r="DL75" s="51">
        <f ca="1">IF(DG75&gt;$CR75,$CR75,DG75)</f>
        <v>0</v>
      </c>
      <c r="DM75" s="51"/>
      <c r="DN75" s="51">
        <f ca="1">IF(DI75&gt;$CR75,$CR75,DI75)</f>
        <v>0</v>
      </c>
      <c r="DO75" s="435">
        <f ca="1">IF(DH75&gt;$CR75,$CR75,DH75)</f>
        <v>0</v>
      </c>
      <c r="DP75" s="435">
        <f ca="1">DO75*F75</f>
        <v>0</v>
      </c>
      <c r="DQ75" s="436">
        <f ca="1">IF(DJ75&gt;$CR75,$CR75,DJ75)</f>
        <v>0</v>
      </c>
      <c r="DR75" s="437">
        <f ca="1">DQ75*F75</f>
        <v>0</v>
      </c>
      <c r="DS75" s="426">
        <f ca="1">OFFSET($CH$9,CL75-1,-15,1,1)</f>
        <v>0</v>
      </c>
      <c r="DT75" s="451">
        <f ca="1">VLOOKUP(DS75,Prodlink,2,0)</f>
        <v>0</v>
      </c>
      <c r="DU75" s="188">
        <f ca="1">IF(F75&lt;OFFSET($BM$9,DT75-1,0,1,1),0,IF(F75&lt;OFFSET($BN$9,DT75-1,0,1,1),((F75-OFFSET($BM$9,DT75-1,0,1,1))*OFFSET($CH$9,DT75-1,0,1,1))+OFFSET($BO$9,DT75-1,CQ75,1,1),IF(F75&lt;OFFSET($BN$9,DT75+0,0,1,1),((F75-OFFSET($BM$9,DT75+0,0,1,1))*OFFSET($CH$9,DT75+0,0,1,1))+OFFSET($BO$9,DT75+0,CQ75,1,1),IF(F75&lt;OFFSET($BN$9,DT75+1,0,1,1),((F75-OFFSET($BM$9,DT75+1,0,1,1))*OFFSET($CH$9,DT75+1,0,1,1))+OFFSET($BO$9,DT75+1,CQ75,1,1),IF(F75&lt;OFFSET($BN$9,DT75+2,0,1,1),((F75-OFFSET($BM$9,DT75+2,0,1,1))*OFFSET($CH$9,DT75+2,0,1,1))+OFFSET($BO$9,DT75+2,CQ75,1,1),IF(F75&lt;OFFSET($BN$9,DT75+3,0,1,1),((F75-OFFSET($BM$9,DT75+3,0,1,1))*OFFSET($CH$9,DT75+3,0,1,1))+OFFSET($BO$9,DT75+3,CQ75,1,1),0))))))</f>
        <v>0</v>
      </c>
      <c r="DV75" s="51">
        <f ca="1">IF($F75&lt;OFFSET($BM$9,$DT75-1,0,1,1),0,IF($F75&lt;OFFSET($BN$9,$DT75-1,0,1,1),IF(AND($H75&gt;2.4,Z75&lt;&gt;"e",Z75&lt;&gt;"f"),DZ75*2.4/$H75,DZ75),IF($F75&lt;OFFSET($BN$9,$DT75+0,0,1,1),IF(AND($H75&gt;2.4,Z75&lt;&gt;"e",Z75&lt;&gt;"f"),DZ75*2.4/$H75,DZ75),IF($F75&lt;OFFSET($BN$9,$DT75+1,0,1,1),IF(AND($H75&gt;2.4,Z75&lt;&gt;"e",Z75&lt;&gt;"f"),DZ75*2.4/$H75,DZ75),IF($F75&lt;OFFSET($BN$9,$DT75+2,0,1,1),IF(AND($H75&gt;2.4,Z75&lt;&gt;"e",Z75&lt;&gt;"f"),DZ75*2.4/$H75,DZ75),IF($F75&lt;OFFSET($BN$9,$DT75+3,0,1,1),IF(AND($H75&gt;2.4,Z75&lt;&gt;"e",Z75&lt;&gt;"f"),DZ75*2.4/$H75,DZ75),0)))))*COS(RADIANS($G75)))</f>
        <v>0</v>
      </c>
      <c r="DW75" s="188">
        <f ca="1">IF(F75&lt;OFFSET($BM$9,DT75-1,0,1,1),0,IF(F75&lt;OFFSET($BN$9,DT75-1,0,1,1),((F75-OFFSET($BM$9,DT75-1,0,1,1))*OFFSET($CI$9,DT75-1,0,1,1))+OFFSET($BP$9,DT75-1,CQ75,1,1),IF(F75&lt;OFFSET($BN$9,DT75+0,0,1,1),((F75-OFFSET($BM$9,DT75+0,0,1,1))*OFFSET($CI$9,DT75+0,0,1,1))+OFFSET($BP$9,DT75+0,CQ75,1,1),IF(F75&lt;OFFSET($BN$9,DT75+1,0,1,1),((F75-OFFSET($BM$9,DT75+1,0,1,1))*OFFSET($CI$9,DT75+1,0,1,1))+OFFSET($BP$9,DT75+1,CQ75,1,1),IF(F75&lt;OFFSET($BN$9,DT75+2,0,1,1),((F75-OFFSET($BM$9,DT75+2,0,1,1))*OFFSET($CI$9,DT75+2,0,1,1))+OFFSET($BP$9,DT75+2,CQ75,1,1),IF(F75&lt;OFFSET($BN$9,DT75+3,0,1,1),((F75-OFFSET($BM$9,DT75+3,0,1,1))*OFFSET($CI$9,DT75+3,0,1,1))+OFFSET($BP$9,DT75+3,CQ75,1,1),0))))))</f>
        <v>0</v>
      </c>
      <c r="DX75" s="51">
        <f ca="1">IF($F75&lt;OFFSET($BM$9,$DT75-1,0,1,1),0,IF($F75&lt;OFFSET($BN$9,$DT75-1,0,1,1),IF(AND($H75&gt;2.4,Z75&lt;&gt;"e",Z75&lt;&gt;"f"),EB75*2.4/$H75,EB75),IF($F75&lt;OFFSET($BN$9,$DT75+0,0,1,1),IF(AND($H75&gt;2.4,Z75&lt;&gt;"e",Z75&lt;&gt;"f"),EB75*2.4/$H75,EB75),IF($F75&lt;OFFSET($BN$9,$DT75+1,0,1,1),IF(AND($H75&gt;2.4,Z75&lt;&gt;"e",Z75&lt;&gt;"f"),EB75*2.4/$H75,EB75),IF($F75&lt;OFFSET($BN$9,$DT75+2,0,1,1),IF(AND($H75&gt;2.4,Z75&lt;&gt;"e",Z75&lt;&gt;"f"),EB75*2.4/$H75,EB75),IF($F75&lt;OFFSET($BN$9,$DT75+3,0,1,1),IF(AND($H75&gt;2.4,Z75&lt;&gt;"e",Z75&lt;&gt;"f"),EB75*2.4/$H75,EB75),0)))))*COS(RADIANS($G75)))</f>
        <v>0</v>
      </c>
      <c r="DY75" s="188"/>
      <c r="DZ75" s="188">
        <f ca="1">IF(DU75&gt;$CR75,$CR75,DU75)</f>
        <v>0</v>
      </c>
      <c r="EA75" s="188"/>
      <c r="EB75" s="188">
        <f ca="1">IF(DW75&gt;$CR75,$CR75,DW75)</f>
        <v>0</v>
      </c>
      <c r="EC75" s="435">
        <f ca="1">IF(DV75&gt;$CR75,$CR75,DV75)</f>
        <v>0</v>
      </c>
      <c r="ED75" s="435">
        <f ca="1">EC75*F75</f>
        <v>0</v>
      </c>
      <c r="EE75" s="436">
        <f ca="1">IF(DX75&gt;$CR75,$CR75,DX75)</f>
        <v>0</v>
      </c>
      <c r="EF75" s="437">
        <f ca="1">EE75*F75</f>
        <v>0</v>
      </c>
      <c r="EG75" s="613" t="str">
        <f>IF(D75=BG$12,BG$12,"")</f>
        <v/>
      </c>
      <c r="EH75" s="614" t="str">
        <f>IF(D75=BG$13,BG$13,"")</f>
        <v/>
      </c>
      <c r="EI75" s="611">
        <f>IF(EG75=BG$12,M75,0)</f>
        <v>0</v>
      </c>
      <c r="EJ75" s="451">
        <f>IF(EG75=BG$12,O75,0)</f>
        <v>0</v>
      </c>
      <c r="EK75" s="451">
        <f>IF(EH75=BG$13,M75,0)</f>
        <v>0</v>
      </c>
      <c r="EL75" s="612">
        <f>IF(EH75=BG$13,O75,0)</f>
        <v>0</v>
      </c>
      <c r="EM75" s="426" t="str">
        <f ca="1">IF(AND(Z75&lt;&gt;"t",Z75&lt;&gt;"f"),"",IF(AND(EN75=$BH$13,K75=$BH$12),"NotOpt",IF(K75&lt;&gt;EN75,"Error","")))</f>
        <v/>
      </c>
      <c r="EN75" s="491" t="str">
        <f>IF(AND($BH$28=1,$BG$28=1),$BH$13,$BH$12)</f>
        <v>120 BU's</v>
      </c>
      <c r="EO75" s="426" t="str">
        <f>K75</f>
        <v xml:space="preserve"> </v>
      </c>
      <c r="EP75" s="497">
        <v>1</v>
      </c>
      <c r="EQ75" s="430" t="str">
        <f ca="1">IF(EP75=1," ",OFFSET(BF$15,EP75-2,0,1,1))</f>
        <v xml:space="preserve"> </v>
      </c>
      <c r="ER75" s="439" t="str">
        <f ca="1">IF(H75=0," ",H75)</f>
        <v xml:space="preserve"> </v>
      </c>
      <c r="ES75" s="440" t="str">
        <f ca="1">IF(ER75&lt;&gt;" ",IF(ER75&lt;&gt;ER$7,"Changed",""),"")</f>
        <v/>
      </c>
      <c r="ET75" s="440">
        <f ca="1">IF(ER75&lt;&gt;" ",IF(ER75&lt;&gt;ER$7,1,0),0)</f>
        <v>0</v>
      </c>
      <c r="EU75" s="957"/>
      <c r="EW75" s="427"/>
      <c r="EX75"/>
    </row>
    <row r="76" spans="1:154" ht="17.100000000000001" hidden="1" customHeight="1">
      <c r="A76" s="2685"/>
      <c r="B76" s="689" t="s">
        <v>246</v>
      </c>
      <c r="C76" s="684" t="str">
        <f>IF(OR(F76=0,I76="",I76=" ")," ",$V76)</f>
        <v xml:space="preserve"> </v>
      </c>
      <c r="D76" s="1033"/>
      <c r="E76" s="1360" t="s">
        <v>8</v>
      </c>
      <c r="F76" s="202"/>
      <c r="G76" s="1416"/>
      <c r="H76" s="199" t="str">
        <f ca="1">IF(OR(F76=0,Z76="E",Z76="f")," ",'Project Demand'!E$35)</f>
        <v xml:space="preserve"> </v>
      </c>
      <c r="I76" s="631" t="str">
        <f>IF($I$6&lt;&gt;$BG$8," ",AB76)</f>
        <v xml:space="preserve"> </v>
      </c>
      <c r="J76" s="44" t="str">
        <f ca="1">IF(OR(I76=" ",I76="")," ",OFFSET($BO$9,CL76-1,0-4,1,1))</f>
        <v xml:space="preserve"> </v>
      </c>
      <c r="K76" s="55" t="str">
        <f>IF(OR(I76=" ",I76="")," ",IF(OR(Z76="e",Z76="h"),"SD",BG$24))</f>
        <v xml:space="preserve"> </v>
      </c>
      <c r="L76" s="49">
        <f ca="1">CW76</f>
        <v>0</v>
      </c>
      <c r="M76" s="49">
        <f ca="1">CY76</f>
        <v>0</v>
      </c>
      <c r="N76" s="50">
        <f t="shared" ca="1" si="35"/>
        <v>0</v>
      </c>
      <c r="O76" s="126">
        <f t="shared" ca="1" si="35"/>
        <v>0</v>
      </c>
      <c r="P76" s="140"/>
      <c r="Q76" s="752" t="str">
        <f ca="1">IF(OR(I76=" ",I76="")," ",IF(F76&lt;OFFSET($BM$9,CL76-1,0,1,1),"check L(m)",IF(DE76&lt;&gt;"",DE76,IF(AND(DP76&gt;=CY76,DR76&gt;=DB76),IF(AND(ED76&gt;=DP76,EF76&gt;=DR76),CONCATENATE(DS76," provides same results"),CONCATENATE(CO76," provides same results")),IF((DP76&gt;=CY76),CONCATENATE(CO76," provides same result in WIND"),IF((DR76&gt;=DB76),CONCATENATE(CO76," provides same result in EQ",""),""))))))</f>
        <v xml:space="preserve"> </v>
      </c>
      <c r="R76" s="52"/>
      <c r="S76" s="1372"/>
      <c r="T76" s="1372"/>
      <c r="U76" s="1377"/>
      <c r="V76" s="52" t="str">
        <f ca="1">IF(AND(B$5=$BF$9,OR(I76=BH$16,I76=BH$17))," ",IF(ISNUMBER(B$74),(CONCATENATE(B$74,".",W76)),(CONCATENATE(B$74,W76))))</f>
        <v>X0</v>
      </c>
      <c r="W76" s="9">
        <f ca="1">W75+X76</f>
        <v>0</v>
      </c>
      <c r="X76" s="9">
        <f>IF(AND(B$5=$BF$9,OR($I76=$BH$16,$I76=$BH$17,$I76=" ",$I76="",$F76=0)),0,IF(OR($I76=" ",$I76="",$F76=0),0,1))</f>
        <v>0</v>
      </c>
      <c r="Y76" s="896"/>
      <c r="Z76" s="52" t="str">
        <f ca="1">IF(I76=" "," ",OFFSET($BM$9,$CL76-1,8,1,1))</f>
        <v xml:space="preserve"> </v>
      </c>
      <c r="AA76" s="51" t="str">
        <f>IF(G76&gt;=45,"WA","")</f>
        <v/>
      </c>
      <c r="AB76" s="1364" t="str">
        <f>IF(F76&lt;&gt;"",IF(OR(D76=$BG$12,D76=$BG$13),IF(E76&lt;&gt;$BG$17,$BF$12,$BF$13),IF(E76&lt;&gt;$BG$17,$BF$12,$BF$13))," ")</f>
        <v xml:space="preserve"> </v>
      </c>
      <c r="AC76" s="1"/>
      <c r="BD76" s="652"/>
      <c r="BI76" s="1240"/>
      <c r="BJ76" s="897">
        <f t="shared" si="28"/>
        <v>68</v>
      </c>
      <c r="BK76" s="764"/>
      <c r="BL76" s="773"/>
      <c r="BM76" s="455">
        <f>Table!P18</f>
        <v>0.8</v>
      </c>
      <c r="BN76" s="455">
        <f>BM77</f>
        <v>0.9</v>
      </c>
      <c r="BO76" s="455">
        <f>Table!Q18</f>
        <v>140</v>
      </c>
      <c r="BP76" s="925">
        <f>Table!R18</f>
        <v>140</v>
      </c>
      <c r="BR76" s="764"/>
      <c r="BS76" s="455"/>
      <c r="BT76" s="455"/>
      <c r="BU76" s="925" t="s">
        <v>242</v>
      </c>
      <c r="BV76" s="895"/>
      <c r="BW76" s="912"/>
      <c r="BX76" s="925" t="str">
        <f>Table!T17</f>
        <v>Double</v>
      </c>
      <c r="CH76" s="764">
        <f>IF(BN76=999,0,(BO77-BO76)/(BN76-BM76))</f>
        <v>150.00000000000003</v>
      </c>
      <c r="CI76" s="925">
        <f>IF(BN76=999,0,(BP77-BP76)/(BN76-BM76))</f>
        <v>150.00000000000003</v>
      </c>
      <c r="CJ76" s="759"/>
      <c r="CK76" s="188"/>
      <c r="CL76" s="979">
        <f>VLOOKUP(I76,Prodlink,2,0)</f>
        <v>0</v>
      </c>
      <c r="CN76" s="497">
        <f ca="1">VLOOKUP(CO76,Prodlink,2,0)</f>
        <v>0</v>
      </c>
      <c r="CO76" s="497">
        <f ca="1">OFFSET($CH$9,CL76-1,-15,1,1)</f>
        <v>0</v>
      </c>
      <c r="CQ76" s="51">
        <v>0</v>
      </c>
      <c r="CR76" s="51">
        <f>IF(K76=$BH$12,$BH$23,IF(K76=$BH$13,$BH$24,10000))</f>
        <v>10000</v>
      </c>
      <c r="CS76" s="51">
        <f ca="1">IF(F76&lt;OFFSET($BM$9,CL76-1,0,1,1),0,IF(F76&lt;OFFSET($BN$9,CL76-1,0,1,1),((F76-OFFSET($BM$9,CL76-1,0,1,1))*OFFSET($CH$9,CL76-1,0,1,1))+OFFSET($BO$9,CL76-1,CQ76,1,1),IF(F76&lt;OFFSET($BN$9,CL76+0,0,1,1),((F76-OFFSET($BM$9,CL76+0,0,1,1))*OFFSET($CH$9,CL76+0,0,1,1))+OFFSET($BO$9,CL76+0,CQ76,1,1),IF(F76&lt;OFFSET($BN$9,CL76+1,0,1,1),((F76-OFFSET($BM$9,CL76+1,0,1,1))*OFFSET($CH$9,CL76+1,0,1,1))+OFFSET($BO$9,CL76+1,CQ76,1,1),IF(F76&lt;OFFSET($BN$9,CL76+2,0,1,1),((F76-OFFSET($BM$9,CL76+2,0,1,1))*OFFSET($CH$9,CL76+2,0,1,1))+OFFSET($BO$9,CL76+2,CQ76,1,1),IF(F76&lt;OFFSET($BN$9,CL76+3,0,1,1),((F76-OFFSET($BM$9,CL76+3,0,1,1))*OFFSET($CH$9,CL76+3,0,1,1))+OFFSET($BO$9,CL76+3,CQ76,1,1),0))))))</f>
        <v>0</v>
      </c>
      <c r="CT76" s="51">
        <f ca="1">IF($F76&lt;OFFSET($BM$9,$CL76-1,0,1,1),0,IF($F76&lt;OFFSET($BN$9,$CL76-1,0,1,1),IF(AND($H76&gt;2.4,Z76&lt;&gt;"e",Z76&lt;&gt;"f"),CX76*2.4/$H76,CX76),IF($F76&lt;OFFSET($BN$9,$CL76+0,0,1,1),IF(AND($H76&gt;2.4,Z76&lt;&gt;"e",Z76&lt;&gt;"f"),CX76*2.4/$H76,CX76),IF($F76&lt;OFFSET($BN$9,$CL76+1,0,1,1),IF(AND($H76&gt;2.4,Z76&lt;&gt;"e",Z76&lt;&gt;"f"),CX76*2.4/$H76,CX76),IF($F76&lt;OFFSET($BN$9,CL76+2,0,1,1),IF(AND($H76&gt;2.4,Z76&lt;&gt;"e",Z76&lt;&gt;"f"),CX76*2.4/$H76,CX76),IF($F76&lt;OFFSET($BN$9,CL76+3,0,1,1),IF(AND($H76&gt;2.4,Z76&lt;&gt;"e",Z76&lt;&gt;"f"),CX76*2.4/$H76,CX76),0)))))*COS(RADIANS($G76)))</f>
        <v>0</v>
      </c>
      <c r="CU76" s="51">
        <f ca="1">IF(F76&lt;OFFSET($BM$9,CL76-1,0,1,1),0,IF(F76&lt;OFFSET($BN$9,CL76-1,0,1,1),((F76-OFFSET($BM$9,CL76-1,0,1,1))*OFFSET($CI$9,CL76-1,0,1,1))+OFFSET($BP$9,CL76-1,CQ76,1,1),IF(F76&lt;OFFSET($BN$9,CL76+0,0,1,1),((F76-OFFSET($BM$9,CL76+0,0,1,1))*OFFSET($CI$9,CL76+0,0,1,1))+OFFSET($BP$9,CL76+0,CQ76,1,1),IF(F76&lt;OFFSET($BN$9,CL76+1,0,1,1),((F76-OFFSET($BM$9,CL76+1,0,1,1))*OFFSET($CI$9,CL76+1,0,1,1))+OFFSET($BP$9,CL76+1,CQ76,1,1),IF(F76&lt;OFFSET($BN$9,CL76+2,0,1,1),((F76-OFFSET($BM$9,CL76+2,0,1,1))*OFFSET($CI$9,CL76+2,0,1,1))+OFFSET($BP$9,CL76+2,CQ76,1,1),IF(F76&lt;OFFSET($BN$9,CL76+3,0,1,1),((F76-OFFSET($BM$9,CL76+3,0,1,1))*OFFSET($CI$9,CL76+3,0,1,1))+OFFSET($BP$9,CL76+3,CQ76,1,1),0))))))</f>
        <v>0</v>
      </c>
      <c r="CV76" s="51">
        <f ca="1">IF($F76&lt;OFFSET($BM$9,$CL76-1,0,1,1),0,IF($F76&lt;OFFSET($BN$9,$CL76-1,0,1,1),IF(AND($H76&gt;2.4,Z76&lt;&gt;"e",Z76&lt;&gt;"f"),CZ76*2.4/$H76,CZ76),IF($F76&lt;OFFSET($BN$9,$CL76+0,0,1,1),IF(AND($H76&gt;2.4,Z76&lt;&gt;"e",Z76&lt;&gt;"f"),CZ76*2.4/$H76,CZ76),IF($F76&lt;OFFSET($BN$9,$CL76+1,0,1,1),IF(AND($H76&gt;2.4,Z76&lt;&gt;"e",Z76&lt;&gt;"f"),CZ76*2.4/$H76,CZ76),IF($F76&lt;OFFSET($BN$9,$CL76+2,0,1,1),IF(AND($H76&gt;2.4,Z76&lt;&gt;"e",Z76&lt;&gt;"f"),CZ76*2.4/$H76,CZ76),IF($F76&lt;OFFSET($BN$9,$CL76+3,0,1,1),IF(AND($H76&gt;2.4,Z76&lt;&gt;"e",Z76&lt;&gt;"f"),CZ76*2.4/$H76,CZ76),0)))))*COS(RADIANS($G76)))</f>
        <v>0</v>
      </c>
      <c r="CW76" s="51">
        <f ca="1">IF(CT76&gt;CR76,CR76,CT76)</f>
        <v>0</v>
      </c>
      <c r="CX76" s="51">
        <f ca="1">IF(CS76&gt;$CR76,$CR76,CS76)</f>
        <v>0</v>
      </c>
      <c r="CY76" s="51">
        <f ca="1">CW76*F76</f>
        <v>0</v>
      </c>
      <c r="CZ76" s="51">
        <f ca="1">IF($CU76&gt;$CR76,$CR76,$CU76)</f>
        <v>0</v>
      </c>
      <c r="DA76" s="51">
        <f ca="1">IF(CV76&gt;CR76,CR76,CV76)</f>
        <v>0</v>
      </c>
      <c r="DB76" s="51">
        <f ca="1">DA76*F76</f>
        <v>0</v>
      </c>
      <c r="DC76" s="993">
        <v>1</v>
      </c>
      <c r="DD76" s="758" t="str">
        <f>IF(OR(D76=BG$12,D76=BG$13),"External",IF(D76=BG$14,"Internal"," "))</f>
        <v xml:space="preserve"> </v>
      </c>
      <c r="DE76" s="51" t="str">
        <f t="shared" ca="1" si="36"/>
        <v/>
      </c>
      <c r="DF76" s="52" t="str">
        <f t="shared" ca="1" si="37"/>
        <v xml:space="preserve"> </v>
      </c>
      <c r="DG76" s="51">
        <f ca="1">IF(F76&lt;OFFSET($BM$9,CN76-1,0,1,1),0,IF(F76&lt;OFFSET($BN$9,CN76-1,0,1,1),((F76-OFFSET($BM$9,CN76-1,0,1,1))*OFFSET($CH$9,CN76-1,0,1,1))+OFFSET($BO$9,CN76-1,CQ76,1,1),IF(F76&lt;OFFSET($BN$9,CN76+0,0,1,1),((F76-OFFSET($BM$9,CN76+0,0,1,1))*OFFSET($CH$9,CN76+0,0,1,1))+OFFSET($BO$9,CN76+0,CQ76,1,1),IF(F76&lt;OFFSET($BN$9,CN76+1,0,1,1),((F76-OFFSET($BM$9,CN76+1,0,1,1))*OFFSET($CH$9,CN76+1,0,1,1))+OFFSET($BO$9,CN76+1,CQ76,1,1),IF(F76&lt;OFFSET($BN$9,CN76+2,0,1,1),((F76-OFFSET($BM$9,CN76+2,0,1,1))*OFFSET($CH$9,CN76+2,0,1,1))+OFFSET($BO$9,CN76+2,CQ76,1,1),IF(F76&lt;OFFSET($BN$9,CN76+3,0,1,1),((F76-OFFSET($BM$9,CN76+3,0,1,1))*OFFSET($CH$9,CN76+3,0,1,1))+OFFSET($BO$9,CN76+3,CQ76,1,1),0))))))</f>
        <v>0</v>
      </c>
      <c r="DH76" s="51">
        <f ca="1">IF($F76&lt;OFFSET($BM$9,$CN76-1,0,1,1),0,IF($F76&lt;OFFSET($BN$9,$CN76-1,0,1,1),IF(AND($H76&gt;2.4,Z76&lt;&gt;"e",Z76&lt;&gt;"f"),DL76*2.4/$H76,DL76),IF($F76&lt;OFFSET($BN$9,$CN76+0,0,1,1),IF(AND($H76&gt;2.4,Z76&lt;&gt;"e",Z76&lt;&gt;"f"),DL76*2.4/$H76,DL76),IF($F76&lt;OFFSET($BN$9,$CN76+1,0,1,1),IF(AND($H76&gt;2.4,Z76&lt;&gt;"e",Z76&lt;&gt;"f"),DL76*2.4/$H76,DL76),IF($F76&lt;OFFSET($BN$9,$CN76+2,0,1,1),IF(AND($H76&gt;2.4,Z76&lt;&gt;"e",Z76&lt;&gt;"f"),DL76*2.4/$H76,DL76),IF($F76&lt;OFFSET($BN$9,$CN76+3,0,1,1),IF(AND($H76&gt;2.4,Z76&lt;&gt;"e",Z76&lt;&gt;"f"),DL76*2.4/$H76,DL76),0)))))*COS(RADIANS($G76)))</f>
        <v>0</v>
      </c>
      <c r="DI76" s="51">
        <f ca="1">IF(F76&lt;OFFSET($BM$9,CN76-1,0,1,1),0,IF(F76&lt;OFFSET($BN$9,CN76-1,0,1,1),((F76-OFFSET($BM$9,CN76-1,0,1,1))*OFFSET($CI$9,CN76-1,0,1,1))+OFFSET($BP$9,CN76-1,CQ76,1,1),IF(F76&lt;OFFSET($BN$9,CN76+0,0,1,1),((F76-OFFSET($BM$9,CN76+0,0,1,1))*OFFSET($CI$9,CN76+0,0,1,1))+OFFSET($BP$9,CN76+0,CQ76,1,1),IF(F76&lt;OFFSET($BN$9,CN76+1,0,1,1),((F76-OFFSET($BM$9,CN76+1,0,1,1))*OFFSET($CI$9,CN76+1,0,1,1))+OFFSET($BP$9,CN76+1,CQ76,1,1),IF(F76&lt;OFFSET($BN$9,CN76+2,0,1,1),((F76-OFFSET($BM$9,CN76+2,0,1,1))*OFFSET($CI$9,CN76+2,0,1,1))+OFFSET($BP$9,CN76+2,CQ76,1,1),IF(F76&lt;OFFSET($BN$9,CN76+3,0,1,1),((F76-OFFSET($BM$9,CN76+3,0,1,1))*OFFSET($CI$9,CN76+3,0,1,1))+OFFSET($BP$9,CN76+3,CQ76,1,1),0))))))</f>
        <v>0</v>
      </c>
      <c r="DJ76" s="51">
        <f ca="1">IF($F76&lt;OFFSET($BM$9,$CN76-1,0,1,1),0,IF($F76&lt;OFFSET($BN$9,$CN76-1,0,1,1),IF(AND($H76&gt;2.4,Z76&lt;&gt;"e",Z76&lt;&gt;"f"),DN76*2.4/$H76,DN76),IF($F76&lt;OFFSET($BN$9,$CN76+0,0,1,1),IF(AND($H76&gt;2.4,Z76&lt;&gt;"e",Z76&lt;&gt;"f"),DN76*2.4/$H76,DN76),IF($F76&lt;OFFSET($BN$9,$CN76+1,0,1,1),IF(AND($H76&gt;2.4,Z76&lt;&gt;"e",Z76&lt;&gt;"f"),DN76*2.4/$H76,DN76),IF($F76&lt;OFFSET($BN$9,$CN76+2,0,1,1),IF(AND($H76&gt;2.4,Z76&lt;&gt;"e",Z76&lt;&gt;"f"),DN76*2.4/$H76,DN76),IF($F76&lt;OFFSET($BN$9,$CN76+3,0,1,1),IF(AND($H76&gt;2.4,Z76&lt;&gt;"e",Z76&lt;&gt;"f"),DN76*2.4/$H76,DN76),0)))))*COS(RADIANS($G76)))</f>
        <v>0</v>
      </c>
      <c r="DK76" s="51"/>
      <c r="DL76" s="51">
        <f ca="1">IF(DG76&gt;$CR76,$CR76,DG76)</f>
        <v>0</v>
      </c>
      <c r="DM76" s="51"/>
      <c r="DN76" s="51">
        <f ca="1">IF(DI76&gt;$CR76,$CR76,DI76)</f>
        <v>0</v>
      </c>
      <c r="DO76" s="435">
        <f ca="1">IF(DH76&gt;$CR76,$CR76,DH76)</f>
        <v>0</v>
      </c>
      <c r="DP76" s="435">
        <f ca="1">DO76*F76</f>
        <v>0</v>
      </c>
      <c r="DQ76" s="436">
        <f ca="1">IF(DJ76&gt;$CR76,$CR76,DJ76)</f>
        <v>0</v>
      </c>
      <c r="DR76" s="437">
        <f ca="1">DQ76*F76</f>
        <v>0</v>
      </c>
      <c r="DS76" s="426">
        <f ca="1">OFFSET($CH$9,CL76-1,-15,1,1)</f>
        <v>0</v>
      </c>
      <c r="DT76" s="451">
        <f ca="1">VLOOKUP(DS76,Prodlink,2,0)</f>
        <v>0</v>
      </c>
      <c r="DU76" s="188">
        <f ca="1">IF(F76&lt;OFFSET($BM$9,DT76-1,0,1,1),0,IF(F76&lt;OFFSET($BN$9,DT76-1,0,1,1),((F76-OFFSET($BM$9,DT76-1,0,1,1))*OFFSET($CH$9,DT76-1,0,1,1))+OFFSET($BO$9,DT76-1,CQ76,1,1),IF(F76&lt;OFFSET($BN$9,DT76+0,0,1,1),((F76-OFFSET($BM$9,DT76+0,0,1,1))*OFFSET($CH$9,DT76+0,0,1,1))+OFFSET($BO$9,DT76+0,CQ76,1,1),IF(F76&lt;OFFSET($BN$9,DT76+1,0,1,1),((F76-OFFSET($BM$9,DT76+1,0,1,1))*OFFSET($CH$9,DT76+1,0,1,1))+OFFSET($BO$9,DT76+1,CQ76,1,1),IF(F76&lt;OFFSET($BN$9,DT76+2,0,1,1),((F76-OFFSET($BM$9,DT76+2,0,1,1))*OFFSET($CH$9,DT76+2,0,1,1))+OFFSET($BO$9,DT76+2,CQ76,1,1),IF(F76&lt;OFFSET($BN$9,DT76+3,0,1,1),((F76-OFFSET($BM$9,DT76+3,0,1,1))*OFFSET($CH$9,DT76+3,0,1,1))+OFFSET($BO$9,DT76+3,CQ76,1,1),0))))))</f>
        <v>0</v>
      </c>
      <c r="DV76" s="51">
        <f ca="1">IF($F76&lt;OFFSET($BM$9,$DT76-1,0,1,1),0,IF($F76&lt;OFFSET($BN$9,$DT76-1,0,1,1),IF(AND($H76&gt;2.4,Z76&lt;&gt;"e",Z76&lt;&gt;"f"),DZ76*2.4/$H76,DZ76),IF($F76&lt;OFFSET($BN$9,$DT76+0,0,1,1),IF(AND($H76&gt;2.4,Z76&lt;&gt;"e",Z76&lt;&gt;"f"),DZ76*2.4/$H76,DZ76),IF($F76&lt;OFFSET($BN$9,$DT76+1,0,1,1),IF(AND($H76&gt;2.4,Z76&lt;&gt;"e",Z76&lt;&gt;"f"),DZ76*2.4/$H76,DZ76),IF($F76&lt;OFFSET($BN$9,$DT76+2,0,1,1),IF(AND($H76&gt;2.4,Z76&lt;&gt;"e",Z76&lt;&gt;"f"),DZ76*2.4/$H76,DZ76),IF($F76&lt;OFFSET($BN$9,$DT76+3,0,1,1),IF(AND($H76&gt;2.4,Z76&lt;&gt;"e",Z76&lt;&gt;"f"),DZ76*2.4/$H76,DZ76),0)))))*COS(RADIANS($G76)))</f>
        <v>0</v>
      </c>
      <c r="DW76" s="188">
        <f ca="1">IF(F76&lt;OFFSET($BM$9,DT76-1,0,1,1),0,IF(F76&lt;OFFSET($BN$9,DT76-1,0,1,1),((F76-OFFSET($BM$9,DT76-1,0,1,1))*OFFSET($CI$9,DT76-1,0,1,1))+OFFSET($BP$9,DT76-1,CQ76,1,1),IF(F76&lt;OFFSET($BN$9,DT76+0,0,1,1),((F76-OFFSET($BM$9,DT76+0,0,1,1))*OFFSET($CI$9,DT76+0,0,1,1))+OFFSET($BP$9,DT76+0,CQ76,1,1),IF(F76&lt;OFFSET($BN$9,DT76+1,0,1,1),((F76-OFFSET($BM$9,DT76+1,0,1,1))*OFFSET($CI$9,DT76+1,0,1,1))+OFFSET($BP$9,DT76+1,CQ76,1,1),IF(F76&lt;OFFSET($BN$9,DT76+2,0,1,1),((F76-OFFSET($BM$9,DT76+2,0,1,1))*OFFSET($CI$9,DT76+2,0,1,1))+OFFSET($BP$9,DT76+2,CQ76,1,1),IF(F76&lt;OFFSET($BN$9,DT76+3,0,1,1),((F76-OFFSET($BM$9,DT76+3,0,1,1))*OFFSET($CI$9,DT76+3,0,1,1))+OFFSET($BP$9,DT76+3,CQ76,1,1),0))))))</f>
        <v>0</v>
      </c>
      <c r="DX76" s="51">
        <f ca="1">IF($F76&lt;OFFSET($BM$9,$DT76-1,0,1,1),0,IF($F76&lt;OFFSET($BN$9,$DT76-1,0,1,1),IF(AND($H76&gt;2.4,Z76&lt;&gt;"e",Z76&lt;&gt;"f"),EB76*2.4/$H76,EB76),IF($F76&lt;OFFSET($BN$9,$DT76+0,0,1,1),IF(AND($H76&gt;2.4,Z76&lt;&gt;"e",Z76&lt;&gt;"f"),EB76*2.4/$H76,EB76),IF($F76&lt;OFFSET($BN$9,$DT76+1,0,1,1),IF(AND($H76&gt;2.4,Z76&lt;&gt;"e",Z76&lt;&gt;"f"),EB76*2.4/$H76,EB76),IF($F76&lt;OFFSET($BN$9,$DT76+2,0,1,1),IF(AND($H76&gt;2.4,Z76&lt;&gt;"e",Z76&lt;&gt;"f"),EB76*2.4/$H76,EB76),IF($F76&lt;OFFSET($BN$9,$DT76+3,0,1,1),IF(AND($H76&gt;2.4,Z76&lt;&gt;"e",Z76&lt;&gt;"f"),EB76*2.4/$H76,EB76),0)))))*COS(RADIANS($G76)))</f>
        <v>0</v>
      </c>
      <c r="DY76" s="188"/>
      <c r="DZ76" s="188">
        <f ca="1">IF(DU76&gt;$CR76,$CR76,DU76)</f>
        <v>0</v>
      </c>
      <c r="EA76" s="188"/>
      <c r="EB76" s="188">
        <f ca="1">IF(DW76&gt;$CR76,$CR76,DW76)</f>
        <v>0</v>
      </c>
      <c r="EC76" s="435">
        <f ca="1">IF(DV76&gt;$CR76,$CR76,DV76)</f>
        <v>0</v>
      </c>
      <c r="ED76" s="435">
        <f ca="1">EC76*F76</f>
        <v>0</v>
      </c>
      <c r="EE76" s="436">
        <f ca="1">IF(DX76&gt;$CR76,$CR76,DX76)</f>
        <v>0</v>
      </c>
      <c r="EF76" s="437">
        <f ca="1">EE76*F76</f>
        <v>0</v>
      </c>
      <c r="EG76" s="613" t="str">
        <f>IF(D76=BG$12,BG$12,"")</f>
        <v/>
      </c>
      <c r="EH76" s="614" t="str">
        <f>IF(D76=BG$13,BG$13,"")</f>
        <v/>
      </c>
      <c r="EI76" s="611">
        <f>IF(EG76=BG$12,M76,0)</f>
        <v>0</v>
      </c>
      <c r="EJ76" s="451">
        <f>IF(EG76=BG$12,O76,0)</f>
        <v>0</v>
      </c>
      <c r="EK76" s="451">
        <f>IF(EH76=BG$13,M76,0)</f>
        <v>0</v>
      </c>
      <c r="EL76" s="612">
        <f>IF(EH76=BG$13,O76,0)</f>
        <v>0</v>
      </c>
      <c r="EM76" s="426" t="str">
        <f ca="1">IF(AND(Z76&lt;&gt;"t",Z76&lt;&gt;"f"),"",IF(AND(EN76=$BH$13,K76=$BH$12),"NotOpt",IF(K76&lt;&gt;EN76,"Error","")))</f>
        <v/>
      </c>
      <c r="EN76" s="491" t="str">
        <f>IF(AND($BH$28=1,$BG$28=1),$BH$13,$BH$12)</f>
        <v>120 BU's</v>
      </c>
      <c r="EO76" s="426" t="str">
        <f>K76</f>
        <v xml:space="preserve"> </v>
      </c>
      <c r="EP76" s="497">
        <v>1</v>
      </c>
      <c r="EQ76" s="430" t="str">
        <f ca="1">IF(EP76=1," ",OFFSET(BF$15,EP76-2,0,1,1))</f>
        <v xml:space="preserve"> </v>
      </c>
      <c r="ER76" s="439" t="str">
        <f ca="1">IF(H76=0," ",H76)</f>
        <v xml:space="preserve"> </v>
      </c>
      <c r="ES76" s="440" t="str">
        <f ca="1">IF(ER76&lt;&gt;" ",IF(ER76&lt;&gt;ER$7,"Changed",""),"")</f>
        <v/>
      </c>
      <c r="ET76" s="440">
        <f ca="1">IF(ER76&lt;&gt;" ",IF(ER76&lt;&gt;ER$7,1,0),0)</f>
        <v>0</v>
      </c>
      <c r="EU76" s="957"/>
      <c r="EW76" s="427"/>
      <c r="EX76"/>
    </row>
    <row r="77" spans="1:154" ht="17.100000000000001" hidden="1" customHeight="1">
      <c r="A77" s="2685"/>
      <c r="B77" s="689" t="s">
        <v>246</v>
      </c>
      <c r="C77" s="684" t="str">
        <f>IF(OR(F77=0,I77="",I77=" ")," ",$V77)</f>
        <v xml:space="preserve"> </v>
      </c>
      <c r="D77" s="1033"/>
      <c r="E77" s="1360" t="s">
        <v>8</v>
      </c>
      <c r="F77" s="202"/>
      <c r="G77" s="1416"/>
      <c r="H77" s="199" t="str">
        <f ca="1">IF(OR(F77=0,Z77="E",Z77="f")," ",'Project Demand'!E$35)</f>
        <v xml:space="preserve"> </v>
      </c>
      <c r="I77" s="631" t="str">
        <f>IF($I$6&lt;&gt;$BG$8," ",AB77)</f>
        <v xml:space="preserve"> </v>
      </c>
      <c r="J77" s="44" t="str">
        <f ca="1">IF(OR(I77=" ",I77="")," ",OFFSET($BO$9,CL77-1,0-4,1,1))</f>
        <v xml:space="preserve"> </v>
      </c>
      <c r="K77" s="55" t="str">
        <f>IF(OR(I77=" ",I77="")," ",IF(OR(Z77="e",Z77="h"),"SD",BG$24))</f>
        <v xml:space="preserve"> </v>
      </c>
      <c r="L77" s="49">
        <f ca="1">CW77</f>
        <v>0</v>
      </c>
      <c r="M77" s="49">
        <f ca="1">CY77</f>
        <v>0</v>
      </c>
      <c r="N77" s="50">
        <f t="shared" ca="1" si="35"/>
        <v>0</v>
      </c>
      <c r="O77" s="126">
        <f t="shared" ca="1" si="35"/>
        <v>0</v>
      </c>
      <c r="P77" s="140"/>
      <c r="Q77" s="752" t="str">
        <f ca="1">IF(OR(I77=" ",I77="")," ",IF(F77&lt;OFFSET($BM$9,CL77-1,0,1,1),"check L(m)",IF(DE77&lt;&gt;"",DE77,IF(AND(DP77&gt;=CY77,DR77&gt;=DB77),IF(AND(ED77&gt;=DP77,EF77&gt;=DR77),CONCATENATE(DS77," provides same results"),CONCATENATE(CO77," provides same results")),IF((DP77&gt;=CY77),CONCATENATE(CO77," provides same result in WIND"),IF((DR77&gt;=DB77),CONCATENATE(CO77," provides same result in EQ",""),""))))))</f>
        <v xml:space="preserve"> </v>
      </c>
      <c r="R77" s="52"/>
      <c r="S77" s="1372"/>
      <c r="T77" s="1372"/>
      <c r="U77" s="1377"/>
      <c r="V77" s="52" t="str">
        <f ca="1">IF(AND(B$5=$BF$9,OR(I77=BH$16,I77=BH$17))," ",IF(ISNUMBER(B$74),(CONCATENATE(B$74,".",W77)),(CONCATENATE(B$74,W77))))</f>
        <v>X0</v>
      </c>
      <c r="W77" s="9">
        <f ca="1">W76+X77</f>
        <v>0</v>
      </c>
      <c r="X77" s="9">
        <f>IF(AND(B$5=$BF$9,OR($I77=$BH$16,$I77=$BH$17,$I77=" ",$I77="",$F77=0)),0,IF(OR($I77=" ",$I77="",$F77=0),0,1))</f>
        <v>0</v>
      </c>
      <c r="Y77" s="896"/>
      <c r="Z77" s="52" t="str">
        <f ca="1">IF(I77=" "," ",OFFSET($BM$9,$CL77-1,8,1,1))</f>
        <v xml:space="preserve"> </v>
      </c>
      <c r="AA77" s="51" t="str">
        <f>IF(G77&gt;=45,"WA","")</f>
        <v/>
      </c>
      <c r="AB77" s="1364" t="str">
        <f>IF(F77&lt;&gt;"",IF(OR(D77=$BG$12,D77=$BG$13),IF(E77&lt;&gt;$BG$17,$BF$12,$BF$13),IF(E77&lt;&gt;$BG$17,$BF$12,$BF$13))," ")</f>
        <v xml:space="preserve"> </v>
      </c>
      <c r="AC77" s="1"/>
      <c r="BD77" s="652"/>
      <c r="BI77" s="759"/>
      <c r="BJ77" s="897">
        <f t="shared" si="28"/>
        <v>69</v>
      </c>
      <c r="BK77" s="764"/>
      <c r="BL77" s="773"/>
      <c r="BM77" s="455">
        <f>Table!P19</f>
        <v>0.9</v>
      </c>
      <c r="BN77" s="455">
        <f>BM78</f>
        <v>1.2</v>
      </c>
      <c r="BO77" s="455">
        <f>Table!Q19</f>
        <v>155</v>
      </c>
      <c r="BP77" s="925">
        <f>Table!R19</f>
        <v>155</v>
      </c>
      <c r="BR77" s="764"/>
      <c r="BS77" s="455"/>
      <c r="BT77" s="455"/>
      <c r="BU77" s="925" t="s">
        <v>242</v>
      </c>
      <c r="BV77" s="895"/>
      <c r="BW77" s="912"/>
      <c r="BX77" s="925" t="str">
        <f>Table!T17</f>
        <v>Double</v>
      </c>
      <c r="CH77" s="764">
        <f>IF(BN77=999,0,(BO78-BO77)/(BN77-BM77))</f>
        <v>0</v>
      </c>
      <c r="CI77" s="925">
        <f>IF(BN77=999,0,(BP78-BP77)/(BN77-BM77))</f>
        <v>0</v>
      </c>
      <c r="CJ77" s="759"/>
      <c r="CK77" s="188"/>
      <c r="CL77" s="979">
        <f>VLOOKUP(I77,Prodlink,2,0)</f>
        <v>0</v>
      </c>
      <c r="CN77" s="497">
        <f ca="1">VLOOKUP(CO77,Prodlink,2,0)</f>
        <v>0</v>
      </c>
      <c r="CO77" s="497">
        <f ca="1">OFFSET($CH$9,CL77-1,-15,1,1)</f>
        <v>0</v>
      </c>
      <c r="CQ77" s="51">
        <v>0</v>
      </c>
      <c r="CR77" s="51">
        <f>IF(K77=$BH$12,$BH$23,IF(K77=$BH$13,$BH$24,10000))</f>
        <v>10000</v>
      </c>
      <c r="CS77" s="51">
        <f ca="1">IF(F77&lt;OFFSET($BM$9,CL77-1,0,1,1),0,IF(F77&lt;OFFSET($BN$9,CL77-1,0,1,1),((F77-OFFSET($BM$9,CL77-1,0,1,1))*OFFSET($CH$9,CL77-1,0,1,1))+OFFSET($BO$9,CL77-1,CQ77,1,1),IF(F77&lt;OFFSET($BN$9,CL77+0,0,1,1),((F77-OFFSET($BM$9,CL77+0,0,1,1))*OFFSET($CH$9,CL77+0,0,1,1))+OFFSET($BO$9,CL77+0,CQ77,1,1),IF(F77&lt;OFFSET($BN$9,CL77+1,0,1,1),((F77-OFFSET($BM$9,CL77+1,0,1,1))*OFFSET($CH$9,CL77+1,0,1,1))+OFFSET($BO$9,CL77+1,CQ77,1,1),IF(F77&lt;OFFSET($BN$9,CL77+2,0,1,1),((F77-OFFSET($BM$9,CL77+2,0,1,1))*OFFSET($CH$9,CL77+2,0,1,1))+OFFSET($BO$9,CL77+2,CQ77,1,1),IF(F77&lt;OFFSET($BN$9,CL77+3,0,1,1),((F77-OFFSET($BM$9,CL77+3,0,1,1))*OFFSET($CH$9,CL77+3,0,1,1))+OFFSET($BO$9,CL77+3,CQ77,1,1),0))))))</f>
        <v>0</v>
      </c>
      <c r="CT77" s="51">
        <f ca="1">IF($F77&lt;OFFSET($BM$9,$CL77-1,0,1,1),0,IF($F77&lt;OFFSET($BN$9,$CL77-1,0,1,1),IF(AND($H77&gt;2.4,Z77&lt;&gt;"e",Z77&lt;&gt;"f"),CX77*2.4/$H77,CX77),IF($F77&lt;OFFSET($BN$9,$CL77+0,0,1,1),IF(AND($H77&gt;2.4,Z77&lt;&gt;"e",Z77&lt;&gt;"f"),CX77*2.4/$H77,CX77),IF($F77&lt;OFFSET($BN$9,$CL77+1,0,1,1),IF(AND($H77&gt;2.4,Z77&lt;&gt;"e",Z77&lt;&gt;"f"),CX77*2.4/$H77,CX77),IF($F77&lt;OFFSET($BN$9,CL77+2,0,1,1),IF(AND($H77&gt;2.4,Z77&lt;&gt;"e",Z77&lt;&gt;"f"),CX77*2.4/$H77,CX77),IF($F77&lt;OFFSET($BN$9,CL77+3,0,1,1),IF(AND($H77&gt;2.4,Z77&lt;&gt;"e",Z77&lt;&gt;"f"),CX77*2.4/$H77,CX77),0)))))*COS(RADIANS($G77)))</f>
        <v>0</v>
      </c>
      <c r="CU77" s="51">
        <f ca="1">IF(F77&lt;OFFSET($BM$9,CL77-1,0,1,1),0,IF(F77&lt;OFFSET($BN$9,CL77-1,0,1,1),((F77-OFFSET($BM$9,CL77-1,0,1,1))*OFFSET($CI$9,CL77-1,0,1,1))+OFFSET($BP$9,CL77-1,CQ77,1,1),IF(F77&lt;OFFSET($BN$9,CL77+0,0,1,1),((F77-OFFSET($BM$9,CL77+0,0,1,1))*OFFSET($CI$9,CL77+0,0,1,1))+OFFSET($BP$9,CL77+0,CQ77,1,1),IF(F77&lt;OFFSET($BN$9,CL77+1,0,1,1),((F77-OFFSET($BM$9,CL77+1,0,1,1))*OFFSET($CI$9,CL77+1,0,1,1))+OFFSET($BP$9,CL77+1,CQ77,1,1),IF(F77&lt;OFFSET($BN$9,CL77+2,0,1,1),((F77-OFFSET($BM$9,CL77+2,0,1,1))*OFFSET($CI$9,CL77+2,0,1,1))+OFFSET($BP$9,CL77+2,CQ77,1,1),IF(F77&lt;OFFSET($BN$9,CL77+3,0,1,1),((F77-OFFSET($BM$9,CL77+3,0,1,1))*OFFSET($CI$9,CL77+3,0,1,1))+OFFSET($BP$9,CL77+3,CQ77,1,1),0))))))</f>
        <v>0</v>
      </c>
      <c r="CV77" s="51">
        <f ca="1">IF($F77&lt;OFFSET($BM$9,$CL77-1,0,1,1),0,IF($F77&lt;OFFSET($BN$9,$CL77-1,0,1,1),IF(AND($H77&gt;2.4,Z77&lt;&gt;"e",Z77&lt;&gt;"f"),CZ77*2.4/$H77,CZ77),IF($F77&lt;OFFSET($BN$9,$CL77+0,0,1,1),IF(AND($H77&gt;2.4,Z77&lt;&gt;"e",Z77&lt;&gt;"f"),CZ77*2.4/$H77,CZ77),IF($F77&lt;OFFSET($BN$9,$CL77+1,0,1,1),IF(AND($H77&gt;2.4,Z77&lt;&gt;"e",Z77&lt;&gt;"f"),CZ77*2.4/$H77,CZ77),IF($F77&lt;OFFSET($BN$9,$CL77+2,0,1,1),IF(AND($H77&gt;2.4,Z77&lt;&gt;"e",Z77&lt;&gt;"f"),CZ77*2.4/$H77,CZ77),IF($F77&lt;OFFSET($BN$9,$CL77+3,0,1,1),IF(AND($H77&gt;2.4,Z77&lt;&gt;"e",Z77&lt;&gt;"f"),CZ77*2.4/$H77,CZ77),0)))))*COS(RADIANS($G77)))</f>
        <v>0</v>
      </c>
      <c r="CW77" s="51">
        <f ca="1">IF(CT77&gt;CR77,CR77,CT77)</f>
        <v>0</v>
      </c>
      <c r="CX77" s="51">
        <f ca="1">IF(CS77&gt;$CR77,$CR77,CS77)</f>
        <v>0</v>
      </c>
      <c r="CY77" s="51">
        <f ca="1">CW77*F77</f>
        <v>0</v>
      </c>
      <c r="CZ77" s="51">
        <f ca="1">IF($CU77&gt;$CR77,$CR77,$CU77)</f>
        <v>0</v>
      </c>
      <c r="DA77" s="51">
        <f ca="1">IF(CV77&gt;CR77,CR77,CV77)</f>
        <v>0</v>
      </c>
      <c r="DB77" s="51">
        <f ca="1">DA77*F77</f>
        <v>0</v>
      </c>
      <c r="DC77" s="993">
        <v>1</v>
      </c>
      <c r="DD77" s="758" t="str">
        <f>IF(OR(D77=BG$12,D77=BG$13),"External",IF(D77=BG$14,"Internal"," "))</f>
        <v xml:space="preserve"> </v>
      </c>
      <c r="DE77" s="51" t="str">
        <f t="shared" ca="1" si="36"/>
        <v/>
      </c>
      <c r="DF77" s="52" t="str">
        <f t="shared" ca="1" si="37"/>
        <v xml:space="preserve"> </v>
      </c>
      <c r="DG77" s="51">
        <f ca="1">IF(F77&lt;OFFSET($BM$9,CN77-1,0,1,1),0,IF(F77&lt;OFFSET($BN$9,CN77-1,0,1,1),((F77-OFFSET($BM$9,CN77-1,0,1,1))*OFFSET($CH$9,CN77-1,0,1,1))+OFFSET($BO$9,CN77-1,CQ77,1,1),IF(F77&lt;OFFSET($BN$9,CN77+0,0,1,1),((F77-OFFSET($BM$9,CN77+0,0,1,1))*OFFSET($CH$9,CN77+0,0,1,1))+OFFSET($BO$9,CN77+0,CQ77,1,1),IF(F77&lt;OFFSET($BN$9,CN77+1,0,1,1),((F77-OFFSET($BM$9,CN77+1,0,1,1))*OFFSET($CH$9,CN77+1,0,1,1))+OFFSET($BO$9,CN77+1,CQ77,1,1),IF(F77&lt;OFFSET($BN$9,CN77+2,0,1,1),((F77-OFFSET($BM$9,CN77+2,0,1,1))*OFFSET($CH$9,CN77+2,0,1,1))+OFFSET($BO$9,CN77+2,CQ77,1,1),IF(F77&lt;OFFSET($BN$9,CN77+3,0,1,1),((F77-OFFSET($BM$9,CN77+3,0,1,1))*OFFSET($CH$9,CN77+3,0,1,1))+OFFSET($BO$9,CN77+3,CQ77,1,1),0))))))</f>
        <v>0</v>
      </c>
      <c r="DH77" s="51">
        <f ca="1">IF($F77&lt;OFFSET($BM$9,$CN77-1,0,1,1),0,IF($F77&lt;OFFSET($BN$9,$CN77-1,0,1,1),IF(AND($H77&gt;2.4,Z77&lt;&gt;"e",Z77&lt;&gt;"f"),DL77*2.4/$H77,DL77),IF($F77&lt;OFFSET($BN$9,$CN77+0,0,1,1),IF(AND($H77&gt;2.4,Z77&lt;&gt;"e",Z77&lt;&gt;"f"),DL77*2.4/$H77,DL77),IF($F77&lt;OFFSET($BN$9,$CN77+1,0,1,1),IF(AND($H77&gt;2.4,Z77&lt;&gt;"e",Z77&lt;&gt;"f"),DL77*2.4/$H77,DL77),IF($F77&lt;OFFSET($BN$9,$CN77+2,0,1,1),IF(AND($H77&gt;2.4,Z77&lt;&gt;"e",Z77&lt;&gt;"f"),DL77*2.4/$H77,DL77),IF($F77&lt;OFFSET($BN$9,$CN77+3,0,1,1),IF(AND($H77&gt;2.4,Z77&lt;&gt;"e",Z77&lt;&gt;"f"),DL77*2.4/$H77,DL77),0)))))*COS(RADIANS($G77)))</f>
        <v>0</v>
      </c>
      <c r="DI77" s="51">
        <f ca="1">IF(F77&lt;OFFSET($BM$9,CN77-1,0,1,1),0,IF(F77&lt;OFFSET($BN$9,CN77-1,0,1,1),((F77-OFFSET($BM$9,CN77-1,0,1,1))*OFFSET($CI$9,CN77-1,0,1,1))+OFFSET($BP$9,CN77-1,CQ77,1,1),IF(F77&lt;OFFSET($BN$9,CN77+0,0,1,1),((F77-OFFSET($BM$9,CN77+0,0,1,1))*OFFSET($CI$9,CN77+0,0,1,1))+OFFSET($BP$9,CN77+0,CQ77,1,1),IF(F77&lt;OFFSET($BN$9,CN77+1,0,1,1),((F77-OFFSET($BM$9,CN77+1,0,1,1))*OFFSET($CI$9,CN77+1,0,1,1))+OFFSET($BP$9,CN77+1,CQ77,1,1),IF(F77&lt;OFFSET($BN$9,CN77+2,0,1,1),((F77-OFFSET($BM$9,CN77+2,0,1,1))*OFFSET($CI$9,CN77+2,0,1,1))+OFFSET($BP$9,CN77+2,CQ77,1,1),IF(F77&lt;OFFSET($BN$9,CN77+3,0,1,1),((F77-OFFSET($BM$9,CN77+3,0,1,1))*OFFSET($CI$9,CN77+3,0,1,1))+OFFSET($BP$9,CN77+3,CQ77,1,1),0))))))</f>
        <v>0</v>
      </c>
      <c r="DJ77" s="51">
        <f ca="1">IF($F77&lt;OFFSET($BM$9,$CN77-1,0,1,1),0,IF($F77&lt;OFFSET($BN$9,$CN77-1,0,1,1),IF(AND($H77&gt;2.4,Z77&lt;&gt;"e",Z77&lt;&gt;"f"),DN77*2.4/$H77,DN77),IF($F77&lt;OFFSET($BN$9,$CN77+0,0,1,1),IF(AND($H77&gt;2.4,Z77&lt;&gt;"e",Z77&lt;&gt;"f"),DN77*2.4/$H77,DN77),IF($F77&lt;OFFSET($BN$9,$CN77+1,0,1,1),IF(AND($H77&gt;2.4,Z77&lt;&gt;"e",Z77&lt;&gt;"f"),DN77*2.4/$H77,DN77),IF($F77&lt;OFFSET($BN$9,$CN77+2,0,1,1),IF(AND($H77&gt;2.4,Z77&lt;&gt;"e",Z77&lt;&gt;"f"),DN77*2.4/$H77,DN77),IF($F77&lt;OFFSET($BN$9,$CN77+3,0,1,1),IF(AND($H77&gt;2.4,Z77&lt;&gt;"e",Z77&lt;&gt;"f"),DN77*2.4/$H77,DN77),0)))))*COS(RADIANS($G77)))</f>
        <v>0</v>
      </c>
      <c r="DK77" s="51"/>
      <c r="DL77" s="51">
        <f ca="1">IF(DG77&gt;$CR77,$CR77,DG77)</f>
        <v>0</v>
      </c>
      <c r="DM77" s="51"/>
      <c r="DN77" s="51">
        <f ca="1">IF(DI77&gt;$CR77,$CR77,DI77)</f>
        <v>0</v>
      </c>
      <c r="DO77" s="435">
        <f ca="1">IF(DH77&gt;$CR77,$CR77,DH77)</f>
        <v>0</v>
      </c>
      <c r="DP77" s="435">
        <f ca="1">DO77*F77</f>
        <v>0</v>
      </c>
      <c r="DQ77" s="436">
        <f ca="1">IF(DJ77&gt;$CR77,$CR77,DJ77)</f>
        <v>0</v>
      </c>
      <c r="DR77" s="437">
        <f ca="1">DQ77*F77</f>
        <v>0</v>
      </c>
      <c r="DS77" s="426">
        <f ca="1">OFFSET($CH$9,CL77-1,-15,1,1)</f>
        <v>0</v>
      </c>
      <c r="DT77" s="451">
        <f ca="1">VLOOKUP(DS77,Prodlink,2,0)</f>
        <v>0</v>
      </c>
      <c r="DU77" s="188">
        <f ca="1">IF(F77&lt;OFFSET($BM$9,DT77-1,0,1,1),0,IF(F77&lt;OFFSET($BN$9,DT77-1,0,1,1),((F77-OFFSET($BM$9,DT77-1,0,1,1))*OFFSET($CH$9,DT77-1,0,1,1))+OFFSET($BO$9,DT77-1,CQ77,1,1),IF(F77&lt;OFFSET($BN$9,DT77+0,0,1,1),((F77-OFFSET($BM$9,DT77+0,0,1,1))*OFFSET($CH$9,DT77+0,0,1,1))+OFFSET($BO$9,DT77+0,CQ77,1,1),IF(F77&lt;OFFSET($BN$9,DT77+1,0,1,1),((F77-OFFSET($BM$9,DT77+1,0,1,1))*OFFSET($CH$9,DT77+1,0,1,1))+OFFSET($BO$9,DT77+1,CQ77,1,1),IF(F77&lt;OFFSET($BN$9,DT77+2,0,1,1),((F77-OFFSET($BM$9,DT77+2,0,1,1))*OFFSET($CH$9,DT77+2,0,1,1))+OFFSET($BO$9,DT77+2,CQ77,1,1),IF(F77&lt;OFFSET($BN$9,DT77+3,0,1,1),((F77-OFFSET($BM$9,DT77+3,0,1,1))*OFFSET($CH$9,DT77+3,0,1,1))+OFFSET($BO$9,DT77+3,CQ77,1,1),0))))))</f>
        <v>0</v>
      </c>
      <c r="DV77" s="51">
        <f ca="1">IF($F77&lt;OFFSET($BM$9,$DT77-1,0,1,1),0,IF($F77&lt;OFFSET($BN$9,$DT77-1,0,1,1),IF(AND($H77&gt;2.4,Z77&lt;&gt;"e",Z77&lt;&gt;"f"),DZ77*2.4/$H77,DZ77),IF($F77&lt;OFFSET($BN$9,$DT77+0,0,1,1),IF(AND($H77&gt;2.4,Z77&lt;&gt;"e",Z77&lt;&gt;"f"),DZ77*2.4/$H77,DZ77),IF($F77&lt;OFFSET($BN$9,$DT77+1,0,1,1),IF(AND($H77&gt;2.4,Z77&lt;&gt;"e",Z77&lt;&gt;"f"),DZ77*2.4/$H77,DZ77),IF($F77&lt;OFFSET($BN$9,$DT77+2,0,1,1),IF(AND($H77&gt;2.4,Z77&lt;&gt;"e",Z77&lt;&gt;"f"),DZ77*2.4/$H77,DZ77),IF($F77&lt;OFFSET($BN$9,$DT77+3,0,1,1),IF(AND($H77&gt;2.4,Z77&lt;&gt;"e",Z77&lt;&gt;"f"),DZ77*2.4/$H77,DZ77),0)))))*COS(RADIANS($G77)))</f>
        <v>0</v>
      </c>
      <c r="DW77" s="188">
        <f ca="1">IF(F77&lt;OFFSET($BM$9,DT77-1,0,1,1),0,IF(F77&lt;OFFSET($BN$9,DT77-1,0,1,1),((F77-OFFSET($BM$9,DT77-1,0,1,1))*OFFSET($CI$9,DT77-1,0,1,1))+OFFSET($BP$9,DT77-1,CQ77,1,1),IF(F77&lt;OFFSET($BN$9,DT77+0,0,1,1),((F77-OFFSET($BM$9,DT77+0,0,1,1))*OFFSET($CI$9,DT77+0,0,1,1))+OFFSET($BP$9,DT77+0,CQ77,1,1),IF(F77&lt;OFFSET($BN$9,DT77+1,0,1,1),((F77-OFFSET($BM$9,DT77+1,0,1,1))*OFFSET($CI$9,DT77+1,0,1,1))+OFFSET($BP$9,DT77+1,CQ77,1,1),IF(F77&lt;OFFSET($BN$9,DT77+2,0,1,1),((F77-OFFSET($BM$9,DT77+2,0,1,1))*OFFSET($CI$9,DT77+2,0,1,1))+OFFSET($BP$9,DT77+2,CQ77,1,1),IF(F77&lt;OFFSET($BN$9,DT77+3,0,1,1),((F77-OFFSET($BM$9,DT77+3,0,1,1))*OFFSET($CI$9,DT77+3,0,1,1))+OFFSET($BP$9,DT77+3,CQ77,1,1),0))))))</f>
        <v>0</v>
      </c>
      <c r="DX77" s="51">
        <f ca="1">IF($F77&lt;OFFSET($BM$9,$DT77-1,0,1,1),0,IF($F77&lt;OFFSET($BN$9,$DT77-1,0,1,1),IF(AND($H77&gt;2.4,Z77&lt;&gt;"e",Z77&lt;&gt;"f"),EB77*2.4/$H77,EB77),IF($F77&lt;OFFSET($BN$9,$DT77+0,0,1,1),IF(AND($H77&gt;2.4,Z77&lt;&gt;"e",Z77&lt;&gt;"f"),EB77*2.4/$H77,EB77),IF($F77&lt;OFFSET($BN$9,$DT77+1,0,1,1),IF(AND($H77&gt;2.4,Z77&lt;&gt;"e",Z77&lt;&gt;"f"),EB77*2.4/$H77,EB77),IF($F77&lt;OFFSET($BN$9,$DT77+2,0,1,1),IF(AND($H77&gt;2.4,Z77&lt;&gt;"e",Z77&lt;&gt;"f"),EB77*2.4/$H77,EB77),IF($F77&lt;OFFSET($BN$9,$DT77+3,0,1,1),IF(AND($H77&gt;2.4,Z77&lt;&gt;"e",Z77&lt;&gt;"f"),EB77*2.4/$H77,EB77),0)))))*COS(RADIANS($G77)))</f>
        <v>0</v>
      </c>
      <c r="DY77" s="188"/>
      <c r="DZ77" s="188">
        <f ca="1">IF(DU77&gt;$CR77,$CR77,DU77)</f>
        <v>0</v>
      </c>
      <c r="EA77" s="188"/>
      <c r="EB77" s="188">
        <f ca="1">IF(DW77&gt;$CR77,$CR77,DW77)</f>
        <v>0</v>
      </c>
      <c r="EC77" s="435">
        <f ca="1">IF(DV77&gt;$CR77,$CR77,DV77)</f>
        <v>0</v>
      </c>
      <c r="ED77" s="435">
        <f ca="1">EC77*F77</f>
        <v>0</v>
      </c>
      <c r="EE77" s="436">
        <f ca="1">IF(DX77&gt;$CR77,$CR77,DX77)</f>
        <v>0</v>
      </c>
      <c r="EF77" s="437">
        <f ca="1">EE77*F77</f>
        <v>0</v>
      </c>
      <c r="EG77" s="613" t="str">
        <f>IF(D77=BG$12,BG$12,"")</f>
        <v/>
      </c>
      <c r="EH77" s="614" t="str">
        <f>IF(D77=BG$13,BG$13,"")</f>
        <v/>
      </c>
      <c r="EI77" s="611">
        <f>IF(EG77=BG$12,M77,0)</f>
        <v>0</v>
      </c>
      <c r="EJ77" s="451">
        <f>IF(EG77=BG$12,O77,0)</f>
        <v>0</v>
      </c>
      <c r="EK77" s="451">
        <f>IF(EH77=BG$13,M77,0)</f>
        <v>0</v>
      </c>
      <c r="EL77" s="612">
        <f>IF(EH77=BG$13,O77,0)</f>
        <v>0</v>
      </c>
      <c r="EM77" s="426" t="str">
        <f ca="1">IF(AND(Z77&lt;&gt;"t",Z77&lt;&gt;"f"),"",IF(AND(EN77=$BH$13,K77=$BH$12),"NotOpt",IF(K77&lt;&gt;EN77,"Error","")))</f>
        <v/>
      </c>
      <c r="EN77" s="491" t="str">
        <f>IF(AND($BH$28=1,$BG$28=1),$BH$13,$BH$12)</f>
        <v>120 BU's</v>
      </c>
      <c r="EO77" s="426" t="str">
        <f>K77</f>
        <v xml:space="preserve"> </v>
      </c>
      <c r="EP77" s="497">
        <v>1</v>
      </c>
      <c r="EQ77" s="430" t="str">
        <f ca="1">IF(EP77=1," ",OFFSET(BF$15,EP77-2,0,1,1))</f>
        <v xml:space="preserve"> </v>
      </c>
      <c r="ER77" s="439" t="str">
        <f ca="1">IF(H77=0," ",H77)</f>
        <v xml:space="preserve"> </v>
      </c>
      <c r="ES77" s="440" t="str">
        <f ca="1">IF(ER77&lt;&gt;" ",IF(ER77&lt;&gt;ER$7,"Changed",""),"")</f>
        <v/>
      </c>
      <c r="ET77" s="440">
        <f ca="1">IF(ER77&lt;&gt;" ",IF(ER77&lt;&gt;ER$7,1,0),0)</f>
        <v>0</v>
      </c>
      <c r="EU77" s="957"/>
      <c r="EW77" s="427"/>
      <c r="EX77"/>
    </row>
    <row r="78" spans="1:154" ht="17.100000000000001" hidden="1" customHeight="1" thickBot="1">
      <c r="A78" s="2685"/>
      <c r="B78" s="689" t="s">
        <v>246</v>
      </c>
      <c r="C78" s="684" t="str">
        <f>IF(OR(F78=0,I78="",I78=" ")," ",$V78)</f>
        <v xml:space="preserve"> </v>
      </c>
      <c r="D78" s="1033"/>
      <c r="E78" s="1360" t="s">
        <v>8</v>
      </c>
      <c r="F78" s="202"/>
      <c r="G78" s="1416"/>
      <c r="H78" s="199" t="str">
        <f ca="1">IF(OR(F78=0,Z78="E",Z78="f")," ",'Project Demand'!E$35)</f>
        <v xml:space="preserve"> </v>
      </c>
      <c r="I78" s="631" t="str">
        <f>IF($I$6&lt;&gt;$BG$8," ",AB78)</f>
        <v xml:space="preserve"> </v>
      </c>
      <c r="J78" s="44" t="str">
        <f ca="1">IF(OR(I78=" ",I78="")," ",OFFSET($BO$9,CL78-1,0-4,1,1))</f>
        <v xml:space="preserve"> </v>
      </c>
      <c r="K78" s="55" t="str">
        <f>IF(OR(I78=" ",I78="")," ",IF(OR(Z78="e",Z78="h"),"SD",BG$24))</f>
        <v xml:space="preserve"> </v>
      </c>
      <c r="L78" s="49">
        <f ca="1">CW78</f>
        <v>0</v>
      </c>
      <c r="M78" s="49">
        <f ca="1">CY78</f>
        <v>0</v>
      </c>
      <c r="N78" s="50">
        <f t="shared" ca="1" si="35"/>
        <v>0</v>
      </c>
      <c r="O78" s="126">
        <f t="shared" ca="1" si="35"/>
        <v>0</v>
      </c>
      <c r="P78" s="140"/>
      <c r="Q78" s="752" t="str">
        <f ca="1">IF(OR(I78=" ",I78="")," ",IF(F78&lt;OFFSET($BM$9,CL78-1,0,1,1),"check L(m)",IF(DE78&lt;&gt;"",DE78,IF(AND(DP78&gt;=CY78,DR78&gt;=DB78),IF(AND(ED78&gt;=DP78,EF78&gt;=DR78),CONCATENATE(DS78," provides same results"),CONCATENATE(CO78," provides same results")),IF((DP78&gt;=CY78),CONCATENATE(CO78," provides same result in WIND"),IF((DR78&gt;=DB78),CONCATENATE(CO78," provides same result in EQ",""),""))))))</f>
        <v xml:space="preserve"> </v>
      </c>
      <c r="R78" s="52"/>
      <c r="S78" s="1372"/>
      <c r="T78" s="1372"/>
      <c r="U78" s="1377"/>
      <c r="V78" s="52" t="str">
        <f ca="1">IF(AND(B$5=$BF$9,OR(I78=BH$16,I78=BH$17))," ",IF(ISNUMBER(B$74),(CONCATENATE(B$74,".",W78)),(CONCATENATE(B$74,W78))))</f>
        <v>X0</v>
      </c>
      <c r="W78" s="9">
        <f ca="1">W77+X78</f>
        <v>0</v>
      </c>
      <c r="X78" s="9">
        <f>IF(AND(B$5=$BF$9,OR($I78=$BH$16,$I78=$BH$17,$I78=" ",$I78="",$F78=0)),0,IF(OR($I78=" ",$I78="",$F78=0),0,1))</f>
        <v>0</v>
      </c>
      <c r="Y78" s="896"/>
      <c r="Z78" s="52" t="str">
        <f ca="1">IF(I78=" "," ",OFFSET($BM$9,$CL78-1,8,1,1))</f>
        <v xml:space="preserve"> </v>
      </c>
      <c r="AA78" s="51" t="str">
        <f>IF(G78&gt;=45,"WA","")</f>
        <v/>
      </c>
      <c r="AB78" s="1364" t="str">
        <f>IF(F78&lt;&gt;"",IF(OR(D78=$BG$12,D78=$BG$13),IF(E78&lt;&gt;$BG$17,$BF$12,$BF$13),IF(E78&lt;&gt;$BG$17,$BF$12,$BF$13))," ")</f>
        <v xml:space="preserve"> </v>
      </c>
      <c r="AC78" s="1"/>
      <c r="BD78" s="652"/>
      <c r="BI78" s="759"/>
      <c r="BJ78" s="897">
        <f t="shared" si="28"/>
        <v>70</v>
      </c>
      <c r="BK78" s="908"/>
      <c r="BL78" s="774"/>
      <c r="BM78" s="776">
        <f>Table!P20</f>
        <v>1.2</v>
      </c>
      <c r="BN78" s="776">
        <v>999</v>
      </c>
      <c r="BO78" s="776">
        <f>Table!Q20</f>
        <v>155</v>
      </c>
      <c r="BP78" s="926">
        <f>Table!R20</f>
        <v>155</v>
      </c>
      <c r="BQ78" s="1183"/>
      <c r="BR78" s="908"/>
      <c r="BS78" s="776"/>
      <c r="BT78" s="776"/>
      <c r="BU78" s="926" t="s">
        <v>242</v>
      </c>
      <c r="BV78" s="433"/>
      <c r="BW78" s="914"/>
      <c r="BX78" s="926" t="str">
        <f>Table!T17</f>
        <v>Double</v>
      </c>
      <c r="CH78" s="908">
        <f>IF(BN78=999,0,(BO79-BO78)/(BN78-BM78))</f>
        <v>0</v>
      </c>
      <c r="CI78" s="926">
        <f>IF(BN78=999,0,(BP79-BP78)/(BN78-BM78))</f>
        <v>0</v>
      </c>
      <c r="CJ78" s="759"/>
      <c r="CK78" s="188"/>
      <c r="CL78" s="979">
        <f>VLOOKUP(I78,Prodlink,2,0)</f>
        <v>0</v>
      </c>
      <c r="CN78" s="497">
        <f ca="1">VLOOKUP(CO78,Prodlink,2,0)</f>
        <v>0</v>
      </c>
      <c r="CO78" s="497">
        <f ca="1">OFFSET($CH$9,CL78-1,-15,1,1)</f>
        <v>0</v>
      </c>
      <c r="CQ78" s="51">
        <v>0</v>
      </c>
      <c r="CR78" s="51">
        <f>IF(K78=$BH$12,$BH$23,IF(K78=$BH$13,$BH$24,10000))</f>
        <v>10000</v>
      </c>
      <c r="CS78" s="51">
        <f ca="1">IF(F78&lt;OFFSET($BM$9,CL78-1,0,1,1),0,IF(F78&lt;OFFSET($BN$9,CL78-1,0,1,1),((F78-OFFSET($BM$9,CL78-1,0,1,1))*OFFSET($CH$9,CL78-1,0,1,1))+OFFSET($BO$9,CL78-1,CQ78,1,1),IF(F78&lt;OFFSET($BN$9,CL78+0,0,1,1),((F78-OFFSET($BM$9,CL78+0,0,1,1))*OFFSET($CH$9,CL78+0,0,1,1))+OFFSET($BO$9,CL78+0,CQ78,1,1),IF(F78&lt;OFFSET($BN$9,CL78+1,0,1,1),((F78-OFFSET($BM$9,CL78+1,0,1,1))*OFFSET($CH$9,CL78+1,0,1,1))+OFFSET($BO$9,CL78+1,CQ78,1,1),IF(F78&lt;OFFSET($BN$9,CL78+2,0,1,1),((F78-OFFSET($BM$9,CL78+2,0,1,1))*OFFSET($CH$9,CL78+2,0,1,1))+OFFSET($BO$9,CL78+2,CQ78,1,1),IF(F78&lt;OFFSET($BN$9,CL78+3,0,1,1),((F78-OFFSET($BM$9,CL78+3,0,1,1))*OFFSET($CH$9,CL78+3,0,1,1))+OFFSET($BO$9,CL78+3,CQ78,1,1),0))))))</f>
        <v>0</v>
      </c>
      <c r="CT78" s="51">
        <f ca="1">IF($F78&lt;OFFSET($BM$9,$CL78-1,0,1,1),0,IF($F78&lt;OFFSET($BN$9,$CL78-1,0,1,1),IF(AND($H78&gt;2.4,Z78&lt;&gt;"e",Z78&lt;&gt;"f"),CX78*2.4/$H78,CX78),IF($F78&lt;OFFSET($BN$9,$CL78+0,0,1,1),IF(AND($H78&gt;2.4,Z78&lt;&gt;"e",Z78&lt;&gt;"f"),CX78*2.4/$H78,CX78),IF($F78&lt;OFFSET($BN$9,$CL78+1,0,1,1),IF(AND($H78&gt;2.4,Z78&lt;&gt;"e",Z78&lt;&gt;"f"),CX78*2.4/$H78,CX78),IF($F78&lt;OFFSET($BN$9,CL78+2,0,1,1),IF(AND($H78&gt;2.4,Z78&lt;&gt;"e",Z78&lt;&gt;"f"),CX78*2.4/$H78,CX78),IF($F78&lt;OFFSET($BN$9,CL78+3,0,1,1),IF(AND($H78&gt;2.4,Z78&lt;&gt;"e",Z78&lt;&gt;"f"),CX78*2.4/$H78,CX78),0)))))*COS(RADIANS($G78)))</f>
        <v>0</v>
      </c>
      <c r="CU78" s="51">
        <f ca="1">IF(F78&lt;OFFSET($BM$9,CL78-1,0,1,1),0,IF(F78&lt;OFFSET($BN$9,CL78-1,0,1,1),((F78-OFFSET($BM$9,CL78-1,0,1,1))*OFFSET($CI$9,CL78-1,0,1,1))+OFFSET($BP$9,CL78-1,CQ78,1,1),IF(F78&lt;OFFSET($BN$9,CL78+0,0,1,1),((F78-OFFSET($BM$9,CL78+0,0,1,1))*OFFSET($CI$9,CL78+0,0,1,1))+OFFSET($BP$9,CL78+0,CQ78,1,1),IF(F78&lt;OFFSET($BN$9,CL78+1,0,1,1),((F78-OFFSET($BM$9,CL78+1,0,1,1))*OFFSET($CI$9,CL78+1,0,1,1))+OFFSET($BP$9,CL78+1,CQ78,1,1),IF(F78&lt;OFFSET($BN$9,CL78+2,0,1,1),((F78-OFFSET($BM$9,CL78+2,0,1,1))*OFFSET($CI$9,CL78+2,0,1,1))+OFFSET($BP$9,CL78+2,CQ78,1,1),IF(F78&lt;OFFSET($BN$9,CL78+3,0,1,1),((F78-OFFSET($BM$9,CL78+3,0,1,1))*OFFSET($CI$9,CL78+3,0,1,1))+OFFSET($BP$9,CL78+3,CQ78,1,1),0))))))</f>
        <v>0</v>
      </c>
      <c r="CV78" s="51">
        <f ca="1">IF($F78&lt;OFFSET($BM$9,$CL78-1,0,1,1),0,IF($F78&lt;OFFSET($BN$9,$CL78-1,0,1,1),IF(AND($H78&gt;2.4,Z78&lt;&gt;"e",Z78&lt;&gt;"f"),CZ78*2.4/$H78,CZ78),IF($F78&lt;OFFSET($BN$9,$CL78+0,0,1,1),IF(AND($H78&gt;2.4,Z78&lt;&gt;"e",Z78&lt;&gt;"f"),CZ78*2.4/$H78,CZ78),IF($F78&lt;OFFSET($BN$9,$CL78+1,0,1,1),IF(AND($H78&gt;2.4,Z78&lt;&gt;"e",Z78&lt;&gt;"f"),CZ78*2.4/$H78,CZ78),IF($F78&lt;OFFSET($BN$9,$CL78+2,0,1,1),IF(AND($H78&gt;2.4,Z78&lt;&gt;"e",Z78&lt;&gt;"f"),CZ78*2.4/$H78,CZ78),IF($F78&lt;OFFSET($BN$9,$CL78+3,0,1,1),IF(AND($H78&gt;2.4,Z78&lt;&gt;"e",Z78&lt;&gt;"f"),CZ78*2.4/$H78,CZ78),0)))))*COS(RADIANS($G78)))</f>
        <v>0</v>
      </c>
      <c r="CW78" s="51">
        <f ca="1">IF(CT78&gt;CR78,CR78,CT78)</f>
        <v>0</v>
      </c>
      <c r="CX78" s="51">
        <f ca="1">IF(CS78&gt;$CR78,$CR78,CS78)</f>
        <v>0</v>
      </c>
      <c r="CY78" s="51">
        <f ca="1">CW78*F78</f>
        <v>0</v>
      </c>
      <c r="CZ78" s="51">
        <f ca="1">IF($CU78&gt;$CR78,$CR78,$CU78)</f>
        <v>0</v>
      </c>
      <c r="DA78" s="51">
        <f ca="1">IF(CV78&gt;CR78,CR78,CV78)</f>
        <v>0</v>
      </c>
      <c r="DB78" s="51">
        <f ca="1">DA78*F78</f>
        <v>0</v>
      </c>
      <c r="DC78" s="993">
        <v>1</v>
      </c>
      <c r="DD78" s="758" t="str">
        <f>IF(OR(D78=BG$12,D78=BG$13),"External",IF(D78=BG$14,"Internal"," "))</f>
        <v xml:space="preserve"> </v>
      </c>
      <c r="DE78" s="51" t="str">
        <f t="shared" ca="1" si="36"/>
        <v/>
      </c>
      <c r="DF78" s="52" t="str">
        <f t="shared" ca="1" si="37"/>
        <v xml:space="preserve"> </v>
      </c>
      <c r="DG78" s="51">
        <f ca="1">IF(F78&lt;OFFSET($BM$9,CN78-1,0,1,1),0,IF(F78&lt;OFFSET($BN$9,CN78-1,0,1,1),((F78-OFFSET($BM$9,CN78-1,0,1,1))*OFFSET($CH$9,CN78-1,0,1,1))+OFFSET($BO$9,CN78-1,CQ78,1,1),IF(F78&lt;OFFSET($BN$9,CN78+0,0,1,1),((F78-OFFSET($BM$9,CN78+0,0,1,1))*OFFSET($CH$9,CN78+0,0,1,1))+OFFSET($BO$9,CN78+0,CQ78,1,1),IF(F78&lt;OFFSET($BN$9,CN78+1,0,1,1),((F78-OFFSET($BM$9,CN78+1,0,1,1))*OFFSET($CH$9,CN78+1,0,1,1))+OFFSET($BO$9,CN78+1,CQ78,1,1),IF(F78&lt;OFFSET($BN$9,CN78+2,0,1,1),((F78-OFFSET($BM$9,CN78+2,0,1,1))*OFFSET($CH$9,CN78+2,0,1,1))+OFFSET($BO$9,CN78+2,CQ78,1,1),IF(F78&lt;OFFSET($BN$9,CN78+3,0,1,1),((F78-OFFSET($BM$9,CN78+3,0,1,1))*OFFSET($CH$9,CN78+3,0,1,1))+OFFSET($BO$9,CN78+3,CQ78,1,1),0))))))</f>
        <v>0</v>
      </c>
      <c r="DH78" s="51">
        <f ca="1">IF($F78&lt;OFFSET($BM$9,$CN78-1,0,1,1),0,IF($F78&lt;OFFSET($BN$9,$CN78-1,0,1,1),IF(AND($H78&gt;2.4,Z78&lt;&gt;"e",Z78&lt;&gt;"f"),DL78*2.4/$H78,DL78),IF($F78&lt;OFFSET($BN$9,$CN78+0,0,1,1),IF(AND($H78&gt;2.4,Z78&lt;&gt;"e",Z78&lt;&gt;"f"),DL78*2.4/$H78,DL78),IF($F78&lt;OFFSET($BN$9,$CN78+1,0,1,1),IF(AND($H78&gt;2.4,Z78&lt;&gt;"e",Z78&lt;&gt;"f"),DL78*2.4/$H78,DL78),IF($F78&lt;OFFSET($BN$9,$CN78+2,0,1,1),IF(AND($H78&gt;2.4,Z78&lt;&gt;"e",Z78&lt;&gt;"f"),DL78*2.4/$H78,DL78),IF($F78&lt;OFFSET($BN$9,$CN78+3,0,1,1),IF(AND($H78&gt;2.4,Z78&lt;&gt;"e",Z78&lt;&gt;"f"),DL78*2.4/$H78,DL78),0)))))*COS(RADIANS($G78)))</f>
        <v>0</v>
      </c>
      <c r="DI78" s="51">
        <f ca="1">IF(F78&lt;OFFSET($BM$9,CN78-1,0,1,1),0,IF(F78&lt;OFFSET($BN$9,CN78-1,0,1,1),((F78-OFFSET($BM$9,CN78-1,0,1,1))*OFFSET($CI$9,CN78-1,0,1,1))+OFFSET($BP$9,CN78-1,CQ78,1,1),IF(F78&lt;OFFSET($BN$9,CN78+0,0,1,1),((F78-OFFSET($BM$9,CN78+0,0,1,1))*OFFSET($CI$9,CN78+0,0,1,1))+OFFSET($BP$9,CN78+0,CQ78,1,1),IF(F78&lt;OFFSET($BN$9,CN78+1,0,1,1),((F78-OFFSET($BM$9,CN78+1,0,1,1))*OFFSET($CI$9,CN78+1,0,1,1))+OFFSET($BP$9,CN78+1,CQ78,1,1),IF(F78&lt;OFFSET($BN$9,CN78+2,0,1,1),((F78-OFFSET($BM$9,CN78+2,0,1,1))*OFFSET($CI$9,CN78+2,0,1,1))+OFFSET($BP$9,CN78+2,CQ78,1,1),IF(F78&lt;OFFSET($BN$9,CN78+3,0,1,1),((F78-OFFSET($BM$9,CN78+3,0,1,1))*OFFSET($CI$9,CN78+3,0,1,1))+OFFSET($BP$9,CN78+3,CQ78,1,1),0))))))</f>
        <v>0</v>
      </c>
      <c r="DJ78" s="51">
        <f ca="1">IF($F78&lt;OFFSET($BM$9,$CN78-1,0,1,1),0,IF($F78&lt;OFFSET($BN$9,$CN78-1,0,1,1),IF(AND($H78&gt;2.4,Z78&lt;&gt;"e",Z78&lt;&gt;"f"),DN78*2.4/$H78,DN78),IF($F78&lt;OFFSET($BN$9,$CN78+0,0,1,1),IF(AND($H78&gt;2.4,Z78&lt;&gt;"e",Z78&lt;&gt;"f"),DN78*2.4/$H78,DN78),IF($F78&lt;OFFSET($BN$9,$CN78+1,0,1,1),IF(AND($H78&gt;2.4,Z78&lt;&gt;"e",Z78&lt;&gt;"f"),DN78*2.4/$H78,DN78),IF($F78&lt;OFFSET($BN$9,$CN78+2,0,1,1),IF(AND($H78&gt;2.4,Z78&lt;&gt;"e",Z78&lt;&gt;"f"),DN78*2.4/$H78,DN78),IF($F78&lt;OFFSET($BN$9,$CN78+3,0,1,1),IF(AND($H78&gt;2.4,Z78&lt;&gt;"e",Z78&lt;&gt;"f"),DN78*2.4/$H78,DN78),0)))))*COS(RADIANS($G78)))</f>
        <v>0</v>
      </c>
      <c r="DK78" s="51"/>
      <c r="DL78" s="51">
        <f ca="1">IF(DG78&gt;$CR78,$CR78,DG78)</f>
        <v>0</v>
      </c>
      <c r="DM78" s="51"/>
      <c r="DN78" s="51">
        <f ca="1">IF(DI78&gt;$CR78,$CR78,DI78)</f>
        <v>0</v>
      </c>
      <c r="DO78" s="435">
        <f ca="1">IF(DH78&gt;$CR78,$CR78,DH78)</f>
        <v>0</v>
      </c>
      <c r="DP78" s="435">
        <f ca="1">DO78*F78</f>
        <v>0</v>
      </c>
      <c r="DQ78" s="436">
        <f ca="1">IF(DJ78&gt;$CR78,$CR78,DJ78)</f>
        <v>0</v>
      </c>
      <c r="DR78" s="437">
        <f ca="1">DQ78*F78</f>
        <v>0</v>
      </c>
      <c r="DS78" s="426">
        <f ca="1">OFFSET($CH$9,CL78-1,-15,1,1)</f>
        <v>0</v>
      </c>
      <c r="DT78" s="451">
        <f ca="1">VLOOKUP(DS78,Prodlink,2,0)</f>
        <v>0</v>
      </c>
      <c r="DU78" s="188">
        <f ca="1">IF(F78&lt;OFFSET($BM$9,DT78-1,0,1,1),0,IF(F78&lt;OFFSET($BN$9,DT78-1,0,1,1),((F78-OFFSET($BM$9,DT78-1,0,1,1))*OFFSET($CH$9,DT78-1,0,1,1))+OFFSET($BO$9,DT78-1,CQ78,1,1),IF(F78&lt;OFFSET($BN$9,DT78+0,0,1,1),((F78-OFFSET($BM$9,DT78+0,0,1,1))*OFFSET($CH$9,DT78+0,0,1,1))+OFFSET($BO$9,DT78+0,CQ78,1,1),IF(F78&lt;OFFSET($BN$9,DT78+1,0,1,1),((F78-OFFSET($BM$9,DT78+1,0,1,1))*OFFSET($CH$9,DT78+1,0,1,1))+OFFSET($BO$9,DT78+1,CQ78,1,1),IF(F78&lt;OFFSET($BN$9,DT78+2,0,1,1),((F78-OFFSET($BM$9,DT78+2,0,1,1))*OFFSET($CH$9,DT78+2,0,1,1))+OFFSET($BO$9,DT78+2,CQ78,1,1),IF(F78&lt;OFFSET($BN$9,DT78+3,0,1,1),((F78-OFFSET($BM$9,DT78+3,0,1,1))*OFFSET($CH$9,DT78+3,0,1,1))+OFFSET($BO$9,DT78+3,CQ78,1,1),0))))))</f>
        <v>0</v>
      </c>
      <c r="DV78" s="51">
        <f ca="1">IF($F78&lt;OFFSET($BM$9,$DT78-1,0,1,1),0,IF($F78&lt;OFFSET($BN$9,$DT78-1,0,1,1),IF(AND($H78&gt;2.4,Z78&lt;&gt;"e",Z78&lt;&gt;"f"),DZ78*2.4/$H78,DZ78),IF($F78&lt;OFFSET($BN$9,$DT78+0,0,1,1),IF(AND($H78&gt;2.4,Z78&lt;&gt;"e",Z78&lt;&gt;"f"),DZ78*2.4/$H78,DZ78),IF($F78&lt;OFFSET($BN$9,$DT78+1,0,1,1),IF(AND($H78&gt;2.4,Z78&lt;&gt;"e",Z78&lt;&gt;"f"),DZ78*2.4/$H78,DZ78),IF($F78&lt;OFFSET($BN$9,$DT78+2,0,1,1),IF(AND($H78&gt;2.4,Z78&lt;&gt;"e",Z78&lt;&gt;"f"),DZ78*2.4/$H78,DZ78),IF($F78&lt;OFFSET($BN$9,$DT78+3,0,1,1),IF(AND($H78&gt;2.4,Z78&lt;&gt;"e",Z78&lt;&gt;"f"),DZ78*2.4/$H78,DZ78),0)))))*COS(RADIANS($G78)))</f>
        <v>0</v>
      </c>
      <c r="DW78" s="188">
        <f ca="1">IF(F78&lt;OFFSET($BM$9,DT78-1,0,1,1),0,IF(F78&lt;OFFSET($BN$9,DT78-1,0,1,1),((F78-OFFSET($BM$9,DT78-1,0,1,1))*OFFSET($CI$9,DT78-1,0,1,1))+OFFSET($BP$9,DT78-1,CQ78,1,1),IF(F78&lt;OFFSET($BN$9,DT78+0,0,1,1),((F78-OFFSET($BM$9,DT78+0,0,1,1))*OFFSET($CI$9,DT78+0,0,1,1))+OFFSET($BP$9,DT78+0,CQ78,1,1),IF(F78&lt;OFFSET($BN$9,DT78+1,0,1,1),((F78-OFFSET($BM$9,DT78+1,0,1,1))*OFFSET($CI$9,DT78+1,0,1,1))+OFFSET($BP$9,DT78+1,CQ78,1,1),IF(F78&lt;OFFSET($BN$9,DT78+2,0,1,1),((F78-OFFSET($BM$9,DT78+2,0,1,1))*OFFSET($CI$9,DT78+2,0,1,1))+OFFSET($BP$9,DT78+2,CQ78,1,1),IF(F78&lt;OFFSET($BN$9,DT78+3,0,1,1),((F78-OFFSET($BM$9,DT78+3,0,1,1))*OFFSET($CI$9,DT78+3,0,1,1))+OFFSET($BP$9,DT78+3,CQ78,1,1),0))))))</f>
        <v>0</v>
      </c>
      <c r="DX78" s="51">
        <f ca="1">IF($F78&lt;OFFSET($BM$9,$DT78-1,0,1,1),0,IF($F78&lt;OFFSET($BN$9,$DT78-1,0,1,1),IF(AND($H78&gt;2.4,Z78&lt;&gt;"e",Z78&lt;&gt;"f"),EB78*2.4/$H78,EB78),IF($F78&lt;OFFSET($BN$9,$DT78+0,0,1,1),IF(AND($H78&gt;2.4,Z78&lt;&gt;"e",Z78&lt;&gt;"f"),EB78*2.4/$H78,EB78),IF($F78&lt;OFFSET($BN$9,$DT78+1,0,1,1),IF(AND($H78&gt;2.4,Z78&lt;&gt;"e",Z78&lt;&gt;"f"),EB78*2.4/$H78,EB78),IF($F78&lt;OFFSET($BN$9,$DT78+2,0,1,1),IF(AND($H78&gt;2.4,Z78&lt;&gt;"e",Z78&lt;&gt;"f"),EB78*2.4/$H78,EB78),IF($F78&lt;OFFSET($BN$9,$DT78+3,0,1,1),IF(AND($H78&gt;2.4,Z78&lt;&gt;"e",Z78&lt;&gt;"f"),EB78*2.4/$H78,EB78),0)))))*COS(RADIANS($G78)))</f>
        <v>0</v>
      </c>
      <c r="DY78" s="188"/>
      <c r="DZ78" s="188">
        <f ca="1">IF(DU78&gt;$CR78,$CR78,DU78)</f>
        <v>0</v>
      </c>
      <c r="EA78" s="188"/>
      <c r="EB78" s="188">
        <f ca="1">IF(DW78&gt;$CR78,$CR78,DW78)</f>
        <v>0</v>
      </c>
      <c r="EC78" s="435">
        <f ca="1">IF(DV78&gt;$CR78,$CR78,DV78)</f>
        <v>0</v>
      </c>
      <c r="ED78" s="435">
        <f ca="1">EC78*F78</f>
        <v>0</v>
      </c>
      <c r="EE78" s="436">
        <f ca="1">IF(DX78&gt;$CR78,$CR78,DX78)</f>
        <v>0</v>
      </c>
      <c r="EF78" s="437">
        <f ca="1">EE78*F78</f>
        <v>0</v>
      </c>
      <c r="EG78" s="613" t="str">
        <f>IF(D78=BG$12,BG$12,"")</f>
        <v/>
      </c>
      <c r="EH78" s="614" t="str">
        <f>IF(D78=BG$13,BG$13,"")</f>
        <v/>
      </c>
      <c r="EI78" s="611">
        <f>IF(EG78=BG$12,M78,0)</f>
        <v>0</v>
      </c>
      <c r="EJ78" s="451">
        <f>IF(EG78=BG$12,O78,0)</f>
        <v>0</v>
      </c>
      <c r="EK78" s="451">
        <f>IF(EH78=BG$13,M78,0)</f>
        <v>0</v>
      </c>
      <c r="EL78" s="612">
        <f>IF(EH78=BG$13,O78,0)</f>
        <v>0</v>
      </c>
      <c r="EM78" s="426" t="str">
        <f ca="1">IF(AND(Z78&lt;&gt;"t",Z78&lt;&gt;"f"),"",IF(AND(EN78=$BH$13,K78=$BH$12),"NotOpt",IF(K78&lt;&gt;EN78,"Error","")))</f>
        <v/>
      </c>
      <c r="EN78" s="491" t="str">
        <f>IF(AND($BH$28=1,$BG$28=1),$BH$13,$BH$12)</f>
        <v>120 BU's</v>
      </c>
      <c r="EO78" s="426" t="str">
        <f>K78</f>
        <v xml:space="preserve"> </v>
      </c>
      <c r="EP78" s="497">
        <v>1</v>
      </c>
      <c r="EQ78" s="430" t="str">
        <f ca="1">IF(EP78=1," ",OFFSET(BF$15,EP78-2,0,1,1))</f>
        <v xml:space="preserve"> </v>
      </c>
      <c r="ER78" s="439" t="str">
        <f ca="1">IF(H78=0," ",H78)</f>
        <v xml:space="preserve"> </v>
      </c>
      <c r="ES78" s="440" t="str">
        <f ca="1">IF(ER78&lt;&gt;" ",IF(ER78&lt;&gt;ER$7,"Changed",""),"")</f>
        <v/>
      </c>
      <c r="ET78" s="440">
        <f ca="1">IF(ER78&lt;&gt;" ",IF(ER78&lt;&gt;ER$7,1,0),0)</f>
        <v>0</v>
      </c>
      <c r="EU78" s="957"/>
      <c r="EW78" s="427"/>
      <c r="EX78"/>
    </row>
    <row r="79" spans="1:154" ht="17.100000000000001" hidden="1" customHeight="1" thickBot="1">
      <c r="A79" s="2685"/>
      <c r="B79" s="2686" t="s">
        <v>8</v>
      </c>
      <c r="C79" s="2687"/>
      <c r="D79" s="1463" t="s">
        <v>8</v>
      </c>
      <c r="E79" s="659"/>
      <c r="F79" s="659"/>
      <c r="G79" s="659"/>
      <c r="H79" s="659"/>
      <c r="I79" s="1462"/>
      <c r="J79" s="1365" t="str">
        <f ca="1">(CONCATENATE(B74,$BE$54))</f>
        <v>X  Line:  Min. Requirement</v>
      </c>
      <c r="K79" s="23"/>
      <c r="L79" s="1019">
        <f ca="1">L$5</f>
        <v>0</v>
      </c>
      <c r="M79" s="48">
        <f ca="1">IF(B74=B68,SUM(M74:M78)+M73,SUM(M74:M78))</f>
        <v>0</v>
      </c>
      <c r="N79" s="1019">
        <f ca="1">N$5</f>
        <v>0</v>
      </c>
      <c r="O79" s="125">
        <f ca="1">IF(B74=B68,SUM(O74:O78)+O73,SUM(O74:O78))</f>
        <v>0</v>
      </c>
      <c r="P79" s="139"/>
      <c r="Q79" s="42" t="str">
        <f ca="1">IF(B74=B80,"",IF(AND(M79&gt;0,L79=L$5,OR(M79&lt;$M$105,M79&lt;$BF$3)),"Achieved &lt; Min Req per Line",IF(AND(O79&gt;0,N79=N$5,OR(O79&lt;$O$105,O79&lt;$BF$3)),"Achieved &lt; Min Req per Line",IF(AND(M79&gt;0,L79&gt;M79),"More Required on this line",IF(AND(O79&gt;0,N79&gt;O79),"More Required on this line",IF(AND(L79&gt;0,L79&lt;$BF$3),$BE$59,IF(AND(N79&gt;0,N79&lt;$BF$3),$BE$59,"")))))))</f>
        <v/>
      </c>
      <c r="R79" s="52"/>
      <c r="S79" s="52"/>
      <c r="T79" s="52"/>
      <c r="U79" s="52"/>
      <c r="V79" s="52"/>
      <c r="W79" s="1000"/>
      <c r="X79" s="9"/>
      <c r="Y79" s="896"/>
      <c r="Z79" s="52"/>
      <c r="AA79" s="51"/>
      <c r="AB79" s="51"/>
      <c r="AC79" s="1"/>
      <c r="BD79" s="652"/>
      <c r="BF79" s="51"/>
      <c r="BG79" s="51"/>
      <c r="BI79" s="759"/>
      <c r="BJ79" s="897">
        <f t="shared" si="28"/>
        <v>71</v>
      </c>
      <c r="BK79" s="1231"/>
      <c r="BL79" s="1234"/>
      <c r="BM79" s="1205"/>
      <c r="BN79" s="1205"/>
      <c r="BO79" s="1205"/>
      <c r="BP79" s="1205"/>
      <c r="BQ79" s="1233"/>
      <c r="BR79" s="1205"/>
      <c r="BS79" s="1205"/>
      <c r="BT79" s="1205"/>
      <c r="BU79" s="1205"/>
      <c r="BV79" s="1233"/>
      <c r="BW79" s="1235"/>
      <c r="BX79" s="1205"/>
      <c r="CH79" s="970"/>
      <c r="CI79" s="971"/>
      <c r="CJ79" s="759"/>
      <c r="CK79" s="188"/>
      <c r="CL79" s="980"/>
      <c r="CM79" s="939"/>
      <c r="CN79" s="940"/>
      <c r="CO79" s="940"/>
      <c r="CP79" s="939"/>
      <c r="CQ79" s="939"/>
      <c r="CR79" s="938"/>
      <c r="CS79" s="938"/>
      <c r="CT79" s="938"/>
      <c r="CU79" s="938"/>
      <c r="CV79" s="938"/>
      <c r="CW79" s="938"/>
      <c r="CX79" s="938"/>
      <c r="CY79" s="938"/>
      <c r="CZ79" s="938"/>
      <c r="DA79" s="938"/>
      <c r="DB79" s="938"/>
      <c r="DC79" s="998">
        <v>1</v>
      </c>
      <c r="DD79" s="938"/>
      <c r="DE79" s="938"/>
      <c r="DF79" s="938"/>
      <c r="DG79" s="938"/>
      <c r="DH79" s="938"/>
      <c r="DI79" s="938"/>
      <c r="DJ79" s="938"/>
      <c r="DK79" s="938"/>
      <c r="DL79" s="938"/>
      <c r="DM79" s="938"/>
      <c r="DN79" s="938"/>
      <c r="DO79" s="941"/>
      <c r="DP79" s="941"/>
      <c r="DQ79" s="941"/>
      <c r="DR79" s="941"/>
      <c r="DS79" s="942"/>
      <c r="DT79" s="943"/>
      <c r="DU79" s="939"/>
      <c r="DV79" s="939"/>
      <c r="DW79" s="939"/>
      <c r="DX79" s="939"/>
      <c r="DY79" s="939"/>
      <c r="DZ79" s="939"/>
      <c r="EA79" s="939"/>
      <c r="EB79" s="939"/>
      <c r="EC79" s="941"/>
      <c r="ED79" s="941"/>
      <c r="EE79" s="941"/>
      <c r="EF79" s="941"/>
      <c r="EG79" s="941"/>
      <c r="EH79" s="941"/>
      <c r="EI79" s="943"/>
      <c r="EJ79" s="943"/>
      <c r="EK79" s="943"/>
      <c r="EL79" s="943"/>
      <c r="EM79" s="942"/>
      <c r="EN79" s="944"/>
      <c r="EO79" s="942"/>
      <c r="EP79" s="1015"/>
      <c r="EQ79" s="945"/>
      <c r="ER79" s="946"/>
      <c r="ES79" s="942"/>
      <c r="ET79" s="942"/>
      <c r="EU79" s="958"/>
      <c r="EW79" s="427"/>
      <c r="EX79"/>
    </row>
    <row r="80" spans="1:154" ht="15" customHeight="1" thickBot="1">
      <c r="A80" s="2685"/>
      <c r="B80" s="2748" t="s">
        <v>488</v>
      </c>
      <c r="C80" s="2749"/>
      <c r="D80" s="2750"/>
      <c r="E80" s="2766"/>
      <c r="F80" s="2767"/>
      <c r="G80" s="2767"/>
      <c r="H80" s="2767"/>
      <c r="I80" s="2767"/>
      <c r="J80" s="2767"/>
      <c r="K80" s="2768"/>
      <c r="L80" s="17"/>
      <c r="M80" s="24" t="s">
        <v>1</v>
      </c>
      <c r="N80" s="16"/>
      <c r="O80" s="127" t="s">
        <v>17</v>
      </c>
      <c r="P80" s="142"/>
      <c r="R80" s="52"/>
      <c r="S80" s="52"/>
      <c r="T80" s="52"/>
      <c r="U80" s="52"/>
      <c r="V80" s="52"/>
      <c r="W80" s="52"/>
      <c r="X80" s="52"/>
      <c r="Y80" s="896"/>
      <c r="Z80" s="52"/>
      <c r="AA80" s="51"/>
      <c r="AB80" s="51"/>
      <c r="AC80" s="9"/>
      <c r="BD80" s="652"/>
      <c r="BE80" s="1"/>
      <c r="BF80" s="51"/>
      <c r="BG80" s="51"/>
      <c r="BI80" s="759"/>
      <c r="BJ80" s="897">
        <f t="shared" si="28"/>
        <v>72</v>
      </c>
      <c r="BK80" s="768" t="str">
        <f>BK74</f>
        <v xml:space="preserve">EPB </v>
      </c>
      <c r="BL80" s="765" t="str">
        <f>Table!AA4</f>
        <v>EM-H</v>
      </c>
      <c r="BM80" s="454">
        <f>Table!AB4</f>
        <v>0.4</v>
      </c>
      <c r="BN80" s="454">
        <f>BM81</f>
        <v>0.6</v>
      </c>
      <c r="BO80" s="454">
        <f>Table!AC4</f>
        <v>98</v>
      </c>
      <c r="BP80" s="924">
        <f>Table!AD4</f>
        <v>100</v>
      </c>
      <c r="BQ80" s="920"/>
      <c r="BR80" s="768" t="str">
        <f>Table!AE4</f>
        <v>ES-H</v>
      </c>
      <c r="BS80" s="454" t="str">
        <f>Table!AE5</f>
        <v>ES-H</v>
      </c>
      <c r="BT80" s="454" t="str">
        <f>Table!AF4</f>
        <v>B</v>
      </c>
      <c r="BU80" s="924" t="s">
        <v>242</v>
      </c>
      <c r="BV80" s="1230" t="str">
        <f>Table!AI75</f>
        <v>EM-H</v>
      </c>
      <c r="BW80" s="1229">
        <f>BJ80</f>
        <v>72</v>
      </c>
      <c r="BX80" s="924" t="str">
        <f>Table!AF5</f>
        <v>Single</v>
      </c>
      <c r="CH80" s="768">
        <f>IF(BN80=999,0,(BO81-BO80)/(BN80-BM80))</f>
        <v>60.000000000000014</v>
      </c>
      <c r="CI80" s="924">
        <f>IF(BN80=999,0,(BP81-BP80)/(BN80-BM80))</f>
        <v>20.000000000000004</v>
      </c>
      <c r="CJ80" s="759"/>
      <c r="CK80" s="188"/>
      <c r="CL80" s="52"/>
      <c r="EW80" s="427"/>
      <c r="EX80"/>
    </row>
    <row r="81" spans="2:154" ht="19.5" customHeight="1">
      <c r="B81" s="2746" t="s">
        <v>219</v>
      </c>
      <c r="C81" s="2747"/>
      <c r="D81" s="164">
        <f ca="1">'Project Demand'!N5</f>
        <v>44439.670989930557</v>
      </c>
      <c r="E81" s="1359"/>
      <c r="F81" s="2773" t="str">
        <f>B4</f>
        <v>Upper Storey</v>
      </c>
      <c r="G81" s="2639"/>
      <c r="H81" s="2773" t="str">
        <f>B3</f>
        <v>Wall Across</v>
      </c>
      <c r="I81" s="2639"/>
      <c r="J81" s="2795" t="str">
        <f>DA4</f>
        <v>Achieved BU's =</v>
      </c>
      <c r="K81" s="2639"/>
      <c r="L81" s="45">
        <f ca="1">M2/M3</f>
        <v>0</v>
      </c>
      <c r="M81" s="46">
        <f ca="1">M2</f>
        <v>0</v>
      </c>
      <c r="N81" s="45">
        <f ca="1">O2/O3</f>
        <v>0</v>
      </c>
      <c r="O81" s="128">
        <f ca="1">O2</f>
        <v>0</v>
      </c>
      <c r="P81" s="133"/>
      <c r="R81" s="52"/>
      <c r="S81" s="52"/>
      <c r="T81" s="52"/>
      <c r="U81" s="52"/>
      <c r="V81" s="52"/>
      <c r="W81" s="52"/>
      <c r="X81" s="52"/>
      <c r="Y81" s="896"/>
      <c r="Z81" s="52"/>
      <c r="AA81" s="52"/>
      <c r="AB81" s="52"/>
      <c r="AC81" s="9"/>
      <c r="BD81" s="652"/>
      <c r="BE81" s="1"/>
      <c r="BF81" s="51"/>
      <c r="BG81" s="51"/>
      <c r="BI81" s="759"/>
      <c r="BJ81" s="897">
        <f t="shared" si="28"/>
        <v>73</v>
      </c>
      <c r="BK81" s="764"/>
      <c r="BL81" s="766"/>
      <c r="BM81" s="455">
        <f>Table!AB5</f>
        <v>0.6</v>
      </c>
      <c r="BN81" s="455">
        <f>BM82</f>
        <v>0.8</v>
      </c>
      <c r="BO81" s="455">
        <f>Table!AC5</f>
        <v>110</v>
      </c>
      <c r="BP81" s="925">
        <f>Table!AD5</f>
        <v>104</v>
      </c>
      <c r="BR81" s="764"/>
      <c r="BS81" s="455"/>
      <c r="BT81" s="455"/>
      <c r="BU81" s="925" t="s">
        <v>242</v>
      </c>
      <c r="BV81" s="895"/>
      <c r="BW81" s="912"/>
      <c r="BX81" s="925" t="str">
        <f>Table!AF5</f>
        <v>Single</v>
      </c>
      <c r="CH81" s="764">
        <f>IF(BN81=999,0,(BO82-BO81)/(BN81-BM81))</f>
        <v>49.999999999999986</v>
      </c>
      <c r="CI81" s="925">
        <f>IF(BN81=999,0,(BP82-BP81)/(BN81-BM81))</f>
        <v>24.999999999999993</v>
      </c>
      <c r="CJ81" s="759"/>
      <c r="CK81" s="188"/>
      <c r="CL81" s="52"/>
      <c r="EI81" s="870">
        <f ca="1">SUM(EI8:EI78)</f>
        <v>0</v>
      </c>
      <c r="EJ81" s="870">
        <f ca="1">SUM(EJ8:EJ78)</f>
        <v>0</v>
      </c>
      <c r="EK81" s="870">
        <f>SUM(EK8:EK78)</f>
        <v>0</v>
      </c>
      <c r="EL81" s="870">
        <f>SUM(EL8:EL78)</f>
        <v>0</v>
      </c>
      <c r="EM81" s="426" t="str">
        <f>IF(AND(K80&lt;&gt;"120 BU's",K80&lt;&gt;"150 BU's",K80&lt;&gt;" ",Z80="t",OR($BG$28=1,$BH$28=2)),"Error","")</f>
        <v/>
      </c>
      <c r="EN81" s="438"/>
      <c r="ET81" s="870">
        <f ca="1">SUM(ET8:ET78)</f>
        <v>0</v>
      </c>
      <c r="EU81" s="870">
        <f ca="1">SUM(EU8:EU78)</f>
        <v>0</v>
      </c>
      <c r="EW81" s="427"/>
      <c r="EX81"/>
    </row>
    <row r="82" spans="2:154" ht="18" customHeight="1" thickBot="1">
      <c r="B82" s="2770" t="str">
        <f>FP</f>
        <v>Elephant QuickBrace™ September 2018  V.1.0</v>
      </c>
      <c r="C82" s="2771"/>
      <c r="D82" s="2771"/>
      <c r="E82" s="2771"/>
      <c r="F82" s="2771"/>
      <c r="G82" s="2771"/>
      <c r="H82" s="2772"/>
      <c r="I82" s="2757" t="str">
        <f>K3</f>
        <v>Total Demand =</v>
      </c>
      <c r="J82" s="2758"/>
      <c r="K82" s="2759"/>
      <c r="L82" s="1795" t="str">
        <f>$BH$3</f>
        <v>Bu's</v>
      </c>
      <c r="M82" s="1796">
        <f>M3</f>
        <v>210</v>
      </c>
      <c r="N82" s="1795" t="str">
        <f>$BH$3</f>
        <v>Bu's</v>
      </c>
      <c r="O82" s="1797">
        <f>O3</f>
        <v>523</v>
      </c>
      <c r="P82" s="132"/>
      <c r="R82" s="52"/>
      <c r="S82" s="52"/>
      <c r="T82" s="52"/>
      <c r="U82" s="52"/>
      <c r="V82" s="52"/>
      <c r="W82" s="52"/>
      <c r="X82" s="52"/>
      <c r="Y82" s="896"/>
      <c r="Z82" s="52"/>
      <c r="AA82" s="52"/>
      <c r="AB82" s="52"/>
      <c r="AC82" s="9"/>
      <c r="BD82" s="652"/>
      <c r="BE82" s="1"/>
      <c r="BF82" s="51"/>
      <c r="BG82" s="51"/>
      <c r="BI82" s="759"/>
      <c r="BJ82" s="897">
        <f t="shared" ref="BJ82:BJ88" si="38">BJ81+1</f>
        <v>74</v>
      </c>
      <c r="BK82" s="764"/>
      <c r="BL82" s="766"/>
      <c r="BM82" s="455">
        <f>Table!AB6</f>
        <v>0.8</v>
      </c>
      <c r="BN82" s="455">
        <f>BM83</f>
        <v>1</v>
      </c>
      <c r="BO82" s="455">
        <f>Table!AC6</f>
        <v>120</v>
      </c>
      <c r="BP82" s="925">
        <f>Table!AD6</f>
        <v>109</v>
      </c>
      <c r="BR82" s="764"/>
      <c r="BS82" s="455"/>
      <c r="BT82" s="455"/>
      <c r="BU82" s="925" t="s">
        <v>242</v>
      </c>
      <c r="BV82" s="895"/>
      <c r="BW82" s="912"/>
      <c r="BX82" s="925" t="str">
        <f>Table!AF5</f>
        <v>Single</v>
      </c>
      <c r="CH82" s="764">
        <f>IF(BN82=999,0,(BO83-BO82)/(BN82-BM82))</f>
        <v>55.000000000000014</v>
      </c>
      <c r="CI82" s="925">
        <f>IF(BN82=999,0,(BP83-BP82)/(BN82-BM82))</f>
        <v>10.000000000000002</v>
      </c>
      <c r="CJ82" s="759"/>
      <c r="CK82" s="188"/>
      <c r="CL82" s="52"/>
      <c r="EI82" s="871">
        <f ca="1">SUM(EI8:EI12)+(IF($B14=$B8,IF($B20=$B8,(SUM(EI20:EI25)+SUM(EI14:EI18)),SUM(EI14:EI18)),0))</f>
        <v>0</v>
      </c>
      <c r="EJ82" s="872">
        <f ca="1">SUM(EJ8:EJ12)+(IF($B14=$B8,IF($B20=$B8,(SUM(EJ20:EJ25)+SUM(EJ14:EJ18)),SUM(EJ14:EJ18)),0))</f>
        <v>0</v>
      </c>
      <c r="EK82" s="872">
        <f ca="1">SUM(EK8:EK12)+(IF($B14=$B8,IF($B20=$B8,(SUM(EK20:EK25)+SUM(EK14:EK18)),SUM(EK14:EK18)),0))</f>
        <v>0</v>
      </c>
      <c r="EL82" s="873">
        <f ca="1">SUM(EL8:EL12)+(IF($B14=$B8,IF($B20=$B8,(SUM(EL20:EL25)+SUM(EL14:EL18)),SUM(EL14:EL18)),0))</f>
        <v>0</v>
      </c>
      <c r="EW82" s="427"/>
      <c r="EX82"/>
    </row>
    <row r="83" spans="2:154" ht="15" customHeight="1">
      <c r="B83" s="543" t="s">
        <v>898</v>
      </c>
      <c r="C83" s="129"/>
      <c r="D83" s="129"/>
      <c r="E83" s="129"/>
      <c r="F83" s="129"/>
      <c r="G83" s="154" t="str">
        <f>IF('Project Demand'!AQ59=2,"Alternatively Sourced Demands are used in this sheet","")</f>
        <v/>
      </c>
      <c r="H83" s="130"/>
      <c r="I83" s="130"/>
      <c r="J83" s="130"/>
      <c r="K83" s="130"/>
      <c r="L83" s="2760" t="str">
        <f ca="1">IF(M81&lt;M82,"NOT Enough","")</f>
        <v>NOT Enough</v>
      </c>
      <c r="M83" s="2760"/>
      <c r="N83" s="2760" t="str">
        <f ca="1">IF(O81&lt;O82,"NOT Enough","")</f>
        <v>NOT Enough</v>
      </c>
      <c r="O83" s="2769"/>
      <c r="P83" s="122"/>
      <c r="R83" s="52"/>
      <c r="S83" s="52"/>
      <c r="T83" s="52"/>
      <c r="U83" s="52"/>
      <c r="V83" s="52"/>
      <c r="W83" s="52"/>
      <c r="X83" s="52"/>
      <c r="Y83" s="896"/>
      <c r="Z83" s="52"/>
      <c r="AA83" s="52"/>
      <c r="AB83" s="52"/>
      <c r="AC83" s="9"/>
      <c r="AD83" s="1"/>
      <c r="AE83" s="1"/>
      <c r="AF83" s="1"/>
      <c r="AG83" s="1"/>
      <c r="AH83" s="1"/>
      <c r="AI83" s="1"/>
      <c r="AJ83" s="1"/>
      <c r="AK83" s="1"/>
      <c r="AL83" s="1"/>
      <c r="AM83" s="1"/>
      <c r="AN83" s="1"/>
      <c r="AO83" s="1"/>
      <c r="AP83" s="1"/>
      <c r="AQ83" s="1"/>
      <c r="AR83" s="1"/>
      <c r="AS83" s="6"/>
      <c r="AT83" s="6"/>
      <c r="AU83" s="6"/>
      <c r="AW83" s="1"/>
      <c r="BD83" s="652"/>
      <c r="BE83" s="1"/>
      <c r="BF83" s="51"/>
      <c r="BG83" s="51"/>
      <c r="BI83" s="759"/>
      <c r="BJ83" s="897">
        <f t="shared" si="38"/>
        <v>75</v>
      </c>
      <c r="BK83" s="764"/>
      <c r="BL83" s="766"/>
      <c r="BM83" s="455">
        <f>Table!AB7</f>
        <v>1</v>
      </c>
      <c r="BN83" s="455">
        <f>BM84</f>
        <v>1.2</v>
      </c>
      <c r="BO83" s="455">
        <f>Table!AC7</f>
        <v>131</v>
      </c>
      <c r="BP83" s="925">
        <f>Table!AD7</f>
        <v>111</v>
      </c>
      <c r="BR83" s="764"/>
      <c r="BS83" s="455"/>
      <c r="BT83" s="455"/>
      <c r="BU83" s="925" t="s">
        <v>242</v>
      </c>
      <c r="BV83" s="895"/>
      <c r="BW83" s="912"/>
      <c r="BX83" s="925" t="str">
        <f>Table!AF5</f>
        <v>Single</v>
      </c>
      <c r="CH83" s="764">
        <f>IF(BN83=999,0,(BO84-BO83)/(BN83-BM83))</f>
        <v>45.000000000000007</v>
      </c>
      <c r="CI83" s="925">
        <f>IF(BN83=999,0,(BP84-BP83)/(BN83-BM83))</f>
        <v>20.000000000000004</v>
      </c>
      <c r="CJ83" s="759"/>
      <c r="CL83" s="52"/>
      <c r="EW83" s="427"/>
    </row>
    <row r="84" spans="2:154" ht="14.1" customHeight="1" thickBot="1">
      <c r="B84" s="131" t="str">
        <f ca="1">IF(ISERROR(FIND("Error",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EM68&amp;EM69&amp;EM70&amp;EM71&amp;EM72&amp;EM74&amp;EM75&amp;EM76&amp;EM77&amp;EM78,1)),"","* Floor type design limit declined")</f>
        <v/>
      </c>
      <c r="C84"/>
      <c r="D84"/>
      <c r="E84"/>
      <c r="F84"/>
      <c r="H84"/>
      <c r="I84" s="1"/>
      <c r="J84" s="57" t="str">
        <f ca="1">IF(ISERROR(FIND("Achieved &lt;",Q13&amp;Q19&amp;Q25&amp;Q31&amp;Q37&amp;Q43&amp;Q49&amp;Q55&amp;Q61&amp;Q67&amp;Q73&amp;Q79,1)),"","* Minimum Req./Line not reached")</f>
        <v/>
      </c>
      <c r="K84"/>
      <c r="L84"/>
      <c r="M84"/>
      <c r="N84"/>
      <c r="O84" s="118"/>
      <c r="Q84" s="52"/>
      <c r="R84" s="52"/>
      <c r="S84" s="52"/>
      <c r="T84" s="52"/>
      <c r="U84" s="52"/>
      <c r="V84" s="52"/>
      <c r="W84" s="52"/>
      <c r="X84" s="52"/>
      <c r="Y84" s="896"/>
      <c r="Z84" s="52"/>
      <c r="AA84" s="52"/>
      <c r="AB84" s="52"/>
      <c r="AC84" s="9"/>
      <c r="AD84" s="31"/>
      <c r="AE84" s="31"/>
      <c r="AF84" s="31"/>
      <c r="AG84" s="31"/>
      <c r="AH84" s="1"/>
      <c r="AI84" s="1"/>
      <c r="AJ84" s="31"/>
      <c r="AK84" s="31"/>
      <c r="AL84" s="31"/>
      <c r="AM84" s="1"/>
      <c r="AN84" s="1"/>
      <c r="AO84" s="1"/>
      <c r="AP84" s="1"/>
      <c r="AQ84" s="1"/>
      <c r="AR84" s="1"/>
      <c r="AS84" s="6"/>
      <c r="AT84" s="6"/>
      <c r="AU84" s="6"/>
      <c r="AW84" s="1"/>
      <c r="BD84" s="652"/>
      <c r="BE84" s="1"/>
      <c r="BF84" s="51"/>
      <c r="BG84" s="51"/>
      <c r="BI84" s="759"/>
      <c r="BJ84" s="897">
        <f t="shared" si="38"/>
        <v>76</v>
      </c>
      <c r="BK84" s="908"/>
      <c r="BL84" s="767"/>
      <c r="BM84" s="776">
        <f>Table!AB8</f>
        <v>1.2</v>
      </c>
      <c r="BN84" s="776">
        <v>999</v>
      </c>
      <c r="BO84" s="776">
        <f>Table!AC8</f>
        <v>140</v>
      </c>
      <c r="BP84" s="926">
        <f>Table!AD8</f>
        <v>115</v>
      </c>
      <c r="BQ84" s="1183"/>
      <c r="BR84" s="908"/>
      <c r="BS84" s="776"/>
      <c r="BT84" s="776"/>
      <c r="BU84" s="926" t="s">
        <v>242</v>
      </c>
      <c r="BV84" s="433"/>
      <c r="BW84" s="914"/>
      <c r="BX84" s="926" t="str">
        <f>Table!AF5</f>
        <v>Single</v>
      </c>
      <c r="CH84" s="908">
        <f>IF(BN84=999,0,(BO85-BO84)/(BN84-BM84))</f>
        <v>0</v>
      </c>
      <c r="CI84" s="926">
        <f>IF(BN84=999,0,(BP85-BP84)/(BN84-BM84))</f>
        <v>0</v>
      </c>
      <c r="CJ84" s="759"/>
      <c r="CK84" s="498"/>
      <c r="CL84" s="52"/>
      <c r="EW84" s="427"/>
    </row>
    <row r="85" spans="2:154" ht="14.1" customHeight="1" thickBot="1">
      <c r="B85" s="2753" t="str">
        <f ca="1">IF(OR((L79+N79)&lt;&gt;(L$5+N$5),(L73+N73)&lt;&gt;(L$5+N$5),(L67+N67)&lt;&gt;(L$5+N$5),(L61+N61)&lt;&gt;(L$5+N$5),(L55+N55)&lt;&gt;(L$5+N$5),(L49+N49)&lt;&gt;(L$5+N$5),(L43+N43)&lt;&gt;(L$5+N$5),(L37+N37)&lt;&gt;(L$5+N$5),(L31+N31)&lt;&gt;(L$5+N$5),(L25+N25)&lt;&gt;(L$5+N$5),(L19+N19)&lt;&gt;(L$5+N$5),(L13+N13)&lt;&gt;(L$5+N$5)),$BE$68,"")</f>
        <v/>
      </c>
      <c r="C85" s="2754"/>
      <c r="D85" s="2754"/>
      <c r="E85" s="2754"/>
      <c r="F85" s="2754"/>
      <c r="G85" s="492"/>
      <c r="H85" s="492"/>
      <c r="I85" s="493"/>
      <c r="J85" s="495" t="str">
        <f ca="1">IF(ISERROR(FIND("More R",Q13&amp;Q19&amp;Q25&amp;Q31&amp;Q37&amp;Q43&amp;Q49&amp;Q55&amp;Q61&amp;Q67&amp;Q73&amp;Q79,1)),"","* More required for Overridden Minimum Req./Line ")</f>
        <v/>
      </c>
      <c r="K85" s="492"/>
      <c r="L85" s="1454"/>
      <c r="M85" s="1454"/>
      <c r="N85" s="1454"/>
      <c r="O85" s="1455"/>
      <c r="Q85" s="52"/>
      <c r="R85" s="52"/>
      <c r="S85" s="52"/>
      <c r="T85" s="52"/>
      <c r="U85" s="52"/>
      <c r="V85" s="52"/>
      <c r="W85" s="52"/>
      <c r="X85" s="52"/>
      <c r="Y85" s="896"/>
      <c r="Z85" s="52"/>
      <c r="AA85" s="52"/>
      <c r="AB85" s="52"/>
      <c r="AC85" s="9"/>
      <c r="AD85" s="31"/>
      <c r="AE85" s="31"/>
      <c r="AF85" s="31"/>
      <c r="AG85" s="31"/>
      <c r="AH85" s="1"/>
      <c r="AI85" s="1"/>
      <c r="AJ85" s="31"/>
      <c r="AK85" s="31"/>
      <c r="AL85" s="31"/>
      <c r="AM85" s="1"/>
      <c r="AN85" s="1"/>
      <c r="AO85" s="1"/>
      <c r="AP85" s="1"/>
      <c r="AQ85" s="1"/>
      <c r="AR85" s="1"/>
      <c r="AS85" s="6"/>
      <c r="AT85" s="6"/>
      <c r="AU85" s="6"/>
      <c r="AW85" s="1"/>
      <c r="BD85" s="652"/>
      <c r="BE85" s="1"/>
      <c r="BF85" s="51"/>
      <c r="BG85" s="51"/>
      <c r="BI85" s="759"/>
      <c r="BJ85" s="897">
        <f t="shared" si="38"/>
        <v>77</v>
      </c>
      <c r="BK85" s="1231"/>
      <c r="BL85" s="1234"/>
      <c r="BM85" s="1205"/>
      <c r="BN85" s="1205"/>
      <c r="BO85" s="1205"/>
      <c r="BP85" s="1205"/>
      <c r="BQ85" s="1233"/>
      <c r="BR85" s="1205"/>
      <c r="BS85" s="1205"/>
      <c r="BT85" s="1205"/>
      <c r="BU85" s="1205"/>
      <c r="BV85" s="1233"/>
      <c r="BW85" s="1235"/>
      <c r="BX85" s="1205"/>
      <c r="CH85" s="970"/>
      <c r="CI85" s="971"/>
      <c r="CJ85" s="759"/>
      <c r="CK85" s="498"/>
      <c r="CL85" s="52"/>
      <c r="EW85" s="427"/>
    </row>
    <row r="86" spans="2:154" ht="24" customHeight="1" thickBot="1">
      <c r="B86" s="869" t="s">
        <v>899</v>
      </c>
      <c r="C86" s="496"/>
      <c r="D86" s="496"/>
      <c r="E86" s="496"/>
      <c r="F86" s="56"/>
      <c r="G86" s="56"/>
      <c r="H86" s="56"/>
      <c r="I86" s="2755" t="str">
        <f ca="1">IF(ISERROR(FIND("NotOpt",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Q68&amp;Q69&amp;Q70&amp;Q71&amp;Q72&amp;Q74&amp;Q75&amp;Q76&amp;Q77&amp;Q78,1)),"","* Floor type design limit Not Optimised")</f>
        <v/>
      </c>
      <c r="J86" s="2755"/>
      <c r="K86" s="2756"/>
      <c r="L86" s="2763" t="s">
        <v>1089</v>
      </c>
      <c r="M86" s="2764"/>
      <c r="N86" s="2764"/>
      <c r="O86" s="2765"/>
      <c r="P86" s="58"/>
      <c r="Q86" s="52"/>
      <c r="R86" s="52"/>
      <c r="S86" s="52"/>
      <c r="T86" s="52"/>
      <c r="U86" s="52"/>
      <c r="V86" s="52"/>
      <c r="W86" s="52"/>
      <c r="X86" s="52"/>
      <c r="Y86" s="896"/>
      <c r="Z86" s="52"/>
      <c r="AA86" s="52"/>
      <c r="AB86" s="52"/>
      <c r="AC86" s="9"/>
      <c r="AD86" s="31"/>
      <c r="AE86" s="31"/>
      <c r="AF86" s="31"/>
      <c r="AG86" s="31"/>
      <c r="AH86" s="1"/>
      <c r="AI86" s="1"/>
      <c r="AJ86" s="31"/>
      <c r="AK86" s="31"/>
      <c r="AL86" s="31"/>
      <c r="AM86" s="1"/>
      <c r="AN86" s="1"/>
      <c r="AO86" s="1"/>
      <c r="AP86" s="1"/>
      <c r="AQ86" s="1"/>
      <c r="AR86" s="1"/>
      <c r="AS86" s="6"/>
      <c r="AT86" s="6"/>
      <c r="AU86" s="6"/>
      <c r="AW86" s="1"/>
      <c r="BD86" s="652"/>
      <c r="BE86" s="1"/>
      <c r="BF86" s="51"/>
      <c r="BG86" s="51"/>
      <c r="BI86" s="759"/>
      <c r="BJ86" s="897">
        <f t="shared" si="38"/>
        <v>78</v>
      </c>
      <c r="BK86" s="768" t="str">
        <f>BK80</f>
        <v xml:space="preserve">EPB </v>
      </c>
      <c r="BL86" s="765" t="str">
        <f>Table!AA10</f>
        <v>EMSH</v>
      </c>
      <c r="BM86" s="454">
        <f>Table!AB10</f>
        <v>0.4</v>
      </c>
      <c r="BN86" s="454">
        <f>BM87</f>
        <v>0.6</v>
      </c>
      <c r="BO86" s="454">
        <f>Table!AC10</f>
        <v>110</v>
      </c>
      <c r="BP86" s="924">
        <f>Table!AD10</f>
        <v>115</v>
      </c>
      <c r="BQ86" s="920"/>
      <c r="BR86" s="768" t="str">
        <f>Table!AE10</f>
        <v>ESSH</v>
      </c>
      <c r="BS86" s="454" t="str">
        <f>Table!AE11</f>
        <v>ESSH</v>
      </c>
      <c r="BT86" s="454" t="str">
        <f>Table!AF10</f>
        <v>I</v>
      </c>
      <c r="BU86" s="924" t="s">
        <v>242</v>
      </c>
      <c r="BV86" s="1230" t="str">
        <f>Table!AI80</f>
        <v>EMSH</v>
      </c>
      <c r="BW86" s="1229">
        <f>BJ86</f>
        <v>78</v>
      </c>
      <c r="BX86" s="924" t="str">
        <f>Table!AF11</f>
        <v>Double</v>
      </c>
      <c r="CH86" s="768">
        <f>IF(BN86=999,0,(BO87-BO86)/(BN86-BM86))</f>
        <v>120.00000000000003</v>
      </c>
      <c r="CI86" s="924">
        <f>IF(BN86=999,0,(BP87-BP86)/(BN86-BM86))</f>
        <v>115.00000000000003</v>
      </c>
      <c r="CJ86" s="759"/>
      <c r="CK86" s="498"/>
      <c r="CL86" s="52"/>
      <c r="EW86" s="427"/>
    </row>
    <row r="87" spans="2:154" ht="24" customHeight="1">
      <c r="B87" s="131" t="str">
        <f ca="1">IF(ISERROR(FIND("check L",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Minimum wall length not acheived for some systems")</f>
        <v/>
      </c>
      <c r="C87" s="494"/>
      <c r="D87" s="494"/>
      <c r="E87" s="494"/>
      <c r="F87"/>
      <c r="G87" s="1"/>
      <c r="J87" s="58"/>
      <c r="K87" s="163"/>
      <c r="L87" s="2839" t="s">
        <v>1</v>
      </c>
      <c r="M87" s="2840"/>
      <c r="N87" s="2623" t="s">
        <v>17</v>
      </c>
      <c r="O87" s="2841"/>
      <c r="P87" s="58"/>
      <c r="Q87" s="52"/>
      <c r="R87" s="52"/>
      <c r="S87" s="52"/>
      <c r="T87" s="52"/>
      <c r="U87" s="52"/>
      <c r="V87" s="52"/>
      <c r="W87" s="52"/>
      <c r="X87" s="52"/>
      <c r="Y87" s="896"/>
      <c r="Z87" s="52"/>
      <c r="AA87" s="52"/>
      <c r="AB87" s="52"/>
      <c r="AC87" s="9"/>
      <c r="AD87" s="31"/>
      <c r="AE87" s="31"/>
      <c r="AF87" s="31"/>
      <c r="AG87" s="31"/>
      <c r="AH87" s="1"/>
      <c r="AI87" s="1"/>
      <c r="AJ87" s="31"/>
      <c r="AK87" s="31"/>
      <c r="AL87" s="31"/>
      <c r="AM87" s="1"/>
      <c r="AN87" s="1"/>
      <c r="AO87" s="1"/>
      <c r="AP87" s="1"/>
      <c r="AQ87" s="1"/>
      <c r="AR87" s="1"/>
      <c r="AS87" s="6"/>
      <c r="AT87" s="6"/>
      <c r="AU87" s="6"/>
      <c r="AW87" s="1"/>
      <c r="BD87" s="652"/>
      <c r="BE87" s="1"/>
      <c r="BF87" s="51"/>
      <c r="BG87" s="51"/>
      <c r="BI87" s="759"/>
      <c r="BJ87" s="897">
        <f t="shared" si="38"/>
        <v>79</v>
      </c>
      <c r="BK87" s="764"/>
      <c r="BL87" s="766"/>
      <c r="BM87" s="455">
        <f>Table!AB11</f>
        <v>0.6</v>
      </c>
      <c r="BN87" s="455">
        <f>BM88</f>
        <v>0.8</v>
      </c>
      <c r="BO87" s="455">
        <f>Table!AC11</f>
        <v>134</v>
      </c>
      <c r="BP87" s="925">
        <f>Table!AD11</f>
        <v>138</v>
      </c>
      <c r="BR87" s="764"/>
      <c r="BS87" s="455"/>
      <c r="BT87" s="455"/>
      <c r="BU87" s="925" t="s">
        <v>242</v>
      </c>
      <c r="BV87" s="895"/>
      <c r="BW87" s="912"/>
      <c r="BX87" s="925" t="str">
        <f>Table!AF11</f>
        <v>Double</v>
      </c>
      <c r="CH87" s="764">
        <f>IF(BN87=999,0,(BO88-BO87)/(BN87-BM87))</f>
        <v>44.999999999999986</v>
      </c>
      <c r="CI87" s="925">
        <f>IF(BN87=999,0,(BP88-BP87)/(BN87-BM87))</f>
        <v>-19.999999999999993</v>
      </c>
      <c r="CJ87" s="759"/>
      <c r="CK87" s="498"/>
      <c r="CL87" s="52"/>
      <c r="EW87" s="427"/>
    </row>
    <row r="88" spans="2:154" ht="24" customHeight="1">
      <c r="B88" s="131" t="str">
        <f ca="1">IF(ISERROR(FIND(BE66,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Internal Systems on External Walls.  Are you sure?")</f>
        <v/>
      </c>
      <c r="C88" s="35"/>
      <c r="D88" s="141"/>
      <c r="E88" s="141"/>
      <c r="F88" s="143"/>
      <c r="G88" s="144"/>
      <c r="H88" s="31"/>
      <c r="I88" s="1376" t="str">
        <f ca="1">IF(ISERROR(FIND(BE67,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Double Sided System on Single Sided Wall")</f>
        <v/>
      </c>
      <c r="L88" s="1357" t="str">
        <f>IF($BG$4=1,$BG$42,$BH$42)</f>
        <v>Left    Line</v>
      </c>
      <c r="M88" s="1434" t="str">
        <f>IF($BG$4=1,$BG$43,$BH$43)</f>
        <v>Right  Line</v>
      </c>
      <c r="N88" s="1449" t="str">
        <f>IF($BG$4=1,$BG$42,$BH$42)</f>
        <v>Left    Line</v>
      </c>
      <c r="O88" s="1358" t="str">
        <f>IF($BG$4=1,$BG$43,$BH$43)</f>
        <v>Right  Line</v>
      </c>
      <c r="Q88" s="52"/>
      <c r="R88" s="52"/>
      <c r="S88" s="52"/>
      <c r="T88" s="52"/>
      <c r="U88" s="52"/>
      <c r="V88" s="52"/>
      <c r="W88" s="52"/>
      <c r="X88" s="52"/>
      <c r="Y88" s="896"/>
      <c r="Z88" s="52" t="s">
        <v>8</v>
      </c>
      <c r="AA88" s="51"/>
      <c r="AB88" s="51"/>
      <c r="AC88" s="1"/>
      <c r="AD88" s="31"/>
      <c r="AE88" s="31"/>
      <c r="AF88" s="31"/>
      <c r="AG88" s="31"/>
      <c r="AH88" s="1"/>
      <c r="AI88" s="1"/>
      <c r="AJ88" s="31"/>
      <c r="AK88" s="31"/>
      <c r="AL88" s="31"/>
      <c r="AM88" s="1"/>
      <c r="AN88" s="1"/>
      <c r="AO88" s="1"/>
      <c r="AP88" s="1"/>
      <c r="AQ88" s="1"/>
      <c r="AR88" s="1"/>
      <c r="AS88" s="6"/>
      <c r="AT88" s="6"/>
      <c r="AU88" s="6"/>
      <c r="AW88" s="1"/>
      <c r="BD88" s="652"/>
      <c r="BE88" s="1"/>
      <c r="BF88" s="51"/>
      <c r="BG88" s="51"/>
      <c r="BI88" s="759"/>
      <c r="BJ88" s="897">
        <f t="shared" si="38"/>
        <v>80</v>
      </c>
      <c r="BK88" s="764"/>
      <c r="BL88" s="766"/>
      <c r="BM88" s="455">
        <f>Table!AB12</f>
        <v>0.8</v>
      </c>
      <c r="BN88" s="455">
        <f>BM89</f>
        <v>1</v>
      </c>
      <c r="BO88" s="455">
        <f>Table!AC12</f>
        <v>143</v>
      </c>
      <c r="BP88" s="925">
        <f>Table!AD12</f>
        <v>134</v>
      </c>
      <c r="BR88" s="764"/>
      <c r="BS88" s="455"/>
      <c r="BT88" s="455"/>
      <c r="BU88" s="925" t="s">
        <v>242</v>
      </c>
      <c r="BV88" s="895"/>
      <c r="BW88" s="912"/>
      <c r="BX88" s="925" t="str">
        <f>Table!AF11</f>
        <v>Double</v>
      </c>
      <c r="CH88" s="764">
        <f>IF(BN88=999,0,(BO89-BO88)/(BN88-BM88))</f>
        <v>45.000000000000007</v>
      </c>
      <c r="CI88" s="925">
        <f>IF(BN88=999,0,(BP89-BP88)/(BN88-BM88))</f>
        <v>35.000000000000007</v>
      </c>
      <c r="CJ88" s="759"/>
      <c r="CK88" s="498"/>
      <c r="CL88" s="52"/>
      <c r="EW88" s="427"/>
    </row>
    <row r="89" spans="2:154" ht="24" customHeight="1" thickBot="1">
      <c r="B89" s="162" t="str">
        <f ca="1">IF(ISERROR(FIND(BE62,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External Systems on Internal Walls. Are you sure?")</f>
        <v/>
      </c>
      <c r="C89" s="145"/>
      <c r="D89" s="145"/>
      <c r="E89" s="145"/>
      <c r="F89" s="145"/>
      <c r="G89" s="146"/>
      <c r="H89" s="146"/>
      <c r="L89" s="2751" t="str">
        <f ca="1">IF(AND(L90&gt;=L92,M90&gt;=L92),"Achieved","Not reached")</f>
        <v>Not reached</v>
      </c>
      <c r="M89" s="2752"/>
      <c r="N89" s="2774" t="str">
        <f ca="1">IF(AND(N90&gt;=N92,O90&gt;=N92),"Achieved","Not reached")</f>
        <v>Not reached</v>
      </c>
      <c r="O89" s="2775"/>
      <c r="P89" s="51"/>
      <c r="Q89" s="52"/>
      <c r="R89" s="52"/>
      <c r="S89" s="52"/>
      <c r="T89" s="52"/>
      <c r="U89" s="52"/>
      <c r="V89" s="52"/>
      <c r="W89" s="52"/>
      <c r="X89" s="52"/>
      <c r="Y89" s="896"/>
      <c r="Z89" s="52" t="s">
        <v>8</v>
      </c>
      <c r="AA89" s="51"/>
      <c r="AB89" s="51"/>
      <c r="AC89" s="1"/>
      <c r="AD89" s="31"/>
      <c r="AE89" s="31"/>
      <c r="AF89" s="31"/>
      <c r="AG89" s="31"/>
      <c r="AH89" s="1"/>
      <c r="AI89" s="1"/>
      <c r="AJ89" s="31"/>
      <c r="AK89" s="31"/>
      <c r="AL89" s="31"/>
      <c r="AM89" s="1"/>
      <c r="AN89" s="1"/>
      <c r="AO89" s="1"/>
      <c r="AP89" s="1"/>
      <c r="AQ89" s="1"/>
      <c r="AR89" s="1"/>
      <c r="AS89" s="6"/>
      <c r="AT89" s="6"/>
      <c r="AU89" s="6"/>
      <c r="AW89" s="1"/>
      <c r="BD89" s="652"/>
      <c r="BE89" s="1"/>
      <c r="BF89" s="51"/>
      <c r="BG89" s="51"/>
      <c r="BI89" s="759"/>
      <c r="BJ89" s="897">
        <f t="shared" ref="BJ89:BJ96" si="39">BJ88+1</f>
        <v>81</v>
      </c>
      <c r="BK89" s="764"/>
      <c r="BL89" s="766"/>
      <c r="BM89" s="455">
        <f>Table!AB13</f>
        <v>1</v>
      </c>
      <c r="BN89" s="455">
        <f>BM90</f>
        <v>1.2</v>
      </c>
      <c r="BO89" s="455">
        <f>Table!AC13</f>
        <v>152</v>
      </c>
      <c r="BP89" s="925">
        <f>Table!AD13</f>
        <v>141</v>
      </c>
      <c r="BR89" s="764"/>
      <c r="BS89" s="455"/>
      <c r="BT89" s="455"/>
      <c r="BU89" s="925" t="s">
        <v>242</v>
      </c>
      <c r="BV89" s="895"/>
      <c r="BW89" s="912"/>
      <c r="BX89" s="925" t="str">
        <f>Table!AF11</f>
        <v>Double</v>
      </c>
      <c r="CH89" s="764">
        <f>IF(BN89=999,0,(BO90-BO89)/(BN89-BM89))</f>
        <v>70.000000000000014</v>
      </c>
      <c r="CI89" s="925">
        <f>IF(BN89=999,0,(BP90-BP89)/(BN89-BM89))</f>
        <v>35.000000000000007</v>
      </c>
      <c r="CJ89" s="759"/>
      <c r="CK89" s="498"/>
      <c r="CL89" s="52"/>
      <c r="EW89" s="427"/>
    </row>
    <row r="90" spans="2:154" ht="24" customHeight="1" thickBot="1">
      <c r="B90" s="426"/>
      <c r="C90" s="451"/>
      <c r="D90" s="52"/>
      <c r="E90" s="52"/>
      <c r="F90" s="497"/>
      <c r="G90" s="426"/>
      <c r="H90" s="51"/>
      <c r="I90" s="2776" t="str">
        <f ca="1">IF(OR(L90&lt;L92,M90&lt;L92,N90&lt;N92,O90&lt;N92),"External Line Totals Not Reached", "External Lines Achieved=")</f>
        <v>External Line Totals Not Reached</v>
      </c>
      <c r="J90" s="2777"/>
      <c r="K90" s="2777"/>
      <c r="L90" s="1810">
        <f ca="1">$EI$81</f>
        <v>0</v>
      </c>
      <c r="M90" s="1812">
        <f>$EK$81</f>
        <v>0</v>
      </c>
      <c r="N90" s="1782">
        <f ca="1">$EJ$81</f>
        <v>0</v>
      </c>
      <c r="O90" s="1783">
        <f>$EL$81</f>
        <v>0</v>
      </c>
      <c r="P90" s="59"/>
      <c r="R90" s="52"/>
      <c r="S90" s="52"/>
      <c r="T90" s="52"/>
      <c r="U90" s="52"/>
      <c r="V90" s="52"/>
      <c r="W90" s="52"/>
      <c r="X90" s="52"/>
      <c r="Y90" s="896"/>
      <c r="Z90" s="52"/>
      <c r="AA90" s="51"/>
      <c r="AB90" s="51"/>
      <c r="AC90" s="51"/>
      <c r="AD90" s="31"/>
      <c r="AE90" s="31"/>
      <c r="AF90" s="31"/>
      <c r="AG90" s="31"/>
      <c r="AH90" s="1"/>
      <c r="AI90" s="1"/>
      <c r="AJ90" s="31"/>
      <c r="AK90" s="31"/>
      <c r="AL90" s="31"/>
      <c r="AM90" s="1"/>
      <c r="AN90" s="1"/>
      <c r="AO90" s="1"/>
      <c r="AP90" s="1"/>
      <c r="AQ90" s="1"/>
      <c r="AR90" s="1"/>
      <c r="AS90" s="6"/>
      <c r="AT90" s="6"/>
      <c r="AU90" s="6"/>
      <c r="AW90" s="1"/>
      <c r="BD90" s="652"/>
      <c r="BE90" s="1"/>
      <c r="BF90" s="51"/>
      <c r="BG90" s="51"/>
      <c r="BI90" s="759"/>
      <c r="BJ90" s="897">
        <f t="shared" si="39"/>
        <v>82</v>
      </c>
      <c r="BK90" s="908"/>
      <c r="BL90" s="767"/>
      <c r="BM90" s="776">
        <f>Table!AB14</f>
        <v>1.2</v>
      </c>
      <c r="BN90" s="776">
        <v>999</v>
      </c>
      <c r="BO90" s="776">
        <f>Table!AC14</f>
        <v>166</v>
      </c>
      <c r="BP90" s="926">
        <f>Table!AD14</f>
        <v>148</v>
      </c>
      <c r="BQ90" s="1183"/>
      <c r="BR90" s="908"/>
      <c r="BS90" s="776"/>
      <c r="BT90" s="776"/>
      <c r="BU90" s="926" t="s">
        <v>242</v>
      </c>
      <c r="BV90" s="433"/>
      <c r="BW90" s="914"/>
      <c r="BX90" s="926" t="str">
        <f>Table!AF11</f>
        <v>Double</v>
      </c>
      <c r="CH90" s="908">
        <f>IF(BN90=999,0,(#REF!-BO90)/(BN90-BM90))</f>
        <v>0</v>
      </c>
      <c r="CI90" s="926">
        <f>IF(BN90=999,0,(#REF!-BP90)/(BN90-BM90))</f>
        <v>0</v>
      </c>
      <c r="CJ90" s="759"/>
      <c r="CK90" s="498"/>
      <c r="CL90" s="52"/>
      <c r="EW90" s="427"/>
    </row>
    <row r="91" spans="2:154" ht="24" customHeight="1" thickBot="1">
      <c r="B91" s="426"/>
      <c r="C91" s="451"/>
      <c r="D91" s="52"/>
      <c r="E91" s="52"/>
      <c r="F91" s="497"/>
      <c r="G91" s="426"/>
      <c r="H91" s="51"/>
      <c r="I91" s="1433"/>
      <c r="J91" s="426"/>
      <c r="K91" s="51"/>
      <c r="L91" s="2632" t="s">
        <v>1091</v>
      </c>
      <c r="M91" s="2631"/>
      <c r="N91" s="2632" t="s">
        <v>1090</v>
      </c>
      <c r="O91" s="2851"/>
      <c r="P91" s="51"/>
      <c r="Q91" s="52"/>
      <c r="R91" s="52"/>
      <c r="S91" s="52"/>
      <c r="T91" s="52"/>
      <c r="U91" s="52"/>
      <c r="V91" s="52"/>
      <c r="W91" s="52"/>
      <c r="X91" s="52"/>
      <c r="Y91" s="896"/>
      <c r="Z91" s="52"/>
      <c r="AA91" s="51"/>
      <c r="AB91" s="51"/>
      <c r="AC91" s="51"/>
      <c r="AD91" s="31"/>
      <c r="AE91" s="31"/>
      <c r="AF91" s="31"/>
      <c r="AG91" s="31"/>
      <c r="AH91" s="1"/>
      <c r="AI91" s="1"/>
      <c r="AJ91" s="31"/>
      <c r="AK91" s="31"/>
      <c r="AL91" s="31"/>
      <c r="AM91" s="1"/>
      <c r="AN91" s="1"/>
      <c r="AO91" s="1"/>
      <c r="AP91" s="1"/>
      <c r="AQ91" s="1"/>
      <c r="AR91" s="1"/>
      <c r="AS91" s="6"/>
      <c r="AT91" s="6"/>
      <c r="AU91" s="6"/>
      <c r="AW91" s="1"/>
      <c r="BD91" s="652"/>
      <c r="BE91" s="1"/>
      <c r="BF91" s="51"/>
      <c r="BG91" s="51"/>
      <c r="BI91" s="759"/>
      <c r="BJ91" s="897">
        <f t="shared" si="39"/>
        <v>83</v>
      </c>
      <c r="BK91" s="1231"/>
      <c r="BL91" s="1234"/>
      <c r="BM91" s="1205"/>
      <c r="BN91" s="1205"/>
      <c r="BO91" s="1205"/>
      <c r="BP91" s="1205"/>
      <c r="BQ91" s="1233"/>
      <c r="BR91" s="1205"/>
      <c r="BS91" s="1205"/>
      <c r="BT91" s="1205"/>
      <c r="BU91" s="1205"/>
      <c r="BV91" s="1233"/>
      <c r="BW91" s="1235"/>
      <c r="BX91" s="1205"/>
      <c r="CJ91" s="929"/>
      <c r="CK91" s="498"/>
      <c r="CL91" s="52"/>
      <c r="EW91" s="427"/>
    </row>
    <row r="92" spans="2:154" ht="24" customHeight="1" thickBot="1">
      <c r="B92" s="426"/>
      <c r="C92" s="451"/>
      <c r="D92" s="52"/>
      <c r="E92" s="52"/>
      <c r="F92" s="497"/>
      <c r="G92" s="426"/>
      <c r="H92" s="51"/>
      <c r="I92" s="2744" t="s">
        <v>836</v>
      </c>
      <c r="J92" s="2745"/>
      <c r="K92" s="2745"/>
      <c r="L92" s="2848">
        <f ca="1">$L$4</f>
        <v>100</v>
      </c>
      <c r="M92" s="2849"/>
      <c r="N92" s="2848">
        <f ca="1">$N$4</f>
        <v>100</v>
      </c>
      <c r="O92" s="2850"/>
      <c r="P92" s="51"/>
      <c r="Q92" s="52"/>
      <c r="R92" s="52"/>
      <c r="S92" s="52"/>
      <c r="T92" s="52"/>
      <c r="U92" s="52"/>
      <c r="V92" s="52"/>
      <c r="W92" s="52"/>
      <c r="X92" s="52"/>
      <c r="Y92" s="896"/>
      <c r="Z92" s="52"/>
      <c r="AA92" s="51" t="s">
        <v>8</v>
      </c>
      <c r="AB92" s="51"/>
      <c r="AC92" s="51"/>
      <c r="AD92" s="31"/>
      <c r="AE92" s="31"/>
      <c r="AF92" s="31"/>
      <c r="AG92" s="31"/>
      <c r="AH92" s="1"/>
      <c r="AI92" s="1"/>
      <c r="AJ92" s="31"/>
      <c r="AK92" s="31"/>
      <c r="AL92" s="31"/>
      <c r="AM92" s="1"/>
      <c r="AN92" s="1"/>
      <c r="AO92" s="1"/>
      <c r="AP92" s="1"/>
      <c r="AQ92" s="1"/>
      <c r="AR92" s="1"/>
      <c r="AS92" s="6"/>
      <c r="AT92" s="6"/>
      <c r="AU92" s="6"/>
      <c r="AW92" s="1"/>
      <c r="BD92" s="652"/>
      <c r="BE92" s="1"/>
      <c r="BF92" s="51"/>
      <c r="BG92" s="51"/>
      <c r="BI92" s="759"/>
      <c r="BJ92" s="897">
        <f t="shared" si="39"/>
        <v>84</v>
      </c>
      <c r="BK92" s="768" t="str">
        <f>BK86</f>
        <v xml:space="preserve">EPB </v>
      </c>
      <c r="BL92" s="765" t="str">
        <f>Table!AA16</f>
        <v>EMPH</v>
      </c>
      <c r="BM92" s="454">
        <f>Table!AB16</f>
        <v>0.4</v>
      </c>
      <c r="BN92" s="454">
        <f>BM93</f>
        <v>0.6</v>
      </c>
      <c r="BO92" s="454">
        <f>Table!AC16</f>
        <v>121</v>
      </c>
      <c r="BP92" s="924">
        <f>Table!AD16</f>
        <v>138</v>
      </c>
      <c r="BQ92" s="920"/>
      <c r="BR92" s="768" t="str">
        <f>Table!AE16</f>
        <v>ESPH</v>
      </c>
      <c r="BS92" s="454" t="str">
        <f>Table!AE17</f>
        <v>ESPH</v>
      </c>
      <c r="BT92" s="454" t="str">
        <f>Table!AF16</f>
        <v>E</v>
      </c>
      <c r="BU92" s="924" t="s">
        <v>242</v>
      </c>
      <c r="BV92" s="1230" t="str">
        <f>Table!AI84</f>
        <v>EMPH</v>
      </c>
      <c r="BW92" s="1229">
        <f>BJ92</f>
        <v>84</v>
      </c>
      <c r="BX92" s="924" t="str">
        <f>Table!AF17</f>
        <v>Double</v>
      </c>
      <c r="CH92" s="768">
        <f>IF(BN92=999,0,(BO93-BO92)/(BN92-BM92))</f>
        <v>80.000000000000014</v>
      </c>
      <c r="CI92" s="924">
        <f>IF(BN92=999,0,(BP93-BP92)/(BN92-BM92))</f>
        <v>75.000000000000014</v>
      </c>
      <c r="CJ92" s="929"/>
      <c r="CK92" s="498"/>
      <c r="CL92" s="52"/>
      <c r="EW92" s="427"/>
    </row>
    <row r="93" spans="2:154" ht="12.75" customHeight="1">
      <c r="B93" s="426"/>
      <c r="C93" s="451"/>
      <c r="D93" s="52"/>
      <c r="E93" s="52"/>
      <c r="F93" s="497"/>
      <c r="G93" s="426"/>
      <c r="H93" s="51"/>
      <c r="I93" s="426"/>
      <c r="J93" s="426"/>
      <c r="K93" s="51"/>
      <c r="L93" s="52"/>
      <c r="M93" s="51"/>
      <c r="N93" s="52"/>
      <c r="O93" s="51"/>
      <c r="P93" s="53"/>
      <c r="Q93" s="54"/>
      <c r="R93" s="52"/>
      <c r="S93" s="52"/>
      <c r="T93" s="52"/>
      <c r="U93" s="52"/>
      <c r="V93" s="52"/>
      <c r="W93" s="52"/>
      <c r="X93" s="52"/>
      <c r="Y93" s="896"/>
      <c r="Z93" s="52"/>
      <c r="AA93" s="51"/>
      <c r="AB93" s="51"/>
      <c r="AC93" s="51"/>
      <c r="AD93" s="31"/>
      <c r="AE93" s="31"/>
      <c r="AF93" s="31"/>
      <c r="AG93" s="31"/>
      <c r="AH93" s="1"/>
      <c r="AI93" s="1"/>
      <c r="AJ93" s="31"/>
      <c r="AK93" s="31"/>
      <c r="AL93" s="31"/>
      <c r="AM93" s="1"/>
      <c r="AN93" s="1"/>
      <c r="AO93" s="1"/>
      <c r="AP93" s="1"/>
      <c r="AQ93" s="1"/>
      <c r="AR93" s="1"/>
      <c r="AS93" s="6"/>
      <c r="AT93" s="6"/>
      <c r="AU93" s="6"/>
      <c r="AW93" s="1"/>
      <c r="BD93" s="652"/>
      <c r="BE93" s="1"/>
      <c r="BF93" s="51"/>
      <c r="BG93" s="51"/>
      <c r="BI93" s="759"/>
      <c r="BJ93" s="897">
        <f t="shared" si="39"/>
        <v>85</v>
      </c>
      <c r="BK93" s="764"/>
      <c r="BL93" s="766"/>
      <c r="BM93" s="455">
        <f>Table!AB17</f>
        <v>0.6</v>
      </c>
      <c r="BN93" s="455">
        <f>BM94</f>
        <v>0.8</v>
      </c>
      <c r="BO93" s="455">
        <f>Table!AC17</f>
        <v>137</v>
      </c>
      <c r="BP93" s="925">
        <f>Table!AD17</f>
        <v>153</v>
      </c>
      <c r="BR93" s="764"/>
      <c r="BS93" s="455"/>
      <c r="BT93" s="455"/>
      <c r="BU93" s="925" t="s">
        <v>242</v>
      </c>
      <c r="BV93" s="895"/>
      <c r="BW93" s="912"/>
      <c r="BX93" s="925" t="str">
        <f>Table!AF17</f>
        <v>Double</v>
      </c>
      <c r="CH93" s="764">
        <f>IF(BN93=999,0,(BO94-BO93)/(BN93-BM93))</f>
        <v>54.999999999999979</v>
      </c>
      <c r="CI93" s="925">
        <f>IF(BN93=999,0,(BP94-BP93)/(BN93-BM93))</f>
        <v>44.999999999999986</v>
      </c>
      <c r="CJ93" s="929"/>
      <c r="CK93" s="498"/>
      <c r="CL93" s="52"/>
      <c r="EW93" s="427"/>
    </row>
    <row r="94" spans="2:154" ht="12.75" hidden="1" customHeight="1">
      <c r="B94" s="421"/>
      <c r="C94" s="863"/>
      <c r="D94" s="502"/>
      <c r="E94" s="502"/>
      <c r="F94" s="864"/>
      <c r="G94" s="421"/>
      <c r="H94" s="498"/>
      <c r="I94" s="421"/>
      <c r="J94" s="421"/>
      <c r="K94" s="498"/>
      <c r="L94" s="52"/>
      <c r="M94" s="51"/>
      <c r="N94" s="52"/>
      <c r="O94" s="51"/>
      <c r="P94" s="53"/>
      <c r="Q94" s="54"/>
      <c r="R94" s="52"/>
      <c r="S94" s="52"/>
      <c r="T94" s="52"/>
      <c r="U94" s="52"/>
      <c r="V94" s="52"/>
      <c r="W94" s="52"/>
      <c r="X94" s="52"/>
      <c r="Y94" s="896"/>
      <c r="Z94" s="52"/>
      <c r="AA94" s="51"/>
      <c r="AB94" s="51"/>
      <c r="AC94" s="51"/>
      <c r="AD94" s="31"/>
      <c r="AE94" s="31"/>
      <c r="AF94" s="31"/>
      <c r="AG94" s="31"/>
      <c r="AH94" s="1"/>
      <c r="AI94" s="1"/>
      <c r="AJ94" s="31"/>
      <c r="AK94" s="31"/>
      <c r="AL94" s="31"/>
      <c r="AM94" s="1"/>
      <c r="AN94" s="1"/>
      <c r="AO94" s="1"/>
      <c r="AP94" s="1"/>
      <c r="AQ94" s="1"/>
      <c r="AR94" s="1"/>
      <c r="AS94" s="6"/>
      <c r="AT94" s="6"/>
      <c r="AU94" s="6"/>
      <c r="AW94" s="1"/>
      <c r="BD94" s="652"/>
      <c r="BE94" s="1"/>
      <c r="BF94" s="51"/>
      <c r="BG94" s="51"/>
      <c r="BI94" s="1241"/>
      <c r="BJ94" s="897">
        <f t="shared" si="39"/>
        <v>86</v>
      </c>
      <c r="BK94" s="764"/>
      <c r="BL94" s="766"/>
      <c r="BM94" s="455">
        <f>Table!AB18</f>
        <v>0.8</v>
      </c>
      <c r="BN94" s="455">
        <f>BM95</f>
        <v>0.9</v>
      </c>
      <c r="BO94" s="455">
        <f>Table!AC18</f>
        <v>148</v>
      </c>
      <c r="BP94" s="925">
        <f>Table!AD18</f>
        <v>162</v>
      </c>
      <c r="BR94" s="764"/>
      <c r="BS94" s="455"/>
      <c r="BT94" s="455"/>
      <c r="BU94" s="925" t="s">
        <v>242</v>
      </c>
      <c r="BV94" s="895"/>
      <c r="BW94" s="912"/>
      <c r="BX94" s="925" t="str">
        <f>Table!AF17</f>
        <v>Double</v>
      </c>
      <c r="CH94" s="764">
        <f>IF(BN94=999,0,(BO95-BO94)/(BN94-BM94))</f>
        <v>140.00000000000003</v>
      </c>
      <c r="CI94" s="925">
        <f>IF(BN94=999,0,(BP95-BP94)/(BN94-BM94))</f>
        <v>50.000000000000014</v>
      </c>
      <c r="CJ94" s="1243"/>
      <c r="CK94" s="498"/>
      <c r="CL94" s="52"/>
      <c r="EW94" s="427"/>
    </row>
    <row r="95" spans="2:154" ht="15.75" hidden="1">
      <c r="B95" s="421"/>
      <c r="C95" s="863"/>
      <c r="D95" s="502"/>
      <c r="E95" s="502"/>
      <c r="F95" s="864"/>
      <c r="G95" s="421"/>
      <c r="H95" s="498"/>
      <c r="I95" s="421"/>
      <c r="J95" s="421"/>
      <c r="K95" s="498"/>
      <c r="L95" s="52"/>
      <c r="M95" s="51"/>
      <c r="N95" s="52"/>
      <c r="O95" s="51"/>
      <c r="P95" s="53"/>
      <c r="Q95" s="54"/>
      <c r="R95" s="52"/>
      <c r="S95" s="52"/>
      <c r="T95" s="52"/>
      <c r="U95" s="52"/>
      <c r="V95" s="52"/>
      <c r="W95" s="52"/>
      <c r="X95" s="52"/>
      <c r="Y95" s="896"/>
      <c r="Z95" s="52"/>
      <c r="AA95" s="51"/>
      <c r="AB95" s="51"/>
      <c r="AC95" s="51"/>
      <c r="AD95" s="31"/>
      <c r="AE95" s="31"/>
      <c r="AF95" s="31"/>
      <c r="AG95" s="31"/>
      <c r="AH95" s="1"/>
      <c r="AI95" s="1"/>
      <c r="AJ95" s="31"/>
      <c r="AK95" s="31"/>
      <c r="AL95" s="31"/>
      <c r="AM95" s="1"/>
      <c r="AN95" s="1"/>
      <c r="AO95" s="1"/>
      <c r="AP95" s="1"/>
      <c r="AQ95" s="1"/>
      <c r="AR95" s="1"/>
      <c r="AS95" s="6"/>
      <c r="AT95" s="6"/>
      <c r="AU95" s="6"/>
      <c r="AW95" s="1"/>
      <c r="BD95" s="652"/>
      <c r="BE95" s="1"/>
      <c r="BF95" s="51"/>
      <c r="BG95" s="51"/>
      <c r="BI95" s="1241"/>
      <c r="BJ95" s="897">
        <f t="shared" si="39"/>
        <v>87</v>
      </c>
      <c r="BK95" s="764"/>
      <c r="BL95" s="766"/>
      <c r="BM95" s="455">
        <f>Table!AB19</f>
        <v>0.9</v>
      </c>
      <c r="BN95" s="455">
        <f>BM96</f>
        <v>1.2</v>
      </c>
      <c r="BO95" s="455">
        <f>Table!AC19</f>
        <v>162</v>
      </c>
      <c r="BP95" s="925">
        <f>Table!AD19</f>
        <v>167</v>
      </c>
      <c r="BR95" s="764"/>
      <c r="BS95" s="455"/>
      <c r="BT95" s="455"/>
      <c r="BU95" s="925" t="s">
        <v>242</v>
      </c>
      <c r="BV95" s="895"/>
      <c r="BW95" s="912"/>
      <c r="BX95" s="925" t="str">
        <f>Table!AF17</f>
        <v>Double</v>
      </c>
      <c r="CH95" s="764">
        <f>IF(BN95=999,0,(BO96-BO95)/(BN95-BM95))</f>
        <v>0</v>
      </c>
      <c r="CI95" s="925">
        <f>IF(BN95=999,0,(BP96-BP95)/(BN95-BM95))</f>
        <v>0</v>
      </c>
      <c r="CJ95" s="1241"/>
      <c r="CK95" s="498"/>
      <c r="CL95" s="52"/>
      <c r="EW95" s="427"/>
    </row>
    <row r="96" spans="2:154" ht="16.5" hidden="1" thickBot="1">
      <c r="B96" s="421"/>
      <c r="C96" s="863"/>
      <c r="D96" s="502"/>
      <c r="E96" s="502"/>
      <c r="F96" s="864"/>
      <c r="G96" s="421"/>
      <c r="H96" s="498"/>
      <c r="I96" s="421"/>
      <c r="J96" s="421"/>
      <c r="K96" s="1409"/>
      <c r="L96" s="1435"/>
      <c r="M96" s="1409"/>
      <c r="N96" s="1435"/>
      <c r="O96" s="1409"/>
      <c r="P96" s="53"/>
      <c r="Q96" s="54"/>
      <c r="R96" s="52"/>
      <c r="S96" s="52"/>
      <c r="T96" s="52"/>
      <c r="U96" s="52"/>
      <c r="V96" s="52"/>
      <c r="W96" s="52"/>
      <c r="X96" s="52"/>
      <c r="Y96" s="896"/>
      <c r="Z96" s="52"/>
      <c r="AA96" s="51"/>
      <c r="AB96" s="51"/>
      <c r="AC96" s="51"/>
      <c r="AD96" s="31"/>
      <c r="AE96" s="31"/>
      <c r="AF96" s="31"/>
      <c r="AG96" s="31"/>
      <c r="AH96" s="1"/>
      <c r="AI96" s="1"/>
      <c r="AJ96" s="31"/>
      <c r="AK96" s="31"/>
      <c r="AL96" s="31"/>
      <c r="AM96" s="1"/>
      <c r="AN96" s="1"/>
      <c r="AO96" s="1"/>
      <c r="AP96" s="1"/>
      <c r="AQ96" s="1"/>
      <c r="AR96" s="1"/>
      <c r="AS96" s="6"/>
      <c r="AT96" s="6"/>
      <c r="AU96" s="6"/>
      <c r="AW96" s="1"/>
      <c r="BD96" s="652"/>
      <c r="BE96" s="1"/>
      <c r="BF96" s="51"/>
      <c r="BG96" s="51"/>
      <c r="BI96" s="1241"/>
      <c r="BJ96" s="897">
        <f t="shared" si="39"/>
        <v>88</v>
      </c>
      <c r="BK96" s="908"/>
      <c r="BL96" s="767"/>
      <c r="BM96" s="776">
        <f>Table!AB20</f>
        <v>1.2</v>
      </c>
      <c r="BN96" s="776">
        <v>999</v>
      </c>
      <c r="BO96" s="776">
        <f>Table!AC20</f>
        <v>162</v>
      </c>
      <c r="BP96" s="926">
        <f>Table!AD20</f>
        <v>167</v>
      </c>
      <c r="BQ96" s="1183"/>
      <c r="BR96" s="908"/>
      <c r="BS96" s="776"/>
      <c r="BT96" s="776"/>
      <c r="BU96" s="926" t="s">
        <v>242</v>
      </c>
      <c r="BV96" s="433"/>
      <c r="BW96" s="914"/>
      <c r="BX96" s="926" t="str">
        <f>Table!AF17</f>
        <v>Double</v>
      </c>
      <c r="CH96" s="908">
        <f>IF(BN96=999,0,(#REF!-BO96)/(BN96-BM96))</f>
        <v>0</v>
      </c>
      <c r="CI96" s="926">
        <f>IF(BN96=999,0,(#REF!-BP96)/(BN96-BM96))</f>
        <v>0</v>
      </c>
      <c r="CJ96" s="1243"/>
      <c r="CK96" s="498"/>
      <c r="CL96" s="52"/>
      <c r="EW96" s="427"/>
    </row>
    <row r="97" spans="1:153" ht="12.75" hidden="1" customHeight="1">
      <c r="B97" s="421">
        <f ca="1">IF(OR(B84&lt;&gt;"",B85&lt;&gt;"",),1,0)</f>
        <v>0</v>
      </c>
      <c r="C97" s="863"/>
      <c r="D97" s="502"/>
      <c r="E97" s="502"/>
      <c r="F97" s="864"/>
      <c r="G97" s="421">
        <f>IF(OR(G83&lt;&gt;""),0,0)</f>
        <v>0</v>
      </c>
      <c r="H97" s="498"/>
      <c r="I97" s="421"/>
      <c r="J97" s="421">
        <f ca="1">IF(OR(J84&lt;&gt;"",J85&lt;&gt;"",),1,0)</f>
        <v>0</v>
      </c>
      <c r="K97" s="1409"/>
      <c r="L97" s="1435"/>
      <c r="M97" s="1409">
        <f ca="1">IF(L83&lt;&gt;"",1,0)</f>
        <v>1</v>
      </c>
      <c r="N97" s="1435"/>
      <c r="O97" s="1409">
        <f ca="1">IF(N83&lt;&gt;"",1,0)</f>
        <v>1</v>
      </c>
      <c r="P97" s="31"/>
      <c r="Q97" s="151">
        <f ca="1">SUM(B97:O97)</f>
        <v>2</v>
      </c>
      <c r="R97" s="52"/>
      <c r="S97" s="52"/>
      <c r="T97" s="52"/>
      <c r="U97" s="52"/>
      <c r="V97" s="52"/>
      <c r="W97" s="52"/>
      <c r="X97" s="52"/>
      <c r="Y97" s="896"/>
      <c r="Z97" s="52"/>
      <c r="AA97" s="51"/>
      <c r="AB97" s="51"/>
      <c r="AC97" s="51"/>
      <c r="AD97" s="31"/>
      <c r="AE97" s="31"/>
      <c r="AF97" s="31"/>
      <c r="AG97" s="31"/>
      <c r="AH97" s="1"/>
      <c r="AI97" s="1"/>
      <c r="AJ97" s="31"/>
      <c r="AK97" s="31"/>
      <c r="AL97" s="31"/>
      <c r="AM97" s="1"/>
      <c r="AN97" s="1"/>
      <c r="AO97" s="1"/>
      <c r="AP97" s="1"/>
      <c r="AQ97" s="1"/>
      <c r="AR97" s="1"/>
      <c r="AS97" s="6"/>
      <c r="AT97" s="6"/>
      <c r="AU97" s="6"/>
      <c r="AW97" s="1"/>
      <c r="BD97" s="652"/>
      <c r="BE97" s="1"/>
      <c r="BF97" s="51"/>
      <c r="BG97" s="51"/>
      <c r="BI97" s="1241"/>
      <c r="BJ97" s="893"/>
      <c r="BK97" s="421"/>
      <c r="BL97" s="899"/>
      <c r="BM97" s="502"/>
      <c r="BN97" s="502"/>
      <c r="BO97" s="502"/>
      <c r="BP97" s="502"/>
      <c r="BQ97" s="498"/>
      <c r="BR97" s="502"/>
      <c r="BS97" s="502"/>
      <c r="BT97" s="502"/>
      <c r="BU97" s="502"/>
      <c r="BV97" s="498"/>
      <c r="BW97" s="498"/>
      <c r="BX97" s="498"/>
      <c r="BY97" s="498"/>
      <c r="BZ97" s="498"/>
      <c r="CA97" s="498"/>
      <c r="CB97" s="498"/>
      <c r="CC97" s="498"/>
      <c r="CD97" s="498"/>
      <c r="CE97" s="498"/>
      <c r="CF97" s="498"/>
      <c r="CG97" s="498"/>
      <c r="CH97" s="502"/>
      <c r="CI97" s="502"/>
      <c r="CJ97" s="1243"/>
      <c r="CK97" s="498"/>
      <c r="CL97" s="52"/>
      <c r="EW97" s="427"/>
    </row>
    <row r="98" spans="1:153" ht="12.75" hidden="1" customHeight="1">
      <c r="A98" s="498"/>
      <c r="B98" s="499">
        <f ca="1">IF(OR(B84&lt;&gt;"",B85&lt;&gt;"",B87&lt;&gt;"",B88&lt;&gt;"",B89&lt;&gt;""),1,0)</f>
        <v>0</v>
      </c>
      <c r="C98" s="500"/>
      <c r="D98" s="501"/>
      <c r="E98" s="501"/>
      <c r="F98" s="502"/>
      <c r="G98" s="499">
        <f>IF(OR(G83&lt;&gt;""),0,0)</f>
        <v>0</v>
      </c>
      <c r="H98" s="498"/>
      <c r="I98" s="498"/>
      <c r="J98" s="499">
        <f ca="1">IF(OR(J84&lt;&gt;"",J85&lt;&gt;"",I86&lt;&gt;"",),1,0)</f>
        <v>0</v>
      </c>
      <c r="K98" s="1409"/>
      <c r="L98" s="1438">
        <f ca="1">L99+M99</f>
        <v>1</v>
      </c>
      <c r="M98" s="1439">
        <f ca="1">IF(L83&lt;&gt;"",1,0)</f>
        <v>1</v>
      </c>
      <c r="N98" s="1438">
        <f ca="1">N99+O99</f>
        <v>1</v>
      </c>
      <c r="O98" s="1440">
        <f ca="1">IF(N83&lt;&gt;"",1,0)</f>
        <v>1</v>
      </c>
      <c r="P98" s="503"/>
      <c r="Q98" s="60">
        <f ca="1">SUM(B98:O98)</f>
        <v>4</v>
      </c>
      <c r="R98" s="52"/>
      <c r="S98" s="52"/>
      <c r="T98" s="52"/>
      <c r="U98" s="52"/>
      <c r="V98" s="52"/>
      <c r="W98" s="52"/>
      <c r="X98" s="52"/>
      <c r="Y98" s="896"/>
      <c r="Z98" s="52"/>
      <c r="AA98" s="51" t="s">
        <v>68</v>
      </c>
      <c r="AB98" s="51"/>
      <c r="AC98" s="51"/>
      <c r="AD98" s="31"/>
      <c r="AE98" s="31"/>
      <c r="AF98" s="31"/>
      <c r="AG98" s="31"/>
      <c r="AH98" s="1"/>
      <c r="AI98" s="1"/>
      <c r="AJ98" s="31"/>
      <c r="AK98" s="31"/>
      <c r="AL98" s="31"/>
      <c r="AM98" s="1"/>
      <c r="AN98" s="1"/>
      <c r="AO98" s="1"/>
      <c r="AP98" s="1"/>
      <c r="AQ98" s="1"/>
      <c r="AR98" s="1"/>
      <c r="AS98" s="6"/>
      <c r="AT98" s="6"/>
      <c r="AU98" s="6"/>
      <c r="AW98" s="1"/>
      <c r="BD98" s="652"/>
      <c r="BE98" s="1"/>
      <c r="BF98" s="51"/>
      <c r="BG98" s="51"/>
      <c r="BI98" s="1241"/>
      <c r="BJ98" s="893"/>
      <c r="BK98" s="421"/>
      <c r="BL98" s="899"/>
      <c r="BM98" s="502"/>
      <c r="BN98" s="502"/>
      <c r="BO98" s="502"/>
      <c r="BP98" s="502"/>
      <c r="BQ98" s="498"/>
      <c r="BR98" s="502"/>
      <c r="BS98" s="502"/>
      <c r="BT98" s="502"/>
      <c r="BU98" s="502"/>
      <c r="BV98" s="498"/>
      <c r="BW98" s="498"/>
      <c r="BX98" s="498"/>
      <c r="BY98" s="498"/>
      <c r="BZ98" s="498"/>
      <c r="CA98" s="498"/>
      <c r="CB98" s="498"/>
      <c r="CC98" s="498"/>
      <c r="CD98" s="498"/>
      <c r="CE98" s="498"/>
      <c r="CF98" s="498"/>
      <c r="CG98" s="498"/>
      <c r="CH98" s="502"/>
      <c r="CI98" s="502"/>
      <c r="CJ98" s="1243"/>
      <c r="CK98" s="498"/>
      <c r="CL98" s="52"/>
      <c r="EW98" s="427"/>
    </row>
    <row r="99" spans="1:153" ht="12.75" hidden="1" customHeight="1">
      <c r="B99" s="499"/>
      <c r="C99" s="502"/>
      <c r="D99" s="502"/>
      <c r="E99" s="502"/>
      <c r="F99" s="502"/>
      <c r="G99" s="498"/>
      <c r="H99" s="498"/>
      <c r="I99" s="498"/>
      <c r="J99" s="498"/>
      <c r="K99" s="1409"/>
      <c r="L99" s="1435">
        <f ca="1">IF((L90&lt;L92),1,0)</f>
        <v>1</v>
      </c>
      <c r="M99" s="1435">
        <f>IF((M90&lt;M92),1,0)</f>
        <v>0</v>
      </c>
      <c r="N99" s="1435">
        <f ca="1">IF((N90&lt;N92),1,0)</f>
        <v>1</v>
      </c>
      <c r="O99" s="1435">
        <f>IF((O90&lt;O92),1,0)</f>
        <v>0</v>
      </c>
      <c r="P99" s="149"/>
      <c r="Q99" s="150"/>
      <c r="R99" s="52"/>
      <c r="S99" s="52"/>
      <c r="T99" s="52"/>
      <c r="U99" s="52"/>
      <c r="V99" s="52"/>
      <c r="W99" s="52"/>
      <c r="X99" s="52"/>
      <c r="Y99" s="896"/>
      <c r="Z99" s="52"/>
      <c r="AA99" s="51"/>
      <c r="AB99" s="51"/>
      <c r="AC99" s="51"/>
      <c r="AD99" s="31"/>
      <c r="AE99" s="31"/>
      <c r="AH99" s="1"/>
      <c r="AI99" s="1"/>
      <c r="AJ99" s="31"/>
      <c r="AK99" s="31"/>
      <c r="AL99" s="31"/>
      <c r="AM99" s="1"/>
      <c r="AN99" s="1"/>
      <c r="AO99" s="1"/>
      <c r="AP99" s="1"/>
      <c r="AQ99" s="1"/>
      <c r="AR99" s="1"/>
      <c r="AS99" s="6"/>
      <c r="AT99" s="6"/>
      <c r="AU99" s="6"/>
      <c r="AW99" s="1"/>
      <c r="BD99" s="652"/>
      <c r="BE99" s="1"/>
      <c r="BF99" s="51"/>
      <c r="BG99" s="51"/>
      <c r="BI99" s="1241"/>
      <c r="BJ99" s="1242"/>
      <c r="BK99" s="934"/>
      <c r="BL99" s="935"/>
      <c r="BM99" s="936"/>
      <c r="BN99" s="936"/>
      <c r="BO99" s="936"/>
      <c r="BP99" s="936"/>
      <c r="BQ99" s="929"/>
      <c r="BR99" s="936"/>
      <c r="BS99" s="936"/>
      <c r="BT99" s="936"/>
      <c r="BU99" s="936"/>
      <c r="BV99" s="929"/>
      <c r="BW99" s="929"/>
      <c r="BX99" s="929"/>
      <c r="BY99" s="929"/>
      <c r="BZ99" s="929"/>
      <c r="CA99" s="929"/>
      <c r="CB99" s="929"/>
      <c r="CC99" s="929"/>
      <c r="CD99" s="929"/>
      <c r="CE99" s="929"/>
      <c r="CF99" s="929"/>
      <c r="CG99" s="929"/>
      <c r="CH99" s="936"/>
      <c r="CI99" s="936"/>
      <c r="CJ99" s="1243"/>
      <c r="CK99" s="498"/>
      <c r="CL99" s="52"/>
      <c r="EW99" s="427"/>
    </row>
    <row r="100" spans="1:153" ht="15.75" hidden="1" customHeight="1">
      <c r="B100" s="498"/>
      <c r="C100" s="502"/>
      <c r="D100" s="502"/>
      <c r="E100" s="502"/>
      <c r="F100" s="502"/>
      <c r="G100" s="498"/>
      <c r="H100" s="498"/>
      <c r="I100" s="498"/>
      <c r="J100" s="498"/>
      <c r="K100" s="1409"/>
      <c r="L100" s="1435"/>
      <c r="M100" s="1409"/>
      <c r="N100" s="1435"/>
      <c r="O100" s="1409"/>
      <c r="P100" s="149"/>
      <c r="Q100" s="150"/>
      <c r="R100" s="52"/>
      <c r="S100" s="52"/>
      <c r="T100" s="52"/>
      <c r="U100" s="52"/>
      <c r="V100" s="52"/>
      <c r="W100" s="52"/>
      <c r="X100" s="52"/>
      <c r="Y100" s="896"/>
      <c r="Z100" s="52"/>
      <c r="AA100" s="51"/>
      <c r="AB100" s="51"/>
      <c r="AC100" s="51"/>
      <c r="AD100" s="31"/>
      <c r="AE100" s="31"/>
      <c r="AH100" s="1"/>
      <c r="AI100" s="1"/>
      <c r="AJ100" s="31"/>
      <c r="AK100" s="31"/>
      <c r="AL100" s="31"/>
      <c r="AM100" s="1"/>
      <c r="AN100" s="1"/>
      <c r="AO100" s="1"/>
      <c r="AP100" s="1"/>
      <c r="AQ100" s="1"/>
      <c r="AR100" s="1"/>
      <c r="AS100" s="6"/>
      <c r="AT100" s="6"/>
      <c r="AU100" s="6"/>
      <c r="AW100" s="1"/>
      <c r="BD100" s="652"/>
      <c r="BE100" s="1"/>
      <c r="BF100" s="51"/>
      <c r="BG100" s="51"/>
      <c r="BJ100" s="893"/>
      <c r="BK100" s="502"/>
      <c r="BL100" s="900"/>
      <c r="BM100" s="502"/>
      <c r="BN100" s="502"/>
      <c r="BO100" s="502"/>
      <c r="BP100" s="502"/>
      <c r="BQ100" s="498"/>
      <c r="BR100" s="502"/>
      <c r="BS100" s="502"/>
      <c r="BT100" s="502"/>
      <c r="BU100" s="502"/>
      <c r="BV100" s="498"/>
      <c r="BW100" s="498"/>
      <c r="BX100" s="498"/>
      <c r="BY100" s="498"/>
      <c r="BZ100" s="498"/>
      <c r="CA100" s="498"/>
      <c r="CB100" s="498"/>
      <c r="CC100" s="498"/>
      <c r="CD100" s="498"/>
      <c r="CE100" s="498"/>
      <c r="CF100" s="498"/>
      <c r="CG100" s="498"/>
      <c r="CH100" s="502"/>
      <c r="CI100" s="502"/>
      <c r="CJ100" s="498"/>
      <c r="CK100" s="498"/>
      <c r="CL100" s="52"/>
      <c r="EW100" s="427"/>
    </row>
    <row r="101" spans="1:153" ht="15.75" hidden="1" customHeight="1">
      <c r="B101" s="498"/>
      <c r="C101" s="502"/>
      <c r="D101" s="502"/>
      <c r="E101" s="502"/>
      <c r="F101" s="502"/>
      <c r="G101" s="498"/>
      <c r="H101" s="498"/>
      <c r="I101" s="498"/>
      <c r="J101" s="498"/>
      <c r="K101" s="1436"/>
      <c r="L101" s="1437"/>
      <c r="M101" s="1436"/>
      <c r="N101" s="1437"/>
      <c r="O101" s="1436"/>
      <c r="P101" s="147"/>
      <c r="Q101" s="148"/>
      <c r="R101" s="52"/>
      <c r="S101" s="52"/>
      <c r="T101" s="52"/>
      <c r="U101" s="52"/>
      <c r="V101" s="52"/>
      <c r="W101" s="52"/>
      <c r="X101" s="52"/>
      <c r="Y101" s="896"/>
      <c r="Z101" s="52"/>
      <c r="AA101" s="51"/>
      <c r="AB101" s="51"/>
      <c r="AC101" s="51"/>
      <c r="AD101" s="31"/>
      <c r="AE101" s="31"/>
      <c r="AH101" s="1"/>
      <c r="AI101" s="1"/>
      <c r="AJ101" s="31"/>
      <c r="AK101" s="31"/>
      <c r="AL101" s="31"/>
      <c r="AM101" s="1"/>
      <c r="AN101" s="1"/>
      <c r="AO101" s="1"/>
      <c r="AP101" s="1"/>
      <c r="AQ101" s="1"/>
      <c r="AR101" s="1"/>
      <c r="AS101" s="6"/>
      <c r="AT101" s="6"/>
      <c r="AU101" s="6"/>
      <c r="AW101" s="1"/>
      <c r="BD101" s="652"/>
      <c r="BE101" s="1"/>
      <c r="BF101" s="51"/>
      <c r="BG101" s="51"/>
      <c r="BJ101" s="893"/>
      <c r="BK101" s="502"/>
      <c r="BL101" s="900"/>
      <c r="BM101" s="502"/>
      <c r="BN101" s="502"/>
      <c r="BO101" s="502"/>
      <c r="BP101" s="502"/>
      <c r="BQ101" s="498"/>
      <c r="BR101" s="502"/>
      <c r="BS101" s="502"/>
      <c r="BT101" s="502"/>
      <c r="BU101" s="502"/>
      <c r="BV101" s="498"/>
      <c r="BW101" s="498"/>
      <c r="BX101" s="498"/>
      <c r="BY101" s="498"/>
      <c r="BZ101" s="498"/>
      <c r="CA101" s="498"/>
      <c r="CB101" s="498"/>
      <c r="CC101" s="498"/>
      <c r="CD101" s="498"/>
      <c r="CE101" s="498"/>
      <c r="CF101" s="498"/>
      <c r="CG101" s="498"/>
      <c r="CH101" s="502"/>
      <c r="CI101" s="502"/>
      <c r="CJ101" s="498"/>
      <c r="CK101" s="498"/>
      <c r="CL101" s="52"/>
      <c r="EW101" s="427"/>
    </row>
    <row r="102" spans="1:153" ht="15.75" hidden="1" customHeight="1">
      <c r="B102" s="498"/>
      <c r="C102" s="502"/>
      <c r="D102" s="502"/>
      <c r="E102" s="502"/>
      <c r="F102" s="502"/>
      <c r="G102" s="498"/>
      <c r="H102" s="498"/>
      <c r="I102" s="892"/>
      <c r="J102" s="892"/>
      <c r="K102" s="890"/>
      <c r="L102" s="890"/>
      <c r="M102" s="890"/>
      <c r="N102" s="890"/>
      <c r="O102" s="503"/>
      <c r="P102" s="147"/>
      <c r="Q102" s="148"/>
      <c r="R102" s="52"/>
      <c r="S102" s="52"/>
      <c r="T102" s="52"/>
      <c r="U102" s="52"/>
      <c r="V102" s="52"/>
      <c r="W102" s="52"/>
      <c r="X102" s="52"/>
      <c r="Y102" s="896"/>
      <c r="Z102" s="52" t="s">
        <v>8</v>
      </c>
      <c r="AA102" s="51" t="s">
        <v>8</v>
      </c>
      <c r="AB102" s="51"/>
      <c r="AC102" s="51"/>
      <c r="AD102" s="31"/>
      <c r="AE102" s="31"/>
      <c r="AF102" s="1"/>
      <c r="AG102" s="1"/>
      <c r="AH102" s="1"/>
      <c r="AI102" s="1"/>
      <c r="AJ102" s="31"/>
      <c r="AK102" s="31"/>
      <c r="AL102" s="1"/>
      <c r="AM102" s="1"/>
      <c r="AN102" s="1"/>
      <c r="AO102" s="1"/>
      <c r="AP102" s="1"/>
      <c r="AQ102" s="1"/>
      <c r="AR102" s="1"/>
      <c r="AS102" s="6"/>
      <c r="AT102" s="6"/>
      <c r="AU102" s="6"/>
      <c r="AW102" s="1"/>
      <c r="BD102" s="652"/>
      <c r="BE102" s="1"/>
      <c r="BF102" s="51"/>
      <c r="BG102" s="51"/>
      <c r="BJ102" s="893"/>
      <c r="BK102" s="502"/>
      <c r="BL102" s="900"/>
      <c r="BM102" s="502"/>
      <c r="BN102" s="502"/>
      <c r="BO102" s="502"/>
      <c r="BP102" s="502"/>
      <c r="BQ102" s="498"/>
      <c r="BR102" s="502"/>
      <c r="BS102" s="502"/>
      <c r="BT102" s="502"/>
      <c r="BU102" s="502"/>
      <c r="BV102" s="498"/>
      <c r="BW102" s="498"/>
      <c r="BX102" s="498"/>
      <c r="BY102" s="498"/>
      <c r="BZ102" s="498"/>
      <c r="CA102" s="498"/>
      <c r="CB102" s="498"/>
      <c r="CC102" s="498"/>
      <c r="CD102" s="498"/>
      <c r="CE102" s="498"/>
      <c r="CF102" s="498"/>
      <c r="CG102" s="498"/>
      <c r="CH102" s="502"/>
      <c r="CI102" s="502"/>
      <c r="CJ102" s="498"/>
      <c r="CK102" s="498"/>
      <c r="CL102" s="52"/>
      <c r="EW102" s="427"/>
    </row>
    <row r="103" spans="1:153" ht="15.75" hidden="1" customHeight="1">
      <c r="B103" s="498"/>
      <c r="C103" s="502"/>
      <c r="D103" s="502"/>
      <c r="E103" s="502"/>
      <c r="F103" s="502"/>
      <c r="G103" s="498"/>
      <c r="H103" s="498"/>
      <c r="I103" s="892"/>
      <c r="J103" s="892"/>
      <c r="K103" s="503"/>
      <c r="L103" s="891" t="s">
        <v>317</v>
      </c>
      <c r="M103" s="503">
        <f>M82/2</f>
        <v>105</v>
      </c>
      <c r="N103" s="889"/>
      <c r="O103" s="503">
        <f>O82/2</f>
        <v>261.5</v>
      </c>
      <c r="P103" s="147"/>
      <c r="Q103" s="148"/>
      <c r="R103" s="52"/>
      <c r="S103" s="52"/>
      <c r="T103" s="52"/>
      <c r="U103" s="52"/>
      <c r="V103" s="52"/>
      <c r="W103" s="52"/>
      <c r="X103" s="52"/>
      <c r="Y103" s="896"/>
      <c r="Z103" s="52"/>
      <c r="AA103" s="51"/>
      <c r="AB103" s="51"/>
      <c r="AC103" s="51"/>
      <c r="AD103" s="31"/>
      <c r="AE103" s="31"/>
      <c r="AF103" s="1"/>
      <c r="AG103" s="1"/>
      <c r="AH103" s="1"/>
      <c r="AI103" s="1"/>
      <c r="AJ103" s="31"/>
      <c r="AK103" s="31"/>
      <c r="AL103" s="1"/>
      <c r="AM103" s="1"/>
      <c r="AN103" s="1"/>
      <c r="AO103" s="1"/>
      <c r="AP103" s="1"/>
      <c r="AQ103" s="1"/>
      <c r="AR103" s="1"/>
      <c r="AS103" s="6"/>
      <c r="AT103" s="6"/>
      <c r="AU103" s="6"/>
      <c r="AW103" s="1"/>
      <c r="BD103" s="652"/>
      <c r="BE103" s="1"/>
      <c r="BF103" s="51"/>
      <c r="BG103" s="51"/>
      <c r="BJ103" s="893"/>
      <c r="BK103" s="502"/>
      <c r="BL103" s="900"/>
      <c r="BM103" s="502"/>
      <c r="BN103" s="502"/>
      <c r="BO103" s="502"/>
      <c r="BP103" s="502"/>
      <c r="BQ103" s="498"/>
      <c r="BR103" s="502"/>
      <c r="BS103" s="502"/>
      <c r="BT103" s="502"/>
      <c r="BU103" s="502"/>
      <c r="BV103" s="498"/>
      <c r="BW103" s="498"/>
      <c r="BX103" s="498"/>
      <c r="BY103" s="498"/>
      <c r="BZ103" s="498"/>
      <c r="CA103" s="498"/>
      <c r="CB103" s="498"/>
      <c r="CC103" s="498"/>
      <c r="CD103" s="498"/>
      <c r="CE103" s="498"/>
      <c r="CF103" s="498"/>
      <c r="CG103" s="498"/>
      <c r="CH103" s="502"/>
      <c r="CI103" s="502"/>
      <c r="CJ103" s="498"/>
      <c r="CK103" s="498"/>
      <c r="CL103" s="52"/>
      <c r="EW103" s="427"/>
    </row>
    <row r="104" spans="1:153" ht="12.75" hidden="1" customHeight="1">
      <c r="B104" s="498"/>
      <c r="C104" s="502"/>
      <c r="D104" s="502"/>
      <c r="E104" s="502"/>
      <c r="F104" s="502"/>
      <c r="G104" s="498"/>
      <c r="H104" s="498"/>
      <c r="I104" s="892"/>
      <c r="J104" s="892"/>
      <c r="K104" s="503"/>
      <c r="L104" s="889" t="s">
        <v>320</v>
      </c>
      <c r="M104" s="503">
        <f ca="1">SUM(Y8:Y74)</f>
        <v>0</v>
      </c>
      <c r="N104" s="889"/>
      <c r="O104" s="503">
        <f ca="1">M104</f>
        <v>0</v>
      </c>
      <c r="P104" s="147"/>
      <c r="Q104" s="148"/>
      <c r="R104" s="52"/>
      <c r="S104" s="52"/>
      <c r="T104" s="52"/>
      <c r="U104" s="52"/>
      <c r="V104" s="52"/>
      <c r="W104" s="52"/>
      <c r="X104" s="52"/>
      <c r="Y104" s="896"/>
      <c r="Z104" s="52"/>
      <c r="AA104" s="51"/>
      <c r="AB104" s="51"/>
      <c r="AC104" s="51"/>
      <c r="AD104" s="31"/>
      <c r="AE104" s="31"/>
      <c r="AF104" s="1"/>
      <c r="AG104" s="1"/>
      <c r="AH104" s="1"/>
      <c r="AI104" s="1"/>
      <c r="AJ104" s="31"/>
      <c r="AK104" s="31"/>
      <c r="AL104" s="1"/>
      <c r="AM104" s="1"/>
      <c r="AN104" s="1"/>
      <c r="AO104" s="1"/>
      <c r="AP104" s="1"/>
      <c r="AQ104" s="1"/>
      <c r="AR104" s="1"/>
      <c r="AS104" s="6"/>
      <c r="AT104" s="6"/>
      <c r="AU104" s="6"/>
      <c r="AW104" s="1"/>
      <c r="BD104" s="652"/>
      <c r="BE104" s="1"/>
      <c r="BF104" s="51"/>
      <c r="BG104" s="51"/>
      <c r="BJ104" s="893"/>
      <c r="BK104" s="421"/>
      <c r="BL104" s="899"/>
      <c r="BM104" s="502"/>
      <c r="BN104" s="502"/>
      <c r="BO104" s="502"/>
      <c r="BP104" s="502"/>
      <c r="BQ104" s="498"/>
      <c r="BR104" s="502"/>
      <c r="BS104" s="502"/>
      <c r="BT104" s="502"/>
      <c r="BU104" s="502"/>
      <c r="BV104" s="498"/>
      <c r="BW104" s="498"/>
      <c r="BX104" s="498"/>
      <c r="BY104" s="498"/>
      <c r="BZ104" s="498"/>
      <c r="CA104" s="498"/>
      <c r="CB104" s="498"/>
      <c r="CC104" s="498"/>
      <c r="CD104" s="498"/>
      <c r="CE104" s="498"/>
      <c r="CF104" s="498"/>
      <c r="CG104" s="498"/>
      <c r="CH104" s="502"/>
      <c r="CI104" s="502"/>
      <c r="CJ104" s="498"/>
      <c r="CK104" s="498"/>
      <c r="CL104" s="52"/>
      <c r="EW104" s="427"/>
    </row>
    <row r="105" spans="1:153" ht="12.75" hidden="1" customHeight="1">
      <c r="B105" s="498"/>
      <c r="C105" s="502"/>
      <c r="D105" s="502"/>
      <c r="E105" s="502"/>
      <c r="F105" s="502"/>
      <c r="G105" s="498"/>
      <c r="H105" s="498"/>
      <c r="I105" s="892"/>
      <c r="J105" s="892"/>
      <c r="K105" s="503"/>
      <c r="L105" s="889" t="s">
        <v>321</v>
      </c>
      <c r="M105" s="503">
        <f ca="1">IF(M104&gt;0,IF(M103/M104&lt;$BF$3,$BF$3,M103/M104),0)</f>
        <v>0</v>
      </c>
      <c r="N105" s="889"/>
      <c r="O105" s="503">
        <f ca="1">IF(O104&gt;0,IF(O103/O104&lt;$BF$3,$BF$3,O103/O104),0)</f>
        <v>0</v>
      </c>
      <c r="P105" s="147"/>
      <c r="Q105" s="148"/>
      <c r="R105" s="52"/>
      <c r="S105" s="52"/>
      <c r="T105" s="52"/>
      <c r="U105" s="52"/>
      <c r="V105" s="52"/>
      <c r="W105" s="52"/>
      <c r="X105" s="52"/>
      <c r="Y105" s="896"/>
      <c r="Z105" s="52"/>
      <c r="AA105" s="51"/>
      <c r="AB105" s="51"/>
      <c r="AC105" s="51"/>
      <c r="AD105" s="31"/>
      <c r="AE105" s="31"/>
      <c r="AF105" s="1"/>
      <c r="AG105" s="1"/>
      <c r="AH105" s="1"/>
      <c r="AI105" s="1"/>
      <c r="AJ105" s="31"/>
      <c r="AK105" s="31"/>
      <c r="AL105" s="1"/>
      <c r="AM105" s="1"/>
      <c r="AN105" s="1"/>
      <c r="AO105" s="1"/>
      <c r="AP105" s="1"/>
      <c r="AQ105" s="1"/>
      <c r="AR105" s="1"/>
      <c r="AS105" s="6"/>
      <c r="AT105" s="6"/>
      <c r="AU105" s="6"/>
      <c r="AW105" s="1"/>
      <c r="BD105" s="652"/>
      <c r="BE105" s="1"/>
      <c r="BF105" s="51"/>
      <c r="BG105" s="51"/>
      <c r="BJ105" s="893"/>
      <c r="BK105" s="421"/>
      <c r="BL105" s="899"/>
      <c r="BM105" s="502"/>
      <c r="BN105" s="502"/>
      <c r="BO105" s="502"/>
      <c r="BP105" s="502"/>
      <c r="BQ105" s="498"/>
      <c r="BR105" s="502"/>
      <c r="BS105" s="502"/>
      <c r="BT105" s="502"/>
      <c r="BU105" s="502"/>
      <c r="BV105" s="498"/>
      <c r="BW105" s="498"/>
      <c r="BX105" s="498"/>
      <c r="BY105" s="498"/>
      <c r="BZ105" s="498"/>
      <c r="CA105" s="498"/>
      <c r="CB105" s="498"/>
      <c r="CC105" s="498"/>
      <c r="CD105" s="498"/>
      <c r="CE105" s="498"/>
      <c r="CF105" s="498"/>
      <c r="CG105" s="498"/>
      <c r="CH105" s="502"/>
      <c r="CI105" s="502"/>
      <c r="CJ105" s="498"/>
      <c r="CK105" s="498"/>
      <c r="CL105" s="52"/>
      <c r="EW105" s="427"/>
    </row>
    <row r="106" spans="1:153" ht="12.75" hidden="1" customHeight="1">
      <c r="B106" s="498"/>
      <c r="C106" s="502"/>
      <c r="D106" s="502"/>
      <c r="E106" s="502"/>
      <c r="F106" s="502"/>
      <c r="G106" s="498"/>
      <c r="H106" s="498"/>
      <c r="I106" s="498"/>
      <c r="J106" s="498"/>
      <c r="K106" s="498"/>
      <c r="L106" s="502"/>
      <c r="M106" s="498"/>
      <c r="N106" s="502"/>
      <c r="O106" s="498"/>
      <c r="P106" s="147"/>
      <c r="Q106" s="148"/>
      <c r="R106" s="52"/>
      <c r="S106" s="52"/>
      <c r="T106" s="52"/>
      <c r="U106" s="52"/>
      <c r="V106" s="52"/>
      <c r="W106" s="52"/>
      <c r="X106" s="52"/>
      <c r="Y106" s="896"/>
      <c r="Z106" s="52"/>
      <c r="AA106" s="51" t="s">
        <v>68</v>
      </c>
      <c r="AB106" s="51"/>
      <c r="AC106" s="51"/>
      <c r="AD106" s="31"/>
      <c r="AE106" s="31"/>
      <c r="AH106" s="1"/>
      <c r="AI106" s="1"/>
      <c r="AJ106" s="31"/>
      <c r="AK106" s="31"/>
      <c r="AL106" s="1"/>
      <c r="AM106" s="1"/>
      <c r="AN106" s="1"/>
      <c r="AO106" s="1"/>
      <c r="AP106" s="1"/>
      <c r="AQ106" s="1"/>
      <c r="AR106" s="1"/>
      <c r="AS106" s="6"/>
      <c r="AT106" s="6"/>
      <c r="AU106" s="6"/>
      <c r="AW106" s="1"/>
      <c r="BD106" s="652"/>
      <c r="BE106" s="1"/>
      <c r="BF106" s="51"/>
      <c r="BG106" s="51"/>
      <c r="BJ106" s="893"/>
      <c r="BK106" s="421"/>
      <c r="BL106" s="899"/>
      <c r="BM106" s="502"/>
      <c r="BN106" s="502"/>
      <c r="BO106" s="502"/>
      <c r="BP106" s="502"/>
      <c r="BQ106" s="498"/>
      <c r="BR106" s="502"/>
      <c r="BS106" s="502"/>
      <c r="BT106" s="502"/>
      <c r="BU106" s="502"/>
      <c r="BV106" s="498"/>
      <c r="BW106" s="498"/>
      <c r="BX106" s="498"/>
      <c r="BY106" s="498"/>
      <c r="BZ106" s="498"/>
      <c r="CA106" s="498"/>
      <c r="CB106" s="498"/>
      <c r="CC106" s="498"/>
      <c r="CD106" s="498"/>
      <c r="CE106" s="498"/>
      <c r="CF106" s="498"/>
      <c r="CG106" s="498"/>
      <c r="CH106" s="502"/>
      <c r="CI106" s="502"/>
      <c r="CJ106" s="498"/>
      <c r="CK106" s="498"/>
      <c r="CL106" s="52"/>
      <c r="EW106" s="427"/>
    </row>
    <row r="107" spans="1:153" hidden="1">
      <c r="B107" s="51"/>
      <c r="C107" s="52"/>
      <c r="D107" s="52"/>
      <c r="E107" s="52"/>
      <c r="F107" s="52"/>
      <c r="G107" s="51"/>
      <c r="H107" s="51"/>
      <c r="I107" s="51"/>
      <c r="J107" s="51"/>
      <c r="K107" s="51"/>
      <c r="L107" s="52"/>
      <c r="M107" s="51"/>
      <c r="N107" s="52"/>
      <c r="O107" s="51"/>
      <c r="P107" s="147"/>
      <c r="Q107" s="148"/>
      <c r="R107" s="52"/>
      <c r="S107" s="52"/>
      <c r="T107" s="52"/>
      <c r="U107" s="52"/>
      <c r="V107" s="52"/>
      <c r="W107" s="52"/>
      <c r="X107" s="52"/>
      <c r="Y107" s="896"/>
      <c r="Z107" s="52"/>
      <c r="AA107" s="51"/>
      <c r="AB107" s="51"/>
      <c r="AC107" s="51"/>
      <c r="AD107" s="31"/>
      <c r="AE107" s="31"/>
      <c r="AH107" s="1"/>
      <c r="AI107" s="1"/>
      <c r="AJ107" s="31"/>
      <c r="AK107" s="31"/>
      <c r="AL107" s="1"/>
      <c r="AM107" s="1"/>
      <c r="AN107" s="1"/>
      <c r="AO107" s="1"/>
      <c r="AP107" s="1"/>
      <c r="AQ107" s="1"/>
      <c r="AR107" s="1"/>
      <c r="AS107" s="6"/>
      <c r="AT107" s="6"/>
      <c r="AU107" s="6"/>
      <c r="AW107" s="1"/>
      <c r="BD107" s="652"/>
      <c r="BE107" s="1"/>
      <c r="BF107" s="51"/>
      <c r="BG107" s="51"/>
      <c r="BJ107" s="893"/>
      <c r="BK107" s="421"/>
      <c r="BL107" s="899"/>
      <c r="BM107" s="502"/>
      <c r="BN107" s="502"/>
      <c r="BO107" s="502"/>
      <c r="BP107" s="502"/>
      <c r="BQ107" s="498"/>
      <c r="BR107" s="502"/>
      <c r="BS107" s="502"/>
      <c r="BT107" s="502"/>
      <c r="BU107" s="502"/>
      <c r="BV107" s="498"/>
      <c r="BW107" s="498"/>
      <c r="BX107" s="498"/>
      <c r="BY107" s="498"/>
      <c r="BZ107" s="498"/>
      <c r="CA107" s="498"/>
      <c r="CB107" s="498"/>
      <c r="CC107" s="498"/>
      <c r="CD107" s="498"/>
      <c r="CE107" s="498"/>
      <c r="CF107" s="498"/>
      <c r="CG107" s="498"/>
      <c r="CH107" s="502"/>
      <c r="CI107" s="502"/>
      <c r="CJ107" s="498"/>
      <c r="CK107" s="498"/>
      <c r="CL107" s="52"/>
      <c r="EW107" s="427"/>
    </row>
    <row r="108" spans="1:153" hidden="1">
      <c r="B108" s="51"/>
      <c r="C108" s="52"/>
      <c r="D108" s="52"/>
      <c r="E108" s="52"/>
      <c r="F108" s="52"/>
      <c r="G108" s="51"/>
      <c r="H108" s="51"/>
      <c r="I108" s="51"/>
      <c r="J108" s="51"/>
      <c r="K108" s="51"/>
      <c r="L108" s="52"/>
      <c r="M108" s="51"/>
      <c r="N108" s="52"/>
      <c r="O108" s="51"/>
      <c r="P108" s="147"/>
      <c r="Q108" s="148"/>
      <c r="R108" s="52"/>
      <c r="S108" s="52"/>
      <c r="T108" s="52"/>
      <c r="U108" s="52"/>
      <c r="V108" s="52"/>
      <c r="W108" s="52"/>
      <c r="X108" s="52"/>
      <c r="Y108" s="896"/>
      <c r="Z108" s="52"/>
      <c r="AA108" s="51"/>
      <c r="AB108" s="51"/>
      <c r="AC108" s="51"/>
      <c r="AD108" s="31"/>
      <c r="AE108" s="31"/>
      <c r="AH108" s="1"/>
      <c r="AI108" s="1"/>
      <c r="AJ108" s="31"/>
      <c r="AK108" s="31"/>
      <c r="AL108" s="1"/>
      <c r="AM108" s="1"/>
      <c r="AN108" s="1"/>
      <c r="AO108" s="1"/>
      <c r="AP108" s="1"/>
      <c r="AQ108" s="1"/>
      <c r="AR108" s="1"/>
      <c r="AS108" s="6"/>
      <c r="AT108" s="6"/>
      <c r="AU108" s="6"/>
      <c r="AW108" s="1"/>
      <c r="BD108" s="652"/>
      <c r="BE108" s="1"/>
      <c r="BF108" s="51"/>
      <c r="BG108" s="51"/>
      <c r="BJ108" s="893"/>
      <c r="BK108" s="421"/>
      <c r="BL108" s="899"/>
      <c r="BM108" s="502"/>
      <c r="BN108" s="502"/>
      <c r="BO108" s="502"/>
      <c r="BP108" s="502"/>
      <c r="BQ108" s="498"/>
      <c r="BR108" s="502"/>
      <c r="BS108" s="502"/>
      <c r="BT108" s="502"/>
      <c r="BU108" s="502"/>
      <c r="BV108" s="498"/>
      <c r="BW108" s="498"/>
      <c r="BX108" s="498"/>
      <c r="BY108" s="498"/>
      <c r="BZ108" s="498"/>
      <c r="CA108" s="498"/>
      <c r="CB108" s="498"/>
      <c r="CC108" s="498"/>
      <c r="CD108" s="498"/>
      <c r="CE108" s="498"/>
      <c r="CF108" s="498"/>
      <c r="CG108" s="498"/>
      <c r="CH108" s="502"/>
      <c r="CI108" s="502"/>
      <c r="CJ108" s="498"/>
      <c r="CK108" s="498"/>
      <c r="CL108" s="52"/>
      <c r="EW108" s="427"/>
    </row>
    <row r="109" spans="1:153" hidden="1">
      <c r="B109" s="51"/>
      <c r="C109" s="52"/>
      <c r="D109" s="52"/>
      <c r="E109" s="52"/>
      <c r="F109" s="52"/>
      <c r="G109" s="51"/>
      <c r="H109" s="51"/>
      <c r="I109" s="51"/>
      <c r="J109" s="51"/>
      <c r="K109" s="51"/>
      <c r="L109" s="52"/>
      <c r="M109" s="51"/>
      <c r="N109" s="52"/>
      <c r="O109" s="51"/>
      <c r="R109" s="52"/>
      <c r="S109" s="52"/>
      <c r="T109" s="52"/>
      <c r="U109" s="52"/>
      <c r="V109" s="52"/>
      <c r="W109" s="52"/>
      <c r="X109" s="52"/>
      <c r="Y109" s="896"/>
      <c r="Z109" s="52"/>
      <c r="AA109" s="51"/>
      <c r="AB109" s="51"/>
      <c r="AC109" s="51"/>
      <c r="AD109" s="1"/>
      <c r="AE109" s="1"/>
      <c r="AH109" s="1"/>
      <c r="AI109" s="1"/>
      <c r="AJ109" s="1"/>
      <c r="AK109" s="1"/>
      <c r="AL109" s="1"/>
      <c r="AM109" s="1"/>
      <c r="AN109" s="1"/>
      <c r="AO109" s="1"/>
      <c r="AP109" s="1"/>
      <c r="AQ109" s="1"/>
      <c r="AR109" s="1"/>
      <c r="AS109" s="6"/>
      <c r="AT109" s="6"/>
      <c r="AU109" s="6"/>
      <c r="AW109" s="1"/>
      <c r="BD109" s="652"/>
      <c r="BE109" s="641"/>
      <c r="BF109" s="652"/>
      <c r="BG109" s="652"/>
      <c r="BH109" s="652"/>
      <c r="BI109" s="652"/>
      <c r="BJ109" s="901"/>
      <c r="BK109" s="902"/>
      <c r="BL109" s="903"/>
      <c r="BM109" s="905"/>
      <c r="BN109" s="905"/>
      <c r="BO109" s="905"/>
      <c r="BP109" s="905"/>
      <c r="BQ109" s="904"/>
      <c r="BR109" s="905"/>
      <c r="BS109" s="905"/>
      <c r="BT109" s="905"/>
      <c r="BU109" s="905"/>
      <c r="BV109" s="904"/>
      <c r="BW109" s="904"/>
      <c r="BX109" s="904"/>
      <c r="BY109" s="904"/>
      <c r="BZ109" s="904"/>
      <c r="CA109" s="904"/>
      <c r="CB109" s="904"/>
      <c r="CC109" s="904"/>
      <c r="CD109" s="904"/>
      <c r="CE109" s="904"/>
      <c r="CF109" s="904"/>
      <c r="CG109" s="904"/>
      <c r="CH109" s="905"/>
      <c r="CI109" s="905"/>
      <c r="CJ109" s="904"/>
      <c r="CK109" s="904"/>
      <c r="CL109" s="657"/>
      <c r="CM109" s="652"/>
      <c r="CN109" s="657"/>
      <c r="CO109" s="657"/>
      <c r="CP109" s="652"/>
      <c r="CQ109" s="652"/>
      <c r="CR109" s="652"/>
      <c r="CS109" s="652"/>
      <c r="CT109" s="652"/>
      <c r="CU109" s="652"/>
      <c r="CV109" s="652"/>
      <c r="CW109" s="652"/>
      <c r="CX109" s="652"/>
      <c r="CY109" s="652"/>
      <c r="CZ109" s="652"/>
      <c r="DA109" s="652"/>
      <c r="DB109" s="652"/>
      <c r="DD109" s="652"/>
      <c r="DE109" s="652"/>
      <c r="DF109" s="652"/>
      <c r="DG109" s="427"/>
      <c r="DH109" s="427"/>
      <c r="DI109" s="427"/>
      <c r="DJ109" s="427"/>
      <c r="DK109" s="427"/>
      <c r="DL109" s="427"/>
      <c r="DM109" s="427"/>
      <c r="DN109" s="427"/>
      <c r="DO109" s="427"/>
      <c r="DP109" s="427"/>
      <c r="DQ109" s="427"/>
      <c r="DR109" s="427"/>
      <c r="DS109" s="427"/>
      <c r="DT109" s="982"/>
      <c r="DU109" s="427"/>
      <c r="DV109" s="427"/>
      <c r="DW109" s="427"/>
      <c r="DX109" s="427"/>
      <c r="DY109" s="427"/>
      <c r="DZ109" s="427"/>
      <c r="EA109" s="427"/>
      <c r="EB109" s="427"/>
      <c r="EC109" s="427"/>
      <c r="ED109" s="427"/>
      <c r="EE109" s="427"/>
      <c r="EF109" s="427"/>
      <c r="EG109" s="427"/>
      <c r="EH109" s="427"/>
      <c r="EI109" s="427"/>
      <c r="EJ109" s="427"/>
      <c r="EK109" s="427"/>
      <c r="EL109" s="427"/>
      <c r="EM109" s="427"/>
      <c r="EN109" s="427"/>
      <c r="EO109" s="427"/>
      <c r="EP109" s="428"/>
      <c r="EQ109" s="431"/>
      <c r="ER109" s="427"/>
      <c r="ES109" s="427"/>
      <c r="ET109" s="427"/>
      <c r="EU109" s="427"/>
      <c r="EV109" s="427"/>
      <c r="EW109" s="427"/>
    </row>
    <row r="110" spans="1:153" hidden="1">
      <c r="B110" s="51"/>
      <c r="C110" s="52"/>
      <c r="D110" s="52"/>
      <c r="E110" s="52"/>
      <c r="F110" s="52"/>
      <c r="G110" s="51"/>
      <c r="H110" s="51"/>
      <c r="I110" s="51"/>
      <c r="J110" s="51"/>
      <c r="K110" s="51"/>
      <c r="L110" s="52"/>
      <c r="M110" s="51"/>
      <c r="N110" s="52"/>
      <c r="O110" s="51"/>
      <c r="R110" s="52"/>
      <c r="S110" s="52"/>
      <c r="T110" s="52"/>
      <c r="U110" s="52"/>
      <c r="V110" s="52"/>
      <c r="W110" s="52"/>
      <c r="X110" s="52"/>
      <c r="Y110" s="896"/>
      <c r="Z110" s="52"/>
      <c r="AA110" s="51"/>
      <c r="AB110" s="51"/>
      <c r="AC110" s="1"/>
      <c r="AD110" s="1"/>
      <c r="AE110" s="1"/>
      <c r="AH110" s="1"/>
      <c r="AI110" s="1"/>
      <c r="AJ110" s="1"/>
      <c r="AK110" s="1"/>
      <c r="AL110" s="1"/>
      <c r="AM110" s="1"/>
      <c r="AN110" s="1"/>
      <c r="AO110" s="1"/>
      <c r="AP110" s="1"/>
      <c r="AQ110" s="1"/>
      <c r="AR110" s="1"/>
      <c r="AS110" s="6"/>
      <c r="AT110" s="6"/>
      <c r="AU110" s="6"/>
      <c r="AW110" s="1"/>
      <c r="BJ110" s="498"/>
      <c r="BK110" s="421"/>
      <c r="BL110" s="899"/>
      <c r="BM110" s="502"/>
      <c r="BN110" s="502"/>
      <c r="BO110" s="502"/>
      <c r="BP110" s="502"/>
      <c r="BQ110" s="498"/>
      <c r="BR110" s="502"/>
      <c r="BS110" s="502"/>
      <c r="BT110" s="502"/>
      <c r="BU110" s="502"/>
      <c r="BV110" s="498"/>
      <c r="BW110" s="498"/>
      <c r="BX110" s="498"/>
      <c r="BY110" s="498"/>
      <c r="BZ110" s="498"/>
      <c r="CA110" s="498"/>
      <c r="CB110" s="498"/>
      <c r="CC110" s="498"/>
      <c r="CD110" s="498"/>
      <c r="CE110" s="498"/>
      <c r="CF110" s="498"/>
      <c r="CG110" s="498"/>
      <c r="CH110" s="502"/>
      <c r="CI110" s="502"/>
      <c r="CJ110" s="498"/>
      <c r="CK110" s="498"/>
      <c r="DC110" s="994"/>
    </row>
    <row r="111" spans="1:153" hidden="1">
      <c r="B111" s="51"/>
      <c r="C111" s="52"/>
      <c r="D111" s="52"/>
      <c r="E111" s="52"/>
      <c r="F111" s="52"/>
      <c r="G111" s="51"/>
      <c r="H111" s="51"/>
      <c r="I111" s="51"/>
      <c r="J111" s="51"/>
      <c r="K111" s="51"/>
      <c r="L111" s="52"/>
      <c r="M111" s="51"/>
      <c r="N111" s="52"/>
      <c r="O111" s="51"/>
      <c r="R111" s="52"/>
      <c r="S111" s="52"/>
      <c r="T111" s="52"/>
      <c r="U111" s="52"/>
      <c r="V111" s="52"/>
      <c r="W111" s="52"/>
      <c r="X111" s="52"/>
      <c r="Y111" s="896"/>
      <c r="Z111" s="52"/>
      <c r="AA111" s="51"/>
      <c r="AB111" s="51"/>
      <c r="AC111" s="1"/>
      <c r="AD111" s="1"/>
      <c r="AE111" s="1"/>
      <c r="AH111" s="1"/>
      <c r="AI111" s="1"/>
      <c r="AJ111" s="1"/>
      <c r="AK111" s="1"/>
      <c r="AL111" s="1"/>
      <c r="AM111" s="1"/>
      <c r="AN111" s="1"/>
      <c r="AO111" s="1"/>
      <c r="AP111" s="1"/>
      <c r="AQ111" s="1"/>
      <c r="AR111" s="1"/>
      <c r="AS111" s="6"/>
      <c r="AT111" s="6"/>
      <c r="AU111" s="6"/>
      <c r="AW111" s="1"/>
    </row>
    <row r="112" spans="1:153" hidden="1">
      <c r="B112" s="1"/>
      <c r="C112" s="9"/>
      <c r="F112" s="9"/>
      <c r="G112" s="1"/>
      <c r="I112" s="1"/>
      <c r="J112" s="1"/>
      <c r="R112" s="52"/>
      <c r="S112" s="52"/>
      <c r="T112" s="52"/>
      <c r="U112" s="52"/>
      <c r="V112" s="52"/>
      <c r="W112" s="52"/>
      <c r="X112" s="52"/>
      <c r="Y112" s="896"/>
      <c r="Z112" s="52"/>
      <c r="AA112" s="51"/>
      <c r="AB112" s="51"/>
      <c r="AC112" s="1"/>
      <c r="AD112" s="1"/>
      <c r="AE112" s="1"/>
      <c r="AF112" s="1"/>
      <c r="AG112" s="1"/>
      <c r="AH112" s="1"/>
      <c r="AI112" s="1"/>
      <c r="AJ112" s="1"/>
      <c r="AK112" s="1"/>
      <c r="AL112" s="1"/>
      <c r="AM112" s="1"/>
      <c r="AN112" s="1"/>
      <c r="AO112" s="1"/>
      <c r="AP112" s="1"/>
      <c r="AQ112" s="1"/>
      <c r="AR112" s="1"/>
      <c r="AS112" s="6"/>
      <c r="AT112" s="6"/>
      <c r="AU112" s="6"/>
      <c r="AW112" s="1"/>
    </row>
    <row r="113" spans="2:49" hidden="1">
      <c r="B113" s="1"/>
      <c r="C113" s="9"/>
      <c r="F113" s="9"/>
      <c r="G113" s="1"/>
      <c r="I113" s="1"/>
      <c r="J113" s="1"/>
      <c r="R113" s="52"/>
      <c r="S113" s="52"/>
      <c r="T113" s="52"/>
      <c r="U113" s="52"/>
      <c r="V113" s="52"/>
      <c r="W113" s="52"/>
      <c r="X113" s="52"/>
      <c r="Y113" s="896"/>
      <c r="Z113" s="52"/>
      <c r="AA113" s="51"/>
      <c r="AB113" s="51"/>
      <c r="AC113" s="1"/>
      <c r="AD113" s="1"/>
      <c r="AE113" s="1"/>
      <c r="AF113" s="1"/>
      <c r="AG113" s="1"/>
      <c r="AH113" s="1"/>
      <c r="AI113" s="1"/>
      <c r="AJ113" s="1"/>
      <c r="AK113" s="1"/>
      <c r="AL113" s="1"/>
      <c r="AM113" s="1"/>
      <c r="AN113" s="1"/>
      <c r="AO113" s="1"/>
      <c r="AP113" s="1"/>
      <c r="AQ113" s="1"/>
      <c r="AR113" s="1"/>
      <c r="AS113" s="6"/>
      <c r="AT113" s="6"/>
      <c r="AU113" s="6"/>
      <c r="AW113" s="1"/>
    </row>
    <row r="114" spans="2:49" hidden="1">
      <c r="B114" s="1"/>
      <c r="C114" s="9"/>
      <c r="F114" s="9"/>
      <c r="G114" s="1"/>
      <c r="I114" s="1"/>
      <c r="J114" s="1"/>
      <c r="R114" s="52"/>
      <c r="S114" s="52"/>
      <c r="T114" s="52"/>
      <c r="U114" s="52"/>
      <c r="V114" s="52"/>
      <c r="W114" s="52"/>
      <c r="X114" s="52"/>
      <c r="Y114" s="896"/>
      <c r="Z114" s="52"/>
      <c r="AA114" s="51"/>
      <c r="AB114" s="51"/>
      <c r="AC114" s="1"/>
      <c r="AD114" s="1"/>
      <c r="AE114" s="1"/>
      <c r="AF114" s="1"/>
      <c r="AG114" s="1"/>
      <c r="AH114" s="1"/>
      <c r="AI114" s="1"/>
      <c r="AJ114" s="1"/>
      <c r="AK114" s="1"/>
      <c r="AL114" s="1"/>
      <c r="AM114" s="1"/>
      <c r="AN114" s="1"/>
      <c r="AO114" s="1"/>
      <c r="AP114" s="1"/>
      <c r="AQ114" s="1"/>
      <c r="AR114" s="1"/>
      <c r="AS114" s="6"/>
      <c r="AT114" s="6"/>
      <c r="AU114" s="6"/>
      <c r="AW114" s="1"/>
    </row>
    <row r="115" spans="2:49">
      <c r="B115" s="1"/>
      <c r="C115" s="9"/>
      <c r="F115" s="9"/>
      <c r="G115" s="1"/>
      <c r="I115" s="1"/>
      <c r="J115" s="1"/>
      <c r="R115" s="52"/>
      <c r="S115" s="52"/>
      <c r="T115" s="52"/>
      <c r="U115" s="52"/>
      <c r="V115" s="52"/>
      <c r="W115" s="52"/>
      <c r="X115" s="52"/>
      <c r="Y115" s="896"/>
      <c r="Z115" s="52"/>
      <c r="AA115" s="51"/>
      <c r="AB115" s="51"/>
      <c r="AC115" s="1"/>
      <c r="AD115" s="1"/>
      <c r="AE115" s="1"/>
      <c r="AF115" s="1"/>
      <c r="AG115" s="1"/>
      <c r="AH115" s="1"/>
      <c r="AI115" s="1"/>
      <c r="AJ115" s="1"/>
      <c r="AK115" s="1"/>
      <c r="AL115" s="1"/>
      <c r="AM115" s="1"/>
      <c r="AN115" s="1"/>
      <c r="AO115" s="1"/>
      <c r="AP115" s="1"/>
      <c r="AQ115" s="1"/>
      <c r="AR115" s="1"/>
      <c r="AS115" s="6"/>
      <c r="AT115" s="6"/>
      <c r="AU115" s="6"/>
      <c r="AW115" s="1"/>
    </row>
    <row r="116" spans="2:49">
      <c r="B116" s="1"/>
      <c r="C116" s="9"/>
      <c r="F116" s="9"/>
      <c r="G116" s="1"/>
      <c r="I116" s="1"/>
      <c r="J116" s="1"/>
      <c r="R116" s="52"/>
      <c r="S116" s="52"/>
      <c r="T116" s="52"/>
      <c r="U116" s="52"/>
      <c r="V116" s="52"/>
      <c r="W116" s="52"/>
      <c r="X116" s="52"/>
      <c r="Y116" s="896"/>
      <c r="Z116" s="52"/>
      <c r="AA116" s="51"/>
      <c r="AB116" s="51"/>
      <c r="AC116" s="1"/>
      <c r="AD116" s="1"/>
      <c r="AE116" s="1"/>
      <c r="AF116" s="1"/>
      <c r="AG116" s="1"/>
      <c r="AH116" s="1"/>
      <c r="AI116" s="1"/>
      <c r="AJ116" s="1"/>
      <c r="AK116" s="1"/>
      <c r="AL116" s="1"/>
      <c r="AM116" s="1"/>
      <c r="AN116" s="1"/>
      <c r="AO116" s="1"/>
      <c r="AP116" s="1"/>
      <c r="AQ116" s="1"/>
      <c r="AR116" s="1"/>
      <c r="AS116" s="6"/>
      <c r="AT116" s="6"/>
      <c r="AU116" s="6"/>
      <c r="AW116" s="1"/>
    </row>
    <row r="117" spans="2:49">
      <c r="B117" s="1"/>
      <c r="C117" s="9"/>
      <c r="F117" s="9"/>
      <c r="G117" s="1"/>
      <c r="I117" s="1"/>
      <c r="J117" s="1"/>
      <c r="R117" s="52"/>
      <c r="S117" s="52"/>
      <c r="T117" s="52"/>
      <c r="U117" s="52"/>
      <c r="V117" s="52"/>
      <c r="W117" s="52"/>
      <c r="X117" s="52"/>
      <c r="Y117" s="896"/>
      <c r="Z117" s="52"/>
      <c r="AA117" s="51"/>
      <c r="AB117" s="51"/>
      <c r="AC117" s="1"/>
      <c r="AD117" s="1"/>
      <c r="AE117" s="1"/>
      <c r="AF117" s="1"/>
      <c r="AG117" s="1"/>
      <c r="AH117" s="1"/>
      <c r="AI117" s="1"/>
      <c r="AJ117" s="1"/>
      <c r="AK117" s="1"/>
      <c r="AL117" s="1"/>
      <c r="AM117" s="1"/>
      <c r="AN117" s="1"/>
      <c r="AO117" s="1"/>
      <c r="AP117" s="1"/>
      <c r="AQ117" s="1"/>
      <c r="AR117" s="1"/>
      <c r="AS117" s="6"/>
      <c r="AT117" s="6"/>
      <c r="AU117" s="6"/>
      <c r="AW117" s="1"/>
    </row>
    <row r="118" spans="2:49">
      <c r="B118" s="1"/>
      <c r="C118" s="9"/>
      <c r="F118" s="9"/>
      <c r="G118" s="1"/>
      <c r="I118" s="1"/>
      <c r="J118" s="1"/>
      <c r="R118" s="52"/>
      <c r="S118" s="52"/>
      <c r="T118" s="52"/>
      <c r="U118" s="52"/>
      <c r="V118" s="52"/>
      <c r="W118" s="52"/>
      <c r="X118" s="52"/>
      <c r="Y118" s="896"/>
      <c r="Z118" s="52"/>
      <c r="AA118" s="51"/>
      <c r="AB118" s="51"/>
      <c r="AC118" s="1"/>
      <c r="AD118" s="1"/>
      <c r="AE118" s="1"/>
      <c r="AF118" s="1"/>
      <c r="AG118" s="1"/>
      <c r="AH118" s="1"/>
      <c r="AI118" s="1"/>
      <c r="AJ118" s="1"/>
      <c r="AK118" s="1"/>
      <c r="AL118" s="1"/>
      <c r="AM118" s="1"/>
      <c r="AN118" s="1"/>
      <c r="AO118" s="1"/>
      <c r="AP118" s="1"/>
      <c r="AQ118" s="1"/>
      <c r="AR118" s="1"/>
      <c r="AS118" s="6"/>
      <c r="AT118" s="6"/>
      <c r="AU118" s="6"/>
      <c r="AW118" s="1"/>
    </row>
    <row r="119" spans="2:49">
      <c r="B119" s="1"/>
      <c r="C119" s="9"/>
      <c r="F119" s="9"/>
      <c r="G119" s="1"/>
      <c r="I119" s="1"/>
      <c r="J119" s="1"/>
      <c r="R119" s="52"/>
      <c r="S119" s="52"/>
      <c r="T119" s="52"/>
      <c r="U119" s="52"/>
      <c r="V119" s="52"/>
      <c r="W119" s="52"/>
      <c r="X119" s="52"/>
      <c r="Y119" s="896"/>
      <c r="Z119" s="52"/>
      <c r="AA119" s="51"/>
      <c r="AB119" s="51"/>
      <c r="AC119" s="1"/>
      <c r="AD119" s="1"/>
      <c r="AE119" s="1"/>
      <c r="AF119" s="1"/>
      <c r="AG119" s="1"/>
      <c r="AH119" s="1"/>
      <c r="AI119" s="1"/>
      <c r="AJ119" s="1"/>
      <c r="AK119" s="1"/>
      <c r="AL119" s="1"/>
      <c r="AM119" s="1"/>
      <c r="AN119" s="1"/>
      <c r="AO119" s="1"/>
      <c r="AP119" s="1"/>
      <c r="AQ119" s="1"/>
      <c r="AR119" s="1"/>
      <c r="AS119" s="6"/>
      <c r="AT119" s="6"/>
      <c r="AU119" s="6"/>
      <c r="AW119" s="1"/>
    </row>
    <row r="120" spans="2:49">
      <c r="B120" s="1"/>
      <c r="C120" s="9"/>
      <c r="F120" s="9"/>
      <c r="G120" s="1"/>
      <c r="I120" s="1"/>
      <c r="J120" s="1"/>
      <c r="R120" s="52"/>
      <c r="S120" s="52"/>
      <c r="T120" s="52"/>
      <c r="U120" s="52"/>
      <c r="V120" s="52"/>
      <c r="W120" s="52"/>
      <c r="X120" s="52"/>
      <c r="Y120" s="896"/>
      <c r="Z120" s="52"/>
      <c r="AA120" s="51"/>
      <c r="AB120" s="51"/>
      <c r="AC120" s="1"/>
      <c r="AD120" s="1"/>
      <c r="AE120" s="1"/>
      <c r="AF120" s="1"/>
      <c r="AG120" s="1"/>
      <c r="AH120" s="1"/>
      <c r="AI120" s="1"/>
      <c r="AJ120" s="1"/>
      <c r="AK120" s="1"/>
      <c r="AL120" s="1"/>
      <c r="AM120" s="1"/>
      <c r="AN120" s="1"/>
      <c r="AO120" s="1"/>
      <c r="AP120" s="1"/>
      <c r="AQ120" s="1"/>
      <c r="AR120" s="1"/>
      <c r="AS120" s="6"/>
      <c r="AT120" s="6"/>
      <c r="AU120" s="6"/>
      <c r="AW120" s="1"/>
    </row>
    <row r="121" spans="2:49">
      <c r="B121" s="1"/>
      <c r="C121" s="9"/>
      <c r="F121" s="9"/>
      <c r="G121" s="1"/>
      <c r="I121" s="1"/>
      <c r="J121" s="1"/>
      <c r="R121" s="52"/>
      <c r="S121" s="52"/>
      <c r="T121" s="52"/>
      <c r="U121" s="52"/>
      <c r="V121" s="52"/>
      <c r="W121" s="52"/>
      <c r="X121" s="52"/>
      <c r="Y121" s="896"/>
      <c r="Z121" s="52"/>
      <c r="AA121" s="51"/>
      <c r="AB121" s="51"/>
      <c r="AC121" s="1"/>
      <c r="AD121" s="1"/>
      <c r="AE121" s="1"/>
      <c r="AF121" s="1"/>
      <c r="AG121" s="1"/>
      <c r="AH121" s="1"/>
      <c r="AI121" s="1"/>
      <c r="AJ121" s="1"/>
      <c r="AK121" s="1"/>
      <c r="AL121" s="1"/>
      <c r="AM121" s="1"/>
      <c r="AN121" s="1"/>
      <c r="AO121" s="1"/>
      <c r="AP121" s="1"/>
      <c r="AQ121" s="1"/>
      <c r="AR121" s="1"/>
      <c r="AS121" s="6"/>
      <c r="AT121" s="6"/>
      <c r="AU121" s="6"/>
      <c r="AW121" s="1"/>
    </row>
    <row r="122" spans="2:49">
      <c r="B122" s="1"/>
      <c r="C122" s="9"/>
      <c r="F122" s="9"/>
      <c r="G122" s="1"/>
      <c r="I122" s="1"/>
      <c r="J122" s="1"/>
      <c r="R122" s="52"/>
      <c r="S122" s="52"/>
      <c r="T122" s="52"/>
      <c r="U122" s="52"/>
      <c r="V122" s="52"/>
      <c r="W122" s="52"/>
      <c r="X122" s="52"/>
      <c r="Y122" s="896"/>
      <c r="Z122" s="52"/>
      <c r="AA122" s="51"/>
      <c r="AB122" s="51"/>
      <c r="AC122" s="1"/>
      <c r="AD122" s="1"/>
      <c r="AE122" s="1"/>
      <c r="AF122" s="1"/>
      <c r="AG122" s="1"/>
      <c r="AH122" s="1"/>
      <c r="AI122" s="1"/>
      <c r="AJ122" s="1"/>
      <c r="AK122" s="1"/>
      <c r="AL122" s="1"/>
      <c r="AM122" s="1"/>
      <c r="AN122" s="1"/>
      <c r="AO122" s="1"/>
      <c r="AP122" s="1"/>
      <c r="AQ122" s="1"/>
      <c r="AR122" s="1"/>
      <c r="AS122" s="6"/>
      <c r="AT122" s="6"/>
      <c r="AU122" s="6"/>
      <c r="AW122" s="1"/>
    </row>
    <row r="123" spans="2:49">
      <c r="B123" s="1"/>
      <c r="C123" s="9"/>
      <c r="F123" s="9"/>
      <c r="G123" s="1"/>
      <c r="I123" s="1"/>
      <c r="J123" s="1"/>
      <c r="R123" s="52"/>
      <c r="S123" s="52"/>
      <c r="T123" s="52"/>
      <c r="U123" s="52"/>
      <c r="V123" s="52"/>
      <c r="W123" s="52"/>
      <c r="X123" s="52"/>
      <c r="Y123" s="896"/>
      <c r="Z123" s="52"/>
      <c r="AA123" s="51"/>
      <c r="AB123" s="51"/>
      <c r="AC123" s="1"/>
      <c r="AD123" s="1"/>
      <c r="AE123" s="1"/>
      <c r="AF123" s="1"/>
      <c r="AG123" s="1"/>
      <c r="AH123" s="1"/>
      <c r="AI123" s="1"/>
      <c r="AJ123" s="1"/>
      <c r="AK123" s="1"/>
      <c r="AL123" s="1"/>
      <c r="AM123" s="1"/>
      <c r="AN123" s="1"/>
      <c r="AO123" s="1"/>
      <c r="AP123" s="1"/>
      <c r="AQ123" s="1"/>
      <c r="AR123" s="1"/>
      <c r="AS123" s="6"/>
      <c r="AT123" s="6"/>
      <c r="AU123" s="6"/>
      <c r="AW123" s="1"/>
    </row>
    <row r="124" spans="2:49">
      <c r="B124" s="1"/>
      <c r="C124" s="9"/>
      <c r="F124" s="9"/>
      <c r="G124" s="1"/>
      <c r="I124" s="1"/>
      <c r="J124" s="1"/>
      <c r="R124" s="52"/>
      <c r="S124" s="52"/>
      <c r="T124" s="52"/>
      <c r="U124" s="52"/>
      <c r="V124" s="52"/>
      <c r="W124" s="52"/>
      <c r="X124" s="52"/>
      <c r="Y124" s="896"/>
      <c r="Z124" s="52"/>
      <c r="AA124" s="51"/>
      <c r="AB124" s="51"/>
      <c r="AC124" s="1"/>
      <c r="AD124" s="1"/>
      <c r="AE124" s="1"/>
      <c r="AF124" s="1"/>
      <c r="AG124" s="1"/>
      <c r="AH124" s="1"/>
      <c r="AI124" s="1"/>
      <c r="AJ124" s="1"/>
      <c r="AK124" s="1"/>
      <c r="AL124" s="1"/>
      <c r="AM124" s="1"/>
      <c r="AN124" s="1"/>
      <c r="AO124" s="1"/>
      <c r="AP124" s="1"/>
      <c r="AQ124" s="1"/>
      <c r="AR124" s="1"/>
      <c r="AS124" s="6"/>
      <c r="AT124" s="6"/>
      <c r="AU124" s="6"/>
      <c r="AW124" s="1"/>
    </row>
    <row r="125" spans="2:49">
      <c r="B125" s="1"/>
      <c r="C125" s="9"/>
      <c r="F125" s="9"/>
      <c r="G125" s="1"/>
      <c r="I125" s="1"/>
      <c r="J125" s="1"/>
      <c r="R125" s="52"/>
      <c r="S125" s="52"/>
      <c r="T125" s="52"/>
      <c r="U125" s="52"/>
      <c r="V125" s="52"/>
      <c r="W125" s="52"/>
      <c r="X125" s="52"/>
      <c r="Y125" s="896"/>
      <c r="Z125" s="52"/>
      <c r="AA125" s="51"/>
      <c r="AB125" s="51"/>
      <c r="AC125" s="1"/>
      <c r="AD125" s="1"/>
      <c r="AE125" s="1"/>
      <c r="AF125" s="1"/>
      <c r="AG125" s="1"/>
      <c r="AH125" s="1"/>
      <c r="AI125" s="1"/>
      <c r="AJ125" s="1"/>
      <c r="AK125" s="1"/>
      <c r="AL125" s="1"/>
      <c r="AM125" s="1"/>
      <c r="AN125" s="1"/>
      <c r="AO125" s="1"/>
      <c r="AP125" s="1"/>
      <c r="AQ125" s="1"/>
      <c r="AR125" s="1"/>
      <c r="AS125" s="6"/>
      <c r="AT125" s="6"/>
      <c r="AU125" s="6"/>
      <c r="AW125" s="1"/>
    </row>
    <row r="126" spans="2:49">
      <c r="B126" s="1"/>
      <c r="C126" s="9"/>
      <c r="F126" s="9"/>
      <c r="G126" s="1"/>
      <c r="I126" s="1"/>
      <c r="J126" s="1"/>
      <c r="R126" s="52"/>
      <c r="S126" s="52"/>
      <c r="T126" s="52"/>
      <c r="U126" s="52"/>
      <c r="V126" s="52"/>
      <c r="W126" s="52"/>
      <c r="X126" s="52"/>
      <c r="Y126" s="896"/>
      <c r="Z126" s="52"/>
      <c r="AA126" s="51"/>
      <c r="AB126" s="51"/>
      <c r="AC126" s="1"/>
      <c r="AD126" s="1"/>
      <c r="AE126" s="1"/>
      <c r="AF126" s="1"/>
      <c r="AG126" s="1"/>
      <c r="AH126" s="1"/>
      <c r="AI126" s="1"/>
      <c r="AJ126" s="1"/>
      <c r="AK126" s="1"/>
      <c r="AL126" s="1"/>
      <c r="AM126" s="1"/>
      <c r="AN126" s="1"/>
      <c r="AO126" s="1"/>
      <c r="AP126" s="1"/>
      <c r="AQ126" s="1"/>
      <c r="AR126" s="1"/>
      <c r="AS126" s="6"/>
      <c r="AT126" s="6"/>
      <c r="AU126" s="6"/>
      <c r="AW126" s="1"/>
    </row>
    <row r="127" spans="2:49">
      <c r="B127" s="1"/>
      <c r="C127" s="9"/>
      <c r="F127" s="9"/>
      <c r="G127" s="1"/>
      <c r="I127" s="1"/>
      <c r="J127" s="1"/>
      <c r="R127" s="52"/>
      <c r="S127" s="52"/>
      <c r="T127" s="52"/>
      <c r="U127" s="52"/>
      <c r="V127" s="52"/>
      <c r="W127" s="52"/>
      <c r="X127" s="52"/>
      <c r="Y127" s="896"/>
      <c r="Z127" s="52"/>
      <c r="AA127" s="51"/>
      <c r="AB127" s="51"/>
      <c r="AC127" s="1"/>
      <c r="AD127" s="1"/>
      <c r="AE127" s="1"/>
      <c r="AF127" s="1"/>
      <c r="AG127" s="1"/>
      <c r="AH127" s="1"/>
      <c r="AI127" s="1"/>
      <c r="AJ127" s="1"/>
      <c r="AK127" s="1"/>
      <c r="AL127" s="1"/>
      <c r="AM127" s="1"/>
      <c r="AN127" s="1"/>
      <c r="AO127" s="1"/>
      <c r="AP127" s="1"/>
      <c r="AQ127" s="1"/>
      <c r="AR127" s="1"/>
      <c r="AS127" s="6"/>
      <c r="AT127" s="6"/>
      <c r="AU127" s="6"/>
      <c r="AW127" s="1"/>
    </row>
    <row r="128" spans="2:49">
      <c r="B128" s="1"/>
      <c r="C128" s="9"/>
      <c r="F128" s="9"/>
      <c r="G128" s="1"/>
      <c r="I128" s="1"/>
      <c r="J128" s="1"/>
      <c r="R128" s="52"/>
      <c r="S128" s="52"/>
      <c r="T128" s="52"/>
      <c r="U128" s="52"/>
      <c r="V128" s="52"/>
      <c r="W128" s="52"/>
      <c r="X128" s="52"/>
      <c r="Y128" s="896"/>
      <c r="Z128" s="52"/>
      <c r="AA128" s="51"/>
      <c r="AB128" s="51"/>
      <c r="AC128" s="1"/>
      <c r="AD128" s="1"/>
      <c r="AE128" s="1"/>
      <c r="AF128" s="1"/>
      <c r="AG128" s="1"/>
      <c r="AH128" s="1"/>
      <c r="AI128" s="1"/>
      <c r="AJ128" s="1"/>
      <c r="AK128" s="1"/>
      <c r="AL128" s="1"/>
      <c r="AM128" s="1"/>
      <c r="AN128" s="1"/>
      <c r="AO128" s="1"/>
      <c r="AP128" s="1"/>
      <c r="AQ128" s="1"/>
      <c r="AR128" s="1"/>
      <c r="AS128" s="6"/>
      <c r="AT128" s="6"/>
      <c r="AU128" s="6"/>
      <c r="AW128" s="1"/>
    </row>
    <row r="129" spans="2:49">
      <c r="B129" s="1"/>
      <c r="C129" s="9"/>
      <c r="F129" s="9"/>
      <c r="G129" s="1"/>
      <c r="I129" s="1"/>
      <c r="J129" s="1"/>
      <c r="R129" s="52"/>
      <c r="S129" s="52"/>
      <c r="T129" s="52"/>
      <c r="U129" s="52"/>
      <c r="V129" s="52"/>
      <c r="W129" s="52"/>
      <c r="X129" s="52"/>
      <c r="Y129" s="896"/>
      <c r="Z129" s="52"/>
      <c r="AA129" s="51"/>
      <c r="AB129" s="51"/>
      <c r="AC129" s="1"/>
      <c r="AD129" s="1"/>
      <c r="AE129" s="1"/>
      <c r="AF129" s="1"/>
      <c r="AG129" s="1"/>
      <c r="AH129" s="1"/>
      <c r="AI129" s="1"/>
      <c r="AJ129" s="1"/>
      <c r="AK129" s="1"/>
      <c r="AL129" s="1"/>
      <c r="AM129" s="1"/>
      <c r="AN129" s="1"/>
      <c r="AO129" s="1"/>
      <c r="AP129" s="1"/>
      <c r="AQ129" s="1"/>
      <c r="AR129" s="1"/>
      <c r="AS129" s="6"/>
      <c r="AT129" s="6"/>
      <c r="AU129" s="6"/>
      <c r="AW129" s="1"/>
    </row>
    <row r="130" spans="2:49">
      <c r="B130" s="1"/>
      <c r="C130" s="9"/>
      <c r="F130" s="9"/>
      <c r="G130" s="1"/>
      <c r="I130" s="1"/>
      <c r="J130" s="1"/>
      <c r="R130" s="52"/>
      <c r="S130" s="52"/>
      <c r="T130" s="52"/>
      <c r="U130" s="52"/>
      <c r="V130" s="52"/>
      <c r="W130" s="52"/>
      <c r="X130" s="52"/>
      <c r="Y130" s="896"/>
      <c r="Z130" s="52"/>
      <c r="AA130" s="51"/>
      <c r="AB130" s="51"/>
      <c r="AC130" s="1"/>
      <c r="AD130" s="1"/>
      <c r="AE130" s="1"/>
      <c r="AF130" s="1"/>
      <c r="AG130" s="1"/>
      <c r="AH130" s="1"/>
      <c r="AI130" s="1"/>
      <c r="AJ130" s="1"/>
      <c r="AK130" s="1"/>
      <c r="AL130" s="1"/>
      <c r="AM130" s="1"/>
      <c r="AN130" s="1"/>
      <c r="AO130" s="1"/>
      <c r="AP130" s="1"/>
      <c r="AQ130" s="1"/>
      <c r="AR130" s="1"/>
      <c r="AS130" s="6"/>
      <c r="AT130" s="6"/>
      <c r="AU130" s="6"/>
      <c r="AW130" s="1"/>
    </row>
    <row r="131" spans="2:49">
      <c r="B131" s="1"/>
      <c r="C131" s="9"/>
      <c r="F131" s="9"/>
      <c r="G131" s="1"/>
      <c r="I131" s="1"/>
      <c r="J131" s="1"/>
      <c r="R131" s="52"/>
      <c r="S131" s="52"/>
      <c r="T131" s="52"/>
      <c r="U131" s="52"/>
      <c r="V131" s="52"/>
      <c r="W131" s="52"/>
      <c r="X131" s="52"/>
      <c r="Y131" s="896"/>
      <c r="Z131" s="52"/>
      <c r="AA131" s="51"/>
      <c r="AB131" s="51"/>
      <c r="AC131" s="1"/>
      <c r="AD131" s="1"/>
      <c r="AE131" s="1"/>
      <c r="AF131" s="1"/>
      <c r="AG131" s="1"/>
      <c r="AH131" s="1"/>
      <c r="AI131" s="1"/>
      <c r="AJ131" s="1"/>
      <c r="AK131" s="1"/>
      <c r="AL131" s="1"/>
      <c r="AM131" s="1"/>
      <c r="AN131" s="1"/>
      <c r="AO131" s="1"/>
      <c r="AP131" s="1"/>
      <c r="AQ131" s="1"/>
      <c r="AR131" s="1"/>
      <c r="AS131" s="6"/>
      <c r="AT131" s="6"/>
      <c r="AU131" s="6"/>
      <c r="AW131" s="1"/>
    </row>
    <row r="132" spans="2:49">
      <c r="B132" s="1"/>
      <c r="C132" s="9"/>
      <c r="F132" s="9"/>
      <c r="G132" s="1"/>
      <c r="I132" s="1"/>
      <c r="J132" s="1"/>
      <c r="R132" s="52"/>
      <c r="S132" s="52"/>
      <c r="T132" s="52"/>
      <c r="U132" s="52"/>
      <c r="V132" s="52"/>
      <c r="W132" s="52"/>
      <c r="X132" s="52"/>
      <c r="Y132" s="896"/>
      <c r="Z132" s="52"/>
      <c r="AA132" s="51"/>
      <c r="AB132" s="51"/>
      <c r="AC132" s="1"/>
      <c r="AD132" s="1"/>
      <c r="AE132" s="1"/>
      <c r="AF132" s="1"/>
      <c r="AG132" s="1"/>
      <c r="AH132" s="1"/>
      <c r="AI132" s="1"/>
      <c r="AJ132" s="1"/>
      <c r="AK132" s="1"/>
      <c r="AL132" s="1"/>
      <c r="AM132" s="1"/>
      <c r="AN132" s="1"/>
      <c r="AO132" s="1"/>
      <c r="AP132" s="1"/>
      <c r="AQ132" s="1"/>
      <c r="AR132" s="1"/>
      <c r="AS132" s="6"/>
      <c r="AT132" s="6"/>
      <c r="AU132" s="6"/>
      <c r="AW132" s="1"/>
    </row>
    <row r="133" spans="2:49">
      <c r="B133" s="1"/>
      <c r="C133" s="9"/>
      <c r="F133" s="9"/>
      <c r="G133" s="1"/>
      <c r="I133" s="1"/>
      <c r="J133" s="1"/>
      <c r="R133" s="52"/>
      <c r="S133" s="52"/>
      <c r="T133" s="52"/>
      <c r="U133" s="52"/>
      <c r="V133" s="52"/>
      <c r="W133" s="52"/>
      <c r="X133" s="52"/>
      <c r="Y133" s="896"/>
      <c r="Z133" s="52"/>
      <c r="AA133" s="51"/>
      <c r="AB133" s="51"/>
      <c r="AC133" s="1"/>
      <c r="AD133" s="1"/>
      <c r="AE133" s="1"/>
      <c r="AF133" s="1"/>
      <c r="AG133" s="1"/>
      <c r="AH133" s="1"/>
      <c r="AI133" s="1"/>
      <c r="AJ133" s="1"/>
      <c r="AK133" s="1"/>
      <c r="AL133" s="1"/>
      <c r="AM133" s="1"/>
      <c r="AN133" s="1"/>
      <c r="AO133" s="1"/>
      <c r="AP133" s="1"/>
      <c r="AQ133" s="1"/>
      <c r="AR133" s="1"/>
      <c r="AS133" s="6"/>
      <c r="AT133" s="6"/>
      <c r="AU133" s="6"/>
      <c r="AW133" s="1"/>
    </row>
    <row r="134" spans="2:49">
      <c r="B134" s="1"/>
      <c r="C134" s="9"/>
      <c r="F134" s="9"/>
      <c r="G134" s="1"/>
      <c r="I134" s="1"/>
      <c r="J134" s="1"/>
      <c r="R134" s="52"/>
      <c r="S134" s="52"/>
      <c r="T134" s="52"/>
      <c r="U134" s="52"/>
      <c r="V134" s="52"/>
      <c r="W134" s="52"/>
      <c r="X134" s="52"/>
      <c r="Y134" s="896"/>
      <c r="Z134" s="52"/>
      <c r="AA134" s="51"/>
      <c r="AB134" s="51"/>
      <c r="AC134" s="1"/>
      <c r="AD134" s="1"/>
      <c r="AE134" s="1"/>
      <c r="AF134" s="1"/>
      <c r="AG134" s="1"/>
      <c r="AH134" s="1"/>
      <c r="AI134" s="1"/>
      <c r="AJ134" s="1"/>
      <c r="AK134" s="1"/>
      <c r="AL134" s="1"/>
      <c r="AM134" s="1"/>
      <c r="AN134" s="1"/>
      <c r="AO134" s="1"/>
      <c r="AP134" s="1"/>
      <c r="AQ134" s="1"/>
      <c r="AR134" s="1"/>
      <c r="AS134" s="6"/>
      <c r="AT134" s="6"/>
      <c r="AU134" s="6"/>
      <c r="AW134" s="1"/>
    </row>
    <row r="135" spans="2:49">
      <c r="B135" s="1"/>
      <c r="C135" s="9"/>
      <c r="F135" s="9"/>
      <c r="G135" s="1"/>
      <c r="I135" s="1"/>
      <c r="J135" s="1"/>
      <c r="R135" s="52"/>
      <c r="S135" s="52"/>
      <c r="T135" s="52"/>
      <c r="U135" s="52"/>
      <c r="V135" s="52"/>
      <c r="W135" s="52"/>
      <c r="X135" s="52"/>
      <c r="Y135" s="896"/>
      <c r="Z135" s="52"/>
      <c r="AA135" s="51"/>
      <c r="AB135" s="51"/>
      <c r="AC135" s="1"/>
      <c r="AD135" s="1"/>
      <c r="AE135" s="1"/>
      <c r="AF135" s="1"/>
      <c r="AG135" s="1"/>
      <c r="AH135" s="1"/>
      <c r="AI135" s="1"/>
      <c r="AJ135" s="1"/>
      <c r="AK135" s="1"/>
      <c r="AL135" s="1"/>
      <c r="AM135" s="1"/>
      <c r="AN135" s="1"/>
      <c r="AO135" s="1"/>
      <c r="AP135" s="1"/>
      <c r="AQ135" s="1"/>
      <c r="AR135" s="1"/>
      <c r="AS135" s="6"/>
      <c r="AT135" s="6"/>
      <c r="AU135" s="6"/>
      <c r="AW135" s="1"/>
    </row>
    <row r="136" spans="2:49">
      <c r="B136" s="1"/>
      <c r="C136" s="9"/>
      <c r="F136" s="9"/>
      <c r="G136" s="1"/>
      <c r="I136" s="1"/>
      <c r="J136" s="1"/>
      <c r="R136" s="52"/>
      <c r="S136" s="52"/>
      <c r="T136" s="52"/>
      <c r="U136" s="52"/>
      <c r="V136" s="52"/>
      <c r="W136" s="52"/>
      <c r="X136" s="52"/>
      <c r="Y136" s="896"/>
      <c r="Z136" s="52"/>
      <c r="AA136" s="51"/>
      <c r="AB136" s="51"/>
      <c r="AC136" s="1"/>
      <c r="AD136" s="1"/>
      <c r="AE136" s="1"/>
      <c r="AF136" s="1"/>
      <c r="AG136" s="1"/>
      <c r="AH136" s="1"/>
      <c r="AI136" s="1"/>
      <c r="AJ136" s="1"/>
      <c r="AK136" s="1"/>
      <c r="AL136" s="1"/>
      <c r="AM136" s="1"/>
      <c r="AN136" s="1"/>
      <c r="AO136" s="1"/>
      <c r="AP136" s="1"/>
      <c r="AQ136" s="1"/>
      <c r="AR136" s="1"/>
      <c r="AS136" s="6"/>
      <c r="AT136" s="6"/>
      <c r="AU136" s="6"/>
      <c r="AW136" s="1"/>
    </row>
    <row r="137" spans="2:49">
      <c r="B137" s="1"/>
      <c r="C137" s="9"/>
      <c r="F137" s="9"/>
      <c r="G137" s="1"/>
      <c r="I137" s="1"/>
      <c r="J137" s="1"/>
      <c r="R137" s="52"/>
      <c r="S137" s="52"/>
      <c r="T137" s="52"/>
      <c r="U137" s="52"/>
      <c r="V137" s="52"/>
      <c r="W137" s="52"/>
      <c r="X137" s="52"/>
      <c r="Y137" s="896"/>
      <c r="Z137" s="52"/>
      <c r="AA137" s="51"/>
      <c r="AB137" s="51"/>
      <c r="AC137" s="1"/>
      <c r="AD137" s="1"/>
      <c r="AE137" s="1"/>
      <c r="AF137" s="1"/>
      <c r="AG137" s="1"/>
      <c r="AH137" s="1"/>
      <c r="AI137" s="1"/>
      <c r="AJ137" s="1"/>
      <c r="AK137" s="1"/>
      <c r="AL137" s="1"/>
      <c r="AM137" s="1"/>
      <c r="AN137" s="1"/>
      <c r="AO137" s="1"/>
      <c r="AP137" s="1"/>
      <c r="AQ137" s="1"/>
      <c r="AR137" s="1"/>
      <c r="AS137" s="6"/>
      <c r="AT137" s="6"/>
      <c r="AU137" s="6"/>
      <c r="AW137" s="1"/>
    </row>
    <row r="138" spans="2:49">
      <c r="B138" s="1"/>
      <c r="C138" s="9"/>
      <c r="F138" s="9"/>
      <c r="G138" s="1"/>
      <c r="I138" s="1"/>
      <c r="J138" s="1"/>
      <c r="R138" s="52"/>
      <c r="S138" s="52"/>
      <c r="T138" s="52"/>
      <c r="U138" s="52"/>
      <c r="V138" s="52"/>
      <c r="W138" s="52"/>
      <c r="X138" s="52"/>
      <c r="Y138" s="896"/>
      <c r="Z138" s="52"/>
      <c r="AA138" s="51"/>
      <c r="AB138" s="51"/>
      <c r="AC138" s="1"/>
      <c r="AD138" s="1"/>
      <c r="AE138" s="1"/>
      <c r="AF138" s="1"/>
      <c r="AG138" s="1"/>
      <c r="AH138" s="1"/>
      <c r="AI138" s="1"/>
      <c r="AJ138" s="1"/>
      <c r="AK138" s="1"/>
      <c r="AL138" s="1"/>
      <c r="AM138" s="1"/>
      <c r="AN138" s="1"/>
      <c r="AO138" s="1"/>
      <c r="AP138" s="1"/>
      <c r="AQ138" s="1"/>
      <c r="AR138" s="1"/>
      <c r="AS138" s="6"/>
      <c r="AT138" s="6"/>
      <c r="AU138" s="6"/>
      <c r="AW138" s="1"/>
    </row>
    <row r="139" spans="2:49">
      <c r="B139" s="1"/>
      <c r="C139" s="9"/>
      <c r="F139" s="9"/>
      <c r="G139" s="1"/>
      <c r="I139" s="1"/>
      <c r="J139" s="1"/>
      <c r="R139" s="52"/>
      <c r="S139" s="52"/>
      <c r="T139" s="52"/>
      <c r="U139" s="52"/>
      <c r="V139" s="52"/>
      <c r="W139" s="52"/>
      <c r="X139" s="52"/>
      <c r="Y139" s="896"/>
      <c r="Z139" s="52"/>
      <c r="AA139" s="51"/>
      <c r="AB139" s="51"/>
      <c r="AC139" s="1"/>
      <c r="AD139" s="1"/>
      <c r="AE139" s="1"/>
      <c r="AF139" s="1"/>
      <c r="AG139" s="1"/>
      <c r="AH139" s="1"/>
      <c r="AI139" s="1"/>
      <c r="AJ139" s="1"/>
      <c r="AK139" s="1"/>
      <c r="AL139" s="1"/>
      <c r="AM139" s="1"/>
      <c r="AN139" s="1"/>
      <c r="AO139" s="1"/>
      <c r="AP139" s="1"/>
      <c r="AQ139" s="1"/>
      <c r="AR139" s="1"/>
      <c r="AS139" s="6"/>
      <c r="AT139" s="6"/>
      <c r="AU139" s="6"/>
      <c r="AW139" s="1"/>
    </row>
    <row r="140" spans="2:49">
      <c r="B140" s="1"/>
      <c r="C140" s="9"/>
      <c r="F140" s="9"/>
      <c r="G140" s="1"/>
      <c r="I140" s="1"/>
      <c r="J140" s="1"/>
      <c r="R140" s="52"/>
      <c r="S140" s="52"/>
      <c r="T140" s="52"/>
      <c r="U140" s="52"/>
      <c r="V140" s="52"/>
      <c r="W140" s="52"/>
      <c r="X140" s="52"/>
      <c r="Y140" s="896"/>
      <c r="Z140" s="52"/>
      <c r="AA140" s="51"/>
      <c r="AB140" s="51"/>
      <c r="AC140" s="1"/>
      <c r="AD140" s="1"/>
      <c r="AE140" s="1"/>
      <c r="AF140" s="1"/>
      <c r="AG140" s="1"/>
      <c r="AH140" s="1"/>
      <c r="AI140" s="1"/>
      <c r="AJ140" s="1"/>
      <c r="AK140" s="1"/>
      <c r="AL140" s="1"/>
      <c r="AM140" s="1"/>
      <c r="AN140" s="1"/>
      <c r="AO140" s="1"/>
      <c r="AP140" s="1"/>
      <c r="AQ140" s="1"/>
      <c r="AR140" s="1"/>
      <c r="AS140" s="6"/>
      <c r="AT140" s="6"/>
      <c r="AU140" s="6"/>
      <c r="AW140" s="1"/>
    </row>
    <row r="141" spans="2:49">
      <c r="B141" s="1"/>
      <c r="C141" s="9"/>
      <c r="F141" s="9"/>
      <c r="G141" s="1"/>
      <c r="I141" s="1"/>
      <c r="J141" s="1"/>
      <c r="R141" s="52"/>
      <c r="S141" s="52"/>
      <c r="T141" s="52"/>
      <c r="U141" s="52"/>
      <c r="V141" s="52"/>
      <c r="W141" s="52"/>
      <c r="X141" s="52"/>
      <c r="Y141" s="896"/>
      <c r="Z141" s="52"/>
      <c r="AA141" s="51"/>
      <c r="AB141" s="51"/>
      <c r="AC141" s="1"/>
      <c r="AD141" s="1"/>
      <c r="AE141" s="1"/>
      <c r="AH141" s="1"/>
      <c r="AI141" s="1"/>
      <c r="AJ141" s="1"/>
      <c r="AK141" s="1"/>
      <c r="AL141" s="1"/>
      <c r="AM141" s="1"/>
      <c r="AN141" s="1"/>
      <c r="AO141" s="1"/>
      <c r="AP141" s="1"/>
      <c r="AQ141" s="1"/>
      <c r="AR141" s="1"/>
      <c r="AS141" s="6"/>
      <c r="AT141" s="6"/>
      <c r="AU141" s="6"/>
      <c r="AW141" s="1"/>
    </row>
    <row r="142" spans="2:49">
      <c r="B142" s="1"/>
      <c r="C142" s="9"/>
      <c r="F142" s="9"/>
      <c r="G142" s="1"/>
      <c r="I142" s="1"/>
      <c r="J142" s="1"/>
      <c r="R142" s="52"/>
      <c r="S142" s="52"/>
      <c r="T142" s="52"/>
      <c r="U142" s="52"/>
      <c r="V142" s="52"/>
      <c r="W142" s="52"/>
      <c r="X142" s="52"/>
      <c r="Y142" s="896"/>
      <c r="Z142" s="52"/>
      <c r="AA142" s="51"/>
      <c r="AB142" s="51"/>
      <c r="AC142" s="1"/>
      <c r="AD142" s="1"/>
      <c r="AE142" s="1"/>
      <c r="AH142" s="1"/>
      <c r="AI142" s="1"/>
      <c r="AJ142" s="1"/>
      <c r="AK142" s="1"/>
      <c r="AL142" s="1"/>
      <c r="AM142" s="1"/>
      <c r="AN142" s="1"/>
      <c r="AO142" s="1"/>
      <c r="AP142" s="1"/>
      <c r="AQ142" s="1"/>
      <c r="AR142" s="1"/>
      <c r="AS142" s="6"/>
      <c r="AT142" s="6"/>
      <c r="AU142" s="6"/>
      <c r="AW142" s="1"/>
    </row>
    <row r="143" spans="2:49">
      <c r="B143" s="1"/>
      <c r="C143" s="9"/>
      <c r="F143" s="9"/>
      <c r="G143" s="1"/>
      <c r="I143" s="1"/>
      <c r="J143" s="1"/>
      <c r="R143" s="52"/>
      <c r="S143" s="52"/>
      <c r="T143" s="52"/>
      <c r="U143" s="52"/>
      <c r="V143" s="52"/>
      <c r="W143" s="52"/>
      <c r="X143" s="52"/>
      <c r="Y143" s="896"/>
      <c r="Z143" s="52"/>
      <c r="AA143" s="51"/>
      <c r="AB143" s="51"/>
      <c r="AC143" s="1"/>
      <c r="AD143" s="1"/>
      <c r="AE143" s="1"/>
      <c r="AH143" s="1"/>
      <c r="AI143" s="1"/>
      <c r="AJ143" s="1"/>
      <c r="AK143" s="1"/>
      <c r="AL143" s="1"/>
      <c r="AM143" s="1"/>
      <c r="AN143" s="1"/>
      <c r="AO143" s="1"/>
      <c r="AP143" s="1"/>
      <c r="AQ143" s="1"/>
      <c r="AR143" s="1"/>
      <c r="AS143" s="6"/>
      <c r="AT143" s="6"/>
      <c r="AU143" s="6"/>
      <c r="AW143" s="1"/>
    </row>
    <row r="144" spans="2:49">
      <c r="B144" s="1"/>
      <c r="C144" s="9"/>
      <c r="F144" s="9"/>
      <c r="G144" s="1"/>
      <c r="I144" s="1"/>
      <c r="J144" s="1"/>
      <c r="R144" s="52"/>
      <c r="S144" s="52"/>
      <c r="T144" s="52"/>
      <c r="U144" s="52"/>
      <c r="V144" s="52"/>
      <c r="W144" s="52"/>
      <c r="X144" s="52"/>
      <c r="Y144" s="896"/>
      <c r="Z144" s="52"/>
      <c r="AA144" s="51"/>
      <c r="AB144" s="51"/>
      <c r="AC144" s="1"/>
      <c r="AD144" s="1"/>
      <c r="AE144" s="1"/>
      <c r="AH144" s="1"/>
      <c r="AI144" s="1"/>
      <c r="AJ144" s="1"/>
      <c r="AK144" s="1"/>
      <c r="AL144" s="1"/>
      <c r="AM144" s="1"/>
      <c r="AN144" s="1"/>
      <c r="AO144" s="1"/>
      <c r="AP144" s="1"/>
      <c r="AQ144" s="1"/>
      <c r="AR144" s="1"/>
      <c r="AS144" s="6"/>
      <c r="AT144" s="6"/>
      <c r="AU144" s="6"/>
      <c r="AW144" s="1"/>
    </row>
    <row r="145" spans="2:49">
      <c r="B145" s="1"/>
      <c r="C145" s="9"/>
      <c r="F145" s="9"/>
      <c r="G145" s="1"/>
      <c r="I145" s="1"/>
      <c r="J145" s="1"/>
      <c r="R145" s="52"/>
      <c r="S145" s="52"/>
      <c r="T145" s="52"/>
      <c r="U145" s="52"/>
      <c r="V145" s="52"/>
      <c r="W145" s="52"/>
      <c r="X145" s="52"/>
      <c r="Y145" s="896"/>
      <c r="Z145" s="52"/>
      <c r="AA145" s="51"/>
      <c r="AB145" s="51"/>
      <c r="AC145" s="1"/>
      <c r="AD145" s="1"/>
      <c r="AE145" s="1"/>
      <c r="AH145" s="1"/>
      <c r="AI145" s="1"/>
      <c r="AJ145" s="1"/>
      <c r="AK145" s="1"/>
      <c r="AL145" s="1"/>
      <c r="AM145" s="1"/>
      <c r="AN145" s="1"/>
      <c r="AO145" s="1"/>
      <c r="AP145" s="1"/>
      <c r="AQ145" s="1"/>
      <c r="AR145" s="1"/>
      <c r="AS145" s="6"/>
      <c r="AT145" s="6"/>
      <c r="AU145" s="6"/>
      <c r="AW145" s="1"/>
    </row>
    <row r="146" spans="2:49">
      <c r="B146" s="1"/>
      <c r="C146" s="9"/>
      <c r="F146" s="9"/>
      <c r="G146" s="1"/>
      <c r="I146" s="1"/>
      <c r="J146" s="1"/>
      <c r="R146" s="52"/>
      <c r="S146" s="52"/>
      <c r="T146" s="52"/>
      <c r="U146" s="52"/>
      <c r="V146" s="52"/>
      <c r="W146" s="52"/>
      <c r="X146" s="52"/>
      <c r="Y146" s="896"/>
      <c r="Z146" s="52"/>
      <c r="AA146" s="51"/>
      <c r="AB146" s="51"/>
      <c r="AC146" s="1"/>
      <c r="AD146" s="1"/>
      <c r="AE146" s="1"/>
      <c r="AH146" s="1"/>
      <c r="AI146" s="1"/>
      <c r="AJ146" s="1"/>
      <c r="AK146" s="1"/>
      <c r="AL146" s="1"/>
      <c r="AM146" s="1"/>
      <c r="AN146" s="1"/>
      <c r="AO146" s="1"/>
      <c r="AP146" s="1"/>
      <c r="AQ146" s="1"/>
      <c r="AR146" s="1"/>
      <c r="AS146" s="6"/>
      <c r="AT146" s="6"/>
      <c r="AU146" s="6"/>
      <c r="AW146" s="1"/>
    </row>
    <row r="147" spans="2:49">
      <c r="B147" s="1"/>
      <c r="C147" s="9"/>
      <c r="F147" s="9"/>
      <c r="G147" s="1"/>
      <c r="I147" s="1"/>
      <c r="J147" s="1"/>
      <c r="R147" s="52"/>
      <c r="S147" s="52"/>
      <c r="T147" s="52"/>
      <c r="U147" s="52"/>
      <c r="V147" s="52"/>
      <c r="W147" s="52"/>
      <c r="X147" s="52"/>
      <c r="Y147" s="896"/>
      <c r="Z147" s="52"/>
      <c r="AA147" s="51"/>
      <c r="AB147" s="51"/>
      <c r="AC147" s="1"/>
      <c r="AD147" s="1"/>
      <c r="AE147" s="1"/>
      <c r="AH147" s="1"/>
      <c r="AI147" s="1"/>
      <c r="AJ147" s="1"/>
      <c r="AK147" s="1"/>
      <c r="AL147" s="1"/>
      <c r="AM147" s="1"/>
      <c r="AN147" s="1"/>
      <c r="AO147" s="1"/>
      <c r="AP147" s="1"/>
      <c r="AQ147" s="1"/>
      <c r="AR147" s="1"/>
      <c r="AS147" s="6"/>
      <c r="AT147" s="6"/>
      <c r="AU147" s="6"/>
      <c r="AW147" s="1"/>
    </row>
    <row r="148" spans="2:49">
      <c r="B148" s="1"/>
      <c r="C148" s="9"/>
      <c r="F148" s="9"/>
      <c r="G148" s="1"/>
      <c r="I148" s="1"/>
      <c r="J148" s="1"/>
      <c r="R148" s="52"/>
      <c r="S148" s="52"/>
      <c r="T148" s="52"/>
      <c r="U148" s="52"/>
      <c r="V148" s="52"/>
      <c r="W148" s="52"/>
      <c r="X148" s="52"/>
      <c r="Y148" s="896"/>
      <c r="Z148" s="52"/>
      <c r="AA148" s="51"/>
      <c r="AB148" s="51"/>
      <c r="AC148" s="1"/>
      <c r="AD148" s="1"/>
      <c r="AE148" s="1"/>
      <c r="AH148" s="1"/>
      <c r="AI148" s="1"/>
      <c r="AJ148" s="1"/>
      <c r="AK148" s="1"/>
      <c r="AL148" s="1"/>
      <c r="AM148" s="1"/>
      <c r="AN148" s="1"/>
      <c r="AO148" s="1"/>
      <c r="AP148" s="1"/>
      <c r="AQ148" s="1"/>
      <c r="AR148" s="1"/>
      <c r="AS148" s="6"/>
      <c r="AT148" s="6"/>
      <c r="AU148" s="6"/>
      <c r="AW148" s="1"/>
    </row>
    <row r="149" spans="2:49">
      <c r="B149" s="1"/>
      <c r="C149" s="9"/>
      <c r="F149" s="9"/>
      <c r="G149" s="1"/>
      <c r="I149" s="1"/>
      <c r="J149" s="1"/>
      <c r="R149" s="52"/>
      <c r="S149" s="52"/>
      <c r="T149" s="52"/>
      <c r="U149" s="52"/>
      <c r="V149" s="52"/>
      <c r="W149" s="52"/>
      <c r="X149" s="52"/>
      <c r="Y149" s="896"/>
      <c r="Z149" s="52"/>
      <c r="AA149" s="51"/>
      <c r="AB149" s="51"/>
      <c r="AC149" s="1"/>
      <c r="AD149" s="1"/>
      <c r="AE149" s="1"/>
      <c r="AH149" s="1"/>
      <c r="AI149" s="1"/>
      <c r="AJ149" s="1"/>
      <c r="AK149" s="1"/>
      <c r="AL149" s="1"/>
      <c r="AM149" s="1"/>
      <c r="AN149" s="1"/>
      <c r="AO149" s="1"/>
      <c r="AP149" s="1"/>
      <c r="AQ149" s="1"/>
      <c r="AR149" s="1"/>
      <c r="AS149" s="6"/>
      <c r="AT149" s="6"/>
      <c r="AU149" s="6"/>
      <c r="AW149" s="1"/>
    </row>
    <row r="150" spans="2:49">
      <c r="B150" s="1"/>
      <c r="C150" s="9"/>
      <c r="F150" s="9"/>
      <c r="G150" s="1"/>
      <c r="I150" s="1"/>
      <c r="J150" s="1"/>
      <c r="R150" s="52"/>
      <c r="S150" s="52"/>
      <c r="T150" s="52"/>
      <c r="U150" s="52"/>
      <c r="V150" s="52"/>
      <c r="W150" s="52"/>
      <c r="X150" s="52"/>
      <c r="Y150" s="896"/>
      <c r="Z150" s="52"/>
      <c r="AA150" s="51"/>
      <c r="AB150" s="51"/>
      <c r="AC150" s="1"/>
      <c r="AD150" s="1"/>
      <c r="AE150" s="1"/>
      <c r="AH150" s="1"/>
      <c r="AI150" s="1"/>
      <c r="AJ150" s="1"/>
      <c r="AK150" s="1"/>
      <c r="AL150" s="1"/>
      <c r="AM150" s="1"/>
      <c r="AN150" s="1"/>
      <c r="AO150" s="1"/>
      <c r="AP150" s="1"/>
      <c r="AQ150" s="1"/>
      <c r="AR150" s="1"/>
      <c r="AS150" s="6"/>
      <c r="AT150" s="6"/>
      <c r="AU150" s="6"/>
      <c r="AW150" s="1"/>
    </row>
    <row r="151" spans="2:49">
      <c r="B151" s="1"/>
      <c r="C151" s="9"/>
      <c r="F151" s="9"/>
      <c r="G151" s="1"/>
      <c r="I151" s="1"/>
      <c r="J151" s="1"/>
      <c r="R151" s="52"/>
      <c r="S151" s="52"/>
      <c r="T151" s="52"/>
      <c r="U151" s="52"/>
      <c r="V151" s="52"/>
      <c r="W151" s="52"/>
      <c r="X151" s="52"/>
      <c r="Y151" s="896"/>
      <c r="Z151" s="52"/>
      <c r="AA151" s="51"/>
      <c r="AB151" s="51"/>
      <c r="AC151" s="1"/>
      <c r="AD151" s="1"/>
      <c r="AE151" s="1"/>
      <c r="AH151" s="1"/>
      <c r="AI151" s="1"/>
      <c r="AJ151" s="1"/>
      <c r="AK151" s="1"/>
      <c r="AL151" s="1"/>
      <c r="AM151" s="1"/>
      <c r="AN151" s="1"/>
      <c r="AO151" s="1"/>
      <c r="AP151" s="1"/>
      <c r="AQ151" s="1"/>
      <c r="AR151" s="1"/>
      <c r="AS151" s="6"/>
      <c r="AT151" s="6"/>
      <c r="AU151" s="6"/>
      <c r="AW151" s="1"/>
    </row>
    <row r="152" spans="2:49">
      <c r="B152" s="1"/>
      <c r="C152" s="9"/>
      <c r="F152" s="9"/>
      <c r="G152" s="1"/>
      <c r="I152" s="1"/>
      <c r="J152" s="1"/>
      <c r="R152" s="52"/>
      <c r="S152" s="52"/>
      <c r="T152" s="52"/>
      <c r="U152" s="52"/>
      <c r="V152" s="52"/>
      <c r="W152" s="52"/>
      <c r="X152" s="52"/>
      <c r="Y152" s="896"/>
      <c r="Z152" s="52"/>
      <c r="AA152" s="51"/>
      <c r="AB152" s="51"/>
      <c r="AC152" s="1"/>
      <c r="AD152" s="1"/>
      <c r="AE152" s="1"/>
      <c r="AH152" s="1"/>
      <c r="AI152" s="1"/>
      <c r="AJ152" s="1"/>
      <c r="AK152" s="1"/>
      <c r="AL152" s="1"/>
      <c r="AM152" s="1"/>
      <c r="AN152" s="1"/>
      <c r="AO152" s="1"/>
      <c r="AP152" s="1"/>
      <c r="AQ152" s="1"/>
      <c r="AR152" s="1"/>
      <c r="AS152" s="6"/>
      <c r="AT152" s="6"/>
      <c r="AU152" s="6"/>
      <c r="AW152" s="1"/>
    </row>
    <row r="153" spans="2:49">
      <c r="B153" s="1"/>
      <c r="C153" s="9"/>
      <c r="F153" s="9"/>
      <c r="G153" s="1"/>
      <c r="I153" s="1"/>
      <c r="J153" s="1"/>
      <c r="R153" s="52"/>
      <c r="S153" s="52"/>
      <c r="T153" s="52"/>
      <c r="U153" s="52"/>
      <c r="V153" s="52"/>
      <c r="W153" s="52"/>
      <c r="X153" s="52"/>
      <c r="Y153" s="896"/>
      <c r="Z153" s="52"/>
      <c r="AA153" s="51"/>
      <c r="AB153" s="51"/>
      <c r="AC153" s="1"/>
      <c r="AD153" s="1"/>
      <c r="AE153" s="1"/>
      <c r="AH153" s="1"/>
      <c r="AI153" s="1"/>
      <c r="AJ153" s="1"/>
      <c r="AK153" s="1"/>
      <c r="AL153" s="1"/>
      <c r="AM153" s="1"/>
      <c r="AN153" s="1"/>
      <c r="AO153" s="1"/>
      <c r="AP153" s="1"/>
      <c r="AQ153" s="1"/>
      <c r="AR153" s="1"/>
      <c r="AS153" s="6"/>
      <c r="AT153" s="6"/>
      <c r="AU153" s="6"/>
      <c r="AW153" s="1"/>
    </row>
    <row r="154" spans="2:49">
      <c r="B154" s="1"/>
      <c r="C154" s="9"/>
      <c r="F154" s="9"/>
      <c r="G154" s="1"/>
      <c r="I154" s="1"/>
      <c r="J154" s="1"/>
      <c r="R154" s="52"/>
      <c r="S154" s="52"/>
      <c r="T154" s="52"/>
      <c r="U154" s="52"/>
      <c r="V154" s="52"/>
      <c r="W154" s="52"/>
      <c r="X154" s="52"/>
      <c r="Y154" s="896"/>
      <c r="Z154" s="52"/>
      <c r="AA154" s="51"/>
      <c r="AB154" s="51"/>
      <c r="AC154" s="1"/>
      <c r="AD154" s="1"/>
      <c r="AE154" s="1"/>
      <c r="AH154" s="1"/>
      <c r="AI154" s="1"/>
      <c r="AJ154" s="1"/>
      <c r="AK154" s="1"/>
      <c r="AL154" s="1"/>
      <c r="AM154" s="1"/>
      <c r="AN154" s="1"/>
      <c r="AO154" s="1"/>
      <c r="AP154" s="1"/>
      <c r="AQ154" s="1"/>
      <c r="AR154" s="1"/>
      <c r="AS154" s="6"/>
      <c r="AT154" s="6"/>
      <c r="AU154" s="6"/>
      <c r="AW154" s="1"/>
    </row>
    <row r="155" spans="2:49">
      <c r="B155" s="1"/>
      <c r="C155" s="9"/>
      <c r="F155" s="9"/>
      <c r="G155" s="1"/>
      <c r="I155" s="1"/>
      <c r="J155" s="1"/>
      <c r="R155" s="52"/>
      <c r="S155" s="52"/>
      <c r="T155" s="52"/>
      <c r="U155" s="52"/>
      <c r="V155" s="52"/>
      <c r="W155" s="52"/>
      <c r="X155" s="52"/>
      <c r="Y155" s="896"/>
      <c r="Z155" s="52"/>
      <c r="AA155" s="51"/>
      <c r="AB155" s="51"/>
      <c r="AC155" s="1"/>
      <c r="AD155" s="1"/>
      <c r="AE155" s="1"/>
      <c r="AF155" s="653"/>
      <c r="AG155" s="653"/>
      <c r="AH155" s="1"/>
      <c r="AI155" s="1"/>
      <c r="AJ155" s="1"/>
      <c r="AK155" s="1"/>
      <c r="AL155" s="1"/>
      <c r="AM155" s="1"/>
      <c r="AN155" s="1"/>
      <c r="AO155" s="1"/>
      <c r="AP155" s="1"/>
      <c r="AQ155" s="1"/>
      <c r="AR155" s="1"/>
      <c r="AS155" s="6"/>
      <c r="AT155" s="6"/>
      <c r="AU155" s="6"/>
      <c r="AW155" s="1"/>
    </row>
    <row r="156" spans="2:49">
      <c r="B156" s="1"/>
      <c r="C156" s="9"/>
      <c r="F156" s="9"/>
      <c r="G156" s="1"/>
      <c r="I156" s="1"/>
      <c r="J156" s="1"/>
      <c r="R156" s="52"/>
      <c r="S156" s="52"/>
      <c r="T156" s="52"/>
      <c r="U156" s="52"/>
      <c r="V156" s="52"/>
      <c r="W156" s="52"/>
      <c r="X156" s="52"/>
      <c r="Y156" s="896"/>
      <c r="Z156" s="52"/>
      <c r="AA156" s="51"/>
      <c r="AB156" s="51"/>
      <c r="AC156" s="1"/>
      <c r="AD156" s="1"/>
      <c r="AE156" s="1"/>
      <c r="AH156" s="1"/>
      <c r="AI156" s="1"/>
      <c r="AJ156" s="1"/>
      <c r="AK156" s="1"/>
      <c r="AL156" s="1"/>
      <c r="AM156" s="1"/>
      <c r="AN156" s="1"/>
      <c r="AO156" s="1"/>
      <c r="AP156" s="1"/>
      <c r="AQ156" s="1"/>
      <c r="AR156" s="1"/>
      <c r="AS156" s="6"/>
      <c r="AT156" s="6"/>
      <c r="AU156" s="6"/>
      <c r="AW156" s="1"/>
    </row>
    <row r="157" spans="2:49">
      <c r="B157" s="1"/>
      <c r="C157" s="9"/>
      <c r="F157" s="9"/>
      <c r="G157" s="1"/>
      <c r="I157" s="1"/>
      <c r="J157" s="1"/>
      <c r="R157" s="52"/>
      <c r="S157" s="52"/>
      <c r="T157" s="52"/>
      <c r="U157" s="52"/>
      <c r="V157" s="52"/>
      <c r="W157" s="52"/>
      <c r="X157" s="52"/>
      <c r="Y157" s="896"/>
      <c r="Z157" s="52"/>
      <c r="AA157" s="51"/>
      <c r="AB157" s="51"/>
      <c r="AC157" s="1"/>
      <c r="AD157" s="1"/>
      <c r="AE157" s="1"/>
      <c r="AH157" s="1"/>
      <c r="AI157" s="1"/>
      <c r="AJ157" s="1"/>
      <c r="AK157" s="1"/>
      <c r="AL157" s="1"/>
      <c r="AM157" s="1"/>
      <c r="AN157" s="1"/>
      <c r="AO157" s="1"/>
      <c r="AP157" s="1"/>
      <c r="AQ157" s="1"/>
      <c r="AR157" s="1"/>
      <c r="AS157" s="6"/>
      <c r="AT157" s="6"/>
      <c r="AU157" s="6"/>
      <c r="AW157" s="1"/>
    </row>
    <row r="158" spans="2:49">
      <c r="B158" s="1"/>
      <c r="C158" s="9"/>
      <c r="F158" s="9"/>
      <c r="G158" s="1"/>
      <c r="I158" s="1"/>
      <c r="J158" s="1"/>
      <c r="R158" s="52"/>
      <c r="S158" s="52"/>
      <c r="T158" s="52"/>
      <c r="U158" s="52"/>
      <c r="V158" s="52"/>
      <c r="W158" s="52"/>
      <c r="X158" s="52"/>
      <c r="Y158" s="896"/>
      <c r="Z158" s="52"/>
      <c r="AA158" s="51"/>
      <c r="AB158" s="51"/>
      <c r="AC158" s="1"/>
      <c r="AD158" s="1"/>
      <c r="AE158" s="1"/>
      <c r="AH158" s="1"/>
      <c r="AI158" s="1"/>
      <c r="AJ158" s="1"/>
      <c r="AK158" s="1"/>
      <c r="AL158" s="1"/>
      <c r="AM158" s="1"/>
      <c r="AN158" s="1"/>
      <c r="AO158" s="1"/>
      <c r="AP158" s="1"/>
      <c r="AQ158" s="1"/>
      <c r="AR158" s="1"/>
      <c r="AS158" s="6"/>
      <c r="AT158" s="6"/>
      <c r="AU158" s="6"/>
      <c r="AW158" s="1"/>
    </row>
    <row r="159" spans="2:49">
      <c r="B159" s="1"/>
      <c r="C159" s="9"/>
      <c r="F159" s="9"/>
      <c r="G159" s="1"/>
      <c r="I159" s="1"/>
      <c r="J159" s="1"/>
      <c r="R159" s="52"/>
      <c r="S159" s="52"/>
      <c r="T159" s="52"/>
      <c r="U159" s="52"/>
      <c r="V159" s="52"/>
      <c r="W159" s="52"/>
      <c r="X159" s="52"/>
      <c r="Y159" s="896"/>
      <c r="Z159" s="52"/>
      <c r="AA159" s="51"/>
      <c r="AB159" s="51"/>
      <c r="AC159" s="1"/>
      <c r="AD159" s="1"/>
      <c r="AE159" s="1"/>
      <c r="AH159" s="1"/>
      <c r="AI159" s="1"/>
      <c r="AJ159" s="1"/>
      <c r="AK159" s="1"/>
      <c r="AL159" s="1"/>
      <c r="AM159" s="1"/>
      <c r="AN159" s="1"/>
      <c r="AO159" s="1"/>
      <c r="AP159" s="1"/>
      <c r="AQ159" s="1"/>
      <c r="AR159" s="1"/>
      <c r="AS159" s="6"/>
      <c r="AT159" s="6"/>
      <c r="AU159" s="6"/>
      <c r="AW159" s="1"/>
    </row>
    <row r="160" spans="2:49">
      <c r="B160" s="1"/>
      <c r="C160" s="9"/>
      <c r="F160" s="9"/>
      <c r="G160" s="1"/>
      <c r="I160" s="1"/>
      <c r="J160" s="1"/>
      <c r="R160" s="52"/>
      <c r="S160" s="52"/>
      <c r="T160" s="52"/>
      <c r="U160" s="52"/>
      <c r="V160" s="52"/>
      <c r="W160" s="52"/>
      <c r="X160" s="52"/>
      <c r="Y160" s="896"/>
      <c r="Z160" s="52"/>
      <c r="AA160" s="51"/>
      <c r="AB160" s="51"/>
      <c r="AC160" s="1"/>
      <c r="AD160" s="1"/>
      <c r="AE160" s="1"/>
      <c r="AH160" s="1"/>
      <c r="AI160" s="1"/>
      <c r="AJ160" s="1"/>
      <c r="AK160" s="1"/>
      <c r="AL160" s="1"/>
      <c r="AM160" s="1"/>
      <c r="AN160" s="1"/>
      <c r="AO160" s="1"/>
      <c r="AP160" s="1"/>
      <c r="AQ160" s="1"/>
      <c r="AR160" s="1"/>
      <c r="AS160" s="6"/>
      <c r="AT160" s="6"/>
      <c r="AU160" s="6"/>
      <c r="AW160" s="1"/>
    </row>
    <row r="161" spans="2:49">
      <c r="B161" s="1"/>
      <c r="C161" s="9"/>
      <c r="F161" s="9"/>
      <c r="G161" s="1"/>
      <c r="I161" s="1"/>
      <c r="J161" s="1"/>
      <c r="R161" s="52"/>
      <c r="S161" s="52"/>
      <c r="T161" s="52"/>
      <c r="U161" s="52"/>
      <c r="V161" s="52"/>
      <c r="W161" s="52"/>
      <c r="X161" s="52"/>
      <c r="Y161" s="896"/>
      <c r="Z161" s="52"/>
      <c r="AA161" s="51"/>
      <c r="AB161" s="51"/>
      <c r="AC161" s="1"/>
      <c r="AD161" s="1"/>
      <c r="AE161" s="1"/>
      <c r="AH161" s="1"/>
      <c r="AI161" s="1"/>
      <c r="AJ161" s="1"/>
      <c r="AK161" s="1"/>
      <c r="AL161" s="1"/>
      <c r="AM161" s="1"/>
      <c r="AN161" s="1"/>
      <c r="AO161" s="1"/>
      <c r="AP161" s="1"/>
      <c r="AQ161" s="1"/>
      <c r="AR161" s="1"/>
      <c r="AS161" s="6"/>
      <c r="AT161" s="6"/>
      <c r="AU161" s="6"/>
      <c r="AW161" s="1"/>
    </row>
    <row r="162" spans="2:49">
      <c r="B162" s="1"/>
      <c r="C162" s="9"/>
      <c r="F162" s="9"/>
      <c r="G162" s="1"/>
      <c r="I162" s="1"/>
      <c r="J162" s="1"/>
      <c r="R162" s="52"/>
      <c r="S162" s="52"/>
      <c r="T162" s="52"/>
      <c r="U162" s="52"/>
      <c r="V162" s="52"/>
      <c r="W162" s="52"/>
      <c r="X162" s="52"/>
      <c r="Y162" s="896"/>
      <c r="Z162" s="52"/>
      <c r="AA162" s="51"/>
      <c r="AB162" s="51"/>
      <c r="AC162" s="1"/>
      <c r="AD162" s="1"/>
      <c r="AE162" s="1"/>
      <c r="AH162" s="1"/>
      <c r="AI162" s="1"/>
      <c r="AJ162" s="1"/>
      <c r="AK162" s="1"/>
      <c r="AL162" s="1"/>
      <c r="AM162" s="1"/>
      <c r="AN162" s="1"/>
      <c r="AO162" s="1"/>
      <c r="AP162" s="1"/>
      <c r="AQ162" s="1"/>
      <c r="AR162" s="1"/>
      <c r="AS162" s="6"/>
      <c r="AT162" s="6"/>
      <c r="AU162" s="6"/>
      <c r="AW162" s="1"/>
    </row>
    <row r="163" spans="2:49">
      <c r="B163" s="1"/>
      <c r="C163" s="9"/>
      <c r="F163" s="9"/>
      <c r="G163" s="1"/>
      <c r="I163" s="1"/>
      <c r="J163" s="1"/>
      <c r="R163" s="52"/>
      <c r="S163" s="52"/>
      <c r="T163" s="52"/>
      <c r="U163" s="52"/>
      <c r="V163" s="52"/>
      <c r="W163" s="52"/>
      <c r="X163" s="52"/>
      <c r="Y163" s="896"/>
      <c r="Z163" s="52"/>
      <c r="AA163" s="51"/>
      <c r="AB163" s="51"/>
      <c r="AC163" s="1"/>
      <c r="AD163" s="1"/>
      <c r="AE163" s="1"/>
      <c r="AH163" s="1"/>
      <c r="AI163" s="1"/>
      <c r="AJ163" s="1"/>
      <c r="AK163" s="1"/>
      <c r="AL163" s="1"/>
      <c r="AM163" s="1"/>
      <c r="AN163" s="1"/>
      <c r="AO163" s="1"/>
      <c r="AP163" s="1"/>
      <c r="AQ163" s="1"/>
      <c r="AR163" s="1"/>
      <c r="AS163" s="6"/>
      <c r="AT163" s="6"/>
      <c r="AU163" s="6"/>
      <c r="AW163" s="1"/>
    </row>
    <row r="164" spans="2:49">
      <c r="B164" s="1"/>
      <c r="C164" s="9"/>
      <c r="F164" s="9"/>
      <c r="G164" s="1"/>
      <c r="I164" s="1"/>
      <c r="J164" s="1"/>
      <c r="R164" s="52"/>
      <c r="S164" s="52"/>
      <c r="T164" s="52"/>
      <c r="U164" s="52"/>
      <c r="V164" s="52"/>
      <c r="W164" s="52"/>
      <c r="X164" s="52"/>
      <c r="Y164" s="896"/>
      <c r="Z164" s="52"/>
      <c r="AA164" s="51"/>
      <c r="AB164" s="51"/>
      <c r="AC164" s="1"/>
      <c r="AD164" s="1"/>
      <c r="AE164" s="1"/>
      <c r="AH164" s="1"/>
      <c r="AI164" s="1"/>
      <c r="AJ164" s="1"/>
      <c r="AK164" s="1"/>
      <c r="AL164" s="1"/>
      <c r="AM164" s="1"/>
      <c r="AN164" s="1"/>
      <c r="AO164" s="1"/>
      <c r="AP164" s="1"/>
      <c r="AQ164" s="1"/>
      <c r="AR164" s="1"/>
      <c r="AS164" s="6"/>
      <c r="AT164" s="6"/>
      <c r="AU164" s="6"/>
      <c r="AW164" s="1"/>
    </row>
    <row r="165" spans="2:49">
      <c r="B165" s="1"/>
      <c r="C165" s="9"/>
      <c r="F165" s="9"/>
      <c r="G165" s="1"/>
      <c r="I165" s="1"/>
      <c r="J165" s="1"/>
      <c r="R165" s="52"/>
      <c r="S165" s="52"/>
      <c r="T165" s="52"/>
      <c r="U165" s="52"/>
      <c r="V165" s="52"/>
      <c r="W165" s="52"/>
      <c r="X165" s="52"/>
      <c r="Y165" s="896"/>
      <c r="Z165" s="52"/>
      <c r="AA165" s="51"/>
      <c r="AB165" s="51"/>
      <c r="AC165" s="1"/>
      <c r="AD165" s="1"/>
      <c r="AE165" s="1"/>
      <c r="AF165" s="456"/>
      <c r="AG165" s="456"/>
      <c r="AH165" s="1"/>
      <c r="AI165" s="1"/>
      <c r="AJ165" s="1"/>
      <c r="AK165" s="1"/>
      <c r="AL165" s="1"/>
      <c r="AM165" s="1"/>
      <c r="AN165" s="1"/>
      <c r="AO165" s="1"/>
      <c r="AP165" s="1"/>
      <c r="AQ165" s="1"/>
      <c r="AR165" s="1"/>
      <c r="AS165" s="6"/>
      <c r="AT165" s="6"/>
      <c r="AU165" s="6"/>
      <c r="AW165" s="1"/>
    </row>
    <row r="166" spans="2:49">
      <c r="B166" s="1"/>
      <c r="C166" s="9"/>
      <c r="F166" s="9"/>
      <c r="G166" s="1"/>
      <c r="I166" s="1"/>
      <c r="J166" s="1"/>
      <c r="R166" s="52"/>
      <c r="S166" s="52"/>
      <c r="T166" s="52"/>
      <c r="U166" s="52"/>
      <c r="V166" s="52"/>
      <c r="W166" s="52"/>
      <c r="X166" s="52"/>
      <c r="Y166" s="896"/>
      <c r="Z166" s="52"/>
      <c r="AA166" s="51"/>
      <c r="AB166" s="51"/>
      <c r="AC166" s="1"/>
      <c r="AD166" s="1"/>
      <c r="AE166" s="1"/>
      <c r="AH166" s="1"/>
      <c r="AI166" s="1"/>
      <c r="AJ166" s="1"/>
      <c r="AK166" s="1"/>
      <c r="AL166" s="1"/>
      <c r="AM166" s="1"/>
      <c r="AN166" s="1"/>
      <c r="AO166" s="1"/>
      <c r="AP166" s="1"/>
      <c r="AQ166" s="1"/>
      <c r="AR166" s="1"/>
      <c r="AS166" s="6"/>
      <c r="AT166" s="6"/>
      <c r="AU166" s="6"/>
      <c r="AW166" s="1"/>
    </row>
    <row r="167" spans="2:49">
      <c r="B167" s="1"/>
      <c r="C167" s="9"/>
      <c r="F167" s="9"/>
      <c r="G167" s="1"/>
      <c r="I167" s="1"/>
      <c r="J167" s="1"/>
      <c r="R167" s="52"/>
      <c r="S167" s="52"/>
      <c r="T167" s="52"/>
      <c r="U167" s="52"/>
      <c r="V167" s="52"/>
      <c r="W167" s="52"/>
      <c r="X167" s="52"/>
      <c r="Y167" s="896"/>
      <c r="Z167" s="52"/>
      <c r="AA167" s="51"/>
      <c r="AB167" s="51"/>
      <c r="AC167" s="1"/>
      <c r="AD167" s="1"/>
      <c r="AE167" s="1"/>
      <c r="AH167" s="1"/>
      <c r="AI167" s="1"/>
      <c r="AJ167" s="1"/>
      <c r="AK167" s="1"/>
      <c r="AL167" s="1"/>
      <c r="AM167" s="1"/>
      <c r="AN167" s="1"/>
      <c r="AO167" s="1"/>
      <c r="AP167" s="1"/>
      <c r="AQ167" s="1"/>
      <c r="AR167" s="1"/>
      <c r="AS167" s="6"/>
      <c r="AT167" s="6"/>
      <c r="AU167" s="6"/>
      <c r="AW167" s="1"/>
    </row>
    <row r="168" spans="2:49">
      <c r="B168" s="1"/>
      <c r="C168" s="9"/>
      <c r="F168" s="9"/>
      <c r="G168" s="1"/>
      <c r="I168" s="1"/>
      <c r="J168" s="1"/>
      <c r="R168" s="52"/>
      <c r="S168" s="52"/>
      <c r="T168" s="52"/>
      <c r="U168" s="52"/>
      <c r="V168" s="52"/>
      <c r="W168" s="52"/>
      <c r="X168" s="52"/>
      <c r="Y168" s="896"/>
      <c r="Z168" s="52"/>
      <c r="AA168" s="51"/>
      <c r="AB168" s="51"/>
      <c r="AC168" s="1"/>
      <c r="AD168" s="1"/>
      <c r="AE168" s="1"/>
      <c r="AH168" s="1"/>
      <c r="AI168" s="1"/>
      <c r="AJ168" s="1"/>
      <c r="AK168" s="1"/>
      <c r="AL168" s="1"/>
      <c r="AM168" s="1"/>
      <c r="AN168" s="1"/>
      <c r="AO168" s="1"/>
      <c r="AP168" s="1"/>
      <c r="AQ168" s="1"/>
      <c r="AR168" s="1"/>
      <c r="AS168" s="6"/>
      <c r="AT168" s="6"/>
      <c r="AU168" s="6"/>
      <c r="AW168" s="1"/>
    </row>
    <row r="169" spans="2:49">
      <c r="B169" s="1"/>
      <c r="C169" s="9"/>
      <c r="F169" s="9"/>
      <c r="G169" s="1"/>
      <c r="I169" s="1"/>
      <c r="J169" s="1"/>
      <c r="R169" s="52"/>
      <c r="S169" s="52"/>
      <c r="T169" s="52"/>
      <c r="U169" s="52"/>
      <c r="V169" s="52"/>
      <c r="W169" s="52"/>
      <c r="X169" s="52"/>
      <c r="Y169" s="896"/>
      <c r="Z169" s="52"/>
      <c r="AA169" s="51"/>
      <c r="AB169" s="51"/>
      <c r="AC169" s="1"/>
      <c r="AD169" s="1"/>
      <c r="AE169" s="1"/>
      <c r="AF169" s="1"/>
      <c r="AG169" s="1"/>
      <c r="AH169" s="1"/>
      <c r="AI169" s="1"/>
      <c r="AJ169" s="1"/>
      <c r="AK169" s="1"/>
      <c r="AL169" s="1"/>
      <c r="AM169" s="1"/>
      <c r="AN169" s="1"/>
      <c r="AO169" s="1"/>
      <c r="AP169" s="1"/>
      <c r="AQ169" s="1"/>
      <c r="AR169" s="1"/>
      <c r="AS169" s="6"/>
      <c r="AT169" s="6"/>
      <c r="AU169" s="6"/>
      <c r="AW169" s="1"/>
    </row>
    <row r="170" spans="2:49">
      <c r="B170" s="1"/>
      <c r="C170" s="9"/>
      <c r="F170" s="9"/>
      <c r="G170" s="1"/>
      <c r="I170" s="1"/>
      <c r="J170" s="1"/>
      <c r="R170" s="52"/>
      <c r="S170" s="52"/>
      <c r="T170" s="52"/>
      <c r="U170" s="52"/>
      <c r="V170" s="52"/>
      <c r="W170" s="52"/>
      <c r="X170" s="52"/>
      <c r="Y170" s="896"/>
      <c r="Z170" s="52"/>
      <c r="AA170" s="51"/>
      <c r="AB170" s="51"/>
      <c r="AC170" s="1"/>
      <c r="AD170" s="1"/>
      <c r="AE170" s="1"/>
      <c r="AF170" s="1"/>
      <c r="AG170" s="1"/>
      <c r="AH170" s="1"/>
      <c r="AI170" s="1"/>
      <c r="AJ170" s="1"/>
      <c r="AK170" s="1"/>
      <c r="AL170" s="1"/>
      <c r="AM170" s="1"/>
      <c r="AN170" s="1"/>
      <c r="AO170" s="1"/>
      <c r="AP170" s="1"/>
      <c r="AQ170" s="1"/>
      <c r="AR170" s="1"/>
      <c r="AS170" s="6"/>
      <c r="AT170" s="6"/>
      <c r="AU170" s="6"/>
      <c r="AW170" s="1"/>
    </row>
    <row r="171" spans="2:49">
      <c r="B171" s="1"/>
      <c r="C171" s="9"/>
      <c r="F171" s="9"/>
      <c r="G171" s="1"/>
      <c r="I171" s="1"/>
      <c r="J171" s="1"/>
      <c r="R171" s="52"/>
      <c r="S171" s="52"/>
      <c r="T171" s="52"/>
      <c r="U171" s="52"/>
      <c r="V171" s="52"/>
      <c r="W171" s="52"/>
      <c r="X171" s="52"/>
      <c r="Y171" s="896"/>
      <c r="Z171" s="52"/>
      <c r="AA171" s="51"/>
      <c r="AB171" s="51"/>
      <c r="AC171" s="1"/>
      <c r="AD171" s="1"/>
      <c r="AE171" s="1"/>
      <c r="AF171" s="1"/>
      <c r="AG171" s="1"/>
      <c r="AH171" s="1"/>
      <c r="AI171" s="1"/>
      <c r="AJ171" s="1"/>
      <c r="AK171" s="1"/>
      <c r="AL171" s="1"/>
      <c r="AM171" s="1"/>
      <c r="AN171" s="1"/>
      <c r="AO171" s="1"/>
      <c r="AP171" s="1"/>
      <c r="AQ171" s="1"/>
      <c r="AR171" s="1"/>
      <c r="AS171" s="6"/>
      <c r="AT171" s="6"/>
      <c r="AU171" s="6"/>
      <c r="AW171" s="1"/>
    </row>
    <row r="172" spans="2:49">
      <c r="B172" s="1"/>
      <c r="C172" s="9"/>
      <c r="F172" s="9"/>
      <c r="G172" s="1"/>
      <c r="I172" s="1"/>
      <c r="J172" s="1"/>
      <c r="R172" s="52"/>
      <c r="S172" s="52"/>
      <c r="T172" s="52"/>
      <c r="U172" s="52"/>
      <c r="V172" s="52"/>
      <c r="W172" s="52"/>
      <c r="X172" s="52"/>
      <c r="Y172" s="896"/>
      <c r="Z172" s="52"/>
      <c r="AA172" s="51"/>
      <c r="AB172" s="51"/>
      <c r="AC172" s="1"/>
      <c r="AD172" s="1"/>
      <c r="AE172" s="1"/>
      <c r="AF172" s="1"/>
      <c r="AG172" s="1"/>
      <c r="AH172" s="1"/>
      <c r="AI172" s="1"/>
      <c r="AJ172" s="1"/>
      <c r="AK172" s="1"/>
      <c r="AL172" s="1"/>
      <c r="AM172" s="1"/>
      <c r="AN172" s="1"/>
      <c r="AO172" s="1"/>
      <c r="AP172" s="1"/>
      <c r="AQ172" s="1"/>
      <c r="AR172" s="1"/>
      <c r="AS172" s="6"/>
      <c r="AT172" s="6"/>
      <c r="AU172" s="6"/>
      <c r="AW172" s="1"/>
    </row>
    <row r="173" spans="2:49">
      <c r="B173" s="1"/>
      <c r="C173" s="9"/>
      <c r="F173" s="9"/>
      <c r="G173" s="1"/>
      <c r="I173" s="1"/>
      <c r="J173" s="1"/>
      <c r="R173" s="52"/>
      <c r="S173" s="52"/>
      <c r="T173" s="52"/>
      <c r="U173" s="52"/>
      <c r="V173" s="52"/>
      <c r="W173" s="52"/>
      <c r="X173" s="52"/>
      <c r="Y173" s="896"/>
      <c r="Z173" s="52"/>
      <c r="AA173" s="51"/>
      <c r="AB173" s="51"/>
      <c r="AC173" s="1"/>
      <c r="AD173" s="1"/>
      <c r="AE173" s="1"/>
      <c r="AF173" s="1"/>
      <c r="AG173" s="1"/>
      <c r="AH173" s="1"/>
      <c r="AI173" s="1"/>
      <c r="AJ173" s="1"/>
      <c r="AK173" s="1"/>
      <c r="AL173" s="1"/>
      <c r="AM173" s="1"/>
      <c r="AN173" s="1"/>
      <c r="AO173" s="1"/>
      <c r="AP173" s="1"/>
      <c r="AQ173" s="1"/>
      <c r="AR173" s="1"/>
      <c r="AS173" s="6"/>
      <c r="AT173" s="6"/>
      <c r="AU173" s="6"/>
      <c r="AW173" s="1"/>
    </row>
    <row r="174" spans="2:49">
      <c r="B174" s="1"/>
      <c r="C174" s="9"/>
      <c r="F174" s="9"/>
      <c r="G174" s="1"/>
      <c r="I174" s="1"/>
      <c r="J174" s="1"/>
      <c r="R174" s="52"/>
      <c r="S174" s="52"/>
      <c r="T174" s="52"/>
      <c r="U174" s="52"/>
      <c r="V174" s="52"/>
      <c r="W174" s="52"/>
      <c r="X174" s="52"/>
      <c r="Y174" s="896"/>
      <c r="Z174" s="52"/>
      <c r="AA174" s="51"/>
      <c r="AB174" s="51"/>
      <c r="AC174" s="1"/>
      <c r="AD174" s="1"/>
      <c r="AE174" s="1"/>
      <c r="AF174" s="1"/>
      <c r="AG174" s="1"/>
      <c r="AH174" s="1"/>
      <c r="AI174" s="1"/>
      <c r="AJ174" s="1"/>
      <c r="AK174" s="1"/>
      <c r="AL174" s="1"/>
      <c r="AM174" s="1"/>
      <c r="AN174" s="1"/>
      <c r="AO174" s="1"/>
      <c r="AP174" s="1"/>
      <c r="AQ174" s="1"/>
      <c r="AR174" s="1"/>
      <c r="AS174" s="6"/>
      <c r="AT174" s="6"/>
      <c r="AU174" s="6"/>
      <c r="AW174" s="1"/>
    </row>
    <row r="175" spans="2:49">
      <c r="B175" s="1"/>
      <c r="C175" s="9"/>
      <c r="F175" s="9"/>
      <c r="G175" s="1"/>
      <c r="I175" s="1"/>
      <c r="J175" s="1"/>
      <c r="R175" s="52"/>
      <c r="S175" s="52"/>
      <c r="T175" s="52"/>
      <c r="U175" s="52"/>
      <c r="V175" s="52"/>
      <c r="W175" s="52"/>
      <c r="X175" s="52"/>
      <c r="Y175" s="896"/>
      <c r="Z175" s="52"/>
      <c r="AA175" s="51"/>
      <c r="AB175" s="51"/>
      <c r="AC175" s="1"/>
      <c r="AD175" s="1"/>
      <c r="AE175" s="1"/>
      <c r="AF175" s="1"/>
      <c r="AG175" s="1"/>
      <c r="AH175" s="1"/>
      <c r="AI175" s="1"/>
      <c r="AJ175" s="1"/>
      <c r="AK175" s="1"/>
      <c r="AL175" s="1"/>
      <c r="AM175" s="1"/>
      <c r="AN175" s="1"/>
      <c r="AO175" s="1"/>
      <c r="AP175" s="1"/>
      <c r="AQ175" s="1"/>
      <c r="AR175" s="1"/>
      <c r="AS175" s="6"/>
      <c r="AT175" s="6"/>
      <c r="AU175" s="6"/>
      <c r="AW175" s="1"/>
    </row>
    <row r="176" spans="2:49">
      <c r="B176" s="1"/>
      <c r="C176" s="9"/>
      <c r="F176" s="9"/>
      <c r="G176" s="1"/>
      <c r="I176" s="1"/>
      <c r="J176" s="1"/>
      <c r="R176" s="52"/>
      <c r="S176" s="52"/>
      <c r="T176" s="52"/>
      <c r="U176" s="52"/>
      <c r="V176" s="52"/>
      <c r="W176" s="52"/>
      <c r="X176" s="52"/>
      <c r="Y176" s="896"/>
      <c r="Z176" s="52"/>
      <c r="AA176" s="51"/>
      <c r="AB176" s="51"/>
      <c r="AC176" s="1"/>
      <c r="AD176" s="1"/>
      <c r="AE176" s="1"/>
      <c r="AF176" s="1"/>
      <c r="AG176" s="1"/>
      <c r="AH176" s="1"/>
      <c r="AI176" s="1"/>
      <c r="AJ176" s="1"/>
      <c r="AK176" s="1"/>
      <c r="AL176" s="1"/>
      <c r="AM176" s="1"/>
      <c r="AN176" s="1"/>
      <c r="AO176" s="1"/>
      <c r="AP176" s="1"/>
      <c r="AQ176" s="1"/>
      <c r="AR176" s="1"/>
      <c r="AS176" s="6"/>
      <c r="AT176" s="6"/>
      <c r="AU176" s="6"/>
      <c r="AW176" s="1"/>
    </row>
    <row r="177" spans="2:49">
      <c r="B177" s="1"/>
      <c r="C177" s="9"/>
      <c r="F177" s="9"/>
      <c r="G177" s="1"/>
      <c r="I177" s="1"/>
      <c r="J177" s="1"/>
      <c r="R177" s="52"/>
      <c r="S177" s="52"/>
      <c r="T177" s="52"/>
      <c r="U177" s="52"/>
      <c r="V177" s="52"/>
      <c r="W177" s="52"/>
      <c r="X177" s="52"/>
      <c r="Y177" s="896"/>
      <c r="Z177" s="52"/>
      <c r="AA177" s="51"/>
      <c r="AB177" s="51"/>
      <c r="AC177" s="1"/>
      <c r="AD177" s="1"/>
      <c r="AE177" s="1"/>
      <c r="AF177" s="1"/>
      <c r="AG177" s="1"/>
      <c r="AH177" s="1"/>
      <c r="AI177" s="1"/>
      <c r="AJ177" s="1"/>
      <c r="AK177" s="1"/>
      <c r="AL177" s="1"/>
      <c r="AM177" s="1"/>
      <c r="AN177" s="1"/>
      <c r="AO177" s="1"/>
      <c r="AP177" s="1"/>
      <c r="AQ177" s="1"/>
      <c r="AR177" s="1"/>
      <c r="AS177" s="6"/>
      <c r="AT177" s="6"/>
      <c r="AU177" s="6"/>
      <c r="AW177" s="1"/>
    </row>
    <row r="178" spans="2:49">
      <c r="B178" s="1"/>
      <c r="C178" s="9"/>
      <c r="F178" s="9"/>
      <c r="G178" s="1"/>
      <c r="I178" s="1"/>
      <c r="J178" s="1"/>
      <c r="R178" s="52"/>
      <c r="S178" s="52"/>
      <c r="T178" s="52"/>
      <c r="U178" s="52"/>
      <c r="V178" s="52"/>
      <c r="W178" s="52"/>
      <c r="X178" s="52"/>
      <c r="Y178" s="896"/>
      <c r="Z178" s="52"/>
      <c r="AA178" s="51"/>
      <c r="AB178" s="51"/>
      <c r="AC178" s="1"/>
      <c r="AD178" s="1"/>
      <c r="AE178" s="1"/>
      <c r="AF178" s="1"/>
      <c r="AG178" s="1"/>
      <c r="AH178" s="1"/>
      <c r="AI178" s="1"/>
      <c r="AJ178" s="1"/>
      <c r="AK178" s="1"/>
      <c r="AL178" s="1"/>
      <c r="AM178" s="1"/>
      <c r="AN178" s="1"/>
      <c r="AO178" s="1"/>
      <c r="AP178" s="1"/>
      <c r="AQ178" s="1"/>
      <c r="AR178" s="1"/>
      <c r="AS178" s="6"/>
      <c r="AT178" s="6"/>
      <c r="AU178" s="6"/>
      <c r="AW178" s="1"/>
    </row>
    <row r="179" spans="2:49">
      <c r="B179" s="1"/>
      <c r="C179" s="9"/>
      <c r="F179" s="9"/>
      <c r="G179" s="1"/>
      <c r="I179" s="1"/>
      <c r="J179" s="1"/>
      <c r="R179" s="52"/>
      <c r="S179" s="52"/>
      <c r="T179" s="52"/>
      <c r="U179" s="52"/>
      <c r="V179" s="52"/>
      <c r="W179" s="52"/>
      <c r="X179" s="52"/>
      <c r="Y179" s="896"/>
      <c r="Z179" s="52"/>
      <c r="AA179" s="51"/>
      <c r="AB179" s="51"/>
      <c r="AC179" s="1"/>
      <c r="AD179" s="1"/>
      <c r="AE179" s="1"/>
      <c r="AF179" s="1"/>
      <c r="AG179" s="1"/>
      <c r="AH179" s="1"/>
      <c r="AI179" s="1"/>
      <c r="AJ179" s="1"/>
      <c r="AK179" s="1"/>
      <c r="AL179" s="1"/>
      <c r="AM179" s="1"/>
      <c r="AN179" s="1"/>
      <c r="AO179" s="1"/>
      <c r="AP179" s="1"/>
      <c r="AQ179" s="1"/>
      <c r="AR179" s="1"/>
      <c r="AS179" s="6"/>
      <c r="AT179" s="6"/>
      <c r="AU179" s="6"/>
      <c r="AW179" s="1"/>
    </row>
    <row r="180" spans="2:49">
      <c r="B180" s="1"/>
      <c r="C180" s="9"/>
      <c r="F180" s="9"/>
      <c r="G180" s="1"/>
      <c r="I180" s="1"/>
      <c r="J180" s="1"/>
      <c r="R180" s="52"/>
      <c r="S180" s="52"/>
      <c r="T180" s="52"/>
      <c r="U180" s="52"/>
      <c r="V180" s="52"/>
      <c r="W180" s="52"/>
      <c r="X180" s="52"/>
      <c r="Y180" s="896"/>
      <c r="Z180" s="52"/>
      <c r="AA180" s="51"/>
      <c r="AB180" s="51"/>
      <c r="AC180" s="1"/>
      <c r="AD180" s="1"/>
      <c r="AE180" s="1"/>
      <c r="AF180" s="1"/>
      <c r="AG180" s="1"/>
      <c r="AH180" s="1"/>
      <c r="AI180" s="1"/>
      <c r="AJ180" s="1"/>
      <c r="AK180" s="1"/>
      <c r="AL180" s="1"/>
      <c r="AM180" s="1"/>
      <c r="AN180" s="1"/>
      <c r="AO180" s="1"/>
      <c r="AP180" s="1"/>
      <c r="AQ180" s="1"/>
      <c r="AR180" s="1"/>
      <c r="AS180" s="6"/>
      <c r="AT180" s="6"/>
      <c r="AU180" s="6"/>
      <c r="AW180" s="1"/>
    </row>
    <row r="181" spans="2:49">
      <c r="B181" s="1"/>
      <c r="C181" s="9"/>
      <c r="F181" s="9"/>
      <c r="G181" s="1"/>
      <c r="I181" s="1"/>
      <c r="J181" s="1"/>
      <c r="R181" s="52"/>
      <c r="S181" s="52"/>
      <c r="T181" s="52"/>
      <c r="U181" s="52"/>
      <c r="V181" s="52"/>
      <c r="W181" s="52"/>
      <c r="X181" s="52"/>
      <c r="Y181" s="896"/>
      <c r="Z181" s="52"/>
      <c r="AA181" s="51"/>
      <c r="AB181" s="51"/>
      <c r="AC181" s="1"/>
      <c r="AD181" s="1"/>
      <c r="AE181" s="1"/>
      <c r="AF181" s="1"/>
      <c r="AG181" s="1"/>
      <c r="AH181" s="1"/>
      <c r="AI181" s="1"/>
      <c r="AJ181" s="1"/>
      <c r="AK181" s="1"/>
      <c r="AL181" s="1"/>
      <c r="AM181" s="1"/>
      <c r="AN181" s="1"/>
      <c r="AO181" s="1"/>
      <c r="AP181" s="1"/>
      <c r="AQ181" s="1"/>
      <c r="AR181" s="1"/>
      <c r="AS181" s="6"/>
      <c r="AT181" s="6"/>
      <c r="AU181" s="6"/>
      <c r="AW181" s="1"/>
    </row>
    <row r="182" spans="2:49">
      <c r="B182" s="1"/>
      <c r="C182" s="9"/>
      <c r="F182" s="9"/>
      <c r="G182" s="1"/>
      <c r="I182" s="1"/>
      <c r="J182" s="1"/>
      <c r="R182" s="52"/>
      <c r="S182" s="52"/>
      <c r="T182" s="52"/>
      <c r="U182" s="52"/>
      <c r="V182" s="52"/>
      <c r="W182" s="52"/>
      <c r="X182" s="52"/>
      <c r="Y182" s="896"/>
      <c r="Z182" s="52"/>
      <c r="AA182" s="51"/>
      <c r="AB182" s="51"/>
      <c r="AC182" s="1"/>
      <c r="AD182" s="1"/>
      <c r="AE182" s="1"/>
      <c r="AF182" s="1"/>
      <c r="AG182" s="1"/>
      <c r="AH182" s="1"/>
      <c r="AI182" s="1"/>
      <c r="AJ182" s="1"/>
      <c r="AK182" s="1"/>
      <c r="AL182" s="1"/>
      <c r="AM182" s="1"/>
      <c r="AN182" s="1"/>
      <c r="AO182" s="1"/>
      <c r="AP182" s="1"/>
      <c r="AQ182" s="1"/>
      <c r="AR182" s="1"/>
      <c r="AS182" s="6"/>
      <c r="AT182" s="6"/>
      <c r="AU182" s="6"/>
      <c r="AW182" s="1"/>
    </row>
    <row r="183" spans="2:49">
      <c r="B183" s="1"/>
      <c r="C183" s="9"/>
      <c r="F183" s="9"/>
      <c r="G183" s="1"/>
      <c r="I183" s="1"/>
      <c r="J183" s="1"/>
      <c r="R183" s="52"/>
      <c r="S183" s="52"/>
      <c r="T183" s="52"/>
      <c r="U183" s="52"/>
      <c r="V183" s="52"/>
      <c r="W183" s="52"/>
      <c r="X183" s="52"/>
      <c r="Y183" s="896"/>
      <c r="Z183" s="52"/>
      <c r="AA183" s="51"/>
      <c r="AB183" s="51"/>
      <c r="AC183" s="1"/>
      <c r="AD183" s="1"/>
      <c r="AE183" s="1"/>
      <c r="AF183" s="1"/>
      <c r="AG183" s="1"/>
      <c r="AH183" s="1"/>
      <c r="AI183" s="1"/>
      <c r="AJ183" s="1"/>
      <c r="AK183" s="1"/>
      <c r="AL183" s="1"/>
      <c r="AM183" s="1"/>
      <c r="AN183" s="1"/>
      <c r="AO183" s="1"/>
      <c r="AP183" s="1"/>
      <c r="AQ183" s="1"/>
      <c r="AR183" s="1"/>
      <c r="AS183" s="6"/>
      <c r="AT183" s="6"/>
      <c r="AU183" s="6"/>
      <c r="AW183" s="1"/>
    </row>
    <row r="184" spans="2:49">
      <c r="B184" s="1"/>
      <c r="C184" s="9"/>
      <c r="F184" s="9"/>
      <c r="G184" s="1"/>
      <c r="I184" s="1"/>
      <c r="J184" s="1"/>
      <c r="R184" s="52"/>
      <c r="S184" s="52"/>
      <c r="T184" s="52"/>
      <c r="U184" s="52"/>
      <c r="V184" s="52"/>
      <c r="W184" s="52"/>
      <c r="X184" s="52"/>
      <c r="Y184" s="896"/>
      <c r="Z184" s="52"/>
      <c r="AA184" s="51"/>
      <c r="AB184" s="51"/>
      <c r="AC184" s="1"/>
      <c r="AD184" s="1"/>
      <c r="AE184" s="1"/>
      <c r="AF184" s="1"/>
      <c r="AG184" s="1"/>
      <c r="AH184" s="1"/>
      <c r="AI184" s="1"/>
      <c r="AJ184" s="1"/>
      <c r="AK184" s="1"/>
      <c r="AL184" s="1"/>
      <c r="AM184" s="1"/>
      <c r="AN184" s="1"/>
      <c r="AO184" s="1"/>
      <c r="AP184" s="1"/>
      <c r="AQ184" s="1"/>
      <c r="AR184" s="1"/>
      <c r="AS184" s="6"/>
      <c r="AT184" s="6"/>
      <c r="AU184" s="6"/>
      <c r="AW184" s="1"/>
    </row>
    <row r="185" spans="2:49">
      <c r="B185" s="1"/>
      <c r="C185" s="9"/>
      <c r="F185" s="9"/>
      <c r="G185" s="1"/>
      <c r="I185" s="1"/>
      <c r="J185" s="1"/>
      <c r="R185" s="52"/>
      <c r="S185" s="52"/>
      <c r="T185" s="52"/>
      <c r="U185" s="52"/>
      <c r="V185" s="52"/>
      <c r="W185" s="52"/>
      <c r="X185" s="52"/>
      <c r="Y185" s="896"/>
      <c r="Z185" s="52"/>
      <c r="AA185" s="51"/>
      <c r="AB185" s="51"/>
      <c r="AC185" s="1"/>
      <c r="AD185" s="1"/>
      <c r="AE185" s="1"/>
      <c r="AF185" s="1"/>
      <c r="AG185" s="1"/>
      <c r="AH185" s="1"/>
      <c r="AI185" s="1"/>
      <c r="AJ185" s="1"/>
      <c r="AK185" s="1"/>
      <c r="AL185" s="1"/>
      <c r="AM185" s="1"/>
      <c r="AN185" s="1"/>
      <c r="AO185" s="1"/>
      <c r="AP185" s="1"/>
      <c r="AQ185" s="1"/>
      <c r="AR185" s="1"/>
      <c r="AS185" s="6"/>
      <c r="AT185" s="6"/>
      <c r="AU185" s="6"/>
      <c r="AW185" s="1"/>
    </row>
    <row r="186" spans="2:49">
      <c r="B186" s="1"/>
      <c r="C186" s="9"/>
      <c r="F186" s="9"/>
      <c r="G186" s="1"/>
      <c r="I186" s="1"/>
      <c r="J186" s="1"/>
      <c r="R186" s="52"/>
      <c r="S186" s="52"/>
      <c r="T186" s="52"/>
      <c r="U186" s="52"/>
      <c r="V186" s="52"/>
      <c r="W186" s="52"/>
      <c r="X186" s="52"/>
      <c r="Y186" s="896"/>
      <c r="Z186" s="52"/>
      <c r="AA186" s="51"/>
      <c r="AB186" s="51"/>
      <c r="AC186" s="1"/>
      <c r="AD186" s="1"/>
      <c r="AE186" s="1"/>
      <c r="AF186" s="1"/>
      <c r="AG186" s="1"/>
      <c r="AH186" s="1"/>
      <c r="AI186" s="1"/>
      <c r="AJ186" s="1"/>
      <c r="AK186" s="1"/>
      <c r="AL186" s="1"/>
      <c r="AM186" s="1"/>
      <c r="AN186" s="1"/>
      <c r="AO186" s="1"/>
      <c r="AP186" s="1"/>
      <c r="AQ186" s="1"/>
      <c r="AR186" s="1"/>
      <c r="AS186" s="6"/>
      <c r="AT186" s="6"/>
      <c r="AU186" s="6"/>
      <c r="AW186" s="1"/>
    </row>
    <row r="187" spans="2:49">
      <c r="B187" s="1"/>
      <c r="C187" s="9"/>
      <c r="F187" s="9"/>
      <c r="G187" s="1"/>
      <c r="I187" s="1"/>
      <c r="J187" s="1"/>
      <c r="R187" s="52"/>
      <c r="S187" s="52"/>
      <c r="T187" s="52"/>
      <c r="U187" s="52"/>
      <c r="V187" s="52"/>
      <c r="W187" s="52"/>
      <c r="X187" s="52"/>
      <c r="Y187" s="896"/>
      <c r="Z187" s="52"/>
      <c r="AA187" s="51"/>
      <c r="AB187" s="51"/>
      <c r="AC187" s="1"/>
      <c r="AD187" s="1"/>
      <c r="AE187" s="1"/>
      <c r="AF187" s="1"/>
      <c r="AG187" s="1"/>
      <c r="AH187" s="1"/>
      <c r="AI187" s="1"/>
      <c r="AJ187" s="1"/>
      <c r="AK187" s="1"/>
      <c r="AL187" s="1"/>
      <c r="AM187" s="1"/>
      <c r="AN187" s="1"/>
      <c r="AO187" s="1"/>
      <c r="AP187" s="1"/>
      <c r="AQ187" s="1"/>
      <c r="AR187" s="1"/>
      <c r="AS187" s="6"/>
      <c r="AT187" s="6"/>
      <c r="AU187" s="6"/>
      <c r="AW187" s="1"/>
    </row>
    <row r="188" spans="2:49">
      <c r="B188" s="1"/>
      <c r="C188" s="9"/>
      <c r="F188" s="9"/>
      <c r="G188" s="1"/>
      <c r="I188" s="1"/>
      <c r="J188" s="1"/>
      <c r="R188" s="52"/>
      <c r="S188" s="52"/>
      <c r="T188" s="52"/>
      <c r="U188" s="52"/>
      <c r="V188" s="52"/>
      <c r="W188" s="52"/>
      <c r="X188" s="52"/>
      <c r="Y188" s="896"/>
      <c r="Z188" s="52"/>
      <c r="AA188" s="51"/>
      <c r="AB188" s="51"/>
      <c r="AC188" s="1"/>
      <c r="AD188" s="1"/>
      <c r="AE188" s="1"/>
      <c r="AF188" s="1"/>
      <c r="AG188" s="1"/>
      <c r="AH188" s="1"/>
      <c r="AI188" s="1"/>
      <c r="AJ188" s="1"/>
      <c r="AK188" s="1"/>
      <c r="AL188" s="1"/>
      <c r="AM188" s="1"/>
      <c r="AN188" s="1"/>
      <c r="AO188" s="1"/>
      <c r="AP188" s="1"/>
      <c r="AQ188" s="1"/>
      <c r="AR188" s="1"/>
      <c r="AS188" s="6"/>
      <c r="AT188" s="6"/>
      <c r="AU188" s="6"/>
      <c r="AW188" s="1"/>
    </row>
    <row r="189" spans="2:49">
      <c r="B189" s="1"/>
      <c r="C189" s="9"/>
      <c r="F189" s="9"/>
      <c r="G189" s="1"/>
      <c r="I189" s="1"/>
      <c r="J189" s="1"/>
      <c r="R189" s="52"/>
      <c r="S189" s="52"/>
      <c r="T189" s="52"/>
      <c r="U189" s="52"/>
      <c r="V189" s="52"/>
      <c r="W189" s="52"/>
      <c r="X189" s="52"/>
      <c r="Y189" s="896"/>
      <c r="Z189" s="52"/>
      <c r="AA189" s="51"/>
      <c r="AB189" s="51"/>
      <c r="AC189" s="1"/>
      <c r="AD189" s="1"/>
      <c r="AE189" s="1"/>
      <c r="AF189" s="1"/>
      <c r="AG189" s="1"/>
      <c r="AH189" s="1"/>
      <c r="AI189" s="1"/>
      <c r="AJ189" s="1"/>
      <c r="AK189" s="1"/>
      <c r="AL189" s="1"/>
      <c r="AM189" s="1"/>
      <c r="AN189" s="1"/>
      <c r="AO189" s="1"/>
      <c r="AP189" s="1"/>
      <c r="AQ189" s="1"/>
      <c r="AR189" s="1"/>
      <c r="AS189" s="6"/>
      <c r="AT189" s="6"/>
      <c r="AU189" s="6"/>
      <c r="AW189" s="1"/>
    </row>
    <row r="190" spans="2:49">
      <c r="B190" s="1"/>
      <c r="C190" s="9"/>
      <c r="F190" s="9"/>
      <c r="G190" s="1"/>
      <c r="I190" s="1"/>
      <c r="J190" s="1"/>
      <c r="R190" s="52"/>
      <c r="S190" s="52"/>
      <c r="T190" s="52"/>
      <c r="U190" s="52"/>
      <c r="V190" s="52"/>
      <c r="W190" s="52"/>
      <c r="X190" s="52"/>
      <c r="Y190" s="896"/>
      <c r="Z190" s="52"/>
      <c r="AA190" s="51"/>
      <c r="AB190" s="51"/>
      <c r="AC190" s="1"/>
      <c r="AD190" s="1"/>
      <c r="AE190" s="1"/>
      <c r="AF190" s="1"/>
      <c r="AG190" s="1"/>
      <c r="AH190" s="1"/>
      <c r="AI190" s="1"/>
      <c r="AJ190" s="1"/>
      <c r="AK190" s="1"/>
      <c r="AL190" s="1"/>
      <c r="AM190" s="1"/>
      <c r="AN190" s="1"/>
      <c r="AO190" s="1"/>
      <c r="AP190" s="1"/>
      <c r="AQ190" s="1"/>
      <c r="AR190" s="1"/>
      <c r="AS190" s="6"/>
      <c r="AT190" s="6"/>
      <c r="AU190" s="6"/>
      <c r="AW190" s="1"/>
    </row>
    <row r="191" spans="2:49">
      <c r="B191" s="1"/>
      <c r="C191" s="9"/>
      <c r="F191" s="9"/>
      <c r="G191" s="1"/>
      <c r="I191" s="1"/>
      <c r="J191" s="1"/>
      <c r="R191" s="52"/>
      <c r="S191" s="52"/>
      <c r="T191" s="52"/>
      <c r="U191" s="52"/>
      <c r="V191" s="52"/>
      <c r="W191" s="52"/>
      <c r="X191" s="52"/>
      <c r="Y191" s="896"/>
      <c r="Z191" s="52"/>
      <c r="AA191" s="51"/>
      <c r="AB191" s="51"/>
      <c r="AC191" s="1"/>
      <c r="AD191" s="1"/>
      <c r="AE191" s="1"/>
      <c r="AF191" s="1"/>
      <c r="AG191" s="1"/>
      <c r="AH191" s="1"/>
      <c r="AI191" s="1"/>
      <c r="AJ191" s="1"/>
      <c r="AK191" s="1"/>
      <c r="AL191" s="1"/>
      <c r="AM191" s="1"/>
      <c r="AN191" s="1"/>
      <c r="AO191" s="1"/>
      <c r="AP191" s="1"/>
      <c r="AQ191" s="1"/>
      <c r="AR191" s="1"/>
      <c r="AS191" s="6"/>
      <c r="AT191" s="6"/>
      <c r="AU191" s="6"/>
      <c r="AW191" s="1"/>
    </row>
    <row r="192" spans="2:49">
      <c r="B192" s="1"/>
      <c r="C192" s="9"/>
      <c r="F192" s="9"/>
      <c r="G192" s="1"/>
      <c r="I192" s="1"/>
      <c r="J192" s="1"/>
      <c r="R192" s="52"/>
      <c r="S192" s="52"/>
      <c r="T192" s="52"/>
      <c r="U192" s="52"/>
      <c r="V192" s="52"/>
      <c r="W192" s="52"/>
      <c r="X192" s="52"/>
      <c r="Y192" s="896"/>
      <c r="Z192" s="52"/>
      <c r="AA192" s="51"/>
      <c r="AB192" s="51"/>
      <c r="AC192" s="1"/>
      <c r="AD192" s="1"/>
      <c r="AE192" s="1"/>
      <c r="AF192" s="1"/>
      <c r="AG192" s="1"/>
      <c r="AH192" s="1"/>
      <c r="AI192" s="1"/>
      <c r="AJ192" s="1"/>
      <c r="AK192" s="1"/>
      <c r="AL192" s="1"/>
      <c r="AM192" s="1"/>
      <c r="AN192" s="1"/>
      <c r="AO192" s="1"/>
      <c r="AP192" s="1"/>
      <c r="AQ192" s="1"/>
      <c r="AR192" s="1"/>
      <c r="AS192" s="6"/>
      <c r="AT192" s="6"/>
      <c r="AU192" s="6"/>
      <c r="AW192" s="1"/>
    </row>
    <row r="193" spans="2:49">
      <c r="B193" s="1"/>
      <c r="C193" s="9"/>
      <c r="F193" s="9"/>
      <c r="G193" s="1"/>
      <c r="I193" s="1"/>
      <c r="J193" s="1"/>
      <c r="R193" s="52"/>
      <c r="S193" s="52"/>
      <c r="T193" s="52"/>
      <c r="U193" s="52"/>
      <c r="V193" s="52"/>
      <c r="W193" s="52"/>
      <c r="X193" s="52"/>
      <c r="Y193" s="896"/>
      <c r="Z193" s="52"/>
      <c r="AA193" s="51"/>
      <c r="AB193" s="51"/>
      <c r="AC193" s="1"/>
      <c r="AD193" s="1"/>
      <c r="AE193" s="1"/>
      <c r="AF193" s="1"/>
      <c r="AG193" s="1"/>
      <c r="AH193" s="1"/>
      <c r="AI193" s="1"/>
      <c r="AJ193" s="1"/>
      <c r="AK193" s="1"/>
      <c r="AL193" s="1"/>
      <c r="AM193" s="1"/>
      <c r="AN193" s="1"/>
      <c r="AO193" s="1"/>
      <c r="AP193" s="1"/>
      <c r="AQ193" s="1"/>
      <c r="AR193" s="1"/>
      <c r="AS193" s="6"/>
      <c r="AT193" s="6"/>
      <c r="AU193" s="6"/>
      <c r="AW193" s="1"/>
    </row>
    <row r="194" spans="2:49">
      <c r="B194" s="1"/>
      <c r="C194" s="9"/>
      <c r="F194" s="9"/>
      <c r="G194" s="1"/>
      <c r="I194" s="1"/>
      <c r="J194" s="1"/>
      <c r="R194" s="52"/>
      <c r="S194" s="52"/>
      <c r="T194" s="52"/>
      <c r="U194" s="52"/>
      <c r="V194" s="52"/>
      <c r="W194" s="52"/>
      <c r="X194" s="52"/>
      <c r="Y194" s="896"/>
      <c r="Z194" s="52"/>
      <c r="AA194" s="51"/>
      <c r="AB194" s="51"/>
      <c r="AC194" s="1"/>
      <c r="AD194" s="1"/>
      <c r="AE194" s="1"/>
      <c r="AF194" s="1"/>
      <c r="AG194" s="1"/>
      <c r="AH194" s="1"/>
      <c r="AI194" s="1"/>
      <c r="AJ194" s="1"/>
      <c r="AK194" s="1"/>
      <c r="AL194" s="1"/>
      <c r="AM194" s="1"/>
      <c r="AN194" s="1"/>
      <c r="AO194" s="1"/>
      <c r="AP194" s="1"/>
      <c r="AQ194" s="1"/>
      <c r="AR194" s="1"/>
      <c r="AS194" s="6"/>
      <c r="AT194" s="6"/>
      <c r="AU194" s="6"/>
      <c r="AW194" s="1"/>
    </row>
    <row r="195" spans="2:49">
      <c r="B195" s="1"/>
      <c r="C195" s="9"/>
      <c r="F195" s="9"/>
      <c r="G195" s="1"/>
      <c r="I195" s="1"/>
      <c r="J195" s="1"/>
      <c r="R195" s="52"/>
      <c r="S195" s="52"/>
      <c r="T195" s="52"/>
      <c r="U195" s="52"/>
      <c r="V195" s="52"/>
      <c r="W195" s="52"/>
      <c r="X195" s="52"/>
      <c r="Y195" s="896"/>
      <c r="Z195" s="52"/>
      <c r="AA195" s="51"/>
      <c r="AB195" s="51"/>
      <c r="AC195" s="1"/>
      <c r="AD195" s="1"/>
      <c r="AE195" s="1"/>
      <c r="AF195" s="1"/>
      <c r="AG195" s="1"/>
      <c r="AH195" s="1"/>
      <c r="AI195" s="1"/>
      <c r="AJ195" s="1"/>
      <c r="AK195" s="1"/>
      <c r="AL195" s="1"/>
      <c r="AM195" s="1"/>
      <c r="AN195" s="1"/>
      <c r="AO195" s="1"/>
      <c r="AP195" s="1"/>
      <c r="AQ195" s="1"/>
      <c r="AR195" s="1"/>
      <c r="AS195" s="6"/>
      <c r="AT195" s="6"/>
      <c r="AU195" s="6"/>
      <c r="AW195" s="1"/>
    </row>
    <row r="196" spans="2:49">
      <c r="B196" s="1"/>
      <c r="C196" s="9"/>
      <c r="F196" s="9"/>
      <c r="G196" s="1"/>
      <c r="I196" s="1"/>
      <c r="J196" s="1"/>
      <c r="R196" s="52"/>
      <c r="S196" s="52"/>
      <c r="T196" s="52"/>
      <c r="U196" s="52"/>
      <c r="V196" s="52"/>
      <c r="W196" s="52"/>
      <c r="X196" s="52"/>
      <c r="Y196" s="896"/>
      <c r="Z196" s="52"/>
      <c r="AA196" s="51"/>
      <c r="AB196" s="51"/>
      <c r="AC196" s="1"/>
      <c r="AD196" s="1"/>
      <c r="AE196" s="1"/>
      <c r="AF196" s="1"/>
      <c r="AG196" s="1"/>
      <c r="AH196" s="1"/>
      <c r="AI196" s="1"/>
      <c r="AJ196" s="1"/>
      <c r="AK196" s="1"/>
      <c r="AL196" s="1"/>
      <c r="AM196" s="1"/>
      <c r="AN196" s="1"/>
      <c r="AO196" s="1"/>
      <c r="AP196" s="1"/>
      <c r="AQ196" s="1"/>
      <c r="AR196" s="1"/>
      <c r="AS196" s="6"/>
      <c r="AT196" s="6"/>
      <c r="AU196" s="6"/>
      <c r="AW196" s="1"/>
    </row>
    <row r="197" spans="2:49">
      <c r="B197" s="1"/>
      <c r="C197" s="9"/>
      <c r="F197" s="9"/>
      <c r="G197" s="1"/>
      <c r="I197" s="1"/>
      <c r="J197" s="1"/>
      <c r="R197" s="52"/>
      <c r="S197" s="52"/>
      <c r="T197" s="52"/>
      <c r="U197" s="52"/>
      <c r="V197" s="52"/>
      <c r="W197" s="52"/>
      <c r="X197" s="52"/>
      <c r="Y197" s="896"/>
      <c r="Z197" s="52"/>
      <c r="AA197" s="51"/>
      <c r="AB197" s="51"/>
      <c r="AC197" s="1"/>
      <c r="AD197" s="1"/>
      <c r="AE197" s="1"/>
      <c r="AF197" s="1"/>
      <c r="AG197" s="1"/>
      <c r="AH197" s="1"/>
      <c r="AI197" s="1"/>
      <c r="AJ197" s="1"/>
      <c r="AK197" s="1"/>
      <c r="AL197" s="1"/>
      <c r="AM197" s="1"/>
      <c r="AN197" s="1"/>
      <c r="AO197" s="1"/>
      <c r="AP197" s="1"/>
      <c r="AQ197" s="1"/>
      <c r="AR197" s="1"/>
      <c r="AS197" s="6"/>
      <c r="AT197" s="6"/>
      <c r="AU197" s="6"/>
      <c r="AW197" s="1"/>
    </row>
    <row r="198" spans="2:49">
      <c r="B198" s="1"/>
      <c r="C198" s="9"/>
      <c r="F198" s="9"/>
      <c r="G198" s="1"/>
      <c r="I198" s="1"/>
      <c r="J198" s="1"/>
      <c r="R198" s="52"/>
      <c r="S198" s="52"/>
      <c r="T198" s="52"/>
      <c r="U198" s="52"/>
      <c r="V198" s="52"/>
      <c r="W198" s="52"/>
      <c r="X198" s="52"/>
      <c r="Y198" s="896"/>
      <c r="Z198" s="52"/>
      <c r="AA198" s="51"/>
      <c r="AB198" s="51"/>
      <c r="AC198" s="1"/>
      <c r="AD198" s="1"/>
      <c r="AE198" s="1"/>
      <c r="AF198" s="1"/>
      <c r="AG198" s="1"/>
      <c r="AH198" s="1"/>
      <c r="AI198" s="1"/>
      <c r="AJ198" s="1"/>
      <c r="AK198" s="1"/>
      <c r="AL198" s="1"/>
      <c r="AM198" s="1"/>
      <c r="AN198" s="1"/>
      <c r="AO198" s="1"/>
      <c r="AP198" s="1"/>
      <c r="AQ198" s="1"/>
      <c r="AR198" s="1"/>
      <c r="AS198" s="6"/>
      <c r="AT198" s="6"/>
      <c r="AU198" s="6"/>
      <c r="AW198" s="1"/>
    </row>
    <row r="199" spans="2:49">
      <c r="B199" s="1"/>
      <c r="C199" s="9"/>
      <c r="F199" s="9"/>
      <c r="G199" s="1"/>
      <c r="I199" s="1"/>
      <c r="J199" s="1"/>
      <c r="R199" s="52"/>
      <c r="S199" s="52"/>
      <c r="T199" s="52"/>
      <c r="U199" s="52"/>
      <c r="V199" s="52"/>
      <c r="W199" s="52"/>
      <c r="X199" s="52"/>
      <c r="Y199" s="896"/>
      <c r="Z199" s="52"/>
      <c r="AA199" s="51"/>
      <c r="AB199" s="51"/>
      <c r="AC199" s="1"/>
      <c r="AD199" s="1"/>
      <c r="AE199" s="1"/>
      <c r="AF199" s="1"/>
      <c r="AG199" s="1"/>
      <c r="AH199" s="1"/>
      <c r="AI199" s="1"/>
      <c r="AJ199" s="1"/>
      <c r="AK199" s="1"/>
      <c r="AL199" s="1"/>
      <c r="AM199" s="1"/>
      <c r="AN199" s="1"/>
      <c r="AO199" s="1"/>
      <c r="AP199" s="1"/>
      <c r="AQ199" s="1"/>
      <c r="AR199" s="1"/>
      <c r="AS199" s="6"/>
      <c r="AT199" s="6"/>
      <c r="AU199" s="6"/>
      <c r="AW199" s="1"/>
    </row>
    <row r="200" spans="2:49">
      <c r="B200" s="1"/>
      <c r="C200" s="9"/>
      <c r="F200" s="9"/>
      <c r="G200" s="1"/>
      <c r="I200" s="1"/>
      <c r="J200" s="1"/>
      <c r="R200" s="52"/>
      <c r="S200" s="52"/>
      <c r="T200" s="52"/>
      <c r="U200" s="52"/>
      <c r="V200" s="52"/>
      <c r="W200" s="52"/>
      <c r="X200" s="52"/>
      <c r="Y200" s="896"/>
      <c r="Z200" s="52"/>
      <c r="AA200" s="51"/>
      <c r="AB200" s="51"/>
      <c r="AC200" s="1"/>
      <c r="AD200" s="1"/>
      <c r="AE200" s="1"/>
      <c r="AF200" s="1"/>
      <c r="AG200" s="1"/>
      <c r="AH200" s="1"/>
      <c r="AI200" s="1"/>
      <c r="AJ200" s="1"/>
      <c r="AK200" s="1"/>
      <c r="AL200" s="1"/>
      <c r="AM200" s="1"/>
      <c r="AN200" s="1"/>
      <c r="AO200" s="1"/>
      <c r="AP200" s="1"/>
      <c r="AQ200" s="1"/>
      <c r="AR200" s="1"/>
      <c r="AS200" s="6"/>
      <c r="AT200" s="6"/>
      <c r="AU200" s="6"/>
      <c r="AW200" s="1"/>
    </row>
    <row r="201" spans="2:49">
      <c r="B201" s="1"/>
      <c r="C201" s="9"/>
      <c r="F201" s="9"/>
      <c r="G201" s="1"/>
      <c r="I201" s="1"/>
      <c r="J201" s="1"/>
      <c r="R201" s="52"/>
      <c r="S201" s="52"/>
      <c r="T201" s="52"/>
      <c r="U201" s="52"/>
      <c r="V201" s="52"/>
      <c r="W201" s="52"/>
      <c r="X201" s="52"/>
      <c r="Y201" s="896"/>
      <c r="Z201" s="52"/>
      <c r="AA201" s="51"/>
      <c r="AB201" s="51"/>
      <c r="AC201" s="1"/>
      <c r="AD201" s="1"/>
      <c r="AE201" s="1"/>
      <c r="AF201" s="1"/>
      <c r="AG201" s="1"/>
      <c r="AH201" s="1"/>
      <c r="AI201" s="1"/>
      <c r="AJ201" s="1"/>
      <c r="AK201" s="1"/>
      <c r="AL201" s="1"/>
      <c r="AM201" s="1"/>
      <c r="AN201" s="1"/>
      <c r="AO201" s="1"/>
      <c r="AP201" s="1"/>
      <c r="AQ201" s="1"/>
      <c r="AR201" s="1"/>
      <c r="AS201" s="6"/>
      <c r="AT201" s="6"/>
      <c r="AU201" s="6"/>
      <c r="AW201" s="1"/>
    </row>
    <row r="202" spans="2:49">
      <c r="B202" s="1"/>
      <c r="C202" s="9"/>
      <c r="F202" s="9"/>
      <c r="G202" s="1"/>
      <c r="I202" s="1"/>
      <c r="J202" s="1"/>
      <c r="R202" s="52"/>
      <c r="S202" s="52"/>
      <c r="T202" s="52"/>
      <c r="U202" s="52"/>
      <c r="V202" s="52"/>
      <c r="W202" s="52"/>
      <c r="X202" s="52"/>
      <c r="Y202" s="896"/>
      <c r="Z202" s="52"/>
      <c r="AA202" s="51"/>
      <c r="AB202" s="51"/>
      <c r="AC202" s="1"/>
      <c r="AD202" s="1"/>
      <c r="AE202" s="1"/>
      <c r="AF202" s="1"/>
      <c r="AG202" s="1"/>
      <c r="AH202" s="1"/>
      <c r="AI202" s="1"/>
      <c r="AJ202" s="1"/>
      <c r="AK202" s="1"/>
      <c r="AL202" s="1"/>
      <c r="AM202" s="1"/>
      <c r="AN202" s="1"/>
      <c r="AO202" s="1"/>
      <c r="AP202" s="1"/>
      <c r="AQ202" s="1"/>
      <c r="AR202" s="1"/>
      <c r="AS202" s="6"/>
      <c r="AT202" s="6"/>
      <c r="AU202" s="6"/>
      <c r="AW202" s="1"/>
    </row>
    <row r="203" spans="2:49">
      <c r="B203" s="1"/>
      <c r="C203" s="9"/>
      <c r="F203" s="9"/>
      <c r="G203" s="1"/>
      <c r="I203" s="1"/>
      <c r="J203" s="1"/>
      <c r="R203" s="52"/>
      <c r="S203" s="52"/>
      <c r="T203" s="52"/>
      <c r="U203" s="52"/>
      <c r="V203" s="52"/>
      <c r="W203" s="52"/>
      <c r="X203" s="52"/>
      <c r="Y203" s="896"/>
      <c r="Z203" s="52"/>
      <c r="AA203" s="51"/>
      <c r="AB203" s="51"/>
      <c r="AC203" s="1"/>
      <c r="AD203" s="1"/>
      <c r="AE203" s="1"/>
      <c r="AF203" s="1"/>
      <c r="AG203" s="1"/>
      <c r="AH203" s="1"/>
      <c r="AI203" s="1"/>
      <c r="AJ203" s="1"/>
      <c r="AK203" s="1"/>
      <c r="AL203" s="1"/>
      <c r="AM203" s="1"/>
      <c r="AN203" s="1"/>
      <c r="AO203" s="1"/>
      <c r="AP203" s="1"/>
      <c r="AQ203" s="1"/>
      <c r="AR203" s="1"/>
      <c r="AS203" s="6"/>
      <c r="AT203" s="6"/>
      <c r="AU203" s="6"/>
      <c r="AW203" s="1"/>
    </row>
    <row r="204" spans="2:49">
      <c r="B204" s="1"/>
      <c r="C204" s="9"/>
      <c r="F204" s="9"/>
      <c r="G204" s="1"/>
      <c r="I204" s="1"/>
      <c r="J204" s="1"/>
      <c r="R204" s="52"/>
      <c r="S204" s="52"/>
      <c r="T204" s="52"/>
      <c r="U204" s="52"/>
      <c r="V204" s="52"/>
      <c r="W204" s="52"/>
      <c r="X204" s="52"/>
      <c r="Y204" s="896"/>
      <c r="Z204" s="52"/>
      <c r="AA204" s="51"/>
      <c r="AB204" s="51"/>
      <c r="AC204" s="1"/>
      <c r="AD204" s="1"/>
      <c r="AE204" s="1"/>
      <c r="AF204" s="1"/>
      <c r="AG204" s="1"/>
      <c r="AH204" s="1"/>
      <c r="AI204" s="1"/>
      <c r="AJ204" s="1"/>
      <c r="AK204" s="1"/>
      <c r="AL204" s="1"/>
      <c r="AM204" s="1"/>
      <c r="AN204" s="1"/>
      <c r="AO204" s="1"/>
      <c r="AP204" s="1"/>
      <c r="AQ204" s="1"/>
      <c r="AR204" s="1"/>
      <c r="AS204" s="6"/>
      <c r="AT204" s="6"/>
      <c r="AU204" s="6"/>
      <c r="AW204" s="1"/>
    </row>
    <row r="205" spans="2:49">
      <c r="B205" s="1"/>
      <c r="C205" s="9"/>
      <c r="F205" s="9"/>
      <c r="G205" s="1"/>
      <c r="I205" s="1"/>
      <c r="J205" s="1"/>
      <c r="R205" s="52"/>
      <c r="S205" s="52"/>
      <c r="T205" s="52"/>
      <c r="U205" s="52"/>
      <c r="V205" s="52"/>
      <c r="W205" s="52"/>
      <c r="X205" s="52"/>
      <c r="Y205" s="896"/>
      <c r="Z205" s="52"/>
      <c r="AA205" s="51"/>
      <c r="AB205" s="51"/>
      <c r="AC205" s="1"/>
      <c r="AD205" s="1"/>
      <c r="AE205" s="1"/>
      <c r="AF205" s="1"/>
      <c r="AG205" s="1"/>
      <c r="AH205" s="1"/>
      <c r="AI205" s="1"/>
      <c r="AJ205" s="1"/>
      <c r="AK205" s="1"/>
      <c r="AL205" s="1"/>
      <c r="AM205" s="1"/>
      <c r="AN205" s="1"/>
      <c r="AO205" s="1"/>
      <c r="AP205" s="1"/>
      <c r="AQ205" s="1"/>
      <c r="AR205" s="1"/>
      <c r="AS205" s="6"/>
      <c r="AT205" s="6"/>
      <c r="AU205" s="6"/>
      <c r="AW205" s="1"/>
    </row>
    <row r="206" spans="2:49">
      <c r="B206" s="1"/>
      <c r="C206" s="9"/>
      <c r="F206" s="9"/>
      <c r="G206" s="1"/>
      <c r="I206" s="1"/>
      <c r="J206" s="1"/>
      <c r="R206" s="52"/>
      <c r="S206" s="52"/>
      <c r="T206" s="52"/>
      <c r="U206" s="52"/>
      <c r="V206" s="52"/>
      <c r="W206" s="52"/>
      <c r="X206" s="52"/>
      <c r="Y206" s="896"/>
      <c r="Z206" s="52"/>
      <c r="AA206" s="51"/>
      <c r="AB206" s="51"/>
      <c r="AC206" s="1"/>
      <c r="AD206" s="1"/>
      <c r="AE206" s="1"/>
      <c r="AF206" s="1"/>
      <c r="AG206" s="1"/>
      <c r="AH206" s="1"/>
      <c r="AI206" s="1"/>
      <c r="AJ206" s="1"/>
      <c r="AK206" s="1"/>
      <c r="AL206" s="1"/>
      <c r="AM206" s="1"/>
      <c r="AN206" s="1"/>
      <c r="AO206" s="1"/>
      <c r="AP206" s="1"/>
      <c r="AQ206" s="1"/>
      <c r="AR206" s="1"/>
      <c r="AS206" s="6"/>
      <c r="AT206" s="6"/>
      <c r="AU206" s="6"/>
      <c r="AW206" s="1"/>
    </row>
    <row r="207" spans="2:49">
      <c r="B207" s="1"/>
      <c r="C207" s="9"/>
      <c r="F207" s="9"/>
      <c r="G207" s="1"/>
      <c r="I207" s="1"/>
      <c r="J207" s="1"/>
      <c r="R207" s="52"/>
      <c r="S207" s="52"/>
      <c r="T207" s="52"/>
      <c r="U207" s="52"/>
      <c r="V207" s="52"/>
      <c r="W207" s="52"/>
      <c r="X207" s="52"/>
      <c r="Y207" s="896"/>
      <c r="Z207" s="52"/>
      <c r="AA207" s="51"/>
      <c r="AB207" s="51"/>
      <c r="AC207" s="1"/>
      <c r="AD207" s="1"/>
      <c r="AE207" s="1"/>
      <c r="AF207" s="1"/>
      <c r="AG207" s="1"/>
      <c r="AH207" s="1"/>
      <c r="AI207" s="1"/>
      <c r="AJ207" s="1"/>
      <c r="AK207" s="1"/>
      <c r="AL207" s="1"/>
      <c r="AM207" s="1"/>
      <c r="AN207" s="1"/>
      <c r="AO207" s="1"/>
      <c r="AP207" s="1"/>
      <c r="AQ207" s="1"/>
      <c r="AR207" s="1"/>
      <c r="AS207" s="6"/>
      <c r="AT207" s="6"/>
      <c r="AU207" s="6"/>
      <c r="AW207" s="1"/>
    </row>
    <row r="208" spans="2:49">
      <c r="B208" s="1"/>
      <c r="C208" s="9"/>
      <c r="F208" s="9"/>
      <c r="G208" s="1"/>
      <c r="I208" s="1"/>
      <c r="J208" s="1"/>
      <c r="R208" s="52"/>
      <c r="S208" s="52"/>
      <c r="T208" s="52"/>
      <c r="U208" s="52"/>
      <c r="V208" s="52"/>
      <c r="W208" s="52"/>
      <c r="X208" s="52"/>
      <c r="Y208" s="896"/>
      <c r="Z208" s="52"/>
      <c r="AA208" s="51"/>
      <c r="AB208" s="51"/>
      <c r="AC208" s="1"/>
      <c r="AD208" s="1"/>
      <c r="AE208" s="1"/>
      <c r="AF208" s="1"/>
      <c r="AG208" s="1"/>
      <c r="AH208" s="1"/>
      <c r="AI208" s="1"/>
      <c r="AJ208" s="1"/>
      <c r="AK208" s="1"/>
      <c r="AL208" s="1"/>
      <c r="AM208" s="1"/>
      <c r="AN208" s="1"/>
      <c r="AO208" s="1"/>
      <c r="AP208" s="1"/>
      <c r="AQ208" s="1"/>
      <c r="AR208" s="1"/>
      <c r="AS208" s="6"/>
      <c r="AT208" s="6"/>
      <c r="AU208" s="6"/>
      <c r="AW208" s="1"/>
    </row>
    <row r="209" spans="2:49">
      <c r="B209" s="1"/>
      <c r="C209" s="9"/>
      <c r="F209" s="9"/>
      <c r="G209" s="1"/>
      <c r="I209" s="1"/>
      <c r="J209" s="1"/>
      <c r="R209" s="52"/>
      <c r="S209" s="52"/>
      <c r="T209" s="52"/>
      <c r="U209" s="52"/>
      <c r="V209" s="52"/>
      <c r="W209" s="52"/>
      <c r="X209" s="52"/>
      <c r="Y209" s="896"/>
      <c r="Z209" s="52"/>
      <c r="AA209" s="51"/>
      <c r="AB209" s="51"/>
      <c r="AC209" s="1"/>
      <c r="AD209" s="1"/>
      <c r="AE209" s="1"/>
      <c r="AF209" s="1"/>
      <c r="AG209" s="1"/>
      <c r="AH209" s="1"/>
      <c r="AI209" s="1"/>
      <c r="AJ209" s="1"/>
      <c r="AK209" s="1"/>
      <c r="AL209" s="1"/>
      <c r="AM209" s="1"/>
      <c r="AN209" s="1"/>
      <c r="AO209" s="1"/>
      <c r="AP209" s="1"/>
      <c r="AQ209" s="1"/>
      <c r="AR209" s="1"/>
      <c r="AS209" s="6"/>
      <c r="AT209" s="6"/>
      <c r="AU209" s="6"/>
      <c r="AW209" s="1"/>
    </row>
    <row r="210" spans="2:49">
      <c r="B210" s="1"/>
      <c r="C210" s="9"/>
      <c r="F210" s="9"/>
      <c r="G210" s="1"/>
      <c r="I210" s="1"/>
      <c r="J210" s="1"/>
      <c r="R210" s="52"/>
      <c r="S210" s="52"/>
      <c r="T210" s="52"/>
      <c r="U210" s="52"/>
      <c r="V210" s="52"/>
      <c r="W210" s="52"/>
      <c r="X210" s="52"/>
      <c r="Y210" s="896"/>
      <c r="Z210" s="52"/>
      <c r="AA210" s="51"/>
      <c r="AB210" s="51"/>
      <c r="AC210" s="1"/>
      <c r="AD210" s="1"/>
      <c r="AE210" s="1"/>
      <c r="AF210" s="1"/>
      <c r="AG210" s="1"/>
      <c r="AH210" s="1"/>
      <c r="AI210" s="1"/>
      <c r="AJ210" s="1"/>
      <c r="AK210" s="1"/>
      <c r="AL210" s="1"/>
      <c r="AM210" s="1"/>
      <c r="AN210" s="1"/>
      <c r="AO210" s="1"/>
      <c r="AP210" s="1"/>
      <c r="AQ210" s="1"/>
      <c r="AR210" s="1"/>
      <c r="AS210" s="6"/>
      <c r="AT210" s="6"/>
      <c r="AU210" s="6"/>
      <c r="AW210" s="1"/>
    </row>
    <row r="211" spans="2:49">
      <c r="B211" s="1"/>
      <c r="C211" s="9"/>
      <c r="F211" s="9"/>
      <c r="G211" s="1"/>
      <c r="I211" s="1"/>
      <c r="J211" s="1"/>
      <c r="R211" s="52"/>
      <c r="S211" s="52"/>
      <c r="T211" s="52"/>
      <c r="U211" s="52"/>
      <c r="V211" s="52"/>
      <c r="W211" s="52"/>
      <c r="X211" s="52"/>
      <c r="Y211" s="896"/>
      <c r="Z211" s="52"/>
      <c r="AA211" s="51"/>
      <c r="AB211" s="51"/>
      <c r="AC211" s="1"/>
      <c r="AD211" s="1"/>
      <c r="AE211" s="1"/>
      <c r="AF211" s="1"/>
      <c r="AG211" s="1"/>
      <c r="AH211" s="1"/>
      <c r="AI211" s="1"/>
      <c r="AJ211" s="1"/>
      <c r="AK211" s="1"/>
      <c r="AL211" s="1"/>
      <c r="AM211" s="1"/>
      <c r="AN211" s="1"/>
      <c r="AO211" s="1"/>
      <c r="AP211" s="1"/>
      <c r="AQ211" s="1"/>
      <c r="AR211" s="1"/>
      <c r="AS211" s="6"/>
      <c r="AT211" s="6"/>
      <c r="AU211" s="6"/>
      <c r="AW211" s="1"/>
    </row>
    <row r="212" spans="2:49">
      <c r="B212" s="1"/>
      <c r="C212" s="9"/>
      <c r="F212" s="9"/>
      <c r="G212" s="1"/>
      <c r="I212" s="1"/>
      <c r="J212" s="1"/>
      <c r="R212" s="52"/>
      <c r="S212" s="52"/>
      <c r="T212" s="52"/>
      <c r="U212" s="52"/>
      <c r="V212" s="52"/>
      <c r="W212" s="52"/>
      <c r="X212" s="52"/>
      <c r="Y212" s="896"/>
      <c r="Z212" s="52"/>
      <c r="AA212" s="51"/>
      <c r="AB212" s="51"/>
      <c r="AC212" s="1"/>
      <c r="AD212" s="1"/>
      <c r="AE212" s="1"/>
      <c r="AF212" s="1"/>
      <c r="AG212" s="1"/>
      <c r="AH212" s="1"/>
      <c r="AI212" s="1"/>
      <c r="AJ212" s="1"/>
      <c r="AK212" s="1"/>
      <c r="AL212" s="1"/>
      <c r="AM212" s="1"/>
      <c r="AN212" s="1"/>
      <c r="AO212" s="1"/>
      <c r="AP212" s="1"/>
      <c r="AQ212" s="1"/>
      <c r="AR212" s="1"/>
      <c r="AS212" s="6"/>
      <c r="AT212" s="6"/>
      <c r="AU212" s="6"/>
      <c r="AW212" s="1"/>
    </row>
    <row r="213" spans="2:49">
      <c r="B213" s="1"/>
      <c r="C213" s="9"/>
      <c r="F213" s="9"/>
      <c r="G213" s="1"/>
      <c r="I213" s="1"/>
      <c r="J213" s="1"/>
      <c r="R213" s="52"/>
      <c r="S213" s="52"/>
      <c r="T213" s="52"/>
      <c r="U213" s="52"/>
      <c r="V213" s="52"/>
      <c r="W213" s="52"/>
      <c r="X213" s="52"/>
      <c r="Y213" s="896"/>
      <c r="Z213" s="52"/>
      <c r="AA213" s="51"/>
      <c r="AB213" s="51"/>
      <c r="AC213" s="1"/>
      <c r="AD213"/>
      <c r="AE213"/>
      <c r="AJ213"/>
      <c r="AK213"/>
    </row>
    <row r="214" spans="2:49">
      <c r="B214" s="1"/>
      <c r="C214" s="9"/>
      <c r="F214" s="9"/>
      <c r="G214" s="1"/>
      <c r="I214" s="1"/>
      <c r="J214" s="1"/>
      <c r="R214" s="52"/>
      <c r="S214" s="52"/>
      <c r="T214" s="52"/>
      <c r="U214" s="52"/>
      <c r="V214" s="52"/>
      <c r="W214" s="52"/>
      <c r="X214" s="52"/>
      <c r="Y214" s="896"/>
      <c r="Z214" s="52"/>
      <c r="AA214" s="51"/>
      <c r="AB214" s="51"/>
      <c r="AC214" s="1"/>
      <c r="AD214"/>
      <c r="AE214"/>
      <c r="AJ214"/>
      <c r="AK214"/>
    </row>
    <row r="215" spans="2:49">
      <c r="B215" s="1"/>
      <c r="C215" s="9"/>
      <c r="F215" s="9"/>
      <c r="G215" s="1"/>
      <c r="I215" s="1"/>
      <c r="J215" s="1"/>
      <c r="R215" s="52"/>
      <c r="S215" s="52"/>
      <c r="T215" s="52"/>
      <c r="U215" s="52"/>
      <c r="V215" s="52"/>
      <c r="W215" s="52"/>
      <c r="X215" s="52"/>
      <c r="Y215" s="896"/>
      <c r="Z215" s="52"/>
      <c r="AA215" s="51"/>
      <c r="AB215" s="51"/>
      <c r="AC215" s="1"/>
      <c r="AD215"/>
      <c r="AE215"/>
      <c r="AJ215"/>
      <c r="AK215"/>
    </row>
    <row r="216" spans="2:49">
      <c r="B216" s="1"/>
      <c r="C216" s="9"/>
      <c r="F216" s="9"/>
      <c r="G216" s="1"/>
      <c r="I216" s="1"/>
      <c r="J216" s="1"/>
      <c r="R216" s="52"/>
      <c r="S216" s="52"/>
      <c r="T216" s="52"/>
      <c r="U216" s="52"/>
      <c r="V216" s="52"/>
      <c r="W216" s="52"/>
      <c r="X216" s="52"/>
      <c r="Y216" s="896"/>
      <c r="Z216" s="52"/>
      <c r="AA216" s="51"/>
      <c r="AB216" s="51"/>
      <c r="AC216" s="1"/>
      <c r="AD216"/>
      <c r="AE216"/>
      <c r="AJ216"/>
      <c r="AK216"/>
    </row>
    <row r="217" spans="2:49">
      <c r="AC217" s="1"/>
    </row>
    <row r="218" spans="2:49">
      <c r="AC218" s="1"/>
    </row>
    <row r="219" spans="2:49">
      <c r="AC219" s="1"/>
    </row>
    <row r="220" spans="2:49">
      <c r="AC220" s="1"/>
    </row>
    <row r="221" spans="2:49">
      <c r="AC221" s="1"/>
    </row>
    <row r="222" spans="2:49">
      <c r="AC222" s="1"/>
    </row>
    <row r="223" spans="2:49">
      <c r="AC223" s="1"/>
    </row>
    <row r="224" spans="2:49">
      <c r="AC224" s="1"/>
    </row>
    <row r="225" spans="29:29">
      <c r="AC225" s="1"/>
    </row>
    <row r="226" spans="29:29">
      <c r="AC226" s="1"/>
    </row>
    <row r="227" spans="29:29">
      <c r="AC227" s="1"/>
    </row>
    <row r="228" spans="29:29">
      <c r="AC228" s="1"/>
    </row>
    <row r="229" spans="29:29">
      <c r="AC229" s="1"/>
    </row>
    <row r="230" spans="29:29">
      <c r="AC230" s="1"/>
    </row>
    <row r="231" spans="29:29">
      <c r="AC231" s="1"/>
    </row>
    <row r="232" spans="29:29">
      <c r="AC232"/>
    </row>
    <row r="233" spans="29:29">
      <c r="AC233"/>
    </row>
    <row r="234" spans="29:29">
      <c r="AC234"/>
    </row>
    <row r="235" spans="29:29">
      <c r="AC235"/>
    </row>
    <row r="236" spans="29:29">
      <c r="AC236"/>
    </row>
    <row r="237" spans="29:29">
      <c r="AC237"/>
    </row>
    <row r="238" spans="29:29">
      <c r="AC238"/>
    </row>
    <row r="239" spans="29:29">
      <c r="AC239"/>
    </row>
    <row r="240" spans="29:29">
      <c r="AC240"/>
    </row>
    <row r="241" spans="29:29">
      <c r="AC241"/>
    </row>
    <row r="242" spans="29:29">
      <c r="AC242"/>
    </row>
    <row r="243" spans="29:29">
      <c r="AC243"/>
    </row>
    <row r="244" spans="29:29">
      <c r="AC244"/>
    </row>
    <row r="245" spans="29:29">
      <c r="AC245"/>
    </row>
    <row r="246" spans="29:29">
      <c r="AC246"/>
    </row>
    <row r="247" spans="29:29">
      <c r="AC247"/>
    </row>
    <row r="248" spans="29:29">
      <c r="AC248"/>
    </row>
    <row r="249" spans="29:29">
      <c r="AC249"/>
    </row>
    <row r="250" spans="29:29">
      <c r="AC250"/>
    </row>
    <row r="251" spans="29:29">
      <c r="AC251"/>
    </row>
    <row r="252" spans="29:29">
      <c r="AC252"/>
    </row>
    <row r="253" spans="29:29">
      <c r="AC253"/>
    </row>
    <row r="254" spans="29:29">
      <c r="AC254"/>
    </row>
    <row r="255" spans="29:29">
      <c r="AC255"/>
    </row>
    <row r="256" spans="29:29">
      <c r="AC256"/>
    </row>
    <row r="257" spans="29:29">
      <c r="AC257"/>
    </row>
    <row r="258" spans="29:29">
      <c r="AC258"/>
    </row>
    <row r="259" spans="29:29">
      <c r="AC259"/>
    </row>
    <row r="260" spans="29:29">
      <c r="AC260"/>
    </row>
    <row r="261" spans="29:29">
      <c r="AC261"/>
    </row>
    <row r="262" spans="29:29">
      <c r="AC262"/>
    </row>
    <row r="263" spans="29:29">
      <c r="AC263"/>
    </row>
    <row r="264" spans="29:29">
      <c r="AC264"/>
    </row>
    <row r="265" spans="29:29">
      <c r="AC265"/>
    </row>
    <row r="266" spans="29:29">
      <c r="AC266"/>
    </row>
    <row r="267" spans="29:29">
      <c r="AC267"/>
    </row>
    <row r="268" spans="29:29">
      <c r="AC268"/>
    </row>
    <row r="269" spans="29:29">
      <c r="AC269"/>
    </row>
    <row r="270" spans="29:29">
      <c r="AC270"/>
    </row>
    <row r="271" spans="29:29">
      <c r="AC271"/>
    </row>
    <row r="272" spans="29:29">
      <c r="AC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sheetData>
  <sheetProtection algorithmName="SHA-512" hashValue="dlyJU2hfWO6s07JCHPhsOOJfdsLd/WfQ6+bj+W/t91YniI4eW4xDsZKE6ZWKg9pNkghzFqd06oeefBEE0vGJgA==" saltValue="n91DNJRmbmjeoIHlXoOZLw==" spinCount="100000" sheet="1" formatRows="0"/>
  <mergeCells count="181">
    <mergeCell ref="L92:M92"/>
    <mergeCell ref="N92:O92"/>
    <mergeCell ref="I90:K90"/>
    <mergeCell ref="I92:K92"/>
    <mergeCell ref="L89:M89"/>
    <mergeCell ref="L83:M83"/>
    <mergeCell ref="I82:K82"/>
    <mergeCell ref="I86:K86"/>
    <mergeCell ref="AL45:AL47"/>
    <mergeCell ref="AK45:AK47"/>
    <mergeCell ref="L91:M91"/>
    <mergeCell ref="N91:O91"/>
    <mergeCell ref="AM45:AM47"/>
    <mergeCell ref="AK8:AK11"/>
    <mergeCell ref="AU24:AU25"/>
    <mergeCell ref="AS32:AS34"/>
    <mergeCell ref="AU14:AU16"/>
    <mergeCell ref="AU17:AU19"/>
    <mergeCell ref="AK24:AK34"/>
    <mergeCell ref="AL39:AL41"/>
    <mergeCell ref="AU29:AU31"/>
    <mergeCell ref="AS9:AS11"/>
    <mergeCell ref="AS39:AS41"/>
    <mergeCell ref="AK35:AO35"/>
    <mergeCell ref="AK36:AK41"/>
    <mergeCell ref="AU36:AU38"/>
    <mergeCell ref="AU39:AU41"/>
    <mergeCell ref="AU20:AU22"/>
    <mergeCell ref="AQ8:AR8"/>
    <mergeCell ref="AQ9:AR11"/>
    <mergeCell ref="AQ13:AR13"/>
    <mergeCell ref="AO45:AO47"/>
    <mergeCell ref="AN45:AN47"/>
    <mergeCell ref="AU9:AU11"/>
    <mergeCell ref="AU32:AU34"/>
    <mergeCell ref="AS24:AS25"/>
    <mergeCell ref="AU26:AU28"/>
    <mergeCell ref="BD9:BD11"/>
    <mergeCell ref="BD12:BD17"/>
    <mergeCell ref="BD19:BD27"/>
    <mergeCell ref="BD29:BD37"/>
    <mergeCell ref="AS36:AS38"/>
    <mergeCell ref="AR45:AR47"/>
    <mergeCell ref="AS45:AS47"/>
    <mergeCell ref="AZ45:AZ47"/>
    <mergeCell ref="AW9:AW11"/>
    <mergeCell ref="AX9:AX11"/>
    <mergeCell ref="AQ39:AR41"/>
    <mergeCell ref="AQ14:AR16"/>
    <mergeCell ref="AQ17:AR19"/>
    <mergeCell ref="AQ20:AR22"/>
    <mergeCell ref="AQ24:AR25"/>
    <mergeCell ref="AQ26:AR28"/>
    <mergeCell ref="AQ29:AR31"/>
    <mergeCell ref="AQ32:AR34"/>
    <mergeCell ref="AQ36:AR38"/>
    <mergeCell ref="AQ45:AQ47"/>
    <mergeCell ref="AD6:AE6"/>
    <mergeCell ref="AD7:AE7"/>
    <mergeCell ref="AJ4:AK4"/>
    <mergeCell ref="AM4:AN4"/>
    <mergeCell ref="AF6:AG6"/>
    <mergeCell ref="AS26:AS28"/>
    <mergeCell ref="AS29:AS31"/>
    <mergeCell ref="AS14:AS16"/>
    <mergeCell ref="AS17:AS19"/>
    <mergeCell ref="AS20:AS22"/>
    <mergeCell ref="AF4:AG4"/>
    <mergeCell ref="AJ12:AJ41"/>
    <mergeCell ref="AJ6:AU6"/>
    <mergeCell ref="AL9:AL11"/>
    <mergeCell ref="AF7:AG7"/>
    <mergeCell ref="AL14:AL16"/>
    <mergeCell ref="AL17:AL19"/>
    <mergeCell ref="AL20:AL22"/>
    <mergeCell ref="AL26:AL28"/>
    <mergeCell ref="AN9:AN11"/>
    <mergeCell ref="AO9:AO11"/>
    <mergeCell ref="AJ8:AJ11"/>
    <mergeCell ref="AM8:AO8"/>
    <mergeCell ref="AM9:AM11"/>
    <mergeCell ref="L6:M6"/>
    <mergeCell ref="N6:O6"/>
    <mergeCell ref="Q6:Q7"/>
    <mergeCell ref="K6:K7"/>
    <mergeCell ref="AB6:AB7"/>
    <mergeCell ref="B6:B7"/>
    <mergeCell ref="C6:C7"/>
    <mergeCell ref="D6:D7"/>
    <mergeCell ref="E6:E7"/>
    <mergeCell ref="F6:F7"/>
    <mergeCell ref="G6:G7"/>
    <mergeCell ref="H6:H7"/>
    <mergeCell ref="U6:U7"/>
    <mergeCell ref="T6:T7"/>
    <mergeCell ref="J6:J7"/>
    <mergeCell ref="D4:H4"/>
    <mergeCell ref="I4:K4"/>
    <mergeCell ref="I5:K5"/>
    <mergeCell ref="L1:M1"/>
    <mergeCell ref="N1:O1"/>
    <mergeCell ref="B2:H2"/>
    <mergeCell ref="I2:J2"/>
    <mergeCell ref="BX2:CG2"/>
    <mergeCell ref="B3:C3"/>
    <mergeCell ref="D3:F3"/>
    <mergeCell ref="G3:H3"/>
    <mergeCell ref="I3:J3"/>
    <mergeCell ref="AD2:AE2"/>
    <mergeCell ref="AF2:AG2"/>
    <mergeCell ref="AM3:AN3"/>
    <mergeCell ref="AD1:AG1"/>
    <mergeCell ref="B4:C4"/>
    <mergeCell ref="AD4:AE4"/>
    <mergeCell ref="AJ5:AU5"/>
    <mergeCell ref="BE4:BF4"/>
    <mergeCell ref="B5:H5"/>
    <mergeCell ref="AK12:AN12"/>
    <mergeCell ref="EU5:EU6"/>
    <mergeCell ref="CU6:CV6"/>
    <mergeCell ref="DG6:DH6"/>
    <mergeCell ref="EG5:EL5"/>
    <mergeCell ref="DW6:DX6"/>
    <mergeCell ref="DU6:DV6"/>
    <mergeCell ref="ER5:ES6"/>
    <mergeCell ref="EM5:EO5"/>
    <mergeCell ref="BF9:BH9"/>
    <mergeCell ref="BF10:BH10"/>
    <mergeCell ref="AW8:AX8"/>
    <mergeCell ref="DI6:DJ6"/>
    <mergeCell ref="DT6:DT7"/>
    <mergeCell ref="DC6:DC7"/>
    <mergeCell ref="CN6:CN7"/>
    <mergeCell ref="CO6:CO7"/>
    <mergeCell ref="CS6:CT6"/>
    <mergeCell ref="BG7:BH7"/>
    <mergeCell ref="BE5:BF5"/>
    <mergeCell ref="BF6:BF7"/>
    <mergeCell ref="BV6:BW7"/>
    <mergeCell ref="CL6:CL7"/>
    <mergeCell ref="DF6:DF7"/>
    <mergeCell ref="B13:C13"/>
    <mergeCell ref="B37:C37"/>
    <mergeCell ref="B19:C19"/>
    <mergeCell ref="B31:C31"/>
    <mergeCell ref="B25:C25"/>
    <mergeCell ref="AL24:AL25"/>
    <mergeCell ref="AL32:AL34"/>
    <mergeCell ref="AK13:AK22"/>
    <mergeCell ref="AL36:AL38"/>
    <mergeCell ref="AL29:AL31"/>
    <mergeCell ref="AK23:AN23"/>
    <mergeCell ref="BE54:BH54"/>
    <mergeCell ref="BE57:BG57"/>
    <mergeCell ref="BE58:BG58"/>
    <mergeCell ref="BE59:BG59"/>
    <mergeCell ref="BE66:BG66"/>
    <mergeCell ref="BE61:BG61"/>
    <mergeCell ref="BE68:BH68"/>
    <mergeCell ref="BE62:BG62"/>
    <mergeCell ref="N89:O89"/>
    <mergeCell ref="N83:O83"/>
    <mergeCell ref="L86:O86"/>
    <mergeCell ref="L87:M87"/>
    <mergeCell ref="N87:O87"/>
    <mergeCell ref="B85:F85"/>
    <mergeCell ref="B82:H82"/>
    <mergeCell ref="B81:C81"/>
    <mergeCell ref="F81:G81"/>
    <mergeCell ref="E80:K80"/>
    <mergeCell ref="A42:A80"/>
    <mergeCell ref="B79:C79"/>
    <mergeCell ref="B80:D80"/>
    <mergeCell ref="B67:C67"/>
    <mergeCell ref="B43:C43"/>
    <mergeCell ref="B73:C73"/>
    <mergeCell ref="B55:C55"/>
    <mergeCell ref="B61:C61"/>
    <mergeCell ref="B49:C49"/>
    <mergeCell ref="H81:I81"/>
    <mergeCell ref="J81:K81"/>
  </mergeCells>
  <conditionalFormatting sqref="B83">
    <cfRule type="expression" dxfId="1916" priority="624" stopIfTrue="1">
      <formula>$Q$97=0</formula>
    </cfRule>
  </conditionalFormatting>
  <conditionalFormatting sqref="B13">
    <cfRule type="expression" dxfId="1915" priority="622" stopIfTrue="1">
      <formula>$B8=$B14</formula>
    </cfRule>
  </conditionalFormatting>
  <conditionalFormatting sqref="M13 O13">
    <cfRule type="expression" dxfId="1914" priority="609" stopIfTrue="1">
      <formula>$B8=$B14</formula>
    </cfRule>
  </conditionalFormatting>
  <conditionalFormatting sqref="M19 O19">
    <cfRule type="expression" dxfId="1913" priority="608" stopIfTrue="1">
      <formula>$B14=$B20</formula>
    </cfRule>
  </conditionalFormatting>
  <conditionalFormatting sqref="M25 O25">
    <cfRule type="expression" dxfId="1912" priority="607" stopIfTrue="1">
      <formula>$B20=$B26</formula>
    </cfRule>
  </conditionalFormatting>
  <conditionalFormatting sqref="M31 O31">
    <cfRule type="expression" dxfId="1911" priority="606" stopIfTrue="1">
      <formula>$B26=$B32</formula>
    </cfRule>
  </conditionalFormatting>
  <conditionalFormatting sqref="M37 O37">
    <cfRule type="expression" dxfId="1910" priority="605" stopIfTrue="1">
      <formula>$B32=$B38</formula>
    </cfRule>
  </conditionalFormatting>
  <conditionalFormatting sqref="M43 O43">
    <cfRule type="expression" dxfId="1909" priority="604" stopIfTrue="1">
      <formula>$B38=$B44</formula>
    </cfRule>
  </conditionalFormatting>
  <conditionalFormatting sqref="M49 O49">
    <cfRule type="expression" dxfId="1908" priority="603" stopIfTrue="1">
      <formula>$B44=$B50</formula>
    </cfRule>
  </conditionalFormatting>
  <conditionalFormatting sqref="M55 O55">
    <cfRule type="expression" dxfId="1907" priority="602" stopIfTrue="1">
      <formula>$B50=$B56</formula>
    </cfRule>
  </conditionalFormatting>
  <conditionalFormatting sqref="M61 O61">
    <cfRule type="expression" dxfId="1906" priority="601" stopIfTrue="1">
      <formula>$B56=$B62</formula>
    </cfRule>
  </conditionalFormatting>
  <conditionalFormatting sqref="L8:O12 L14:O18 M13 L20:O24 M19 L26:O30 M25 L32:O36 M31 L38:O42 M37 L44:O48 M43 L50:O54 M49 L56:O60 M55 L62:O66 M61 M67 O13 O19 O67 O61 O55 O49 O43 O37 O31 O25 M73 O73 M79 O79">
    <cfRule type="expression" dxfId="1905" priority="600" stopIfTrue="1">
      <formula>$BE$3=2</formula>
    </cfRule>
  </conditionalFormatting>
  <conditionalFormatting sqref="O81:O82">
    <cfRule type="expression" dxfId="1904" priority="596" stopIfTrue="1">
      <formula>$BE$3=2</formula>
    </cfRule>
  </conditionalFormatting>
  <conditionalFormatting sqref="M81:M82">
    <cfRule type="expression" dxfId="1903" priority="597" stopIfTrue="1">
      <formula>$BE$3=2</formula>
    </cfRule>
  </conditionalFormatting>
  <conditionalFormatting sqref="J13">
    <cfRule type="expression" dxfId="1902" priority="514" stopIfTrue="1">
      <formula>$B8=$B14</formula>
    </cfRule>
  </conditionalFormatting>
  <conditionalFormatting sqref="L68:O72">
    <cfRule type="expression" dxfId="1901" priority="593" stopIfTrue="1">
      <formula>$BE$3=2</formula>
    </cfRule>
  </conditionalFormatting>
  <conditionalFormatting sqref="L74:O78">
    <cfRule type="expression" dxfId="1900" priority="587" stopIfTrue="1">
      <formula>$BE$3=2</formula>
    </cfRule>
  </conditionalFormatting>
  <conditionalFormatting sqref="B79">
    <cfRule type="expression" dxfId="1899" priority="627" stopIfTrue="1">
      <formula>$B74=$B92</formula>
    </cfRule>
  </conditionalFormatting>
  <conditionalFormatting sqref="J13">
    <cfRule type="expression" dxfId="1898" priority="594" stopIfTrue="1">
      <formula>$M13=0</formula>
    </cfRule>
  </conditionalFormatting>
  <conditionalFormatting sqref="J19">
    <cfRule type="expression" dxfId="1897" priority="498" stopIfTrue="1">
      <formula>$B14=$B20</formula>
    </cfRule>
  </conditionalFormatting>
  <conditionalFormatting sqref="J19">
    <cfRule type="expression" dxfId="1896" priority="499" stopIfTrue="1">
      <formula>$M19=0</formula>
    </cfRule>
  </conditionalFormatting>
  <conditionalFormatting sqref="J25">
    <cfRule type="expression" dxfId="1895" priority="496" stopIfTrue="1">
      <formula>$B20=$B26</formula>
    </cfRule>
  </conditionalFormatting>
  <conditionalFormatting sqref="J25">
    <cfRule type="expression" dxfId="1894" priority="497" stopIfTrue="1">
      <formula>$M25=0</formula>
    </cfRule>
  </conditionalFormatting>
  <conditionalFormatting sqref="J31">
    <cfRule type="expression" dxfId="1893" priority="494" stopIfTrue="1">
      <formula>$B26=$B32</formula>
    </cfRule>
  </conditionalFormatting>
  <conditionalFormatting sqref="J31">
    <cfRule type="expression" dxfId="1892" priority="495" stopIfTrue="1">
      <formula>$M31=0</formula>
    </cfRule>
  </conditionalFormatting>
  <conditionalFormatting sqref="J37">
    <cfRule type="expression" dxfId="1891" priority="492" stopIfTrue="1">
      <formula>$B32=$B38</formula>
    </cfRule>
  </conditionalFormatting>
  <conditionalFormatting sqref="J37">
    <cfRule type="expression" dxfId="1890" priority="493" stopIfTrue="1">
      <formula>$M37=0</formula>
    </cfRule>
  </conditionalFormatting>
  <conditionalFormatting sqref="J43">
    <cfRule type="expression" dxfId="1889" priority="490" stopIfTrue="1">
      <formula>$B38=$B44</formula>
    </cfRule>
  </conditionalFormatting>
  <conditionalFormatting sqref="J43">
    <cfRule type="expression" dxfId="1888" priority="491" stopIfTrue="1">
      <formula>$M43=0</formula>
    </cfRule>
  </conditionalFormatting>
  <conditionalFormatting sqref="J49">
    <cfRule type="expression" dxfId="1887" priority="488" stopIfTrue="1">
      <formula>$B44=$B50</formula>
    </cfRule>
  </conditionalFormatting>
  <conditionalFormatting sqref="J49">
    <cfRule type="expression" dxfId="1886" priority="489" stopIfTrue="1">
      <formula>$M49=0</formula>
    </cfRule>
  </conditionalFormatting>
  <conditionalFormatting sqref="J55">
    <cfRule type="expression" dxfId="1885" priority="486" stopIfTrue="1">
      <formula>$B50=$B56</formula>
    </cfRule>
  </conditionalFormatting>
  <conditionalFormatting sqref="J55">
    <cfRule type="expression" dxfId="1884" priority="487" stopIfTrue="1">
      <formula>$M55=0</formula>
    </cfRule>
  </conditionalFormatting>
  <conditionalFormatting sqref="J61">
    <cfRule type="expression" dxfId="1883" priority="484" stopIfTrue="1">
      <formula>$B56=$B62</formula>
    </cfRule>
  </conditionalFormatting>
  <conditionalFormatting sqref="J61">
    <cfRule type="expression" dxfId="1882" priority="485" stopIfTrue="1">
      <formula>$M61=0</formula>
    </cfRule>
  </conditionalFormatting>
  <conditionalFormatting sqref="J67">
    <cfRule type="expression" dxfId="1881" priority="482" stopIfTrue="1">
      <formula>$B62=$B68</formula>
    </cfRule>
  </conditionalFormatting>
  <conditionalFormatting sqref="J67">
    <cfRule type="expression" dxfId="1880" priority="483" stopIfTrue="1">
      <formula>$M67=0</formula>
    </cfRule>
  </conditionalFormatting>
  <conditionalFormatting sqref="J73">
    <cfRule type="expression" dxfId="1879" priority="480" stopIfTrue="1">
      <formula>$B68=$B74</formula>
    </cfRule>
  </conditionalFormatting>
  <conditionalFormatting sqref="J73">
    <cfRule type="expression" dxfId="1878" priority="481" stopIfTrue="1">
      <formula>$M73=0</formula>
    </cfRule>
  </conditionalFormatting>
  <conditionalFormatting sqref="J79">
    <cfRule type="expression" dxfId="1877" priority="478" stopIfTrue="1">
      <formula>$B74=$B80</formula>
    </cfRule>
  </conditionalFormatting>
  <conditionalFormatting sqref="J79">
    <cfRule type="expression" dxfId="1876" priority="479" stopIfTrue="1">
      <formula>$M79=0</formula>
    </cfRule>
  </conditionalFormatting>
  <conditionalFormatting sqref="Q68:Q72">
    <cfRule type="expression" dxfId="1875" priority="457" stopIfTrue="1">
      <formula>$DE68&lt;&gt;""</formula>
    </cfRule>
    <cfRule type="expression" dxfId="1874" priority="458" stopIfTrue="1">
      <formula>$EU68=1</formula>
    </cfRule>
  </conditionalFormatting>
  <conditionalFormatting sqref="Q74:Q78">
    <cfRule type="expression" dxfId="1873" priority="455" stopIfTrue="1">
      <formula>$DE74&lt;&gt;""</formula>
    </cfRule>
    <cfRule type="expression" dxfId="1872" priority="456" stopIfTrue="1">
      <formula>$EU74=1</formula>
    </cfRule>
  </conditionalFormatting>
  <conditionalFormatting sqref="L88">
    <cfRule type="expression" dxfId="1871" priority="416" stopIfTrue="1">
      <formula>$L$90&lt;$L$92</formula>
    </cfRule>
  </conditionalFormatting>
  <conditionalFormatting sqref="N88">
    <cfRule type="expression" dxfId="1870" priority="415" stopIfTrue="1">
      <formula>$N$90&lt;$N$92</formula>
    </cfRule>
  </conditionalFormatting>
  <conditionalFormatting sqref="L90">
    <cfRule type="expression" dxfId="1869" priority="414" stopIfTrue="1">
      <formula>$L$90&lt;$L$92</formula>
    </cfRule>
  </conditionalFormatting>
  <conditionalFormatting sqref="N90">
    <cfRule type="expression" dxfId="1868" priority="413" stopIfTrue="1">
      <formula>$N$90&lt;$N$92</formula>
    </cfRule>
  </conditionalFormatting>
  <conditionalFormatting sqref="M90">
    <cfRule type="expression" dxfId="1867" priority="417" stopIfTrue="1">
      <formula>$M$90&lt;$L$92</formula>
    </cfRule>
  </conditionalFormatting>
  <conditionalFormatting sqref="O90">
    <cfRule type="expression" dxfId="1866" priority="418" stopIfTrue="1">
      <formula>$O$90&lt;$N$92</formula>
    </cfRule>
  </conditionalFormatting>
  <conditionalFormatting sqref="O88">
    <cfRule type="expression" dxfId="1865" priority="419" stopIfTrue="1">
      <formula>$O$90&lt;$N$92</formula>
    </cfRule>
  </conditionalFormatting>
  <conditionalFormatting sqref="M88">
    <cfRule type="expression" dxfId="1864" priority="420" stopIfTrue="1">
      <formula>$M$90&lt;$L$92</formula>
    </cfRule>
  </conditionalFormatting>
  <conditionalFormatting sqref="AD3">
    <cfRule type="expression" dxfId="1863" priority="407" stopIfTrue="1">
      <formula>$AD$5&lt;$AD$7</formula>
    </cfRule>
  </conditionalFormatting>
  <conditionalFormatting sqref="AF3">
    <cfRule type="expression" dxfId="1862" priority="406" stopIfTrue="1">
      <formula>$AF$5&lt;$AF$7</formula>
    </cfRule>
  </conditionalFormatting>
  <conditionalFormatting sqref="AG3">
    <cfRule type="expression" dxfId="1861" priority="410" stopIfTrue="1">
      <formula>$AG$5&lt;$AF$7</formula>
    </cfRule>
  </conditionalFormatting>
  <conditionalFormatting sqref="AE3">
    <cfRule type="expression" dxfId="1860" priority="411" stopIfTrue="1">
      <formula>$AE$5&lt;$AD$7</formula>
    </cfRule>
  </conditionalFormatting>
  <conditionalFormatting sqref="I90:K90">
    <cfRule type="expression" dxfId="1859" priority="403" stopIfTrue="1">
      <formula>$I$90="External Line Totals Not Reached"</formula>
    </cfRule>
  </conditionalFormatting>
  <conditionalFormatting sqref="B19">
    <cfRule type="expression" dxfId="1858" priority="402" stopIfTrue="1">
      <formula>$B14=$B20</formula>
    </cfRule>
  </conditionalFormatting>
  <conditionalFormatting sqref="B25">
    <cfRule type="expression" dxfId="1857" priority="401" stopIfTrue="1">
      <formula>$B20=$B26</formula>
    </cfRule>
  </conditionalFormatting>
  <conditionalFormatting sqref="B31">
    <cfRule type="expression" dxfId="1856" priority="400" stopIfTrue="1">
      <formula>$B26=$B32</formula>
    </cfRule>
  </conditionalFormatting>
  <conditionalFormatting sqref="B37">
    <cfRule type="expression" dxfId="1855" priority="399" stopIfTrue="1">
      <formula>$B32=$B38</formula>
    </cfRule>
  </conditionalFormatting>
  <conditionalFormatting sqref="B43">
    <cfRule type="expression" dxfId="1854" priority="398" stopIfTrue="1">
      <formula>$B38=$B44</formula>
    </cfRule>
  </conditionalFormatting>
  <conditionalFormatting sqref="B49">
    <cfRule type="expression" dxfId="1853" priority="397" stopIfTrue="1">
      <formula>$B44=$B50</formula>
    </cfRule>
  </conditionalFormatting>
  <conditionalFormatting sqref="B55">
    <cfRule type="expression" dxfId="1852" priority="396" stopIfTrue="1">
      <formula>$B50=$B56</formula>
    </cfRule>
  </conditionalFormatting>
  <conditionalFormatting sqref="B61">
    <cfRule type="expression" dxfId="1851" priority="395" stopIfTrue="1">
      <formula>$B56=$B62</formula>
    </cfRule>
  </conditionalFormatting>
  <conditionalFormatting sqref="B67">
    <cfRule type="expression" dxfId="1850" priority="394" stopIfTrue="1">
      <formula>$B62=$B68</formula>
    </cfRule>
  </conditionalFormatting>
  <conditionalFormatting sqref="B73">
    <cfRule type="expression" dxfId="1849" priority="393" stopIfTrue="1">
      <formula>$B68=$B74</formula>
    </cfRule>
  </conditionalFormatting>
  <conditionalFormatting sqref="H36">
    <cfRule type="expression" dxfId="1848" priority="333" stopIfTrue="1">
      <formula>$ES36="Changed"</formula>
    </cfRule>
  </conditionalFormatting>
  <conditionalFormatting sqref="H39">
    <cfRule type="expression" dxfId="1847" priority="335" stopIfTrue="1">
      <formula>$ES39="Changed"</formula>
    </cfRule>
  </conditionalFormatting>
  <conditionalFormatting sqref="H34">
    <cfRule type="expression" dxfId="1846" priority="331" stopIfTrue="1">
      <formula>$ES34="Changed"</formula>
    </cfRule>
  </conditionalFormatting>
  <conditionalFormatting sqref="H48">
    <cfRule type="expression" dxfId="1845" priority="339" stopIfTrue="1">
      <formula>$ES48="Changed"</formula>
    </cfRule>
  </conditionalFormatting>
  <conditionalFormatting sqref="H42">
    <cfRule type="expression" dxfId="1844" priority="338" stopIfTrue="1">
      <formula>$ES42="Changed"</formula>
    </cfRule>
  </conditionalFormatting>
  <conditionalFormatting sqref="H41">
    <cfRule type="expression" dxfId="1843" priority="337" stopIfTrue="1">
      <formula>$ES41="Changed"</formula>
    </cfRule>
  </conditionalFormatting>
  <conditionalFormatting sqref="H40">
    <cfRule type="expression" dxfId="1842" priority="336" stopIfTrue="1">
      <formula>$ES40="Changed"</formula>
    </cfRule>
  </conditionalFormatting>
  <conditionalFormatting sqref="H38">
    <cfRule type="expression" dxfId="1841" priority="334" stopIfTrue="1">
      <formula>$ES38="Changed"</formula>
    </cfRule>
  </conditionalFormatting>
  <conditionalFormatting sqref="H35">
    <cfRule type="expression" dxfId="1840" priority="332" stopIfTrue="1">
      <formula>$ES35="Changed"</formula>
    </cfRule>
  </conditionalFormatting>
  <conditionalFormatting sqref="H33">
    <cfRule type="expression" dxfId="1839" priority="330" stopIfTrue="1">
      <formula>$ES33="Changed"</formula>
    </cfRule>
  </conditionalFormatting>
  <conditionalFormatting sqref="H32">
    <cfRule type="expression" dxfId="1838" priority="329" stopIfTrue="1">
      <formula>$ES32="Changed"</formula>
    </cfRule>
  </conditionalFormatting>
  <conditionalFormatting sqref="H30">
    <cfRule type="expression" dxfId="1837" priority="328" stopIfTrue="1">
      <formula>$ES30="Changed"</formula>
    </cfRule>
  </conditionalFormatting>
  <conditionalFormatting sqref="H29">
    <cfRule type="expression" dxfId="1836" priority="327" stopIfTrue="1">
      <formula>$ES29="Changed"</formula>
    </cfRule>
  </conditionalFormatting>
  <conditionalFormatting sqref="H28">
    <cfRule type="expression" dxfId="1835" priority="326" stopIfTrue="1">
      <formula>$ES28="Changed"</formula>
    </cfRule>
  </conditionalFormatting>
  <conditionalFormatting sqref="H27">
    <cfRule type="expression" dxfId="1834" priority="325" stopIfTrue="1">
      <formula>$ES27="Changed"</formula>
    </cfRule>
  </conditionalFormatting>
  <conditionalFormatting sqref="H26">
    <cfRule type="expression" dxfId="1833" priority="324" stopIfTrue="1">
      <formula>$ES26="Changed"</formula>
    </cfRule>
  </conditionalFormatting>
  <conditionalFormatting sqref="H24">
    <cfRule type="expression" dxfId="1832" priority="323" stopIfTrue="1">
      <formula>$ES24="Changed"</formula>
    </cfRule>
  </conditionalFormatting>
  <conditionalFormatting sqref="H23">
    <cfRule type="expression" dxfId="1831" priority="322" stopIfTrue="1">
      <formula>$ES23="Changed"</formula>
    </cfRule>
  </conditionalFormatting>
  <conditionalFormatting sqref="H22">
    <cfRule type="expression" dxfId="1830" priority="321" stopIfTrue="1">
      <formula>$ES22="Changed"</formula>
    </cfRule>
  </conditionalFormatting>
  <conditionalFormatting sqref="H21">
    <cfRule type="expression" dxfId="1829" priority="320" stopIfTrue="1">
      <formula>$ES21="Changed"</formula>
    </cfRule>
  </conditionalFormatting>
  <conditionalFormatting sqref="H20">
    <cfRule type="expression" dxfId="1828" priority="319" stopIfTrue="1">
      <formula>$ES20="Changed"</formula>
    </cfRule>
  </conditionalFormatting>
  <conditionalFormatting sqref="H18">
    <cfRule type="expression" dxfId="1827" priority="318" stopIfTrue="1">
      <formula>$ES18="Changed"</formula>
    </cfRule>
  </conditionalFormatting>
  <conditionalFormatting sqref="H17">
    <cfRule type="expression" dxfId="1826" priority="317" stopIfTrue="1">
      <formula>$ES17="Changed"</formula>
    </cfRule>
  </conditionalFormatting>
  <conditionalFormatting sqref="H16">
    <cfRule type="expression" dxfId="1825" priority="316" stopIfTrue="1">
      <formula>$ES16="Changed"</formula>
    </cfRule>
  </conditionalFormatting>
  <conditionalFormatting sqref="H15">
    <cfRule type="expression" dxfId="1824" priority="315" stopIfTrue="1">
      <formula>$ES15="Changed"</formula>
    </cfRule>
  </conditionalFormatting>
  <conditionalFormatting sqref="H14">
    <cfRule type="expression" dxfId="1823" priority="314" stopIfTrue="1">
      <formula>$ES14="Changed"</formula>
    </cfRule>
  </conditionalFormatting>
  <conditionalFormatting sqref="H12">
    <cfRule type="expression" dxfId="1822" priority="313" stopIfTrue="1">
      <formula>$ES12="Changed"</formula>
    </cfRule>
  </conditionalFormatting>
  <conditionalFormatting sqref="H11">
    <cfRule type="expression" dxfId="1821" priority="312" stopIfTrue="1">
      <formula>$ES11="Changed"</formula>
    </cfRule>
  </conditionalFormatting>
  <conditionalFormatting sqref="H10">
    <cfRule type="expression" dxfId="1820" priority="311" stopIfTrue="1">
      <formula>$ES10="Changed"</formula>
    </cfRule>
  </conditionalFormatting>
  <conditionalFormatting sqref="H9">
    <cfRule type="expression" dxfId="1819" priority="310" stopIfTrue="1">
      <formula>$ES9="Changed"</formula>
    </cfRule>
  </conditionalFormatting>
  <conditionalFormatting sqref="H8">
    <cfRule type="expression" dxfId="1818" priority="309" stopIfTrue="1">
      <formula>$ES8="Changed"</formula>
    </cfRule>
  </conditionalFormatting>
  <conditionalFormatting sqref="H47">
    <cfRule type="expression" dxfId="1817" priority="308" stopIfTrue="1">
      <formula>$ES47="Changed"</formula>
    </cfRule>
  </conditionalFormatting>
  <conditionalFormatting sqref="H46">
    <cfRule type="expression" dxfId="1816" priority="307" stopIfTrue="1">
      <formula>$ES46="Changed"</formula>
    </cfRule>
  </conditionalFormatting>
  <conditionalFormatting sqref="H45">
    <cfRule type="expression" dxfId="1815" priority="306" stopIfTrue="1">
      <formula>$ES45="Changed"</formula>
    </cfRule>
  </conditionalFormatting>
  <conditionalFormatting sqref="H44">
    <cfRule type="expression" dxfId="1814" priority="305" stopIfTrue="1">
      <formula>$ES44="Changed"</formula>
    </cfRule>
  </conditionalFormatting>
  <conditionalFormatting sqref="H54">
    <cfRule type="expression" dxfId="1813" priority="304" stopIfTrue="1">
      <formula>$ES54="Changed"</formula>
    </cfRule>
  </conditionalFormatting>
  <conditionalFormatting sqref="H53">
    <cfRule type="expression" dxfId="1812" priority="303" stopIfTrue="1">
      <formula>$ES53="Changed"</formula>
    </cfRule>
  </conditionalFormatting>
  <conditionalFormatting sqref="H52">
    <cfRule type="expression" dxfId="1811" priority="302" stopIfTrue="1">
      <formula>$ES52="Changed"</formula>
    </cfRule>
  </conditionalFormatting>
  <conditionalFormatting sqref="H51">
    <cfRule type="expression" dxfId="1810" priority="301" stopIfTrue="1">
      <formula>$ES51="Changed"</formula>
    </cfRule>
  </conditionalFormatting>
  <conditionalFormatting sqref="H50">
    <cfRule type="expression" dxfId="1809" priority="300" stopIfTrue="1">
      <formula>$ES50="Changed"</formula>
    </cfRule>
  </conditionalFormatting>
  <conditionalFormatting sqref="H60">
    <cfRule type="expression" dxfId="1808" priority="299" stopIfTrue="1">
      <formula>$ES60="Changed"</formula>
    </cfRule>
  </conditionalFormatting>
  <conditionalFormatting sqref="H59">
    <cfRule type="expression" dxfId="1807" priority="298" stopIfTrue="1">
      <formula>$ES59="Changed"</formula>
    </cfRule>
  </conditionalFormatting>
  <conditionalFormatting sqref="H58">
    <cfRule type="expression" dxfId="1806" priority="297" stopIfTrue="1">
      <formula>$ES58="Changed"</formula>
    </cfRule>
  </conditionalFormatting>
  <conditionalFormatting sqref="H57">
    <cfRule type="expression" dxfId="1805" priority="296" stopIfTrue="1">
      <formula>$ES57="Changed"</formula>
    </cfRule>
  </conditionalFormatting>
  <conditionalFormatting sqref="H56">
    <cfRule type="expression" dxfId="1804" priority="295" stopIfTrue="1">
      <formula>$ES56="Changed"</formula>
    </cfRule>
  </conditionalFormatting>
  <conditionalFormatting sqref="H66">
    <cfRule type="expression" dxfId="1803" priority="294" stopIfTrue="1">
      <formula>$ES66="Changed"</formula>
    </cfRule>
  </conditionalFormatting>
  <conditionalFormatting sqref="H65">
    <cfRule type="expression" dxfId="1802" priority="293" stopIfTrue="1">
      <formula>$ES65="Changed"</formula>
    </cfRule>
  </conditionalFormatting>
  <conditionalFormatting sqref="H64">
    <cfRule type="expression" dxfId="1801" priority="292" stopIfTrue="1">
      <formula>$ES64="Changed"</formula>
    </cfRule>
  </conditionalFormatting>
  <conditionalFormatting sqref="H63">
    <cfRule type="expression" dxfId="1800" priority="291" stopIfTrue="1">
      <formula>$ES63="Changed"</formula>
    </cfRule>
  </conditionalFormatting>
  <conditionalFormatting sqref="H62">
    <cfRule type="expression" dxfId="1799" priority="290" stopIfTrue="1">
      <formula>$ES62="Changed"</formula>
    </cfRule>
  </conditionalFormatting>
  <conditionalFormatting sqref="H72">
    <cfRule type="expression" dxfId="1798" priority="289" stopIfTrue="1">
      <formula>$ES72="Changed"</formula>
    </cfRule>
  </conditionalFormatting>
  <conditionalFormatting sqref="H71">
    <cfRule type="expression" dxfId="1797" priority="288" stopIfTrue="1">
      <formula>$ES71="Changed"</formula>
    </cfRule>
  </conditionalFormatting>
  <conditionalFormatting sqref="H70">
    <cfRule type="expression" dxfId="1796" priority="287" stopIfTrue="1">
      <formula>$ES70="Changed"</formula>
    </cfRule>
  </conditionalFormatting>
  <conditionalFormatting sqref="H69">
    <cfRule type="expression" dxfId="1795" priority="286" stopIfTrue="1">
      <formula>$ES69="Changed"</formula>
    </cfRule>
  </conditionalFormatting>
  <conditionalFormatting sqref="H68">
    <cfRule type="expression" dxfId="1794" priority="285" stopIfTrue="1">
      <formula>$ES68="Changed"</formula>
    </cfRule>
  </conditionalFormatting>
  <conditionalFormatting sqref="H78">
    <cfRule type="expression" dxfId="1793" priority="284" stopIfTrue="1">
      <formula>$ES78="Changed"</formula>
    </cfRule>
  </conditionalFormatting>
  <conditionalFormatting sqref="H77">
    <cfRule type="expression" dxfId="1792" priority="283" stopIfTrue="1">
      <formula>$ES77="Changed"</formula>
    </cfRule>
  </conditionalFormatting>
  <conditionalFormatting sqref="H76">
    <cfRule type="expression" dxfId="1791" priority="282" stopIfTrue="1">
      <formula>$ES76="Changed"</formula>
    </cfRule>
  </conditionalFormatting>
  <conditionalFormatting sqref="H75">
    <cfRule type="expression" dxfId="1790" priority="281" stopIfTrue="1">
      <formula>$ES75="Changed"</formula>
    </cfRule>
  </conditionalFormatting>
  <conditionalFormatting sqref="H74">
    <cfRule type="expression" dxfId="1789" priority="280" stopIfTrue="1">
      <formula>$ES74="Changed"</formula>
    </cfRule>
  </conditionalFormatting>
  <conditionalFormatting sqref="K19">
    <cfRule type="expression" dxfId="1788" priority="279" stopIfTrue="1">
      <formula>$B14=$B20</formula>
    </cfRule>
  </conditionalFormatting>
  <conditionalFormatting sqref="K13">
    <cfRule type="expression" dxfId="1787" priority="277" stopIfTrue="1">
      <formula>$B8=$B14</formula>
    </cfRule>
  </conditionalFormatting>
  <conditionalFormatting sqref="K45:K48">
    <cfRule type="expression" dxfId="1786" priority="278" stopIfTrue="1">
      <formula>$EM45="Error"</formula>
    </cfRule>
  </conditionalFormatting>
  <conditionalFormatting sqref="K44">
    <cfRule type="expression" dxfId="1785" priority="276" stopIfTrue="1">
      <formula>$EM44="Error"</formula>
    </cfRule>
  </conditionalFormatting>
  <conditionalFormatting sqref="K42">
    <cfRule type="expression" dxfId="1784" priority="275" stopIfTrue="1">
      <formula>$EM42="Error"</formula>
    </cfRule>
  </conditionalFormatting>
  <conditionalFormatting sqref="K41">
    <cfRule type="expression" dxfId="1783" priority="274" stopIfTrue="1">
      <formula>$EM41="Error"</formula>
    </cfRule>
  </conditionalFormatting>
  <conditionalFormatting sqref="K40">
    <cfRule type="expression" dxfId="1782" priority="273" stopIfTrue="1">
      <formula>$EM40="Error"</formula>
    </cfRule>
  </conditionalFormatting>
  <conditionalFormatting sqref="K39">
    <cfRule type="expression" dxfId="1781" priority="272" stopIfTrue="1">
      <formula>$EM39="Error"</formula>
    </cfRule>
  </conditionalFormatting>
  <conditionalFormatting sqref="K38">
    <cfRule type="expression" dxfId="1780" priority="271" stopIfTrue="1">
      <formula>$EM38="Error"</formula>
    </cfRule>
  </conditionalFormatting>
  <conditionalFormatting sqref="K36">
    <cfRule type="expression" dxfId="1779" priority="270" stopIfTrue="1">
      <formula>$EM36="Error"</formula>
    </cfRule>
  </conditionalFormatting>
  <conditionalFormatting sqref="K35">
    <cfRule type="expression" dxfId="1778" priority="269" stopIfTrue="1">
      <formula>$EM35="Error"</formula>
    </cfRule>
  </conditionalFormatting>
  <conditionalFormatting sqref="K34">
    <cfRule type="expression" dxfId="1777" priority="268" stopIfTrue="1">
      <formula>$EM34="Error"</formula>
    </cfRule>
  </conditionalFormatting>
  <conditionalFormatting sqref="K33">
    <cfRule type="expression" dxfId="1776" priority="267" stopIfTrue="1">
      <formula>$EM33="Error"</formula>
    </cfRule>
  </conditionalFormatting>
  <conditionalFormatting sqref="K32">
    <cfRule type="expression" dxfId="1775" priority="266" stopIfTrue="1">
      <formula>$EM32="Error"</formula>
    </cfRule>
  </conditionalFormatting>
  <conditionalFormatting sqref="K30">
    <cfRule type="expression" dxfId="1774" priority="265" stopIfTrue="1">
      <formula>$EM30="Error"</formula>
    </cfRule>
  </conditionalFormatting>
  <conditionalFormatting sqref="K29">
    <cfRule type="expression" dxfId="1773" priority="264" stopIfTrue="1">
      <formula>$EM29="Error"</formula>
    </cfRule>
  </conditionalFormatting>
  <conditionalFormatting sqref="K28">
    <cfRule type="expression" dxfId="1772" priority="263" stopIfTrue="1">
      <formula>$EM28="Error"</formula>
    </cfRule>
  </conditionalFormatting>
  <conditionalFormatting sqref="K27">
    <cfRule type="expression" dxfId="1771" priority="262" stopIfTrue="1">
      <formula>$EM27="Error"</formula>
    </cfRule>
  </conditionalFormatting>
  <conditionalFormatting sqref="K26">
    <cfRule type="expression" dxfId="1770" priority="261" stopIfTrue="1">
      <formula>$EM26="Error"</formula>
    </cfRule>
  </conditionalFormatting>
  <conditionalFormatting sqref="K24">
    <cfRule type="expression" dxfId="1769" priority="260" stopIfTrue="1">
      <formula>$EM24="Error"</formula>
    </cfRule>
  </conditionalFormatting>
  <conditionalFormatting sqref="K23">
    <cfRule type="expression" dxfId="1768" priority="259" stopIfTrue="1">
      <formula>$EM23="Error"</formula>
    </cfRule>
  </conditionalFormatting>
  <conditionalFormatting sqref="K22">
    <cfRule type="expression" dxfId="1767" priority="258" stopIfTrue="1">
      <formula>$EM22="Error"</formula>
    </cfRule>
  </conditionalFormatting>
  <conditionalFormatting sqref="K21">
    <cfRule type="expression" dxfId="1766" priority="257" stopIfTrue="1">
      <formula>$EM21="Error"</formula>
    </cfRule>
  </conditionalFormatting>
  <conditionalFormatting sqref="K20">
    <cfRule type="expression" dxfId="1765" priority="256" stopIfTrue="1">
      <formula>$EM20="Error"</formula>
    </cfRule>
  </conditionalFormatting>
  <conditionalFormatting sqref="K18">
    <cfRule type="expression" dxfId="1764" priority="255" stopIfTrue="1">
      <formula>$EM18="Error"</formula>
    </cfRule>
  </conditionalFormatting>
  <conditionalFormatting sqref="K17">
    <cfRule type="expression" dxfId="1763" priority="254" stopIfTrue="1">
      <formula>$EM17="Error"</formula>
    </cfRule>
  </conditionalFormatting>
  <conditionalFormatting sqref="K16">
    <cfRule type="expression" dxfId="1762" priority="253" stopIfTrue="1">
      <formula>$EM16="Error"</formula>
    </cfRule>
  </conditionalFormatting>
  <conditionalFormatting sqref="K15">
    <cfRule type="expression" dxfId="1761" priority="252" stopIfTrue="1">
      <formula>$EM15="Error"</formula>
    </cfRule>
  </conditionalFormatting>
  <conditionalFormatting sqref="K14">
    <cfRule type="expression" dxfId="1760" priority="251" stopIfTrue="1">
      <formula>$EM14="Error"</formula>
    </cfRule>
  </conditionalFormatting>
  <conditionalFormatting sqref="K12">
    <cfRule type="expression" dxfId="1759" priority="250" stopIfTrue="1">
      <formula>$EM12="Error"</formula>
    </cfRule>
  </conditionalFormatting>
  <conditionalFormatting sqref="K8">
    <cfRule type="expression" dxfId="1758" priority="246" stopIfTrue="1">
      <formula>$EM8="Error"</formula>
    </cfRule>
  </conditionalFormatting>
  <conditionalFormatting sqref="K11">
    <cfRule type="expression" dxfId="1757" priority="249" stopIfTrue="1">
      <formula>$EM11="Error"</formula>
    </cfRule>
  </conditionalFormatting>
  <conditionalFormatting sqref="K10">
    <cfRule type="expression" dxfId="1756" priority="248" stopIfTrue="1">
      <formula>$EM10="Error"</formula>
    </cfRule>
  </conditionalFormatting>
  <conditionalFormatting sqref="K9">
    <cfRule type="expression" dxfId="1755" priority="247" stopIfTrue="1">
      <formula>$EM9="Error"</formula>
    </cfRule>
  </conditionalFormatting>
  <conditionalFormatting sqref="K51:K54">
    <cfRule type="expression" dxfId="1754" priority="245" stopIfTrue="1">
      <formula>$EM51="Error"</formula>
    </cfRule>
  </conditionalFormatting>
  <conditionalFormatting sqref="K50">
    <cfRule type="expression" dxfId="1753" priority="244" stopIfTrue="1">
      <formula>$EM50="Error"</formula>
    </cfRule>
  </conditionalFormatting>
  <conditionalFormatting sqref="K57:K60">
    <cfRule type="expression" dxfId="1752" priority="243" stopIfTrue="1">
      <formula>$EM57="Error"</formula>
    </cfRule>
  </conditionalFormatting>
  <conditionalFormatting sqref="K56">
    <cfRule type="expression" dxfId="1751" priority="242" stopIfTrue="1">
      <formula>$EM56="Error"</formula>
    </cfRule>
  </conditionalFormatting>
  <conditionalFormatting sqref="K63:K66">
    <cfRule type="expression" dxfId="1750" priority="241" stopIfTrue="1">
      <formula>$EM63="Error"</formula>
    </cfRule>
  </conditionalFormatting>
  <conditionalFormatting sqref="K62">
    <cfRule type="expression" dxfId="1749" priority="240" stopIfTrue="1">
      <formula>$EM62="Error"</formula>
    </cfRule>
  </conditionalFormatting>
  <conditionalFormatting sqref="K69:K72">
    <cfRule type="expression" dxfId="1748" priority="239" stopIfTrue="1">
      <formula>$EM69="Error"</formula>
    </cfRule>
  </conditionalFormatting>
  <conditionalFormatting sqref="K68">
    <cfRule type="expression" dxfId="1747" priority="238" stopIfTrue="1">
      <formula>$EM68="Error"</formula>
    </cfRule>
  </conditionalFormatting>
  <conditionalFormatting sqref="K75:K78">
    <cfRule type="expression" dxfId="1746" priority="237" stopIfTrue="1">
      <formula>$EM75="Error"</formula>
    </cfRule>
  </conditionalFormatting>
  <conditionalFormatting sqref="K74">
    <cfRule type="expression" dxfId="1745" priority="236" stopIfTrue="1">
      <formula>$EM74="Error"</formula>
    </cfRule>
  </conditionalFormatting>
  <conditionalFormatting sqref="AU67">
    <cfRule type="expression" dxfId="1744" priority="218">
      <formula>$AK67="E"</formula>
    </cfRule>
  </conditionalFormatting>
  <conditionalFormatting sqref="AU57">
    <cfRule type="expression" dxfId="1743" priority="228">
      <formula>$AK57="E"</formula>
    </cfRule>
  </conditionalFormatting>
  <conditionalFormatting sqref="AU58">
    <cfRule type="expression" dxfId="1742" priority="227">
      <formula>$AK58="E"</formula>
    </cfRule>
  </conditionalFormatting>
  <conditionalFormatting sqref="AU59">
    <cfRule type="expression" dxfId="1741" priority="226">
      <formula>$AK59="E"</formula>
    </cfRule>
  </conditionalFormatting>
  <conditionalFormatting sqref="AU60">
    <cfRule type="expression" dxfId="1740" priority="225">
      <formula>$AK60="E"</formula>
    </cfRule>
  </conditionalFormatting>
  <conditionalFormatting sqref="AU61">
    <cfRule type="expression" dxfId="1739" priority="224">
      <formula>$AK61="E"</formula>
    </cfRule>
  </conditionalFormatting>
  <conditionalFormatting sqref="AU62">
    <cfRule type="expression" dxfId="1738" priority="223">
      <formula>$AK62="E"</formula>
    </cfRule>
  </conditionalFormatting>
  <conditionalFormatting sqref="AU63">
    <cfRule type="expression" dxfId="1737" priority="222">
      <formula>$AK63="E"</formula>
    </cfRule>
  </conditionalFormatting>
  <conditionalFormatting sqref="AU64">
    <cfRule type="expression" dxfId="1736" priority="221">
      <formula>$AK64="E"</formula>
    </cfRule>
  </conditionalFormatting>
  <conditionalFormatting sqref="AU65">
    <cfRule type="expression" dxfId="1735" priority="220">
      <formula>$AK65="E"</formula>
    </cfRule>
  </conditionalFormatting>
  <conditionalFormatting sqref="AU66">
    <cfRule type="expression" dxfId="1734" priority="219">
      <formula>$AK66="E"</formula>
    </cfRule>
  </conditionalFormatting>
  <conditionalFormatting sqref="AN48:AP67">
    <cfRule type="expression" dxfId="1733" priority="235" stopIfTrue="1">
      <formula>$BD$3=2</formula>
    </cfRule>
  </conditionalFormatting>
  <conditionalFormatting sqref="AJ3">
    <cfRule type="expression" dxfId="1732" priority="234" stopIfTrue="1">
      <formula>$L$88&lt;$L$89</formula>
    </cfRule>
  </conditionalFormatting>
  <conditionalFormatting sqref="AK3">
    <cfRule type="expression" dxfId="1731" priority="233" stopIfTrue="1">
      <formula>$AE$3&lt;$AD$4</formula>
    </cfRule>
  </conditionalFormatting>
  <conditionalFormatting sqref="AL3">
    <cfRule type="expression" dxfId="1730" priority="232" stopIfTrue="1">
      <formula>$N$88&lt;$N$89</formula>
    </cfRule>
  </conditionalFormatting>
  <conditionalFormatting sqref="AK2">
    <cfRule type="expression" dxfId="1729" priority="231" stopIfTrue="1">
      <formula>$AE$3&lt;$AD$4</formula>
    </cfRule>
  </conditionalFormatting>
  <conditionalFormatting sqref="AJ2">
    <cfRule type="expression" dxfId="1728" priority="230" stopIfTrue="1">
      <formula>$L$88&lt;$L$89</formula>
    </cfRule>
  </conditionalFormatting>
  <conditionalFormatting sqref="AL2">
    <cfRule type="expression" dxfId="1727" priority="229" stopIfTrue="1">
      <formula>$N$88&lt;$N$89</formula>
    </cfRule>
  </conditionalFormatting>
  <conditionalFormatting sqref="I3:J3">
    <cfRule type="expression" dxfId="1726" priority="212" stopIfTrue="1">
      <formula>$BG$5="Yes"</formula>
    </cfRule>
  </conditionalFormatting>
  <conditionalFormatting sqref="L4:L5 N4:N5 O2:O3 M2:M3">
    <cfRule type="expression" dxfId="1725" priority="211" stopIfTrue="1">
      <formula>$BE$3=1</formula>
    </cfRule>
  </conditionalFormatting>
  <conditionalFormatting sqref="AD5">
    <cfRule type="expression" dxfId="1724" priority="208" stopIfTrue="1">
      <formula>$AD$5&lt;$AD$7</formula>
    </cfRule>
  </conditionalFormatting>
  <conditionalFormatting sqref="AF5">
    <cfRule type="expression" dxfId="1723" priority="207" stopIfTrue="1">
      <formula>$AF$5&lt;$AF$7</formula>
    </cfRule>
  </conditionalFormatting>
  <conditionalFormatting sqref="AE5">
    <cfRule type="expression" dxfId="1722" priority="209" stopIfTrue="1">
      <formula>$AE$5&lt;$AD$7</formula>
    </cfRule>
  </conditionalFormatting>
  <conditionalFormatting sqref="AG5">
    <cfRule type="expression" dxfId="1721" priority="210" stopIfTrue="1">
      <formula>$AG$5&lt;$AF$7</formula>
    </cfRule>
  </conditionalFormatting>
  <conditionalFormatting sqref="AN36:AP41 AN13:AP22 AN24:AP34">
    <cfRule type="expression" dxfId="1720" priority="206" stopIfTrue="1">
      <formula>$BD$3=2</formula>
    </cfRule>
  </conditionalFormatting>
  <conditionalFormatting sqref="Q8">
    <cfRule type="expression" dxfId="1719" priority="204" stopIfTrue="1">
      <formula>$DE8&lt;&gt;""</formula>
    </cfRule>
    <cfRule type="expression" dxfId="1718" priority="205" stopIfTrue="1">
      <formula>$EU8=1</formula>
    </cfRule>
  </conditionalFormatting>
  <conditionalFormatting sqref="Q9">
    <cfRule type="expression" dxfId="1717" priority="202" stopIfTrue="1">
      <formula>$DE9&lt;&gt;""</formula>
    </cfRule>
    <cfRule type="expression" dxfId="1716" priority="203" stopIfTrue="1">
      <formula>$EU9=1</formula>
    </cfRule>
  </conditionalFormatting>
  <conditionalFormatting sqref="Q10">
    <cfRule type="expression" dxfId="1715" priority="200" stopIfTrue="1">
      <formula>$DE10&lt;&gt;""</formula>
    </cfRule>
    <cfRule type="expression" dxfId="1714" priority="201" stopIfTrue="1">
      <formula>$EU10=1</formula>
    </cfRule>
  </conditionalFormatting>
  <conditionalFormatting sqref="Q11">
    <cfRule type="expression" dxfId="1713" priority="198" stopIfTrue="1">
      <formula>$DE11&lt;&gt;""</formula>
    </cfRule>
    <cfRule type="expression" dxfId="1712" priority="199" stopIfTrue="1">
      <formula>$EU11=1</formula>
    </cfRule>
  </conditionalFormatting>
  <conditionalFormatting sqref="Q12">
    <cfRule type="expression" dxfId="1711" priority="196" stopIfTrue="1">
      <formula>$DE12&lt;&gt;""</formula>
    </cfRule>
    <cfRule type="expression" dxfId="1710" priority="197" stopIfTrue="1">
      <formula>$EU12=1</formula>
    </cfRule>
  </conditionalFormatting>
  <conditionalFormatting sqref="Q14">
    <cfRule type="expression" dxfId="1709" priority="194" stopIfTrue="1">
      <formula>$DE14&lt;&gt;""</formula>
    </cfRule>
    <cfRule type="expression" dxfId="1708" priority="195" stopIfTrue="1">
      <formula>$EU14=1</formula>
    </cfRule>
  </conditionalFormatting>
  <conditionalFormatting sqref="Q15">
    <cfRule type="expression" dxfId="1707" priority="192" stopIfTrue="1">
      <formula>$DE15&lt;&gt;""</formula>
    </cfRule>
    <cfRule type="expression" dxfId="1706" priority="193" stopIfTrue="1">
      <formula>$EU15=1</formula>
    </cfRule>
  </conditionalFormatting>
  <conditionalFormatting sqref="Q16">
    <cfRule type="expression" dxfId="1705" priority="190" stopIfTrue="1">
      <formula>$DE16&lt;&gt;""</formula>
    </cfRule>
    <cfRule type="expression" dxfId="1704" priority="191" stopIfTrue="1">
      <formula>$EU16=1</formula>
    </cfRule>
  </conditionalFormatting>
  <conditionalFormatting sqref="Q17">
    <cfRule type="expression" dxfId="1703" priority="188" stopIfTrue="1">
      <formula>$DE17&lt;&gt;""</formula>
    </cfRule>
    <cfRule type="expression" dxfId="1702" priority="189" stopIfTrue="1">
      <formula>$EU17=1</formula>
    </cfRule>
  </conditionalFormatting>
  <conditionalFormatting sqref="Q18">
    <cfRule type="expression" dxfId="1701" priority="186" stopIfTrue="1">
      <formula>$DE18&lt;&gt;""</formula>
    </cfRule>
    <cfRule type="expression" dxfId="1700" priority="187" stopIfTrue="1">
      <formula>$EU18=1</formula>
    </cfRule>
  </conditionalFormatting>
  <conditionalFormatting sqref="Q20">
    <cfRule type="expression" dxfId="1699" priority="184" stopIfTrue="1">
      <formula>$DE20&lt;&gt;""</formula>
    </cfRule>
    <cfRule type="expression" dxfId="1698" priority="185" stopIfTrue="1">
      <formula>$EU20=1</formula>
    </cfRule>
  </conditionalFormatting>
  <conditionalFormatting sqref="Q21">
    <cfRule type="expression" dxfId="1697" priority="182" stopIfTrue="1">
      <formula>$DE21&lt;&gt;""</formula>
    </cfRule>
    <cfRule type="expression" dxfId="1696" priority="183" stopIfTrue="1">
      <formula>$EU21=1</formula>
    </cfRule>
  </conditionalFormatting>
  <conditionalFormatting sqref="Q22">
    <cfRule type="expression" dxfId="1695" priority="180" stopIfTrue="1">
      <formula>$DE22&lt;&gt;""</formula>
    </cfRule>
    <cfRule type="expression" dxfId="1694" priority="181" stopIfTrue="1">
      <formula>$EU22=1</formula>
    </cfRule>
  </conditionalFormatting>
  <conditionalFormatting sqref="Q23">
    <cfRule type="expression" dxfId="1693" priority="178" stopIfTrue="1">
      <formula>$DE23&lt;&gt;""</formula>
    </cfRule>
    <cfRule type="expression" dxfId="1692" priority="179" stopIfTrue="1">
      <formula>$EU23=1</formula>
    </cfRule>
  </conditionalFormatting>
  <conditionalFormatting sqref="Q24">
    <cfRule type="expression" dxfId="1691" priority="176" stopIfTrue="1">
      <formula>$DE24&lt;&gt;""</formula>
    </cfRule>
    <cfRule type="expression" dxfId="1690" priority="177" stopIfTrue="1">
      <formula>$EU24=1</formula>
    </cfRule>
  </conditionalFormatting>
  <conditionalFormatting sqref="Q26">
    <cfRule type="expression" dxfId="1689" priority="174" stopIfTrue="1">
      <formula>$DE26&lt;&gt;""</formula>
    </cfRule>
    <cfRule type="expression" dxfId="1688" priority="175" stopIfTrue="1">
      <formula>$EU26=1</formula>
    </cfRule>
  </conditionalFormatting>
  <conditionalFormatting sqref="Q27">
    <cfRule type="expression" dxfId="1687" priority="172" stopIfTrue="1">
      <formula>$DE27&lt;&gt;""</formula>
    </cfRule>
    <cfRule type="expression" dxfId="1686" priority="173" stopIfTrue="1">
      <formula>$EU27=1</formula>
    </cfRule>
  </conditionalFormatting>
  <conditionalFormatting sqref="Q28">
    <cfRule type="expression" dxfId="1685" priority="170" stopIfTrue="1">
      <formula>$DE28&lt;&gt;""</formula>
    </cfRule>
    <cfRule type="expression" dxfId="1684" priority="171" stopIfTrue="1">
      <formula>$EU28=1</formula>
    </cfRule>
  </conditionalFormatting>
  <conditionalFormatting sqref="Q29">
    <cfRule type="expression" dxfId="1683" priority="168" stopIfTrue="1">
      <formula>$DE29&lt;&gt;""</formula>
    </cfRule>
    <cfRule type="expression" dxfId="1682" priority="169" stopIfTrue="1">
      <formula>$EU29=1</formula>
    </cfRule>
  </conditionalFormatting>
  <conditionalFormatting sqref="Q30">
    <cfRule type="expression" dxfId="1681" priority="166" stopIfTrue="1">
      <formula>$DE30&lt;&gt;""</formula>
    </cfRule>
    <cfRule type="expression" dxfId="1680" priority="167" stopIfTrue="1">
      <formula>$EU30=1</formula>
    </cfRule>
  </conditionalFormatting>
  <conditionalFormatting sqref="Q32">
    <cfRule type="expression" dxfId="1679" priority="164" stopIfTrue="1">
      <formula>$DE32&lt;&gt;""</formula>
    </cfRule>
    <cfRule type="expression" dxfId="1678" priority="165" stopIfTrue="1">
      <formula>$EU32=1</formula>
    </cfRule>
  </conditionalFormatting>
  <conditionalFormatting sqref="Q33">
    <cfRule type="expression" dxfId="1677" priority="162" stopIfTrue="1">
      <formula>$DE33&lt;&gt;""</formula>
    </cfRule>
    <cfRule type="expression" dxfId="1676" priority="163" stopIfTrue="1">
      <formula>$EU33=1</formula>
    </cfRule>
  </conditionalFormatting>
  <conditionalFormatting sqref="Q34">
    <cfRule type="expression" dxfId="1675" priority="160" stopIfTrue="1">
      <formula>$DE34&lt;&gt;""</formula>
    </cfRule>
    <cfRule type="expression" dxfId="1674" priority="161" stopIfTrue="1">
      <formula>$EU34=1</formula>
    </cfRule>
  </conditionalFormatting>
  <conditionalFormatting sqref="Q35">
    <cfRule type="expression" dxfId="1673" priority="158" stopIfTrue="1">
      <formula>$DE35&lt;&gt;""</formula>
    </cfRule>
    <cfRule type="expression" dxfId="1672" priority="159" stopIfTrue="1">
      <formula>$EU35=1</formula>
    </cfRule>
  </conditionalFormatting>
  <conditionalFormatting sqref="Q36">
    <cfRule type="expression" dxfId="1671" priority="156" stopIfTrue="1">
      <formula>$DE36&lt;&gt;""</formula>
    </cfRule>
    <cfRule type="expression" dxfId="1670" priority="157" stopIfTrue="1">
      <formula>$EU36=1</formula>
    </cfRule>
  </conditionalFormatting>
  <conditionalFormatting sqref="Q38">
    <cfRule type="expression" dxfId="1669" priority="154" stopIfTrue="1">
      <formula>$DE38&lt;&gt;""</formula>
    </cfRule>
    <cfRule type="expression" dxfId="1668" priority="155" stopIfTrue="1">
      <formula>$EU38=1</formula>
    </cfRule>
  </conditionalFormatting>
  <conditionalFormatting sqref="Q39">
    <cfRule type="expression" dxfId="1667" priority="152" stopIfTrue="1">
      <formula>$DE39&lt;&gt;""</formula>
    </cfRule>
    <cfRule type="expression" dxfId="1666" priority="153" stopIfTrue="1">
      <formula>$EU39=1</formula>
    </cfRule>
  </conditionalFormatting>
  <conditionalFormatting sqref="Q40">
    <cfRule type="expression" dxfId="1665" priority="150" stopIfTrue="1">
      <formula>$DE40&lt;&gt;""</formula>
    </cfRule>
    <cfRule type="expression" dxfId="1664" priority="151" stopIfTrue="1">
      <formula>$EU40=1</formula>
    </cfRule>
  </conditionalFormatting>
  <conditionalFormatting sqref="Q41">
    <cfRule type="expression" dxfId="1663" priority="148" stopIfTrue="1">
      <formula>$DE41&lt;&gt;""</formula>
    </cfRule>
    <cfRule type="expression" dxfId="1662" priority="149" stopIfTrue="1">
      <formula>$EU41=1</formula>
    </cfRule>
  </conditionalFormatting>
  <conditionalFormatting sqref="Q42">
    <cfRule type="expression" dxfId="1661" priority="146" stopIfTrue="1">
      <formula>$DE42&lt;&gt;""</formula>
    </cfRule>
    <cfRule type="expression" dxfId="1660" priority="147" stopIfTrue="1">
      <formula>$EU42=1</formula>
    </cfRule>
  </conditionalFormatting>
  <conditionalFormatting sqref="Q44">
    <cfRule type="expression" dxfId="1659" priority="144" stopIfTrue="1">
      <formula>$DE44&lt;&gt;""</formula>
    </cfRule>
    <cfRule type="expression" dxfId="1658" priority="145" stopIfTrue="1">
      <formula>$EU44=1</formula>
    </cfRule>
  </conditionalFormatting>
  <conditionalFormatting sqref="Q45">
    <cfRule type="expression" dxfId="1657" priority="142" stopIfTrue="1">
      <formula>$DE45&lt;&gt;""</formula>
    </cfRule>
    <cfRule type="expression" dxfId="1656" priority="143" stopIfTrue="1">
      <formula>$EU45=1</formula>
    </cfRule>
  </conditionalFormatting>
  <conditionalFormatting sqref="Q46">
    <cfRule type="expression" dxfId="1655" priority="140" stopIfTrue="1">
      <formula>$DE46&lt;&gt;""</formula>
    </cfRule>
    <cfRule type="expression" dxfId="1654" priority="141" stopIfTrue="1">
      <formula>$EU46=1</formula>
    </cfRule>
  </conditionalFormatting>
  <conditionalFormatting sqref="Q47">
    <cfRule type="expression" dxfId="1653" priority="138" stopIfTrue="1">
      <formula>$DE47&lt;&gt;""</formula>
    </cfRule>
    <cfRule type="expression" dxfId="1652" priority="139" stopIfTrue="1">
      <formula>$EU47=1</formula>
    </cfRule>
  </conditionalFormatting>
  <conditionalFormatting sqref="Q48">
    <cfRule type="expression" dxfId="1651" priority="136" stopIfTrue="1">
      <formula>$DE48&lt;&gt;""</formula>
    </cfRule>
    <cfRule type="expression" dxfId="1650" priority="137" stopIfTrue="1">
      <formula>$EU48=1</formula>
    </cfRule>
  </conditionalFormatting>
  <conditionalFormatting sqref="Q50">
    <cfRule type="expression" dxfId="1649" priority="134" stopIfTrue="1">
      <formula>$DE50&lt;&gt;""</formula>
    </cfRule>
    <cfRule type="expression" dxfId="1648" priority="135" stopIfTrue="1">
      <formula>$EU50=1</formula>
    </cfRule>
  </conditionalFormatting>
  <conditionalFormatting sqref="Q51">
    <cfRule type="expression" dxfId="1647" priority="132" stopIfTrue="1">
      <formula>$DE51&lt;&gt;""</formula>
    </cfRule>
    <cfRule type="expression" dxfId="1646" priority="133" stopIfTrue="1">
      <formula>$EU51=1</formula>
    </cfRule>
  </conditionalFormatting>
  <conditionalFormatting sqref="Q52">
    <cfRule type="expression" dxfId="1645" priority="130" stopIfTrue="1">
      <formula>$DE52&lt;&gt;""</formula>
    </cfRule>
    <cfRule type="expression" dxfId="1644" priority="131" stopIfTrue="1">
      <formula>$EU52=1</formula>
    </cfRule>
  </conditionalFormatting>
  <conditionalFormatting sqref="Q53">
    <cfRule type="expression" dxfId="1643" priority="128" stopIfTrue="1">
      <formula>$DE53&lt;&gt;""</formula>
    </cfRule>
    <cfRule type="expression" dxfId="1642" priority="129" stopIfTrue="1">
      <formula>$EU53=1</formula>
    </cfRule>
  </conditionalFormatting>
  <conditionalFormatting sqref="Q54">
    <cfRule type="expression" dxfId="1641" priority="126" stopIfTrue="1">
      <formula>$DE54&lt;&gt;""</formula>
    </cfRule>
    <cfRule type="expression" dxfId="1640" priority="127" stopIfTrue="1">
      <formula>$EU54=1</formula>
    </cfRule>
  </conditionalFormatting>
  <conditionalFormatting sqref="Q56">
    <cfRule type="expression" dxfId="1639" priority="124" stopIfTrue="1">
      <formula>$DE56&lt;&gt;""</formula>
    </cfRule>
    <cfRule type="expression" dxfId="1638" priority="125" stopIfTrue="1">
      <formula>$EU56=1</formula>
    </cfRule>
  </conditionalFormatting>
  <conditionalFormatting sqref="Q57">
    <cfRule type="expression" dxfId="1637" priority="122" stopIfTrue="1">
      <formula>$DE57&lt;&gt;""</formula>
    </cfRule>
    <cfRule type="expression" dxfId="1636" priority="123" stopIfTrue="1">
      <formula>$EU57=1</formula>
    </cfRule>
  </conditionalFormatting>
  <conditionalFormatting sqref="Q58">
    <cfRule type="expression" dxfId="1635" priority="120" stopIfTrue="1">
      <formula>$DE58&lt;&gt;""</formula>
    </cfRule>
    <cfRule type="expression" dxfId="1634" priority="121" stopIfTrue="1">
      <formula>$EU58=1</formula>
    </cfRule>
  </conditionalFormatting>
  <conditionalFormatting sqref="Q59">
    <cfRule type="expression" dxfId="1633" priority="118" stopIfTrue="1">
      <formula>$DE59&lt;&gt;""</formula>
    </cfRule>
    <cfRule type="expression" dxfId="1632" priority="119" stopIfTrue="1">
      <formula>$EU59=1</formula>
    </cfRule>
  </conditionalFormatting>
  <conditionalFormatting sqref="Q60">
    <cfRule type="expression" dxfId="1631" priority="116" stopIfTrue="1">
      <formula>$DE60&lt;&gt;""</formula>
    </cfRule>
    <cfRule type="expression" dxfId="1630" priority="117" stopIfTrue="1">
      <formula>$EU60=1</formula>
    </cfRule>
  </conditionalFormatting>
  <conditionalFormatting sqref="Q62">
    <cfRule type="expression" dxfId="1629" priority="114" stopIfTrue="1">
      <formula>$DE62&lt;&gt;""</formula>
    </cfRule>
    <cfRule type="expression" dxfId="1628" priority="115" stopIfTrue="1">
      <formula>$EU62=1</formula>
    </cfRule>
  </conditionalFormatting>
  <conditionalFormatting sqref="Q63">
    <cfRule type="expression" dxfId="1627" priority="112" stopIfTrue="1">
      <formula>$DE63&lt;&gt;""</formula>
    </cfRule>
    <cfRule type="expression" dxfId="1626" priority="113" stopIfTrue="1">
      <formula>$EU63=1</formula>
    </cfRule>
  </conditionalFormatting>
  <conditionalFormatting sqref="Q64">
    <cfRule type="expression" dxfId="1625" priority="110" stopIfTrue="1">
      <formula>$DE64&lt;&gt;""</formula>
    </cfRule>
    <cfRule type="expression" dxfId="1624" priority="111" stopIfTrue="1">
      <formula>$EU64=1</formula>
    </cfRule>
  </conditionalFormatting>
  <conditionalFormatting sqref="Q65">
    <cfRule type="expression" dxfId="1623" priority="108" stopIfTrue="1">
      <formula>$DE65&lt;&gt;""</formula>
    </cfRule>
    <cfRule type="expression" dxfId="1622" priority="109" stopIfTrue="1">
      <formula>$EU65=1</formula>
    </cfRule>
  </conditionalFormatting>
  <conditionalFormatting sqref="Q66">
    <cfRule type="expression" dxfId="1621" priority="106" stopIfTrue="1">
      <formula>$DE66&lt;&gt;""</formula>
    </cfRule>
    <cfRule type="expression" dxfId="1620" priority="107" stopIfTrue="1">
      <formula>$EU66=1</formula>
    </cfRule>
  </conditionalFormatting>
  <conditionalFormatting sqref="L13">
    <cfRule type="expression" dxfId="1619" priority="94" stopIfTrue="1">
      <formula>$B8=$B14</formula>
    </cfRule>
    <cfRule type="expression" dxfId="1618" priority="95" stopIfTrue="1">
      <formula>M13=0</formula>
    </cfRule>
    <cfRule type="expression" dxfId="1617" priority="96" stopIfTrue="1">
      <formula>L13=0</formula>
    </cfRule>
    <cfRule type="expression" dxfId="1616" priority="97" stopIfTrue="1">
      <formula>$BE$3=1</formula>
    </cfRule>
  </conditionalFormatting>
  <conditionalFormatting sqref="L19">
    <cfRule type="expression" dxfId="1615" priority="89" stopIfTrue="1">
      <formula>$B14=$B20</formula>
    </cfRule>
    <cfRule type="expression" dxfId="1614" priority="90" stopIfTrue="1">
      <formula>M19=0</formula>
    </cfRule>
    <cfRule type="expression" dxfId="1613" priority="91" stopIfTrue="1">
      <formula>L19=0</formula>
    </cfRule>
    <cfRule type="expression" dxfId="1612" priority="92" stopIfTrue="1">
      <formula>$BE$3=1</formula>
    </cfRule>
  </conditionalFormatting>
  <conditionalFormatting sqref="L25">
    <cfRule type="expression" dxfId="1611" priority="85" stopIfTrue="1">
      <formula>$B20=$B26</formula>
    </cfRule>
    <cfRule type="expression" dxfId="1610" priority="86" stopIfTrue="1">
      <formula>M25=0</formula>
    </cfRule>
    <cfRule type="expression" dxfId="1609" priority="87" stopIfTrue="1">
      <formula>L25=0</formula>
    </cfRule>
    <cfRule type="expression" dxfId="1608" priority="88" stopIfTrue="1">
      <formula>$BE$3=1</formula>
    </cfRule>
  </conditionalFormatting>
  <conditionalFormatting sqref="L31">
    <cfRule type="expression" dxfId="1607" priority="81" stopIfTrue="1">
      <formula>$B26=$B32</formula>
    </cfRule>
    <cfRule type="expression" dxfId="1606" priority="82" stopIfTrue="1">
      <formula>M31=0</formula>
    </cfRule>
    <cfRule type="expression" dxfId="1605" priority="83" stopIfTrue="1">
      <formula>L31=0</formula>
    </cfRule>
    <cfRule type="expression" dxfId="1604" priority="84" stopIfTrue="1">
      <formula>$BE$3=1</formula>
    </cfRule>
  </conditionalFormatting>
  <conditionalFormatting sqref="L37">
    <cfRule type="expression" dxfId="1603" priority="77" stopIfTrue="1">
      <formula>$B32=$B38</formula>
    </cfRule>
    <cfRule type="expression" dxfId="1602" priority="78" stopIfTrue="1">
      <formula>M37=0</formula>
    </cfRule>
    <cfRule type="expression" dxfId="1601" priority="79" stopIfTrue="1">
      <formula>L37=0</formula>
    </cfRule>
    <cfRule type="expression" dxfId="1600" priority="80" stopIfTrue="1">
      <formula>$BE$3=1</formula>
    </cfRule>
  </conditionalFormatting>
  <conditionalFormatting sqref="L43">
    <cfRule type="expression" dxfId="1599" priority="73" stopIfTrue="1">
      <formula>$B38=$B44</formula>
    </cfRule>
    <cfRule type="expression" dxfId="1598" priority="74" stopIfTrue="1">
      <formula>M43=0</formula>
    </cfRule>
    <cfRule type="expression" dxfId="1597" priority="75" stopIfTrue="1">
      <formula>L43=0</formula>
    </cfRule>
    <cfRule type="expression" dxfId="1596" priority="76" stopIfTrue="1">
      <formula>$BE$3=1</formula>
    </cfRule>
  </conditionalFormatting>
  <conditionalFormatting sqref="L49">
    <cfRule type="expression" dxfId="1595" priority="69" stopIfTrue="1">
      <formula>$B44=$B50</formula>
    </cfRule>
    <cfRule type="expression" dxfId="1594" priority="70" stopIfTrue="1">
      <formula>M49=0</formula>
    </cfRule>
    <cfRule type="expression" dxfId="1593" priority="71" stopIfTrue="1">
      <formula>L49=0</formula>
    </cfRule>
    <cfRule type="expression" dxfId="1592" priority="72" stopIfTrue="1">
      <formula>$BE$3=1</formula>
    </cfRule>
  </conditionalFormatting>
  <conditionalFormatting sqref="L55">
    <cfRule type="expression" dxfId="1591" priority="65" stopIfTrue="1">
      <formula>$B50=$B56</formula>
    </cfRule>
    <cfRule type="expression" dxfId="1590" priority="66" stopIfTrue="1">
      <formula>M55=0</formula>
    </cfRule>
    <cfRule type="expression" dxfId="1589" priority="67" stopIfTrue="1">
      <formula>L55=0</formula>
    </cfRule>
    <cfRule type="expression" dxfId="1588" priority="68" stopIfTrue="1">
      <formula>$BE$3=1</formula>
    </cfRule>
  </conditionalFormatting>
  <conditionalFormatting sqref="L61">
    <cfRule type="expression" dxfId="1587" priority="61" stopIfTrue="1">
      <formula>$B56=$B62</formula>
    </cfRule>
    <cfRule type="expression" dxfId="1586" priority="62" stopIfTrue="1">
      <formula>M61=0</formula>
    </cfRule>
    <cfRule type="expression" dxfId="1585" priority="63" stopIfTrue="1">
      <formula>L61=0</formula>
    </cfRule>
    <cfRule type="expression" dxfId="1584" priority="64" stopIfTrue="1">
      <formula>$BE$3=1</formula>
    </cfRule>
  </conditionalFormatting>
  <conditionalFormatting sqref="L67">
    <cfRule type="expression" dxfId="1583" priority="57" stopIfTrue="1">
      <formula>$B62=$B68</formula>
    </cfRule>
    <cfRule type="expression" dxfId="1582" priority="58" stopIfTrue="1">
      <formula>M67=0</formula>
    </cfRule>
    <cfRule type="expression" dxfId="1581" priority="59" stopIfTrue="1">
      <formula>L67=0</formula>
    </cfRule>
    <cfRule type="expression" dxfId="1580" priority="60" stopIfTrue="1">
      <formula>$BE$3=1</formula>
    </cfRule>
  </conditionalFormatting>
  <conditionalFormatting sqref="L73">
    <cfRule type="expression" dxfId="1579" priority="53" stopIfTrue="1">
      <formula>$B68=$B74</formula>
    </cfRule>
    <cfRule type="expression" dxfId="1578" priority="54" stopIfTrue="1">
      <formula>M73=0</formula>
    </cfRule>
    <cfRule type="expression" dxfId="1577" priority="55" stopIfTrue="1">
      <formula>L73=0</formula>
    </cfRule>
    <cfRule type="expression" dxfId="1576" priority="56" stopIfTrue="1">
      <formula>$BE$3=1</formula>
    </cfRule>
  </conditionalFormatting>
  <conditionalFormatting sqref="L79">
    <cfRule type="expression" dxfId="1575" priority="49" stopIfTrue="1">
      <formula>$B74=$B80</formula>
    </cfRule>
    <cfRule type="expression" dxfId="1574" priority="50" stopIfTrue="1">
      <formula>M79=0</formula>
    </cfRule>
    <cfRule type="expression" dxfId="1573" priority="51" stopIfTrue="1">
      <formula>L79=0</formula>
    </cfRule>
    <cfRule type="expression" dxfId="1572" priority="52" stopIfTrue="1">
      <formula>$BE$3=1</formula>
    </cfRule>
  </conditionalFormatting>
  <conditionalFormatting sqref="N13">
    <cfRule type="expression" dxfId="1571" priority="45" stopIfTrue="1">
      <formula>$B8=$B14</formula>
    </cfRule>
    <cfRule type="expression" dxfId="1570" priority="46" stopIfTrue="1">
      <formula>O13=0</formula>
    </cfRule>
    <cfRule type="expression" dxfId="1569" priority="47" stopIfTrue="1">
      <formula>N13=0</formula>
    </cfRule>
    <cfRule type="expression" dxfId="1568" priority="48" stopIfTrue="1">
      <formula>$BE$3=1</formula>
    </cfRule>
  </conditionalFormatting>
  <conditionalFormatting sqref="N19">
    <cfRule type="expression" dxfId="1567" priority="41" stopIfTrue="1">
      <formula>$B14=$B20</formula>
    </cfRule>
    <cfRule type="expression" dxfId="1566" priority="42" stopIfTrue="1">
      <formula>O19=0</formula>
    </cfRule>
    <cfRule type="expression" dxfId="1565" priority="43" stopIfTrue="1">
      <formula>N19=0</formula>
    </cfRule>
    <cfRule type="expression" dxfId="1564" priority="44" stopIfTrue="1">
      <formula>$BE$3=1</formula>
    </cfRule>
  </conditionalFormatting>
  <conditionalFormatting sqref="N25">
    <cfRule type="expression" dxfId="1563" priority="37" stopIfTrue="1">
      <formula>$B20=$B26</formula>
    </cfRule>
    <cfRule type="expression" dxfId="1562" priority="38" stopIfTrue="1">
      <formula>O25=0</formula>
    </cfRule>
    <cfRule type="expression" dxfId="1561" priority="39" stopIfTrue="1">
      <formula>N25=0</formula>
    </cfRule>
    <cfRule type="expression" dxfId="1560" priority="40" stopIfTrue="1">
      <formula>$BE$3=1</formula>
    </cfRule>
  </conditionalFormatting>
  <conditionalFormatting sqref="N31">
    <cfRule type="expression" dxfId="1559" priority="33" stopIfTrue="1">
      <formula>$B26=$B32</formula>
    </cfRule>
    <cfRule type="expression" dxfId="1558" priority="34" stopIfTrue="1">
      <formula>O31=0</formula>
    </cfRule>
    <cfRule type="expression" dxfId="1557" priority="35" stopIfTrue="1">
      <formula>N31=0</formula>
    </cfRule>
    <cfRule type="expression" dxfId="1556" priority="36" stopIfTrue="1">
      <formula>$BE$3=1</formula>
    </cfRule>
  </conditionalFormatting>
  <conditionalFormatting sqref="N37">
    <cfRule type="expression" dxfId="1555" priority="29" stopIfTrue="1">
      <formula>$B32=$B38</formula>
    </cfRule>
    <cfRule type="expression" dxfId="1554" priority="30" stopIfTrue="1">
      <formula>O37=0</formula>
    </cfRule>
    <cfRule type="expression" dxfId="1553" priority="31" stopIfTrue="1">
      <formula>N37=0</formula>
    </cfRule>
    <cfRule type="expression" dxfId="1552" priority="32" stopIfTrue="1">
      <formula>$BE$3=1</formula>
    </cfRule>
  </conditionalFormatting>
  <conditionalFormatting sqref="N43">
    <cfRule type="expression" dxfId="1551" priority="25" stopIfTrue="1">
      <formula>$B38=$B44</formula>
    </cfRule>
    <cfRule type="expression" dxfId="1550" priority="26" stopIfTrue="1">
      <formula>O43=0</formula>
    </cfRule>
    <cfRule type="expression" dxfId="1549" priority="27" stopIfTrue="1">
      <formula>N43=0</formula>
    </cfRule>
    <cfRule type="expression" dxfId="1548" priority="28" stopIfTrue="1">
      <formula>$BE$3=1</formula>
    </cfRule>
  </conditionalFormatting>
  <conditionalFormatting sqref="N49">
    <cfRule type="expression" dxfId="1547" priority="21" stopIfTrue="1">
      <formula>$B44=$B50</formula>
    </cfRule>
    <cfRule type="expression" dxfId="1546" priority="22" stopIfTrue="1">
      <formula>O49=0</formula>
    </cfRule>
    <cfRule type="expression" dxfId="1545" priority="23" stopIfTrue="1">
      <formula>N49=0</formula>
    </cfRule>
    <cfRule type="expression" dxfId="1544" priority="24" stopIfTrue="1">
      <formula>$BE$3=1</formula>
    </cfRule>
  </conditionalFormatting>
  <conditionalFormatting sqref="N55">
    <cfRule type="expression" dxfId="1543" priority="17" stopIfTrue="1">
      <formula>$B50=$B56</formula>
    </cfRule>
    <cfRule type="expression" dxfId="1542" priority="18" stopIfTrue="1">
      <formula>O55=0</formula>
    </cfRule>
    <cfRule type="expression" dxfId="1541" priority="19" stopIfTrue="1">
      <formula>N55=0</formula>
    </cfRule>
    <cfRule type="expression" dxfId="1540" priority="20" stopIfTrue="1">
      <formula>$BE$3=1</formula>
    </cfRule>
  </conditionalFormatting>
  <conditionalFormatting sqref="N61">
    <cfRule type="expression" dxfId="1539" priority="13" stopIfTrue="1">
      <formula>$B56=$B62</formula>
    </cfRule>
    <cfRule type="expression" dxfId="1538" priority="14" stopIfTrue="1">
      <formula>O61=0</formula>
    </cfRule>
    <cfRule type="expression" dxfId="1537" priority="15" stopIfTrue="1">
      <formula>N61=0</formula>
    </cfRule>
    <cfRule type="expression" dxfId="1536" priority="16" stopIfTrue="1">
      <formula>$BE$3=1</formula>
    </cfRule>
  </conditionalFormatting>
  <conditionalFormatting sqref="N67">
    <cfRule type="expression" dxfId="1535" priority="9" stopIfTrue="1">
      <formula>$B62=$B68</formula>
    </cfRule>
    <cfRule type="expression" dxfId="1534" priority="10" stopIfTrue="1">
      <formula>O67=0</formula>
    </cfRule>
    <cfRule type="expression" dxfId="1533" priority="11" stopIfTrue="1">
      <formula>N67=0</formula>
    </cfRule>
    <cfRule type="expression" dxfId="1532" priority="12" stopIfTrue="1">
      <formula>$BE$3=1</formula>
    </cfRule>
  </conditionalFormatting>
  <conditionalFormatting sqref="N73">
    <cfRule type="expression" dxfId="1531" priority="5" stopIfTrue="1">
      <formula>$B68=$B74</formula>
    </cfRule>
    <cfRule type="expression" dxfId="1530" priority="6" stopIfTrue="1">
      <formula>O73=0</formula>
    </cfRule>
    <cfRule type="expression" dxfId="1529" priority="7" stopIfTrue="1">
      <formula>N73=0</formula>
    </cfRule>
    <cfRule type="expression" dxfId="1528" priority="8" stopIfTrue="1">
      <formula>$BE$3=1</formula>
    </cfRule>
  </conditionalFormatting>
  <conditionalFormatting sqref="N79">
    <cfRule type="expression" dxfId="1527" priority="1" stopIfTrue="1">
      <formula>$B74=$B80</formula>
    </cfRule>
    <cfRule type="expression" dxfId="1526" priority="2" stopIfTrue="1">
      <formula>O79=0</formula>
    </cfRule>
    <cfRule type="expression" dxfId="1525" priority="3" stopIfTrue="1">
      <formula>N79=0</formula>
    </cfRule>
    <cfRule type="expression" dxfId="1524" priority="4" stopIfTrue="1">
      <formula>$BE$3=1</formula>
    </cfRule>
  </conditionalFormatting>
  <dataValidations count="10">
    <dataValidation type="decimal" allowBlank="1" showInputMessage="1" showErrorMessage="1" sqref="F62:F66 F68:F72 F74:F78 F44:F48 F38:F42 F56:F60 F50:F54 F20:F24 F32:F36 F26:F30 F14:F18 F8:F12" xr:uid="{00000000-0002-0000-0A00-000000000000}">
      <formula1>0</formula1>
      <formula2>200</formula2>
    </dataValidation>
    <dataValidation type="list" allowBlank="1" showInputMessage="1" showErrorMessage="1" sqref="D14:D18 D62:D66 D56:D60 D50:D54 D44:D48 D38:D42 D32:D36 D26:D30 D20:D24 D68:D72 D74:D78 D8:D12" xr:uid="{00000000-0002-0000-0A00-000001000000}">
      <formula1>$BG$11:$BG$14</formula1>
    </dataValidation>
    <dataValidation type="list" allowBlank="1" showErrorMessage="1" error="Select &quot;T&quot; - Tested or &quot;E&quot; - Specific Engineered" sqref="AP36:AP41 AP13:AP22 AP24:AP34 AW36:AX41" xr:uid="{00000000-0002-0000-0A00-000002000000}">
      <formula1>#REF!</formula1>
    </dataValidation>
    <dataValidation type="list" allowBlank="1" showInputMessage="1" showErrorMessage="1" sqref="E14:E18 E8:E12 E20:E24 E26:E30 E32:E36 E38:E42 E44:E48 E50:E54 E56:E60 E62:E66 E68:E72 E74:E78" xr:uid="{00000000-0002-0000-0A00-000003000000}">
      <formula1>$BG$15:$BG$17</formula1>
    </dataValidation>
    <dataValidation type="list" allowBlank="1" showInputMessage="1" showErrorMessage="1" sqref="B5" xr:uid="{00000000-0002-0000-0A00-000004000000}">
      <formula1>$BF$9:$BF$10</formula1>
    </dataValidation>
    <dataValidation type="list" allowBlank="1" showInputMessage="1" showErrorMessage="1" sqref="I44:I48 I8:I12 I14:I18 I50:I54 I62:I66 I38:I42 I32:I36 I26:I30 I20:I24 I56:I60 I68:I72 I74:I78" xr:uid="{00000000-0002-0000-0A00-000005000000}">
      <formula1>$BF$11:$BF$45</formula1>
    </dataValidation>
    <dataValidation type="list" allowBlank="1" showInputMessage="1" showErrorMessage="1" sqref="K50:K54 K14:K18 K8:K12 K20:K24 K44:K48 K38:K42 K32:K36 K26:K30 K68:K72 K62:K66 K56:K60 K74:K78" xr:uid="{00000000-0002-0000-0A00-000006000000}">
      <formula1>$BH$12:$BH$14</formula1>
    </dataValidation>
    <dataValidation type="decimal" allowBlank="1" showInputMessage="1" showErrorMessage="1" sqref="G8:G12 G14:G18 G20:G24 G26:G30 G32:G36 G38:G42 G44:G48 G50:G54 G56:G60 G62:G66 G68:G72 G74:G78" xr:uid="{00000000-0002-0000-0A00-000007000000}">
      <formula1>0</formula1>
      <formula2>90</formula2>
    </dataValidation>
    <dataValidation type="list" allowBlank="1" showInputMessage="1" showErrorMessage="1" sqref="I6" xr:uid="{00000000-0002-0000-0A00-000008000000}">
      <formula1>$BG$8:$BH$8</formula1>
    </dataValidation>
    <dataValidation type="decimal" allowBlank="1" showInputMessage="1" showErrorMessage="1" sqref="L13 L19 L25 L31 L37 L43 L49 L55 L61 L67 L73 L79 N13 N19 N25 N31 N37 N43 N49 N55 N61 N67 N73 N79" xr:uid="{00000000-0002-0000-0A00-000009000000}">
      <formula1>0</formula1>
      <formula2>100000</formula2>
    </dataValidation>
  </dataValidations>
  <printOptions horizontalCentered="1"/>
  <pageMargins left="0.31496062992125984" right="0.31496062992125984" top="0.51181102362204722" bottom="0.47244094488188981" header="0.23622047244094491" footer="0.23622047244094491"/>
  <pageSetup paperSize="9" scale="55" orientation="portrait" r:id="rId1"/>
  <headerFooter>
    <oddHeader>&amp;L&amp;D&amp;C&amp;F
&amp;A&amp;RPage &amp;P of &amp;N</oddHeader>
    <oddFooter>&amp;LPage &amp;P of &amp;N&amp;C&amp;F
&amp;A&amp;R&amp;D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FO297"/>
  <sheetViews>
    <sheetView showGridLines="0" zoomScale="85" zoomScaleNormal="85" workbookViewId="0">
      <pane xSplit="1" ySplit="7" topLeftCell="B8" activePane="bottomRight" state="frozen"/>
      <selection activeCell="K9" sqref="K9"/>
      <selection pane="topRight" activeCell="K9" sqref="K9"/>
      <selection pane="bottomLeft" activeCell="K9" sqref="K9"/>
      <selection pane="bottomRight" activeCell="F8" sqref="F8"/>
    </sheetView>
  </sheetViews>
  <sheetFormatPr defaultRowHeight="12.75"/>
  <cols>
    <col min="1" max="1" width="3.7109375" style="1" customWidth="1"/>
    <col min="2" max="2" width="6.28515625" customWidth="1"/>
    <col min="3" max="3" width="8.140625" style="3" customWidth="1"/>
    <col min="4" max="4" width="12.28515625" style="9" customWidth="1"/>
    <col min="5" max="5" width="12.7109375" style="9" customWidth="1"/>
    <col min="6" max="6" width="8.7109375" style="5" customWidth="1"/>
    <col min="7" max="7" width="8.5703125" customWidth="1"/>
    <col min="8" max="8" width="8.42578125" style="1" customWidth="1"/>
    <col min="9" max="9" width="14.7109375" customWidth="1"/>
    <col min="10" max="10" width="11.7109375" customWidth="1"/>
    <col min="11" max="11" width="15.7109375" style="1" customWidth="1"/>
    <col min="12" max="12" width="9.42578125" style="9" customWidth="1"/>
    <col min="13" max="13" width="9.42578125" style="1" customWidth="1"/>
    <col min="14" max="14" width="9.42578125" style="9" customWidth="1"/>
    <col min="15" max="15" width="9.42578125" style="1" customWidth="1"/>
    <col min="16" max="16" width="1.7109375" style="1" customWidth="1"/>
    <col min="17" max="17" width="38" style="9" customWidth="1"/>
    <col min="18" max="18" width="7.5703125" style="451" hidden="1" customWidth="1"/>
    <col min="19" max="19" width="4.7109375" style="451" hidden="1" customWidth="1"/>
    <col min="20" max="20" width="8" style="451" hidden="1" customWidth="1"/>
    <col min="21" max="21" width="6.5703125" style="451" hidden="1" customWidth="1"/>
    <col min="22" max="22" width="7.5703125" style="451" hidden="1" customWidth="1"/>
    <col min="23" max="24" width="8.7109375" style="451" hidden="1" customWidth="1"/>
    <col min="25" max="25" width="6.140625" style="509" hidden="1" customWidth="1"/>
    <col min="26" max="26" width="8.7109375" style="451" hidden="1" customWidth="1"/>
    <col min="27" max="27" width="8.7109375" style="426" hidden="1" customWidth="1"/>
    <col min="28" max="28" width="11.28515625" style="426" hidden="1" customWidth="1"/>
    <col min="29" max="29" width="2.7109375" style="2" customWidth="1"/>
    <col min="30" max="31" width="8.7109375" style="2" customWidth="1"/>
    <col min="32" max="33" width="8.7109375" style="4" customWidth="1"/>
    <col min="34" max="34" width="8.7109375" style="4" hidden="1" customWidth="1"/>
    <col min="35" max="35" width="3.7109375" style="4" customWidth="1"/>
    <col min="36" max="37" width="8.7109375" style="2" hidden="1" customWidth="1"/>
    <col min="38" max="38" width="12.42578125" style="4" hidden="1" customWidth="1"/>
    <col min="39" max="41" width="8.7109375" style="4" hidden="1" customWidth="1"/>
    <col min="42" max="42" width="1.7109375" style="4" hidden="1" customWidth="1"/>
    <col min="43" max="43" width="8.28515625" style="4" hidden="1" customWidth="1"/>
    <col min="44" max="44" width="10.7109375" style="4" hidden="1" customWidth="1"/>
    <col min="45" max="45" width="10.7109375" style="10" hidden="1" customWidth="1"/>
    <col min="46" max="46" width="2.42578125" style="10" hidden="1" customWidth="1"/>
    <col min="47" max="47" width="37.140625" style="10" hidden="1" customWidth="1"/>
    <col min="48" max="48" width="2.28515625" customWidth="1"/>
    <col min="49" max="49" width="10.7109375" style="4" hidden="1" customWidth="1"/>
    <col min="50" max="50" width="10.7109375" hidden="1" customWidth="1"/>
    <col min="51" max="51" width="8.7109375" hidden="1" customWidth="1"/>
    <col min="52" max="52" width="11.28515625" hidden="1" customWidth="1"/>
    <col min="53" max="55" width="8.7109375" customWidth="1"/>
    <col min="56" max="56" width="2.7109375" style="430" hidden="1" customWidth="1"/>
    <col min="57" max="57" width="6.7109375" style="4" hidden="1" customWidth="1"/>
    <col min="58" max="58" width="11.85546875" style="430" hidden="1" customWidth="1"/>
    <col min="59" max="59" width="15.140625" style="430" hidden="1" customWidth="1"/>
    <col min="60" max="60" width="13.7109375" style="51" hidden="1" customWidth="1"/>
    <col min="61" max="61" width="5.140625" style="51" hidden="1" customWidth="1"/>
    <col min="62" max="62" width="7.28515625" style="51" hidden="1" customWidth="1"/>
    <col min="63" max="63" width="10.5703125" style="426" hidden="1" customWidth="1"/>
    <col min="64" max="64" width="12" style="430" hidden="1" customWidth="1"/>
    <col min="65" max="65" width="8" style="52" hidden="1" customWidth="1"/>
    <col min="66" max="66" width="8.5703125" style="52" hidden="1" customWidth="1"/>
    <col min="67" max="67" width="9.42578125" style="52" hidden="1" customWidth="1"/>
    <col min="68" max="68" width="8.7109375" style="52" hidden="1" customWidth="1"/>
    <col min="69" max="69" width="3" style="51" hidden="1" customWidth="1"/>
    <col min="70" max="70" width="9.7109375" style="52" hidden="1" customWidth="1"/>
    <col min="71" max="71" width="9.140625" style="52" hidden="1" customWidth="1"/>
    <col min="72" max="72" width="6.7109375" style="52" hidden="1" customWidth="1"/>
    <col min="73" max="73" width="7.5703125" style="52" hidden="1" customWidth="1"/>
    <col min="74" max="74" width="10.7109375" style="51" hidden="1" customWidth="1"/>
    <col min="75" max="85" width="6.7109375" style="51" hidden="1" customWidth="1"/>
    <col min="86" max="86" width="6.7109375" style="52" hidden="1" customWidth="1"/>
    <col min="87" max="87" width="9.140625" style="52" hidden="1" customWidth="1"/>
    <col min="88" max="88" width="7.5703125" style="51" hidden="1" customWidth="1"/>
    <col min="89" max="89" width="6.42578125" style="51" hidden="1" customWidth="1"/>
    <col min="90" max="90" width="16.7109375" style="779" hidden="1" customWidth="1"/>
    <col min="91" max="91" width="4.42578125" style="188" hidden="1" customWidth="1"/>
    <col min="92" max="92" width="15.5703125" style="779" hidden="1" customWidth="1"/>
    <col min="93" max="93" width="10.28515625" style="779" hidden="1" customWidth="1"/>
    <col min="94" max="104" width="9.140625" style="188" hidden="1" customWidth="1"/>
    <col min="105" max="106" width="9.140625" style="51" hidden="1" customWidth="1"/>
    <col min="107" max="107" width="10.85546875" style="993" hidden="1" customWidth="1"/>
    <col min="108" max="108" width="9.140625" style="51" hidden="1" customWidth="1"/>
    <col min="109" max="110" width="19.85546875" style="51" hidden="1" customWidth="1"/>
    <col min="111" max="122" width="9.140625" style="426" hidden="1" customWidth="1"/>
    <col min="123" max="123" width="13.140625" style="426" hidden="1" customWidth="1"/>
    <col min="124" max="136" width="9.140625" style="426" hidden="1" customWidth="1"/>
    <col min="137" max="137" width="13.140625" style="426" hidden="1" customWidth="1"/>
    <col min="138" max="138" width="11.28515625" style="426" hidden="1" customWidth="1"/>
    <col min="139" max="153" width="9.140625" style="426" hidden="1" customWidth="1"/>
    <col min="154" max="171" width="9.140625" style="426"/>
  </cols>
  <sheetData>
    <row r="1" spans="1:171" ht="24" customHeight="1" thickBot="1">
      <c r="L1" s="2638" t="s">
        <v>1</v>
      </c>
      <c r="M1" s="2639"/>
      <c r="N1" s="2638" t="s">
        <v>17</v>
      </c>
      <c r="O1" s="2788"/>
      <c r="AD1" s="2763" t="s">
        <v>1089</v>
      </c>
      <c r="AE1" s="2764"/>
      <c r="AF1" s="2764"/>
      <c r="AG1" s="2765"/>
      <c r="AH1" s="2"/>
      <c r="AL1" s="1382"/>
      <c r="AM1" s="2"/>
      <c r="AO1" s="1408"/>
      <c r="AP1" s="1408"/>
      <c r="AQ1" s="1408"/>
      <c r="AR1" s="1408"/>
      <c r="AS1" s="1408"/>
      <c r="AT1" s="1408"/>
      <c r="AU1" s="1408"/>
      <c r="AW1" s="1408"/>
      <c r="BD1" s="641"/>
      <c r="BE1" s="641"/>
      <c r="BF1" s="652"/>
      <c r="BG1" s="652"/>
      <c r="BH1" s="652"/>
      <c r="BI1" s="759"/>
      <c r="BJ1" s="759"/>
      <c r="BK1" s="931"/>
      <c r="BL1" s="759"/>
      <c r="BM1" s="760"/>
      <c r="BN1" s="760"/>
      <c r="BO1" s="760"/>
      <c r="BP1" s="760"/>
      <c r="BQ1" s="759"/>
      <c r="BR1" s="760"/>
      <c r="BS1" s="760"/>
      <c r="BT1" s="760"/>
      <c r="BU1" s="760"/>
      <c r="BV1" s="759"/>
      <c r="BW1" s="759"/>
      <c r="BX1" s="759"/>
      <c r="BY1" s="759"/>
      <c r="BZ1" s="759"/>
      <c r="CA1" s="759"/>
      <c r="CB1" s="759"/>
      <c r="CC1" s="759"/>
      <c r="CD1" s="759"/>
      <c r="CE1" s="759"/>
      <c r="CF1" s="759"/>
      <c r="CG1" s="759"/>
      <c r="CH1" s="760"/>
      <c r="CI1" s="760"/>
      <c r="CJ1" s="759"/>
      <c r="CK1" s="188"/>
      <c r="EX1"/>
      <c r="EY1"/>
      <c r="EZ1"/>
      <c r="FA1"/>
      <c r="FB1"/>
      <c r="FC1"/>
      <c r="FD1"/>
      <c r="FE1"/>
      <c r="FF1"/>
      <c r="FG1"/>
      <c r="FH1"/>
      <c r="FI1"/>
      <c r="FJ1"/>
      <c r="FK1"/>
      <c r="FL1"/>
      <c r="FM1"/>
      <c r="FN1"/>
      <c r="FO1"/>
    </row>
    <row r="2" spans="1:171" ht="24" customHeight="1" thickBot="1">
      <c r="B2" s="2690" t="str">
        <f>FP</f>
        <v>Elephant QuickBrace™ September 2018  V.1.0</v>
      </c>
      <c r="C2" s="2691"/>
      <c r="D2" s="2691"/>
      <c r="E2" s="2691"/>
      <c r="F2" s="2691"/>
      <c r="G2" s="2691"/>
      <c r="H2" s="2692"/>
      <c r="I2" s="2693" t="s">
        <v>358</v>
      </c>
      <c r="J2" s="2694"/>
      <c r="K2" s="123" t="s">
        <v>341</v>
      </c>
      <c r="L2" s="124">
        <f ca="1">M2/M3</f>
        <v>0</v>
      </c>
      <c r="M2" s="1544">
        <f ca="1">(SUM(M8:M12)+SUM(M14:M18)+SUM(M20:M24)+SUM(M26:M30)+SUM(M32:M36)+SUM(M38:M42)+SUM(M44:M48)+SUM(M50:M54)+SUM(M56:M60)+SUM(M62:M66)+SUM(M68:M72)+SUM(M74:M78))</f>
        <v>0</v>
      </c>
      <c r="N2" s="124">
        <f ca="1">O2/O3</f>
        <v>0</v>
      </c>
      <c r="O2" s="1545">
        <f ca="1">(SUM(O8:O12)+SUM(O14:O18)+SUM(O20:O24)+SUM(O26:O30)+SUM(O32:O36)+SUM(O38:O42)+SUM(O44:O48)+SUM(O50:O54)+SUM(O56:O60)+SUM(O62:O66)+SUM(O68:O72)+SUM(O74:O78))</f>
        <v>0</v>
      </c>
      <c r="P2" s="133"/>
      <c r="Q2" s="77" t="s">
        <v>370</v>
      </c>
      <c r="R2" s="982"/>
      <c r="S2" s="982"/>
      <c r="T2" s="982"/>
      <c r="U2" s="982"/>
      <c r="V2" s="982"/>
      <c r="W2" s="982"/>
      <c r="X2" s="982"/>
      <c r="Y2" s="1001"/>
      <c r="Z2" s="428"/>
      <c r="AA2" s="427"/>
      <c r="AB2" s="1779"/>
      <c r="AD2" s="2621" t="s">
        <v>1</v>
      </c>
      <c r="AE2" s="2622"/>
      <c r="AF2" s="2623" t="s">
        <v>17</v>
      </c>
      <c r="AG2" s="2624"/>
      <c r="AH2" s="2"/>
      <c r="AJ2" s="119"/>
      <c r="AK2" s="119"/>
      <c r="AL2" s="119"/>
      <c r="AM2" s="2"/>
      <c r="AQ2" s="14"/>
      <c r="AR2" s="14"/>
      <c r="AS2" s="6"/>
      <c r="AT2" s="6"/>
      <c r="AU2" s="6"/>
      <c r="AZ2" s="1409">
        <f>'Regular and QuickBrace Systems'!W2</f>
        <v>1</v>
      </c>
      <c r="BD2" s="650"/>
      <c r="BE2" s="697" t="s">
        <v>816</v>
      </c>
      <c r="BF2" s="698" t="s">
        <v>817</v>
      </c>
      <c r="BG2" s="698" t="s">
        <v>818</v>
      </c>
      <c r="BH2" s="699"/>
      <c r="BI2" s="759"/>
      <c r="BJ2" s="188"/>
      <c r="BK2" s="506"/>
      <c r="BL2" s="188"/>
      <c r="BM2" s="779"/>
      <c r="BN2" s="779"/>
      <c r="BO2" s="779"/>
      <c r="BP2" s="972"/>
      <c r="BX2" s="2843" t="s">
        <v>921</v>
      </c>
      <c r="BY2" s="2844"/>
      <c r="BZ2" s="2844"/>
      <c r="CA2" s="2844"/>
      <c r="CB2" s="2844"/>
      <c r="CC2" s="2844"/>
      <c r="CD2" s="2844"/>
      <c r="CE2" s="2844"/>
      <c r="CF2" s="2844"/>
      <c r="CG2" s="2845"/>
      <c r="CJ2" s="759"/>
      <c r="CL2" s="906" t="s">
        <v>821</v>
      </c>
      <c r="CM2" s="711" t="s">
        <v>822</v>
      </c>
      <c r="CN2" s="974"/>
      <c r="CO2" s="713" t="s">
        <v>823</v>
      </c>
      <c r="CP2" s="714" t="s">
        <v>824</v>
      </c>
      <c r="CQ2" s="712"/>
      <c r="CR2" s="714" t="s">
        <v>1123</v>
      </c>
      <c r="CS2" s="704"/>
      <c r="CT2" s="712"/>
      <c r="CU2" s="714" t="s">
        <v>777</v>
      </c>
      <c r="CV2" s="715"/>
      <c r="CW2" s="712"/>
      <c r="CX2" s="481" t="s">
        <v>784</v>
      </c>
      <c r="CY2" s="714" t="s">
        <v>825</v>
      </c>
      <c r="CZ2" s="712"/>
      <c r="DA2" s="714" t="s">
        <v>371</v>
      </c>
      <c r="DB2" s="712"/>
      <c r="DC2" s="994"/>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c r="EY2"/>
      <c r="EZ2"/>
      <c r="FA2"/>
      <c r="FB2"/>
      <c r="FC2"/>
      <c r="FD2"/>
      <c r="FE2"/>
      <c r="FF2"/>
      <c r="FG2"/>
      <c r="FH2"/>
      <c r="FI2"/>
      <c r="FJ2"/>
      <c r="FK2"/>
      <c r="FL2"/>
      <c r="FM2"/>
      <c r="FN2"/>
      <c r="FO2"/>
    </row>
    <row r="3" spans="1:171" s="21" customFormat="1" ht="24" customHeight="1" thickBot="1">
      <c r="A3" s="18"/>
      <c r="B3" s="2688" t="s">
        <v>47</v>
      </c>
      <c r="C3" s="2639"/>
      <c r="D3" s="2695" t="str">
        <f>'Project Demand'!E8</f>
        <v xml:space="preserve"> </v>
      </c>
      <c r="E3" s="2696"/>
      <c r="F3" s="2697"/>
      <c r="G3" s="2698" t="str">
        <f>'Project Demand'!E9</f>
        <v xml:space="preserve"> </v>
      </c>
      <c r="H3" s="2699"/>
      <c r="I3" s="2700" t="str">
        <f>IF('Project Demand'!AQ64=1,'Terms and Conditions'!B22,'Project Demand'!L44)</f>
        <v>QuickBrace©                        First Principles</v>
      </c>
      <c r="J3" s="2701"/>
      <c r="K3" s="1791" t="str">
        <f>IF('Project Demand'!AQ64=1,"Total Demand =","Alternative Demand =")</f>
        <v>Total Demand =</v>
      </c>
      <c r="L3" s="1792" t="str">
        <f>$BH$3</f>
        <v>Bu's</v>
      </c>
      <c r="M3" s="1793">
        <f>IF('Project Demand'!AQ64=2,IF('Project Demand'!AQ6=1,"N/A",'Project Demand'!M47),'FP Calcs'!G67)</f>
        <v>531</v>
      </c>
      <c r="N3" s="1792" t="str">
        <f>$BH$3</f>
        <v>Bu's</v>
      </c>
      <c r="O3" s="1794">
        <f>IF('Project Demand'!AQ64=2,IF('Project Demand'!AQ6=1,"N/A",'Project Demand'!M49),'FP Calcs'!G71)</f>
        <v>1159</v>
      </c>
      <c r="P3" s="134"/>
      <c r="Q3" s="676" t="str">
        <f ca="1">IF(OR(M2&lt;M3,O2&lt;O3),"Total Achieved &lt; Total Demand","")</f>
        <v>Total Achieved &lt; Total Demand</v>
      </c>
      <c r="R3" s="923"/>
      <c r="S3" s="923"/>
      <c r="T3" s="923"/>
      <c r="U3" s="923"/>
      <c r="V3" s="923"/>
      <c r="W3" s="923"/>
      <c r="X3" s="923"/>
      <c r="Y3" s="1002"/>
      <c r="Z3" s="452"/>
      <c r="AC3" s="22"/>
      <c r="AD3" s="1357" t="str">
        <f>IF($BG$4=1,$BG$42,$BH$42)</f>
        <v>Top    Line</v>
      </c>
      <c r="AE3" s="1434" t="str">
        <f>IF($BG$4=1,$BG$43,$BH$43)</f>
        <v>Bottom Line</v>
      </c>
      <c r="AF3" s="1449" t="str">
        <f>IF($BG$4=1,$BG$42,$BH$42)</f>
        <v>Top    Line</v>
      </c>
      <c r="AG3" s="1358" t="str">
        <f>IF($BG$4=1,$BG$43,$BH$43)</f>
        <v>Bottom Line</v>
      </c>
      <c r="AJ3" s="1355"/>
      <c r="AK3" s="1355"/>
      <c r="AL3" s="1355"/>
      <c r="AM3" s="2819"/>
      <c r="AN3" s="2819"/>
      <c r="AS3" s="20"/>
      <c r="AT3" s="20"/>
      <c r="AU3" s="20"/>
      <c r="AV3" s="1356">
        <f>'Regular and QuickBrace Systems'!W2</f>
        <v>1</v>
      </c>
      <c r="BD3" s="639"/>
      <c r="BE3" s="700">
        <f>'Project Demand'!AX5</f>
        <v>1</v>
      </c>
      <c r="BF3" s="701">
        <f>IF($BE$3=1,100,5)</f>
        <v>100</v>
      </c>
      <c r="BG3" s="702">
        <f>IF($BE$3=1,15,0.75)</f>
        <v>15</v>
      </c>
      <c r="BH3" s="953" t="str">
        <f>IF($BE$3=1,CX2,CX3)</f>
        <v>Bu's</v>
      </c>
      <c r="BI3" s="931"/>
      <c r="BJ3" s="18"/>
      <c r="BM3" s="923"/>
      <c r="BP3" s="449"/>
      <c r="BT3" s="923"/>
      <c r="BU3" s="923"/>
      <c r="CH3" s="923"/>
      <c r="CI3" s="923"/>
      <c r="CJ3" s="927"/>
      <c r="CL3" s="907" t="s">
        <v>826</v>
      </c>
      <c r="CM3" s="716" t="s">
        <v>827</v>
      </c>
      <c r="CN3" s="975"/>
      <c r="CO3" s="717" t="s">
        <v>828</v>
      </c>
      <c r="CP3" s="705" t="s">
        <v>829</v>
      </c>
      <c r="CQ3" s="718"/>
      <c r="CR3" s="705" t="s">
        <v>830</v>
      </c>
      <c r="CS3" s="719"/>
      <c r="CT3" s="718"/>
      <c r="CU3" s="705" t="s">
        <v>831</v>
      </c>
      <c r="CV3" s="720"/>
      <c r="CW3" s="721"/>
      <c r="CX3" s="482" t="s">
        <v>786</v>
      </c>
      <c r="CY3" s="705" t="s">
        <v>832</v>
      </c>
      <c r="CZ3" s="718"/>
      <c r="DA3" s="705" t="s">
        <v>833</v>
      </c>
      <c r="DB3" s="718"/>
      <c r="DU3" s="651"/>
      <c r="EW3" s="651"/>
    </row>
    <row r="4" spans="1:171" ht="24" customHeight="1" thickBot="1">
      <c r="B4" s="2688" t="s">
        <v>387</v>
      </c>
      <c r="C4" s="2689"/>
      <c r="D4" s="2618" t="str">
        <f>'Project Demand'!E10</f>
        <v xml:space="preserve"> </v>
      </c>
      <c r="E4" s="2619"/>
      <c r="F4" s="2619"/>
      <c r="G4" s="2619"/>
      <c r="H4" s="2620"/>
      <c r="I4" s="2702" t="str">
        <f>CU4</f>
        <v>Min. Bu's per either External side of Project=</v>
      </c>
      <c r="J4" s="2703"/>
      <c r="K4" s="2704"/>
      <c r="L4" s="1785">
        <f ca="1">(IF(L5&gt;'Project Demand'!$E46*$BG$3,L5,IF('Project Demand'!$E46*$BG$3&gt;$BF$3,'Project Demand'!$E46*$BG$3,$BF$3)))</f>
        <v>180</v>
      </c>
      <c r="M4" s="1786"/>
      <c r="N4" s="1785">
        <f ca="1">(IF(N5&gt;'Project Demand'!$E46*$BG$3,N5,IF('Project Demand'!$E46*$BG$3&gt;$BF$3,'Project Demand'!$E46*$BG$3,$BF$3)))</f>
        <v>180</v>
      </c>
      <c r="O4" s="1787"/>
      <c r="P4" s="135"/>
      <c r="Q4" s="1018" t="str">
        <f ca="1">IF(OR(L4&gt;EI81,N4&gt;EJ81,L4&gt;EK81,N4&gt;EL81),"Min. Req. on Ext Lines not reached,  See Table below or at right ===&gt; ","")</f>
        <v xml:space="preserve">Min. Req. on Ext Lines not reached,  See Table below or at right ===&gt; </v>
      </c>
      <c r="T4" s="3"/>
      <c r="Z4" s="452"/>
      <c r="AD4" s="2636" t="str">
        <f ca="1">IF(AND(AD5&gt;=AD7,AE5&gt;=AD7),"Achieved","Not reached")</f>
        <v>Not reached</v>
      </c>
      <c r="AE4" s="2637"/>
      <c r="AF4" s="2626" t="str">
        <f ca="1">IF(AND(AF5&gt;=AF7,AG5&gt;=AF7),"Achieved","Not reached")</f>
        <v>Not reached</v>
      </c>
      <c r="AG4" s="2627"/>
      <c r="AJ4" s="2820"/>
      <c r="AK4" s="2820"/>
      <c r="AL4" s="1383"/>
      <c r="AM4" s="2821"/>
      <c r="AN4" s="2821"/>
      <c r="AU4" s="1"/>
      <c r="BD4" s="640"/>
      <c r="BE4" s="2673" t="s">
        <v>925</v>
      </c>
      <c r="BF4" s="2674"/>
      <c r="BG4" s="450">
        <f>'Project Demand'!AX21</f>
        <v>1</v>
      </c>
      <c r="BH4" s="703"/>
      <c r="BI4" s="932"/>
      <c r="CJ4" s="759"/>
      <c r="CL4" s="950" t="s">
        <v>834</v>
      </c>
      <c r="CM4" s="951" t="str">
        <f>IF($BE$3=1,CM2,CM3)</f>
        <v>"Min Bu's entered &lt; 100"</v>
      </c>
      <c r="CN4" s="976"/>
      <c r="CO4" s="953" t="str">
        <f>IF($BE$3=1,CO2,CO3)</f>
        <v>Bu/m</v>
      </c>
      <c r="CP4" s="951" t="str">
        <f>IF($BE$3=1,CP2,CP3)</f>
        <v>Achieved Bu's</v>
      </c>
      <c r="CQ4" s="952"/>
      <c r="CR4" s="951" t="str">
        <f>IF($BE$3=1,CR2,CR3)</f>
        <v>Element Resistance Limitations</v>
      </c>
      <c r="CS4" s="930"/>
      <c r="CT4" s="952"/>
      <c r="CU4" s="951" t="str">
        <f>IF($BE$3=1,CU2,CU3)</f>
        <v>Min. Bu's per either External side of Project=</v>
      </c>
      <c r="CV4" s="954"/>
      <c r="CW4" s="952"/>
      <c r="CY4" s="951" t="str">
        <f>IF($BE$3=1,CY2,CY3)</f>
        <v>Minimum Bu's Req. on each Bracing Line =</v>
      </c>
      <c r="CZ4" s="952"/>
      <c r="DA4" s="951" t="str">
        <f>IF($BE$3=1,DA2,DA3)</f>
        <v>Achieved BU's =</v>
      </c>
      <c r="DB4" s="952"/>
      <c r="EW4" s="427"/>
      <c r="EX4"/>
      <c r="EY4"/>
      <c r="EZ4"/>
      <c r="FA4"/>
      <c r="FB4"/>
      <c r="FC4"/>
      <c r="FD4"/>
      <c r="FE4"/>
      <c r="FF4"/>
      <c r="FG4"/>
      <c r="FH4"/>
      <c r="FI4"/>
      <c r="FJ4"/>
      <c r="FK4"/>
      <c r="FL4"/>
      <c r="FM4"/>
      <c r="FN4"/>
      <c r="FO4"/>
    </row>
    <row r="5" spans="1:171" ht="24" customHeight="1" thickBot="1">
      <c r="A5" s="36"/>
      <c r="B5" s="2643" t="s">
        <v>1084</v>
      </c>
      <c r="C5" s="2644"/>
      <c r="D5" s="2644"/>
      <c r="E5" s="2644"/>
      <c r="F5" s="2644"/>
      <c r="G5" s="2644"/>
      <c r="H5" s="2645"/>
      <c r="I5" s="2711" t="str">
        <f>CY4</f>
        <v>Minimum Bu's Req. on each Bracing Line =</v>
      </c>
      <c r="J5" s="2712"/>
      <c r="K5" s="2713"/>
      <c r="L5" s="1788">
        <f ca="1">M105</f>
        <v>0</v>
      </c>
      <c r="M5" s="1789"/>
      <c r="N5" s="1788">
        <f ca="1">O105</f>
        <v>0</v>
      </c>
      <c r="O5" s="1790"/>
      <c r="P5" s="135"/>
      <c r="Q5" s="76" t="str">
        <f ca="1">IF(ISERROR(FIND("&lt;Min BU/",Q13&amp;Q19&amp;Q25&amp;Q31&amp;Q37&amp;Q43&amp;Q49&amp;Q55&amp;Q61&amp;Q67&amp;Q73&amp;Q79,1)),"","Min. Req. on each Bracing Line not reached")</f>
        <v/>
      </c>
      <c r="T5" s="1373" t="s">
        <v>8</v>
      </c>
      <c r="AC5"/>
      <c r="AD5" s="1780">
        <f ca="1">$EI$81</f>
        <v>0</v>
      </c>
      <c r="AE5" s="1781">
        <f>$EK$81</f>
        <v>0</v>
      </c>
      <c r="AF5" s="1782">
        <f ca="1">$EJ$81</f>
        <v>0</v>
      </c>
      <c r="AG5" s="1783">
        <f>$EL$81</f>
        <v>0</v>
      </c>
      <c r="AJ5" s="2813" t="str">
        <f>'Regular and QuickBrace Systems'!C4</f>
        <v>Elephant Plasterboard  - Regular (Nominal) Fixing Method:  Bracing Performance</v>
      </c>
      <c r="AK5" s="2814"/>
      <c r="AL5" s="2814"/>
      <c r="AM5" s="2814"/>
      <c r="AN5" s="2814"/>
      <c r="AO5" s="2814"/>
      <c r="AP5" s="2814"/>
      <c r="AQ5" s="2814"/>
      <c r="AR5" s="2814"/>
      <c r="AS5" s="2814"/>
      <c r="AT5" s="2814"/>
      <c r="AU5" s="2815"/>
      <c r="AW5" s="1591"/>
      <c r="BD5" s="641"/>
      <c r="BE5" s="2677" t="s">
        <v>815</v>
      </c>
      <c r="BF5" s="2678"/>
      <c r="BG5" s="959" t="str">
        <f>IF('Project Demand'!AQ64&lt;&gt;1,"Yes","No")</f>
        <v>No</v>
      </c>
      <c r="BI5" s="759"/>
      <c r="CJ5" s="759"/>
      <c r="CK5" s="188"/>
      <c r="CL5" s="977"/>
      <c r="CM5" s="777"/>
      <c r="CN5" s="778"/>
      <c r="CO5" s="778"/>
      <c r="CP5" s="777"/>
      <c r="CQ5" s="777"/>
      <c r="CR5" s="777"/>
      <c r="CS5" s="777"/>
      <c r="CT5" s="777"/>
      <c r="CU5" s="777"/>
      <c r="CV5" s="777"/>
      <c r="CW5" s="777"/>
      <c r="CX5" s="777"/>
      <c r="CY5" s="777"/>
      <c r="CZ5" s="777"/>
      <c r="DA5" s="920"/>
      <c r="DB5" s="920"/>
      <c r="DC5" s="997"/>
      <c r="DD5" s="920"/>
      <c r="DE5" s="920"/>
      <c r="DF5" s="920"/>
      <c r="DG5" s="955"/>
      <c r="DH5" s="955" t="s">
        <v>261</v>
      </c>
      <c r="DI5" s="955"/>
      <c r="DJ5" s="955"/>
      <c r="DK5" s="955"/>
      <c r="DL5" s="955"/>
      <c r="DM5" s="955"/>
      <c r="DN5" s="955"/>
      <c r="DO5" s="920" t="s">
        <v>250</v>
      </c>
      <c r="DP5" s="955"/>
      <c r="DQ5" s="955"/>
      <c r="DR5" s="955"/>
      <c r="DS5" s="955" t="s">
        <v>262</v>
      </c>
      <c r="DT5" s="955" t="s">
        <v>265</v>
      </c>
      <c r="DU5" s="955" t="s">
        <v>261</v>
      </c>
      <c r="DV5" s="955"/>
      <c r="DW5" s="955"/>
      <c r="DX5" s="955"/>
      <c r="DY5" s="955"/>
      <c r="DZ5" s="955"/>
      <c r="EA5" s="955"/>
      <c r="EB5" s="955"/>
      <c r="EC5" s="920" t="s">
        <v>250</v>
      </c>
      <c r="ED5" s="955"/>
      <c r="EE5" s="955"/>
      <c r="EF5" s="955"/>
      <c r="EG5" s="2738" t="s">
        <v>617</v>
      </c>
      <c r="EH5" s="2739"/>
      <c r="EI5" s="2739"/>
      <c r="EJ5" s="2739"/>
      <c r="EK5" s="2739"/>
      <c r="EL5" s="2740"/>
      <c r="EM5" s="2852" t="s">
        <v>587</v>
      </c>
      <c r="EN5" s="2853"/>
      <c r="EO5" s="2854"/>
      <c r="EP5" s="1016"/>
      <c r="EQ5" s="1016"/>
      <c r="ER5" s="2726" t="s">
        <v>600</v>
      </c>
      <c r="ES5" s="2727"/>
      <c r="ET5" s="955"/>
      <c r="EU5" s="2719" t="s">
        <v>835</v>
      </c>
      <c r="EW5" s="427"/>
      <c r="EX5"/>
      <c r="EY5"/>
      <c r="EZ5"/>
      <c r="FA5"/>
      <c r="FB5"/>
      <c r="FC5"/>
      <c r="FD5"/>
      <c r="FE5"/>
      <c r="FF5"/>
      <c r="FG5"/>
      <c r="FH5"/>
      <c r="FI5"/>
      <c r="FJ5"/>
      <c r="FK5"/>
      <c r="FL5"/>
      <c r="FM5"/>
      <c r="FN5"/>
      <c r="FO5"/>
    </row>
    <row r="6" spans="1:171" ht="24" customHeight="1" thickBot="1">
      <c r="A6" s="37"/>
      <c r="B6" s="2705" t="s">
        <v>32</v>
      </c>
      <c r="C6" s="2646" t="s">
        <v>1051</v>
      </c>
      <c r="D6" s="2846" t="str">
        <f>IF($BG$4=1,BG39,BG40)</f>
        <v>Top, Bottom OR Internal</v>
      </c>
      <c r="E6" s="2846" t="s">
        <v>1047</v>
      </c>
      <c r="F6" s="2846" t="s">
        <v>1046</v>
      </c>
      <c r="G6" s="2847" t="s">
        <v>483</v>
      </c>
      <c r="H6" s="2846" t="s">
        <v>36</v>
      </c>
      <c r="I6" s="1692" t="s">
        <v>1107</v>
      </c>
      <c r="J6" s="2791" t="s">
        <v>49</v>
      </c>
      <c r="K6" s="2789" t="str">
        <f>CR4</f>
        <v>Element Resistance Limitations</v>
      </c>
      <c r="L6" s="2638" t="s">
        <v>1</v>
      </c>
      <c r="M6" s="2639"/>
      <c r="N6" s="2638" t="s">
        <v>17</v>
      </c>
      <c r="O6" s="2788"/>
      <c r="P6" s="136"/>
      <c r="Q6" s="2641" t="str">
        <f ca="1">IF(Q98&lt;&gt;0,"Check Warnings below and at bottom of this page","")</f>
        <v>Check Warnings below and at bottom of this page</v>
      </c>
      <c r="T6" s="2640" t="s">
        <v>1070</v>
      </c>
      <c r="U6" s="2640" t="s">
        <v>1071</v>
      </c>
      <c r="W6" s="3"/>
      <c r="X6" s="3"/>
      <c r="AB6" s="2625" t="s">
        <v>1050</v>
      </c>
      <c r="AC6"/>
      <c r="AD6" s="2630" t="s">
        <v>1092</v>
      </c>
      <c r="AE6" s="2631"/>
      <c r="AF6" s="2632" t="s">
        <v>1090</v>
      </c>
      <c r="AG6" s="2633"/>
      <c r="AJ6" s="2816" t="str">
        <f>'Regular and QuickBrace Systems'!C19</f>
        <v>Elephant QuickBrace©      Bracing Systems  Performance</v>
      </c>
      <c r="AK6" s="2817"/>
      <c r="AL6" s="2817"/>
      <c r="AM6" s="2817"/>
      <c r="AN6" s="2817"/>
      <c r="AO6" s="2817"/>
      <c r="AP6" s="2817"/>
      <c r="AQ6" s="2817"/>
      <c r="AR6" s="2817"/>
      <c r="AS6" s="2817"/>
      <c r="AT6" s="2817"/>
      <c r="AU6" s="2818"/>
      <c r="AW6" s="1591"/>
      <c r="BD6" s="642"/>
      <c r="BE6" s="25"/>
      <c r="BF6" s="2670" t="s">
        <v>547</v>
      </c>
      <c r="BG6" s="918" t="s">
        <v>610</v>
      </c>
      <c r="BH6" s="919">
        <f>'Regular and QuickBrace Systems'!W2</f>
        <v>1</v>
      </c>
      <c r="BI6" s="933"/>
      <c r="BJ6" s="898"/>
      <c r="BL6" s="119"/>
      <c r="BR6" s="450" t="s">
        <v>248</v>
      </c>
      <c r="BS6" s="450" t="s">
        <v>248</v>
      </c>
      <c r="BT6" s="450" t="s">
        <v>323</v>
      </c>
      <c r="BU6" s="450" t="s">
        <v>267</v>
      </c>
      <c r="BV6" s="2730" t="s">
        <v>919</v>
      </c>
      <c r="BW6" s="2731"/>
      <c r="CH6" s="52" t="s">
        <v>235</v>
      </c>
      <c r="CI6" s="52" t="s">
        <v>235</v>
      </c>
      <c r="CJ6" s="759"/>
      <c r="CK6" s="188"/>
      <c r="CL6" s="2675" t="s">
        <v>670</v>
      </c>
      <c r="CN6" s="2721" t="s">
        <v>918</v>
      </c>
      <c r="CO6" s="2723"/>
      <c r="CR6" s="51"/>
      <c r="CS6" s="2672" t="s">
        <v>1</v>
      </c>
      <c r="CT6" s="2672"/>
      <c r="CU6" s="2672" t="s">
        <v>229</v>
      </c>
      <c r="CV6" s="2672"/>
      <c r="CW6" s="51"/>
      <c r="CX6" s="51"/>
      <c r="CY6" s="51"/>
      <c r="CZ6" s="51"/>
      <c r="DC6" s="2734" t="s">
        <v>924</v>
      </c>
      <c r="DD6" s="603" t="s">
        <v>323</v>
      </c>
      <c r="DE6" s="51" t="s">
        <v>1049</v>
      </c>
      <c r="DF6" s="2743" t="s">
        <v>1048</v>
      </c>
      <c r="DG6" s="2672" t="s">
        <v>1</v>
      </c>
      <c r="DH6" s="2672"/>
      <c r="DI6" s="2672" t="s">
        <v>229</v>
      </c>
      <c r="DJ6" s="2672"/>
      <c r="DK6" s="51"/>
      <c r="DL6" s="51"/>
      <c r="DM6" s="51"/>
      <c r="DN6" s="51"/>
      <c r="DO6" s="426" t="s">
        <v>1</v>
      </c>
      <c r="DQ6" s="426" t="s">
        <v>230</v>
      </c>
      <c r="DT6" s="2741" t="s">
        <v>670</v>
      </c>
      <c r="DU6" s="2672" t="s">
        <v>1</v>
      </c>
      <c r="DV6" s="2672"/>
      <c r="DW6" s="2672" t="s">
        <v>229</v>
      </c>
      <c r="DX6" s="2672"/>
      <c r="DY6" s="51"/>
      <c r="DZ6" s="51"/>
      <c r="EA6" s="51"/>
      <c r="EB6" s="51"/>
      <c r="EC6" s="426" t="s">
        <v>1</v>
      </c>
      <c r="EE6" s="426" t="s">
        <v>230</v>
      </c>
      <c r="EG6" s="601"/>
      <c r="EH6" s="465"/>
      <c r="EI6" s="604" t="s">
        <v>642</v>
      </c>
      <c r="EJ6" s="605"/>
      <c r="EK6" s="606" t="s">
        <v>644</v>
      </c>
      <c r="EL6" s="607"/>
      <c r="EM6" s="426" t="s">
        <v>368</v>
      </c>
      <c r="ER6" s="2728"/>
      <c r="ES6" s="2729"/>
      <c r="EU6" s="2720"/>
      <c r="EW6" s="427"/>
      <c r="EX6"/>
      <c r="EY6"/>
      <c r="EZ6"/>
      <c r="FA6"/>
      <c r="FB6"/>
      <c r="FC6"/>
      <c r="FD6"/>
      <c r="FE6"/>
      <c r="FF6"/>
      <c r="FG6"/>
      <c r="FH6"/>
      <c r="FI6"/>
      <c r="FJ6"/>
      <c r="FK6"/>
      <c r="FL6"/>
      <c r="FM6"/>
      <c r="FN6"/>
      <c r="FO6"/>
    </row>
    <row r="7" spans="1:171" ht="24" customHeight="1" thickBot="1">
      <c r="B7" s="2706"/>
      <c r="C7" s="2647"/>
      <c r="D7" s="2708"/>
      <c r="E7" s="2708"/>
      <c r="F7" s="2708"/>
      <c r="G7" s="2710"/>
      <c r="H7" s="2708"/>
      <c r="I7" s="1685" t="str">
        <f>IF(I6=BG8,"Suggested Systems","Select Systems")</f>
        <v>Suggested Systems</v>
      </c>
      <c r="J7" s="2792"/>
      <c r="K7" s="2790"/>
      <c r="L7" s="722" t="str">
        <f>CO4</f>
        <v>Bu/m</v>
      </c>
      <c r="M7" s="690" t="str">
        <f>CP4</f>
        <v>Achieved Bu's</v>
      </c>
      <c r="N7" s="722" t="str">
        <f>CO4</f>
        <v>Bu/m</v>
      </c>
      <c r="O7" s="723" t="str">
        <f>CP4</f>
        <v>Achieved Bu's</v>
      </c>
      <c r="P7" s="137"/>
      <c r="Q7" s="2642"/>
      <c r="R7" s="451">
        <v>1</v>
      </c>
      <c r="T7" s="2640"/>
      <c r="U7" s="2640"/>
      <c r="W7" s="451">
        <v>0</v>
      </c>
      <c r="Z7" s="429" t="s">
        <v>269</v>
      </c>
      <c r="AB7" s="2625"/>
      <c r="AD7" s="2634">
        <f ca="1">$L$4</f>
        <v>180</v>
      </c>
      <c r="AE7" s="2635"/>
      <c r="AF7" s="2628">
        <f ca="1">$N$4</f>
        <v>180</v>
      </c>
      <c r="AG7" s="2629"/>
      <c r="AJ7" s="1458"/>
      <c r="AK7" s="1458"/>
      <c r="AL7" s="1457"/>
      <c r="AM7" s="1459"/>
      <c r="AN7" s="1459"/>
      <c r="AO7" s="1459"/>
      <c r="AP7" s="1457"/>
      <c r="AQ7" s="1457"/>
      <c r="AR7" s="1457"/>
      <c r="AS7" s="1460"/>
      <c r="AT7" s="1460"/>
      <c r="AU7" s="1460"/>
      <c r="BD7" s="643"/>
      <c r="BF7" s="2842"/>
      <c r="BG7" s="2724" t="s">
        <v>920</v>
      </c>
      <c r="BH7" s="2725"/>
      <c r="BI7" s="759"/>
      <c r="BJ7" s="915" t="s">
        <v>863</v>
      </c>
      <c r="BK7" s="862" t="s">
        <v>49</v>
      </c>
      <c r="BL7" s="973" t="s">
        <v>37</v>
      </c>
      <c r="BM7" s="52" t="s">
        <v>41</v>
      </c>
      <c r="BN7" s="52" t="s">
        <v>40</v>
      </c>
      <c r="BO7" s="52" t="s">
        <v>42</v>
      </c>
      <c r="BP7" s="52" t="s">
        <v>43</v>
      </c>
      <c r="BR7" s="450" t="s">
        <v>263</v>
      </c>
      <c r="BS7" s="450" t="s">
        <v>264</v>
      </c>
      <c r="BT7" s="450" t="s">
        <v>324</v>
      </c>
      <c r="BU7" s="450" t="s">
        <v>268</v>
      </c>
      <c r="BV7" s="2732"/>
      <c r="BW7" s="2733"/>
      <c r="CH7" s="52" t="s">
        <v>1</v>
      </c>
      <c r="CI7" s="52" t="s">
        <v>236</v>
      </c>
      <c r="CJ7" s="759"/>
      <c r="CK7" s="188"/>
      <c r="CL7" s="2676"/>
      <c r="CN7" s="2722"/>
      <c r="CO7" s="2723" t="s">
        <v>249</v>
      </c>
      <c r="CR7" s="52" t="s">
        <v>226</v>
      </c>
      <c r="CS7" s="956" t="s">
        <v>227</v>
      </c>
      <c r="CT7" s="52" t="s">
        <v>228</v>
      </c>
      <c r="CU7" s="956" t="s">
        <v>227</v>
      </c>
      <c r="CV7" s="52" t="s">
        <v>228</v>
      </c>
      <c r="CW7" s="52" t="s">
        <v>253</v>
      </c>
      <c r="CX7" s="52" t="s">
        <v>1</v>
      </c>
      <c r="CY7" s="52" t="s">
        <v>254</v>
      </c>
      <c r="CZ7" s="52" t="s">
        <v>230</v>
      </c>
      <c r="DA7" s="52" t="s">
        <v>255</v>
      </c>
      <c r="DB7" s="52" t="s">
        <v>256</v>
      </c>
      <c r="DC7" s="2734"/>
      <c r="DD7" s="602" t="s">
        <v>324</v>
      </c>
      <c r="DF7" s="2743"/>
      <c r="DG7" s="956" t="s">
        <v>227</v>
      </c>
      <c r="DH7" s="52" t="s">
        <v>228</v>
      </c>
      <c r="DI7" s="956" t="s">
        <v>227</v>
      </c>
      <c r="DJ7" s="52" t="s">
        <v>228</v>
      </c>
      <c r="DK7" s="51"/>
      <c r="DL7" s="51" t="s">
        <v>1</v>
      </c>
      <c r="DM7" s="51"/>
      <c r="DN7" s="51" t="s">
        <v>230</v>
      </c>
      <c r="DO7" s="51" t="s">
        <v>251</v>
      </c>
      <c r="DP7" s="51" t="s">
        <v>252</v>
      </c>
      <c r="DQ7" s="51" t="s">
        <v>251</v>
      </c>
      <c r="DR7" s="51" t="s">
        <v>252</v>
      </c>
      <c r="DT7" s="2742"/>
      <c r="DU7" s="956" t="s">
        <v>227</v>
      </c>
      <c r="DV7" s="52" t="s">
        <v>228</v>
      </c>
      <c r="DW7" s="956" t="s">
        <v>227</v>
      </c>
      <c r="DX7" s="52" t="s">
        <v>228</v>
      </c>
      <c r="DY7" s="51"/>
      <c r="DZ7" s="51" t="s">
        <v>1</v>
      </c>
      <c r="EA7" s="51"/>
      <c r="EB7" s="51" t="s">
        <v>230</v>
      </c>
      <c r="EC7" s="51" t="s">
        <v>251</v>
      </c>
      <c r="ED7" s="51" t="s">
        <v>252</v>
      </c>
      <c r="EE7" s="51" t="s">
        <v>251</v>
      </c>
      <c r="EF7" s="51" t="s">
        <v>252</v>
      </c>
      <c r="EG7" s="433"/>
      <c r="EH7" s="602"/>
      <c r="EI7" s="608" t="s">
        <v>1</v>
      </c>
      <c r="EJ7" s="609" t="s">
        <v>643</v>
      </c>
      <c r="EK7" s="610" t="s">
        <v>1</v>
      </c>
      <c r="EL7" s="609" t="s">
        <v>230</v>
      </c>
      <c r="EM7" s="51" t="s">
        <v>369</v>
      </c>
      <c r="ER7" s="547">
        <f>'Project Demand'!E45</f>
        <v>2.4</v>
      </c>
      <c r="ES7" s="434"/>
      <c r="EU7" s="957"/>
      <c r="EW7" s="427"/>
      <c r="EX7"/>
      <c r="EY7"/>
      <c r="EZ7"/>
      <c r="FA7"/>
      <c r="FB7"/>
      <c r="FC7"/>
      <c r="FD7"/>
      <c r="FE7"/>
      <c r="FF7"/>
      <c r="FG7"/>
      <c r="FH7"/>
      <c r="FI7"/>
      <c r="FJ7"/>
      <c r="FK7"/>
      <c r="FL7"/>
      <c r="FM7"/>
      <c r="FN7"/>
      <c r="FO7"/>
    </row>
    <row r="8" spans="1:171" ht="17.100000000000001" customHeight="1" thickBot="1">
      <c r="B8" s="689" t="s">
        <v>2</v>
      </c>
      <c r="C8" s="684" t="str">
        <f>IF(OR(F8=0,I8="",I8=" ")," ",$V8)</f>
        <v xml:space="preserve"> </v>
      </c>
      <c r="D8" s="1413" t="str">
        <f>BG$12</f>
        <v>Top External</v>
      </c>
      <c r="E8" s="1414"/>
      <c r="F8" s="201"/>
      <c r="G8" s="1416"/>
      <c r="H8" s="199" t="str">
        <f ca="1">IF(OR(F8=0,Z8="E",Z8="f")," ",'Project Demand'!E$45)</f>
        <v xml:space="preserve"> </v>
      </c>
      <c r="I8" s="631" t="str">
        <f>IF($I$6&lt;&gt;$BG$8," ",AB8)</f>
        <v xml:space="preserve"> </v>
      </c>
      <c r="J8" s="43" t="str">
        <f ca="1">IF(OR(I8=" ",I8="")," ",OFFSET($BO$9,CL8-1,0-4,1,1))</f>
        <v xml:space="preserve"> </v>
      </c>
      <c r="K8" s="55" t="str">
        <f>IF(OR(I8=" ",I8="")," ",IF(OR(Z8="e",Z8="h"),"SD",BG$24))</f>
        <v xml:space="preserve"> </v>
      </c>
      <c r="L8" s="725">
        <f ca="1">CW8</f>
        <v>0</v>
      </c>
      <c r="M8" s="446">
        <f ca="1">CY8</f>
        <v>0</v>
      </c>
      <c r="N8" s="445">
        <f t="shared" ref="N8:O12" ca="1" si="0">DA8</f>
        <v>0</v>
      </c>
      <c r="O8" s="728">
        <f t="shared" ca="1" si="0"/>
        <v>0</v>
      </c>
      <c r="P8" s="138"/>
      <c r="Q8" s="752" t="str">
        <f ca="1">IF(AND(OR(Z8="t",Z8="f"),K8=$BH$11),"No Floor!  Change Floor Type",IF(OR(I8=" ",I8="")," ",IF(F8&lt;OFFSET($BM$9,CL8-1,0,1,1),"check L(m)",DE8&amp;IF(AND(DP8&gt;=CY8,DR8&gt;=DB8),IF(AND(ED8&gt;=DP8,EF8&gt;=DR8),CONCATENATE(DS8," will provide same result"),CONCATENATE(CO8," will provide same result")),IF((DP8&gt;=CY8),CONCATENATE(CO8," provides same result in WIND"),IF((DR8&gt;=DB8),CONCATENATE(CO8," provides same result in EQ"),""))))))&amp;IF(ISERROR(FIND("pile",I8,1)),"",IF(INT(F8)&lt;&gt;F8,"Pile!  Use Whole Numbers Only",""))</f>
        <v xml:space="preserve"> </v>
      </c>
      <c r="R8" s="52">
        <f ca="1">COLUMN(INDIRECT(B8&amp;1))</f>
        <v>1</v>
      </c>
      <c r="S8" s="1372" t="str">
        <f ca="1">SUBSTITUTE(ADDRESS(1,R8,4),"1","")</f>
        <v>A</v>
      </c>
      <c r="T8" s="451">
        <f>IF(AND(ISTEXT(B8),SUBSTITUTE(SUBSTITUTE(SUBSTITUTE(SUBSTITUTE(SUBSTITUTE(SUBSTITUTE(SUBSTITUTE(SUBSTITUTE(SUBSTITUTE(SUBSTITUTE(SUBSTITUTE(SUBSTITUTE(SUBSTITUTE(SUBSTITUTE(SUBSTITUTE(SUBSTITUTE(SUBSTITUTE(SUBSTITUTE(SUBSTITUTE(SUBSTITUTE(SUBSTITUTE(SUBSTITUTE(SUBSTITUTE(SUBSTITUTE(SUBSTITUTE(SUBSTITUTE(LOWER(B8),"a",),"b",),"c",),"d",),"e",),"f",),"g",),"h",),"i",),"j",),"k",),"l",),"m",),"n",),"o",),"p",),"q",),"r",),"s",),"t",),"u",),"v",),"w",),"x",),"y",),"z",)=""),1,2)</f>
        <v>1</v>
      </c>
      <c r="U8" s="1377">
        <v>1</v>
      </c>
      <c r="V8" s="52" t="str">
        <f>IF(AND(B$5=$BF$9,OR(I8=BH$16,I8=BH$17))," ",IF(ISNUMBER(B$8),(CONCATENATE(B$8,".",W8)),(CONCATENATE(B$8,W8))))</f>
        <v>A0</v>
      </c>
      <c r="W8" s="9">
        <f>W7+X8</f>
        <v>0</v>
      </c>
      <c r="X8" s="9">
        <f>IF(AND(B$5=$BF$9,OR($I8=$BH$16,$I8=$BH$17,$I8=" ",$I8="",$F8=0)),0,IF(OR($I8=" ",$I8="",$F8=0),0,1))</f>
        <v>0</v>
      </c>
      <c r="Y8" s="896">
        <f ca="1">IF(AND(M13&gt;0,B8&lt;&gt;B14),1,0)</f>
        <v>0</v>
      </c>
      <c r="Z8" s="52" t="str">
        <f ca="1">IF(I8=" "," ",OFFSET($BM$9,$CL8-1,8,1,1))</f>
        <v xml:space="preserve"> </v>
      </c>
      <c r="AA8" s="51" t="str">
        <f>IF(G8&gt;=45,"WA","")</f>
        <v/>
      </c>
      <c r="AB8" s="1364" t="str">
        <f>IF(F8&lt;&gt;"",IF(OR(D8=$BG$12,D8=$BG$13),IF(E8&lt;&gt;$BG$17,$BF$12,$BF$13),IF(E8&lt;&gt;$BG$17,$BF$12,$BF$13))," ")</f>
        <v xml:space="preserve"> </v>
      </c>
      <c r="AC8" s="1"/>
      <c r="AJ8" s="2185" t="str">
        <f>'Regular and QuickBrace Systems'!C5</f>
        <v>Supplier</v>
      </c>
      <c r="AK8" s="2831" t="str">
        <f>'Regular and QuickBrace Systems'!D5</f>
        <v>Internal or External Usage</v>
      </c>
      <c r="AL8" s="1816" t="str">
        <f>'Regular and QuickBrace Systems'!E5</f>
        <v>Regular Code</v>
      </c>
      <c r="AM8" s="2836" t="str">
        <f>'Regular and QuickBrace Systems'!F5</f>
        <v xml:space="preserve"> Performance</v>
      </c>
      <c r="AN8" s="2836"/>
      <c r="AO8" s="2837"/>
      <c r="AP8" s="1592"/>
      <c r="AQ8" s="2652" t="str">
        <f>'Regular and QuickBrace Systems'!I5</f>
        <v>Fixing Method</v>
      </c>
      <c r="AR8" s="2653"/>
      <c r="AS8" s="1597" t="s">
        <v>8</v>
      </c>
      <c r="AT8" s="1152"/>
      <c r="AU8" s="1456" t="str">
        <f>'Regular and QuickBrace Systems'!M5</f>
        <v xml:space="preserve">Lining Requirements </v>
      </c>
      <c r="AW8" s="2668" t="str">
        <f>'Regular and QuickBrace Systems'!O5</f>
        <v xml:space="preserve"> </v>
      </c>
      <c r="AX8" s="2669"/>
      <c r="BD8" s="641"/>
      <c r="BE8" s="457" t="s">
        <v>1069</v>
      </c>
      <c r="BF8" s="1379"/>
      <c r="BG8" s="430" t="s">
        <v>1107</v>
      </c>
      <c r="BH8" s="51" t="s">
        <v>1108</v>
      </c>
      <c r="BI8" s="759"/>
      <c r="BJ8" s="896"/>
      <c r="BK8" s="51"/>
      <c r="BL8" s="51"/>
      <c r="BM8" s="966" t="s">
        <v>8</v>
      </c>
      <c r="CJ8" s="759"/>
      <c r="CK8" s="188"/>
      <c r="CL8" s="978">
        <f>VLOOKUP(I8,Prodlink,2,0)</f>
        <v>0</v>
      </c>
      <c r="CN8" s="497">
        <f ca="1">VLOOKUP(CO8,Prodlink,2,0)</f>
        <v>0</v>
      </c>
      <c r="CO8" s="497">
        <f ca="1">OFFSET($CH$9,CL8-1,-15,1,1)</f>
        <v>0</v>
      </c>
      <c r="CQ8" s="51">
        <v>0</v>
      </c>
      <c r="CR8" s="51">
        <f>IF(K8=$BH$12,$BH$23,IF(K8=$BH$13,$BH$24,10000))</f>
        <v>10000</v>
      </c>
      <c r="CS8" s="51">
        <f ca="1">IF(F8&lt;OFFSET($BM$9,CL8-1,0,1,1),0,IF(F8&lt;OFFSET($BN$9,CL8-1,0,1,1),((F8-OFFSET($BM$9,CL8-1,0,1,1))*OFFSET($CH$9,CL8-1,0,1,1))+OFFSET($BO$9,CL8-1,CQ8,1,1),IF(F8&lt;OFFSET($BN$9,CL8+0,0,1,1),((F8-OFFSET($BM$9,CL8+0,0,1,1))*OFFSET($CH$9,CL8+0,0,1,1))+OFFSET($BO$9,CL8+0,CQ8,1,1),IF(F8&lt;OFFSET($BN$9,CL8+1,0,1,1),((F8-OFFSET($BM$9,CL8+1,0,1,1))*OFFSET($CH$9,CL8+1,0,1,1))+OFFSET($BO$9,CL8+1,CQ8,1,1),IF(F8&lt;OFFSET($BN$9,CL8+2,0,1,1),((F8-OFFSET($BM$9,CL8+2,0,1,1))*OFFSET($CH$9,CL8+2,0,1,1))+OFFSET($BO$9,CL8+2,CQ8,1,1),IF(F8&lt;OFFSET($BN$9,CL8+3,0,1,1),((F8-OFFSET($BM$9,CL8+3,0,1,1))*OFFSET($CH$9,CL8+3,0,1,1))+OFFSET($BO$9,CL8+3,CQ8,1,1),0))))))</f>
        <v>0</v>
      </c>
      <c r="CT8" s="51">
        <f ca="1">IF($F8&lt;OFFSET($BM$9,$CL8-1,0,1,1),0,IF($F8&lt;OFFSET($BN$9,$CL8-1,0,1,1),IF(AND($H8&gt;2.4,Z8&lt;&gt;"e",Z8&lt;&gt;"f"),CX8*2.4/$H8,CX8),IF($F8&lt;OFFSET($BN$9,$CL8+0,0,1,1),IF(AND($H8&gt;2.4,Z8&lt;&gt;"e",Z8&lt;&gt;"f"),CX8*2.4/$H8,CX8),IF($F8&lt;OFFSET($BN$9,$CL8+1,0,1,1),IF(AND($H8&gt;2.4,Z8&lt;&gt;"e",Z8&lt;&gt;"f"),CX8*2.4/$H8,CX8),IF($F8&lt;OFFSET($BN$9,CL8+2,0,1,1),IF(AND($H8&gt;2.4,Z8&lt;&gt;"e",Z8&lt;&gt;"f"),CX8*2.4/$H8,CX8),IF($F8&lt;OFFSET($BN$9,CL8+3,0,1,1),IF(AND($H8&gt;2.4,Z8&lt;&gt;"e",Z8&lt;&gt;"f"),CX8*2.4/$H8,CX8),0)))))*COS(RADIANS($G8)))</f>
        <v>0</v>
      </c>
      <c r="CU8" s="51">
        <f ca="1">IF(F8&lt;OFFSET($BM$9,CL8-1,0,1,1),0,IF(F8&lt;OFFSET($BN$9,CL8-1,0,1,1),((F8-OFFSET($BM$9,CL8-1,0,1,1))*OFFSET($CI$9,CL8-1,0,1,1))+OFFSET($BP$9,CL8-1,CQ8,1,1),IF(F8&lt;OFFSET($BN$9,CL8+0,0,1,1),((F8-OFFSET($BM$9,CL8+0,0,1,1))*OFFSET($CI$9,CL8+0,0,1,1))+OFFSET($BP$9,CL8+0,CQ8,1,1),IF(F8&lt;OFFSET($BN$9,CL8+1,0,1,1),((F8-OFFSET($BM$9,CL8+1,0,1,1))*OFFSET($CI$9,CL8+1,0,1,1))+OFFSET($BP$9,CL8+1,CQ8,1,1),IF(F8&lt;OFFSET($BN$9,CL8+2,0,1,1),((F8-OFFSET($BM$9,CL8+2,0,1,1))*OFFSET($CI$9,CL8+2,0,1,1))+OFFSET($BP$9,CL8+2,CQ8,1,1),IF(F8&lt;OFFSET($BN$9,CL8+3,0,1,1),((F8-OFFSET($BM$9,CL8+3,0,1,1))*OFFSET($CI$9,CL8+3,0,1,1))+OFFSET($BP$9,CL8+3,CQ8,1,1),0))))))</f>
        <v>0</v>
      </c>
      <c r="CV8" s="51">
        <f ca="1">IF($F8&lt;OFFSET($BM$9,$CL8-1,0,1,1),0,IF($F8&lt;OFFSET($BN$9,$CL8-1,0,1,1),IF(AND($H8&gt;2.4,Z8&lt;&gt;"e",Z8&lt;&gt;"f"),CZ8*2.4/$H8,CZ8),IF($F8&lt;OFFSET($BN$9,$CL8+0,0,1,1),IF(AND($H8&gt;2.4,Z8&lt;&gt;"e",Z8&lt;&gt;"f"),CZ8*2.4/$H8,CZ8),IF($F8&lt;OFFSET($BN$9,$CL8+1,0,1,1),IF(AND($H8&gt;2.4,Z8&lt;&gt;"e",Z8&lt;&gt;"f"),CZ8*2.4/$H8,CZ8),IF($F8&lt;OFFSET($BN$9,$CL8+2,0,1,1),IF(AND($H8&gt;2.4,Z8&lt;&gt;"e",Z8&lt;&gt;"f"),CZ8*2.4/$H8,CZ8),IF($F8&lt;OFFSET($BN$9,$CL8+3,0,1,1),IF(AND($H8&gt;2.4,Z8&lt;&gt;"e",Z8&lt;&gt;"f"),CZ8*2.4/$H8,CZ8),0)))))*COS(RADIANS($G8)))</f>
        <v>0</v>
      </c>
      <c r="CW8" s="51">
        <f ca="1">IF(CT8&gt;CR8,CR8,CT8)</f>
        <v>0</v>
      </c>
      <c r="CX8" s="51">
        <f ca="1">IF(CS8&gt;$CR8,$CR8,CS8)</f>
        <v>0</v>
      </c>
      <c r="CY8" s="51">
        <f ca="1">CW8*F8</f>
        <v>0</v>
      </c>
      <c r="CZ8" s="51">
        <f ca="1">IF($CU8&gt;$CR8,$CR8,$CU8)</f>
        <v>0</v>
      </c>
      <c r="DA8" s="51">
        <f ca="1">IF(CV8&gt;CR8,CR8,CV8)</f>
        <v>0</v>
      </c>
      <c r="DB8" s="51">
        <f ca="1">DA8*F8</f>
        <v>0</v>
      </c>
      <c r="DC8" s="993">
        <v>2</v>
      </c>
      <c r="DD8" s="758" t="str">
        <f>IF(OR(D8=BG$12,D8=BG$13),"External",IF(D8=BG$14,"Internal"," "))</f>
        <v>External</v>
      </c>
      <c r="DE8" s="51" t="str">
        <f ca="1">IF(AND(OFFSET($CH$9,CL8-1,-14,1,1)="I",DD8="External"),BE$66,IF(AND(OFFSET($CH$9,CL8-1,-14,1,1)="M",DD8="Internal"),BE$65,IF(AND(OFFSET($CH$9,CL8-1,-14,1,1)="M",DD8=" "),BE$64,IF(AND(OFFSET($CH$9,CL8-1,-14,1,1)="E",DD8="Internal"),BE$62,IF(AND(OFFSET($CH$9,CL8-1,-14,1,1)="E",DD8=" "),BE$61,IF(AND(DF8="Double",E8=$BG$16),BE$67,""))))))</f>
        <v/>
      </c>
      <c r="DF8" s="52" t="str">
        <f ca="1">IF(I8=" "," ",OFFSET($BM$9,$CL8-1,11,1,1))</f>
        <v xml:space="preserve"> </v>
      </c>
      <c r="DG8" s="51">
        <f ca="1">IF(F8&lt;OFFSET($BM$9,CN8-1,0,1,1),0,IF(F8&lt;OFFSET($BN$9,CN8-1,0,1,1),((F8-OFFSET($BM$9,CN8-1,0,1,1))*OFFSET($CH$9,CN8-1,0,1,1))+OFFSET($BO$9,CN8-1,CQ8,1,1),IF(F8&lt;OFFSET($BN$9,CN8+0,0,1,1),((F8-OFFSET($BM$9,CN8+0,0,1,1))*OFFSET($CH$9,CN8+0,0,1,1))+OFFSET($BO$9,CN8+0,CQ8,1,1),IF(F8&lt;OFFSET($BN$9,CN8+1,0,1,1),((F8-OFFSET($BM$9,CN8+1,0,1,1))*OFFSET($CH$9,CN8+1,0,1,1))+OFFSET($BO$9,CN8+1,CQ8,1,1),IF(F8&lt;OFFSET($BN$9,CN8+2,0,1,1),((F8-OFFSET($BM$9,CN8+2,0,1,1))*OFFSET($CH$9,CN8+2,0,1,1))+OFFSET($BO$9,CN8+2,CQ8,1,1),IF(F8&lt;OFFSET($BN$9,CN8+3,0,1,1),((F8-OFFSET($BM$9,CN8+3,0,1,1))*OFFSET($CH$9,CN8+3,0,1,1))+OFFSET($BO$9,CN8+3,CQ8,1,1),0))))))</f>
        <v>0</v>
      </c>
      <c r="DH8" s="51">
        <f ca="1">IF($F8&lt;OFFSET($BM$9,$CN8-1,0,1,1),0,IF($F8&lt;OFFSET($BN$9,$CN8-1,0,1,1),IF(AND($H8&gt;2.4,Z8&lt;&gt;"e",Z8&lt;&gt;"f"),DL8*2.4/$H8,DL8),IF($F8&lt;OFFSET($BN$9,$CN8+0,0,1,1),IF(AND($H8&gt;2.4,Z8&lt;&gt;"e",Z8&lt;&gt;"f"),DL8*2.4/$H8,DL8),IF($F8&lt;OFFSET($BN$9,$CN8+1,0,1,1),IF(AND($H8&gt;2.4,Z8&lt;&gt;"e",Z8&lt;&gt;"f"),DL8*2.4/$H8,DL8),IF($F8&lt;OFFSET($BN$9,$CN8+2,0,1,1),IF(AND($H8&gt;2.4,Z8&lt;&gt;"e",Z8&lt;&gt;"f"),DL8*2.4/$H8,DL8),IF($F8&lt;OFFSET($BN$9,$CN8+3,0,1,1),IF(AND($H8&gt;2.4,Z8&lt;&gt;"e",Z8&lt;&gt;"f"),DL8*2.4/$H8,DL8),0)))))*COS(RADIANS($G8)))</f>
        <v>0</v>
      </c>
      <c r="DI8" s="51">
        <f ca="1">IF(F8&lt;OFFSET($BM$9,CN8-1,0,1,1),0,IF(F8&lt;OFFSET($BN$9,CN8-1,0,1,1),((F8-OFFSET($BM$9,CN8-1,0,1,1))*OFFSET($CI$9,CN8-1,0,1,1))+OFFSET($BP$9,CN8-1,CQ8,1,1),IF(F8&lt;OFFSET($BN$9,CN8+0,0,1,1),((F8-OFFSET($BM$9,CN8+0,0,1,1))*OFFSET($CI$9,CN8+0,0,1,1))+OFFSET($BP$9,CN8+0,CQ8,1,1),IF(F8&lt;OFFSET($BN$9,CN8+1,0,1,1),((F8-OFFSET($BM$9,CN8+1,0,1,1))*OFFSET($CI$9,CN8+1,0,1,1))+OFFSET($BP$9,CN8+1,CQ8,1,1),IF(F8&lt;OFFSET($BN$9,CN8+2,0,1,1),((F8-OFFSET($BM$9,CN8+2,0,1,1))*OFFSET($CI$9,CN8+2,0,1,1))+OFFSET($BP$9,CN8+2,CQ8,1,1),IF(F8&lt;OFFSET($BN$9,CN8+3,0,1,1),((F8-OFFSET($BM$9,CN8+3,0,1,1))*OFFSET($CI$9,CN8+3,0,1,1))+OFFSET($BP$9,CN8+3,CQ8,1,1),0))))))</f>
        <v>0</v>
      </c>
      <c r="DJ8" s="51">
        <f ca="1">IF($F8&lt;OFFSET($BM$9,$CN8-1,0,1,1),0,IF($F8&lt;OFFSET($BN$9,$CN8-1,0,1,1),IF(AND($H8&gt;2.4,Z8&lt;&gt;"e",Z8&lt;&gt;"f"),DN8*2.4/$H8,DN8),IF($F8&lt;OFFSET($BN$9,$CN8+0,0,1,1),IF(AND($H8&gt;2.4,Z8&lt;&gt;"e",Z8&lt;&gt;"f"),DN8*2.4/$H8,DN8),IF($F8&lt;OFFSET($BN$9,$CN8+1,0,1,1),IF(AND($H8&gt;2.4,Z8&lt;&gt;"e",Z8&lt;&gt;"f"),DN8*2.4/$H8,DN8),IF($F8&lt;OFFSET($BN$9,$CN8+2,0,1,1),IF(AND($H8&gt;2.4,Z8&lt;&gt;"e",Z8&lt;&gt;"f"),DN8*2.4/$H8,DN8),IF($F8&lt;OFFSET($BN$9,$CN8+3,0,1,1),IF(AND($H8&gt;2.4,Z8&lt;&gt;"e",Z8&lt;&gt;"f"),DN8*2.4/$H8,DN8),0)))))*COS(RADIANS($G8)))</f>
        <v>0</v>
      </c>
      <c r="DK8" s="51"/>
      <c r="DL8" s="51">
        <f ca="1">IF(DG8&gt;$CR8,$CR8,DG8)</f>
        <v>0</v>
      </c>
      <c r="DM8" s="51"/>
      <c r="DN8" s="51">
        <f ca="1">IF(DI8&gt;$CR8,$CR8,DI8)</f>
        <v>0</v>
      </c>
      <c r="DO8" s="435">
        <f ca="1">IF(DH8&gt;$CR8,$CR8,DH8)</f>
        <v>0</v>
      </c>
      <c r="DP8" s="435">
        <f ca="1">DO8*F8</f>
        <v>0</v>
      </c>
      <c r="DQ8" s="436">
        <f ca="1">IF(DJ8&gt;$CR8,$CR8,DJ8)</f>
        <v>0</v>
      </c>
      <c r="DR8" s="437">
        <f ca="1">DQ8*F8</f>
        <v>0</v>
      </c>
      <c r="DS8" s="426">
        <f ca="1">OFFSET($CH$9,CL8-1,-15,1,1)</f>
        <v>0</v>
      </c>
      <c r="DT8" s="426">
        <f ca="1">VLOOKUP(DS8,Prodlink,2,0)</f>
        <v>0</v>
      </c>
      <c r="DU8" s="188">
        <f ca="1">IF(F8&lt;OFFSET($BM$9,DT8-1,0,1,1),0,IF(F8&lt;OFFSET($BN$9,DT8-1,0,1,1),((F8-OFFSET($BM$9,DT8-1,0,1,1))*OFFSET($CH$9,DT8-1,0,1,1))+OFFSET($BO$9,DT8-1,CQ8,1,1),IF(F8&lt;OFFSET($BN$9,DT8+0,0,1,1),((F8-OFFSET($BM$9,DT8+0,0,1,1))*OFFSET($CH$9,DT8+0,0,1,1))+OFFSET($BO$9,DT8+0,CQ8,1,1),IF(F8&lt;OFFSET($BN$9,DT8+1,0,1,1),((F8-OFFSET($BM$9,DT8+1,0,1,1))*OFFSET($CH$9,DT8+1,0,1,1))+OFFSET($BO$9,DT8+1,CQ8,1,1),IF(F8&lt;OFFSET($BN$9,DT8+2,0,1,1),((F8-OFFSET($BM$9,DT8+2,0,1,1))*OFFSET($CH$9,DT8+2,0,1,1))+OFFSET($BO$9,DT8+2,CQ8,1,1),IF(F8&lt;OFFSET($BN$9,DT8+3,0,1,1),((F8-OFFSET($BM$9,DT8+3,0,1,1))*OFFSET($CH$9,DT8+3,0,1,1))+OFFSET($BO$9,DT8+3,CQ8,1,1),0))))))</f>
        <v>0</v>
      </c>
      <c r="DV8" s="51">
        <f ca="1">IF($F8&lt;OFFSET($BM$9,$DT8-1,0,1,1),0,IF($F8&lt;OFFSET($BN$9,$DT8-1,0,1,1),IF(AND($H8&gt;2.4,Z8&lt;&gt;"e",Z8&lt;&gt;"f"),DZ8*2.4/$H8,DZ8),IF($F8&lt;OFFSET($BN$9,$DT8+0,0,1,1),IF(AND($H8&gt;2.4,Z8&lt;&gt;"e",Z8&lt;&gt;"f"),DZ8*2.4/$H8,DZ8),IF($F8&lt;OFFSET($BN$9,$DT8+1,0,1,1),IF(AND($H8&gt;2.4,Z8&lt;&gt;"e",Z8&lt;&gt;"f"),DZ8*2.4/$H8,DZ8),IF($F8&lt;OFFSET($BN$9,$DT8+2,0,1,1),IF(AND($H8&gt;2.4,Z8&lt;&gt;"e",Z8&lt;&gt;"f"),DZ8*2.4/$H8,DZ8),IF($F8&lt;OFFSET($BN$9,$DT8+3,0,1,1),IF(AND($H8&gt;2.4,Z8&lt;&gt;"e",Z8&lt;&gt;"f"),DZ8*2.4/$H8,DZ8),0)))))*COS(RADIANS($G8)))</f>
        <v>0</v>
      </c>
      <c r="DW8" s="188">
        <f ca="1">IF(F8&lt;OFFSET($BM$9,DT8-1,0,1,1),0,IF(F8&lt;OFFSET($BN$9,DT8-1,0,1,1),((F8-OFFSET($BM$9,DT8-1,0,1,1))*OFFSET($CI$9,DT8-1,0,1,1))+OFFSET($BP$9,DT8-1,CQ8,1,1),IF(F8&lt;OFFSET($BN$9,DT8+0,0,1,1),((F8-OFFSET($BM$9,DT8+0,0,1,1))*OFFSET($CI$9,DT8+0,0,1,1))+OFFSET($BP$9,DT8+0,CQ8,1,1),IF(F8&lt;OFFSET($BN$9,DT8+1,0,1,1),((F8-OFFSET($BM$9,DT8+1,0,1,1))*OFFSET($CI$9,DT8+1,0,1,1))+OFFSET($BP$9,DT8+1,CQ8,1,1),IF(F8&lt;OFFSET($BN$9,DT8+2,0,1,1),((F8-OFFSET($BM$9,DT8+2,0,1,1))*OFFSET($CI$9,DT8+2,0,1,1))+OFFSET($BP$9,DT8+2,CQ8,1,1),IF(F8&lt;OFFSET($BN$9,DT8+3,0,1,1),((F8-OFFSET($BM$9,DT8+3,0,1,1))*OFFSET($CI$9,DT8+3,0,1,1))+OFFSET($BP$9,DT8+3,CQ8,1,1),0))))))</f>
        <v>0</v>
      </c>
      <c r="DX8" s="51">
        <f ca="1">IF($F8&lt;OFFSET($BM$9,$DT8-1,0,1,1),0,IF($F8&lt;OFFSET($BN$9,$DT8-1,0,1,1),IF(AND($H8&gt;2.4,Z8&lt;&gt;"e",Z8&lt;&gt;"f"),EB8*2.4/$H8,EB8),IF($F8&lt;OFFSET($BN$9,$DT8+0,0,1,1),IF(AND($H8&gt;2.4,Z8&lt;&gt;"e",Z8&lt;&gt;"f"),EB8*2.4/$H8,EB8),IF($F8&lt;OFFSET($BN$9,$DT8+1,0,1,1),IF(AND($H8&gt;2.4,Z8&lt;&gt;"e",Z8&lt;&gt;"f"),EB8*2.4/$H8,EB8),IF($F8&lt;OFFSET($BN$9,$DT8+2,0,1,1),IF(AND($H8&gt;2.4,Z8&lt;&gt;"e",Z8&lt;&gt;"f"),EB8*2.4/$H8,EB8),IF($F8&lt;OFFSET($BN$9,$DT8+3,0,1,1),IF(AND($H8&gt;2.4,Z8&lt;&gt;"e",Z8&lt;&gt;"f"),EB8*2.4/$H8,EB8),0)))))*COS(RADIANS($G8)))</f>
        <v>0</v>
      </c>
      <c r="DY8" s="188"/>
      <c r="DZ8" s="188">
        <f ca="1">IF(DU8&gt;$CR8,$CR8,DU8)</f>
        <v>0</v>
      </c>
      <c r="EA8" s="188"/>
      <c r="EB8" s="188">
        <f ca="1">IF(DW8&gt;$CR8,$CR8,DW8)</f>
        <v>0</v>
      </c>
      <c r="EC8" s="435">
        <f ca="1">IF(DV8&gt;$CR8,$CR8,DV8)</f>
        <v>0</v>
      </c>
      <c r="ED8" s="435">
        <f ca="1">EC8*F8</f>
        <v>0</v>
      </c>
      <c r="EE8" s="436">
        <f ca="1">IF(DX8&gt;$CR8,$CR8,DX8)</f>
        <v>0</v>
      </c>
      <c r="EF8" s="437">
        <f ca="1">EE8*F8</f>
        <v>0</v>
      </c>
      <c r="EG8" s="613" t="str">
        <f>IF(D8=BG$12,BG$12,"")</f>
        <v>Top External</v>
      </c>
      <c r="EH8" s="614" t="str">
        <f>IF(D8=BG$13,BG$13,"")</f>
        <v/>
      </c>
      <c r="EI8" s="611">
        <f ca="1">IF(EG8=BG$12,M8,0)</f>
        <v>0</v>
      </c>
      <c r="EJ8" s="451">
        <f ca="1">IF(EG8=BG$12,O8,0)</f>
        <v>0</v>
      </c>
      <c r="EK8" s="451">
        <f>IF(EH8=BG$13,M8,0)</f>
        <v>0</v>
      </c>
      <c r="EL8" s="612">
        <f>IF(EH8=BG$13,O8,0)</f>
        <v>0</v>
      </c>
      <c r="EM8" s="426" t="str">
        <f ca="1">IF(AND(Z8&lt;&gt;"t",Z8&lt;&gt;"f"),"",IF(AND(EN8=$BH$13,K8=$BH$12),"NotOpt",IF(K8&lt;&gt;EN8,"Error","")))</f>
        <v/>
      </c>
      <c r="EN8" s="490" t="str">
        <f>IF($BG$28=1,$BH$13,$BH$12)</f>
        <v>120 BU's</v>
      </c>
      <c r="EO8" s="426" t="str">
        <f>K8</f>
        <v xml:space="preserve"> </v>
      </c>
      <c r="ER8" s="439" t="str">
        <f ca="1">IF(H8=0," ",H8)</f>
        <v xml:space="preserve"> </v>
      </c>
      <c r="ES8" s="440" t="str">
        <f ca="1">IF(ER8&lt;&gt;" ",IF(ER8&lt;&gt;ER$7,"Changed",""),"")</f>
        <v/>
      </c>
      <c r="ET8" s="440">
        <f ca="1">IF(ER8&lt;&gt;" ",IF(ER8&lt;&gt;ER$7,1,0),0)</f>
        <v>0</v>
      </c>
      <c r="EU8" s="957" t="str">
        <f ca="1">IF(I8=" "," ",IF(F8&lt;OFFSET($BM$9,CL8-1,0,1,1),1,""))</f>
        <v xml:space="preserve"> </v>
      </c>
      <c r="EW8" s="427"/>
      <c r="EX8"/>
      <c r="EY8"/>
      <c r="EZ8"/>
      <c r="FA8"/>
      <c r="FB8"/>
      <c r="FC8"/>
      <c r="FD8"/>
      <c r="FE8"/>
      <c r="FF8"/>
      <c r="FG8"/>
      <c r="FH8"/>
      <c r="FI8"/>
      <c r="FJ8"/>
      <c r="FK8"/>
      <c r="FL8"/>
      <c r="FM8"/>
      <c r="FN8"/>
      <c r="FO8"/>
    </row>
    <row r="9" spans="1:171" ht="17.100000000000001" customHeight="1" thickBot="1">
      <c r="B9" s="689" t="s">
        <v>246</v>
      </c>
      <c r="C9" s="684" t="str">
        <f>IF(OR(F9=0,I9="",I9=" ")," ",$V9)</f>
        <v xml:space="preserve"> </v>
      </c>
      <c r="D9" s="1361"/>
      <c r="E9" s="1034"/>
      <c r="F9" s="201"/>
      <c r="G9" s="1416"/>
      <c r="H9" s="199" t="str">
        <f ca="1">IF(OR(F9=0,Z9="E",Z9="f")," ",'Project Demand'!E$45)</f>
        <v xml:space="preserve"> </v>
      </c>
      <c r="I9" s="631" t="str">
        <f>IF($I$6&lt;&gt;$BG$8," ",AB9)</f>
        <v xml:space="preserve"> </v>
      </c>
      <c r="J9" s="44" t="str">
        <f ca="1">IF(OR(I9=" ",I9="")," ",OFFSET($BO$9,CL9-1,0-4,1,1))</f>
        <v xml:space="preserve"> </v>
      </c>
      <c r="K9" s="55" t="str">
        <f>IF(OR(I9=" ",I9="")," ",IF(OR(Z9="e",Z9="h"),"SD",BG$24))</f>
        <v xml:space="preserve"> </v>
      </c>
      <c r="L9" s="725">
        <f ca="1">CW9</f>
        <v>0</v>
      </c>
      <c r="M9" s="726">
        <f ca="1">CY9</f>
        <v>0</v>
      </c>
      <c r="N9" s="445">
        <f t="shared" ca="1" si="0"/>
        <v>0</v>
      </c>
      <c r="O9" s="728">
        <f t="shared" ca="1" si="0"/>
        <v>0</v>
      </c>
      <c r="P9" s="138"/>
      <c r="Q9" s="752" t="str">
        <f ca="1">IF(AND(OR(Z9="t",Z9="f"),K9=$BH$11),"No Floor!  Change Floor Type",IF(OR(I9=" ",I9="")," ",IF(F9&lt;OFFSET($BM$9,CL9-1,0,1,1),"check L(m)",DE9&amp;IF(AND(DP9&gt;=CY9,DR9&gt;=DB9),IF(AND(ED9&gt;=DP9,EF9&gt;=DR9),CONCATENATE(DS9," will provide same result"),CONCATENATE(CO9," will provide same result")),IF((DP9&gt;=CY9),CONCATENATE(CO9," provides same result in WIND"),IF((DR9&gt;=DB9),CONCATENATE(CO9," provides same result in EQ"),""))))))&amp;IF(ISERROR(FIND("pile",I9,1)),"",IF(INT(F9)&lt;&gt;F9,"Pile!  Use Whole Numbers Only",""))</f>
        <v xml:space="preserve"> </v>
      </c>
      <c r="R9" s="52"/>
      <c r="S9" s="1372"/>
      <c r="T9" s="52"/>
      <c r="U9" s="1377"/>
      <c r="V9" s="52" t="str">
        <f>IF(AND(B$5=$BF$9,OR(I9=BH$16,I9=BH$17))," ",IF(ISNUMBER(B$8),(CONCATENATE(B$8,".",W9)),(CONCATENATE(B$8,W9))))</f>
        <v>A0</v>
      </c>
      <c r="W9" s="9">
        <f>W8+X9</f>
        <v>0</v>
      </c>
      <c r="X9" s="9">
        <f>IF(AND(B$5=$BF$9,OR($I9=$BH$16,$I9=$BH$17,$I9=" ",$I9="",$F9=0)),0,IF(OR($I9=" ",$I9="",$F9=0),0,1))</f>
        <v>0</v>
      </c>
      <c r="Y9" s="896"/>
      <c r="Z9" s="52" t="str">
        <f ca="1">IF(I9=" "," ",OFFSET($BM$9,$CL9-1,8,1,1))</f>
        <v xml:space="preserve"> </v>
      </c>
      <c r="AA9" s="51" t="str">
        <f>IF(G9&gt;=45,"WA","")</f>
        <v/>
      </c>
      <c r="AB9" s="1364" t="str">
        <f>IF(F9&lt;&gt;"",IF(OR(D9=$BG$12,D9=$BG$13),IF(E9&lt;&gt;$BG$17,$BF$12,$BF$13),IF(E9&lt;&gt;$BG$17,$BF$12,$BF$13))," ")</f>
        <v xml:space="preserve"> </v>
      </c>
      <c r="AC9" s="1"/>
      <c r="AJ9" s="2185"/>
      <c r="AK9" s="2831"/>
      <c r="AL9" s="2786" t="str">
        <f>'Regular and QuickBrace Systems'!E20</f>
        <v>QuickBrace©  System Number</v>
      </c>
      <c r="AM9" s="2833" t="str">
        <f>'Regular and QuickBrace Systems'!F6</f>
        <v>Min Length (m)</v>
      </c>
      <c r="AN9" s="2251" t="str">
        <f>'Regular and QuickBrace Systems'!G6</f>
        <v>BU's/m   Wind</v>
      </c>
      <c r="AO9" s="2251" t="str">
        <f>'Regular and QuickBrace Systems'!H6</f>
        <v>BU's/m   EQ</v>
      </c>
      <c r="AP9" s="1244"/>
      <c r="AQ9" s="2654" t="str">
        <f>'Regular and QuickBrace Systems'!I20</f>
        <v>Specialised QuickBrace Corner &amp; Perimeter Pattern</v>
      </c>
      <c r="AR9" s="2655"/>
      <c r="AS9" s="2650" t="str">
        <f>'Regular and QuickBrace Systems'!K5</f>
        <v>Panel Hold Downs?</v>
      </c>
      <c r="AT9" s="1152"/>
      <c r="AU9" s="2023" t="str">
        <f>'Regular and QuickBrace Systems'!M6</f>
        <v xml:space="preserve">Elephant Plasterboard       </v>
      </c>
      <c r="AW9" s="2658" t="str">
        <f>'Regular and QuickBrace Systems'!$O$6</f>
        <v>Height Dependant</v>
      </c>
      <c r="AX9" s="2233" t="str">
        <f>'Regular and QuickBrace Systems'!$Q$6</f>
        <v>Foundation Dependant</v>
      </c>
      <c r="BD9" s="2649"/>
      <c r="BE9" s="1380"/>
      <c r="BF9" s="2679" t="s">
        <v>1084</v>
      </c>
      <c r="BG9" s="2679"/>
      <c r="BH9" s="2679"/>
      <c r="BI9" s="759"/>
      <c r="BJ9" s="896">
        <v>1</v>
      </c>
      <c r="BK9" s="119"/>
      <c r="BL9" s="916"/>
      <c r="BM9" s="967">
        <v>0</v>
      </c>
      <c r="BN9" s="966"/>
      <c r="BO9" s="966">
        <v>0</v>
      </c>
      <c r="BP9" s="966"/>
      <c r="BR9" s="450"/>
      <c r="BS9" s="450"/>
      <c r="BT9" s="450"/>
      <c r="BU9" s="450"/>
      <c r="BV9" s="51" t="s">
        <v>8</v>
      </c>
      <c r="CH9" s="966"/>
      <c r="CI9" s="966"/>
      <c r="CJ9" s="928"/>
      <c r="CK9" s="937"/>
      <c r="CL9" s="979">
        <f>VLOOKUP(I9,Prodlink,2,0)</f>
        <v>0</v>
      </c>
      <c r="CN9" s="497">
        <f t="shared" ref="CN9:CN39" ca="1" si="1">VLOOKUP(CO9,Prodlink,2,0)</f>
        <v>0</v>
      </c>
      <c r="CO9" s="497">
        <f ca="1">OFFSET($CH$9,CL9-1,-15,1,1)</f>
        <v>0</v>
      </c>
      <c r="CQ9" s="51">
        <v>0</v>
      </c>
      <c r="CR9" s="51">
        <f>IF(K9=$BH$12,$BH$23,IF(K9=$BH$13,$BH$24,10000))</f>
        <v>10000</v>
      </c>
      <c r="CS9" s="51">
        <f ca="1">IF(F9&lt;OFFSET($BM$9,CL9-1,0,1,1),0,IF(F9&lt;OFFSET($BN$9,CL9-1,0,1,1),((F9-OFFSET($BM$9,CL9-1,0,1,1))*OFFSET($CH$9,CL9-1,0,1,1))+OFFSET($BO$9,CL9-1,CQ9,1,1),IF(F9&lt;OFFSET($BN$9,CL9+0,0,1,1),((F9-OFFSET($BM$9,CL9+0,0,1,1))*OFFSET($CH$9,CL9+0,0,1,1))+OFFSET($BO$9,CL9+0,CQ9,1,1),IF(F9&lt;OFFSET($BN$9,CL9+1,0,1,1),((F9-OFFSET($BM$9,CL9+1,0,1,1))*OFFSET($CH$9,CL9+1,0,1,1))+OFFSET($BO$9,CL9+1,CQ9,1,1),IF(F9&lt;OFFSET($BN$9,CL9+2,0,1,1),((F9-OFFSET($BM$9,CL9+2,0,1,1))*OFFSET($CH$9,CL9+2,0,1,1))+OFFSET($BO$9,CL9+2,CQ9,1,1),IF(F9&lt;OFFSET($BN$9,CL9+3,0,1,1),((F9-OFFSET($BM$9,CL9+3,0,1,1))*OFFSET($CH$9,CL9+3,0,1,1))+OFFSET($BO$9,CL9+3,CQ9,1,1),0))))))</f>
        <v>0</v>
      </c>
      <c r="CT9" s="51">
        <f ca="1">IF($F9&lt;OFFSET($BM$9,$CL9-1,0,1,1),0,IF($F9&lt;OFFSET($BN$9,$CL9-1,0,1,1),IF(AND($H9&gt;2.4,Z9&lt;&gt;"e",Z9&lt;&gt;"f"),CX9*2.4/$H9,CX9),IF($F9&lt;OFFSET($BN$9,$CL9+0,0,1,1),IF(AND($H9&gt;2.4,Z9&lt;&gt;"e",Z9&lt;&gt;"f"),CX9*2.4/$H9,CX9),IF($F9&lt;OFFSET($BN$9,$CL9+1,0,1,1),IF(AND($H9&gt;2.4,Z9&lt;&gt;"e",Z9&lt;&gt;"f"),CX9*2.4/$H9,CX9),IF($F9&lt;OFFSET($BN$9,CL9+2,0,1,1),IF(AND($H9&gt;2.4,Z9&lt;&gt;"e",Z9&lt;&gt;"f"),CX9*2.4/$H9,CX9),IF($F9&lt;OFFSET($BN$9,CL9+3,0,1,1),IF(AND($H9&gt;2.4,Z9&lt;&gt;"e",Z9&lt;&gt;"f"),CX9*2.4/$H9,CX9),0)))))*COS(RADIANS($G9)))</f>
        <v>0</v>
      </c>
      <c r="CU9" s="51">
        <f ca="1">IF(F9&lt;OFFSET($BM$9,CL9-1,0,1,1),0,IF(F9&lt;OFFSET($BN$9,CL9-1,0,1,1),((F9-OFFSET($BM$9,CL9-1,0,1,1))*OFFSET($CI$9,CL9-1,0,1,1))+OFFSET($BP$9,CL9-1,CQ9,1,1),IF(F9&lt;OFFSET($BN$9,CL9+0,0,1,1),((F9-OFFSET($BM$9,CL9+0,0,1,1))*OFFSET($CI$9,CL9+0,0,1,1))+OFFSET($BP$9,CL9+0,CQ9,1,1),IF(F9&lt;OFFSET($BN$9,CL9+1,0,1,1),((F9-OFFSET($BM$9,CL9+1,0,1,1))*OFFSET($CI$9,CL9+1,0,1,1))+OFFSET($BP$9,CL9+1,CQ9,1,1),IF(F9&lt;OFFSET($BN$9,CL9+2,0,1,1),((F9-OFFSET($BM$9,CL9+2,0,1,1))*OFFSET($CI$9,CL9+2,0,1,1))+OFFSET($BP$9,CL9+2,CQ9,1,1),IF(F9&lt;OFFSET($BN$9,CL9+3,0,1,1),((F9-OFFSET($BM$9,CL9+3,0,1,1))*OFFSET($CI$9,CL9+3,0,1,1))+OFFSET($BP$9,CL9+3,CQ9,1,1),0))))))</f>
        <v>0</v>
      </c>
      <c r="CV9" s="51">
        <f ca="1">IF($F9&lt;OFFSET($BM$9,$CL9-1,0,1,1),0,IF($F9&lt;OFFSET($BN$9,$CL9-1,0,1,1),IF(AND($H9&gt;2.4,Z9&lt;&gt;"e",Z9&lt;&gt;"f"),CZ9*2.4/$H9,CZ9),IF($F9&lt;OFFSET($BN$9,$CL9+0,0,1,1),IF(AND($H9&gt;2.4,Z9&lt;&gt;"e",Z9&lt;&gt;"f"),CZ9*2.4/$H9,CZ9),IF($F9&lt;OFFSET($BN$9,$CL9+1,0,1,1),IF(AND($H9&gt;2.4,Z9&lt;&gt;"e",Z9&lt;&gt;"f"),CZ9*2.4/$H9,CZ9),IF($F9&lt;OFFSET($BN$9,$CL9+2,0,1,1),IF(AND($H9&gt;2.4,Z9&lt;&gt;"e",Z9&lt;&gt;"f"),CZ9*2.4/$H9,CZ9),IF($F9&lt;OFFSET($BN$9,$CL9+3,0,1,1),IF(AND($H9&gt;2.4,Z9&lt;&gt;"e",Z9&lt;&gt;"f"),CZ9*2.4/$H9,CZ9),0)))))*COS(RADIANS($G9)))</f>
        <v>0</v>
      </c>
      <c r="CW9" s="51">
        <f ca="1">IF(CT9&gt;CR9,CR9,CT9)</f>
        <v>0</v>
      </c>
      <c r="CX9" s="51">
        <f ca="1">IF(CS9&gt;$CR9,$CR9,CS9)</f>
        <v>0</v>
      </c>
      <c r="CY9" s="51">
        <f ca="1">CW9*F9</f>
        <v>0</v>
      </c>
      <c r="CZ9" s="51">
        <f ca="1">IF($CU9&gt;$CR9,$CR9,$CU9)</f>
        <v>0</v>
      </c>
      <c r="DA9" s="51">
        <f ca="1">IF(CV9&gt;CR9,CR9,CV9)</f>
        <v>0</v>
      </c>
      <c r="DB9" s="51">
        <f ca="1">DA9*F9</f>
        <v>0</v>
      </c>
      <c r="DC9" s="993">
        <v>2</v>
      </c>
      <c r="DD9" s="758" t="str">
        <f>IF(OR(D9=BG$12,D9=BG$13),"External",IF(D9=BG$14,"Internal"," "))</f>
        <v xml:space="preserve"> </v>
      </c>
      <c r="DE9" s="51" t="str">
        <f t="shared" ref="DE9:DE72" ca="1" si="2">IF(AND(OFFSET($CH$9,CL9-1,-14,1,1)="I",DD9="External"),BE$66,IF(AND(OFFSET($CH$9,CL9-1,-14,1,1)="M",DD9="Internal"),BE$65,IF(AND(OFFSET($CH$9,CL9-1,-14,1,1)="M",DD9=" "),BE$64,IF(AND(OFFSET($CH$9,CL9-1,-14,1,1)="E",DD9="Internal"),BE$62,IF(AND(OFFSET($CH$9,CL9-1,-14,1,1)="E",DD9=" "),BE$61,IF(AND(DF9="Double",E9=$BG$16),BE$67,""))))))</f>
        <v/>
      </c>
      <c r="DF9" s="52" t="str">
        <f t="shared" ref="DF9:DF72" ca="1" si="3">IF(I9=" "," ",OFFSET($BM$9,$CL9-1,11,1,1))</f>
        <v xml:space="preserve"> </v>
      </c>
      <c r="DG9" s="51">
        <f ca="1">IF(F9&lt;OFFSET($BM$9,CN9-1,0,1,1),0,IF(F9&lt;OFFSET($BN$9,CN9-1,0,1,1),((F9-OFFSET($BM$9,CN9-1,0,1,1))*OFFSET($CH$9,CN9-1,0,1,1))+OFFSET($BO$9,CN9-1,CQ9,1,1),IF(F9&lt;OFFSET($BN$9,CN9+0,0,1,1),((F9-OFFSET($BM$9,CN9+0,0,1,1))*OFFSET($CH$9,CN9+0,0,1,1))+OFFSET($BO$9,CN9+0,CQ9,1,1),IF(F9&lt;OFFSET($BN$9,CN9+1,0,1,1),((F9-OFFSET($BM$9,CN9+1,0,1,1))*OFFSET($CH$9,CN9+1,0,1,1))+OFFSET($BO$9,CN9+1,CQ9,1,1),IF(F9&lt;OFFSET($BN$9,CN9+2,0,1,1),((F9-OFFSET($BM$9,CN9+2,0,1,1))*OFFSET($CH$9,CN9+2,0,1,1))+OFFSET($BO$9,CN9+2,CQ9,1,1),IF(F9&lt;OFFSET($BN$9,CN9+3,0,1,1),((F9-OFFSET($BM$9,CN9+3,0,1,1))*OFFSET($CH$9,CN9+3,0,1,1))+OFFSET($BO$9,CN9+3,CQ9,1,1),0))))))</f>
        <v>0</v>
      </c>
      <c r="DH9" s="51">
        <f ca="1">IF($F9&lt;OFFSET($BM$9,$CN9-1,0,1,1),0,IF($F9&lt;OFFSET($BN$9,$CN9-1,0,1,1),IF(AND($H9&gt;2.4,Z9&lt;&gt;"e",Z9&lt;&gt;"f"),DL9*2.4/$H9,DL9),IF($F9&lt;OFFSET($BN$9,$CN9+0,0,1,1),IF(AND($H9&gt;2.4,Z9&lt;&gt;"e",Z9&lt;&gt;"f"),DL9*2.4/$H9,DL9),IF($F9&lt;OFFSET($BN$9,$CN9+1,0,1,1),IF(AND($H9&gt;2.4,Z9&lt;&gt;"e",Z9&lt;&gt;"f"),DL9*2.4/$H9,DL9),IF($F9&lt;OFFSET($BN$9,$CN9+2,0,1,1),IF(AND($H9&gt;2.4,Z9&lt;&gt;"e",Z9&lt;&gt;"f"),DL9*2.4/$H9,DL9),IF($F9&lt;OFFSET($BN$9,$CN9+3,0,1,1),IF(AND($H9&gt;2.4,Z9&lt;&gt;"e",Z9&lt;&gt;"f"),DL9*2.4/$H9,DL9),0)))))*COS(RADIANS($G9)))</f>
        <v>0</v>
      </c>
      <c r="DI9" s="51">
        <f ca="1">IF(F9&lt;OFFSET($BM$9,CN9-1,0,1,1),0,IF(F9&lt;OFFSET($BN$9,CN9-1,0,1,1),((F9-OFFSET($BM$9,CN9-1,0,1,1))*OFFSET($CI$9,CN9-1,0,1,1))+OFFSET($BP$9,CN9-1,CQ9,1,1),IF(F9&lt;OFFSET($BN$9,CN9+0,0,1,1),((F9-OFFSET($BM$9,CN9+0,0,1,1))*OFFSET($CI$9,CN9+0,0,1,1))+OFFSET($BP$9,CN9+0,CQ9,1,1),IF(F9&lt;OFFSET($BN$9,CN9+1,0,1,1),((F9-OFFSET($BM$9,CN9+1,0,1,1))*OFFSET($CI$9,CN9+1,0,1,1))+OFFSET($BP$9,CN9+1,CQ9,1,1),IF(F9&lt;OFFSET($BN$9,CN9+2,0,1,1),((F9-OFFSET($BM$9,CN9+2,0,1,1))*OFFSET($CI$9,CN9+2,0,1,1))+OFFSET($BP$9,CN9+2,CQ9,1,1),IF(F9&lt;OFFSET($BN$9,CN9+3,0,1,1),((F9-OFFSET($BM$9,CN9+3,0,1,1))*OFFSET($CI$9,CN9+3,0,1,1))+OFFSET($BP$9,CN9+3,CQ9,1,1),0))))))</f>
        <v>0</v>
      </c>
      <c r="DJ9" s="51">
        <f ca="1">IF($F9&lt;OFFSET($BM$9,$CN9-1,0,1,1),0,IF($F9&lt;OFFSET($BN$9,$CN9-1,0,1,1),IF(AND($H9&gt;2.4,Z9&lt;&gt;"e",Z9&lt;&gt;"f"),DN9*2.4/$H9,DN9),IF($F9&lt;OFFSET($BN$9,$CN9+0,0,1,1),IF(AND($H9&gt;2.4,Z9&lt;&gt;"e",Z9&lt;&gt;"f"),DN9*2.4/$H9,DN9),IF($F9&lt;OFFSET($BN$9,$CN9+1,0,1,1),IF(AND($H9&gt;2.4,Z9&lt;&gt;"e",Z9&lt;&gt;"f"),DN9*2.4/$H9,DN9),IF($F9&lt;OFFSET($BN$9,$CN9+2,0,1,1),IF(AND($H9&gt;2.4,Z9&lt;&gt;"e",Z9&lt;&gt;"f"),DN9*2.4/$H9,DN9),IF($F9&lt;OFFSET($BN$9,$CN9+3,0,1,1),IF(AND($H9&gt;2.4,Z9&lt;&gt;"e",Z9&lt;&gt;"f"),DN9*2.4/$H9,DN9),0)))))*COS(RADIANS($G9)))</f>
        <v>0</v>
      </c>
      <c r="DK9" s="51"/>
      <c r="DL9" s="51">
        <f ca="1">IF(DG9&gt;$CR9,$CR9,DG9)</f>
        <v>0</v>
      </c>
      <c r="DM9" s="51"/>
      <c r="DN9" s="51">
        <f ca="1">IF(DI9&gt;$CR9,$CR9,DI9)</f>
        <v>0</v>
      </c>
      <c r="DO9" s="435">
        <f ca="1">IF(DH9&gt;$CR9,$CR9,DH9)</f>
        <v>0</v>
      </c>
      <c r="DP9" s="435">
        <f ca="1">DO9*F9</f>
        <v>0</v>
      </c>
      <c r="DQ9" s="436">
        <f ca="1">IF(DJ9&gt;$CR9,$CR9,DJ9)</f>
        <v>0</v>
      </c>
      <c r="DR9" s="437">
        <f ca="1">DQ9*F9</f>
        <v>0</v>
      </c>
      <c r="DS9" s="426">
        <f ca="1">OFFSET($CH$9,CL9-1,-15,1,1)</f>
        <v>0</v>
      </c>
      <c r="DT9" s="426">
        <f ca="1">VLOOKUP(DS9,Prodlink,2,0)</f>
        <v>0</v>
      </c>
      <c r="DU9" s="188">
        <f ca="1">IF(F9&lt;OFFSET($BM$9,DT9-1,0,1,1),0,IF(F9&lt;OFFSET($BN$9,DT9-1,0,1,1),((F9-OFFSET($BM$9,DT9-1,0,1,1))*OFFSET($CH$9,DT9-1,0,1,1))+OFFSET($BO$9,DT9-1,CQ9,1,1),IF(F9&lt;OFFSET($BN$9,DT9+0,0,1,1),((F9-OFFSET($BM$9,DT9+0,0,1,1))*OFFSET($CH$9,DT9+0,0,1,1))+OFFSET($BO$9,DT9+0,CQ9,1,1),IF(F9&lt;OFFSET($BN$9,DT9+1,0,1,1),((F9-OFFSET($BM$9,DT9+1,0,1,1))*OFFSET($CH$9,DT9+1,0,1,1))+OFFSET($BO$9,DT9+1,CQ9,1,1),IF(F9&lt;OFFSET($BN$9,DT9+2,0,1,1),((F9-OFFSET($BM$9,DT9+2,0,1,1))*OFFSET($CH$9,DT9+2,0,1,1))+OFFSET($BO$9,DT9+2,CQ9,1,1),IF(F9&lt;OFFSET($BN$9,DT9+3,0,1,1),((F9-OFFSET($BM$9,DT9+3,0,1,1))*OFFSET($CH$9,DT9+3,0,1,1))+OFFSET($BO$9,DT9+3,CQ9,1,1),0))))))</f>
        <v>0</v>
      </c>
      <c r="DV9" s="51">
        <f ca="1">IF($F9&lt;OFFSET($BM$9,$DT9-1,0,1,1),0,IF($F9&lt;OFFSET($BN$9,$DT9-1,0,1,1),IF(AND($H9&gt;2.4,Z9&lt;&gt;"e",Z9&lt;&gt;"f"),DZ9*2.4/$H9,DZ9),IF($F9&lt;OFFSET($BN$9,$DT9+0,0,1,1),IF(AND($H9&gt;2.4,Z9&lt;&gt;"e",Z9&lt;&gt;"f"),DZ9*2.4/$H9,DZ9),IF($F9&lt;OFFSET($BN$9,$DT9+1,0,1,1),IF(AND($H9&gt;2.4,Z9&lt;&gt;"e",Z9&lt;&gt;"f"),DZ9*2.4/$H9,DZ9),IF($F9&lt;OFFSET($BN$9,$DT9+2,0,1,1),IF(AND($H9&gt;2.4,Z9&lt;&gt;"e",Z9&lt;&gt;"f"),DZ9*2.4/$H9,DZ9),IF($F9&lt;OFFSET($BN$9,$DT9+3,0,1,1),IF(AND($H9&gt;2.4,Z9&lt;&gt;"e",Z9&lt;&gt;"f"),DZ9*2.4/$H9,DZ9),0)))))*COS(RADIANS($G9)))</f>
        <v>0</v>
      </c>
      <c r="DW9" s="188">
        <f ca="1">IF(F9&lt;OFFSET($BM$9,DT9-1,0,1,1),0,IF(F9&lt;OFFSET($BN$9,DT9-1,0,1,1),((F9-OFFSET($BM$9,DT9-1,0,1,1))*OFFSET($CI$9,DT9-1,0,1,1))+OFFSET($BP$9,DT9-1,CQ9,1,1),IF(F9&lt;OFFSET($BN$9,DT9+0,0,1,1),((F9-OFFSET($BM$9,DT9+0,0,1,1))*OFFSET($CI$9,DT9+0,0,1,1))+OFFSET($BP$9,DT9+0,CQ9,1,1),IF(F9&lt;OFFSET($BN$9,DT9+1,0,1,1),((F9-OFFSET($BM$9,DT9+1,0,1,1))*OFFSET($CI$9,DT9+1,0,1,1))+OFFSET($BP$9,DT9+1,CQ9,1,1),IF(F9&lt;OFFSET($BN$9,DT9+2,0,1,1),((F9-OFFSET($BM$9,DT9+2,0,1,1))*OFFSET($CI$9,DT9+2,0,1,1))+OFFSET($BP$9,DT9+2,CQ9,1,1),IF(F9&lt;OFFSET($BN$9,DT9+3,0,1,1),((F9-OFFSET($BM$9,DT9+3,0,1,1))*OFFSET($CI$9,DT9+3,0,1,1))+OFFSET($BP$9,DT9+3,CQ9,1,1),0))))))</f>
        <v>0</v>
      </c>
      <c r="DX9" s="51">
        <f ca="1">IF($F9&lt;OFFSET($BM$9,$DT9-1,0,1,1),0,IF($F9&lt;OFFSET($BN$9,$DT9-1,0,1,1),IF(AND($H9&gt;2.4,Z9&lt;&gt;"e",Z9&lt;&gt;"f"),EB9*2.4/$H9,EB9),IF($F9&lt;OFFSET($BN$9,$DT9+0,0,1,1),IF(AND($H9&gt;2.4,Z9&lt;&gt;"e",Z9&lt;&gt;"f"),EB9*2.4/$H9,EB9),IF($F9&lt;OFFSET($BN$9,$DT9+1,0,1,1),IF(AND($H9&gt;2.4,Z9&lt;&gt;"e",Z9&lt;&gt;"f"),EB9*2.4/$H9,EB9),IF($F9&lt;OFFSET($BN$9,$DT9+2,0,1,1),IF(AND($H9&gt;2.4,Z9&lt;&gt;"e",Z9&lt;&gt;"f"),EB9*2.4/$H9,EB9),IF($F9&lt;OFFSET($BN$9,$DT9+3,0,1,1),IF(AND($H9&gt;2.4,Z9&lt;&gt;"e",Z9&lt;&gt;"f"),EB9*2.4/$H9,EB9),0)))))*COS(RADIANS($G9)))</f>
        <v>0</v>
      </c>
      <c r="DY9" s="188"/>
      <c r="DZ9" s="188">
        <f ca="1">IF(DU9&gt;$CR9,$CR9,DU9)</f>
        <v>0</v>
      </c>
      <c r="EA9" s="188"/>
      <c r="EB9" s="188">
        <f ca="1">IF(DW9&gt;$CR9,$CR9,DW9)</f>
        <v>0</v>
      </c>
      <c r="EC9" s="435">
        <f ca="1">IF(DV9&gt;$CR9,$CR9,DV9)</f>
        <v>0</v>
      </c>
      <c r="ED9" s="435">
        <f ca="1">EC9*F9</f>
        <v>0</v>
      </c>
      <c r="EE9" s="436">
        <f ca="1">IF(DX9&gt;$CR9,$CR9,DX9)</f>
        <v>0</v>
      </c>
      <c r="EF9" s="437">
        <f ca="1">EE9*F9</f>
        <v>0</v>
      </c>
      <c r="EG9" s="613" t="str">
        <f>IF(D9=BG$12,BG$12,"")</f>
        <v/>
      </c>
      <c r="EH9" s="614" t="str">
        <f>IF(D9=BG$13,BG$13,"")</f>
        <v/>
      </c>
      <c r="EI9" s="611">
        <f>IF(EG9=BG$12,M9,0)</f>
        <v>0</v>
      </c>
      <c r="EJ9" s="451">
        <f>IF(EG9=BG$12,O9,0)</f>
        <v>0</v>
      </c>
      <c r="EK9" s="451">
        <f>IF(EH9=BG$13,M9,0)</f>
        <v>0</v>
      </c>
      <c r="EL9" s="612">
        <f>IF(EH9=BG$13,O9,0)</f>
        <v>0</v>
      </c>
      <c r="EM9" s="426" t="str">
        <f ca="1">IF(AND(Z9&lt;&gt;"t",Z9&lt;&gt;"f"),"",IF(AND(EN9=$BH$13,K9=$BH$12),"NotOpt",IF(K9&lt;&gt;EN9,"Error","")))</f>
        <v/>
      </c>
      <c r="EN9" s="490" t="str">
        <f>IF($BG$28=1,$BH$13,$BH$12)</f>
        <v>120 BU's</v>
      </c>
      <c r="EO9" s="426" t="str">
        <f>K9</f>
        <v xml:space="preserve"> </v>
      </c>
      <c r="ER9" s="439" t="str">
        <f ca="1">IF(H9=0," ",H9)</f>
        <v xml:space="preserve"> </v>
      </c>
      <c r="ES9" s="440" t="str">
        <f ca="1">IF(ER9&lt;&gt;" ",IF(ER9&lt;&gt;ER$7,"Changed",""),"")</f>
        <v/>
      </c>
      <c r="ET9" s="440">
        <f ca="1">IF(ER9&lt;&gt;" ",IF(ER9&lt;&gt;ER$7,1,0),0)</f>
        <v>0</v>
      </c>
      <c r="EU9" s="957" t="str">
        <f ca="1">IF(I9=" "," ",IF(F9&lt;OFFSET($BM$9,CL9-1,0,1,1),1,""))</f>
        <v xml:space="preserve"> </v>
      </c>
      <c r="EW9" s="427"/>
      <c r="EX9"/>
      <c r="EY9"/>
      <c r="EZ9"/>
      <c r="FA9"/>
      <c r="FB9"/>
      <c r="FC9"/>
      <c r="FD9"/>
      <c r="FE9"/>
      <c r="FF9"/>
      <c r="FG9"/>
      <c r="FH9"/>
      <c r="FI9"/>
      <c r="FJ9"/>
      <c r="FK9"/>
      <c r="FL9"/>
      <c r="FM9"/>
      <c r="FN9"/>
      <c r="FO9"/>
    </row>
    <row r="10" spans="1:171" ht="17.100000000000001" customHeight="1" thickBot="1">
      <c r="B10" s="689" t="s">
        <v>246</v>
      </c>
      <c r="C10" s="684" t="str">
        <f>IF(OR(F10=0,I10="",I10=" ")," ",$V10)</f>
        <v xml:space="preserve"> </v>
      </c>
      <c r="D10" s="1033" t="s">
        <v>8</v>
      </c>
      <c r="E10" s="1360"/>
      <c r="F10" s="201"/>
      <c r="G10" s="1416"/>
      <c r="H10" s="199" t="str">
        <f ca="1">IF(OR(F10=0,Z10="E",Z10="f")," ",'Project Demand'!E$45)</f>
        <v xml:space="preserve"> </v>
      </c>
      <c r="I10" s="631" t="str">
        <f>IF($I$6&lt;&gt;$BG$8," ",AB10)</f>
        <v xml:space="preserve"> </v>
      </c>
      <c r="J10" s="44" t="str">
        <f ca="1">IF(OR(I10=" ",I10="")," ",OFFSET($BO$9,CL10-1,0-4,1,1))</f>
        <v xml:space="preserve"> </v>
      </c>
      <c r="K10" s="55" t="str">
        <f>IF(OR(I10=" ",I10="")," ",IF(OR(Z10="e",Z10="h"),"SD",BG$24))</f>
        <v xml:space="preserve"> </v>
      </c>
      <c r="L10" s="725">
        <f ca="1">CW10</f>
        <v>0</v>
      </c>
      <c r="M10" s="726">
        <f ca="1">CY10</f>
        <v>0</v>
      </c>
      <c r="N10" s="445">
        <f t="shared" ca="1" si="0"/>
        <v>0</v>
      </c>
      <c r="O10" s="728">
        <f t="shared" ca="1" si="0"/>
        <v>0</v>
      </c>
      <c r="P10" s="138"/>
      <c r="Q10" s="752" t="str">
        <f ca="1">IF(AND(OR(Z10="t",Z10="f"),K10=$BH$11),"No Floor!  Change Floor Type",IF(OR(I10=" ",I10="")," ",IF(F10&lt;OFFSET($BM$9,CL10-1,0,1,1),"check L(m)",DE10&amp;IF(AND(DP10&gt;=CY10,DR10&gt;=DB10),IF(AND(ED10&gt;=DP10,EF10&gt;=DR10),CONCATENATE(DS10," will provide same result"),CONCATENATE(CO10," will provide same result")),IF((DP10&gt;=CY10),CONCATENATE(CO10," provides same result in WIND"),IF((DR10&gt;=DB10),CONCATENATE(CO10," provides same result in EQ"),""))))))&amp;IF(ISERROR(FIND("pile",I10,1)),"",IF(INT(F10)&lt;&gt;F10,"Pile!  Use Whole Numbers Only",""))</f>
        <v xml:space="preserve"> </v>
      </c>
      <c r="R10" s="52"/>
      <c r="S10" s="1372"/>
      <c r="T10" s="52"/>
      <c r="U10" s="1377"/>
      <c r="V10" s="52" t="str">
        <f>IF(AND(B$5=$BF$9,OR(I10=BH$16,I10=BH$17))," ",IF(ISNUMBER(B$8),(CONCATENATE(B$8,".",W10)),(CONCATENATE(B$8,W10))))</f>
        <v>A0</v>
      </c>
      <c r="W10" s="9">
        <f>W9+X10</f>
        <v>0</v>
      </c>
      <c r="X10" s="9">
        <f>IF(AND(B$5=$BF$9,OR($I10=$BH$16,$I10=$BH$17,$I10=" ",$I10="",$F10=0)),0,IF(OR($I10=" ",$I10="",$F10=0),0,1))</f>
        <v>0</v>
      </c>
      <c r="Y10" s="896"/>
      <c r="Z10" s="52" t="str">
        <f ca="1">IF(I10=" "," ",OFFSET($BM$9,$CL10-1,8,1,1))</f>
        <v xml:space="preserve"> </v>
      </c>
      <c r="AA10" s="51" t="str">
        <f>IF(G10&gt;=45,"WA","")</f>
        <v/>
      </c>
      <c r="AB10" s="1364" t="str">
        <f>IF(F10&lt;&gt;"",IF(OR(D10=$BG$12,D10=$BG$13),IF(E10&lt;&gt;$BG$17,$BF$12,$BF$13),IF(E10&lt;&gt;$BG$17,$BF$12,$BF$13))," ")</f>
        <v xml:space="preserve"> </v>
      </c>
      <c r="AC10" s="1"/>
      <c r="AJ10" s="2185"/>
      <c r="AK10" s="2831"/>
      <c r="AL10" s="2786"/>
      <c r="AM10" s="2834"/>
      <c r="AN10" s="2252"/>
      <c r="AO10" s="2252"/>
      <c r="AP10" s="1244"/>
      <c r="AQ10" s="2654"/>
      <c r="AR10" s="2655"/>
      <c r="AS10" s="2650"/>
      <c r="AT10" s="1152"/>
      <c r="AU10" s="2023"/>
      <c r="AW10" s="2658"/>
      <c r="AX10" s="2233"/>
      <c r="BD10" s="2649"/>
      <c r="BE10" s="1381"/>
      <c r="BF10" s="2679" t="s">
        <v>1085</v>
      </c>
      <c r="BG10" s="2679"/>
      <c r="BH10" s="2679"/>
      <c r="BI10" s="759"/>
      <c r="BJ10" s="896">
        <f>BJ9+1</f>
        <v>2</v>
      </c>
      <c r="BK10" s="917"/>
      <c r="BL10" s="898"/>
      <c r="BM10" s="968"/>
      <c r="BV10" s="51" t="s">
        <v>8</v>
      </c>
      <c r="BW10" s="51" t="s">
        <v>8</v>
      </c>
      <c r="CJ10" s="759"/>
      <c r="CK10" s="188"/>
      <c r="CL10" s="979">
        <f>VLOOKUP(I10,Prodlink,2,0)</f>
        <v>0</v>
      </c>
      <c r="CN10" s="497">
        <f t="shared" ca="1" si="1"/>
        <v>0</v>
      </c>
      <c r="CO10" s="497">
        <f ca="1">OFFSET($CH$9,CL10-1,-15,1,1)</f>
        <v>0</v>
      </c>
      <c r="CQ10" s="51">
        <v>0</v>
      </c>
      <c r="CR10" s="51">
        <f>IF(K10=$BH$12,$BH$23,IF(K10=$BH$13,$BH$24,10000))</f>
        <v>10000</v>
      </c>
      <c r="CS10" s="51">
        <f ca="1">IF(F10&lt;OFFSET($BM$9,CL10-1,0,1,1),0,IF(F10&lt;OFFSET($BN$9,CL10-1,0,1,1),((F10-OFFSET($BM$9,CL10-1,0,1,1))*OFFSET($CH$9,CL10-1,0,1,1))+OFFSET($BO$9,CL10-1,CQ10,1,1),IF(F10&lt;OFFSET($BN$9,CL10+0,0,1,1),((F10-OFFSET($BM$9,CL10+0,0,1,1))*OFFSET($CH$9,CL10+0,0,1,1))+OFFSET($BO$9,CL10+0,CQ10,1,1),IF(F10&lt;OFFSET($BN$9,CL10+1,0,1,1),((F10-OFFSET($BM$9,CL10+1,0,1,1))*OFFSET($CH$9,CL10+1,0,1,1))+OFFSET($BO$9,CL10+1,CQ10,1,1),IF(F10&lt;OFFSET($BN$9,CL10+2,0,1,1),((F10-OFFSET($BM$9,CL10+2,0,1,1))*OFFSET($CH$9,CL10+2,0,1,1))+OFFSET($BO$9,CL10+2,CQ10,1,1),IF(F10&lt;OFFSET($BN$9,CL10+3,0,1,1),((F10-OFFSET($BM$9,CL10+3,0,1,1))*OFFSET($CH$9,CL10+3,0,1,1))+OFFSET($BO$9,CL10+3,CQ10,1,1),0))))))</f>
        <v>0</v>
      </c>
      <c r="CT10" s="51">
        <f ca="1">IF($F10&lt;OFFSET($BM$9,$CL10-1,0,1,1),0,IF($F10&lt;OFFSET($BN$9,$CL10-1,0,1,1),IF(AND($H10&gt;2.4,Z10&lt;&gt;"e",Z10&lt;&gt;"f"),CX10*2.4/$H10,CX10),IF($F10&lt;OFFSET($BN$9,$CL10+0,0,1,1),IF(AND($H10&gt;2.4,Z10&lt;&gt;"e",Z10&lt;&gt;"f"),CX10*2.4/$H10,CX10),IF($F10&lt;OFFSET($BN$9,$CL10+1,0,1,1),IF(AND($H10&gt;2.4,Z10&lt;&gt;"e",Z10&lt;&gt;"f"),CX10*2.4/$H10,CX10),IF($F10&lt;OFFSET($BN$9,CL10+2,0,1,1),IF(AND($H10&gt;2.4,Z10&lt;&gt;"e",Z10&lt;&gt;"f"),CX10*2.4/$H10,CX10),IF($F10&lt;OFFSET($BN$9,CL10+3,0,1,1),IF(AND($H10&gt;2.4,Z10&lt;&gt;"e",Z10&lt;&gt;"f"),CX10*2.4/$H10,CX10),0)))))*COS(RADIANS($G10)))</f>
        <v>0</v>
      </c>
      <c r="CU10" s="51">
        <f ca="1">IF(F10&lt;OFFSET($BM$9,CL10-1,0,1,1),0,IF(F10&lt;OFFSET($BN$9,CL10-1,0,1,1),((F10-OFFSET($BM$9,CL10-1,0,1,1))*OFFSET($CI$9,CL10-1,0,1,1))+OFFSET($BP$9,CL10-1,CQ10,1,1),IF(F10&lt;OFFSET($BN$9,CL10+0,0,1,1),((F10-OFFSET($BM$9,CL10+0,0,1,1))*OFFSET($CI$9,CL10+0,0,1,1))+OFFSET($BP$9,CL10+0,CQ10,1,1),IF(F10&lt;OFFSET($BN$9,CL10+1,0,1,1),((F10-OFFSET($BM$9,CL10+1,0,1,1))*OFFSET($CI$9,CL10+1,0,1,1))+OFFSET($BP$9,CL10+1,CQ10,1,1),IF(F10&lt;OFFSET($BN$9,CL10+2,0,1,1),((F10-OFFSET($BM$9,CL10+2,0,1,1))*OFFSET($CI$9,CL10+2,0,1,1))+OFFSET($BP$9,CL10+2,CQ10,1,1),IF(F10&lt;OFFSET($BN$9,CL10+3,0,1,1),((F10-OFFSET($BM$9,CL10+3,0,1,1))*OFFSET($CI$9,CL10+3,0,1,1))+OFFSET($BP$9,CL10+3,CQ10,1,1),0))))))</f>
        <v>0</v>
      </c>
      <c r="CV10" s="51">
        <f ca="1">IF($F10&lt;OFFSET($BM$9,$CL10-1,0,1,1),0,IF($F10&lt;OFFSET($BN$9,$CL10-1,0,1,1),IF(AND($H10&gt;2.4,Z10&lt;&gt;"e",Z10&lt;&gt;"f"),CZ10*2.4/$H10,CZ10),IF($F10&lt;OFFSET($BN$9,$CL10+0,0,1,1),IF(AND($H10&gt;2.4,Z10&lt;&gt;"e",Z10&lt;&gt;"f"),CZ10*2.4/$H10,CZ10),IF($F10&lt;OFFSET($BN$9,$CL10+1,0,1,1),IF(AND($H10&gt;2.4,Z10&lt;&gt;"e",Z10&lt;&gt;"f"),CZ10*2.4/$H10,CZ10),IF($F10&lt;OFFSET($BN$9,$CL10+2,0,1,1),IF(AND($H10&gt;2.4,Z10&lt;&gt;"e",Z10&lt;&gt;"f"),CZ10*2.4/$H10,CZ10),IF($F10&lt;OFFSET($BN$9,$CL10+3,0,1,1),IF(AND($H10&gt;2.4,Z10&lt;&gt;"e",Z10&lt;&gt;"f"),CZ10*2.4/$H10,CZ10),0)))))*COS(RADIANS($G10)))</f>
        <v>0</v>
      </c>
      <c r="CW10" s="51">
        <f ca="1">IF(CT10&gt;CR10,CR10,CT10)</f>
        <v>0</v>
      </c>
      <c r="CX10" s="51">
        <f ca="1">IF(CS10&gt;$CR10,$CR10,CS10)</f>
        <v>0</v>
      </c>
      <c r="CY10" s="51">
        <f ca="1">CW10*F10</f>
        <v>0</v>
      </c>
      <c r="CZ10" s="51">
        <f ca="1">IF($CU10&gt;$CR10,$CR10,$CU10)</f>
        <v>0</v>
      </c>
      <c r="DA10" s="51">
        <f ca="1">IF(CV10&gt;CR10,CR10,CV10)</f>
        <v>0</v>
      </c>
      <c r="DB10" s="51">
        <f ca="1">DA10*F10</f>
        <v>0</v>
      </c>
      <c r="DC10" s="993">
        <v>1</v>
      </c>
      <c r="DD10" s="758" t="str">
        <f>IF(OR(D10=BG$12,D10=BG$13),"External",IF(D10=BG$14,"Internal"," "))</f>
        <v xml:space="preserve"> </v>
      </c>
      <c r="DE10" s="51" t="str">
        <f t="shared" ca="1" si="2"/>
        <v/>
      </c>
      <c r="DF10" s="52" t="str">
        <f t="shared" ca="1" si="3"/>
        <v xml:space="preserve"> </v>
      </c>
      <c r="DG10" s="51">
        <f ca="1">IF(F10&lt;OFFSET($BM$9,CN10-1,0,1,1),0,IF(F10&lt;OFFSET($BN$9,CN10-1,0,1,1),((F10-OFFSET($BM$9,CN10-1,0,1,1))*OFFSET($CH$9,CN10-1,0,1,1))+OFFSET($BO$9,CN10-1,CQ10,1,1),IF(F10&lt;OFFSET($BN$9,CN10+0,0,1,1),((F10-OFFSET($BM$9,CN10+0,0,1,1))*OFFSET($CH$9,CN10+0,0,1,1))+OFFSET($BO$9,CN10+0,CQ10,1,1),IF(F10&lt;OFFSET($BN$9,CN10+1,0,1,1),((F10-OFFSET($BM$9,CN10+1,0,1,1))*OFFSET($CH$9,CN10+1,0,1,1))+OFFSET($BO$9,CN10+1,CQ10,1,1),IF(F10&lt;OFFSET($BN$9,CN10+2,0,1,1),((F10-OFFSET($BM$9,CN10+2,0,1,1))*OFFSET($CH$9,CN10+2,0,1,1))+OFFSET($BO$9,CN10+2,CQ10,1,1),IF(F10&lt;OFFSET($BN$9,CN10+3,0,1,1),((F10-OFFSET($BM$9,CN10+3,0,1,1))*OFFSET($CH$9,CN10+3,0,1,1))+OFFSET($BO$9,CN10+3,CQ10,1,1),0))))))</f>
        <v>0</v>
      </c>
      <c r="DH10" s="51">
        <f ca="1">IF($F10&lt;OFFSET($BM$9,$CN10-1,0,1,1),0,IF($F10&lt;OFFSET($BN$9,$CN10-1,0,1,1),IF(AND($H10&gt;2.4,Z10&lt;&gt;"e",Z10&lt;&gt;"f"),DL10*2.4/$H10,DL10),IF($F10&lt;OFFSET($BN$9,$CN10+0,0,1,1),IF(AND($H10&gt;2.4,Z10&lt;&gt;"e",Z10&lt;&gt;"f"),DL10*2.4/$H10,DL10),IF($F10&lt;OFFSET($BN$9,$CN10+1,0,1,1),IF(AND($H10&gt;2.4,Z10&lt;&gt;"e",Z10&lt;&gt;"f"),DL10*2.4/$H10,DL10),IF($F10&lt;OFFSET($BN$9,$CN10+2,0,1,1),IF(AND($H10&gt;2.4,Z10&lt;&gt;"e",Z10&lt;&gt;"f"),DL10*2.4/$H10,DL10),IF($F10&lt;OFFSET($BN$9,$CN10+3,0,1,1),IF(AND($H10&gt;2.4,Z10&lt;&gt;"e",Z10&lt;&gt;"f"),DL10*2.4/$H10,DL10),0)))))*COS(RADIANS($G10)))</f>
        <v>0</v>
      </c>
      <c r="DI10" s="51">
        <f ca="1">IF(F10&lt;OFFSET($BM$9,CN10-1,0,1,1),0,IF(F10&lt;OFFSET($BN$9,CN10-1,0,1,1),((F10-OFFSET($BM$9,CN10-1,0,1,1))*OFFSET($CI$9,CN10-1,0,1,1))+OFFSET($BP$9,CN10-1,CQ10,1,1),IF(F10&lt;OFFSET($BN$9,CN10+0,0,1,1),((F10-OFFSET($BM$9,CN10+0,0,1,1))*OFFSET($CI$9,CN10+0,0,1,1))+OFFSET($BP$9,CN10+0,CQ10,1,1),IF(F10&lt;OFFSET($BN$9,CN10+1,0,1,1),((F10-OFFSET($BM$9,CN10+1,0,1,1))*OFFSET($CI$9,CN10+1,0,1,1))+OFFSET($BP$9,CN10+1,CQ10,1,1),IF(F10&lt;OFFSET($BN$9,CN10+2,0,1,1),((F10-OFFSET($BM$9,CN10+2,0,1,1))*OFFSET($CI$9,CN10+2,0,1,1))+OFFSET($BP$9,CN10+2,CQ10,1,1),IF(F10&lt;OFFSET($BN$9,CN10+3,0,1,1),((F10-OFFSET($BM$9,CN10+3,0,1,1))*OFFSET($CI$9,CN10+3,0,1,1))+OFFSET($BP$9,CN10+3,CQ10,1,1),0))))))</f>
        <v>0</v>
      </c>
      <c r="DJ10" s="51">
        <f ca="1">IF($F10&lt;OFFSET($BM$9,$CN10-1,0,1,1),0,IF($F10&lt;OFFSET($BN$9,$CN10-1,0,1,1),IF(AND($H10&gt;2.4,Z10&lt;&gt;"e",Z10&lt;&gt;"f"),DN10*2.4/$H10,DN10),IF($F10&lt;OFFSET($BN$9,$CN10+0,0,1,1),IF(AND($H10&gt;2.4,Z10&lt;&gt;"e",Z10&lt;&gt;"f"),DN10*2.4/$H10,DN10),IF($F10&lt;OFFSET($BN$9,$CN10+1,0,1,1),IF(AND($H10&gt;2.4,Z10&lt;&gt;"e",Z10&lt;&gt;"f"),DN10*2.4/$H10,DN10),IF($F10&lt;OFFSET($BN$9,$CN10+2,0,1,1),IF(AND($H10&gt;2.4,Z10&lt;&gt;"e",Z10&lt;&gt;"f"),DN10*2.4/$H10,DN10),IF($F10&lt;OFFSET($BN$9,$CN10+3,0,1,1),IF(AND($H10&gt;2.4,Z10&lt;&gt;"e",Z10&lt;&gt;"f"),DN10*2.4/$H10,DN10),0)))))*COS(RADIANS($G10)))</f>
        <v>0</v>
      </c>
      <c r="DK10" s="51"/>
      <c r="DL10" s="51">
        <f ca="1">IF(DG10&gt;$CR10,$CR10,DG10)</f>
        <v>0</v>
      </c>
      <c r="DM10" s="51"/>
      <c r="DN10" s="51">
        <f ca="1">IF(DI10&gt;$CR10,$CR10,DI10)</f>
        <v>0</v>
      </c>
      <c r="DO10" s="435">
        <f ca="1">IF(DH10&gt;$CR10,$CR10,DH10)</f>
        <v>0</v>
      </c>
      <c r="DP10" s="435">
        <f ca="1">DO10*F10</f>
        <v>0</v>
      </c>
      <c r="DQ10" s="436">
        <f ca="1">IF(DJ10&gt;$CR10,$CR10,DJ10)</f>
        <v>0</v>
      </c>
      <c r="DR10" s="437">
        <f ca="1">DQ10*F10</f>
        <v>0</v>
      </c>
      <c r="DS10" s="426">
        <f ca="1">OFFSET($CH$9,CL10-1,-15,1,1)</f>
        <v>0</v>
      </c>
      <c r="DT10" s="426">
        <f ca="1">VLOOKUP(DS10,Prodlink,2,0)</f>
        <v>0</v>
      </c>
      <c r="DU10" s="188">
        <f ca="1">IF(F10&lt;OFFSET($BM$9,DT10-1,0,1,1),0,IF(F10&lt;OFFSET($BN$9,DT10-1,0,1,1),((F10-OFFSET($BM$9,DT10-1,0,1,1))*OFFSET($CH$9,DT10-1,0,1,1))+OFFSET($BO$9,DT10-1,CQ10,1,1),IF(F10&lt;OFFSET($BN$9,DT10+0,0,1,1),((F10-OFFSET($BM$9,DT10+0,0,1,1))*OFFSET($CH$9,DT10+0,0,1,1))+OFFSET($BO$9,DT10+0,CQ10,1,1),IF(F10&lt;OFFSET($BN$9,DT10+1,0,1,1),((F10-OFFSET($BM$9,DT10+1,0,1,1))*OFFSET($CH$9,DT10+1,0,1,1))+OFFSET($BO$9,DT10+1,CQ10,1,1),IF(F10&lt;OFFSET($BN$9,DT10+2,0,1,1),((F10-OFFSET($BM$9,DT10+2,0,1,1))*OFFSET($CH$9,DT10+2,0,1,1))+OFFSET($BO$9,DT10+2,CQ10,1,1),IF(F10&lt;OFFSET($BN$9,DT10+3,0,1,1),((F10-OFFSET($BM$9,DT10+3,0,1,1))*OFFSET($CH$9,DT10+3,0,1,1))+OFFSET($BO$9,DT10+3,CQ10,1,1),0))))))</f>
        <v>0</v>
      </c>
      <c r="DV10" s="51">
        <f ca="1">IF($F10&lt;OFFSET($BM$9,$DT10-1,0,1,1),0,IF($F10&lt;OFFSET($BN$9,$DT10-1,0,1,1),IF(AND($H10&gt;2.4,Z10&lt;&gt;"e",Z10&lt;&gt;"f"),DZ10*2.4/$H10,DZ10),IF($F10&lt;OFFSET($BN$9,$DT10+0,0,1,1),IF(AND($H10&gt;2.4,Z10&lt;&gt;"e",Z10&lt;&gt;"f"),DZ10*2.4/$H10,DZ10),IF($F10&lt;OFFSET($BN$9,$DT10+1,0,1,1),IF(AND($H10&gt;2.4,Z10&lt;&gt;"e",Z10&lt;&gt;"f"),DZ10*2.4/$H10,DZ10),IF($F10&lt;OFFSET($BN$9,$DT10+2,0,1,1),IF(AND($H10&gt;2.4,Z10&lt;&gt;"e",Z10&lt;&gt;"f"),DZ10*2.4/$H10,DZ10),IF($F10&lt;OFFSET($BN$9,$DT10+3,0,1,1),IF(AND($H10&gt;2.4,Z10&lt;&gt;"e",Z10&lt;&gt;"f"),DZ10*2.4/$H10,DZ10),0)))))*COS(RADIANS($G10)))</f>
        <v>0</v>
      </c>
      <c r="DW10" s="188">
        <f ca="1">IF(F10&lt;OFFSET($BM$9,DT10-1,0,1,1),0,IF(F10&lt;OFFSET($BN$9,DT10-1,0,1,1),((F10-OFFSET($BM$9,DT10-1,0,1,1))*OFFSET($CI$9,DT10-1,0,1,1))+OFFSET($BP$9,DT10-1,CQ10,1,1),IF(F10&lt;OFFSET($BN$9,DT10+0,0,1,1),((F10-OFFSET($BM$9,DT10+0,0,1,1))*OFFSET($CI$9,DT10+0,0,1,1))+OFFSET($BP$9,DT10+0,CQ10,1,1),IF(F10&lt;OFFSET($BN$9,DT10+1,0,1,1),((F10-OFFSET($BM$9,DT10+1,0,1,1))*OFFSET($CI$9,DT10+1,0,1,1))+OFFSET($BP$9,DT10+1,CQ10,1,1),IF(F10&lt;OFFSET($BN$9,DT10+2,0,1,1),((F10-OFFSET($BM$9,DT10+2,0,1,1))*OFFSET($CI$9,DT10+2,0,1,1))+OFFSET($BP$9,DT10+2,CQ10,1,1),IF(F10&lt;OFFSET($BN$9,DT10+3,0,1,1),((F10-OFFSET($BM$9,DT10+3,0,1,1))*OFFSET($CI$9,DT10+3,0,1,1))+OFFSET($BP$9,DT10+3,CQ10,1,1),0))))))</f>
        <v>0</v>
      </c>
      <c r="DX10" s="51">
        <f ca="1">IF($F10&lt;OFFSET($BM$9,$DT10-1,0,1,1),0,IF($F10&lt;OFFSET($BN$9,$DT10-1,0,1,1),IF(AND($H10&gt;2.4,Z10&lt;&gt;"e",Z10&lt;&gt;"f"),EB10*2.4/$H10,EB10),IF($F10&lt;OFFSET($BN$9,$DT10+0,0,1,1),IF(AND($H10&gt;2.4,Z10&lt;&gt;"e",Z10&lt;&gt;"f"),EB10*2.4/$H10,EB10),IF($F10&lt;OFFSET($BN$9,$DT10+1,0,1,1),IF(AND($H10&gt;2.4,Z10&lt;&gt;"e",Z10&lt;&gt;"f"),EB10*2.4/$H10,EB10),IF($F10&lt;OFFSET($BN$9,$DT10+2,0,1,1),IF(AND($H10&gt;2.4,Z10&lt;&gt;"e",Z10&lt;&gt;"f"),EB10*2.4/$H10,EB10),IF($F10&lt;OFFSET($BN$9,$DT10+3,0,1,1),IF(AND($H10&gt;2.4,Z10&lt;&gt;"e",Z10&lt;&gt;"f"),EB10*2.4/$H10,EB10),0)))))*COS(RADIANS($G10)))</f>
        <v>0</v>
      </c>
      <c r="DY10" s="188"/>
      <c r="DZ10" s="188">
        <f ca="1">IF(DU10&gt;$CR10,$CR10,DU10)</f>
        <v>0</v>
      </c>
      <c r="EA10" s="188"/>
      <c r="EB10" s="188">
        <f ca="1">IF(DW10&gt;$CR10,$CR10,DW10)</f>
        <v>0</v>
      </c>
      <c r="EC10" s="435">
        <f ca="1">IF(DV10&gt;$CR10,$CR10,DV10)</f>
        <v>0</v>
      </c>
      <c r="ED10" s="435">
        <f ca="1">EC10*F10</f>
        <v>0</v>
      </c>
      <c r="EE10" s="436">
        <f ca="1">IF(DX10&gt;$CR10,$CR10,DX10)</f>
        <v>0</v>
      </c>
      <c r="EF10" s="437">
        <f ca="1">EE10*F10</f>
        <v>0</v>
      </c>
      <c r="EG10" s="613" t="str">
        <f>IF(D10=BG$12,BG$12,"")</f>
        <v/>
      </c>
      <c r="EH10" s="614" t="str">
        <f>IF(D10=BG$13,BG$13,"")</f>
        <v/>
      </c>
      <c r="EI10" s="611">
        <f>IF(EG10=BG$12,M10,0)</f>
        <v>0</v>
      </c>
      <c r="EJ10" s="451">
        <f>IF(EG10=BG$12,O10,0)</f>
        <v>0</v>
      </c>
      <c r="EK10" s="451">
        <f>IF(EH10=BG$13,M10,0)</f>
        <v>0</v>
      </c>
      <c r="EL10" s="612">
        <f>IF(EH10=BG$13,O10,0)</f>
        <v>0</v>
      </c>
      <c r="EM10" s="426" t="str">
        <f ca="1">IF(AND(Z10&lt;&gt;"t",Z10&lt;&gt;"f"),"",IF(AND(EN10=$BH$13,K10=$BH$12),"NotOpt",IF(K10&lt;&gt;EN10,"Error","")))</f>
        <v/>
      </c>
      <c r="EN10" s="490" t="str">
        <f>IF($BG$28=1,$BH$13,$BH$12)</f>
        <v>120 BU's</v>
      </c>
      <c r="EO10" s="426" t="str">
        <f>K10</f>
        <v xml:space="preserve"> </v>
      </c>
      <c r="ER10" s="439" t="str">
        <f ca="1">IF(H10=0," ",H10)</f>
        <v xml:space="preserve"> </v>
      </c>
      <c r="ES10" s="440" t="str">
        <f ca="1">IF(ER10&lt;&gt;" ",IF(ER10&lt;&gt;ER$7,"Changed",""),"")</f>
        <v/>
      </c>
      <c r="ET10" s="440">
        <f ca="1">IF(ER10&lt;&gt;" ",IF(ER10&lt;&gt;ER$7,1,0),0)</f>
        <v>0</v>
      </c>
      <c r="EU10" s="957" t="str">
        <f ca="1">IF(I10=" "," ",IF(F10&lt;OFFSET($BM$9,CL10-1,0,1,1),1,""))</f>
        <v xml:space="preserve"> </v>
      </c>
      <c r="EW10" s="427"/>
      <c r="EX10"/>
      <c r="EY10"/>
      <c r="EZ10"/>
      <c r="FA10"/>
      <c r="FB10"/>
      <c r="FC10"/>
      <c r="FD10"/>
      <c r="FE10"/>
      <c r="FF10"/>
      <c r="FG10"/>
      <c r="FH10"/>
      <c r="FI10"/>
      <c r="FJ10"/>
      <c r="FK10"/>
      <c r="FL10"/>
      <c r="FM10"/>
      <c r="FN10"/>
      <c r="FO10"/>
    </row>
    <row r="11" spans="1:171" ht="17.100000000000001" customHeight="1" thickBot="1">
      <c r="B11" s="689" t="s">
        <v>246</v>
      </c>
      <c r="C11" s="684" t="str">
        <f>IF(OR(F11=0,I11="",I11=" ")," ",$V11)</f>
        <v xml:space="preserve"> </v>
      </c>
      <c r="D11" s="1033"/>
      <c r="E11" s="1360"/>
      <c r="F11" s="201"/>
      <c r="G11" s="1416"/>
      <c r="H11" s="199" t="str">
        <f ca="1">IF(OR(F11=0,Z11="E",Z11="f")," ",'Project Demand'!E$45)</f>
        <v xml:space="preserve"> </v>
      </c>
      <c r="I11" s="631" t="str">
        <f>IF($I$6&lt;&gt;$BG$8," ",AB11)</f>
        <v xml:space="preserve"> </v>
      </c>
      <c r="J11" s="44" t="str">
        <f ca="1">IF(OR(I11=" ",I11="")," ",OFFSET($BO$9,CL11-1,0-4,1,1))</f>
        <v xml:space="preserve"> </v>
      </c>
      <c r="K11" s="55" t="str">
        <f>IF(OR(I11=" ",I11="")," ",IF(OR(Z11="e",Z11="h"),"SD",BG$24))</f>
        <v xml:space="preserve"> </v>
      </c>
      <c r="L11" s="725">
        <f ca="1">CW11</f>
        <v>0</v>
      </c>
      <c r="M11" s="726">
        <f ca="1">CY11</f>
        <v>0</v>
      </c>
      <c r="N11" s="445">
        <f t="shared" ca="1" si="0"/>
        <v>0</v>
      </c>
      <c r="O11" s="728">
        <f t="shared" ca="1" si="0"/>
        <v>0</v>
      </c>
      <c r="P11" s="138"/>
      <c r="Q11" s="752" t="str">
        <f ca="1">IF(AND(OR(Z11="t",Z11="f"),K11=$BH$11),"No Floor!  Change Floor Type",IF(OR(I11=" ",I11="")," ",IF(F11&lt;OFFSET($BM$9,CL11-1,0,1,1),"check L(m)",DE11&amp;IF(AND(DP11&gt;=CY11,DR11&gt;=DB11),IF(AND(ED11&gt;=DP11,EF11&gt;=DR11),CONCATENATE(DS11," will provide same result"),CONCATENATE(CO11," will provide same result")),IF((DP11&gt;=CY11),CONCATENATE(CO11," provides same result in WIND"),IF((DR11&gt;=DB11),CONCATENATE(CO11," provides same result in EQ"),""))))))&amp;IF(ISERROR(FIND("pile",I11,1)),"",IF(INT(F11)&lt;&gt;F11,"Pile!  Use Whole Numbers Only",""))</f>
        <v xml:space="preserve"> </v>
      </c>
      <c r="R11" s="52"/>
      <c r="S11" s="1372"/>
      <c r="T11" s="52"/>
      <c r="U11" s="1377"/>
      <c r="V11" s="52" t="str">
        <f>IF(AND(B$5=$BF$9,OR(I11=BH$16,I11=BH$17))," ",IF(ISNUMBER(B$8),(CONCATENATE(B$8,".",W11)),(CONCATENATE(B$8,W11))))</f>
        <v>A0</v>
      </c>
      <c r="W11" s="9">
        <f>W10+X11</f>
        <v>0</v>
      </c>
      <c r="X11" s="9">
        <f>IF(AND(B$5=$BF$9,OR($I11=$BH$16,$I11=$BH$17,$I11=" ",$I11="",$F11=0)),0,IF(OR($I11=" ",$I11="",$F11=0),0,1))</f>
        <v>0</v>
      </c>
      <c r="Y11" s="896"/>
      <c r="Z11" s="52" t="str">
        <f ca="1">IF(I11=" "," ",OFFSET($BM$9,$CL11-1,8,1,1))</f>
        <v xml:space="preserve"> </v>
      </c>
      <c r="AA11" s="51" t="str">
        <f>IF(G11&gt;=45,"WA","")</f>
        <v/>
      </c>
      <c r="AB11" s="1364" t="str">
        <f>IF(F11&lt;&gt;"",IF(OR(D11=$BG$12,D11=$BG$13),IF(E11&lt;&gt;$BG$17,$BF$12,$BF$13),IF(E11&lt;&gt;$BG$17,$BF$12,$BF$13))," ")</f>
        <v xml:space="preserve"> </v>
      </c>
      <c r="AC11" s="1"/>
      <c r="AJ11" s="2198"/>
      <c r="AK11" s="2832"/>
      <c r="AL11" s="2787"/>
      <c r="AM11" s="2835"/>
      <c r="AN11" s="2253"/>
      <c r="AO11" s="2253"/>
      <c r="AP11" s="1593"/>
      <c r="AQ11" s="2656"/>
      <c r="AR11" s="2657"/>
      <c r="AS11" s="2651"/>
      <c r="AT11" s="1152"/>
      <c r="AU11" s="2188"/>
      <c r="AW11" s="2658"/>
      <c r="AX11" s="2233"/>
      <c r="BD11" s="2649"/>
      <c r="BF11" s="444" t="s">
        <v>8</v>
      </c>
      <c r="BG11" s="1029" t="s">
        <v>8</v>
      </c>
      <c r="BI11" s="759"/>
      <c r="BJ11" s="1249">
        <f t="shared" ref="BJ11:BJ40" si="4">BJ10+1</f>
        <v>3</v>
      </c>
      <c r="BK11" s="1251"/>
      <c r="BM11" s="52">
        <v>0</v>
      </c>
      <c r="BN11" s="52">
        <v>999</v>
      </c>
      <c r="BO11" s="52">
        <f>AS10</f>
        <v>0</v>
      </c>
      <c r="BP11" s="52">
        <v>0</v>
      </c>
      <c r="BV11" s="909" t="s">
        <v>8</v>
      </c>
      <c r="BW11" s="921">
        <v>0</v>
      </c>
      <c r="CH11" s="768">
        <f t="shared" ref="CH11:CH30" si="5">IF(BN11=999,0,(BO12-BO11)/(BN11-BM11))</f>
        <v>0</v>
      </c>
      <c r="CI11" s="924">
        <f t="shared" ref="CI11:CI30" si="6">IF(BN11=999,0,(BP12-BP11)/(BN11-BM11))</f>
        <v>0</v>
      </c>
      <c r="CJ11" s="759"/>
      <c r="CK11" s="188"/>
      <c r="CL11" s="979">
        <f>VLOOKUP(I11,Prodlink,2,0)</f>
        <v>0</v>
      </c>
      <c r="CN11" s="497">
        <f t="shared" ca="1" si="1"/>
        <v>0</v>
      </c>
      <c r="CO11" s="497">
        <f ca="1">OFFSET($CH$9,CL11-1,-15,1,1)</f>
        <v>0</v>
      </c>
      <c r="CQ11" s="51">
        <v>0</v>
      </c>
      <c r="CR11" s="51">
        <f>IF(K11=$BH$12,$BH$23,IF(K11=$BH$13,$BH$24,10000))</f>
        <v>10000</v>
      </c>
      <c r="CS11" s="51">
        <f ca="1">IF(F11&lt;OFFSET($BM$9,CL11-1,0,1,1),0,IF(F11&lt;OFFSET($BN$9,CL11-1,0,1,1),((F11-OFFSET($BM$9,CL11-1,0,1,1))*OFFSET($CH$9,CL11-1,0,1,1))+OFFSET($BO$9,CL11-1,CQ11,1,1),IF(F11&lt;OFFSET($BN$9,CL11+0,0,1,1),((F11-OFFSET($BM$9,CL11+0,0,1,1))*OFFSET($CH$9,CL11+0,0,1,1))+OFFSET($BO$9,CL11+0,CQ11,1,1),IF(F11&lt;OFFSET($BN$9,CL11+1,0,1,1),((F11-OFFSET($BM$9,CL11+1,0,1,1))*OFFSET($CH$9,CL11+1,0,1,1))+OFFSET($BO$9,CL11+1,CQ11,1,1),IF(F11&lt;OFFSET($BN$9,CL11+2,0,1,1),((F11-OFFSET($BM$9,CL11+2,0,1,1))*OFFSET($CH$9,CL11+2,0,1,1))+OFFSET($BO$9,CL11+2,CQ11,1,1),IF(F11&lt;OFFSET($BN$9,CL11+3,0,1,1),((F11-OFFSET($BM$9,CL11+3,0,1,1))*OFFSET($CH$9,CL11+3,0,1,1))+OFFSET($BO$9,CL11+3,CQ11,1,1),0))))))</f>
        <v>0</v>
      </c>
      <c r="CT11" s="51">
        <f ca="1">IF($F11&lt;OFFSET($BM$9,$CL11-1,0,1,1),0,IF($F11&lt;OFFSET($BN$9,$CL11-1,0,1,1),IF(AND($H11&gt;2.4,Z11&lt;&gt;"e",Z11&lt;&gt;"f"),CX11*2.4/$H11,CX11),IF($F11&lt;OFFSET($BN$9,$CL11+0,0,1,1),IF(AND($H11&gt;2.4,Z11&lt;&gt;"e",Z11&lt;&gt;"f"),CX11*2.4/$H11,CX11),IF($F11&lt;OFFSET($BN$9,$CL11+1,0,1,1),IF(AND($H11&gt;2.4,Z11&lt;&gt;"e",Z11&lt;&gt;"f"),CX11*2.4/$H11,CX11),IF($F11&lt;OFFSET($BN$9,CL11+2,0,1,1),IF(AND($H11&gt;2.4,Z11&lt;&gt;"e",Z11&lt;&gt;"f"),CX11*2.4/$H11,CX11),IF($F11&lt;OFFSET($BN$9,CL11+3,0,1,1),IF(AND($H11&gt;2.4,Z11&lt;&gt;"e",Z11&lt;&gt;"f"),CX11*2.4/$H11,CX11),0)))))*COS(RADIANS($G11)))</f>
        <v>0</v>
      </c>
      <c r="CU11" s="51">
        <f ca="1">IF(F11&lt;OFFSET($BM$9,CL11-1,0,1,1),0,IF(F11&lt;OFFSET($BN$9,CL11-1,0,1,1),((F11-OFFSET($BM$9,CL11-1,0,1,1))*OFFSET($CI$9,CL11-1,0,1,1))+OFFSET($BP$9,CL11-1,CQ11,1,1),IF(F11&lt;OFFSET($BN$9,CL11+0,0,1,1),((F11-OFFSET($BM$9,CL11+0,0,1,1))*OFFSET($CI$9,CL11+0,0,1,1))+OFFSET($BP$9,CL11+0,CQ11,1,1),IF(F11&lt;OFFSET($BN$9,CL11+1,0,1,1),((F11-OFFSET($BM$9,CL11+1,0,1,1))*OFFSET($CI$9,CL11+1,0,1,1))+OFFSET($BP$9,CL11+1,CQ11,1,1),IF(F11&lt;OFFSET($BN$9,CL11+2,0,1,1),((F11-OFFSET($BM$9,CL11+2,0,1,1))*OFFSET($CI$9,CL11+2,0,1,1))+OFFSET($BP$9,CL11+2,CQ11,1,1),IF(F11&lt;OFFSET($BN$9,CL11+3,0,1,1),((F11-OFFSET($BM$9,CL11+3,0,1,1))*OFFSET($CI$9,CL11+3,0,1,1))+OFFSET($BP$9,CL11+3,CQ11,1,1),0))))))</f>
        <v>0</v>
      </c>
      <c r="CV11" s="51">
        <f ca="1">IF($F11&lt;OFFSET($BM$9,$CL11-1,0,1,1),0,IF($F11&lt;OFFSET($BN$9,$CL11-1,0,1,1),IF(AND($H11&gt;2.4,Z11&lt;&gt;"e",Z11&lt;&gt;"f"),CZ11*2.4/$H11,CZ11),IF($F11&lt;OFFSET($BN$9,$CL11+0,0,1,1),IF(AND($H11&gt;2.4,Z11&lt;&gt;"e",Z11&lt;&gt;"f"),CZ11*2.4/$H11,CZ11),IF($F11&lt;OFFSET($BN$9,$CL11+1,0,1,1),IF(AND($H11&gt;2.4,Z11&lt;&gt;"e",Z11&lt;&gt;"f"),CZ11*2.4/$H11,CZ11),IF($F11&lt;OFFSET($BN$9,$CL11+2,0,1,1),IF(AND($H11&gt;2.4,Z11&lt;&gt;"e",Z11&lt;&gt;"f"),CZ11*2.4/$H11,CZ11),IF($F11&lt;OFFSET($BN$9,$CL11+3,0,1,1),IF(AND($H11&gt;2.4,Z11&lt;&gt;"e",Z11&lt;&gt;"f"),CZ11*2.4/$H11,CZ11),0)))))*COS(RADIANS($G11)))</f>
        <v>0</v>
      </c>
      <c r="CW11" s="51">
        <f ca="1">IF(CT11&gt;CR11,CR11,CT11)</f>
        <v>0</v>
      </c>
      <c r="CX11" s="51">
        <f ca="1">IF(CS11&gt;$CR11,$CR11,CS11)</f>
        <v>0</v>
      </c>
      <c r="CY11" s="51">
        <f ca="1">CW11*F11</f>
        <v>0</v>
      </c>
      <c r="CZ11" s="51">
        <f ca="1">IF($CU11&gt;$CR11,$CR11,$CU11)</f>
        <v>0</v>
      </c>
      <c r="DA11" s="51">
        <f ca="1">IF(CV11&gt;CR11,CR11,CV11)</f>
        <v>0</v>
      </c>
      <c r="DB11" s="51">
        <f ca="1">DA11*F11</f>
        <v>0</v>
      </c>
      <c r="DC11" s="993">
        <v>2</v>
      </c>
      <c r="DD11" s="758" t="str">
        <f>IF(OR(D11=BG$12,D11=BG$13),"External",IF(D11=BG$14,"Internal"," "))</f>
        <v xml:space="preserve"> </v>
      </c>
      <c r="DE11" s="51" t="str">
        <f t="shared" ca="1" si="2"/>
        <v/>
      </c>
      <c r="DF11" s="52" t="str">
        <f t="shared" ca="1" si="3"/>
        <v xml:space="preserve"> </v>
      </c>
      <c r="DG11" s="51">
        <f ca="1">IF(F11&lt;OFFSET($BM$9,CN11-1,0,1,1),0,IF(F11&lt;OFFSET($BN$9,CN11-1,0,1,1),((F11-OFFSET($BM$9,CN11-1,0,1,1))*OFFSET($CH$9,CN11-1,0,1,1))+OFFSET($BO$9,CN11-1,CQ11,1,1),IF(F11&lt;OFFSET($BN$9,CN11+0,0,1,1),((F11-OFFSET($BM$9,CN11+0,0,1,1))*OFFSET($CH$9,CN11+0,0,1,1))+OFFSET($BO$9,CN11+0,CQ11,1,1),IF(F11&lt;OFFSET($BN$9,CN11+1,0,1,1),((F11-OFFSET($BM$9,CN11+1,0,1,1))*OFFSET($CH$9,CN11+1,0,1,1))+OFFSET($BO$9,CN11+1,CQ11,1,1),IF(F11&lt;OFFSET($BN$9,CN11+2,0,1,1),((F11-OFFSET($BM$9,CN11+2,0,1,1))*OFFSET($CH$9,CN11+2,0,1,1))+OFFSET($BO$9,CN11+2,CQ11,1,1),IF(F11&lt;OFFSET($BN$9,CN11+3,0,1,1),((F11-OFFSET($BM$9,CN11+3,0,1,1))*OFFSET($CH$9,CN11+3,0,1,1))+OFFSET($BO$9,CN11+3,CQ11,1,1),0))))))</f>
        <v>0</v>
      </c>
      <c r="DH11" s="51">
        <f ca="1">IF($F11&lt;OFFSET($BM$9,$CN11-1,0,1,1),0,IF($F11&lt;OFFSET($BN$9,$CN11-1,0,1,1),IF(AND($H11&gt;2.4,Z11&lt;&gt;"e",Z11&lt;&gt;"f"),DL11*2.4/$H11,DL11),IF($F11&lt;OFFSET($BN$9,$CN11+0,0,1,1),IF(AND($H11&gt;2.4,Z11&lt;&gt;"e",Z11&lt;&gt;"f"),DL11*2.4/$H11,DL11),IF($F11&lt;OFFSET($BN$9,$CN11+1,0,1,1),IF(AND($H11&gt;2.4,Z11&lt;&gt;"e",Z11&lt;&gt;"f"),DL11*2.4/$H11,DL11),IF($F11&lt;OFFSET($BN$9,$CN11+2,0,1,1),IF(AND($H11&gt;2.4,Z11&lt;&gt;"e",Z11&lt;&gt;"f"),DL11*2.4/$H11,DL11),IF($F11&lt;OFFSET($BN$9,$CN11+3,0,1,1),IF(AND($H11&gt;2.4,Z11&lt;&gt;"e",Z11&lt;&gt;"f"),DL11*2.4/$H11,DL11),0)))))*COS(RADIANS($G11)))</f>
        <v>0</v>
      </c>
      <c r="DI11" s="51">
        <f ca="1">IF(F11&lt;OFFSET($BM$9,CN11-1,0,1,1),0,IF(F11&lt;OFFSET($BN$9,CN11-1,0,1,1),((F11-OFFSET($BM$9,CN11-1,0,1,1))*OFFSET($CI$9,CN11-1,0,1,1))+OFFSET($BP$9,CN11-1,CQ11,1,1),IF(F11&lt;OFFSET($BN$9,CN11+0,0,1,1),((F11-OFFSET($BM$9,CN11+0,0,1,1))*OFFSET($CI$9,CN11+0,0,1,1))+OFFSET($BP$9,CN11+0,CQ11,1,1),IF(F11&lt;OFFSET($BN$9,CN11+1,0,1,1),((F11-OFFSET($BM$9,CN11+1,0,1,1))*OFFSET($CI$9,CN11+1,0,1,1))+OFFSET($BP$9,CN11+1,CQ11,1,1),IF(F11&lt;OFFSET($BN$9,CN11+2,0,1,1),((F11-OFFSET($BM$9,CN11+2,0,1,1))*OFFSET($CI$9,CN11+2,0,1,1))+OFFSET($BP$9,CN11+2,CQ11,1,1),IF(F11&lt;OFFSET($BN$9,CN11+3,0,1,1),((F11-OFFSET($BM$9,CN11+3,0,1,1))*OFFSET($CI$9,CN11+3,0,1,1))+OFFSET($BP$9,CN11+3,CQ11,1,1),0))))))</f>
        <v>0</v>
      </c>
      <c r="DJ11" s="51">
        <f ca="1">IF($F11&lt;OFFSET($BM$9,$CN11-1,0,1,1),0,IF($F11&lt;OFFSET($BN$9,$CN11-1,0,1,1),IF(AND($H11&gt;2.4,Z11&lt;&gt;"e",Z11&lt;&gt;"f"),DN11*2.4/$H11,DN11),IF($F11&lt;OFFSET($BN$9,$CN11+0,0,1,1),IF(AND($H11&gt;2.4,Z11&lt;&gt;"e",Z11&lt;&gt;"f"),DN11*2.4/$H11,DN11),IF($F11&lt;OFFSET($BN$9,$CN11+1,0,1,1),IF(AND($H11&gt;2.4,Z11&lt;&gt;"e",Z11&lt;&gt;"f"),DN11*2.4/$H11,DN11),IF($F11&lt;OFFSET($BN$9,$CN11+2,0,1,1),IF(AND($H11&gt;2.4,Z11&lt;&gt;"e",Z11&lt;&gt;"f"),DN11*2.4/$H11,DN11),IF($F11&lt;OFFSET($BN$9,$CN11+3,0,1,1),IF(AND($H11&gt;2.4,Z11&lt;&gt;"e",Z11&lt;&gt;"f"),DN11*2.4/$H11,DN11),0)))))*COS(RADIANS($G11)))</f>
        <v>0</v>
      </c>
      <c r="DK11" s="51"/>
      <c r="DL11" s="51">
        <f ca="1">IF(DG11&gt;$CR11,$CR11,DG11)</f>
        <v>0</v>
      </c>
      <c r="DM11" s="51"/>
      <c r="DN11" s="51">
        <f ca="1">IF(DI11&gt;$CR11,$CR11,DI11)</f>
        <v>0</v>
      </c>
      <c r="DO11" s="435">
        <f ca="1">IF(DH11&gt;$CR11,$CR11,DH11)</f>
        <v>0</v>
      </c>
      <c r="DP11" s="435">
        <f ca="1">DO11*F11</f>
        <v>0</v>
      </c>
      <c r="DQ11" s="436">
        <f ca="1">IF(DJ11&gt;$CR11,$CR11,DJ11)</f>
        <v>0</v>
      </c>
      <c r="DR11" s="437">
        <f ca="1">DQ11*F11</f>
        <v>0</v>
      </c>
      <c r="DS11" s="426">
        <f ca="1">OFFSET($CH$9,CL11-1,-15,1,1)</f>
        <v>0</v>
      </c>
      <c r="DT11" s="426">
        <f ca="1">VLOOKUP(DS11,Prodlink,2,0)</f>
        <v>0</v>
      </c>
      <c r="DU11" s="188">
        <f ca="1">IF(F11&lt;OFFSET($BM$9,DT11-1,0,1,1),0,IF(F11&lt;OFFSET($BN$9,DT11-1,0,1,1),((F11-OFFSET($BM$9,DT11-1,0,1,1))*OFFSET($CH$9,DT11-1,0,1,1))+OFFSET($BO$9,DT11-1,CQ11,1,1),IF(F11&lt;OFFSET($BN$9,DT11+0,0,1,1),((F11-OFFSET($BM$9,DT11+0,0,1,1))*OFFSET($CH$9,DT11+0,0,1,1))+OFFSET($BO$9,DT11+0,CQ11,1,1),IF(F11&lt;OFFSET($BN$9,DT11+1,0,1,1),((F11-OFFSET($BM$9,DT11+1,0,1,1))*OFFSET($CH$9,DT11+1,0,1,1))+OFFSET($BO$9,DT11+1,CQ11,1,1),IF(F11&lt;OFFSET($BN$9,DT11+2,0,1,1),((F11-OFFSET($BM$9,DT11+2,0,1,1))*OFFSET($CH$9,DT11+2,0,1,1))+OFFSET($BO$9,DT11+2,CQ11,1,1),IF(F11&lt;OFFSET($BN$9,DT11+3,0,1,1),((F11-OFFSET($BM$9,DT11+3,0,1,1))*OFFSET($CH$9,DT11+3,0,1,1))+OFFSET($BO$9,DT11+3,CQ11,1,1),0))))))</f>
        <v>0</v>
      </c>
      <c r="DV11" s="51">
        <f ca="1">IF($F11&lt;OFFSET($BM$9,$DT11-1,0,1,1),0,IF($F11&lt;OFFSET($BN$9,$DT11-1,0,1,1),IF(AND($H11&gt;2.4,Z11&lt;&gt;"e",Z11&lt;&gt;"f"),DZ11*2.4/$H11,DZ11),IF($F11&lt;OFFSET($BN$9,$DT11+0,0,1,1),IF(AND($H11&gt;2.4,Z11&lt;&gt;"e",Z11&lt;&gt;"f"),DZ11*2.4/$H11,DZ11),IF($F11&lt;OFFSET($BN$9,$DT11+1,0,1,1),IF(AND($H11&gt;2.4,Z11&lt;&gt;"e",Z11&lt;&gt;"f"),DZ11*2.4/$H11,DZ11),IF($F11&lt;OFFSET($BN$9,$DT11+2,0,1,1),IF(AND($H11&gt;2.4,Z11&lt;&gt;"e",Z11&lt;&gt;"f"),DZ11*2.4/$H11,DZ11),IF($F11&lt;OFFSET($BN$9,$DT11+3,0,1,1),IF(AND($H11&gt;2.4,Z11&lt;&gt;"e",Z11&lt;&gt;"f"),DZ11*2.4/$H11,DZ11),0)))))*COS(RADIANS($G11)))</f>
        <v>0</v>
      </c>
      <c r="DW11" s="188">
        <f ca="1">IF(F11&lt;OFFSET($BM$9,DT11-1,0,1,1),0,IF(F11&lt;OFFSET($BN$9,DT11-1,0,1,1),((F11-OFFSET($BM$9,DT11-1,0,1,1))*OFFSET($CI$9,DT11-1,0,1,1))+OFFSET($BP$9,DT11-1,CQ11,1,1),IF(F11&lt;OFFSET($BN$9,DT11+0,0,1,1),((F11-OFFSET($BM$9,DT11+0,0,1,1))*OFFSET($CI$9,DT11+0,0,1,1))+OFFSET($BP$9,DT11+0,CQ11,1,1),IF(F11&lt;OFFSET($BN$9,DT11+1,0,1,1),((F11-OFFSET($BM$9,DT11+1,0,1,1))*OFFSET($CI$9,DT11+1,0,1,1))+OFFSET($BP$9,DT11+1,CQ11,1,1),IF(F11&lt;OFFSET($BN$9,DT11+2,0,1,1),((F11-OFFSET($BM$9,DT11+2,0,1,1))*OFFSET($CI$9,DT11+2,0,1,1))+OFFSET($BP$9,DT11+2,CQ11,1,1),IF(F11&lt;OFFSET($BN$9,DT11+3,0,1,1),((F11-OFFSET($BM$9,DT11+3,0,1,1))*OFFSET($CI$9,DT11+3,0,1,1))+OFFSET($BP$9,DT11+3,CQ11,1,1),0))))))</f>
        <v>0</v>
      </c>
      <c r="DX11" s="51">
        <f ca="1">IF($F11&lt;OFFSET($BM$9,$DT11-1,0,1,1),0,IF($F11&lt;OFFSET($BN$9,$DT11-1,0,1,1),IF(AND($H11&gt;2.4,Z11&lt;&gt;"e",Z11&lt;&gt;"f"),EB11*2.4/$H11,EB11),IF($F11&lt;OFFSET($BN$9,$DT11+0,0,1,1),IF(AND($H11&gt;2.4,Z11&lt;&gt;"e",Z11&lt;&gt;"f"),EB11*2.4/$H11,EB11),IF($F11&lt;OFFSET($BN$9,$DT11+1,0,1,1),IF(AND($H11&gt;2.4,Z11&lt;&gt;"e",Z11&lt;&gt;"f"),EB11*2.4/$H11,EB11),IF($F11&lt;OFFSET($BN$9,$DT11+2,0,1,1),IF(AND($H11&gt;2.4,Z11&lt;&gt;"e",Z11&lt;&gt;"f"),EB11*2.4/$H11,EB11),IF($F11&lt;OFFSET($BN$9,$DT11+3,0,1,1),IF(AND($H11&gt;2.4,Z11&lt;&gt;"e",Z11&lt;&gt;"f"),EB11*2.4/$H11,EB11),0)))))*COS(RADIANS($G11)))</f>
        <v>0</v>
      </c>
      <c r="DY11" s="188"/>
      <c r="DZ11" s="188">
        <f ca="1">IF(DU11&gt;$CR11,$CR11,DU11)</f>
        <v>0</v>
      </c>
      <c r="EA11" s="188"/>
      <c r="EB11" s="188">
        <f ca="1">IF(DW11&gt;$CR11,$CR11,DW11)</f>
        <v>0</v>
      </c>
      <c r="EC11" s="435">
        <f ca="1">IF(DV11&gt;$CR11,$CR11,DV11)</f>
        <v>0</v>
      </c>
      <c r="ED11" s="435">
        <f ca="1">EC11*F11</f>
        <v>0</v>
      </c>
      <c r="EE11" s="436">
        <f ca="1">IF(DX11&gt;$CR11,$CR11,DX11)</f>
        <v>0</v>
      </c>
      <c r="EF11" s="437">
        <f ca="1">EE11*F11</f>
        <v>0</v>
      </c>
      <c r="EG11" s="613" t="str">
        <f>IF(D11=BG$12,BG$12,"")</f>
        <v/>
      </c>
      <c r="EH11" s="614" t="str">
        <f>IF(D11=BG$13,BG$13,"")</f>
        <v/>
      </c>
      <c r="EI11" s="611">
        <f>IF(EG11=BG$12,M11,0)</f>
        <v>0</v>
      </c>
      <c r="EJ11" s="451">
        <f>IF(EG11=BG$12,O11,0)</f>
        <v>0</v>
      </c>
      <c r="EK11" s="451">
        <f>IF(EH11=BG$13,M11,0)</f>
        <v>0</v>
      </c>
      <c r="EL11" s="612">
        <f>IF(EH11=BG$13,O11,0)</f>
        <v>0</v>
      </c>
      <c r="EM11" s="426" t="str">
        <f ca="1">IF(AND(Z11&lt;&gt;"t",Z11&lt;&gt;"f"),"",IF(AND(EN11=$BH$13,K11=$BH$12),"NotOpt",IF(K11&lt;&gt;EN11,"Error","")))</f>
        <v/>
      </c>
      <c r="EN11" s="490" t="str">
        <f>IF($BG$28=1,$BH$13,$BH$12)</f>
        <v>120 BU's</v>
      </c>
      <c r="EO11" s="426" t="str">
        <f>K11</f>
        <v xml:space="preserve"> </v>
      </c>
      <c r="ER11" s="439" t="str">
        <f ca="1">IF(H11=0," ",H11)</f>
        <v xml:space="preserve"> </v>
      </c>
      <c r="ES11" s="440" t="str">
        <f ca="1">IF(ER11&lt;&gt;" ",IF(ER11&lt;&gt;ER$7,"Changed",""),"")</f>
        <v/>
      </c>
      <c r="ET11" s="440">
        <f ca="1">IF(ER11&lt;&gt;" ",IF(ER11&lt;&gt;ER$7,1,0),0)</f>
        <v>0</v>
      </c>
      <c r="EU11" s="957" t="str">
        <f ca="1">IF(I11=" "," ",IF(F11&lt;OFFSET($BM$9,CL11-1,0,1,1),1,""))</f>
        <v xml:space="preserve"> </v>
      </c>
      <c r="EW11" s="427"/>
      <c r="EX11"/>
      <c r="EY11"/>
      <c r="EZ11"/>
      <c r="FA11"/>
      <c r="FB11"/>
      <c r="FC11"/>
      <c r="FD11"/>
      <c r="FE11"/>
      <c r="FF11"/>
      <c r="FG11"/>
      <c r="FH11"/>
      <c r="FI11"/>
      <c r="FJ11"/>
      <c r="FK11"/>
      <c r="FL11"/>
      <c r="FM11"/>
      <c r="FN11"/>
      <c r="FO11"/>
    </row>
    <row r="12" spans="1:171" ht="17.100000000000001" customHeight="1" thickBot="1">
      <c r="B12" s="689" t="s">
        <v>246</v>
      </c>
      <c r="C12" s="684" t="str">
        <f>IF(OR(F12=0,I12="",I12=" ")," ",$V12)</f>
        <v xml:space="preserve"> </v>
      </c>
      <c r="D12" s="1418"/>
      <c r="E12" s="1034"/>
      <c r="F12" s="201"/>
      <c r="G12" s="1416"/>
      <c r="H12" s="199" t="str">
        <f ca="1">IF(OR(F12=0,Z12="E",Z12="f")," ",'Project Demand'!E$45)</f>
        <v xml:space="preserve"> </v>
      </c>
      <c r="I12" s="631" t="str">
        <f>IF($I$6&lt;&gt;$BG$8," ",AB12)</f>
        <v xml:space="preserve"> </v>
      </c>
      <c r="J12" s="44" t="str">
        <f ca="1">IF(OR(I12=" ",I12="")," ",OFFSET($BO$9,CL12-1,0-4,1,1))</f>
        <v xml:space="preserve"> </v>
      </c>
      <c r="K12" s="55" t="str">
        <f>IF(OR(I12=" ",I12="")," ",IF(OR(Z12="e",Z12="h"),"SD",BG$24))</f>
        <v xml:space="preserve"> </v>
      </c>
      <c r="L12" s="725">
        <f ca="1">CW12</f>
        <v>0</v>
      </c>
      <c r="M12" s="727">
        <f ca="1">CY12</f>
        <v>0</v>
      </c>
      <c r="N12" s="445">
        <f t="shared" ca="1" si="0"/>
        <v>0</v>
      </c>
      <c r="O12" s="728">
        <f t="shared" ca="1" si="0"/>
        <v>0</v>
      </c>
      <c r="P12" s="138"/>
      <c r="Q12" s="752" t="str">
        <f ca="1">IF(AND(OR(Z12="t",Z12="f"),K12=$BH$11),"No Floor!  Change Floor Type",IF(OR(I12=" ",I12="")," ",IF(F12&lt;OFFSET($BM$9,CL12-1,0,1,1),"check L(m)",DE12&amp;IF(AND(DP12&gt;=CY12,DR12&gt;=DB12),IF(AND(ED12&gt;=DP12,EF12&gt;=DR12),CONCATENATE(DS12," will provide same result"),CONCATENATE(CO12," will provide same result")),IF((DP12&gt;=CY12),CONCATENATE(CO12," provides same result in WIND"),IF((DR12&gt;=DB12),CONCATENATE(CO12," provides same result in EQ"),""))))))&amp;IF(ISERROR(FIND("pile",I12,1)),"",IF(INT(F12)&lt;&gt;F12,"Pile!  Use Whole Numbers Only",""))</f>
        <v xml:space="preserve"> </v>
      </c>
      <c r="T12" s="52"/>
      <c r="U12" s="1377"/>
      <c r="V12" s="52" t="str">
        <f>IF(AND(B$5=$BF$9,OR(I12=BH$16,I12=BH$17))," ",IF(ISNUMBER(B$8),(CONCATENATE(B$8,".",W12)),(CONCATENATE(B$8,W12))))</f>
        <v>A0</v>
      </c>
      <c r="W12" s="9">
        <f>W11+X12</f>
        <v>0</v>
      </c>
      <c r="X12" s="9">
        <f>IF(AND(B$5=$BF$9,OR($I12=$BH$16,$I12=$BH$17,$I12=" ",$I12="",$F12=0)),0,IF(OR($I12=" ",$I12="",$F12=0),0,1))</f>
        <v>0</v>
      </c>
      <c r="Y12" s="896"/>
      <c r="Z12" s="52" t="str">
        <f ca="1">IF(I12=" "," ",OFFSET($BM$9,$CL12-1,8,1,1))</f>
        <v xml:space="preserve"> </v>
      </c>
      <c r="AA12" s="51" t="str">
        <f>IF(G12&gt;=45,"WA","")</f>
        <v/>
      </c>
      <c r="AB12" s="1364" t="str">
        <f>IF(F12&lt;&gt;"",IF(OR(D12=$BG$12,D12=$BG$13),IF(E12&lt;&gt;$BG$17,$BF$12,$BF$13),IF(E12&lt;&gt;$BG$17,$BF$12,$BF$13))," ")</f>
        <v xml:space="preserve"> </v>
      </c>
      <c r="AC12" s="1"/>
      <c r="AJ12" s="2229" t="str">
        <f>'Regular and QuickBrace Systems'!C24</f>
        <v xml:space="preserve">Elephant Plasterboard ®  (EPB)  </v>
      </c>
      <c r="AK12" s="2805" t="str">
        <f>'Regular and QuickBrace Systems'!D24</f>
        <v>Plasterboard on One Side</v>
      </c>
      <c r="AL12" s="2806"/>
      <c r="AM12" s="2806"/>
      <c r="AN12" s="2806"/>
      <c r="AO12" s="1302"/>
      <c r="AP12" s="1302"/>
      <c r="AQ12" s="1303"/>
      <c r="AR12" s="1303"/>
      <c r="AS12" s="1334"/>
      <c r="AT12" s="1188"/>
      <c r="AU12" s="1354"/>
      <c r="AW12" s="1582"/>
      <c r="AX12" s="1571"/>
      <c r="BD12" s="2667"/>
      <c r="BF12" s="598" t="str">
        <f>Table!AI72</f>
        <v>ER1</v>
      </c>
      <c r="BG12" s="1026" t="str">
        <f>IF('Project Demand'!AX21=1,BG32,BG35)</f>
        <v>Top External</v>
      </c>
      <c r="BH12" s="707" t="str">
        <f>IF($BE$3=1,BH19,BG19)</f>
        <v>120 BU's</v>
      </c>
      <c r="BI12" s="759"/>
      <c r="BJ12" s="897">
        <f t="shared" si="4"/>
        <v>4</v>
      </c>
      <c r="BK12" s="1250" t="str">
        <f t="shared" ref="BK12:BK31" si="7">AK48</f>
        <v xml:space="preserve">  </v>
      </c>
      <c r="BL12" s="770" t="str">
        <f t="shared" ref="BL12:BL31" si="8">AL48</f>
        <v>Custom1</v>
      </c>
      <c r="BM12" s="454">
        <f t="shared" ref="BM12:BM31" si="9">AM48</f>
        <v>9.9999999999999996E-76</v>
      </c>
      <c r="BN12" s="454">
        <v>999</v>
      </c>
      <c r="BO12" s="454">
        <f t="shared" ref="BO12:BO31" si="10">AN48</f>
        <v>0</v>
      </c>
      <c r="BP12" s="924">
        <f t="shared" ref="BP12:BP31" si="11">AO48</f>
        <v>0</v>
      </c>
      <c r="BR12" s="768"/>
      <c r="BS12" s="454"/>
      <c r="BT12" s="454" t="str">
        <f t="shared" ref="BT12:BT31" si="12">AP48</f>
        <v>B</v>
      </c>
      <c r="BU12" s="924" t="str">
        <f t="shared" ref="BU12:BU31" si="13">AZ48</f>
        <v>T</v>
      </c>
      <c r="BV12" s="1238" t="str">
        <f t="shared" ref="BV12:BV31" si="14">AL48</f>
        <v>Custom1</v>
      </c>
      <c r="BW12" s="1236">
        <f>BJ12</f>
        <v>4</v>
      </c>
      <c r="BX12" s="924" t="str">
        <f>AQ48</f>
        <v>Single</v>
      </c>
      <c r="CH12" s="768">
        <f t="shared" si="5"/>
        <v>0</v>
      </c>
      <c r="CI12" s="924">
        <f t="shared" si="6"/>
        <v>0</v>
      </c>
      <c r="CJ12" s="759"/>
      <c r="CK12" s="188"/>
      <c r="CL12" s="979">
        <f>VLOOKUP(I12,Prodlink,2,0)</f>
        <v>0</v>
      </c>
      <c r="CN12" s="497">
        <f t="shared" ca="1" si="1"/>
        <v>0</v>
      </c>
      <c r="CO12" s="497">
        <f ca="1">OFFSET($CH$9,CL12-1,-15,1,1)</f>
        <v>0</v>
      </c>
      <c r="CQ12" s="51">
        <v>0</v>
      </c>
      <c r="CR12" s="51">
        <f>IF(K12=$BH$12,$BH$23,IF(K12=$BH$13,$BH$24,10000))</f>
        <v>10000</v>
      </c>
      <c r="CS12" s="51">
        <f ca="1">IF(F12&lt;OFFSET($BM$9,CL12-1,0,1,1),0,IF(F12&lt;OFFSET($BN$9,CL12-1,0,1,1),((F12-OFFSET($BM$9,CL12-1,0,1,1))*OFFSET($CH$9,CL12-1,0,1,1))+OFFSET($BO$9,CL12-1,CQ12,1,1),IF(F12&lt;OFFSET($BN$9,CL12+0,0,1,1),((F12-OFFSET($BM$9,CL12+0,0,1,1))*OFFSET($CH$9,CL12+0,0,1,1))+OFFSET($BO$9,CL12+0,CQ12,1,1),IF(F12&lt;OFFSET($BN$9,CL12+1,0,1,1),((F12-OFFSET($BM$9,CL12+1,0,1,1))*OFFSET($CH$9,CL12+1,0,1,1))+OFFSET($BO$9,CL12+1,CQ12,1,1),IF(F12&lt;OFFSET($BN$9,CL12+2,0,1,1),((F12-OFFSET($BM$9,CL12+2,0,1,1))*OFFSET($CH$9,CL12+2,0,1,1))+OFFSET($BO$9,CL12+2,CQ12,1,1),IF(F12&lt;OFFSET($BN$9,CL12+3,0,1,1),((F12-OFFSET($BM$9,CL12+3,0,1,1))*OFFSET($CH$9,CL12+3,0,1,1))+OFFSET($BO$9,CL12+3,CQ12,1,1),0))))))</f>
        <v>0</v>
      </c>
      <c r="CT12" s="51">
        <f ca="1">IF($F12&lt;OFFSET($BM$9,$CL12-1,0,1,1),0,IF($F12&lt;OFFSET($BN$9,$CL12-1,0,1,1),IF(AND($H12&gt;2.4,Z12&lt;&gt;"e",Z12&lt;&gt;"f"),CX12*2.4/$H12,CX12),IF($F12&lt;OFFSET($BN$9,$CL12+0,0,1,1),IF(AND($H12&gt;2.4,Z12&lt;&gt;"e",Z12&lt;&gt;"f"),CX12*2.4/$H12,CX12),IF($F12&lt;OFFSET($BN$9,$CL12+1,0,1,1),IF(AND($H12&gt;2.4,Z12&lt;&gt;"e",Z12&lt;&gt;"f"),CX12*2.4/$H12,CX12),IF($F12&lt;OFFSET($BN$9,CL12+2,0,1,1),IF(AND($H12&gt;2.4,Z12&lt;&gt;"e",Z12&lt;&gt;"f"),CX12*2.4/$H12,CX12),IF($F12&lt;OFFSET($BN$9,CL12+3,0,1,1),IF(AND($H12&gt;2.4,Z12&lt;&gt;"e",Z12&lt;&gt;"f"),CX12*2.4/$H12,CX12),0)))))*COS(RADIANS($G12)))</f>
        <v>0</v>
      </c>
      <c r="CU12" s="51">
        <f ca="1">IF(F12&lt;OFFSET($BM$9,CL12-1,0,1,1),0,IF(F12&lt;OFFSET($BN$9,CL12-1,0,1,1),((F12-OFFSET($BM$9,CL12-1,0,1,1))*OFFSET($CI$9,CL12-1,0,1,1))+OFFSET($BP$9,CL12-1,CQ12,1,1),IF(F12&lt;OFFSET($BN$9,CL12+0,0,1,1),((F12-OFFSET($BM$9,CL12+0,0,1,1))*OFFSET($CI$9,CL12+0,0,1,1))+OFFSET($BP$9,CL12+0,CQ12,1,1),IF(F12&lt;OFFSET($BN$9,CL12+1,0,1,1),((F12-OFFSET($BM$9,CL12+1,0,1,1))*OFFSET($CI$9,CL12+1,0,1,1))+OFFSET($BP$9,CL12+1,CQ12,1,1),IF(F12&lt;OFFSET($BN$9,CL12+2,0,1,1),((F12-OFFSET($BM$9,CL12+2,0,1,1))*OFFSET($CI$9,CL12+2,0,1,1))+OFFSET($BP$9,CL12+2,CQ12,1,1),IF(F12&lt;OFFSET($BN$9,CL12+3,0,1,1),((F12-OFFSET($BM$9,CL12+3,0,1,1))*OFFSET($CI$9,CL12+3,0,1,1))+OFFSET($BP$9,CL12+3,CQ12,1,1),0))))))</f>
        <v>0</v>
      </c>
      <c r="CV12" s="51">
        <f ca="1">IF($F12&lt;OFFSET($BM$9,$CL12-1,0,1,1),0,IF($F12&lt;OFFSET($BN$9,$CL12-1,0,1,1),IF(AND($H12&gt;2.4,Z12&lt;&gt;"e",Z12&lt;&gt;"f"),CZ12*2.4/$H12,CZ12),IF($F12&lt;OFFSET($BN$9,$CL12+0,0,1,1),IF(AND($H12&gt;2.4,Z12&lt;&gt;"e",Z12&lt;&gt;"f"),CZ12*2.4/$H12,CZ12),IF($F12&lt;OFFSET($BN$9,$CL12+1,0,1,1),IF(AND($H12&gt;2.4,Z12&lt;&gt;"e",Z12&lt;&gt;"f"),CZ12*2.4/$H12,CZ12),IF($F12&lt;OFFSET($BN$9,$CL12+2,0,1,1),IF(AND($H12&gt;2.4,Z12&lt;&gt;"e",Z12&lt;&gt;"f"),CZ12*2.4/$H12,CZ12),IF($F12&lt;OFFSET($BN$9,$CL12+3,0,1,1),IF(AND($H12&gt;2.4,Z12&lt;&gt;"e",Z12&lt;&gt;"f"),CZ12*2.4/$H12,CZ12),0)))))*COS(RADIANS($G12)))</f>
        <v>0</v>
      </c>
      <c r="CW12" s="51">
        <f ca="1">IF(CT12&gt;CR12,CR12,CT12)</f>
        <v>0</v>
      </c>
      <c r="CX12" s="51">
        <f ca="1">IF(CS12&gt;$CR12,$CR12,CS12)</f>
        <v>0</v>
      </c>
      <c r="CY12" s="51">
        <f ca="1">CW12*F12</f>
        <v>0</v>
      </c>
      <c r="CZ12" s="51">
        <f ca="1">IF($CU12&gt;$CR12,$CR12,$CU12)</f>
        <v>0</v>
      </c>
      <c r="DA12" s="51">
        <f ca="1">IF(CV12&gt;CR12,CR12,CV12)</f>
        <v>0</v>
      </c>
      <c r="DB12" s="51">
        <f ca="1">DA12*F12</f>
        <v>0</v>
      </c>
      <c r="DC12" s="993">
        <v>1</v>
      </c>
      <c r="DD12" s="758" t="str">
        <f>IF(OR(D12=BG$12,D12=BG$13),"External",IF(D12=BG$14,"Internal"," "))</f>
        <v xml:space="preserve"> </v>
      </c>
      <c r="DE12" s="51" t="str">
        <f t="shared" ca="1" si="2"/>
        <v/>
      </c>
      <c r="DF12" s="52" t="str">
        <f t="shared" ca="1" si="3"/>
        <v xml:space="preserve"> </v>
      </c>
      <c r="DG12" s="51">
        <f ca="1">IF(F12&lt;OFFSET($BM$9,CN12-1,0,1,1),0,IF(F12&lt;OFFSET($BN$9,CN12-1,0,1,1),((F12-OFFSET($BM$9,CN12-1,0,1,1))*OFFSET($CH$9,CN12-1,0,1,1))+OFFSET($BO$9,CN12-1,CQ12,1,1),IF(F12&lt;OFFSET($BN$9,CN12+0,0,1,1),((F12-OFFSET($BM$9,CN12+0,0,1,1))*OFFSET($CH$9,CN12+0,0,1,1))+OFFSET($BO$9,CN12+0,CQ12,1,1),IF(F12&lt;OFFSET($BN$9,CN12+1,0,1,1),((F12-OFFSET($BM$9,CN12+1,0,1,1))*OFFSET($CH$9,CN12+1,0,1,1))+OFFSET($BO$9,CN12+1,CQ12,1,1),IF(F12&lt;OFFSET($BN$9,CN12+2,0,1,1),((F12-OFFSET($BM$9,CN12+2,0,1,1))*OFFSET($CH$9,CN12+2,0,1,1))+OFFSET($BO$9,CN12+2,CQ12,1,1),IF(F12&lt;OFFSET($BN$9,CN12+3,0,1,1),((F12-OFFSET($BM$9,CN12+3,0,1,1))*OFFSET($CH$9,CN12+3,0,1,1))+OFFSET($BO$9,CN12+3,CQ12,1,1),0))))))</f>
        <v>0</v>
      </c>
      <c r="DH12" s="51">
        <f ca="1">IF($F12&lt;OFFSET($BM$9,$CN12-1,0,1,1),0,IF($F12&lt;OFFSET($BN$9,$CN12-1,0,1,1),IF(AND($H12&gt;2.4,Z12&lt;&gt;"e",Z12&lt;&gt;"f"),DL12*2.4/$H12,DL12),IF($F12&lt;OFFSET($BN$9,$CN12+0,0,1,1),IF(AND($H12&gt;2.4,Z12&lt;&gt;"e",Z12&lt;&gt;"f"),DL12*2.4/$H12,DL12),IF($F12&lt;OFFSET($BN$9,$CN12+1,0,1,1),IF(AND($H12&gt;2.4,Z12&lt;&gt;"e",Z12&lt;&gt;"f"),DL12*2.4/$H12,DL12),IF($F12&lt;OFFSET($BN$9,$CN12+2,0,1,1),IF(AND($H12&gt;2.4,Z12&lt;&gt;"e",Z12&lt;&gt;"f"),DL12*2.4/$H12,DL12),IF($F12&lt;OFFSET($BN$9,$CN12+3,0,1,1),IF(AND($H12&gt;2.4,Z12&lt;&gt;"e",Z12&lt;&gt;"f"),DL12*2.4/$H12,DL12),0)))))*COS(RADIANS($G12)))</f>
        <v>0</v>
      </c>
      <c r="DI12" s="51">
        <f ca="1">IF(F12&lt;OFFSET($BM$9,CN12-1,0,1,1),0,IF(F12&lt;OFFSET($BN$9,CN12-1,0,1,1),((F12-OFFSET($BM$9,CN12-1,0,1,1))*OFFSET($CI$9,CN12-1,0,1,1))+OFFSET($BP$9,CN12-1,CQ12,1,1),IF(F12&lt;OFFSET($BN$9,CN12+0,0,1,1),((F12-OFFSET($BM$9,CN12+0,0,1,1))*OFFSET($CI$9,CN12+0,0,1,1))+OFFSET($BP$9,CN12+0,CQ12,1,1),IF(F12&lt;OFFSET($BN$9,CN12+1,0,1,1),((F12-OFFSET($BM$9,CN12+1,0,1,1))*OFFSET($CI$9,CN12+1,0,1,1))+OFFSET($BP$9,CN12+1,CQ12,1,1),IF(F12&lt;OFFSET($BN$9,CN12+2,0,1,1),((F12-OFFSET($BM$9,CN12+2,0,1,1))*OFFSET($CI$9,CN12+2,0,1,1))+OFFSET($BP$9,CN12+2,CQ12,1,1),IF(F12&lt;OFFSET($BN$9,CN12+3,0,1,1),((F12-OFFSET($BM$9,CN12+3,0,1,1))*OFFSET($CI$9,CN12+3,0,1,1))+OFFSET($BP$9,CN12+3,CQ12,1,1),0))))))</f>
        <v>0</v>
      </c>
      <c r="DJ12" s="51">
        <f ca="1">IF($F12&lt;OFFSET($BM$9,$CN12-1,0,1,1),0,IF($F12&lt;OFFSET($BN$9,$CN12-1,0,1,1),IF(AND($H12&gt;2.4,Z12&lt;&gt;"e",Z12&lt;&gt;"f"),DN12*2.4/$H12,DN12),IF($F12&lt;OFFSET($BN$9,$CN12+0,0,1,1),IF(AND($H12&gt;2.4,Z12&lt;&gt;"e",Z12&lt;&gt;"f"),DN12*2.4/$H12,DN12),IF($F12&lt;OFFSET($BN$9,$CN12+1,0,1,1),IF(AND($H12&gt;2.4,Z12&lt;&gt;"e",Z12&lt;&gt;"f"),DN12*2.4/$H12,DN12),IF($F12&lt;OFFSET($BN$9,$CN12+2,0,1,1),IF(AND($H12&gt;2.4,Z12&lt;&gt;"e",Z12&lt;&gt;"f"),DN12*2.4/$H12,DN12),IF($F12&lt;OFFSET($BN$9,$CN12+3,0,1,1),IF(AND($H12&gt;2.4,Z12&lt;&gt;"e",Z12&lt;&gt;"f"),DN12*2.4/$H12,DN12),0)))))*COS(RADIANS($G12)))</f>
        <v>0</v>
      </c>
      <c r="DK12" s="51"/>
      <c r="DL12" s="51">
        <f ca="1">IF(DG12&gt;$CR12,$CR12,DG12)</f>
        <v>0</v>
      </c>
      <c r="DM12" s="51"/>
      <c r="DN12" s="51">
        <f ca="1">IF(DI12&gt;$CR12,$CR12,DI12)</f>
        <v>0</v>
      </c>
      <c r="DO12" s="435">
        <f ca="1">IF(DH12&gt;$CR12,$CR12,DH12)</f>
        <v>0</v>
      </c>
      <c r="DP12" s="435">
        <f ca="1">DO12*F12</f>
        <v>0</v>
      </c>
      <c r="DQ12" s="436">
        <f ca="1">IF(DJ12&gt;$CR12,$CR12,DJ12)</f>
        <v>0</v>
      </c>
      <c r="DR12" s="437">
        <f ca="1">DQ12*F12</f>
        <v>0</v>
      </c>
      <c r="DS12" s="426">
        <f ca="1">OFFSET($CH$9,CL12-1,-15,1,1)</f>
        <v>0</v>
      </c>
      <c r="DT12" s="426">
        <f ca="1">VLOOKUP(DS12,Prodlink,2,0)</f>
        <v>0</v>
      </c>
      <c r="DU12" s="188">
        <f ca="1">IF(F12&lt;OFFSET($BM$9,DT12-1,0,1,1),0,IF(F12&lt;OFFSET($BN$9,DT12-1,0,1,1),((F12-OFFSET($BM$9,DT12-1,0,1,1))*OFFSET($CH$9,DT12-1,0,1,1))+OFFSET($BO$9,DT12-1,CQ12,1,1),IF(F12&lt;OFFSET($BN$9,DT12+0,0,1,1),((F12-OFFSET($BM$9,DT12+0,0,1,1))*OFFSET($CH$9,DT12+0,0,1,1))+OFFSET($BO$9,DT12+0,CQ12,1,1),IF(F12&lt;OFFSET($BN$9,DT12+1,0,1,1),((F12-OFFSET($BM$9,DT12+1,0,1,1))*OFFSET($CH$9,DT12+1,0,1,1))+OFFSET($BO$9,DT12+1,CQ12,1,1),IF(F12&lt;OFFSET($BN$9,DT12+2,0,1,1),((F12-OFFSET($BM$9,DT12+2,0,1,1))*OFFSET($CH$9,DT12+2,0,1,1))+OFFSET($BO$9,DT12+2,CQ12,1,1),IF(F12&lt;OFFSET($BN$9,DT12+3,0,1,1),((F12-OFFSET($BM$9,DT12+3,0,1,1))*OFFSET($CH$9,DT12+3,0,1,1))+OFFSET($BO$9,DT12+3,CQ12,1,1),0))))))</f>
        <v>0</v>
      </c>
      <c r="DV12" s="51">
        <f ca="1">IF($F12&lt;OFFSET($BM$9,$DT12-1,0,1,1),0,IF($F12&lt;OFFSET($BN$9,$DT12-1,0,1,1),IF(AND($H12&gt;2.4,Z12&lt;&gt;"e",Z12&lt;&gt;"f"),DZ12*2.4/$H12,DZ12),IF($F12&lt;OFFSET($BN$9,$DT12+0,0,1,1),IF(AND($H12&gt;2.4,Z12&lt;&gt;"e",Z12&lt;&gt;"f"),DZ12*2.4/$H12,DZ12),IF($F12&lt;OFFSET($BN$9,$DT12+1,0,1,1),IF(AND($H12&gt;2.4,Z12&lt;&gt;"e",Z12&lt;&gt;"f"),DZ12*2.4/$H12,DZ12),IF($F12&lt;OFFSET($BN$9,$DT12+2,0,1,1),IF(AND($H12&gt;2.4,Z12&lt;&gt;"e",Z12&lt;&gt;"f"),DZ12*2.4/$H12,DZ12),IF($F12&lt;OFFSET($BN$9,$DT12+3,0,1,1),IF(AND($H12&gt;2.4,Z12&lt;&gt;"e",Z12&lt;&gt;"f"),DZ12*2.4/$H12,DZ12),0)))))*COS(RADIANS($G12)))</f>
        <v>0</v>
      </c>
      <c r="DW12" s="188">
        <f ca="1">IF(F12&lt;OFFSET($BM$9,DT12-1,0,1,1),0,IF(F12&lt;OFFSET($BN$9,DT12-1,0,1,1),((F12-OFFSET($BM$9,DT12-1,0,1,1))*OFFSET($CI$9,DT12-1,0,1,1))+OFFSET($BP$9,DT12-1,CQ12,1,1),IF(F12&lt;OFFSET($BN$9,DT12+0,0,1,1),((F12-OFFSET($BM$9,DT12+0,0,1,1))*OFFSET($CI$9,DT12+0,0,1,1))+OFFSET($BP$9,DT12+0,CQ12,1,1),IF(F12&lt;OFFSET($BN$9,DT12+1,0,1,1),((F12-OFFSET($BM$9,DT12+1,0,1,1))*OFFSET($CI$9,DT12+1,0,1,1))+OFFSET($BP$9,DT12+1,CQ12,1,1),IF(F12&lt;OFFSET($BN$9,DT12+2,0,1,1),((F12-OFFSET($BM$9,DT12+2,0,1,1))*OFFSET($CI$9,DT12+2,0,1,1))+OFFSET($BP$9,DT12+2,CQ12,1,1),IF(F12&lt;OFFSET($BN$9,DT12+3,0,1,1),((F12-OFFSET($BM$9,DT12+3,0,1,1))*OFFSET($CI$9,DT12+3,0,1,1))+OFFSET($BP$9,DT12+3,CQ12,1,1),0))))))</f>
        <v>0</v>
      </c>
      <c r="DX12" s="51">
        <f ca="1">IF($F12&lt;OFFSET($BM$9,$DT12-1,0,1,1),0,IF($F12&lt;OFFSET($BN$9,$DT12-1,0,1,1),IF(AND($H12&gt;2.4,Z12&lt;&gt;"e",Z12&lt;&gt;"f"),EB12*2.4/$H12,EB12),IF($F12&lt;OFFSET($BN$9,$DT12+0,0,1,1),IF(AND($H12&gt;2.4,Z12&lt;&gt;"e",Z12&lt;&gt;"f"),EB12*2.4/$H12,EB12),IF($F12&lt;OFFSET($BN$9,$DT12+1,0,1,1),IF(AND($H12&gt;2.4,Z12&lt;&gt;"e",Z12&lt;&gt;"f"),EB12*2.4/$H12,EB12),IF($F12&lt;OFFSET($BN$9,$DT12+2,0,1,1),IF(AND($H12&gt;2.4,Z12&lt;&gt;"e",Z12&lt;&gt;"f"),EB12*2.4/$H12,EB12),IF($F12&lt;OFFSET($BN$9,$DT12+3,0,1,1),IF(AND($H12&gt;2.4,Z12&lt;&gt;"e",Z12&lt;&gt;"f"),EB12*2.4/$H12,EB12),0)))))*COS(RADIANS($G12)))</f>
        <v>0</v>
      </c>
      <c r="DY12" s="188"/>
      <c r="DZ12" s="188">
        <f ca="1">IF(DU12&gt;$CR12,$CR12,DU12)</f>
        <v>0</v>
      </c>
      <c r="EA12" s="188"/>
      <c r="EB12" s="188">
        <f ca="1">IF(DW12&gt;$CR12,$CR12,DW12)</f>
        <v>0</v>
      </c>
      <c r="EC12" s="435">
        <f ca="1">IF(DV12&gt;$CR12,$CR12,DV12)</f>
        <v>0</v>
      </c>
      <c r="ED12" s="435">
        <f ca="1">EC12*F12</f>
        <v>0</v>
      </c>
      <c r="EE12" s="436">
        <f ca="1">IF(DX12&gt;$CR12,$CR12,DX12)</f>
        <v>0</v>
      </c>
      <c r="EF12" s="437">
        <f ca="1">EE12*F12</f>
        <v>0</v>
      </c>
      <c r="EG12" s="613" t="str">
        <f>IF(D12=BG$12,BG$12,"")</f>
        <v/>
      </c>
      <c r="EH12" s="614" t="str">
        <f>IF(D12=BG$13,BG$13,"")</f>
        <v/>
      </c>
      <c r="EI12" s="611">
        <f>IF(EG12=BG$12,M12,0)</f>
        <v>0</v>
      </c>
      <c r="EJ12" s="451">
        <f>IF(EG12=BG$12,O12,0)</f>
        <v>0</v>
      </c>
      <c r="EK12" s="451">
        <f>IF(EH12=BG$13,M12,0)</f>
        <v>0</v>
      </c>
      <c r="EL12" s="612">
        <f>IF(EH12=BG$13,O12,0)</f>
        <v>0</v>
      </c>
      <c r="EM12" s="426" t="str">
        <f ca="1">IF(AND(Z12&lt;&gt;"t",Z12&lt;&gt;"f"),"",IF(AND(EN12=$BH$13,K12=$BH$12),"NotOpt",IF(K12&lt;&gt;EN12,"Error","")))</f>
        <v/>
      </c>
      <c r="EN12" s="490" t="str">
        <f>IF($BG$28=1,$BH$13,$BH$12)</f>
        <v>120 BU's</v>
      </c>
      <c r="EO12" s="426" t="str">
        <f>K12</f>
        <v xml:space="preserve"> </v>
      </c>
      <c r="ER12" s="439" t="str">
        <f ca="1">IF(H12=0," ",H12)</f>
        <v xml:space="preserve"> </v>
      </c>
      <c r="ES12" s="440" t="str">
        <f ca="1">IF(ER12&lt;&gt;" ",IF(ER12&lt;&gt;ER$7,"Changed",""),"")</f>
        <v/>
      </c>
      <c r="ET12" s="440">
        <f ca="1">IF(ER12&lt;&gt;" ",IF(ER12&lt;&gt;ER$7,1,0),0)</f>
        <v>0</v>
      </c>
      <c r="EU12" s="957" t="str">
        <f ca="1">IF(I12=" "," ",IF(F12&lt;OFFSET($BM$9,CL12-1,0,1,1),1,""))</f>
        <v xml:space="preserve"> </v>
      </c>
      <c r="EW12" s="427"/>
      <c r="EX12"/>
      <c r="EY12"/>
      <c r="EZ12"/>
      <c r="FA12"/>
      <c r="FB12"/>
      <c r="FC12"/>
      <c r="FD12"/>
      <c r="FE12"/>
      <c r="FF12"/>
      <c r="FG12"/>
      <c r="FH12"/>
      <c r="FI12"/>
      <c r="FJ12"/>
      <c r="FK12"/>
      <c r="FL12"/>
      <c r="FM12"/>
      <c r="FN12"/>
      <c r="FO12"/>
    </row>
    <row r="13" spans="1:171" ht="17.100000000000001" customHeight="1" thickBot="1">
      <c r="B13" s="2686" t="s">
        <v>8</v>
      </c>
      <c r="C13" s="2687"/>
      <c r="D13" s="1461" t="s">
        <v>8</v>
      </c>
      <c r="E13" s="659"/>
      <c r="F13" s="659"/>
      <c r="G13" s="659"/>
      <c r="H13" s="659"/>
      <c r="I13" s="1462"/>
      <c r="J13" s="1365" t="str">
        <f>(CONCATENATE(B8,$BE$54))</f>
        <v>A  Line:  Min. Requirement</v>
      </c>
      <c r="K13" s="865"/>
      <c r="L13" s="1019">
        <f ca="1">L$5</f>
        <v>0</v>
      </c>
      <c r="M13" s="48">
        <f ca="1">SUM(M8:M12)</f>
        <v>0</v>
      </c>
      <c r="N13" s="1019">
        <f ca="1">N$5</f>
        <v>0</v>
      </c>
      <c r="O13" s="866">
        <f ca="1">SUM(O8:O12)</f>
        <v>0</v>
      </c>
      <c r="P13" s="139"/>
      <c r="Q13" s="42" t="str">
        <f ca="1">IF(B8=B14,"",IF(AND(M13&gt;0,L13=L$5,OR(M13&lt;$M$105,M13&lt;$BF$3)),"Achieved &lt; Min Req per Line",IF(AND(O13&gt;0,N13=N$5,OR(O13&lt;$O$105,O13&lt;$BF$3)),"Achieved &lt; Min Req per Line",IF(AND(M13&gt;0,L13&gt;M13),"More Required on this line",IF(AND(O13&gt;0,N13&gt;O13),"More Required on this line",IF(AND(L13&gt;0,L13&lt;$BF$3),$BE$59,IF(AND(N13&gt;0,N13&lt;$BF$3),$BE$59,"")))))))</f>
        <v/>
      </c>
      <c r="R13" s="52"/>
      <c r="S13" s="52"/>
      <c r="T13" s="52"/>
      <c r="U13" s="1378"/>
      <c r="V13" s="52"/>
      <c r="W13" s="9"/>
      <c r="X13" s="9"/>
      <c r="Y13" s="896"/>
      <c r="Z13" s="52"/>
      <c r="AA13" s="51"/>
      <c r="AB13" s="1364"/>
      <c r="AC13" s="1"/>
      <c r="AJ13" s="2230"/>
      <c r="AK13" s="2793" t="str">
        <f>'Regular and QuickBrace Systems'!D25</f>
        <v xml:space="preserve"> Internal or External</v>
      </c>
      <c r="AL13" s="1817" t="str">
        <f>'Regular and QuickBrace Systems'!E25</f>
        <v>ER1</v>
      </c>
      <c r="AM13" s="1175">
        <f>'Regular and QuickBrace Systems'!F25</f>
        <v>0.4</v>
      </c>
      <c r="AN13" s="1270">
        <f>'Regular and QuickBrace Systems'!G25</f>
        <v>40</v>
      </c>
      <c r="AO13" s="1271">
        <f>'Regular and QuickBrace Systems'!H25</f>
        <v>30</v>
      </c>
      <c r="AP13" s="1271"/>
      <c r="AQ13" s="2659" t="str">
        <f>'Regular and QuickBrace Systems'!I25</f>
        <v>Regular Fixing</v>
      </c>
      <c r="AR13" s="2660"/>
      <c r="AS13" s="1335" t="str">
        <f>'Regular and QuickBrace Systems'!K25</f>
        <v>No</v>
      </c>
      <c r="AT13" s="1339"/>
      <c r="AU13" s="1331" t="str">
        <f>'Regular and QuickBrace Systems'!M10</f>
        <v>Any Elephant Plasterboard on One side</v>
      </c>
      <c r="AW13" s="1583" t="str">
        <f>'Regular and QuickBrace Systems'!O10</f>
        <v>Yes</v>
      </c>
      <c r="AX13" s="1572" t="str">
        <f>'Regular and QuickBrace Systems'!Q10</f>
        <v>No</v>
      </c>
      <c r="BD13" s="2667"/>
      <c r="BF13" s="598" t="str">
        <f>Table!AI77</f>
        <v>ER2</v>
      </c>
      <c r="BG13" s="1026" t="str">
        <f>IF('Project Demand'!AX21=1,BG33,BG36)</f>
        <v>Bot. External</v>
      </c>
      <c r="BH13" s="709" t="str">
        <f>IF($BE$3=1,BH20,BG20)</f>
        <v>150 BU's</v>
      </c>
      <c r="BI13" s="759"/>
      <c r="BJ13" s="897">
        <f>BJ12+1</f>
        <v>5</v>
      </c>
      <c r="BK13" s="769" t="str">
        <f t="shared" si="7"/>
        <v xml:space="preserve">  </v>
      </c>
      <c r="BL13" s="771" t="str">
        <f t="shared" si="8"/>
        <v>Custom2</v>
      </c>
      <c r="BM13" s="455">
        <f t="shared" si="9"/>
        <v>9.9999999999999996E-76</v>
      </c>
      <c r="BN13" s="455">
        <v>999</v>
      </c>
      <c r="BO13" s="455">
        <f t="shared" si="10"/>
        <v>0</v>
      </c>
      <c r="BP13" s="925">
        <f t="shared" si="11"/>
        <v>0</v>
      </c>
      <c r="BR13" s="764"/>
      <c r="BS13" s="455"/>
      <c r="BT13" s="455" t="str">
        <f t="shared" si="12"/>
        <v>B</v>
      </c>
      <c r="BU13" s="925" t="str">
        <f t="shared" si="13"/>
        <v>T</v>
      </c>
      <c r="BV13" s="1239" t="str">
        <f t="shared" si="14"/>
        <v>Custom2</v>
      </c>
      <c r="BW13" s="1236">
        <f>BJ13</f>
        <v>5</v>
      </c>
      <c r="BX13" s="925" t="str">
        <f t="shared" ref="BX13:BX31" si="15">AQ49</f>
        <v>Single</v>
      </c>
      <c r="CH13" s="764">
        <f t="shared" si="5"/>
        <v>0</v>
      </c>
      <c r="CI13" s="925">
        <f t="shared" si="6"/>
        <v>0</v>
      </c>
      <c r="CJ13" s="759"/>
      <c r="CK13" s="188"/>
      <c r="CL13" s="979"/>
      <c r="CN13" s="497"/>
      <c r="CO13" s="497"/>
      <c r="CQ13" s="51"/>
      <c r="CR13" s="51" t="s">
        <v>8</v>
      </c>
      <c r="CS13" s="51"/>
      <c r="CT13" s="51" t="s">
        <v>8</v>
      </c>
      <c r="CU13" s="51"/>
      <c r="CV13" s="51" t="s">
        <v>8</v>
      </c>
      <c r="CW13" s="51"/>
      <c r="CX13" s="51"/>
      <c r="CY13" s="51"/>
      <c r="CZ13" s="51"/>
      <c r="DD13" s="758"/>
      <c r="DF13" s="52"/>
      <c r="DG13" s="51"/>
      <c r="DH13" s="51"/>
      <c r="DI13" s="51"/>
      <c r="DJ13" s="51"/>
      <c r="DK13" s="51"/>
      <c r="DL13" s="51"/>
      <c r="DM13" s="51"/>
      <c r="DN13" s="51"/>
      <c r="DO13" s="435"/>
      <c r="DP13" s="435"/>
      <c r="DQ13" s="868"/>
      <c r="DR13" s="868"/>
      <c r="DU13" s="188"/>
      <c r="DV13" s="188" t="s">
        <v>8</v>
      </c>
      <c r="DW13" s="188"/>
      <c r="DX13" s="188" t="s">
        <v>8</v>
      </c>
      <c r="DY13" s="188"/>
      <c r="DZ13" s="188"/>
      <c r="EA13" s="188"/>
      <c r="EB13" s="188"/>
      <c r="EC13" s="435"/>
      <c r="ED13" s="435"/>
      <c r="EE13" s="868"/>
      <c r="EF13" s="867"/>
      <c r="EG13" s="613"/>
      <c r="EH13" s="614"/>
      <c r="EI13" s="613"/>
      <c r="EJ13" s="435"/>
      <c r="EK13" s="451"/>
      <c r="EL13" s="612"/>
      <c r="EN13" s="947"/>
      <c r="ER13" s="441"/>
      <c r="ES13" s="440"/>
      <c r="ET13" s="440"/>
      <c r="EU13" s="957"/>
      <c r="EW13" s="427"/>
      <c r="EX13"/>
      <c r="EY13"/>
      <c r="EZ13"/>
      <c r="FA13"/>
      <c r="FB13"/>
      <c r="FC13"/>
      <c r="FD13"/>
      <c r="FE13"/>
      <c r="FF13"/>
      <c r="FG13"/>
      <c r="FH13"/>
      <c r="FI13"/>
      <c r="FJ13"/>
      <c r="FK13"/>
      <c r="FL13"/>
      <c r="FM13"/>
      <c r="FN13"/>
      <c r="FO13"/>
    </row>
    <row r="14" spans="1:171" ht="17.100000000000001" customHeight="1" thickBot="1">
      <c r="B14" s="1369" t="str">
        <f ca="1">S14</f>
        <v>B</v>
      </c>
      <c r="C14" s="1375" t="str">
        <f>IF(OR(F14=0,I14="",I14=" ")," ",$V14)</f>
        <v xml:space="preserve"> </v>
      </c>
      <c r="D14" s="1033"/>
      <c r="E14" s="1360"/>
      <c r="F14" s="201"/>
      <c r="G14" s="1416"/>
      <c r="H14" s="199" t="str">
        <f ca="1">IF(OR(F14=0,Z14="E",Z14="f")," ",'Project Demand'!E$45)</f>
        <v xml:space="preserve"> </v>
      </c>
      <c r="I14" s="631" t="str">
        <f>IF($I$6&lt;&gt;$BG$8," ",AB14)</f>
        <v xml:space="preserve"> </v>
      </c>
      <c r="J14" s="43" t="str">
        <f ca="1">IF(OR(I14=" ",I14="")," ",OFFSET($BO$9,CL14-1,0-4,1,1))</f>
        <v xml:space="preserve"> </v>
      </c>
      <c r="K14" s="55" t="str">
        <f>IF(OR(I14=" ",I14="")," ",IF(OR(Z14="e",Z14="h"),"SD",BG$24))</f>
        <v xml:space="preserve"> </v>
      </c>
      <c r="L14" s="49">
        <f ca="1">CW14</f>
        <v>0</v>
      </c>
      <c r="M14" s="49">
        <f ca="1">CY14</f>
        <v>0</v>
      </c>
      <c r="N14" s="50">
        <f t="shared" ref="N14:O18" ca="1" si="16">DA14</f>
        <v>0</v>
      </c>
      <c r="O14" s="126">
        <f t="shared" ca="1" si="16"/>
        <v>0</v>
      </c>
      <c r="P14" s="140"/>
      <c r="Q14" s="752" t="str">
        <f ca="1">IF(AND(OR(Z14="t",Z14="f"),K14=$BH$11),"No Floor!  Change Floor Type",IF(OR(I14=" ",I14="")," ",IF(F14&lt;OFFSET($BM$9,CL14-1,0,1,1),"check L(m)",DE14&amp;IF(AND(DP14&gt;=CY14,DR14&gt;=DB14),IF(AND(ED14&gt;=DP14,EF14&gt;=DR14),CONCATENATE(DS14," will provide same result"),CONCATENATE(CO14," will provide same result")),IF((DP14&gt;=CY14),CONCATENATE(CO14," provides same result in WIND"),IF((DR14&gt;=DB14),CONCATENATE(CO14," provides same result in EQ"),""))))))&amp;IF(ISERROR(FIND("pile",I14,1)),"",IF(INT(F14)&lt;&gt;F14,"Pile!  Use Whole Numbers Only",""))</f>
        <v xml:space="preserve"> </v>
      </c>
      <c r="R14" s="52">
        <f ca="1">IF(T8&lt;&gt;2,(COLUMN(INDIRECT(B8&amp;1))+1),U14)</f>
        <v>2</v>
      </c>
      <c r="S14" s="1372" t="str">
        <f ca="1">SUBSTITUTE(ADDRESS(1,R14,4),"1","")</f>
        <v>B</v>
      </c>
      <c r="T14" s="451">
        <f ca="1">IF(AND(ISTEXT(B14),SUBSTITUTE(SUBSTITUTE(SUBSTITUTE(SUBSTITUTE(SUBSTITUTE(SUBSTITUTE(SUBSTITUTE(SUBSTITUTE(SUBSTITUTE(SUBSTITUTE(SUBSTITUTE(SUBSTITUTE(SUBSTITUTE(SUBSTITUTE(SUBSTITUTE(SUBSTITUTE(SUBSTITUTE(SUBSTITUTE(SUBSTITUTE(SUBSTITUTE(SUBSTITUTE(SUBSTITUTE(SUBSTITUTE(SUBSTITUTE(SUBSTITUTE(SUBSTITUTE(LOWER(B14),"a",),"b",),"c",),"d",),"e",),"f",),"g",),"h",),"i",),"j",),"k",),"l",),"m",),"n",),"o",),"p",),"q",),"r",),"s",),"t",),"u",),"v",),"w",),"x",),"y",),"z",)=""),1,2)</f>
        <v>1</v>
      </c>
      <c r="U14" s="1377">
        <v>2</v>
      </c>
      <c r="V14" s="52" t="str">
        <f ca="1">IF(AND(B$5=$BF$9,OR(I14=BH$16,I14=BH$17))," ",IF(ISNUMBER(B$14),(CONCATENATE(B$14,".",W14)),(CONCATENATE(B$14,W14))))</f>
        <v>B0</v>
      </c>
      <c r="W14" s="9">
        <f ca="1">IF(B8=B14,W12+X14,X14)</f>
        <v>0</v>
      </c>
      <c r="X14" s="9">
        <f>IF(AND(B$5=$BF$9,OR($I14=$BH$16,$I14=$BH$17,$I14=" ",$I14="",$F14=0)),0,IF(OR($I14=" ",$I14="",$F14=0),0,1))</f>
        <v>0</v>
      </c>
      <c r="Y14" s="896">
        <f ca="1">IF(AND(M19&gt;0,B14&lt;&gt;B20),1,0)</f>
        <v>0</v>
      </c>
      <c r="Z14" s="52" t="str">
        <f ca="1">IF(I14=" "," ",OFFSET($BM$9,$CL14-1,8,1,1))</f>
        <v xml:space="preserve"> </v>
      </c>
      <c r="AA14" s="51" t="str">
        <f>IF(G14&gt;=45,"WA","")</f>
        <v/>
      </c>
      <c r="AB14" s="1364" t="str">
        <f>IF(F14&lt;&gt;"",IF(OR(D14=$BG$12,D14=$BG$13),IF(E14&lt;&gt;$BG$17,$BF$12,$BF$13),IF(E14&lt;&gt;$BG$17,$BF$12,$BF$13))," ")</f>
        <v xml:space="preserve"> </v>
      </c>
      <c r="AC14" s="1"/>
      <c r="AJ14" s="2230"/>
      <c r="AK14" s="2793"/>
      <c r="AL14" s="2783" t="str">
        <f>'Regular and QuickBrace Systems'!E28</f>
        <v>ES-N</v>
      </c>
      <c r="AM14" s="1176">
        <f>'Regular and QuickBrace Systems'!F28</f>
        <v>0.4</v>
      </c>
      <c r="AN14" s="1272">
        <f>'Regular and QuickBrace Systems'!G28</f>
        <v>66</v>
      </c>
      <c r="AO14" s="1273">
        <f>'Regular and QuickBrace Systems'!H28</f>
        <v>61</v>
      </c>
      <c r="AP14" s="1594"/>
      <c r="AQ14" s="2661" t="str">
        <f>'Regular and QuickBrace Systems'!I28</f>
        <v>Specialised QuickBrace Pattern</v>
      </c>
      <c r="AR14" s="2662"/>
      <c r="AS14" s="2030" t="str">
        <f>'Regular and QuickBrace Systems'!K28</f>
        <v>No</v>
      </c>
      <c r="AT14" s="1339"/>
      <c r="AU14" s="2131" t="str">
        <f>'Regular and QuickBrace Systems'!M28</f>
        <v xml:space="preserve">Elephant Standard-Plus board One side </v>
      </c>
      <c r="AW14" s="1567" t="str">
        <f>'Regular and QuickBrace Systems'!O28</f>
        <v>Yes</v>
      </c>
      <c r="AX14" s="1573" t="str">
        <f>'Regular and QuickBrace Systems'!Q28</f>
        <v>No</v>
      </c>
      <c r="BD14" s="2667"/>
      <c r="BF14" s="1363" t="s">
        <v>8</v>
      </c>
      <c r="BG14" s="949" t="s">
        <v>318</v>
      </c>
      <c r="BH14" s="600" t="s">
        <v>189</v>
      </c>
      <c r="BI14" s="759"/>
      <c r="BJ14" s="897">
        <f t="shared" si="4"/>
        <v>6</v>
      </c>
      <c r="BK14" s="769" t="str">
        <f t="shared" si="7"/>
        <v xml:space="preserve">  </v>
      </c>
      <c r="BL14" s="771" t="str">
        <f t="shared" si="8"/>
        <v>Custom3</v>
      </c>
      <c r="BM14" s="455">
        <f t="shared" si="9"/>
        <v>9.9999999999999996E-76</v>
      </c>
      <c r="BN14" s="455">
        <v>999</v>
      </c>
      <c r="BO14" s="455">
        <f t="shared" si="10"/>
        <v>0</v>
      </c>
      <c r="BP14" s="925">
        <f t="shared" si="11"/>
        <v>0</v>
      </c>
      <c r="BR14" s="764"/>
      <c r="BS14" s="455"/>
      <c r="BT14" s="455" t="str">
        <f t="shared" si="12"/>
        <v>B</v>
      </c>
      <c r="BU14" s="925" t="str">
        <f t="shared" si="13"/>
        <v>T</v>
      </c>
      <c r="BV14" s="1239" t="str">
        <f t="shared" si="14"/>
        <v>Custom3</v>
      </c>
      <c r="BW14" s="1236">
        <f t="shared" ref="BW14:BW31" si="17">BJ14</f>
        <v>6</v>
      </c>
      <c r="BX14" s="925" t="str">
        <f t="shared" si="15"/>
        <v>Single</v>
      </c>
      <c r="CH14" s="764">
        <f t="shared" si="5"/>
        <v>0</v>
      </c>
      <c r="CI14" s="925">
        <f t="shared" si="6"/>
        <v>0</v>
      </c>
      <c r="CJ14" s="759"/>
      <c r="CK14" s="188"/>
      <c r="CL14" s="979">
        <f>VLOOKUP(I14,Prodlink,2,0)</f>
        <v>0</v>
      </c>
      <c r="CN14" s="497">
        <f t="shared" ca="1" si="1"/>
        <v>0</v>
      </c>
      <c r="CO14" s="497">
        <f ca="1">OFFSET($CH$9,CL14-1,-15,1,1)</f>
        <v>0</v>
      </c>
      <c r="CQ14" s="51">
        <v>0</v>
      </c>
      <c r="CR14" s="51">
        <f>IF(K14=$BH$12,$BH$23,IF(K14=$BH$13,$BH$24,10000))</f>
        <v>10000</v>
      </c>
      <c r="CS14" s="51">
        <f ca="1">IF(F14&lt;OFFSET($BM$9,CL14-1,0,1,1),0,IF(F14&lt;OFFSET($BN$9,CL14-1,0,1,1),((F14-OFFSET($BM$9,CL14-1,0,1,1))*OFFSET($CH$9,CL14-1,0,1,1))+OFFSET($BO$9,CL14-1,CQ14,1,1),IF(F14&lt;OFFSET($BN$9,CL14+0,0,1,1),((F14-OFFSET($BM$9,CL14+0,0,1,1))*OFFSET($CH$9,CL14+0,0,1,1))+OFFSET($BO$9,CL14+0,CQ14,1,1),IF(F14&lt;OFFSET($BN$9,CL14+1,0,1,1),((F14-OFFSET($BM$9,CL14+1,0,1,1))*OFFSET($CH$9,CL14+1,0,1,1))+OFFSET($BO$9,CL14+1,CQ14,1,1),IF(F14&lt;OFFSET($BN$9,CL14+2,0,1,1),((F14-OFFSET($BM$9,CL14+2,0,1,1))*OFFSET($CH$9,CL14+2,0,1,1))+OFFSET($BO$9,CL14+2,CQ14,1,1),IF(F14&lt;OFFSET($BN$9,CL14+3,0,1,1),((F14-OFFSET($BM$9,CL14+3,0,1,1))*OFFSET($CH$9,CL14+3,0,1,1))+OFFSET($BO$9,CL14+3,CQ14,1,1),0))))))</f>
        <v>0</v>
      </c>
      <c r="CT14" s="51">
        <f ca="1">IF($F14&lt;OFFSET($BM$9,$CL14-1,0,1,1),0,IF($F14&lt;OFFSET($BN$9,$CL14-1,0,1,1),IF(AND($H14&gt;2.4,Z14&lt;&gt;"e",Z14&lt;&gt;"f"),CX14*2.4/$H14,CX14),IF($F14&lt;OFFSET($BN$9,$CL14+0,0,1,1),IF(AND($H14&gt;2.4,Z14&lt;&gt;"e",Z14&lt;&gt;"f"),CX14*2.4/$H14,CX14),IF($F14&lt;OFFSET($BN$9,$CL14+1,0,1,1),IF(AND($H14&gt;2.4,Z14&lt;&gt;"e",Z14&lt;&gt;"f"),CX14*2.4/$H14,CX14),IF($F14&lt;OFFSET($BN$9,CL14+2,0,1,1),IF(AND($H14&gt;2.4,Z14&lt;&gt;"e",Z14&lt;&gt;"f"),CX14*2.4/$H14,CX14),IF($F14&lt;OFFSET($BN$9,CL14+3,0,1,1),IF(AND($H14&gt;2.4,Z14&lt;&gt;"e",Z14&lt;&gt;"f"),CX14*2.4/$H14,CX14),0)))))*COS(RADIANS($G14)))</f>
        <v>0</v>
      </c>
      <c r="CU14" s="51">
        <f ca="1">IF(F14&lt;OFFSET($BM$9,CL14-1,0,1,1),0,IF(F14&lt;OFFSET($BN$9,CL14-1,0,1,1),((F14-OFFSET($BM$9,CL14-1,0,1,1))*OFFSET($CI$9,CL14-1,0,1,1))+OFFSET($BP$9,CL14-1,CQ14,1,1),IF(F14&lt;OFFSET($BN$9,CL14+0,0,1,1),((F14-OFFSET($BM$9,CL14+0,0,1,1))*OFFSET($CI$9,CL14+0,0,1,1))+OFFSET($BP$9,CL14+0,CQ14,1,1),IF(F14&lt;OFFSET($BN$9,CL14+1,0,1,1),((F14-OFFSET($BM$9,CL14+1,0,1,1))*OFFSET($CI$9,CL14+1,0,1,1))+OFFSET($BP$9,CL14+1,CQ14,1,1),IF(F14&lt;OFFSET($BN$9,CL14+2,0,1,1),((F14-OFFSET($BM$9,CL14+2,0,1,1))*OFFSET($CI$9,CL14+2,0,1,1))+OFFSET($BP$9,CL14+2,CQ14,1,1),IF(F14&lt;OFFSET($BN$9,CL14+3,0,1,1),((F14-OFFSET($BM$9,CL14+3,0,1,1))*OFFSET($CI$9,CL14+3,0,1,1))+OFFSET($BP$9,CL14+3,CQ14,1,1),0))))))</f>
        <v>0</v>
      </c>
      <c r="CV14" s="51">
        <f ca="1">IF($F14&lt;OFFSET($BM$9,$CL14-1,0,1,1),0,IF($F14&lt;OFFSET($BN$9,$CL14-1,0,1,1),IF(AND($H14&gt;2.4,Z14&lt;&gt;"e",Z14&lt;&gt;"f"),CZ14*2.4/$H14,CZ14),IF($F14&lt;OFFSET($BN$9,$CL14+0,0,1,1),IF(AND($H14&gt;2.4,Z14&lt;&gt;"e",Z14&lt;&gt;"f"),CZ14*2.4/$H14,CZ14),IF($F14&lt;OFFSET($BN$9,$CL14+1,0,1,1),IF(AND($H14&gt;2.4,Z14&lt;&gt;"e",Z14&lt;&gt;"f"),CZ14*2.4/$H14,CZ14),IF($F14&lt;OFFSET($BN$9,$CL14+2,0,1,1),IF(AND($H14&gt;2.4,Z14&lt;&gt;"e",Z14&lt;&gt;"f"),CZ14*2.4/$H14,CZ14),IF($F14&lt;OFFSET($BN$9,$CL14+3,0,1,1),IF(AND($H14&gt;2.4,Z14&lt;&gt;"e",Z14&lt;&gt;"f"),CZ14*2.4/$H14,CZ14),0)))))*COS(RADIANS($G14)))</f>
        <v>0</v>
      </c>
      <c r="CW14" s="51">
        <f ca="1">IF(CT14&gt;CR14,CR14,CT14)</f>
        <v>0</v>
      </c>
      <c r="CX14" s="51">
        <f ca="1">IF(CS14&gt;$CR14,$CR14,CS14)</f>
        <v>0</v>
      </c>
      <c r="CY14" s="51">
        <f ca="1">CW14*F14</f>
        <v>0</v>
      </c>
      <c r="CZ14" s="51">
        <f ca="1">IF($CU14&gt;$CR14,$CR14,$CU14)</f>
        <v>0</v>
      </c>
      <c r="DA14" s="51">
        <f ca="1">IF(CV14&gt;CR14,CR14,CV14)</f>
        <v>0</v>
      </c>
      <c r="DB14" s="51">
        <f ca="1">DA14*F14</f>
        <v>0</v>
      </c>
      <c r="DC14" s="993">
        <v>1</v>
      </c>
      <c r="DD14" s="758" t="str">
        <f>IF(OR(D14=BG$12,D14=BG$13),"External",IF(D14=BG$14,"Internal"," "))</f>
        <v xml:space="preserve"> </v>
      </c>
      <c r="DE14" s="51" t="str">
        <f t="shared" ca="1" si="2"/>
        <v/>
      </c>
      <c r="DF14" s="52" t="str">
        <f t="shared" ca="1" si="3"/>
        <v xml:space="preserve"> </v>
      </c>
      <c r="DG14" s="51">
        <f ca="1">IF(F14&lt;OFFSET($BM$9,CN14-1,0,1,1),0,IF(F14&lt;OFFSET($BN$9,CN14-1,0,1,1),((F14-OFFSET($BM$9,CN14-1,0,1,1))*OFFSET($CH$9,CN14-1,0,1,1))+OFFSET($BO$9,CN14-1,CQ14,1,1),IF(F14&lt;OFFSET($BN$9,CN14+0,0,1,1),((F14-OFFSET($BM$9,CN14+0,0,1,1))*OFFSET($CH$9,CN14+0,0,1,1))+OFFSET($BO$9,CN14+0,CQ14,1,1),IF(F14&lt;OFFSET($BN$9,CN14+1,0,1,1),((F14-OFFSET($BM$9,CN14+1,0,1,1))*OFFSET($CH$9,CN14+1,0,1,1))+OFFSET($BO$9,CN14+1,CQ14,1,1),IF(F14&lt;OFFSET($BN$9,CN14+2,0,1,1),((F14-OFFSET($BM$9,CN14+2,0,1,1))*OFFSET($CH$9,CN14+2,0,1,1))+OFFSET($BO$9,CN14+2,CQ14,1,1),IF(F14&lt;OFFSET($BN$9,CN14+3,0,1,1),((F14-OFFSET($BM$9,CN14+3,0,1,1))*OFFSET($CH$9,CN14+3,0,1,1))+OFFSET($BO$9,CN14+3,CQ14,1,1),0))))))</f>
        <v>0</v>
      </c>
      <c r="DH14" s="51">
        <f ca="1">IF($F14&lt;OFFSET($BM$9,$CN14-1,0,1,1),0,IF($F14&lt;OFFSET($BN$9,$CN14-1,0,1,1),IF(AND($H14&gt;2.4,Z14&lt;&gt;"e",Z14&lt;&gt;"f"),DL14*2.4/$H14,DL14),IF($F14&lt;OFFSET($BN$9,$CN14+0,0,1,1),IF(AND($H14&gt;2.4,Z14&lt;&gt;"e",Z14&lt;&gt;"f"),DL14*2.4/$H14,DL14),IF($F14&lt;OFFSET($BN$9,$CN14+1,0,1,1),IF(AND($H14&gt;2.4,Z14&lt;&gt;"e",Z14&lt;&gt;"f"),DL14*2.4/$H14,DL14),IF($F14&lt;OFFSET($BN$9,$CN14+2,0,1,1),IF(AND($H14&gt;2.4,Z14&lt;&gt;"e",Z14&lt;&gt;"f"),DL14*2.4/$H14,DL14),IF($F14&lt;OFFSET($BN$9,$CN14+3,0,1,1),IF(AND($H14&gt;2.4,Z14&lt;&gt;"e",Z14&lt;&gt;"f"),DL14*2.4/$H14,DL14),0)))))*COS(RADIANS($G14)))</f>
        <v>0</v>
      </c>
      <c r="DI14" s="51">
        <f ca="1">IF(F14&lt;OFFSET($BM$9,CN14-1,0,1,1),0,IF(F14&lt;OFFSET($BN$9,CN14-1,0,1,1),((F14-OFFSET($BM$9,CN14-1,0,1,1))*OFFSET($CI$9,CN14-1,0,1,1))+OFFSET($BP$9,CN14-1,CQ14,1,1),IF(F14&lt;OFFSET($BN$9,CN14+0,0,1,1),((F14-OFFSET($BM$9,CN14+0,0,1,1))*OFFSET($CI$9,CN14+0,0,1,1))+OFFSET($BP$9,CN14+0,CQ14,1,1),IF(F14&lt;OFFSET($BN$9,CN14+1,0,1,1),((F14-OFFSET($BM$9,CN14+1,0,1,1))*OFFSET($CI$9,CN14+1,0,1,1))+OFFSET($BP$9,CN14+1,CQ14,1,1),IF(F14&lt;OFFSET($BN$9,CN14+2,0,1,1),((F14-OFFSET($BM$9,CN14+2,0,1,1))*OFFSET($CI$9,CN14+2,0,1,1))+OFFSET($BP$9,CN14+2,CQ14,1,1),IF(F14&lt;OFFSET($BN$9,CN14+3,0,1,1),((F14-OFFSET($BM$9,CN14+3,0,1,1))*OFFSET($CI$9,CN14+3,0,1,1))+OFFSET($BP$9,CN14+3,CQ14,1,1),0))))))</f>
        <v>0</v>
      </c>
      <c r="DJ14" s="51">
        <f ca="1">IF($F14&lt;OFFSET($BM$9,$CN14-1,0,1,1),0,IF($F14&lt;OFFSET($BN$9,$CN14-1,0,1,1),IF(AND($H14&gt;2.4,Z14&lt;&gt;"e",Z14&lt;&gt;"f"),DN14*2.4/$H14,DN14),IF($F14&lt;OFFSET($BN$9,$CN14+0,0,1,1),IF(AND($H14&gt;2.4,Z14&lt;&gt;"e",Z14&lt;&gt;"f"),DN14*2.4/$H14,DN14),IF($F14&lt;OFFSET($BN$9,$CN14+1,0,1,1),IF(AND($H14&gt;2.4,Z14&lt;&gt;"e",Z14&lt;&gt;"f"),DN14*2.4/$H14,DN14),IF($F14&lt;OFFSET($BN$9,$CN14+2,0,1,1),IF(AND($H14&gt;2.4,Z14&lt;&gt;"e",Z14&lt;&gt;"f"),DN14*2.4/$H14,DN14),IF($F14&lt;OFFSET($BN$9,$CN14+3,0,1,1),IF(AND($H14&gt;2.4,Z14&lt;&gt;"e",Z14&lt;&gt;"f"),DN14*2.4/$H14,DN14),0)))))*COS(RADIANS($G14)))</f>
        <v>0</v>
      </c>
      <c r="DK14" s="51"/>
      <c r="DL14" s="51">
        <f ca="1">IF(DG14&gt;$CR14,$CR14,DG14)</f>
        <v>0</v>
      </c>
      <c r="DM14" s="51"/>
      <c r="DN14" s="51">
        <f ca="1">IF(DI14&gt;$CR14,$CR14,DI14)</f>
        <v>0</v>
      </c>
      <c r="DO14" s="435">
        <f ca="1">IF(DH14&gt;$CR14,$CR14,DH14)</f>
        <v>0</v>
      </c>
      <c r="DP14" s="435">
        <f ca="1">DO14*F14</f>
        <v>0</v>
      </c>
      <c r="DQ14" s="436">
        <f ca="1">IF(DJ14&gt;$CR14,$CR14,DJ14)</f>
        <v>0</v>
      </c>
      <c r="DR14" s="437">
        <f ca="1">DQ14*F14</f>
        <v>0</v>
      </c>
      <c r="DS14" s="426">
        <f ca="1">OFFSET($CH$9,CL14-1,-15,1,1)</f>
        <v>0</v>
      </c>
      <c r="DT14" s="426">
        <f ca="1">VLOOKUP(DS14,Prodlink,2,0)</f>
        <v>0</v>
      </c>
      <c r="DU14" s="188">
        <f ca="1">IF(F14&lt;OFFSET($BM$9,DT14-1,0,1,1),0,IF(F14&lt;OFFSET($BN$9,DT14-1,0,1,1),((F14-OFFSET($BM$9,DT14-1,0,1,1))*OFFSET($CH$9,DT14-1,0,1,1))+OFFSET($BO$9,DT14-1,CQ14,1,1),IF(F14&lt;OFFSET($BN$9,DT14+0,0,1,1),((F14-OFFSET($BM$9,DT14+0,0,1,1))*OFFSET($CH$9,DT14+0,0,1,1))+OFFSET($BO$9,DT14+0,CQ14,1,1),IF(F14&lt;OFFSET($BN$9,DT14+1,0,1,1),((F14-OFFSET($BM$9,DT14+1,0,1,1))*OFFSET($CH$9,DT14+1,0,1,1))+OFFSET($BO$9,DT14+1,CQ14,1,1),IF(F14&lt;OFFSET($BN$9,DT14+2,0,1,1),((F14-OFFSET($BM$9,DT14+2,0,1,1))*OFFSET($CH$9,DT14+2,0,1,1))+OFFSET($BO$9,DT14+2,CQ14,1,1),IF(F14&lt;OFFSET($BN$9,DT14+3,0,1,1),((F14-OFFSET($BM$9,DT14+3,0,1,1))*OFFSET($CH$9,DT14+3,0,1,1))+OFFSET($BO$9,DT14+3,CQ14,1,1),0))))))</f>
        <v>0</v>
      </c>
      <c r="DV14" s="51">
        <f ca="1">IF($F14&lt;OFFSET($BM$9,$DT14-1,0,1,1),0,IF($F14&lt;OFFSET($BN$9,$DT14-1,0,1,1),IF(AND($H14&gt;2.4,Z14&lt;&gt;"e",Z14&lt;&gt;"f"),DZ14*2.4/$H14,DZ14),IF($F14&lt;OFFSET($BN$9,$DT14+0,0,1,1),IF(AND($H14&gt;2.4,Z14&lt;&gt;"e",Z14&lt;&gt;"f"),DZ14*2.4/$H14,DZ14),IF($F14&lt;OFFSET($BN$9,$DT14+1,0,1,1),IF(AND($H14&gt;2.4,Z14&lt;&gt;"e",Z14&lt;&gt;"f"),DZ14*2.4/$H14,DZ14),IF($F14&lt;OFFSET($BN$9,$DT14+2,0,1,1),IF(AND($H14&gt;2.4,Z14&lt;&gt;"e",Z14&lt;&gt;"f"),DZ14*2.4/$H14,DZ14),IF($F14&lt;OFFSET($BN$9,$DT14+3,0,1,1),IF(AND($H14&gt;2.4,Z14&lt;&gt;"e",Z14&lt;&gt;"f"),DZ14*2.4/$H14,DZ14),0)))))*COS(RADIANS($G14)))</f>
        <v>0</v>
      </c>
      <c r="DW14" s="188">
        <f ca="1">IF(F14&lt;OFFSET($BM$9,DT14-1,0,1,1),0,IF(F14&lt;OFFSET($BN$9,DT14-1,0,1,1),((F14-OFFSET($BM$9,DT14-1,0,1,1))*OFFSET($CI$9,DT14-1,0,1,1))+OFFSET($BP$9,DT14-1,CQ14,1,1),IF(F14&lt;OFFSET($BN$9,DT14+0,0,1,1),((F14-OFFSET($BM$9,DT14+0,0,1,1))*OFFSET($CI$9,DT14+0,0,1,1))+OFFSET($BP$9,DT14+0,CQ14,1,1),IF(F14&lt;OFFSET($BN$9,DT14+1,0,1,1),((F14-OFFSET($BM$9,DT14+1,0,1,1))*OFFSET($CI$9,DT14+1,0,1,1))+OFFSET($BP$9,DT14+1,CQ14,1,1),IF(F14&lt;OFFSET($BN$9,DT14+2,0,1,1),((F14-OFFSET($BM$9,DT14+2,0,1,1))*OFFSET($CI$9,DT14+2,0,1,1))+OFFSET($BP$9,DT14+2,CQ14,1,1),IF(F14&lt;OFFSET($BN$9,DT14+3,0,1,1),((F14-OFFSET($BM$9,DT14+3,0,1,1))*OFFSET($CI$9,DT14+3,0,1,1))+OFFSET($BP$9,DT14+3,CQ14,1,1),0))))))</f>
        <v>0</v>
      </c>
      <c r="DX14" s="51">
        <f ca="1">IF($F14&lt;OFFSET($BM$9,$DT14-1,0,1,1),0,IF($F14&lt;OFFSET($BN$9,$DT14-1,0,1,1),IF(AND($H14&gt;2.4,Z14&lt;&gt;"e",Z14&lt;&gt;"f"),EB14*2.4/$H14,EB14),IF($F14&lt;OFFSET($BN$9,$DT14+0,0,1,1),IF(AND($H14&gt;2.4,Z14&lt;&gt;"e",Z14&lt;&gt;"f"),EB14*2.4/$H14,EB14),IF($F14&lt;OFFSET($BN$9,$DT14+1,0,1,1),IF(AND($H14&gt;2.4,Z14&lt;&gt;"e",Z14&lt;&gt;"f"),EB14*2.4/$H14,EB14),IF($F14&lt;OFFSET($BN$9,$DT14+2,0,1,1),IF(AND($H14&gt;2.4,Z14&lt;&gt;"e",Z14&lt;&gt;"f"),EB14*2.4/$H14,EB14),IF($F14&lt;OFFSET($BN$9,$DT14+3,0,1,1),IF(AND($H14&gt;2.4,Z14&lt;&gt;"e",Z14&lt;&gt;"f"),EB14*2.4/$H14,EB14),0)))))*COS(RADIANS($G14)))</f>
        <v>0</v>
      </c>
      <c r="DY14" s="188"/>
      <c r="DZ14" s="188">
        <f ca="1">IF(DU14&gt;$CR14,$CR14,DU14)</f>
        <v>0</v>
      </c>
      <c r="EA14" s="188"/>
      <c r="EB14" s="188">
        <f ca="1">IF(DW14&gt;$CR14,$CR14,DW14)</f>
        <v>0</v>
      </c>
      <c r="EC14" s="435">
        <f ca="1">IF(DV14&gt;$CR14,$CR14,DV14)</f>
        <v>0</v>
      </c>
      <c r="ED14" s="435">
        <f ca="1">EC14*F14</f>
        <v>0</v>
      </c>
      <c r="EE14" s="436">
        <f ca="1">IF(DX14&gt;$CR14,$CR14,DX14)</f>
        <v>0</v>
      </c>
      <c r="EF14" s="437">
        <f ca="1">EE14*F14</f>
        <v>0</v>
      </c>
      <c r="EG14" s="613" t="str">
        <f>IF(D14=BG$12,BG$12,"")</f>
        <v/>
      </c>
      <c r="EH14" s="614" t="str">
        <f>IF(D14=BG$13,BG$13,"")</f>
        <v/>
      </c>
      <c r="EI14" s="611">
        <f>IF(EG14=BG$12,M14,0)</f>
        <v>0</v>
      </c>
      <c r="EJ14" s="451">
        <f>IF(EG14=BG$12,O14,0)</f>
        <v>0</v>
      </c>
      <c r="EK14" s="451">
        <f>IF(EH14=BG$13,M14,0)</f>
        <v>0</v>
      </c>
      <c r="EL14" s="612">
        <f>IF(EH14=BG$13,O14,0)</f>
        <v>0</v>
      </c>
      <c r="EM14" s="426" t="str">
        <f ca="1">IF(AND(Z14&lt;&gt;"t",Z14&lt;&gt;"f"),"",IF(AND(EN14=$BH$13,K14=$BH$12),"NotOpt",IF(K14&lt;&gt;EN14,"Error","")))</f>
        <v/>
      </c>
      <c r="EN14" s="490" t="str">
        <f>IF($BG$28=1,$BH$13,$BH$12)</f>
        <v>120 BU's</v>
      </c>
      <c r="EO14" s="426" t="str">
        <f>K14</f>
        <v xml:space="preserve"> </v>
      </c>
      <c r="ER14" s="439" t="str">
        <f ca="1">IF(H14=0," ",H14)</f>
        <v xml:space="preserve"> </v>
      </c>
      <c r="ES14" s="440" t="str">
        <f ca="1">IF(ER14&lt;&gt;" ",IF(ER14&lt;&gt;ER$7,"Changed",""),"")</f>
        <v/>
      </c>
      <c r="ET14" s="440">
        <f ca="1">IF(ER14&lt;&gt;" ",IF(ER14&lt;&gt;ER$7,1,0),0)</f>
        <v>0</v>
      </c>
      <c r="EU14" s="957" t="str">
        <f ca="1">IF(I14=" "," ",IF(F14&lt;OFFSET($BM$9,CL14-1,0,1,1),1,""))</f>
        <v xml:space="preserve"> </v>
      </c>
      <c r="EW14" s="427"/>
      <c r="EX14"/>
      <c r="EY14"/>
      <c r="EZ14"/>
      <c r="FA14"/>
      <c r="FB14"/>
      <c r="FC14"/>
      <c r="FD14"/>
      <c r="FE14"/>
      <c r="FF14"/>
      <c r="FG14"/>
      <c r="FH14"/>
      <c r="FI14"/>
      <c r="FJ14"/>
      <c r="FK14"/>
      <c r="FL14"/>
      <c r="FM14"/>
      <c r="FN14"/>
      <c r="FO14"/>
    </row>
    <row r="15" spans="1:171" ht="17.100000000000001" customHeight="1">
      <c r="B15" s="689" t="s">
        <v>246</v>
      </c>
      <c r="C15" s="684" t="str">
        <f>IF(OR(F15=0,I15="",I15=" ")," ",$V15)</f>
        <v xml:space="preserve"> </v>
      </c>
      <c r="D15" s="1033"/>
      <c r="E15" s="1360"/>
      <c r="F15" s="201"/>
      <c r="G15" s="1416"/>
      <c r="H15" s="199" t="str">
        <f ca="1">IF(OR(F15=0,Z15="E",Z15="f")," ",'Project Demand'!E$45)</f>
        <v xml:space="preserve"> </v>
      </c>
      <c r="I15" s="631" t="str">
        <f>IF($I$6&lt;&gt;$BG$8," ",AB15)</f>
        <v xml:space="preserve"> </v>
      </c>
      <c r="J15" s="44" t="str">
        <f ca="1">IF(OR(I15=" ",I15="")," ",OFFSET($BO$9,CL15-1,0-4,1,1))</f>
        <v xml:space="preserve"> </v>
      </c>
      <c r="K15" s="55" t="str">
        <f>IF(OR(I15=" ",I15="")," ",IF(OR(Z15="e",Z15="h"),"SD",BG$24))</f>
        <v xml:space="preserve"> </v>
      </c>
      <c r="L15" s="49">
        <f ca="1">CW15</f>
        <v>0</v>
      </c>
      <c r="M15" s="49">
        <f ca="1">CY15</f>
        <v>0</v>
      </c>
      <c r="N15" s="50">
        <f t="shared" ca="1" si="16"/>
        <v>0</v>
      </c>
      <c r="O15" s="126">
        <f t="shared" ca="1" si="16"/>
        <v>0</v>
      </c>
      <c r="P15" s="140"/>
      <c r="Q15" s="752" t="str">
        <f ca="1">IF(AND(OR(Z15="t",Z15="f"),K15=$BH$11),"No Floor!  Change Floor Type",IF(OR(I15=" ",I15="")," ",IF(F15&lt;OFFSET($BM$9,CL15-1,0,1,1),"check L(m)",DE15&amp;IF(AND(DP15&gt;=CY15,DR15&gt;=DB15),IF(AND(ED15&gt;=DP15,EF15&gt;=DR15),CONCATENATE(DS15," will provide same result"),CONCATENATE(CO15," will provide same result")),IF((DP15&gt;=CY15),CONCATENATE(CO15," provides same result in WIND"),IF((DR15&gt;=DB15),CONCATENATE(CO15," provides same result in EQ"),""))))))&amp;IF(ISERROR(FIND("pile",I15,1)),"",IF(INT(F15)&lt;&gt;F15,"Pile!  Use Whole Numbers Only",""))</f>
        <v xml:space="preserve"> </v>
      </c>
      <c r="R15" s="52"/>
      <c r="S15" s="1372"/>
      <c r="T15" s="52"/>
      <c r="U15" s="1377"/>
      <c r="V15" s="52" t="str">
        <f ca="1">IF(AND(B$5=$BF$9,OR(I15=BH$16,I15=BH$17))," ",IF(ISNUMBER(B$14),(CONCATENATE(B$14,".",W15)),(CONCATENATE(B$14,W15))))</f>
        <v>B0</v>
      </c>
      <c r="W15" s="9">
        <f ca="1">W14+X15</f>
        <v>0</v>
      </c>
      <c r="X15" s="9">
        <f>IF(AND(B$5=$BF$9,OR($I15=$BH$16,$I15=$BH$17,$I15=" ",$I15="",$F15=0)),0,IF(OR($I15=" ",$I15="",$F15=0),0,1))</f>
        <v>0</v>
      </c>
      <c r="Y15" s="896"/>
      <c r="Z15" s="52" t="str">
        <f ca="1">IF(I15=" "," ",OFFSET($BM$9,$CL15-1,8,1,1))</f>
        <v xml:space="preserve"> </v>
      </c>
      <c r="AA15" s="51" t="str">
        <f>IF(G15&gt;=45,"WA","")</f>
        <v/>
      </c>
      <c r="AB15" s="1364" t="str">
        <f>IF(F15&lt;&gt;"",IF(OR(D15=$BG$12,D15=$BG$13),IF(E15&lt;&gt;$BG$17,$BF$12,$BF$13),IF(E15&lt;&gt;$BG$17,$BF$12,$BF$13))," ")</f>
        <v xml:space="preserve"> </v>
      </c>
      <c r="AC15" s="1"/>
      <c r="AJ15" s="2230"/>
      <c r="AK15" s="2793"/>
      <c r="AL15" s="2784"/>
      <c r="AM15" s="11">
        <f>'Regular and QuickBrace Systems'!F29</f>
        <v>1.2</v>
      </c>
      <c r="AN15" s="1336">
        <f>'Regular and QuickBrace Systems'!G29</f>
        <v>72</v>
      </c>
      <c r="AO15" s="26">
        <f>'Regular and QuickBrace Systems'!H29</f>
        <v>64</v>
      </c>
      <c r="AP15" s="1595"/>
      <c r="AQ15" s="2663"/>
      <c r="AR15" s="2664"/>
      <c r="AS15" s="2031"/>
      <c r="AT15" s="1339"/>
      <c r="AU15" s="2090"/>
      <c r="AW15" s="1569" t="str">
        <f>'Regular and QuickBrace Systems'!O29</f>
        <v>Yes</v>
      </c>
      <c r="AX15" s="442" t="str">
        <f>'Regular and QuickBrace Systems'!Q29</f>
        <v>No</v>
      </c>
      <c r="BD15" s="2667"/>
      <c r="BF15" s="598" t="str">
        <f>Table!AI73</f>
        <v>ES-N</v>
      </c>
      <c r="BG15" s="1029" t="s">
        <v>8</v>
      </c>
      <c r="BI15" s="759"/>
      <c r="BJ15" s="897">
        <f t="shared" si="4"/>
        <v>7</v>
      </c>
      <c r="BK15" s="769" t="str">
        <f t="shared" si="7"/>
        <v xml:space="preserve">  </v>
      </c>
      <c r="BL15" s="771" t="str">
        <f t="shared" si="8"/>
        <v>Custom4</v>
      </c>
      <c r="BM15" s="455">
        <f t="shared" si="9"/>
        <v>9.9999999999999996E-76</v>
      </c>
      <c r="BN15" s="455">
        <v>999</v>
      </c>
      <c r="BO15" s="455">
        <f t="shared" si="10"/>
        <v>0</v>
      </c>
      <c r="BP15" s="925">
        <f t="shared" si="11"/>
        <v>0</v>
      </c>
      <c r="BR15" s="764"/>
      <c r="BS15" s="455"/>
      <c r="BT15" s="455" t="str">
        <f t="shared" si="12"/>
        <v>B</v>
      </c>
      <c r="BU15" s="925" t="str">
        <f t="shared" si="13"/>
        <v>T</v>
      </c>
      <c r="BV15" s="1239" t="str">
        <f t="shared" si="14"/>
        <v>Custom4</v>
      </c>
      <c r="BW15" s="1236">
        <f t="shared" si="17"/>
        <v>7</v>
      </c>
      <c r="BX15" s="925" t="str">
        <f t="shared" si="15"/>
        <v>Single</v>
      </c>
      <c r="CH15" s="764">
        <f t="shared" si="5"/>
        <v>0</v>
      </c>
      <c r="CI15" s="925">
        <f t="shared" si="6"/>
        <v>0</v>
      </c>
      <c r="CJ15" s="759"/>
      <c r="CK15" s="188"/>
      <c r="CL15" s="979">
        <f>VLOOKUP(I15,Prodlink,2,0)</f>
        <v>0</v>
      </c>
      <c r="CN15" s="497">
        <f t="shared" ca="1" si="1"/>
        <v>0</v>
      </c>
      <c r="CO15" s="497">
        <f ca="1">OFFSET($CH$9,CL15-1,-15,1,1)</f>
        <v>0</v>
      </c>
      <c r="CQ15" s="51">
        <v>0</v>
      </c>
      <c r="CR15" s="51">
        <f>IF(K15=$BH$12,$BH$23,IF(K15=$BH$13,$BH$24,10000))</f>
        <v>10000</v>
      </c>
      <c r="CS15" s="51">
        <f ca="1">IF(F15&lt;OFFSET($BM$9,CL15-1,0,1,1),0,IF(F15&lt;OFFSET($BN$9,CL15-1,0,1,1),((F15-OFFSET($BM$9,CL15-1,0,1,1))*OFFSET($CH$9,CL15-1,0,1,1))+OFFSET($BO$9,CL15-1,CQ15,1,1),IF(F15&lt;OFFSET($BN$9,CL15+0,0,1,1),((F15-OFFSET($BM$9,CL15+0,0,1,1))*OFFSET($CH$9,CL15+0,0,1,1))+OFFSET($BO$9,CL15+0,CQ15,1,1),IF(F15&lt;OFFSET($BN$9,CL15+1,0,1,1),((F15-OFFSET($BM$9,CL15+1,0,1,1))*OFFSET($CH$9,CL15+1,0,1,1))+OFFSET($BO$9,CL15+1,CQ15,1,1),IF(F15&lt;OFFSET($BN$9,CL15+2,0,1,1),((F15-OFFSET($BM$9,CL15+2,0,1,1))*OFFSET($CH$9,CL15+2,0,1,1))+OFFSET($BO$9,CL15+2,CQ15,1,1),IF(F15&lt;OFFSET($BN$9,CL15+3,0,1,1),((F15-OFFSET($BM$9,CL15+3,0,1,1))*OFFSET($CH$9,CL15+3,0,1,1))+OFFSET($BO$9,CL15+3,CQ15,1,1),0))))))</f>
        <v>0</v>
      </c>
      <c r="CT15" s="51">
        <f ca="1">IF($F15&lt;OFFSET($BM$9,$CL15-1,0,1,1),0,IF($F15&lt;OFFSET($BN$9,$CL15-1,0,1,1),IF(AND($H15&gt;2.4,Z15&lt;&gt;"e",Z15&lt;&gt;"f"),CX15*2.4/$H15,CX15),IF($F15&lt;OFFSET($BN$9,$CL15+0,0,1,1),IF(AND($H15&gt;2.4,Z15&lt;&gt;"e",Z15&lt;&gt;"f"),CX15*2.4/$H15,CX15),IF($F15&lt;OFFSET($BN$9,$CL15+1,0,1,1),IF(AND($H15&gt;2.4,Z15&lt;&gt;"e",Z15&lt;&gt;"f"),CX15*2.4/$H15,CX15),IF($F15&lt;OFFSET($BN$9,CL15+2,0,1,1),IF(AND($H15&gt;2.4,Z15&lt;&gt;"e",Z15&lt;&gt;"f"),CX15*2.4/$H15,CX15),IF($F15&lt;OFFSET($BN$9,CL15+3,0,1,1),IF(AND($H15&gt;2.4,Z15&lt;&gt;"e",Z15&lt;&gt;"f"),CX15*2.4/$H15,CX15),0)))))*COS(RADIANS($G15)))</f>
        <v>0</v>
      </c>
      <c r="CU15" s="51">
        <f ca="1">IF(F15&lt;OFFSET($BM$9,CL15-1,0,1,1),0,IF(F15&lt;OFFSET($BN$9,CL15-1,0,1,1),((F15-OFFSET($BM$9,CL15-1,0,1,1))*OFFSET($CI$9,CL15-1,0,1,1))+OFFSET($BP$9,CL15-1,CQ15,1,1),IF(F15&lt;OFFSET($BN$9,CL15+0,0,1,1),((F15-OFFSET($BM$9,CL15+0,0,1,1))*OFFSET($CI$9,CL15+0,0,1,1))+OFFSET($BP$9,CL15+0,CQ15,1,1),IF(F15&lt;OFFSET($BN$9,CL15+1,0,1,1),((F15-OFFSET($BM$9,CL15+1,0,1,1))*OFFSET($CI$9,CL15+1,0,1,1))+OFFSET($BP$9,CL15+1,CQ15,1,1),IF(F15&lt;OFFSET($BN$9,CL15+2,0,1,1),((F15-OFFSET($BM$9,CL15+2,0,1,1))*OFFSET($CI$9,CL15+2,0,1,1))+OFFSET($BP$9,CL15+2,CQ15,1,1),IF(F15&lt;OFFSET($BN$9,CL15+3,0,1,1),((F15-OFFSET($BM$9,CL15+3,0,1,1))*OFFSET($CI$9,CL15+3,0,1,1))+OFFSET($BP$9,CL15+3,CQ15,1,1),0))))))</f>
        <v>0</v>
      </c>
      <c r="CV15" s="51">
        <f ca="1">IF($F15&lt;OFFSET($BM$9,$CL15-1,0,1,1),0,IF($F15&lt;OFFSET($BN$9,$CL15-1,0,1,1),IF(AND($H15&gt;2.4,Z15&lt;&gt;"e",Z15&lt;&gt;"f"),CZ15*2.4/$H15,CZ15),IF($F15&lt;OFFSET($BN$9,$CL15+0,0,1,1),IF(AND($H15&gt;2.4,Z15&lt;&gt;"e",Z15&lt;&gt;"f"),CZ15*2.4/$H15,CZ15),IF($F15&lt;OFFSET($BN$9,$CL15+1,0,1,1),IF(AND($H15&gt;2.4,Z15&lt;&gt;"e",Z15&lt;&gt;"f"),CZ15*2.4/$H15,CZ15),IF($F15&lt;OFFSET($BN$9,$CL15+2,0,1,1),IF(AND($H15&gt;2.4,Z15&lt;&gt;"e",Z15&lt;&gt;"f"),CZ15*2.4/$H15,CZ15),IF($F15&lt;OFFSET($BN$9,$CL15+3,0,1,1),IF(AND($H15&gt;2.4,Z15&lt;&gt;"e",Z15&lt;&gt;"f"),CZ15*2.4/$H15,CZ15),0)))))*COS(RADIANS($G15)))</f>
        <v>0</v>
      </c>
      <c r="CW15" s="51">
        <f ca="1">IF(CT15&gt;CR15,CR15,CT15)</f>
        <v>0</v>
      </c>
      <c r="CX15" s="51">
        <f ca="1">IF(CS15&gt;$CR15,$CR15,CS15)</f>
        <v>0</v>
      </c>
      <c r="CY15" s="51">
        <f ca="1">CW15*F15</f>
        <v>0</v>
      </c>
      <c r="CZ15" s="51">
        <f ca="1">IF($CU15&gt;$CR15,$CR15,$CU15)</f>
        <v>0</v>
      </c>
      <c r="DA15" s="51">
        <f ca="1">IF(CV15&gt;CR15,CR15,CV15)</f>
        <v>0</v>
      </c>
      <c r="DB15" s="51">
        <f ca="1">DA15*F15</f>
        <v>0</v>
      </c>
      <c r="DC15" s="993">
        <v>1</v>
      </c>
      <c r="DD15" s="758" t="str">
        <f>IF(OR(D15=BG$12,D15=BG$13),"External",IF(D15=BG$14,"Internal"," "))</f>
        <v xml:space="preserve"> </v>
      </c>
      <c r="DE15" s="51" t="str">
        <f t="shared" ca="1" si="2"/>
        <v/>
      </c>
      <c r="DF15" s="52" t="str">
        <f t="shared" ca="1" si="3"/>
        <v xml:space="preserve"> </v>
      </c>
      <c r="DG15" s="51">
        <f ca="1">IF(F15&lt;OFFSET($BM$9,CN15-1,0,1,1),0,IF(F15&lt;OFFSET($BN$9,CN15-1,0,1,1),((F15-OFFSET($BM$9,CN15-1,0,1,1))*OFFSET($CH$9,CN15-1,0,1,1))+OFFSET($BO$9,CN15-1,CQ15,1,1),IF(F15&lt;OFFSET($BN$9,CN15+0,0,1,1),((F15-OFFSET($BM$9,CN15+0,0,1,1))*OFFSET($CH$9,CN15+0,0,1,1))+OFFSET($BO$9,CN15+0,CQ15,1,1),IF(F15&lt;OFFSET($BN$9,CN15+1,0,1,1),((F15-OFFSET($BM$9,CN15+1,0,1,1))*OFFSET($CH$9,CN15+1,0,1,1))+OFFSET($BO$9,CN15+1,CQ15,1,1),IF(F15&lt;OFFSET($BN$9,CN15+2,0,1,1),((F15-OFFSET($BM$9,CN15+2,0,1,1))*OFFSET($CH$9,CN15+2,0,1,1))+OFFSET($BO$9,CN15+2,CQ15,1,1),IF(F15&lt;OFFSET($BN$9,CN15+3,0,1,1),((F15-OFFSET($BM$9,CN15+3,0,1,1))*OFFSET($CH$9,CN15+3,0,1,1))+OFFSET($BO$9,CN15+3,CQ15,1,1),0))))))</f>
        <v>0</v>
      </c>
      <c r="DH15" s="51">
        <f ca="1">IF($F15&lt;OFFSET($BM$9,$CN15-1,0,1,1),0,IF($F15&lt;OFFSET($BN$9,$CN15-1,0,1,1),IF(AND($H15&gt;2.4,Z15&lt;&gt;"e",Z15&lt;&gt;"f"),DL15*2.4/$H15,DL15),IF($F15&lt;OFFSET($BN$9,$CN15+0,0,1,1),IF(AND($H15&gt;2.4,Z15&lt;&gt;"e",Z15&lt;&gt;"f"),DL15*2.4/$H15,DL15),IF($F15&lt;OFFSET($BN$9,$CN15+1,0,1,1),IF(AND($H15&gt;2.4,Z15&lt;&gt;"e",Z15&lt;&gt;"f"),DL15*2.4/$H15,DL15),IF($F15&lt;OFFSET($BN$9,$CN15+2,0,1,1),IF(AND($H15&gt;2.4,Z15&lt;&gt;"e",Z15&lt;&gt;"f"),DL15*2.4/$H15,DL15),IF($F15&lt;OFFSET($BN$9,$CN15+3,0,1,1),IF(AND($H15&gt;2.4,Z15&lt;&gt;"e",Z15&lt;&gt;"f"),DL15*2.4/$H15,DL15),0)))))*COS(RADIANS($G15)))</f>
        <v>0</v>
      </c>
      <c r="DI15" s="51">
        <f ca="1">IF(F15&lt;OFFSET($BM$9,CN15-1,0,1,1),0,IF(F15&lt;OFFSET($BN$9,CN15-1,0,1,1),((F15-OFFSET($BM$9,CN15-1,0,1,1))*OFFSET($CI$9,CN15-1,0,1,1))+OFFSET($BP$9,CN15-1,CQ15,1,1),IF(F15&lt;OFFSET($BN$9,CN15+0,0,1,1),((F15-OFFSET($BM$9,CN15+0,0,1,1))*OFFSET($CI$9,CN15+0,0,1,1))+OFFSET($BP$9,CN15+0,CQ15,1,1),IF(F15&lt;OFFSET($BN$9,CN15+1,0,1,1),((F15-OFFSET($BM$9,CN15+1,0,1,1))*OFFSET($CI$9,CN15+1,0,1,1))+OFFSET($BP$9,CN15+1,CQ15,1,1),IF(F15&lt;OFFSET($BN$9,CN15+2,0,1,1),((F15-OFFSET($BM$9,CN15+2,0,1,1))*OFFSET($CI$9,CN15+2,0,1,1))+OFFSET($BP$9,CN15+2,CQ15,1,1),IF(F15&lt;OFFSET($BN$9,CN15+3,0,1,1),((F15-OFFSET($BM$9,CN15+3,0,1,1))*OFFSET($CI$9,CN15+3,0,1,1))+OFFSET($BP$9,CN15+3,CQ15,1,1),0))))))</f>
        <v>0</v>
      </c>
      <c r="DJ15" s="51">
        <f ca="1">IF($F15&lt;OFFSET($BM$9,$CN15-1,0,1,1),0,IF($F15&lt;OFFSET($BN$9,$CN15-1,0,1,1),IF(AND($H15&gt;2.4,Z15&lt;&gt;"e",Z15&lt;&gt;"f"),DN15*2.4/$H15,DN15),IF($F15&lt;OFFSET($BN$9,$CN15+0,0,1,1),IF(AND($H15&gt;2.4,Z15&lt;&gt;"e",Z15&lt;&gt;"f"),DN15*2.4/$H15,DN15),IF($F15&lt;OFFSET($BN$9,$CN15+1,0,1,1),IF(AND($H15&gt;2.4,Z15&lt;&gt;"e",Z15&lt;&gt;"f"),DN15*2.4/$H15,DN15),IF($F15&lt;OFFSET($BN$9,$CN15+2,0,1,1),IF(AND($H15&gt;2.4,Z15&lt;&gt;"e",Z15&lt;&gt;"f"),DN15*2.4/$H15,DN15),IF($F15&lt;OFFSET($BN$9,$CN15+3,0,1,1),IF(AND($H15&gt;2.4,Z15&lt;&gt;"e",Z15&lt;&gt;"f"),DN15*2.4/$H15,DN15),0)))))*COS(RADIANS($G15)))</f>
        <v>0</v>
      </c>
      <c r="DK15" s="51"/>
      <c r="DL15" s="51">
        <f ca="1">IF(DG15&gt;$CR15,$CR15,DG15)</f>
        <v>0</v>
      </c>
      <c r="DM15" s="51"/>
      <c r="DN15" s="51">
        <f ca="1">IF(DI15&gt;$CR15,$CR15,DI15)</f>
        <v>0</v>
      </c>
      <c r="DO15" s="435">
        <f ca="1">IF(DH15&gt;$CR15,$CR15,DH15)</f>
        <v>0</v>
      </c>
      <c r="DP15" s="435">
        <f ca="1">DO15*F15</f>
        <v>0</v>
      </c>
      <c r="DQ15" s="436">
        <f ca="1">IF(DJ15&gt;$CR15,$CR15,DJ15)</f>
        <v>0</v>
      </c>
      <c r="DR15" s="437">
        <f ca="1">DQ15*F15</f>
        <v>0</v>
      </c>
      <c r="DS15" s="426">
        <f ca="1">OFFSET($CH$9,CL15-1,-15,1,1)</f>
        <v>0</v>
      </c>
      <c r="DT15" s="426">
        <f ca="1">VLOOKUP(DS15,Prodlink,2,0)</f>
        <v>0</v>
      </c>
      <c r="DU15" s="188">
        <f ca="1">IF(F15&lt;OFFSET($BM$9,DT15-1,0,1,1),0,IF(F15&lt;OFFSET($BN$9,DT15-1,0,1,1),((F15-OFFSET($BM$9,DT15-1,0,1,1))*OFFSET($CH$9,DT15-1,0,1,1))+OFFSET($BO$9,DT15-1,CQ15,1,1),IF(F15&lt;OFFSET($BN$9,DT15+0,0,1,1),((F15-OFFSET($BM$9,DT15+0,0,1,1))*OFFSET($CH$9,DT15+0,0,1,1))+OFFSET($BO$9,DT15+0,CQ15,1,1),IF(F15&lt;OFFSET($BN$9,DT15+1,0,1,1),((F15-OFFSET($BM$9,DT15+1,0,1,1))*OFFSET($CH$9,DT15+1,0,1,1))+OFFSET($BO$9,DT15+1,CQ15,1,1),IF(F15&lt;OFFSET($BN$9,DT15+2,0,1,1),((F15-OFFSET($BM$9,DT15+2,0,1,1))*OFFSET($CH$9,DT15+2,0,1,1))+OFFSET($BO$9,DT15+2,CQ15,1,1),IF(F15&lt;OFFSET($BN$9,DT15+3,0,1,1),((F15-OFFSET($BM$9,DT15+3,0,1,1))*OFFSET($CH$9,DT15+3,0,1,1))+OFFSET($BO$9,DT15+3,CQ15,1,1),0))))))</f>
        <v>0</v>
      </c>
      <c r="DV15" s="51">
        <f ca="1">IF($F15&lt;OFFSET($BM$9,$DT15-1,0,1,1),0,IF($F15&lt;OFFSET($BN$9,$DT15-1,0,1,1),IF(AND($H15&gt;2.4,Z15&lt;&gt;"e",Z15&lt;&gt;"f"),DZ15*2.4/$H15,DZ15),IF($F15&lt;OFFSET($BN$9,$DT15+0,0,1,1),IF(AND($H15&gt;2.4,Z15&lt;&gt;"e",Z15&lt;&gt;"f"),DZ15*2.4/$H15,DZ15),IF($F15&lt;OFFSET($BN$9,$DT15+1,0,1,1),IF(AND($H15&gt;2.4,Z15&lt;&gt;"e",Z15&lt;&gt;"f"),DZ15*2.4/$H15,DZ15),IF($F15&lt;OFFSET($BN$9,$DT15+2,0,1,1),IF(AND($H15&gt;2.4,Z15&lt;&gt;"e",Z15&lt;&gt;"f"),DZ15*2.4/$H15,DZ15),IF($F15&lt;OFFSET($BN$9,$DT15+3,0,1,1),IF(AND($H15&gt;2.4,Z15&lt;&gt;"e",Z15&lt;&gt;"f"),DZ15*2.4/$H15,DZ15),0)))))*COS(RADIANS($G15)))</f>
        <v>0</v>
      </c>
      <c r="DW15" s="188">
        <f ca="1">IF(F15&lt;OFFSET($BM$9,DT15-1,0,1,1),0,IF(F15&lt;OFFSET($BN$9,DT15-1,0,1,1),((F15-OFFSET($BM$9,DT15-1,0,1,1))*OFFSET($CI$9,DT15-1,0,1,1))+OFFSET($BP$9,DT15-1,CQ15,1,1),IF(F15&lt;OFFSET($BN$9,DT15+0,0,1,1),((F15-OFFSET($BM$9,DT15+0,0,1,1))*OFFSET($CI$9,DT15+0,0,1,1))+OFFSET($BP$9,DT15+0,CQ15,1,1),IF(F15&lt;OFFSET($BN$9,DT15+1,0,1,1),((F15-OFFSET($BM$9,DT15+1,0,1,1))*OFFSET($CI$9,DT15+1,0,1,1))+OFFSET($BP$9,DT15+1,CQ15,1,1),IF(F15&lt;OFFSET($BN$9,DT15+2,0,1,1),((F15-OFFSET($BM$9,DT15+2,0,1,1))*OFFSET($CI$9,DT15+2,0,1,1))+OFFSET($BP$9,DT15+2,CQ15,1,1),IF(F15&lt;OFFSET($BN$9,DT15+3,0,1,1),((F15-OFFSET($BM$9,DT15+3,0,1,1))*OFFSET($CI$9,DT15+3,0,1,1))+OFFSET($BP$9,DT15+3,CQ15,1,1),0))))))</f>
        <v>0</v>
      </c>
      <c r="DX15" s="51">
        <f ca="1">IF($F15&lt;OFFSET($BM$9,$DT15-1,0,1,1),0,IF($F15&lt;OFFSET($BN$9,$DT15-1,0,1,1),IF(AND($H15&gt;2.4,Z15&lt;&gt;"e",Z15&lt;&gt;"f"),EB15*2.4/$H15,EB15),IF($F15&lt;OFFSET($BN$9,$DT15+0,0,1,1),IF(AND($H15&gt;2.4,Z15&lt;&gt;"e",Z15&lt;&gt;"f"),EB15*2.4/$H15,EB15),IF($F15&lt;OFFSET($BN$9,$DT15+1,0,1,1),IF(AND($H15&gt;2.4,Z15&lt;&gt;"e",Z15&lt;&gt;"f"),EB15*2.4/$H15,EB15),IF($F15&lt;OFFSET($BN$9,$DT15+2,0,1,1),IF(AND($H15&gt;2.4,Z15&lt;&gt;"e",Z15&lt;&gt;"f"),EB15*2.4/$H15,EB15),IF($F15&lt;OFFSET($BN$9,$DT15+3,0,1,1),IF(AND($H15&gt;2.4,Z15&lt;&gt;"e",Z15&lt;&gt;"f"),EB15*2.4/$H15,EB15),0)))))*COS(RADIANS($G15)))</f>
        <v>0</v>
      </c>
      <c r="DY15" s="188"/>
      <c r="DZ15" s="188">
        <f ca="1">IF(DU15&gt;$CR15,$CR15,DU15)</f>
        <v>0</v>
      </c>
      <c r="EA15" s="188"/>
      <c r="EB15" s="188">
        <f ca="1">IF(DW15&gt;$CR15,$CR15,DW15)</f>
        <v>0</v>
      </c>
      <c r="EC15" s="435">
        <f ca="1">IF(DV15&gt;$CR15,$CR15,DV15)</f>
        <v>0</v>
      </c>
      <c r="ED15" s="435">
        <f ca="1">EC15*F15</f>
        <v>0</v>
      </c>
      <c r="EE15" s="436">
        <f ca="1">IF(DX15&gt;$CR15,$CR15,DX15)</f>
        <v>0</v>
      </c>
      <c r="EF15" s="437">
        <f ca="1">EE15*F15</f>
        <v>0</v>
      </c>
      <c r="EG15" s="613" t="str">
        <f>IF(D15=BG$12,BG$12,"")</f>
        <v/>
      </c>
      <c r="EH15" s="614" t="str">
        <f>IF(D15=BG$13,BG$13,"")</f>
        <v/>
      </c>
      <c r="EI15" s="611">
        <f>IF(EG15=BG$12,M15,0)</f>
        <v>0</v>
      </c>
      <c r="EJ15" s="451">
        <f>IF(EG15=BG$12,O15,0)</f>
        <v>0</v>
      </c>
      <c r="EK15" s="451">
        <f>IF(EH15=BG$13,M15,0)</f>
        <v>0</v>
      </c>
      <c r="EL15" s="612">
        <f>IF(EH15=BG$13,O15,0)</f>
        <v>0</v>
      </c>
      <c r="EM15" s="426" t="str">
        <f ca="1">IF(AND(Z15&lt;&gt;"t",Z15&lt;&gt;"f"),"",IF(AND(EN15=$BH$13,K15=$BH$12),"NotOpt",IF(K15&lt;&gt;EN15,"Error","")))</f>
        <v/>
      </c>
      <c r="EN15" s="490" t="str">
        <f>IF($BG$28=1,$BH$13,$BH$12)</f>
        <v>120 BU's</v>
      </c>
      <c r="EO15" s="426" t="str">
        <f>K15</f>
        <v xml:space="preserve"> </v>
      </c>
      <c r="ER15" s="439" t="str">
        <f ca="1">IF(H15=0," ",H15)</f>
        <v xml:space="preserve"> </v>
      </c>
      <c r="ES15" s="440" t="str">
        <f ca="1">IF(ER15&lt;&gt;" ",IF(ER15&lt;&gt;ER$7,"Changed",""),"")</f>
        <v/>
      </c>
      <c r="ET15" s="440">
        <f ca="1">IF(ER15&lt;&gt;" ",IF(ER15&lt;&gt;ER$7,1,0),0)</f>
        <v>0</v>
      </c>
      <c r="EU15" s="957" t="str">
        <f ca="1">IF(I15=" "," ",IF(F15&lt;OFFSET($BM$9,CL15-1,0,1,1),1,""))</f>
        <v xml:space="preserve"> </v>
      </c>
      <c r="EW15" s="427"/>
      <c r="EX15"/>
      <c r="EY15"/>
      <c r="EZ15"/>
      <c r="FA15"/>
      <c r="FB15"/>
      <c r="FC15"/>
      <c r="FD15"/>
      <c r="FE15"/>
      <c r="FF15"/>
      <c r="FG15"/>
      <c r="FH15"/>
      <c r="FI15"/>
      <c r="FJ15"/>
      <c r="FK15"/>
      <c r="FL15"/>
      <c r="FM15"/>
      <c r="FN15"/>
      <c r="FO15"/>
    </row>
    <row r="16" spans="1:171" ht="17.100000000000001" customHeight="1" thickBot="1">
      <c r="B16" s="689" t="s">
        <v>246</v>
      </c>
      <c r="C16" s="684" t="str">
        <f>IF(OR(F16=0,I16="",I16=" ")," ",$V16)</f>
        <v xml:space="preserve"> </v>
      </c>
      <c r="D16" s="1033"/>
      <c r="E16" s="1360"/>
      <c r="F16" s="201"/>
      <c r="G16" s="1416"/>
      <c r="H16" s="199" t="str">
        <f ca="1">IF(OR(F16=0,Z16="E",Z16="f")," ",'Project Demand'!E$45)</f>
        <v xml:space="preserve"> </v>
      </c>
      <c r="I16" s="631" t="str">
        <f>IF($I$6&lt;&gt;$BG$8," ",AB16)</f>
        <v xml:space="preserve"> </v>
      </c>
      <c r="J16" s="44" t="str">
        <f ca="1">IF(OR(I16=" ",I16="")," ",OFFSET($BO$9,CL16-1,0-4,1,1))</f>
        <v xml:space="preserve"> </v>
      </c>
      <c r="K16" s="55" t="str">
        <f>IF(OR(I16=" ",I16="")," ",IF(OR(Z16="e",Z16="h"),"SD",BG$24))</f>
        <v xml:space="preserve"> </v>
      </c>
      <c r="L16" s="49">
        <f ca="1">CW16</f>
        <v>0</v>
      </c>
      <c r="M16" s="49">
        <f ca="1">CY16</f>
        <v>0</v>
      </c>
      <c r="N16" s="50">
        <f t="shared" ca="1" si="16"/>
        <v>0</v>
      </c>
      <c r="O16" s="126">
        <f t="shared" ca="1" si="16"/>
        <v>0</v>
      </c>
      <c r="P16" s="140"/>
      <c r="Q16" s="752" t="str">
        <f ca="1">IF(AND(OR(Z16="t",Z16="f"),K16=$BH$11),"No Floor!  Change Floor Type",IF(OR(I16=" ",I16="")," ",IF(F16&lt;OFFSET($BM$9,CL16-1,0,1,1),"check L(m)",DE16&amp;IF(AND(DP16&gt;=CY16,DR16&gt;=DB16),IF(AND(ED16&gt;=DP16,EF16&gt;=DR16),CONCATENATE(DS16," will provide same result"),CONCATENATE(CO16," will provide same result")),IF((DP16&gt;=CY16),CONCATENATE(CO16," provides same result in WIND"),IF((DR16&gt;=DB16),CONCATENATE(CO16," provides same result in EQ"),""))))))&amp;IF(ISERROR(FIND("pile",I16,1)),"",IF(INT(F16)&lt;&gt;F16,"Pile!  Use Whole Numbers Only",""))</f>
        <v xml:space="preserve"> </v>
      </c>
      <c r="R16" s="52"/>
      <c r="S16" s="1372"/>
      <c r="T16" s="52"/>
      <c r="U16" s="1377"/>
      <c r="V16" s="52" t="str">
        <f ca="1">IF(AND(B$5=$BF$9,OR(I16=BH$16,I16=BH$17))," ",IF(ISNUMBER(B$14),(CONCATENATE(B$14,".",W16)),(CONCATENATE(B$14,W16))))</f>
        <v>B0</v>
      </c>
      <c r="W16" s="9">
        <f ca="1">W15+X16</f>
        <v>0</v>
      </c>
      <c r="X16" s="9">
        <f>IF(AND(B$5=$BF$9,OR($I16=$BH$16,$I16=$BH$17,$I16=" ",$I16="",$F16=0)),0,IF(OR($I16=" ",$I16="",$F16=0),0,1))</f>
        <v>0</v>
      </c>
      <c r="Y16" s="896"/>
      <c r="Z16" s="52" t="str">
        <f ca="1">IF(I16=" "," ",OFFSET($BM$9,$CL16-1,8,1,1))</f>
        <v xml:space="preserve"> </v>
      </c>
      <c r="AA16" s="51" t="str">
        <f>IF(G16&gt;=45,"WA","")</f>
        <v/>
      </c>
      <c r="AB16" s="1364" t="str">
        <f>IF(F16&lt;&gt;"",IF(OR(D16=$BG$12,D16=$BG$13),IF(E16&lt;&gt;$BG$17,$BF$12,$BF$13),IF(E16&lt;&gt;$BG$17,$BF$12,$BF$13))," ")</f>
        <v xml:space="preserve"> </v>
      </c>
      <c r="AC16" s="1"/>
      <c r="AJ16" s="2230"/>
      <c r="AK16" s="2793"/>
      <c r="AL16" s="2785"/>
      <c r="AM16" s="1177">
        <f>'Regular and QuickBrace Systems'!F30</f>
        <v>1.8</v>
      </c>
      <c r="AN16" s="1274">
        <f>'Regular and QuickBrace Systems'!G30</f>
        <v>83</v>
      </c>
      <c r="AO16" s="1275">
        <f>'Regular and QuickBrace Systems'!H30</f>
        <v>64</v>
      </c>
      <c r="AP16" s="1277"/>
      <c r="AQ16" s="2665"/>
      <c r="AR16" s="2666"/>
      <c r="AS16" s="2032"/>
      <c r="AT16" s="1339"/>
      <c r="AU16" s="2132"/>
      <c r="AW16" s="1570" t="str">
        <f>'Regular and QuickBrace Systems'!O30</f>
        <v>Yes</v>
      </c>
      <c r="AX16" s="1574" t="str">
        <f>'Regular and QuickBrace Systems'!Q30</f>
        <v>No</v>
      </c>
      <c r="BD16" s="2667"/>
      <c r="BF16" s="598" t="str">
        <f>Table!AI74</f>
        <v>ES-H</v>
      </c>
      <c r="BG16" s="1026" t="s">
        <v>1044</v>
      </c>
      <c r="BH16" s="1394" t="str">
        <f>Table!AI72</f>
        <v>ER1</v>
      </c>
      <c r="BI16" s="759"/>
      <c r="BJ16" s="897">
        <f t="shared" si="4"/>
        <v>8</v>
      </c>
      <c r="BK16" s="769" t="str">
        <f t="shared" si="7"/>
        <v xml:space="preserve">  </v>
      </c>
      <c r="BL16" s="771" t="str">
        <f t="shared" si="8"/>
        <v>Custom5</v>
      </c>
      <c r="BM16" s="455">
        <f t="shared" si="9"/>
        <v>9.9999999999999996E-76</v>
      </c>
      <c r="BN16" s="455">
        <v>999</v>
      </c>
      <c r="BO16" s="455">
        <f t="shared" si="10"/>
        <v>0</v>
      </c>
      <c r="BP16" s="925">
        <f t="shared" si="11"/>
        <v>0</v>
      </c>
      <c r="BR16" s="764"/>
      <c r="BS16" s="455"/>
      <c r="BT16" s="455" t="str">
        <f t="shared" si="12"/>
        <v>B</v>
      </c>
      <c r="BU16" s="925" t="str">
        <f t="shared" si="13"/>
        <v>T</v>
      </c>
      <c r="BV16" s="1239" t="str">
        <f t="shared" si="14"/>
        <v>Custom5</v>
      </c>
      <c r="BW16" s="1236">
        <f t="shared" si="17"/>
        <v>8</v>
      </c>
      <c r="BX16" s="925" t="str">
        <f t="shared" si="15"/>
        <v>Single</v>
      </c>
      <c r="CH16" s="764">
        <f t="shared" si="5"/>
        <v>0</v>
      </c>
      <c r="CI16" s="925">
        <f t="shared" si="6"/>
        <v>0</v>
      </c>
      <c r="CJ16" s="759"/>
      <c r="CK16" s="188"/>
      <c r="CL16" s="979">
        <f>VLOOKUP(I16,Prodlink,2,0)</f>
        <v>0</v>
      </c>
      <c r="CN16" s="497">
        <f t="shared" ca="1" si="1"/>
        <v>0</v>
      </c>
      <c r="CO16" s="497">
        <f ca="1">OFFSET($CH$9,CL16-1,-15,1,1)</f>
        <v>0</v>
      </c>
      <c r="CQ16" s="51">
        <v>0</v>
      </c>
      <c r="CR16" s="51">
        <f>IF(K16=$BH$12,$BH$23,IF(K16=$BH$13,$BH$24,10000))</f>
        <v>10000</v>
      </c>
      <c r="CS16" s="51">
        <f ca="1">IF(F16&lt;OFFSET($BM$9,CL16-1,0,1,1),0,IF(F16&lt;OFFSET($BN$9,CL16-1,0,1,1),((F16-OFFSET($BM$9,CL16-1,0,1,1))*OFFSET($CH$9,CL16-1,0,1,1))+OFFSET($BO$9,CL16-1,CQ16,1,1),IF(F16&lt;OFFSET($BN$9,CL16+0,0,1,1),((F16-OFFSET($BM$9,CL16+0,0,1,1))*OFFSET($CH$9,CL16+0,0,1,1))+OFFSET($BO$9,CL16+0,CQ16,1,1),IF(F16&lt;OFFSET($BN$9,CL16+1,0,1,1),((F16-OFFSET($BM$9,CL16+1,0,1,1))*OFFSET($CH$9,CL16+1,0,1,1))+OFFSET($BO$9,CL16+1,CQ16,1,1),IF(F16&lt;OFFSET($BN$9,CL16+2,0,1,1),((F16-OFFSET($BM$9,CL16+2,0,1,1))*OFFSET($CH$9,CL16+2,0,1,1))+OFFSET($BO$9,CL16+2,CQ16,1,1),IF(F16&lt;OFFSET($BN$9,CL16+3,0,1,1),((F16-OFFSET($BM$9,CL16+3,0,1,1))*OFFSET($CH$9,CL16+3,0,1,1))+OFFSET($BO$9,CL16+3,CQ16,1,1),0))))))</f>
        <v>0</v>
      </c>
      <c r="CT16" s="51">
        <f ca="1">IF($F16&lt;OFFSET($BM$9,$CL16-1,0,1,1),0,IF($F16&lt;OFFSET($BN$9,$CL16-1,0,1,1),IF(AND($H16&gt;2.4,Z16&lt;&gt;"e",Z16&lt;&gt;"f"),CX16*2.4/$H16,CX16),IF($F16&lt;OFFSET($BN$9,$CL16+0,0,1,1),IF(AND($H16&gt;2.4,Z16&lt;&gt;"e",Z16&lt;&gt;"f"),CX16*2.4/$H16,CX16),IF($F16&lt;OFFSET($BN$9,$CL16+1,0,1,1),IF(AND($H16&gt;2.4,Z16&lt;&gt;"e",Z16&lt;&gt;"f"),CX16*2.4/$H16,CX16),IF($F16&lt;OFFSET($BN$9,CL16+2,0,1,1),IF(AND($H16&gt;2.4,Z16&lt;&gt;"e",Z16&lt;&gt;"f"),CX16*2.4/$H16,CX16),IF($F16&lt;OFFSET($BN$9,CL16+3,0,1,1),IF(AND($H16&gt;2.4,Z16&lt;&gt;"e",Z16&lt;&gt;"f"),CX16*2.4/$H16,CX16),0)))))*COS(RADIANS($G16)))</f>
        <v>0</v>
      </c>
      <c r="CU16" s="51">
        <f ca="1">IF(F16&lt;OFFSET($BM$9,CL16-1,0,1,1),0,IF(F16&lt;OFFSET($BN$9,CL16-1,0,1,1),((F16-OFFSET($BM$9,CL16-1,0,1,1))*OFFSET($CI$9,CL16-1,0,1,1))+OFFSET($BP$9,CL16-1,CQ16,1,1),IF(F16&lt;OFFSET($BN$9,CL16+0,0,1,1),((F16-OFFSET($BM$9,CL16+0,0,1,1))*OFFSET($CI$9,CL16+0,0,1,1))+OFFSET($BP$9,CL16+0,CQ16,1,1),IF(F16&lt;OFFSET($BN$9,CL16+1,0,1,1),((F16-OFFSET($BM$9,CL16+1,0,1,1))*OFFSET($CI$9,CL16+1,0,1,1))+OFFSET($BP$9,CL16+1,CQ16,1,1),IF(F16&lt;OFFSET($BN$9,CL16+2,0,1,1),((F16-OFFSET($BM$9,CL16+2,0,1,1))*OFFSET($CI$9,CL16+2,0,1,1))+OFFSET($BP$9,CL16+2,CQ16,1,1),IF(F16&lt;OFFSET($BN$9,CL16+3,0,1,1),((F16-OFFSET($BM$9,CL16+3,0,1,1))*OFFSET($CI$9,CL16+3,0,1,1))+OFFSET($BP$9,CL16+3,CQ16,1,1),0))))))</f>
        <v>0</v>
      </c>
      <c r="CV16" s="51">
        <f ca="1">IF($F16&lt;OFFSET($BM$9,$CL16-1,0,1,1),0,IF($F16&lt;OFFSET($BN$9,$CL16-1,0,1,1),IF(AND($H16&gt;2.4,Z16&lt;&gt;"e",Z16&lt;&gt;"f"),CZ16*2.4/$H16,CZ16),IF($F16&lt;OFFSET($BN$9,$CL16+0,0,1,1),IF(AND($H16&gt;2.4,Z16&lt;&gt;"e",Z16&lt;&gt;"f"),CZ16*2.4/$H16,CZ16),IF($F16&lt;OFFSET($BN$9,$CL16+1,0,1,1),IF(AND($H16&gt;2.4,Z16&lt;&gt;"e",Z16&lt;&gt;"f"),CZ16*2.4/$H16,CZ16),IF($F16&lt;OFFSET($BN$9,$CL16+2,0,1,1),IF(AND($H16&gt;2.4,Z16&lt;&gt;"e",Z16&lt;&gt;"f"),CZ16*2.4/$H16,CZ16),IF($F16&lt;OFFSET($BN$9,$CL16+3,0,1,1),IF(AND($H16&gt;2.4,Z16&lt;&gt;"e",Z16&lt;&gt;"f"),CZ16*2.4/$H16,CZ16),0)))))*COS(RADIANS($G16)))</f>
        <v>0</v>
      </c>
      <c r="CW16" s="51">
        <f ca="1">IF(CT16&gt;CR16,CR16,CT16)</f>
        <v>0</v>
      </c>
      <c r="CX16" s="51">
        <f ca="1">IF(CS16&gt;$CR16,$CR16,CS16)</f>
        <v>0</v>
      </c>
      <c r="CY16" s="51">
        <f ca="1">CW16*F16</f>
        <v>0</v>
      </c>
      <c r="CZ16" s="51">
        <f ca="1">IF($CU16&gt;$CR16,$CR16,$CU16)</f>
        <v>0</v>
      </c>
      <c r="DA16" s="51">
        <f ca="1">IF(CV16&gt;CR16,CR16,CV16)</f>
        <v>0</v>
      </c>
      <c r="DB16" s="51">
        <f ca="1">DA16*F16</f>
        <v>0</v>
      </c>
      <c r="DC16" s="993">
        <v>2</v>
      </c>
      <c r="DD16" s="758" t="str">
        <f>IF(OR(D16=BG$12,D16=BG$13),"External",IF(D16=BG$14,"Internal"," "))</f>
        <v xml:space="preserve"> </v>
      </c>
      <c r="DE16" s="51" t="str">
        <f t="shared" ca="1" si="2"/>
        <v/>
      </c>
      <c r="DF16" s="52" t="str">
        <f t="shared" ca="1" si="3"/>
        <v xml:space="preserve"> </v>
      </c>
      <c r="DG16" s="51">
        <f ca="1">IF(F16&lt;OFFSET($BM$9,CN16-1,0,1,1),0,IF(F16&lt;OFFSET($BN$9,CN16-1,0,1,1),((F16-OFFSET($BM$9,CN16-1,0,1,1))*OFFSET($CH$9,CN16-1,0,1,1))+OFFSET($BO$9,CN16-1,CQ16,1,1),IF(F16&lt;OFFSET($BN$9,CN16+0,0,1,1),((F16-OFFSET($BM$9,CN16+0,0,1,1))*OFFSET($CH$9,CN16+0,0,1,1))+OFFSET($BO$9,CN16+0,CQ16,1,1),IF(F16&lt;OFFSET($BN$9,CN16+1,0,1,1),((F16-OFFSET($BM$9,CN16+1,0,1,1))*OFFSET($CH$9,CN16+1,0,1,1))+OFFSET($BO$9,CN16+1,CQ16,1,1),IF(F16&lt;OFFSET($BN$9,CN16+2,0,1,1),((F16-OFFSET($BM$9,CN16+2,0,1,1))*OFFSET($CH$9,CN16+2,0,1,1))+OFFSET($BO$9,CN16+2,CQ16,1,1),IF(F16&lt;OFFSET($BN$9,CN16+3,0,1,1),((F16-OFFSET($BM$9,CN16+3,0,1,1))*OFFSET($CH$9,CN16+3,0,1,1))+OFFSET($BO$9,CN16+3,CQ16,1,1),0))))))</f>
        <v>0</v>
      </c>
      <c r="DH16" s="51">
        <f ca="1">IF($F16&lt;OFFSET($BM$9,$CN16-1,0,1,1),0,IF($F16&lt;OFFSET($BN$9,$CN16-1,0,1,1),IF(AND($H16&gt;2.4,Z16&lt;&gt;"e",Z16&lt;&gt;"f"),DL16*2.4/$H16,DL16),IF($F16&lt;OFFSET($BN$9,$CN16+0,0,1,1),IF(AND($H16&gt;2.4,Z16&lt;&gt;"e",Z16&lt;&gt;"f"),DL16*2.4/$H16,DL16),IF($F16&lt;OFFSET($BN$9,$CN16+1,0,1,1),IF(AND($H16&gt;2.4,Z16&lt;&gt;"e",Z16&lt;&gt;"f"),DL16*2.4/$H16,DL16),IF($F16&lt;OFFSET($BN$9,$CN16+2,0,1,1),IF(AND($H16&gt;2.4,Z16&lt;&gt;"e",Z16&lt;&gt;"f"),DL16*2.4/$H16,DL16),IF($F16&lt;OFFSET($BN$9,$CN16+3,0,1,1),IF(AND($H16&gt;2.4,Z16&lt;&gt;"e",Z16&lt;&gt;"f"),DL16*2.4/$H16,DL16),0)))))*COS(RADIANS($G16)))</f>
        <v>0</v>
      </c>
      <c r="DI16" s="51">
        <f ca="1">IF(F16&lt;OFFSET($BM$9,CN16-1,0,1,1),0,IF(F16&lt;OFFSET($BN$9,CN16-1,0,1,1),((F16-OFFSET($BM$9,CN16-1,0,1,1))*OFFSET($CI$9,CN16-1,0,1,1))+OFFSET($BP$9,CN16-1,CQ16,1,1),IF(F16&lt;OFFSET($BN$9,CN16+0,0,1,1),((F16-OFFSET($BM$9,CN16+0,0,1,1))*OFFSET($CI$9,CN16+0,0,1,1))+OFFSET($BP$9,CN16+0,CQ16,1,1),IF(F16&lt;OFFSET($BN$9,CN16+1,0,1,1),((F16-OFFSET($BM$9,CN16+1,0,1,1))*OFFSET($CI$9,CN16+1,0,1,1))+OFFSET($BP$9,CN16+1,CQ16,1,1),IF(F16&lt;OFFSET($BN$9,CN16+2,0,1,1),((F16-OFFSET($BM$9,CN16+2,0,1,1))*OFFSET($CI$9,CN16+2,0,1,1))+OFFSET($BP$9,CN16+2,CQ16,1,1),IF(F16&lt;OFFSET($BN$9,CN16+3,0,1,1),((F16-OFFSET($BM$9,CN16+3,0,1,1))*OFFSET($CI$9,CN16+3,0,1,1))+OFFSET($BP$9,CN16+3,CQ16,1,1),0))))))</f>
        <v>0</v>
      </c>
      <c r="DJ16" s="51">
        <f ca="1">IF($F16&lt;OFFSET($BM$9,$CN16-1,0,1,1),0,IF($F16&lt;OFFSET($BN$9,$CN16-1,0,1,1),IF(AND($H16&gt;2.4,Z16&lt;&gt;"e",Z16&lt;&gt;"f"),DN16*2.4/$H16,DN16),IF($F16&lt;OFFSET($BN$9,$CN16+0,0,1,1),IF(AND($H16&gt;2.4,Z16&lt;&gt;"e",Z16&lt;&gt;"f"),DN16*2.4/$H16,DN16),IF($F16&lt;OFFSET($BN$9,$CN16+1,0,1,1),IF(AND($H16&gt;2.4,Z16&lt;&gt;"e",Z16&lt;&gt;"f"),DN16*2.4/$H16,DN16),IF($F16&lt;OFFSET($BN$9,$CN16+2,0,1,1),IF(AND($H16&gt;2.4,Z16&lt;&gt;"e",Z16&lt;&gt;"f"),DN16*2.4/$H16,DN16),IF($F16&lt;OFFSET($BN$9,$CN16+3,0,1,1),IF(AND($H16&gt;2.4,Z16&lt;&gt;"e",Z16&lt;&gt;"f"),DN16*2.4/$H16,DN16),0)))))*COS(RADIANS($G16)))</f>
        <v>0</v>
      </c>
      <c r="DK16" s="51"/>
      <c r="DL16" s="51">
        <f ca="1">IF(DG16&gt;$CR16,$CR16,DG16)</f>
        <v>0</v>
      </c>
      <c r="DM16" s="51"/>
      <c r="DN16" s="51">
        <f ca="1">IF(DI16&gt;$CR16,$CR16,DI16)</f>
        <v>0</v>
      </c>
      <c r="DO16" s="435">
        <f ca="1">IF(DH16&gt;$CR16,$CR16,DH16)</f>
        <v>0</v>
      </c>
      <c r="DP16" s="435">
        <f ca="1">DO16*F16</f>
        <v>0</v>
      </c>
      <c r="DQ16" s="436">
        <f ca="1">IF(DJ16&gt;$CR16,$CR16,DJ16)</f>
        <v>0</v>
      </c>
      <c r="DR16" s="437">
        <f ca="1">DQ16*F16</f>
        <v>0</v>
      </c>
      <c r="DS16" s="426">
        <f ca="1">OFFSET($CH$9,CL16-1,-15,1,1)</f>
        <v>0</v>
      </c>
      <c r="DT16" s="426">
        <f ca="1">VLOOKUP(DS16,Prodlink,2,0)</f>
        <v>0</v>
      </c>
      <c r="DU16" s="188">
        <f ca="1">IF(F16&lt;OFFSET($BM$9,DT16-1,0,1,1),0,IF(F16&lt;OFFSET($BN$9,DT16-1,0,1,1),((F16-OFFSET($BM$9,DT16-1,0,1,1))*OFFSET($CH$9,DT16-1,0,1,1))+OFFSET($BO$9,DT16-1,CQ16,1,1),IF(F16&lt;OFFSET($BN$9,DT16+0,0,1,1),((F16-OFFSET($BM$9,DT16+0,0,1,1))*OFFSET($CH$9,DT16+0,0,1,1))+OFFSET($BO$9,DT16+0,CQ16,1,1),IF(F16&lt;OFFSET($BN$9,DT16+1,0,1,1),((F16-OFFSET($BM$9,DT16+1,0,1,1))*OFFSET($CH$9,DT16+1,0,1,1))+OFFSET($BO$9,DT16+1,CQ16,1,1),IF(F16&lt;OFFSET($BN$9,DT16+2,0,1,1),((F16-OFFSET($BM$9,DT16+2,0,1,1))*OFFSET($CH$9,DT16+2,0,1,1))+OFFSET($BO$9,DT16+2,CQ16,1,1),IF(F16&lt;OFFSET($BN$9,DT16+3,0,1,1),((F16-OFFSET($BM$9,DT16+3,0,1,1))*OFFSET($CH$9,DT16+3,0,1,1))+OFFSET($BO$9,DT16+3,CQ16,1,1),0))))))</f>
        <v>0</v>
      </c>
      <c r="DV16" s="51">
        <f ca="1">IF($F16&lt;OFFSET($BM$9,$DT16-1,0,1,1),0,IF($F16&lt;OFFSET($BN$9,$DT16-1,0,1,1),IF(AND($H16&gt;2.4,Z16&lt;&gt;"e",Z16&lt;&gt;"f"),DZ16*2.4/$H16,DZ16),IF($F16&lt;OFFSET($BN$9,$DT16+0,0,1,1),IF(AND($H16&gt;2.4,Z16&lt;&gt;"e",Z16&lt;&gt;"f"),DZ16*2.4/$H16,DZ16),IF($F16&lt;OFFSET($BN$9,$DT16+1,0,1,1),IF(AND($H16&gt;2.4,Z16&lt;&gt;"e",Z16&lt;&gt;"f"),DZ16*2.4/$H16,DZ16),IF($F16&lt;OFFSET($BN$9,$DT16+2,0,1,1),IF(AND($H16&gt;2.4,Z16&lt;&gt;"e",Z16&lt;&gt;"f"),DZ16*2.4/$H16,DZ16),IF($F16&lt;OFFSET($BN$9,$DT16+3,0,1,1),IF(AND($H16&gt;2.4,Z16&lt;&gt;"e",Z16&lt;&gt;"f"),DZ16*2.4/$H16,DZ16),0)))))*COS(RADIANS($G16)))</f>
        <v>0</v>
      </c>
      <c r="DW16" s="188">
        <f ca="1">IF(F16&lt;OFFSET($BM$9,DT16-1,0,1,1),0,IF(F16&lt;OFFSET($BN$9,DT16-1,0,1,1),((F16-OFFSET($BM$9,DT16-1,0,1,1))*OFFSET($CI$9,DT16-1,0,1,1))+OFFSET($BP$9,DT16-1,CQ16,1,1),IF(F16&lt;OFFSET($BN$9,DT16+0,0,1,1),((F16-OFFSET($BM$9,DT16+0,0,1,1))*OFFSET($CI$9,DT16+0,0,1,1))+OFFSET($BP$9,DT16+0,CQ16,1,1),IF(F16&lt;OFFSET($BN$9,DT16+1,0,1,1),((F16-OFFSET($BM$9,DT16+1,0,1,1))*OFFSET($CI$9,DT16+1,0,1,1))+OFFSET($BP$9,DT16+1,CQ16,1,1),IF(F16&lt;OFFSET($BN$9,DT16+2,0,1,1),((F16-OFFSET($BM$9,DT16+2,0,1,1))*OFFSET($CI$9,DT16+2,0,1,1))+OFFSET($BP$9,DT16+2,CQ16,1,1),IF(F16&lt;OFFSET($BN$9,DT16+3,0,1,1),((F16-OFFSET($BM$9,DT16+3,0,1,1))*OFFSET($CI$9,DT16+3,0,1,1))+OFFSET($BP$9,DT16+3,CQ16,1,1),0))))))</f>
        <v>0</v>
      </c>
      <c r="DX16" s="51">
        <f ca="1">IF($F16&lt;OFFSET($BM$9,$DT16-1,0,1,1),0,IF($F16&lt;OFFSET($BN$9,$DT16-1,0,1,1),IF(AND($H16&gt;2.4,Z16&lt;&gt;"e",Z16&lt;&gt;"f"),EB16*2.4/$H16,EB16),IF($F16&lt;OFFSET($BN$9,$DT16+0,0,1,1),IF(AND($H16&gt;2.4,Z16&lt;&gt;"e",Z16&lt;&gt;"f"),EB16*2.4/$H16,EB16),IF($F16&lt;OFFSET($BN$9,$DT16+1,0,1,1),IF(AND($H16&gt;2.4,Z16&lt;&gt;"e",Z16&lt;&gt;"f"),EB16*2.4/$H16,EB16),IF($F16&lt;OFFSET($BN$9,$DT16+2,0,1,1),IF(AND($H16&gt;2.4,Z16&lt;&gt;"e",Z16&lt;&gt;"f"),EB16*2.4/$H16,EB16),IF($F16&lt;OFFSET($BN$9,$DT16+3,0,1,1),IF(AND($H16&gt;2.4,Z16&lt;&gt;"e",Z16&lt;&gt;"f"),EB16*2.4/$H16,EB16),0)))))*COS(RADIANS($G16)))</f>
        <v>0</v>
      </c>
      <c r="DY16" s="188"/>
      <c r="DZ16" s="188">
        <f ca="1">IF(DU16&gt;$CR16,$CR16,DU16)</f>
        <v>0</v>
      </c>
      <c r="EA16" s="188"/>
      <c r="EB16" s="188">
        <f ca="1">IF(DW16&gt;$CR16,$CR16,DW16)</f>
        <v>0</v>
      </c>
      <c r="EC16" s="435">
        <f ca="1">IF(DV16&gt;$CR16,$CR16,DV16)</f>
        <v>0</v>
      </c>
      <c r="ED16" s="435">
        <f ca="1">EC16*F16</f>
        <v>0</v>
      </c>
      <c r="EE16" s="436">
        <f ca="1">IF(DX16&gt;$CR16,$CR16,DX16)</f>
        <v>0</v>
      </c>
      <c r="EF16" s="437">
        <f ca="1">EE16*F16</f>
        <v>0</v>
      </c>
      <c r="EG16" s="613" t="str">
        <f>IF(D16=BG$12,BG$12,"")</f>
        <v/>
      </c>
      <c r="EH16" s="614" t="str">
        <f>IF(D16=BG$13,BG$13,"")</f>
        <v/>
      </c>
      <c r="EI16" s="611">
        <f>IF(EG16=BG$12,M16,0)</f>
        <v>0</v>
      </c>
      <c r="EJ16" s="451">
        <f>IF(EG16=BG$12,O16,0)</f>
        <v>0</v>
      </c>
      <c r="EK16" s="451">
        <f>IF(EH16=BG$13,M16,0)</f>
        <v>0</v>
      </c>
      <c r="EL16" s="612">
        <f>IF(EH16=BG$13,O16,0)</f>
        <v>0</v>
      </c>
      <c r="EM16" s="426" t="str">
        <f ca="1">IF(AND(Z16&lt;&gt;"t",Z16&lt;&gt;"f"),"",IF(AND(EN16=$BH$13,K16=$BH$12),"NotOpt",IF(K16&lt;&gt;EN16,"Error","")))</f>
        <v/>
      </c>
      <c r="EN16" s="490" t="str">
        <f>IF($BG$28=1,$BH$13,$BH$12)</f>
        <v>120 BU's</v>
      </c>
      <c r="EO16" s="426" t="str">
        <f>K16</f>
        <v xml:space="preserve"> </v>
      </c>
      <c r="ER16" s="439" t="str">
        <f ca="1">IF(H16=0," ",H16)</f>
        <v xml:space="preserve"> </v>
      </c>
      <c r="ES16" s="440" t="str">
        <f ca="1">IF(ER16&lt;&gt;" ",IF(ER16&lt;&gt;ER$7,"Changed",""),"")</f>
        <v/>
      </c>
      <c r="ET16" s="440">
        <f ca="1">IF(ER16&lt;&gt;" ",IF(ER16&lt;&gt;ER$7,1,0),0)</f>
        <v>0</v>
      </c>
      <c r="EU16" s="957" t="str">
        <f ca="1">IF(I16=" "," ",IF(F16&lt;OFFSET($BM$9,CL16-1,0,1,1),1,""))</f>
        <v xml:space="preserve"> </v>
      </c>
      <c r="EW16" s="427"/>
      <c r="EX16"/>
      <c r="EY16"/>
      <c r="EZ16"/>
      <c r="FA16"/>
      <c r="FB16"/>
      <c r="FC16"/>
      <c r="FD16"/>
      <c r="FE16"/>
      <c r="FF16"/>
      <c r="FG16"/>
      <c r="FH16"/>
      <c r="FI16"/>
      <c r="FJ16"/>
      <c r="FK16"/>
      <c r="FL16"/>
      <c r="FM16"/>
      <c r="FN16"/>
      <c r="FO16"/>
    </row>
    <row r="17" spans="2:171" ht="17.100000000000001" customHeight="1">
      <c r="B17" s="689" t="s">
        <v>246</v>
      </c>
      <c r="C17" s="684" t="str">
        <f>IF(OR(F17=0,I17="",I17=" ")," ",$V17)</f>
        <v xml:space="preserve"> </v>
      </c>
      <c r="D17" s="1033"/>
      <c r="E17" s="1360"/>
      <c r="F17" s="201"/>
      <c r="G17" s="1416"/>
      <c r="H17" s="199" t="str">
        <f ca="1">IF(OR(F17=0,Z17="E",Z17="f")," ",'Project Demand'!E$45)</f>
        <v xml:space="preserve"> </v>
      </c>
      <c r="I17" s="631" t="str">
        <f>IF($I$6&lt;&gt;$BG$8," ",AB17)</f>
        <v xml:space="preserve"> </v>
      </c>
      <c r="J17" s="44" t="str">
        <f ca="1">IF(OR(I17=" ",I17="")," ",OFFSET($BO$9,CL17-1,0-4,1,1))</f>
        <v xml:space="preserve"> </v>
      </c>
      <c r="K17" s="55" t="str">
        <f>IF(OR(I17=" ",I17="")," ",IF(OR(Z17="e",Z17="h"),"SD",BG$24))</f>
        <v xml:space="preserve"> </v>
      </c>
      <c r="L17" s="49">
        <f ca="1">CW17</f>
        <v>0</v>
      </c>
      <c r="M17" s="49">
        <f ca="1">CY17</f>
        <v>0</v>
      </c>
      <c r="N17" s="50">
        <f t="shared" ca="1" si="16"/>
        <v>0</v>
      </c>
      <c r="O17" s="126">
        <f t="shared" ca="1" si="16"/>
        <v>0</v>
      </c>
      <c r="P17" s="140"/>
      <c r="Q17" s="752" t="str">
        <f ca="1">IF(AND(OR(Z17="t",Z17="f"),K17=$BH$11),"No Floor!  Change Floor Type",IF(OR(I17=" ",I17="")," ",IF(F17&lt;OFFSET($BM$9,CL17-1,0,1,1),"check L(m)",DE17&amp;IF(AND(DP17&gt;=CY17,DR17&gt;=DB17),IF(AND(ED17&gt;=DP17,EF17&gt;=DR17),CONCATENATE(DS17," will provide same result"),CONCATENATE(CO17," will provide same result")),IF((DP17&gt;=CY17),CONCATENATE(CO17," provides same result in WIND"),IF((DR17&gt;=DB17),CONCATENATE(CO17," provides same result in EQ"),""))))))&amp;IF(ISERROR(FIND("pile",I17,1)),"",IF(INT(F17)&lt;&gt;F17,"Pile!  Use Whole Numbers Only",""))</f>
        <v xml:space="preserve"> </v>
      </c>
      <c r="R17" s="52"/>
      <c r="S17" s="1372"/>
      <c r="T17" s="52"/>
      <c r="U17" s="1377"/>
      <c r="V17" s="52" t="str">
        <f ca="1">IF(AND(B$5=$BF$9,OR(I17=BH$16,I17=BH$17))," ",IF(ISNUMBER(B$14),(CONCATENATE(B$14,".",W17)),(CONCATENATE(B$14,W17))))</f>
        <v>B0</v>
      </c>
      <c r="W17" s="9">
        <f ca="1">W16+X17</f>
        <v>0</v>
      </c>
      <c r="X17" s="9">
        <f>IF(AND(B$5=$BF$9,OR($I17=$BH$16,$I17=$BH$17,$I17=" ",$I17="",$F17=0)),0,IF(OR($I17=" ",$I17="",$F17=0),0,1))</f>
        <v>0</v>
      </c>
      <c r="Y17" s="896"/>
      <c r="Z17" s="52" t="str">
        <f ca="1">IF(I17=" "," ",OFFSET($BM$9,$CL17-1,8,1,1))</f>
        <v xml:space="preserve"> </v>
      </c>
      <c r="AA17" s="51" t="str">
        <f>IF(G17&gt;=45,"WA","")</f>
        <v/>
      </c>
      <c r="AB17" s="1364" t="str">
        <f>IF(F17&lt;&gt;"",IF(OR(D17=$BG$12,D17=$BG$13),IF(E17&lt;&gt;$BG$17,$BF$12,$BF$13),IF(E17&lt;&gt;$BG$17,$BF$12,$BF$13))," ")</f>
        <v xml:space="preserve"> </v>
      </c>
      <c r="AC17" s="1"/>
      <c r="AJ17" s="2230"/>
      <c r="AK17" s="2793"/>
      <c r="AL17" s="2783" t="str">
        <f>'Regular and QuickBrace Systems'!E31</f>
        <v>ES-H</v>
      </c>
      <c r="AM17" s="1176">
        <f>'Regular and QuickBrace Systems'!F31</f>
        <v>0.4</v>
      </c>
      <c r="AN17" s="1272">
        <f>'Regular and QuickBrace Systems'!G31</f>
        <v>75</v>
      </c>
      <c r="AO17" s="1273">
        <f>'Regular and QuickBrace Systems'!H31</f>
        <v>75</v>
      </c>
      <c r="AP17" s="1594"/>
      <c r="AQ17" s="2661" t="str">
        <f>'Regular and QuickBrace Systems'!I28</f>
        <v>Specialised QuickBrace Pattern</v>
      </c>
      <c r="AR17" s="2662"/>
      <c r="AS17" s="2030" t="str">
        <f>'Regular and QuickBrace Systems'!K31</f>
        <v>Yes</v>
      </c>
      <c r="AT17" s="1339"/>
      <c r="AU17" s="2131" t="str">
        <f>'Regular and QuickBrace Systems'!M31</f>
        <v>Elephant Standard-Plus board One side</v>
      </c>
      <c r="AW17" s="1567" t="str">
        <f>'Regular and QuickBrace Systems'!O31</f>
        <v>Yes</v>
      </c>
      <c r="AX17" s="1573" t="str">
        <f>'Regular and QuickBrace Systems'!Q31</f>
        <v>No</v>
      </c>
      <c r="BD17" s="2667"/>
      <c r="BF17" s="598" t="str">
        <f>Table!AI75</f>
        <v>EM-H</v>
      </c>
      <c r="BG17" s="1026" t="s">
        <v>1045</v>
      </c>
      <c r="BH17" s="1394" t="str">
        <f>Table!AI77</f>
        <v>ER2</v>
      </c>
      <c r="BI17" s="759"/>
      <c r="BJ17" s="897">
        <f t="shared" si="4"/>
        <v>9</v>
      </c>
      <c r="BK17" s="769" t="str">
        <f t="shared" si="7"/>
        <v xml:space="preserve">  </v>
      </c>
      <c r="BL17" s="771" t="str">
        <f t="shared" si="8"/>
        <v>Custom6</v>
      </c>
      <c r="BM17" s="455">
        <f t="shared" si="9"/>
        <v>9.9999999999999996E-76</v>
      </c>
      <c r="BN17" s="455">
        <v>999</v>
      </c>
      <c r="BO17" s="455">
        <f t="shared" si="10"/>
        <v>0</v>
      </c>
      <c r="BP17" s="925">
        <f t="shared" si="11"/>
        <v>0</v>
      </c>
      <c r="BR17" s="764"/>
      <c r="BS17" s="455"/>
      <c r="BT17" s="455" t="str">
        <f t="shared" si="12"/>
        <v>B</v>
      </c>
      <c r="BU17" s="925" t="str">
        <f t="shared" si="13"/>
        <v>T</v>
      </c>
      <c r="BV17" s="1239" t="str">
        <f t="shared" si="14"/>
        <v>Custom6</v>
      </c>
      <c r="BW17" s="1236">
        <f t="shared" si="17"/>
        <v>9</v>
      </c>
      <c r="BX17" s="925" t="str">
        <f t="shared" si="15"/>
        <v>Single</v>
      </c>
      <c r="CH17" s="764">
        <f t="shared" si="5"/>
        <v>0</v>
      </c>
      <c r="CI17" s="925">
        <f t="shared" si="6"/>
        <v>0</v>
      </c>
      <c r="CJ17" s="759"/>
      <c r="CK17" s="188"/>
      <c r="CL17" s="979">
        <f>VLOOKUP(I17,Prodlink,2,0)</f>
        <v>0</v>
      </c>
      <c r="CN17" s="497">
        <f t="shared" ca="1" si="1"/>
        <v>0</v>
      </c>
      <c r="CO17" s="497">
        <f ca="1">OFFSET($CH$9,CL17-1,-15,1,1)</f>
        <v>0</v>
      </c>
      <c r="CQ17" s="51">
        <v>0</v>
      </c>
      <c r="CR17" s="51">
        <f>IF(K17=$BH$12,$BH$23,IF(K17=$BH$13,$BH$24,10000))</f>
        <v>10000</v>
      </c>
      <c r="CS17" s="51">
        <f ca="1">IF(F17&lt;OFFSET($BM$9,CL17-1,0,1,1),0,IF(F17&lt;OFFSET($BN$9,CL17-1,0,1,1),((F17-OFFSET($BM$9,CL17-1,0,1,1))*OFFSET($CH$9,CL17-1,0,1,1))+OFFSET($BO$9,CL17-1,CQ17,1,1),IF(F17&lt;OFFSET($BN$9,CL17+0,0,1,1),((F17-OFFSET($BM$9,CL17+0,0,1,1))*OFFSET($CH$9,CL17+0,0,1,1))+OFFSET($BO$9,CL17+0,CQ17,1,1),IF(F17&lt;OFFSET($BN$9,CL17+1,0,1,1),((F17-OFFSET($BM$9,CL17+1,0,1,1))*OFFSET($CH$9,CL17+1,0,1,1))+OFFSET($BO$9,CL17+1,CQ17,1,1),IF(F17&lt;OFFSET($BN$9,CL17+2,0,1,1),((F17-OFFSET($BM$9,CL17+2,0,1,1))*OFFSET($CH$9,CL17+2,0,1,1))+OFFSET($BO$9,CL17+2,CQ17,1,1),IF(F17&lt;OFFSET($BN$9,CL17+3,0,1,1),((F17-OFFSET($BM$9,CL17+3,0,1,1))*OFFSET($CH$9,CL17+3,0,1,1))+OFFSET($BO$9,CL17+3,CQ17,1,1),0))))))</f>
        <v>0</v>
      </c>
      <c r="CT17" s="51">
        <f ca="1">IF($F17&lt;OFFSET($BM$9,$CL17-1,0,1,1),0,IF($F17&lt;OFFSET($BN$9,$CL17-1,0,1,1),IF(AND($H17&gt;2.4,Z17&lt;&gt;"e",Z17&lt;&gt;"f"),CX17*2.4/$H17,CX17),IF($F17&lt;OFFSET($BN$9,$CL17+0,0,1,1),IF(AND($H17&gt;2.4,Z17&lt;&gt;"e",Z17&lt;&gt;"f"),CX17*2.4/$H17,CX17),IF($F17&lt;OFFSET($BN$9,$CL17+1,0,1,1),IF(AND($H17&gt;2.4,Z17&lt;&gt;"e",Z17&lt;&gt;"f"),CX17*2.4/$H17,CX17),IF($F17&lt;OFFSET($BN$9,CL17+2,0,1,1),IF(AND($H17&gt;2.4,Z17&lt;&gt;"e",Z17&lt;&gt;"f"),CX17*2.4/$H17,CX17),IF($F17&lt;OFFSET($BN$9,CL17+3,0,1,1),IF(AND($H17&gt;2.4,Z17&lt;&gt;"e",Z17&lt;&gt;"f"),CX17*2.4/$H17,CX17),0)))))*COS(RADIANS($G17)))</f>
        <v>0</v>
      </c>
      <c r="CU17" s="51">
        <f ca="1">IF(F17&lt;OFFSET($BM$9,CL17-1,0,1,1),0,IF(F17&lt;OFFSET($BN$9,CL17-1,0,1,1),((F17-OFFSET($BM$9,CL17-1,0,1,1))*OFFSET($CI$9,CL17-1,0,1,1))+OFFSET($BP$9,CL17-1,CQ17,1,1),IF(F17&lt;OFFSET($BN$9,CL17+0,0,1,1),((F17-OFFSET($BM$9,CL17+0,0,1,1))*OFFSET($CI$9,CL17+0,0,1,1))+OFFSET($BP$9,CL17+0,CQ17,1,1),IF(F17&lt;OFFSET($BN$9,CL17+1,0,1,1),((F17-OFFSET($BM$9,CL17+1,0,1,1))*OFFSET($CI$9,CL17+1,0,1,1))+OFFSET($BP$9,CL17+1,CQ17,1,1),IF(F17&lt;OFFSET($BN$9,CL17+2,0,1,1),((F17-OFFSET($BM$9,CL17+2,0,1,1))*OFFSET($CI$9,CL17+2,0,1,1))+OFFSET($BP$9,CL17+2,CQ17,1,1),IF(F17&lt;OFFSET($BN$9,CL17+3,0,1,1),((F17-OFFSET($BM$9,CL17+3,0,1,1))*OFFSET($CI$9,CL17+3,0,1,1))+OFFSET($BP$9,CL17+3,CQ17,1,1),0))))))</f>
        <v>0</v>
      </c>
      <c r="CV17" s="51">
        <f ca="1">IF($F17&lt;OFFSET($BM$9,$CL17-1,0,1,1),0,IF($F17&lt;OFFSET($BN$9,$CL17-1,0,1,1),IF(AND($H17&gt;2.4,Z17&lt;&gt;"e",Z17&lt;&gt;"f"),CZ17*2.4/$H17,CZ17),IF($F17&lt;OFFSET($BN$9,$CL17+0,0,1,1),IF(AND($H17&gt;2.4,Z17&lt;&gt;"e",Z17&lt;&gt;"f"),CZ17*2.4/$H17,CZ17),IF($F17&lt;OFFSET($BN$9,$CL17+1,0,1,1),IF(AND($H17&gt;2.4,Z17&lt;&gt;"e",Z17&lt;&gt;"f"),CZ17*2.4/$H17,CZ17),IF($F17&lt;OFFSET($BN$9,$CL17+2,0,1,1),IF(AND($H17&gt;2.4,Z17&lt;&gt;"e",Z17&lt;&gt;"f"),CZ17*2.4/$H17,CZ17),IF($F17&lt;OFFSET($BN$9,$CL17+3,0,1,1),IF(AND($H17&gt;2.4,Z17&lt;&gt;"e",Z17&lt;&gt;"f"),CZ17*2.4/$H17,CZ17),0)))))*COS(RADIANS($G17)))</f>
        <v>0</v>
      </c>
      <c r="CW17" s="51">
        <f ca="1">IF(CT17&gt;CR17,CR17,CT17)</f>
        <v>0</v>
      </c>
      <c r="CX17" s="51">
        <f ca="1">IF(CS17&gt;$CR17,$CR17,CS17)</f>
        <v>0</v>
      </c>
      <c r="CY17" s="51">
        <f ca="1">CW17*F17</f>
        <v>0</v>
      </c>
      <c r="CZ17" s="51">
        <f ca="1">IF($CU17&gt;$CR17,$CR17,$CU17)</f>
        <v>0</v>
      </c>
      <c r="DA17" s="51">
        <f ca="1">IF(CV17&gt;CR17,CR17,CV17)</f>
        <v>0</v>
      </c>
      <c r="DB17" s="51">
        <f ca="1">DA17*F17</f>
        <v>0</v>
      </c>
      <c r="DC17" s="993">
        <v>1</v>
      </c>
      <c r="DD17" s="758" t="str">
        <f>IF(OR(D17=BG$12,D17=BG$13),"External",IF(D17=BG$14,"Internal"," "))</f>
        <v xml:space="preserve"> </v>
      </c>
      <c r="DE17" s="51" t="str">
        <f t="shared" ca="1" si="2"/>
        <v/>
      </c>
      <c r="DF17" s="52" t="str">
        <f t="shared" ca="1" si="3"/>
        <v xml:space="preserve"> </v>
      </c>
      <c r="DG17" s="51">
        <f ca="1">IF(F17&lt;OFFSET($BM$9,CN17-1,0,1,1),0,IF(F17&lt;OFFSET($BN$9,CN17-1,0,1,1),((F17-OFFSET($BM$9,CN17-1,0,1,1))*OFFSET($CH$9,CN17-1,0,1,1))+OFFSET($BO$9,CN17-1,CQ17,1,1),IF(F17&lt;OFFSET($BN$9,CN17+0,0,1,1),((F17-OFFSET($BM$9,CN17+0,0,1,1))*OFFSET($CH$9,CN17+0,0,1,1))+OFFSET($BO$9,CN17+0,CQ17,1,1),IF(F17&lt;OFFSET($BN$9,CN17+1,0,1,1),((F17-OFFSET($BM$9,CN17+1,0,1,1))*OFFSET($CH$9,CN17+1,0,1,1))+OFFSET($BO$9,CN17+1,CQ17,1,1),IF(F17&lt;OFFSET($BN$9,CN17+2,0,1,1),((F17-OFFSET($BM$9,CN17+2,0,1,1))*OFFSET($CH$9,CN17+2,0,1,1))+OFFSET($BO$9,CN17+2,CQ17,1,1),IF(F17&lt;OFFSET($BN$9,CN17+3,0,1,1),((F17-OFFSET($BM$9,CN17+3,0,1,1))*OFFSET($CH$9,CN17+3,0,1,1))+OFFSET($BO$9,CN17+3,CQ17,1,1),0))))))</f>
        <v>0</v>
      </c>
      <c r="DH17" s="51">
        <f ca="1">IF($F17&lt;OFFSET($BM$9,$CN17-1,0,1,1),0,IF($F17&lt;OFFSET($BN$9,$CN17-1,0,1,1),IF(AND($H17&gt;2.4,Z17&lt;&gt;"e",Z17&lt;&gt;"f"),DL17*2.4/$H17,DL17),IF($F17&lt;OFFSET($BN$9,$CN17+0,0,1,1),IF(AND($H17&gt;2.4,Z17&lt;&gt;"e",Z17&lt;&gt;"f"),DL17*2.4/$H17,DL17),IF($F17&lt;OFFSET($BN$9,$CN17+1,0,1,1),IF(AND($H17&gt;2.4,Z17&lt;&gt;"e",Z17&lt;&gt;"f"),DL17*2.4/$H17,DL17),IF($F17&lt;OFFSET($BN$9,$CN17+2,0,1,1),IF(AND($H17&gt;2.4,Z17&lt;&gt;"e",Z17&lt;&gt;"f"),DL17*2.4/$H17,DL17),IF($F17&lt;OFFSET($BN$9,$CN17+3,0,1,1),IF(AND($H17&gt;2.4,Z17&lt;&gt;"e",Z17&lt;&gt;"f"),DL17*2.4/$H17,DL17),0)))))*COS(RADIANS($G17)))</f>
        <v>0</v>
      </c>
      <c r="DI17" s="51">
        <f ca="1">IF(F17&lt;OFFSET($BM$9,CN17-1,0,1,1),0,IF(F17&lt;OFFSET($BN$9,CN17-1,0,1,1),((F17-OFFSET($BM$9,CN17-1,0,1,1))*OFFSET($CI$9,CN17-1,0,1,1))+OFFSET($BP$9,CN17-1,CQ17,1,1),IF(F17&lt;OFFSET($BN$9,CN17+0,0,1,1),((F17-OFFSET($BM$9,CN17+0,0,1,1))*OFFSET($CI$9,CN17+0,0,1,1))+OFFSET($BP$9,CN17+0,CQ17,1,1),IF(F17&lt;OFFSET($BN$9,CN17+1,0,1,1),((F17-OFFSET($BM$9,CN17+1,0,1,1))*OFFSET($CI$9,CN17+1,0,1,1))+OFFSET($BP$9,CN17+1,CQ17,1,1),IF(F17&lt;OFFSET($BN$9,CN17+2,0,1,1),((F17-OFFSET($BM$9,CN17+2,0,1,1))*OFFSET($CI$9,CN17+2,0,1,1))+OFFSET($BP$9,CN17+2,CQ17,1,1),IF(F17&lt;OFFSET($BN$9,CN17+3,0,1,1),((F17-OFFSET($BM$9,CN17+3,0,1,1))*OFFSET($CI$9,CN17+3,0,1,1))+OFFSET($BP$9,CN17+3,CQ17,1,1),0))))))</f>
        <v>0</v>
      </c>
      <c r="DJ17" s="51">
        <f ca="1">IF($F17&lt;OFFSET($BM$9,$CN17-1,0,1,1),0,IF($F17&lt;OFFSET($BN$9,$CN17-1,0,1,1),IF(AND($H17&gt;2.4,Z17&lt;&gt;"e",Z17&lt;&gt;"f"),DN17*2.4/$H17,DN17),IF($F17&lt;OFFSET($BN$9,$CN17+0,0,1,1),IF(AND($H17&gt;2.4,Z17&lt;&gt;"e",Z17&lt;&gt;"f"),DN17*2.4/$H17,DN17),IF($F17&lt;OFFSET($BN$9,$CN17+1,0,1,1),IF(AND($H17&gt;2.4,Z17&lt;&gt;"e",Z17&lt;&gt;"f"),DN17*2.4/$H17,DN17),IF($F17&lt;OFFSET($BN$9,$CN17+2,0,1,1),IF(AND($H17&gt;2.4,Z17&lt;&gt;"e",Z17&lt;&gt;"f"),DN17*2.4/$H17,DN17),IF($F17&lt;OFFSET($BN$9,$CN17+3,0,1,1),IF(AND($H17&gt;2.4,Z17&lt;&gt;"e",Z17&lt;&gt;"f"),DN17*2.4/$H17,DN17),0)))))*COS(RADIANS($G17)))</f>
        <v>0</v>
      </c>
      <c r="DK17" s="51"/>
      <c r="DL17" s="51">
        <f ca="1">IF(DG17&gt;$CR17,$CR17,DG17)</f>
        <v>0</v>
      </c>
      <c r="DM17" s="51"/>
      <c r="DN17" s="51">
        <f ca="1">IF(DI17&gt;$CR17,$CR17,DI17)</f>
        <v>0</v>
      </c>
      <c r="DO17" s="435">
        <f ca="1">IF(DH17&gt;$CR17,$CR17,DH17)</f>
        <v>0</v>
      </c>
      <c r="DP17" s="435">
        <f ca="1">DO17*F17</f>
        <v>0</v>
      </c>
      <c r="DQ17" s="436">
        <f ca="1">IF(DJ17&gt;$CR17,$CR17,DJ17)</f>
        <v>0</v>
      </c>
      <c r="DR17" s="437">
        <f ca="1">DQ17*F17</f>
        <v>0</v>
      </c>
      <c r="DS17" s="426">
        <f ca="1">OFFSET($CH$9,CL17-1,-15,1,1)</f>
        <v>0</v>
      </c>
      <c r="DT17" s="426">
        <f ca="1">VLOOKUP(DS17,Prodlink,2,0)</f>
        <v>0</v>
      </c>
      <c r="DU17" s="188">
        <f ca="1">IF(F17&lt;OFFSET($BM$9,DT17-1,0,1,1),0,IF(F17&lt;OFFSET($BN$9,DT17-1,0,1,1),((F17-OFFSET($BM$9,DT17-1,0,1,1))*OFFSET($CH$9,DT17-1,0,1,1))+OFFSET($BO$9,DT17-1,CQ17,1,1),IF(F17&lt;OFFSET($BN$9,DT17+0,0,1,1),((F17-OFFSET($BM$9,DT17+0,0,1,1))*OFFSET($CH$9,DT17+0,0,1,1))+OFFSET($BO$9,DT17+0,CQ17,1,1),IF(F17&lt;OFFSET($BN$9,DT17+1,0,1,1),((F17-OFFSET($BM$9,DT17+1,0,1,1))*OFFSET($CH$9,DT17+1,0,1,1))+OFFSET($BO$9,DT17+1,CQ17,1,1),IF(F17&lt;OFFSET($BN$9,DT17+2,0,1,1),((F17-OFFSET($BM$9,DT17+2,0,1,1))*OFFSET($CH$9,DT17+2,0,1,1))+OFFSET($BO$9,DT17+2,CQ17,1,1),IF(F17&lt;OFFSET($BN$9,DT17+3,0,1,1),((F17-OFFSET($BM$9,DT17+3,0,1,1))*OFFSET($CH$9,DT17+3,0,1,1))+OFFSET($BO$9,DT17+3,CQ17,1,1),0))))))</f>
        <v>0</v>
      </c>
      <c r="DV17" s="51">
        <f ca="1">IF($F17&lt;OFFSET($BM$9,$DT17-1,0,1,1),0,IF($F17&lt;OFFSET($BN$9,$DT17-1,0,1,1),IF(AND($H17&gt;2.4,Z17&lt;&gt;"e",Z17&lt;&gt;"f"),DZ17*2.4/$H17,DZ17),IF($F17&lt;OFFSET($BN$9,$DT17+0,0,1,1),IF(AND($H17&gt;2.4,Z17&lt;&gt;"e",Z17&lt;&gt;"f"),DZ17*2.4/$H17,DZ17),IF($F17&lt;OFFSET($BN$9,$DT17+1,0,1,1),IF(AND($H17&gt;2.4,Z17&lt;&gt;"e",Z17&lt;&gt;"f"),DZ17*2.4/$H17,DZ17),IF($F17&lt;OFFSET($BN$9,$DT17+2,0,1,1),IF(AND($H17&gt;2.4,Z17&lt;&gt;"e",Z17&lt;&gt;"f"),DZ17*2.4/$H17,DZ17),IF($F17&lt;OFFSET($BN$9,$DT17+3,0,1,1),IF(AND($H17&gt;2.4,Z17&lt;&gt;"e",Z17&lt;&gt;"f"),DZ17*2.4/$H17,DZ17),0)))))*COS(RADIANS($G17)))</f>
        <v>0</v>
      </c>
      <c r="DW17" s="188">
        <f ca="1">IF(F17&lt;OFFSET($BM$9,DT17-1,0,1,1),0,IF(F17&lt;OFFSET($BN$9,DT17-1,0,1,1),((F17-OFFSET($BM$9,DT17-1,0,1,1))*OFFSET($CI$9,DT17-1,0,1,1))+OFFSET($BP$9,DT17-1,CQ17,1,1),IF(F17&lt;OFFSET($BN$9,DT17+0,0,1,1),((F17-OFFSET($BM$9,DT17+0,0,1,1))*OFFSET($CI$9,DT17+0,0,1,1))+OFFSET($BP$9,DT17+0,CQ17,1,1),IF(F17&lt;OFFSET($BN$9,DT17+1,0,1,1),((F17-OFFSET($BM$9,DT17+1,0,1,1))*OFFSET($CI$9,DT17+1,0,1,1))+OFFSET($BP$9,DT17+1,CQ17,1,1),IF(F17&lt;OFFSET($BN$9,DT17+2,0,1,1),((F17-OFFSET($BM$9,DT17+2,0,1,1))*OFFSET($CI$9,DT17+2,0,1,1))+OFFSET($BP$9,DT17+2,CQ17,1,1),IF(F17&lt;OFFSET($BN$9,DT17+3,0,1,1),((F17-OFFSET($BM$9,DT17+3,0,1,1))*OFFSET($CI$9,DT17+3,0,1,1))+OFFSET($BP$9,DT17+3,CQ17,1,1),0))))))</f>
        <v>0</v>
      </c>
      <c r="DX17" s="51">
        <f ca="1">IF($F17&lt;OFFSET($BM$9,$DT17-1,0,1,1),0,IF($F17&lt;OFFSET($BN$9,$DT17-1,0,1,1),IF(AND($H17&gt;2.4,Z17&lt;&gt;"e",Z17&lt;&gt;"f"),EB17*2.4/$H17,EB17),IF($F17&lt;OFFSET($BN$9,$DT17+0,0,1,1),IF(AND($H17&gt;2.4,Z17&lt;&gt;"e",Z17&lt;&gt;"f"),EB17*2.4/$H17,EB17),IF($F17&lt;OFFSET($BN$9,$DT17+1,0,1,1),IF(AND($H17&gt;2.4,Z17&lt;&gt;"e",Z17&lt;&gt;"f"),EB17*2.4/$H17,EB17),IF($F17&lt;OFFSET($BN$9,$DT17+2,0,1,1),IF(AND($H17&gt;2.4,Z17&lt;&gt;"e",Z17&lt;&gt;"f"),EB17*2.4/$H17,EB17),IF($F17&lt;OFFSET($BN$9,$DT17+3,0,1,1),IF(AND($H17&gt;2.4,Z17&lt;&gt;"e",Z17&lt;&gt;"f"),EB17*2.4/$H17,EB17),0)))))*COS(RADIANS($G17)))</f>
        <v>0</v>
      </c>
      <c r="DY17" s="188"/>
      <c r="DZ17" s="188">
        <f ca="1">IF(DU17&gt;$CR17,$CR17,DU17)</f>
        <v>0</v>
      </c>
      <c r="EA17" s="188"/>
      <c r="EB17" s="188">
        <f ca="1">IF(DW17&gt;$CR17,$CR17,DW17)</f>
        <v>0</v>
      </c>
      <c r="EC17" s="435">
        <f ca="1">IF(DV17&gt;$CR17,$CR17,DV17)</f>
        <v>0</v>
      </c>
      <c r="ED17" s="435">
        <f ca="1">EC17*F17</f>
        <v>0</v>
      </c>
      <c r="EE17" s="436">
        <f ca="1">IF(DX17&gt;$CR17,$CR17,DX17)</f>
        <v>0</v>
      </c>
      <c r="EF17" s="437">
        <f ca="1">EE17*F17</f>
        <v>0</v>
      </c>
      <c r="EG17" s="613" t="str">
        <f>IF(D17=BG$12,BG$12,"")</f>
        <v/>
      </c>
      <c r="EH17" s="614" t="str">
        <f>IF(D17=BG$13,BG$13,"")</f>
        <v/>
      </c>
      <c r="EI17" s="611">
        <f>IF(EG17=BG$12,M17,0)</f>
        <v>0</v>
      </c>
      <c r="EJ17" s="451">
        <f>IF(EG17=BG$12,O17,0)</f>
        <v>0</v>
      </c>
      <c r="EK17" s="451">
        <f>IF(EH17=BG$13,M17,0)</f>
        <v>0</v>
      </c>
      <c r="EL17" s="612">
        <f>IF(EH17=BG$13,O17,0)</f>
        <v>0</v>
      </c>
      <c r="EM17" s="426" t="str">
        <f ca="1">IF(AND(Z17&lt;&gt;"t",Z17&lt;&gt;"f"),"",IF(AND(EN17=$BH$13,K17=$BH$12),"NotOpt",IF(K17&lt;&gt;EN17,"Error","")))</f>
        <v/>
      </c>
      <c r="EN17" s="490" t="str">
        <f>IF($BG$28=1,$BH$13,$BH$12)</f>
        <v>120 BU's</v>
      </c>
      <c r="EO17" s="426" t="str">
        <f>K17</f>
        <v xml:space="preserve"> </v>
      </c>
      <c r="ER17" s="439" t="str">
        <f ca="1">IF(H17=0," ",H17)</f>
        <v xml:space="preserve"> </v>
      </c>
      <c r="ES17" s="440" t="str">
        <f ca="1">IF(ER17&lt;&gt;" ",IF(ER17&lt;&gt;ER$7,"Changed",""),"")</f>
        <v/>
      </c>
      <c r="ET17" s="440">
        <f ca="1">IF(ER17&lt;&gt;" ",IF(ER17&lt;&gt;ER$7,1,0),0)</f>
        <v>0</v>
      </c>
      <c r="EU17" s="957" t="str">
        <f ca="1">IF(I17=" "," ",IF(F17&lt;OFFSET($BM$9,CL17-1,0,1,1),1,""))</f>
        <v xml:space="preserve"> </v>
      </c>
      <c r="EW17" s="427"/>
      <c r="EX17"/>
      <c r="EY17"/>
      <c r="EZ17"/>
      <c r="FA17"/>
      <c r="FB17"/>
      <c r="FC17"/>
      <c r="FD17"/>
      <c r="FE17"/>
      <c r="FF17"/>
      <c r="FG17"/>
      <c r="FH17"/>
      <c r="FI17"/>
      <c r="FJ17"/>
      <c r="FK17"/>
      <c r="FL17"/>
      <c r="FM17"/>
      <c r="FN17"/>
      <c r="FO17"/>
    </row>
    <row r="18" spans="2:171" ht="17.100000000000001" customHeight="1" thickBot="1">
      <c r="B18" s="689" t="s">
        <v>246</v>
      </c>
      <c r="C18" s="684" t="str">
        <f>IF(OR(F18=0,I18="",I18=" ")," ",$V18)</f>
        <v xml:space="preserve"> </v>
      </c>
      <c r="D18" s="1419"/>
      <c r="E18" s="1034"/>
      <c r="F18" s="201"/>
      <c r="G18" s="1416"/>
      <c r="H18" s="199" t="str">
        <f ca="1">IF(OR(F18=0,Z18="E",Z18="f")," ",'Project Demand'!E$45)</f>
        <v xml:space="preserve"> </v>
      </c>
      <c r="I18" s="631" t="str">
        <f>IF($I$6&lt;&gt;$BG$8," ",AB18)</f>
        <v xml:space="preserve"> </v>
      </c>
      <c r="J18" s="44" t="str">
        <f ca="1">IF(OR(I18=" ",I18="")," ",OFFSET($BO$9,CL18-1,0-4,1,1))</f>
        <v xml:space="preserve"> </v>
      </c>
      <c r="K18" s="55" t="str">
        <f>IF(OR(I18=" ",I18="")," ",IF(OR(Z18="e",Z18="h"),"SD",BG$24))</f>
        <v xml:space="preserve"> </v>
      </c>
      <c r="L18" s="49">
        <f ca="1">CW18</f>
        <v>0</v>
      </c>
      <c r="M18" s="49">
        <f ca="1">CY18</f>
        <v>0</v>
      </c>
      <c r="N18" s="50">
        <f t="shared" ca="1" si="16"/>
        <v>0</v>
      </c>
      <c r="O18" s="126">
        <f t="shared" ca="1" si="16"/>
        <v>0</v>
      </c>
      <c r="P18" s="140"/>
      <c r="Q18" s="752" t="str">
        <f ca="1">IF(AND(OR(Z18="t",Z18="f"),K18=$BH$11),"No Floor!  Change Floor Type",IF(OR(I18=" ",I18="")," ",IF(F18&lt;OFFSET($BM$9,CL18-1,0,1,1),"check L(m)",DE18&amp;IF(AND(DP18&gt;=CY18,DR18&gt;=DB18),IF(AND(ED18&gt;=DP18,EF18&gt;=DR18),CONCATENATE(DS18," will provide same result"),CONCATENATE(CO18," will provide same result")),IF((DP18&gt;=CY18),CONCATENATE(CO18," provides same result in WIND"),IF((DR18&gt;=DB18),CONCATENATE(CO18," provides same result in EQ"),""))))))&amp;IF(ISERROR(FIND("pile",I18,1)),"",IF(INT(F18)&lt;&gt;F18,"Pile!  Use Whole Numbers Only",""))</f>
        <v xml:space="preserve"> </v>
      </c>
      <c r="T18" s="52"/>
      <c r="U18" s="1377"/>
      <c r="V18" s="52" t="str">
        <f ca="1">IF(AND(B$5=$BF$9,OR(I18=BH$16,I18=BH$17))," ",IF(ISNUMBER(B$14),(CONCATENATE(B$14,".",W18)),(CONCATENATE(B$14,W18))))</f>
        <v>B0</v>
      </c>
      <c r="W18" s="9">
        <f ca="1">W17+X18</f>
        <v>0</v>
      </c>
      <c r="X18" s="9">
        <f>IF(AND(B$5=$BF$9,OR($I18=$BH$16,$I18=$BH$17,$I18=" ",$I18="",$F18=0)),0,IF(OR($I18=" ",$I18="",$F18=0),0,1))</f>
        <v>0</v>
      </c>
      <c r="Y18" s="896"/>
      <c r="Z18" s="52" t="str">
        <f ca="1">IF(I18=" "," ",OFFSET($BM$9,$CL18-1,8,1,1))</f>
        <v xml:space="preserve"> </v>
      </c>
      <c r="AA18" s="51" t="str">
        <f>IF(G18&gt;=45,"WA","")</f>
        <v/>
      </c>
      <c r="AB18" s="1364" t="str">
        <f>IF(F18&lt;&gt;"",IF(OR(D18=$BG$12,D18=$BG$13),IF(E18&lt;&gt;$BG$17,$BF$12,$BF$13),IF(E18&lt;&gt;$BG$17,$BF$12,$BF$13))," ")</f>
        <v xml:space="preserve"> </v>
      </c>
      <c r="AC18" s="1"/>
      <c r="AJ18" s="2230"/>
      <c r="AK18" s="2793"/>
      <c r="AL18" s="2784"/>
      <c r="AM18" s="11">
        <f>'Regular and QuickBrace Systems'!F32</f>
        <v>0.8</v>
      </c>
      <c r="AN18" s="1336">
        <f>'Regular and QuickBrace Systems'!G32</f>
        <v>95</v>
      </c>
      <c r="AO18" s="26">
        <f>'Regular and QuickBrace Systems'!H32</f>
        <v>83</v>
      </c>
      <c r="AP18" s="1595"/>
      <c r="AQ18" s="2663"/>
      <c r="AR18" s="2664"/>
      <c r="AS18" s="2031"/>
      <c r="AT18" s="1339"/>
      <c r="AU18" s="2090"/>
      <c r="AW18" s="1569" t="str">
        <f>'Regular and QuickBrace Systems'!O32</f>
        <v>Yes</v>
      </c>
      <c r="AX18" s="442" t="str">
        <f>'Regular and QuickBrace Systems'!Q32</f>
        <v>No</v>
      </c>
      <c r="BD18" s="638"/>
      <c r="BF18" s="598" t="str">
        <f>Table!AI78</f>
        <v>ESSN</v>
      </c>
      <c r="BG18" s="949"/>
      <c r="BI18" s="759"/>
      <c r="BJ18" s="897">
        <f t="shared" si="4"/>
        <v>10</v>
      </c>
      <c r="BK18" s="769" t="str">
        <f t="shared" si="7"/>
        <v xml:space="preserve">  </v>
      </c>
      <c r="BL18" s="771" t="str">
        <f t="shared" si="8"/>
        <v>Custom7</v>
      </c>
      <c r="BM18" s="455">
        <f t="shared" si="9"/>
        <v>9.9999999999999996E-76</v>
      </c>
      <c r="BN18" s="455">
        <v>999</v>
      </c>
      <c r="BO18" s="455">
        <f t="shared" si="10"/>
        <v>0</v>
      </c>
      <c r="BP18" s="925">
        <f t="shared" si="11"/>
        <v>0</v>
      </c>
      <c r="BR18" s="764"/>
      <c r="BS18" s="455"/>
      <c r="BT18" s="455" t="str">
        <f t="shared" si="12"/>
        <v>B</v>
      </c>
      <c r="BU18" s="925" t="str">
        <f t="shared" si="13"/>
        <v>T</v>
      </c>
      <c r="BV18" s="1239" t="str">
        <f t="shared" si="14"/>
        <v>Custom7</v>
      </c>
      <c r="BW18" s="1236">
        <f t="shared" si="17"/>
        <v>10</v>
      </c>
      <c r="BX18" s="925" t="str">
        <f t="shared" si="15"/>
        <v>Single</v>
      </c>
      <c r="CH18" s="764">
        <f t="shared" si="5"/>
        <v>0</v>
      </c>
      <c r="CI18" s="925">
        <f t="shared" si="6"/>
        <v>0</v>
      </c>
      <c r="CJ18" s="759"/>
      <c r="CK18" s="188"/>
      <c r="CL18" s="979">
        <f>VLOOKUP(I18,Prodlink,2,0)</f>
        <v>0</v>
      </c>
      <c r="CN18" s="497">
        <f t="shared" ca="1" si="1"/>
        <v>0</v>
      </c>
      <c r="CO18" s="497">
        <f ca="1">OFFSET($CH$9,CL18-1,-15,1,1)</f>
        <v>0</v>
      </c>
      <c r="CQ18" s="51">
        <v>0</v>
      </c>
      <c r="CR18" s="51">
        <f>IF(K18=$BH$12,$BH$23,IF(K18=$BH$13,$BH$24,10000))</f>
        <v>10000</v>
      </c>
      <c r="CS18" s="51">
        <f ca="1">IF(F18&lt;OFFSET($BM$9,CL18-1,0,1,1),0,IF(F18&lt;OFFSET($BN$9,CL18-1,0,1,1),((F18-OFFSET($BM$9,CL18-1,0,1,1))*OFFSET($CH$9,CL18-1,0,1,1))+OFFSET($BO$9,CL18-1,CQ18,1,1),IF(F18&lt;OFFSET($BN$9,CL18+0,0,1,1),((F18-OFFSET($BM$9,CL18+0,0,1,1))*OFFSET($CH$9,CL18+0,0,1,1))+OFFSET($BO$9,CL18+0,CQ18,1,1),IF(F18&lt;OFFSET($BN$9,CL18+1,0,1,1),((F18-OFFSET($BM$9,CL18+1,0,1,1))*OFFSET($CH$9,CL18+1,0,1,1))+OFFSET($BO$9,CL18+1,CQ18,1,1),IF(F18&lt;OFFSET($BN$9,CL18+2,0,1,1),((F18-OFFSET($BM$9,CL18+2,0,1,1))*OFFSET($CH$9,CL18+2,0,1,1))+OFFSET($BO$9,CL18+2,CQ18,1,1),IF(F18&lt;OFFSET($BN$9,CL18+3,0,1,1),((F18-OFFSET($BM$9,CL18+3,0,1,1))*OFFSET($CH$9,CL18+3,0,1,1))+OFFSET($BO$9,CL18+3,CQ18,1,1),0))))))</f>
        <v>0</v>
      </c>
      <c r="CT18" s="51">
        <f ca="1">IF($F18&lt;OFFSET($BM$9,$CL18-1,0,1,1),0,IF($F18&lt;OFFSET($BN$9,$CL18-1,0,1,1),IF(AND($H18&gt;2.4,Z18&lt;&gt;"e",Z18&lt;&gt;"f"),CX18*2.4/$H18,CX18),IF($F18&lt;OFFSET($BN$9,$CL18+0,0,1,1),IF(AND($H18&gt;2.4,Z18&lt;&gt;"e",Z18&lt;&gt;"f"),CX18*2.4/$H18,CX18),IF($F18&lt;OFFSET($BN$9,$CL18+1,0,1,1),IF(AND($H18&gt;2.4,Z18&lt;&gt;"e",Z18&lt;&gt;"f"),CX18*2.4/$H18,CX18),IF($F18&lt;OFFSET($BN$9,CL18+2,0,1,1),IF(AND($H18&gt;2.4,Z18&lt;&gt;"e",Z18&lt;&gt;"f"),CX18*2.4/$H18,CX18),IF($F18&lt;OFFSET($BN$9,CL18+3,0,1,1),IF(AND($H18&gt;2.4,Z18&lt;&gt;"e",Z18&lt;&gt;"f"),CX18*2.4/$H18,CX18),0)))))*COS(RADIANS($G18)))</f>
        <v>0</v>
      </c>
      <c r="CU18" s="51">
        <f ca="1">IF(F18&lt;OFFSET($BM$9,CL18-1,0,1,1),0,IF(F18&lt;OFFSET($BN$9,CL18-1,0,1,1),((F18-OFFSET($BM$9,CL18-1,0,1,1))*OFFSET($CI$9,CL18-1,0,1,1))+OFFSET($BP$9,CL18-1,CQ18,1,1),IF(F18&lt;OFFSET($BN$9,CL18+0,0,1,1),((F18-OFFSET($BM$9,CL18+0,0,1,1))*OFFSET($CI$9,CL18+0,0,1,1))+OFFSET($BP$9,CL18+0,CQ18,1,1),IF(F18&lt;OFFSET($BN$9,CL18+1,0,1,1),((F18-OFFSET($BM$9,CL18+1,0,1,1))*OFFSET($CI$9,CL18+1,0,1,1))+OFFSET($BP$9,CL18+1,CQ18,1,1),IF(F18&lt;OFFSET($BN$9,CL18+2,0,1,1),((F18-OFFSET($BM$9,CL18+2,0,1,1))*OFFSET($CI$9,CL18+2,0,1,1))+OFFSET($BP$9,CL18+2,CQ18,1,1),IF(F18&lt;OFFSET($BN$9,CL18+3,0,1,1),((F18-OFFSET($BM$9,CL18+3,0,1,1))*OFFSET($CI$9,CL18+3,0,1,1))+OFFSET($BP$9,CL18+3,CQ18,1,1),0))))))</f>
        <v>0</v>
      </c>
      <c r="CV18" s="51">
        <f ca="1">IF($F18&lt;OFFSET($BM$9,$CL18-1,0,1,1),0,IF($F18&lt;OFFSET($BN$9,$CL18-1,0,1,1),IF(AND($H18&gt;2.4,Z18&lt;&gt;"e",Z18&lt;&gt;"f"),CZ18*2.4/$H18,CZ18),IF($F18&lt;OFFSET($BN$9,$CL18+0,0,1,1),IF(AND($H18&gt;2.4,Z18&lt;&gt;"e",Z18&lt;&gt;"f"),CZ18*2.4/$H18,CZ18),IF($F18&lt;OFFSET($BN$9,$CL18+1,0,1,1),IF(AND($H18&gt;2.4,Z18&lt;&gt;"e",Z18&lt;&gt;"f"),CZ18*2.4/$H18,CZ18),IF($F18&lt;OFFSET($BN$9,$CL18+2,0,1,1),IF(AND($H18&gt;2.4,Z18&lt;&gt;"e",Z18&lt;&gt;"f"),CZ18*2.4/$H18,CZ18),IF($F18&lt;OFFSET($BN$9,$CL18+3,0,1,1),IF(AND($H18&gt;2.4,Z18&lt;&gt;"e",Z18&lt;&gt;"f"),CZ18*2.4/$H18,CZ18),0)))))*COS(RADIANS($G18)))</f>
        <v>0</v>
      </c>
      <c r="CW18" s="51">
        <f ca="1">IF(CT18&gt;CR18,CR18,CT18)</f>
        <v>0</v>
      </c>
      <c r="CX18" s="51">
        <f ca="1">IF(CS18&gt;$CR18,$CR18,CS18)</f>
        <v>0</v>
      </c>
      <c r="CY18" s="51">
        <f ca="1">CW18*F18</f>
        <v>0</v>
      </c>
      <c r="CZ18" s="51">
        <f ca="1">IF($CU18&gt;$CR18,$CR18,$CU18)</f>
        <v>0</v>
      </c>
      <c r="DA18" s="51">
        <f ca="1">IF(CV18&gt;CR18,CR18,CV18)</f>
        <v>0</v>
      </c>
      <c r="DB18" s="51">
        <f ca="1">DA18*F18</f>
        <v>0</v>
      </c>
      <c r="DC18" s="993">
        <v>1</v>
      </c>
      <c r="DD18" s="758" t="str">
        <f>IF(OR(D18=BG$12,D18=BG$13),"External",IF(D18=BG$14,"Internal"," "))</f>
        <v xml:space="preserve"> </v>
      </c>
      <c r="DE18" s="51" t="str">
        <f t="shared" ca="1" si="2"/>
        <v/>
      </c>
      <c r="DF18" s="52" t="str">
        <f t="shared" ca="1" si="3"/>
        <v xml:space="preserve"> </v>
      </c>
      <c r="DG18" s="51">
        <f ca="1">IF(F18&lt;OFFSET($BM$9,CN18-1,0,1,1),0,IF(F18&lt;OFFSET($BN$9,CN18-1,0,1,1),((F18-OFFSET($BM$9,CN18-1,0,1,1))*OFFSET($CH$9,CN18-1,0,1,1))+OFFSET($BO$9,CN18-1,CQ18,1,1),IF(F18&lt;OFFSET($BN$9,CN18+0,0,1,1),((F18-OFFSET($BM$9,CN18+0,0,1,1))*OFFSET($CH$9,CN18+0,0,1,1))+OFFSET($BO$9,CN18+0,CQ18,1,1),IF(F18&lt;OFFSET($BN$9,CN18+1,0,1,1),((F18-OFFSET($BM$9,CN18+1,0,1,1))*OFFSET($CH$9,CN18+1,0,1,1))+OFFSET($BO$9,CN18+1,CQ18,1,1),IF(F18&lt;OFFSET($BN$9,CN18+2,0,1,1),((F18-OFFSET($BM$9,CN18+2,0,1,1))*OFFSET($CH$9,CN18+2,0,1,1))+OFFSET($BO$9,CN18+2,CQ18,1,1),IF(F18&lt;OFFSET($BN$9,CN18+3,0,1,1),((F18-OFFSET($BM$9,CN18+3,0,1,1))*OFFSET($CH$9,CN18+3,0,1,1))+OFFSET($BO$9,CN18+3,CQ18,1,1),0))))))</f>
        <v>0</v>
      </c>
      <c r="DH18" s="51">
        <f ca="1">IF($F18&lt;OFFSET($BM$9,$CN18-1,0,1,1),0,IF($F18&lt;OFFSET($BN$9,$CN18-1,0,1,1),IF(AND($H18&gt;2.4,Z18&lt;&gt;"e",Z18&lt;&gt;"f"),DL18*2.4/$H18,DL18),IF($F18&lt;OFFSET($BN$9,$CN18+0,0,1,1),IF(AND($H18&gt;2.4,Z18&lt;&gt;"e",Z18&lt;&gt;"f"),DL18*2.4/$H18,DL18),IF($F18&lt;OFFSET($BN$9,$CN18+1,0,1,1),IF(AND($H18&gt;2.4,Z18&lt;&gt;"e",Z18&lt;&gt;"f"),DL18*2.4/$H18,DL18),IF($F18&lt;OFFSET($BN$9,$CN18+2,0,1,1),IF(AND($H18&gt;2.4,Z18&lt;&gt;"e",Z18&lt;&gt;"f"),DL18*2.4/$H18,DL18),IF($F18&lt;OFFSET($BN$9,$CN18+3,0,1,1),IF(AND($H18&gt;2.4,Z18&lt;&gt;"e",Z18&lt;&gt;"f"),DL18*2.4/$H18,DL18),0)))))*COS(RADIANS($G18)))</f>
        <v>0</v>
      </c>
      <c r="DI18" s="51">
        <f ca="1">IF(F18&lt;OFFSET($BM$9,CN18-1,0,1,1),0,IF(F18&lt;OFFSET($BN$9,CN18-1,0,1,1),((F18-OFFSET($BM$9,CN18-1,0,1,1))*OFFSET($CI$9,CN18-1,0,1,1))+OFFSET($BP$9,CN18-1,CQ18,1,1),IF(F18&lt;OFFSET($BN$9,CN18+0,0,1,1),((F18-OFFSET($BM$9,CN18+0,0,1,1))*OFFSET($CI$9,CN18+0,0,1,1))+OFFSET($BP$9,CN18+0,CQ18,1,1),IF(F18&lt;OFFSET($BN$9,CN18+1,0,1,1),((F18-OFFSET($BM$9,CN18+1,0,1,1))*OFFSET($CI$9,CN18+1,0,1,1))+OFFSET($BP$9,CN18+1,CQ18,1,1),IF(F18&lt;OFFSET($BN$9,CN18+2,0,1,1),((F18-OFFSET($BM$9,CN18+2,0,1,1))*OFFSET($CI$9,CN18+2,0,1,1))+OFFSET($BP$9,CN18+2,CQ18,1,1),IF(F18&lt;OFFSET($BN$9,CN18+3,0,1,1),((F18-OFFSET($BM$9,CN18+3,0,1,1))*OFFSET($CI$9,CN18+3,0,1,1))+OFFSET($BP$9,CN18+3,CQ18,1,1),0))))))</f>
        <v>0</v>
      </c>
      <c r="DJ18" s="51">
        <f ca="1">IF($F18&lt;OFFSET($BM$9,$CN18-1,0,1,1),0,IF($F18&lt;OFFSET($BN$9,$CN18-1,0,1,1),IF(AND($H18&gt;2.4,Z18&lt;&gt;"e",Z18&lt;&gt;"f"),DN18*2.4/$H18,DN18),IF($F18&lt;OFFSET($BN$9,$CN18+0,0,1,1),IF(AND($H18&gt;2.4,Z18&lt;&gt;"e",Z18&lt;&gt;"f"),DN18*2.4/$H18,DN18),IF($F18&lt;OFFSET($BN$9,$CN18+1,0,1,1),IF(AND($H18&gt;2.4,Z18&lt;&gt;"e",Z18&lt;&gt;"f"),DN18*2.4/$H18,DN18),IF($F18&lt;OFFSET($BN$9,$CN18+2,0,1,1),IF(AND($H18&gt;2.4,Z18&lt;&gt;"e",Z18&lt;&gt;"f"),DN18*2.4/$H18,DN18),IF($F18&lt;OFFSET($BN$9,$CN18+3,0,1,1),IF(AND($H18&gt;2.4,Z18&lt;&gt;"e",Z18&lt;&gt;"f"),DN18*2.4/$H18,DN18),0)))))*COS(RADIANS($G18)))</f>
        <v>0</v>
      </c>
      <c r="DK18" s="51"/>
      <c r="DL18" s="51">
        <f ca="1">IF(DG18&gt;$CR18,$CR18,DG18)</f>
        <v>0</v>
      </c>
      <c r="DM18" s="51"/>
      <c r="DN18" s="51">
        <f ca="1">IF(DI18&gt;$CR18,$CR18,DI18)</f>
        <v>0</v>
      </c>
      <c r="DO18" s="435">
        <f ca="1">IF(DH18&gt;$CR18,$CR18,DH18)</f>
        <v>0</v>
      </c>
      <c r="DP18" s="435">
        <f ca="1">DO18*F18</f>
        <v>0</v>
      </c>
      <c r="DQ18" s="436">
        <f ca="1">IF(DJ18&gt;$CR18,$CR18,DJ18)</f>
        <v>0</v>
      </c>
      <c r="DR18" s="437">
        <f ca="1">DQ18*F18</f>
        <v>0</v>
      </c>
      <c r="DS18" s="426">
        <f ca="1">OFFSET($CH$9,CL18-1,-15,1,1)</f>
        <v>0</v>
      </c>
      <c r="DT18" s="426">
        <f ca="1">VLOOKUP(DS18,Prodlink,2,0)</f>
        <v>0</v>
      </c>
      <c r="DU18" s="188">
        <f ca="1">IF(F18&lt;OFFSET($BM$9,DT18-1,0,1,1),0,IF(F18&lt;OFFSET($BN$9,DT18-1,0,1,1),((F18-OFFSET($BM$9,DT18-1,0,1,1))*OFFSET($CH$9,DT18-1,0,1,1))+OFFSET($BO$9,DT18-1,CQ18,1,1),IF(F18&lt;OFFSET($BN$9,DT18+0,0,1,1),((F18-OFFSET($BM$9,DT18+0,0,1,1))*OFFSET($CH$9,DT18+0,0,1,1))+OFFSET($BO$9,DT18+0,CQ18,1,1),IF(F18&lt;OFFSET($BN$9,DT18+1,0,1,1),((F18-OFFSET($BM$9,DT18+1,0,1,1))*OFFSET($CH$9,DT18+1,0,1,1))+OFFSET($BO$9,DT18+1,CQ18,1,1),IF(F18&lt;OFFSET($BN$9,DT18+2,0,1,1),((F18-OFFSET($BM$9,DT18+2,0,1,1))*OFFSET($CH$9,DT18+2,0,1,1))+OFFSET($BO$9,DT18+2,CQ18,1,1),IF(F18&lt;OFFSET($BN$9,DT18+3,0,1,1),((F18-OFFSET($BM$9,DT18+3,0,1,1))*OFFSET($CH$9,DT18+3,0,1,1))+OFFSET($BO$9,DT18+3,CQ18,1,1),0))))))</f>
        <v>0</v>
      </c>
      <c r="DV18" s="51">
        <f ca="1">IF($F18&lt;OFFSET($BM$9,$DT18-1,0,1,1),0,IF($F18&lt;OFFSET($BN$9,$DT18-1,0,1,1),IF(AND($H18&gt;2.4,Z18&lt;&gt;"e",Z18&lt;&gt;"f"),DZ18*2.4/$H18,DZ18),IF($F18&lt;OFFSET($BN$9,$DT18+0,0,1,1),IF(AND($H18&gt;2.4,Z18&lt;&gt;"e",Z18&lt;&gt;"f"),DZ18*2.4/$H18,DZ18),IF($F18&lt;OFFSET($BN$9,$DT18+1,0,1,1),IF(AND($H18&gt;2.4,Z18&lt;&gt;"e",Z18&lt;&gt;"f"),DZ18*2.4/$H18,DZ18),IF($F18&lt;OFFSET($BN$9,$DT18+2,0,1,1),IF(AND($H18&gt;2.4,Z18&lt;&gt;"e",Z18&lt;&gt;"f"),DZ18*2.4/$H18,DZ18),IF($F18&lt;OFFSET($BN$9,$DT18+3,0,1,1),IF(AND($H18&gt;2.4,Z18&lt;&gt;"e",Z18&lt;&gt;"f"),DZ18*2.4/$H18,DZ18),0)))))*COS(RADIANS($G18)))</f>
        <v>0</v>
      </c>
      <c r="DW18" s="188">
        <f ca="1">IF(F18&lt;OFFSET($BM$9,DT18-1,0,1,1),0,IF(F18&lt;OFFSET($BN$9,DT18-1,0,1,1),((F18-OFFSET($BM$9,DT18-1,0,1,1))*OFFSET($CI$9,DT18-1,0,1,1))+OFFSET($BP$9,DT18-1,CQ18,1,1),IF(F18&lt;OFFSET($BN$9,DT18+0,0,1,1),((F18-OFFSET($BM$9,DT18+0,0,1,1))*OFFSET($CI$9,DT18+0,0,1,1))+OFFSET($BP$9,DT18+0,CQ18,1,1),IF(F18&lt;OFFSET($BN$9,DT18+1,0,1,1),((F18-OFFSET($BM$9,DT18+1,0,1,1))*OFFSET($CI$9,DT18+1,0,1,1))+OFFSET($BP$9,DT18+1,CQ18,1,1),IF(F18&lt;OFFSET($BN$9,DT18+2,0,1,1),((F18-OFFSET($BM$9,DT18+2,0,1,1))*OFFSET($CI$9,DT18+2,0,1,1))+OFFSET($BP$9,DT18+2,CQ18,1,1),IF(F18&lt;OFFSET($BN$9,DT18+3,0,1,1),((F18-OFFSET($BM$9,DT18+3,0,1,1))*OFFSET($CI$9,DT18+3,0,1,1))+OFFSET($BP$9,DT18+3,CQ18,1,1),0))))))</f>
        <v>0</v>
      </c>
      <c r="DX18" s="51">
        <f ca="1">IF($F18&lt;OFFSET($BM$9,$DT18-1,0,1,1),0,IF($F18&lt;OFFSET($BN$9,$DT18-1,0,1,1),IF(AND($H18&gt;2.4,Z18&lt;&gt;"e",Z18&lt;&gt;"f"),EB18*2.4/$H18,EB18),IF($F18&lt;OFFSET($BN$9,$DT18+0,0,1,1),IF(AND($H18&gt;2.4,Z18&lt;&gt;"e",Z18&lt;&gt;"f"),EB18*2.4/$H18,EB18),IF($F18&lt;OFFSET($BN$9,$DT18+1,0,1,1),IF(AND($H18&gt;2.4,Z18&lt;&gt;"e",Z18&lt;&gt;"f"),EB18*2.4/$H18,EB18),IF($F18&lt;OFFSET($BN$9,$DT18+2,0,1,1),IF(AND($H18&gt;2.4,Z18&lt;&gt;"e",Z18&lt;&gt;"f"),EB18*2.4/$H18,EB18),IF($F18&lt;OFFSET($BN$9,$DT18+3,0,1,1),IF(AND($H18&gt;2.4,Z18&lt;&gt;"e",Z18&lt;&gt;"f"),EB18*2.4/$H18,EB18),0)))))*COS(RADIANS($G18)))</f>
        <v>0</v>
      </c>
      <c r="DY18" s="188"/>
      <c r="DZ18" s="188">
        <f ca="1">IF(DU18&gt;$CR18,$CR18,DU18)</f>
        <v>0</v>
      </c>
      <c r="EA18" s="188"/>
      <c r="EB18" s="188">
        <f ca="1">IF(DW18&gt;$CR18,$CR18,DW18)</f>
        <v>0</v>
      </c>
      <c r="EC18" s="435">
        <f ca="1">IF(DV18&gt;$CR18,$CR18,DV18)</f>
        <v>0</v>
      </c>
      <c r="ED18" s="435">
        <f ca="1">EC18*F18</f>
        <v>0</v>
      </c>
      <c r="EE18" s="436">
        <f ca="1">IF(DX18&gt;$CR18,$CR18,DX18)</f>
        <v>0</v>
      </c>
      <c r="EF18" s="437">
        <f ca="1">EE18*F18</f>
        <v>0</v>
      </c>
      <c r="EG18" s="613" t="str">
        <f>IF(D18=BG$12,BG$12,"")</f>
        <v/>
      </c>
      <c r="EH18" s="614" t="str">
        <f>IF(D18=BG$13,BG$13,"")</f>
        <v/>
      </c>
      <c r="EI18" s="611">
        <f>IF(EG18=BG$12,M18,0)</f>
        <v>0</v>
      </c>
      <c r="EJ18" s="451">
        <f>IF(EG18=BG$12,O18,0)</f>
        <v>0</v>
      </c>
      <c r="EK18" s="451">
        <f>IF(EH18=BG$13,M18,0)</f>
        <v>0</v>
      </c>
      <c r="EL18" s="612">
        <f>IF(EH18=BG$13,O18,0)</f>
        <v>0</v>
      </c>
      <c r="EM18" s="426" t="str">
        <f ca="1">IF(AND(Z18&lt;&gt;"t",Z18&lt;&gt;"f"),"",IF(AND(EN18=$BH$13,K18=$BH$12),"NotOpt",IF(K18&lt;&gt;EN18,"Error","")))</f>
        <v/>
      </c>
      <c r="EN18" s="490" t="str">
        <f>IF($BG$28=1,$BH$13,$BH$12)</f>
        <v>120 BU's</v>
      </c>
      <c r="EO18" s="426" t="str">
        <f>K18</f>
        <v xml:space="preserve"> </v>
      </c>
      <c r="ER18" s="439" t="str">
        <f ca="1">IF(H18=0," ",H18)</f>
        <v xml:space="preserve"> </v>
      </c>
      <c r="ES18" s="440" t="str">
        <f ca="1">IF(ER18&lt;&gt;" ",IF(ER18&lt;&gt;ER$7,"Changed",""),"")</f>
        <v/>
      </c>
      <c r="ET18" s="440">
        <f ca="1">IF(ER18&lt;&gt;" ",IF(ER18&lt;&gt;ER$7,1,0),0)</f>
        <v>0</v>
      </c>
      <c r="EU18" s="957" t="str">
        <f ca="1">IF(I18=" "," ",IF(F18&lt;OFFSET($BM$9,CL18-1,0,1,1),1,""))</f>
        <v xml:space="preserve"> </v>
      </c>
      <c r="EW18" s="427"/>
      <c r="EX18"/>
      <c r="EY18"/>
      <c r="EZ18"/>
      <c r="FA18"/>
      <c r="FB18"/>
      <c r="FC18"/>
      <c r="FD18"/>
      <c r="FE18"/>
      <c r="FF18"/>
      <c r="FG18"/>
      <c r="FH18"/>
      <c r="FI18"/>
      <c r="FJ18"/>
      <c r="FK18"/>
      <c r="FL18"/>
      <c r="FM18"/>
      <c r="FN18"/>
      <c r="FO18"/>
    </row>
    <row r="19" spans="2:171" ht="17.100000000000001" customHeight="1" thickBot="1">
      <c r="B19" s="2686" t="s">
        <v>8</v>
      </c>
      <c r="C19" s="2687"/>
      <c r="D19" s="1461" t="s">
        <v>8</v>
      </c>
      <c r="E19" s="659"/>
      <c r="F19" s="659"/>
      <c r="G19" s="659"/>
      <c r="H19" s="659"/>
      <c r="I19" s="1462"/>
      <c r="J19" s="1365" t="str">
        <f ca="1">(CONCATENATE(B14,$BE$54))</f>
        <v>B  Line:  Min. Requirement</v>
      </c>
      <c r="K19" s="23"/>
      <c r="L19" s="1019">
        <f ca="1">L$5</f>
        <v>0</v>
      </c>
      <c r="M19" s="48">
        <f ca="1">IF(B14=B8,SUM(M14:M18)+M13,SUM(M14:M18))</f>
        <v>0</v>
      </c>
      <c r="N19" s="1019">
        <f ca="1">N$5</f>
        <v>0</v>
      </c>
      <c r="O19" s="125">
        <f ca="1">IF(B14=B8,SUM(O14:O18)+O13,SUM(O14:O18))</f>
        <v>0</v>
      </c>
      <c r="P19" s="139"/>
      <c r="Q19" s="42" t="str">
        <f ca="1">IF(B14=B20,"",IF(AND(M19&gt;0,L19=L$5,OR(M19&lt;$M$105,M19&lt;$BF$3)),"Achieved &lt; Min Req per Line",IF(AND(O19&gt;0,N19=N$5,OR(O19&lt;$O$105,O19&lt;$BF$3)),"Achieved &lt; Min Req per Line",IF(AND(M19&gt;0,L19&gt;M19),"More Required on this line",IF(AND(O19&gt;0,N19&gt;O19),"More Required on this line",IF(AND(L19&gt;0,L19&lt;$BF$3),$BE$59,IF(AND(N19&gt;0,N19&lt;$BF$3),$BE$59,"")))))))</f>
        <v/>
      </c>
      <c r="R19" s="52"/>
      <c r="S19" s="52"/>
      <c r="T19" s="52"/>
      <c r="U19" s="1378"/>
      <c r="V19" s="52"/>
      <c r="W19" s="9"/>
      <c r="X19" s="9"/>
      <c r="Y19" s="896"/>
      <c r="Z19" s="52"/>
      <c r="AA19" s="51"/>
      <c r="AB19" s="1364"/>
      <c r="AC19" s="1"/>
      <c r="AJ19" s="2230"/>
      <c r="AK19" s="2793"/>
      <c r="AL19" s="2785"/>
      <c r="AM19" s="1177">
        <f>'Regular and QuickBrace Systems'!F33</f>
        <v>1.8</v>
      </c>
      <c r="AN19" s="1274">
        <f>'Regular and QuickBrace Systems'!G33</f>
        <v>110</v>
      </c>
      <c r="AO19" s="1275">
        <f>'Regular and QuickBrace Systems'!H33</f>
        <v>84</v>
      </c>
      <c r="AP19" s="1277"/>
      <c r="AQ19" s="2665"/>
      <c r="AR19" s="2666"/>
      <c r="AS19" s="2032"/>
      <c r="AT19" s="1339"/>
      <c r="AU19" s="2132"/>
      <c r="AW19" s="1570" t="str">
        <f>'Regular and QuickBrace Systems'!O33</f>
        <v>Yes</v>
      </c>
      <c r="AX19" s="1574" t="str">
        <f>'Regular and QuickBrace Systems'!Q33</f>
        <v>No</v>
      </c>
      <c r="BD19" s="2648"/>
      <c r="BF19" s="598" t="str">
        <f>Table!AI79</f>
        <v>ESSH</v>
      </c>
      <c r="BG19" s="706" t="s">
        <v>819</v>
      </c>
      <c r="BH19" s="961" t="s">
        <v>221</v>
      </c>
      <c r="BI19" s="759"/>
      <c r="BJ19" s="897">
        <f t="shared" si="4"/>
        <v>11</v>
      </c>
      <c r="BK19" s="769" t="str">
        <f t="shared" si="7"/>
        <v xml:space="preserve">  </v>
      </c>
      <c r="BL19" s="771" t="str">
        <f t="shared" si="8"/>
        <v>Custom8</v>
      </c>
      <c r="BM19" s="455">
        <f t="shared" si="9"/>
        <v>9.9999999999999996E-76</v>
      </c>
      <c r="BN19" s="455">
        <v>999</v>
      </c>
      <c r="BO19" s="455">
        <f t="shared" si="10"/>
        <v>0</v>
      </c>
      <c r="BP19" s="925">
        <f t="shared" si="11"/>
        <v>0</v>
      </c>
      <c r="BR19" s="764"/>
      <c r="BS19" s="455"/>
      <c r="BT19" s="455" t="str">
        <f t="shared" si="12"/>
        <v>B</v>
      </c>
      <c r="BU19" s="925" t="str">
        <f t="shared" si="13"/>
        <v>T</v>
      </c>
      <c r="BV19" s="1239" t="str">
        <f t="shared" si="14"/>
        <v>Custom8</v>
      </c>
      <c r="BW19" s="1236">
        <f t="shared" si="17"/>
        <v>11</v>
      </c>
      <c r="BX19" s="925" t="str">
        <f t="shared" si="15"/>
        <v>Single</v>
      </c>
      <c r="CH19" s="764">
        <f t="shared" si="5"/>
        <v>0</v>
      </c>
      <c r="CI19" s="925">
        <f t="shared" si="6"/>
        <v>0</v>
      </c>
      <c r="CJ19" s="759"/>
      <c r="CK19" s="188"/>
      <c r="CL19" s="979"/>
      <c r="CN19" s="497"/>
      <c r="CO19" s="497"/>
      <c r="CQ19" s="51"/>
      <c r="CR19" s="51" t="s">
        <v>8</v>
      </c>
      <c r="CS19" s="51"/>
      <c r="CT19" s="51" t="s">
        <v>8</v>
      </c>
      <c r="CU19" s="51"/>
      <c r="CV19" s="51" t="s">
        <v>8</v>
      </c>
      <c r="CW19" s="51"/>
      <c r="CX19" s="51"/>
      <c r="CY19" s="51"/>
      <c r="CZ19" s="51"/>
      <c r="DD19" s="758"/>
      <c r="DF19" s="52"/>
      <c r="DG19" s="51"/>
      <c r="DH19" s="51"/>
      <c r="DI19" s="51"/>
      <c r="DJ19" s="51"/>
      <c r="DK19" s="51"/>
      <c r="DL19" s="51"/>
      <c r="DM19" s="51"/>
      <c r="DN19" s="51"/>
      <c r="DO19" s="435"/>
      <c r="DP19" s="435"/>
      <c r="DQ19" s="868"/>
      <c r="DR19" s="868"/>
      <c r="DU19" s="188"/>
      <c r="DV19" s="188" t="s">
        <v>8</v>
      </c>
      <c r="DW19" s="188"/>
      <c r="DX19" s="188" t="s">
        <v>8</v>
      </c>
      <c r="DY19" s="188"/>
      <c r="DZ19" s="188"/>
      <c r="EA19" s="188"/>
      <c r="EB19" s="188"/>
      <c r="EC19" s="435"/>
      <c r="ED19" s="435"/>
      <c r="EE19" s="868"/>
      <c r="EF19" s="867"/>
      <c r="EG19" s="613"/>
      <c r="EH19" s="614"/>
      <c r="EI19" s="613"/>
      <c r="EJ19" s="435"/>
      <c r="EK19" s="451"/>
      <c r="EL19" s="612"/>
      <c r="EN19" s="947"/>
      <c r="ER19" s="441"/>
      <c r="ES19" s="440"/>
      <c r="ET19" s="440"/>
      <c r="EU19" s="957"/>
      <c r="EW19" s="427"/>
      <c r="EX19"/>
      <c r="EY19"/>
      <c r="EZ19"/>
      <c r="FA19"/>
      <c r="FB19"/>
      <c r="FC19"/>
      <c r="FD19"/>
      <c r="FE19"/>
      <c r="FF19"/>
      <c r="FG19"/>
      <c r="FH19"/>
      <c r="FI19"/>
      <c r="FJ19"/>
      <c r="FK19"/>
      <c r="FL19"/>
      <c r="FM19"/>
      <c r="FN19"/>
      <c r="FO19"/>
    </row>
    <row r="20" spans="2:171" ht="17.100000000000001" customHeight="1">
      <c r="B20" s="1369" t="str">
        <f ca="1">S20</f>
        <v>C</v>
      </c>
      <c r="C20" s="684" t="str">
        <f>IF(OR(F20=0,I20="",I20=" ")," ",$V20)</f>
        <v xml:space="preserve"> </v>
      </c>
      <c r="D20" s="1361"/>
      <c r="E20" s="1360"/>
      <c r="F20" s="201"/>
      <c r="G20" s="1416"/>
      <c r="H20" s="199" t="str">
        <f ca="1">IF(OR(F20=0,Z20="E",Z20="f")," ",'Project Demand'!E$45)</f>
        <v xml:space="preserve"> </v>
      </c>
      <c r="I20" s="631" t="str">
        <f>IF($I$6&lt;&gt;$BG$8," ",AB20)</f>
        <v xml:space="preserve"> </v>
      </c>
      <c r="J20" s="43" t="str">
        <f ca="1">IF(OR(I20=" ",I20="")," ",OFFSET($BO$9,CL20-1,0-4,1,1))</f>
        <v xml:space="preserve"> </v>
      </c>
      <c r="K20" s="55" t="str">
        <f>IF(OR(I20=" ",I20="")," ",IF(OR(Z20="e",Z20="h"),"SD",BG$24))</f>
        <v xml:space="preserve"> </v>
      </c>
      <c r="L20" s="49">
        <f ca="1">CW20</f>
        <v>0</v>
      </c>
      <c r="M20" s="49">
        <f ca="1">CY20</f>
        <v>0</v>
      </c>
      <c r="N20" s="50">
        <f t="shared" ref="N20:O24" ca="1" si="18">DA20</f>
        <v>0</v>
      </c>
      <c r="O20" s="126">
        <f t="shared" ca="1" si="18"/>
        <v>0</v>
      </c>
      <c r="P20" s="140"/>
      <c r="Q20" s="752" t="str">
        <f ca="1">IF(AND(OR(Z20="t",Z20="f"),K20=$BH$11),"No Floor!  Change Floor Type",IF(OR(I20=" ",I20="")," ",IF(F20&lt;OFFSET($BM$9,CL20-1,0,1,1),"check L(m)",DE20&amp;IF(AND(DP20&gt;=CY20,DR20&gt;=DB20),IF(AND(ED20&gt;=DP20,EF20&gt;=DR20),CONCATENATE(DS20," will provide same result"),CONCATENATE(CO20," will provide same result")),IF((DP20&gt;=CY20),CONCATENATE(CO20," provides same result in WIND"),IF((DR20&gt;=DB20),CONCATENATE(CO20," provides same result in EQ"),""))))))&amp;IF(ISERROR(FIND("pile",I20,1)),"",IF(INT(F20)&lt;&gt;F20,"Pile!  Use Whole Numbers Only",""))</f>
        <v xml:space="preserve"> </v>
      </c>
      <c r="R20" s="52">
        <f ca="1">IF(T14&lt;&gt;2,(COLUMN(INDIRECT(B14&amp;1))+1),U20)</f>
        <v>3</v>
      </c>
      <c r="S20" s="1372" t="str">
        <f ca="1">SUBSTITUTE(ADDRESS(1,R20,4),"1","")</f>
        <v>C</v>
      </c>
      <c r="T20" s="451">
        <f ca="1">IF(AND(ISTEXT(B20),SUBSTITUTE(SUBSTITUTE(SUBSTITUTE(SUBSTITUTE(SUBSTITUTE(SUBSTITUTE(SUBSTITUTE(SUBSTITUTE(SUBSTITUTE(SUBSTITUTE(SUBSTITUTE(SUBSTITUTE(SUBSTITUTE(SUBSTITUTE(SUBSTITUTE(SUBSTITUTE(SUBSTITUTE(SUBSTITUTE(SUBSTITUTE(SUBSTITUTE(SUBSTITUTE(SUBSTITUTE(SUBSTITUTE(SUBSTITUTE(SUBSTITUTE(SUBSTITUTE(LOWER(B20),"a",),"b",),"c",),"d",),"e",),"f",),"g",),"h",),"i",),"j",),"k",),"l",),"m",),"n",),"o",),"p",),"q",),"r",),"s",),"t",),"u",),"v",),"w",),"x",),"y",),"z",)=""),1,2)</f>
        <v>1</v>
      </c>
      <c r="U20" s="1377">
        <v>3</v>
      </c>
      <c r="V20" s="52" t="str">
        <f ca="1">IF(AND(B$5=$BF$9,OR(I20=BH$16,I20=BH$17))," ",IF(ISNUMBER(B$20),(CONCATENATE(B$20,".",W20)),(CONCATENATE(B$20,W20))))</f>
        <v>C0</v>
      </c>
      <c r="W20" s="9">
        <f ca="1">IF(B14=B20,W18+X20,X20)</f>
        <v>0</v>
      </c>
      <c r="X20" s="9">
        <f>IF(AND(B$5=$BF$9,OR($I20=$BH$16,$I20=$BH$17,$I20=" ",$I20="",$F20=0)),0,IF(OR($I20=" ",$I20="",$F20=0),0,1))</f>
        <v>0</v>
      </c>
      <c r="Y20" s="896">
        <f ca="1">IF(AND(M25&gt;0,B20&lt;&gt;B26),1,0)</f>
        <v>0</v>
      </c>
      <c r="Z20" s="52" t="str">
        <f ca="1">IF(I20=" "," ",OFFSET($BM$9,$CL20-1,8,1,1))</f>
        <v xml:space="preserve"> </v>
      </c>
      <c r="AA20" s="51" t="str">
        <f>IF(G20&gt;=45,"WA","")</f>
        <v/>
      </c>
      <c r="AB20" s="1364" t="str">
        <f>IF(F20&lt;&gt;"",IF(OR(D20=$BG$12,D20=$BG$13),IF(E20&lt;&gt;$BG$17,$BF$12,$BF$13),IF(E20&lt;&gt;$BG$17,$BF$12,$BF$13))," ")</f>
        <v xml:space="preserve"> </v>
      </c>
      <c r="AC20" s="1"/>
      <c r="AJ20" s="2230"/>
      <c r="AK20" s="2793"/>
      <c r="AL20" s="2783" t="str">
        <f>'Regular and QuickBrace Systems'!E34</f>
        <v>EM-H</v>
      </c>
      <c r="AM20" s="1178">
        <f>'Regular and QuickBrace Systems'!F34</f>
        <v>0.4</v>
      </c>
      <c r="AN20" s="1272">
        <f>'Regular and QuickBrace Systems'!G34</f>
        <v>98</v>
      </c>
      <c r="AO20" s="1273">
        <f>'Regular and QuickBrace Systems'!H34</f>
        <v>100</v>
      </c>
      <c r="AP20" s="1594"/>
      <c r="AQ20" s="2661" t="str">
        <f>'Regular and QuickBrace Systems'!I28</f>
        <v>Specialised QuickBrace Pattern</v>
      </c>
      <c r="AR20" s="2662"/>
      <c r="AS20" s="2030" t="str">
        <f>'Regular and QuickBrace Systems'!K31</f>
        <v>Yes</v>
      </c>
      <c r="AT20" s="1339"/>
      <c r="AU20" s="2133" t="str">
        <f>'Regular and QuickBrace Systems'!M34</f>
        <v>Elephant Multiboard One side</v>
      </c>
      <c r="AW20" s="1584" t="str">
        <f>'Regular and QuickBrace Systems'!O34</f>
        <v>Yes</v>
      </c>
      <c r="AX20" s="1575" t="str">
        <f>'Regular and QuickBrace Systems'!Q34</f>
        <v>No</v>
      </c>
      <c r="BD20" s="2648"/>
      <c r="BF20" s="598" t="str">
        <f>Table!AI80</f>
        <v>EMSH</v>
      </c>
      <c r="BG20" s="708" t="s">
        <v>820</v>
      </c>
      <c r="BH20" s="961" t="s">
        <v>222</v>
      </c>
      <c r="BI20" s="759"/>
      <c r="BJ20" s="897">
        <f t="shared" si="4"/>
        <v>12</v>
      </c>
      <c r="BK20" s="769" t="str">
        <f t="shared" si="7"/>
        <v xml:space="preserve">  </v>
      </c>
      <c r="BL20" s="771" t="str">
        <f t="shared" si="8"/>
        <v>Custom9</v>
      </c>
      <c r="BM20" s="455">
        <f t="shared" si="9"/>
        <v>9.9999999999999996E-76</v>
      </c>
      <c r="BN20" s="455">
        <v>999</v>
      </c>
      <c r="BO20" s="455">
        <f t="shared" si="10"/>
        <v>0</v>
      </c>
      <c r="BP20" s="925">
        <f t="shared" si="11"/>
        <v>0</v>
      </c>
      <c r="BR20" s="764"/>
      <c r="BS20" s="455"/>
      <c r="BT20" s="455" t="str">
        <f t="shared" si="12"/>
        <v>B</v>
      </c>
      <c r="BU20" s="925" t="str">
        <f t="shared" si="13"/>
        <v>T</v>
      </c>
      <c r="BV20" s="1239" t="str">
        <f t="shared" si="14"/>
        <v>Custom9</v>
      </c>
      <c r="BW20" s="1236">
        <f t="shared" si="17"/>
        <v>12</v>
      </c>
      <c r="BX20" s="925" t="str">
        <f t="shared" si="15"/>
        <v>Single</v>
      </c>
      <c r="CH20" s="764">
        <f t="shared" si="5"/>
        <v>0</v>
      </c>
      <c r="CI20" s="925">
        <f t="shared" si="6"/>
        <v>0</v>
      </c>
      <c r="CJ20" s="759"/>
      <c r="CK20" s="188"/>
      <c r="CL20" s="979">
        <f>VLOOKUP(I20,Prodlink,2,0)</f>
        <v>0</v>
      </c>
      <c r="CN20" s="497">
        <f t="shared" ca="1" si="1"/>
        <v>0</v>
      </c>
      <c r="CO20" s="497">
        <f ca="1">OFFSET($CH$9,CL20-1,-15,1,1)</f>
        <v>0</v>
      </c>
      <c r="CQ20" s="51">
        <v>0</v>
      </c>
      <c r="CR20" s="51">
        <f>IF(K20=$BH$12,$BH$23,IF(K20=$BH$13,$BH$24,10000))</f>
        <v>10000</v>
      </c>
      <c r="CS20" s="51">
        <f ca="1">IF(F20&lt;OFFSET($BM$9,CL20-1,0,1,1),0,IF(F20&lt;OFFSET($BN$9,CL20-1,0,1,1),((F20-OFFSET($BM$9,CL20-1,0,1,1))*OFFSET($CH$9,CL20-1,0,1,1))+OFFSET($BO$9,CL20-1,CQ20,1,1),IF(F20&lt;OFFSET($BN$9,CL20+0,0,1,1),((F20-OFFSET($BM$9,CL20+0,0,1,1))*OFFSET($CH$9,CL20+0,0,1,1))+OFFSET($BO$9,CL20+0,CQ20,1,1),IF(F20&lt;OFFSET($BN$9,CL20+1,0,1,1),((F20-OFFSET($BM$9,CL20+1,0,1,1))*OFFSET($CH$9,CL20+1,0,1,1))+OFFSET($BO$9,CL20+1,CQ20,1,1),IF(F20&lt;OFFSET($BN$9,CL20+2,0,1,1),((F20-OFFSET($BM$9,CL20+2,0,1,1))*OFFSET($CH$9,CL20+2,0,1,1))+OFFSET($BO$9,CL20+2,CQ20,1,1),IF(F20&lt;OFFSET($BN$9,CL20+3,0,1,1),((F20-OFFSET($BM$9,CL20+3,0,1,1))*OFFSET($CH$9,CL20+3,0,1,1))+OFFSET($BO$9,CL20+3,CQ20,1,1),0))))))</f>
        <v>0</v>
      </c>
      <c r="CT20" s="51">
        <f ca="1">IF($F20&lt;OFFSET($BM$9,$CL20-1,0,1,1),0,IF($F20&lt;OFFSET($BN$9,$CL20-1,0,1,1),IF(AND($H20&gt;2.4,Z20&lt;&gt;"e",Z20&lt;&gt;"f"),CX20*2.4/$H20,CX20),IF($F20&lt;OFFSET($BN$9,$CL20+0,0,1,1),IF(AND($H20&gt;2.4,Z20&lt;&gt;"e",Z20&lt;&gt;"f"),CX20*2.4/$H20,CX20),IF($F20&lt;OFFSET($BN$9,$CL20+1,0,1,1),IF(AND($H20&gt;2.4,Z20&lt;&gt;"e",Z20&lt;&gt;"f"),CX20*2.4/$H20,CX20),IF($F20&lt;OFFSET($BN$9,CL20+2,0,1,1),IF(AND($H20&gt;2.4,Z20&lt;&gt;"e",Z20&lt;&gt;"f"),CX20*2.4/$H20,CX20),IF($F20&lt;OFFSET($BN$9,CL20+3,0,1,1),IF(AND($H20&gt;2.4,Z20&lt;&gt;"e",Z20&lt;&gt;"f"),CX20*2.4/$H20,CX20),0)))))*COS(RADIANS($G20)))</f>
        <v>0</v>
      </c>
      <c r="CU20" s="51">
        <f ca="1">IF(F20&lt;OFFSET($BM$9,CL20-1,0,1,1),0,IF(F20&lt;OFFSET($BN$9,CL20-1,0,1,1),((F20-OFFSET($BM$9,CL20-1,0,1,1))*OFFSET($CI$9,CL20-1,0,1,1))+OFFSET($BP$9,CL20-1,CQ20,1,1),IF(F20&lt;OFFSET($BN$9,CL20+0,0,1,1),((F20-OFFSET($BM$9,CL20+0,0,1,1))*OFFSET($CI$9,CL20+0,0,1,1))+OFFSET($BP$9,CL20+0,CQ20,1,1),IF(F20&lt;OFFSET($BN$9,CL20+1,0,1,1),((F20-OFFSET($BM$9,CL20+1,0,1,1))*OFFSET($CI$9,CL20+1,0,1,1))+OFFSET($BP$9,CL20+1,CQ20,1,1),IF(F20&lt;OFFSET($BN$9,CL20+2,0,1,1),((F20-OFFSET($BM$9,CL20+2,0,1,1))*OFFSET($CI$9,CL20+2,0,1,1))+OFFSET($BP$9,CL20+2,CQ20,1,1),IF(F20&lt;OFFSET($BN$9,CL20+3,0,1,1),((F20-OFFSET($BM$9,CL20+3,0,1,1))*OFFSET($CI$9,CL20+3,0,1,1))+OFFSET($BP$9,CL20+3,CQ20,1,1),0))))))</f>
        <v>0</v>
      </c>
      <c r="CV20" s="51">
        <f ca="1">IF($F20&lt;OFFSET($BM$9,$CL20-1,0,1,1),0,IF($F20&lt;OFFSET($BN$9,$CL20-1,0,1,1),IF(AND($H20&gt;2.4,Z20&lt;&gt;"e",Z20&lt;&gt;"f"),CZ20*2.4/$H20,CZ20),IF($F20&lt;OFFSET($BN$9,$CL20+0,0,1,1),IF(AND($H20&gt;2.4,Z20&lt;&gt;"e",Z20&lt;&gt;"f"),CZ20*2.4/$H20,CZ20),IF($F20&lt;OFFSET($BN$9,$CL20+1,0,1,1),IF(AND($H20&gt;2.4,Z20&lt;&gt;"e",Z20&lt;&gt;"f"),CZ20*2.4/$H20,CZ20),IF($F20&lt;OFFSET($BN$9,$CL20+2,0,1,1),IF(AND($H20&gt;2.4,Z20&lt;&gt;"e",Z20&lt;&gt;"f"),CZ20*2.4/$H20,CZ20),IF($F20&lt;OFFSET($BN$9,$CL20+3,0,1,1),IF(AND($H20&gt;2.4,Z20&lt;&gt;"e",Z20&lt;&gt;"f"),CZ20*2.4/$H20,CZ20),0)))))*COS(RADIANS($G20)))</f>
        <v>0</v>
      </c>
      <c r="CW20" s="51">
        <f ca="1">IF(CT20&gt;CR20,CR20,CT20)</f>
        <v>0</v>
      </c>
      <c r="CX20" s="51">
        <f ca="1">IF(CS20&gt;$CR20,$CR20,CS20)</f>
        <v>0</v>
      </c>
      <c r="CY20" s="51">
        <f ca="1">CW20*F20</f>
        <v>0</v>
      </c>
      <c r="CZ20" s="51">
        <f ca="1">IF($CU20&gt;$CR20,$CR20,$CU20)</f>
        <v>0</v>
      </c>
      <c r="DA20" s="51">
        <f ca="1">IF(CV20&gt;CR20,CR20,CV20)</f>
        <v>0</v>
      </c>
      <c r="DB20" s="51">
        <f ca="1">DA20*F20</f>
        <v>0</v>
      </c>
      <c r="DC20" s="993">
        <v>1</v>
      </c>
      <c r="DD20" s="758" t="str">
        <f>IF(OR(D20=BG$12,D20=BG$13),"External",IF(D20=BG$14,"Internal"," "))</f>
        <v xml:space="preserve"> </v>
      </c>
      <c r="DE20" s="51" t="str">
        <f t="shared" ca="1" si="2"/>
        <v/>
      </c>
      <c r="DF20" s="52" t="str">
        <f t="shared" ca="1" si="3"/>
        <v xml:space="preserve"> </v>
      </c>
      <c r="DG20" s="51">
        <f ca="1">IF(F20&lt;OFFSET($BM$9,CN20-1,0,1,1),0,IF(F20&lt;OFFSET($BN$9,CN20-1,0,1,1),((F20-OFFSET($BM$9,CN20-1,0,1,1))*OFFSET($CH$9,CN20-1,0,1,1))+OFFSET($BO$9,CN20-1,CQ20,1,1),IF(F20&lt;OFFSET($BN$9,CN20+0,0,1,1),((F20-OFFSET($BM$9,CN20+0,0,1,1))*OFFSET($CH$9,CN20+0,0,1,1))+OFFSET($BO$9,CN20+0,CQ20,1,1),IF(F20&lt;OFFSET($BN$9,CN20+1,0,1,1),((F20-OFFSET($BM$9,CN20+1,0,1,1))*OFFSET($CH$9,CN20+1,0,1,1))+OFFSET($BO$9,CN20+1,CQ20,1,1),IF(F20&lt;OFFSET($BN$9,CN20+2,0,1,1),((F20-OFFSET($BM$9,CN20+2,0,1,1))*OFFSET($CH$9,CN20+2,0,1,1))+OFFSET($BO$9,CN20+2,CQ20,1,1),IF(F20&lt;OFFSET($BN$9,CN20+3,0,1,1),((F20-OFFSET($BM$9,CN20+3,0,1,1))*OFFSET($CH$9,CN20+3,0,1,1))+OFFSET($BO$9,CN20+3,CQ20,1,1),0))))))</f>
        <v>0</v>
      </c>
      <c r="DH20" s="51">
        <f ca="1">IF($F20&lt;OFFSET($BM$9,$CN20-1,0,1,1),0,IF($F20&lt;OFFSET($BN$9,$CN20-1,0,1,1),IF(AND($H20&gt;2.4,Z20&lt;&gt;"e",Z20&lt;&gt;"f"),DL20*2.4/$H20,DL20),IF($F20&lt;OFFSET($BN$9,$CN20+0,0,1,1),IF(AND($H20&gt;2.4,Z20&lt;&gt;"e",Z20&lt;&gt;"f"),DL20*2.4/$H20,DL20),IF($F20&lt;OFFSET($BN$9,$CN20+1,0,1,1),IF(AND($H20&gt;2.4,Z20&lt;&gt;"e",Z20&lt;&gt;"f"),DL20*2.4/$H20,DL20),IF($F20&lt;OFFSET($BN$9,$CN20+2,0,1,1),IF(AND($H20&gt;2.4,Z20&lt;&gt;"e",Z20&lt;&gt;"f"),DL20*2.4/$H20,DL20),IF($F20&lt;OFFSET($BN$9,$CN20+3,0,1,1),IF(AND($H20&gt;2.4,Z20&lt;&gt;"e",Z20&lt;&gt;"f"),DL20*2.4/$H20,DL20),0)))))*COS(RADIANS($G20)))</f>
        <v>0</v>
      </c>
      <c r="DI20" s="51">
        <f ca="1">IF(F20&lt;OFFSET($BM$9,CN20-1,0,1,1),0,IF(F20&lt;OFFSET($BN$9,CN20-1,0,1,1),((F20-OFFSET($BM$9,CN20-1,0,1,1))*OFFSET($CI$9,CN20-1,0,1,1))+OFFSET($BP$9,CN20-1,CQ20,1,1),IF(F20&lt;OFFSET($BN$9,CN20+0,0,1,1),((F20-OFFSET($BM$9,CN20+0,0,1,1))*OFFSET($CI$9,CN20+0,0,1,1))+OFFSET($BP$9,CN20+0,CQ20,1,1),IF(F20&lt;OFFSET($BN$9,CN20+1,0,1,1),((F20-OFFSET($BM$9,CN20+1,0,1,1))*OFFSET($CI$9,CN20+1,0,1,1))+OFFSET($BP$9,CN20+1,CQ20,1,1),IF(F20&lt;OFFSET($BN$9,CN20+2,0,1,1),((F20-OFFSET($BM$9,CN20+2,0,1,1))*OFFSET($CI$9,CN20+2,0,1,1))+OFFSET($BP$9,CN20+2,CQ20,1,1),IF(F20&lt;OFFSET($BN$9,CN20+3,0,1,1),((F20-OFFSET($BM$9,CN20+3,0,1,1))*OFFSET($CI$9,CN20+3,0,1,1))+OFFSET($BP$9,CN20+3,CQ20,1,1),0))))))</f>
        <v>0</v>
      </c>
      <c r="DJ20" s="51">
        <f ca="1">IF($F20&lt;OFFSET($BM$9,$CN20-1,0,1,1),0,IF($F20&lt;OFFSET($BN$9,$CN20-1,0,1,1),IF(AND($H20&gt;2.4,Z20&lt;&gt;"e",Z20&lt;&gt;"f"),DN20*2.4/$H20,DN20),IF($F20&lt;OFFSET($BN$9,$CN20+0,0,1,1),IF(AND($H20&gt;2.4,Z20&lt;&gt;"e",Z20&lt;&gt;"f"),DN20*2.4/$H20,DN20),IF($F20&lt;OFFSET($BN$9,$CN20+1,0,1,1),IF(AND($H20&gt;2.4,Z20&lt;&gt;"e",Z20&lt;&gt;"f"),DN20*2.4/$H20,DN20),IF($F20&lt;OFFSET($BN$9,$CN20+2,0,1,1),IF(AND($H20&gt;2.4,Z20&lt;&gt;"e",Z20&lt;&gt;"f"),DN20*2.4/$H20,DN20),IF($F20&lt;OFFSET($BN$9,$CN20+3,0,1,1),IF(AND($H20&gt;2.4,Z20&lt;&gt;"e",Z20&lt;&gt;"f"),DN20*2.4/$H20,DN20),0)))))*COS(RADIANS($G20)))</f>
        <v>0</v>
      </c>
      <c r="DK20" s="51"/>
      <c r="DL20" s="51">
        <f ca="1">IF(DG20&gt;$CR20,$CR20,DG20)</f>
        <v>0</v>
      </c>
      <c r="DM20" s="51"/>
      <c r="DN20" s="51">
        <f ca="1">IF(DI20&gt;$CR20,$CR20,DI20)</f>
        <v>0</v>
      </c>
      <c r="DO20" s="435">
        <f ca="1">IF(DH20&gt;$CR20,$CR20,DH20)</f>
        <v>0</v>
      </c>
      <c r="DP20" s="435">
        <f ca="1">DO20*F20</f>
        <v>0</v>
      </c>
      <c r="DQ20" s="436">
        <f ca="1">IF(DJ20&gt;$CR20,$CR20,DJ20)</f>
        <v>0</v>
      </c>
      <c r="DR20" s="437">
        <f ca="1">DQ20*F20</f>
        <v>0</v>
      </c>
      <c r="DS20" s="426">
        <f ca="1">OFFSET($CH$9,CL20-1,-15,1,1)</f>
        <v>0</v>
      </c>
      <c r="DT20" s="426">
        <f ca="1">VLOOKUP(DS20,Prodlink,2,0)</f>
        <v>0</v>
      </c>
      <c r="DU20" s="188">
        <f ca="1">IF(F20&lt;OFFSET($BM$9,DT20-1,0,1,1),0,IF(F20&lt;OFFSET($BN$9,DT20-1,0,1,1),((F20-OFFSET($BM$9,DT20-1,0,1,1))*OFFSET($CH$9,DT20-1,0,1,1))+OFFSET($BO$9,DT20-1,CQ20,1,1),IF(F20&lt;OFFSET($BN$9,DT20+0,0,1,1),((F20-OFFSET($BM$9,DT20+0,0,1,1))*OFFSET($CH$9,DT20+0,0,1,1))+OFFSET($BO$9,DT20+0,CQ20,1,1),IF(F20&lt;OFFSET($BN$9,DT20+1,0,1,1),((F20-OFFSET($BM$9,DT20+1,0,1,1))*OFFSET($CH$9,DT20+1,0,1,1))+OFFSET($BO$9,DT20+1,CQ20,1,1),IF(F20&lt;OFFSET($BN$9,DT20+2,0,1,1),((F20-OFFSET($BM$9,DT20+2,0,1,1))*OFFSET($CH$9,DT20+2,0,1,1))+OFFSET($BO$9,DT20+2,CQ20,1,1),IF(F20&lt;OFFSET($BN$9,DT20+3,0,1,1),((F20-OFFSET($BM$9,DT20+3,0,1,1))*OFFSET($CH$9,DT20+3,0,1,1))+OFFSET($BO$9,DT20+3,CQ20,1,1),0))))))</f>
        <v>0</v>
      </c>
      <c r="DV20" s="51">
        <f ca="1">IF($F20&lt;OFFSET($BM$9,$DT20-1,0,1,1),0,IF($F20&lt;OFFSET($BN$9,$DT20-1,0,1,1),IF(AND($H20&gt;2.4,Z20&lt;&gt;"e",Z20&lt;&gt;"f"),DZ20*2.4/$H20,DZ20),IF($F20&lt;OFFSET($BN$9,$DT20+0,0,1,1),IF(AND($H20&gt;2.4,Z20&lt;&gt;"e",Z20&lt;&gt;"f"),DZ20*2.4/$H20,DZ20),IF($F20&lt;OFFSET($BN$9,$DT20+1,0,1,1),IF(AND($H20&gt;2.4,Z20&lt;&gt;"e",Z20&lt;&gt;"f"),DZ20*2.4/$H20,DZ20),IF($F20&lt;OFFSET($BN$9,$DT20+2,0,1,1),IF(AND($H20&gt;2.4,Z20&lt;&gt;"e",Z20&lt;&gt;"f"),DZ20*2.4/$H20,DZ20),IF($F20&lt;OFFSET($BN$9,$DT20+3,0,1,1),IF(AND($H20&gt;2.4,Z20&lt;&gt;"e",Z20&lt;&gt;"f"),DZ20*2.4/$H20,DZ20),0)))))*COS(RADIANS($G20)))</f>
        <v>0</v>
      </c>
      <c r="DW20" s="188">
        <f ca="1">IF(F20&lt;OFFSET($BM$9,DT20-1,0,1,1),0,IF(F20&lt;OFFSET($BN$9,DT20-1,0,1,1),((F20-OFFSET($BM$9,DT20-1,0,1,1))*OFFSET($CI$9,DT20-1,0,1,1))+OFFSET($BP$9,DT20-1,CQ20,1,1),IF(F20&lt;OFFSET($BN$9,DT20+0,0,1,1),((F20-OFFSET($BM$9,DT20+0,0,1,1))*OFFSET($CI$9,DT20+0,0,1,1))+OFFSET($BP$9,DT20+0,CQ20,1,1),IF(F20&lt;OFFSET($BN$9,DT20+1,0,1,1),((F20-OFFSET($BM$9,DT20+1,0,1,1))*OFFSET($CI$9,DT20+1,0,1,1))+OFFSET($BP$9,DT20+1,CQ20,1,1),IF(F20&lt;OFFSET($BN$9,DT20+2,0,1,1),((F20-OFFSET($BM$9,DT20+2,0,1,1))*OFFSET($CI$9,DT20+2,0,1,1))+OFFSET($BP$9,DT20+2,CQ20,1,1),IF(F20&lt;OFFSET($BN$9,DT20+3,0,1,1),((F20-OFFSET($BM$9,DT20+3,0,1,1))*OFFSET($CI$9,DT20+3,0,1,1))+OFFSET($BP$9,DT20+3,CQ20,1,1),0))))))</f>
        <v>0</v>
      </c>
      <c r="DX20" s="51">
        <f ca="1">IF($F20&lt;OFFSET($BM$9,$DT20-1,0,1,1),0,IF($F20&lt;OFFSET($BN$9,$DT20-1,0,1,1),IF(AND($H20&gt;2.4,Z20&lt;&gt;"e",Z20&lt;&gt;"f"),EB20*2.4/$H20,EB20),IF($F20&lt;OFFSET($BN$9,$DT20+0,0,1,1),IF(AND($H20&gt;2.4,Z20&lt;&gt;"e",Z20&lt;&gt;"f"),EB20*2.4/$H20,EB20),IF($F20&lt;OFFSET($BN$9,$DT20+1,0,1,1),IF(AND($H20&gt;2.4,Z20&lt;&gt;"e",Z20&lt;&gt;"f"),EB20*2.4/$H20,EB20),IF($F20&lt;OFFSET($BN$9,$DT20+2,0,1,1),IF(AND($H20&gt;2.4,Z20&lt;&gt;"e",Z20&lt;&gt;"f"),EB20*2.4/$H20,EB20),IF($F20&lt;OFFSET($BN$9,$DT20+3,0,1,1),IF(AND($H20&gt;2.4,Z20&lt;&gt;"e",Z20&lt;&gt;"f"),EB20*2.4/$H20,EB20),0)))))*COS(RADIANS($G20)))</f>
        <v>0</v>
      </c>
      <c r="DY20" s="188"/>
      <c r="DZ20" s="188">
        <f ca="1">IF(DU20&gt;$CR20,$CR20,DU20)</f>
        <v>0</v>
      </c>
      <c r="EA20" s="188"/>
      <c r="EB20" s="188">
        <f ca="1">IF(DW20&gt;$CR20,$CR20,DW20)</f>
        <v>0</v>
      </c>
      <c r="EC20" s="435">
        <f ca="1">IF(DV20&gt;$CR20,$CR20,DV20)</f>
        <v>0</v>
      </c>
      <c r="ED20" s="435">
        <f ca="1">EC20*F20</f>
        <v>0</v>
      </c>
      <c r="EE20" s="436">
        <f ca="1">IF(DX20&gt;$CR20,$CR20,DX20)</f>
        <v>0</v>
      </c>
      <c r="EF20" s="437">
        <f ca="1">EE20*F20</f>
        <v>0</v>
      </c>
      <c r="EG20" s="613" t="str">
        <f>IF(D20=BG$12,BG$12,"")</f>
        <v/>
      </c>
      <c r="EH20" s="614" t="str">
        <f>IF(D20=BG$13,BG$13,"")</f>
        <v/>
      </c>
      <c r="EI20" s="611">
        <f>IF(EG20=BG$12,M20,0)</f>
        <v>0</v>
      </c>
      <c r="EJ20" s="451">
        <f>IF(EG20=BG$12,O20,0)</f>
        <v>0</v>
      </c>
      <c r="EK20" s="451">
        <f>IF(EH20=BG$13,M20,0)</f>
        <v>0</v>
      </c>
      <c r="EL20" s="612">
        <f>IF(EH20=BG$13,O20,0)</f>
        <v>0</v>
      </c>
      <c r="EM20" s="426" t="str">
        <f ca="1">IF(AND(Z20&lt;&gt;"t",Z20&lt;&gt;"f"),"",IF(AND(EN20=$BH$13,K20=$BH$12),"NotOpt",IF(K20&lt;&gt;EN20,"Error","")))</f>
        <v/>
      </c>
      <c r="EN20" s="490" t="str">
        <f>IF($BG$28=1,$BH$13,$BH$12)</f>
        <v>120 BU's</v>
      </c>
      <c r="EO20" s="426" t="str">
        <f>K20</f>
        <v xml:space="preserve"> </v>
      </c>
      <c r="ER20" s="439" t="str">
        <f ca="1">IF(H20=0," ",H20)</f>
        <v xml:space="preserve"> </v>
      </c>
      <c r="ES20" s="440" t="str">
        <f ca="1">IF(ER20&lt;&gt;" ",IF(ER20&lt;&gt;ER$7,"Changed",""),"")</f>
        <v/>
      </c>
      <c r="ET20" s="440">
        <f ca="1">IF(ER20&lt;&gt;" ",IF(ER20&lt;&gt;ER$7,1,0),0)</f>
        <v>0</v>
      </c>
      <c r="EU20" s="957" t="str">
        <f ca="1">IF(I20=" "," ",IF(F20&lt;OFFSET($BM$9,CL20-1,0,1,1),1,""))</f>
        <v xml:space="preserve"> </v>
      </c>
      <c r="EW20" s="427"/>
      <c r="EX20"/>
      <c r="EY20"/>
      <c r="EZ20"/>
      <c r="FA20"/>
      <c r="FB20"/>
      <c r="FC20"/>
      <c r="FD20"/>
      <c r="FE20"/>
      <c r="FF20"/>
      <c r="FG20"/>
      <c r="FH20"/>
      <c r="FI20"/>
      <c r="FJ20"/>
      <c r="FK20"/>
      <c r="FL20"/>
      <c r="FM20"/>
      <c r="FN20"/>
      <c r="FO20"/>
    </row>
    <row r="21" spans="2:171" ht="17.100000000000001" customHeight="1">
      <c r="B21" s="689" t="s">
        <v>246</v>
      </c>
      <c r="C21" s="684" t="str">
        <f>IF(OR(F21=0,I21="",I21=" ")," ",$V21)</f>
        <v xml:space="preserve"> </v>
      </c>
      <c r="D21" s="1361"/>
      <c r="E21" s="1034"/>
      <c r="F21" s="201"/>
      <c r="G21" s="1416"/>
      <c r="H21" s="199" t="str">
        <f ca="1">IF(OR(F21=0,Z21="E",Z21="f")," ",'Project Demand'!E$45)</f>
        <v xml:space="preserve"> </v>
      </c>
      <c r="I21" s="631" t="str">
        <f>IF($I$6&lt;&gt;$BG$8," ",AB21)</f>
        <v xml:space="preserve"> </v>
      </c>
      <c r="J21" s="44" t="str">
        <f ca="1">IF(OR(I21=" ",I21="")," ",OFFSET($BO$9,CL21-1,0-4,1,1))</f>
        <v xml:space="preserve"> </v>
      </c>
      <c r="K21" s="55" t="str">
        <f>IF(OR(I21=" ",I21="")," ",IF(OR(Z21="e",Z21="h"),"SD",BG$24))</f>
        <v xml:space="preserve"> </v>
      </c>
      <c r="L21" s="49">
        <f ca="1">CW21</f>
        <v>0</v>
      </c>
      <c r="M21" s="49">
        <f ca="1">CY21</f>
        <v>0</v>
      </c>
      <c r="N21" s="50">
        <f t="shared" ca="1" si="18"/>
        <v>0</v>
      </c>
      <c r="O21" s="126">
        <f t="shared" ca="1" si="18"/>
        <v>0</v>
      </c>
      <c r="P21" s="140"/>
      <c r="Q21" s="752" t="str">
        <f ca="1">IF(AND(OR(Z21="t",Z21="f"),K21=$BH$11),"No Floor!  Change Floor Type",IF(OR(I21=" ",I21="")," ",IF(F21&lt;OFFSET($BM$9,CL21-1,0,1,1),"check L(m)",DE21&amp;IF(AND(DP21&gt;=CY21,DR21&gt;=DB21),IF(AND(ED21&gt;=DP21,EF21&gt;=DR21),CONCATENATE(DS21," will provide same result"),CONCATENATE(CO21," will provide same result")),IF((DP21&gt;=CY21),CONCATENATE(CO21," provides same result in WIND"),IF((DR21&gt;=DB21),CONCATENATE(CO21," provides same result in EQ"),""))))))&amp;IF(ISERROR(FIND("pile",I21,1)),"",IF(INT(F21)&lt;&gt;F21,"Pile!  Use Whole Numbers Only",""))</f>
        <v xml:space="preserve"> </v>
      </c>
      <c r="R21" s="52"/>
      <c r="S21" s="1372"/>
      <c r="T21" s="52"/>
      <c r="U21" s="1377"/>
      <c r="V21" s="52" t="str">
        <f ca="1">IF(AND(B$5=$BF$9,OR(I21=BH$16,I21=BH$17))," ",IF(ISNUMBER(B$20),(CONCATENATE(B$20,".",W21)),(CONCATENATE(B$20,W21))))</f>
        <v>C0</v>
      </c>
      <c r="W21" s="9">
        <f ca="1">W20+X21</f>
        <v>0</v>
      </c>
      <c r="X21" s="9">
        <f>IF(AND(B$5=$BF$9,OR($I21=$BH$16,$I21=$BH$17,$I21=" ",$I21="",$F21=0)),0,IF(OR($I21=" ",$I21="",$F21=0),0,1))</f>
        <v>0</v>
      </c>
      <c r="Y21" s="896"/>
      <c r="Z21" s="52" t="str">
        <f ca="1">IF(I21=" "," ",OFFSET($BM$9,$CL21-1,8,1,1))</f>
        <v xml:space="preserve"> </v>
      </c>
      <c r="AA21" s="51" t="str">
        <f>IF(G21&gt;=45,"WA","")</f>
        <v/>
      </c>
      <c r="AB21" s="1364" t="str">
        <f>IF(F21&lt;&gt;"",IF(OR(D21=$BG$12,D21=$BG$13),IF(E21&lt;&gt;$BG$17,$BF$12,$BF$13),IF(E21&lt;&gt;$BG$17,$BF$12,$BF$13))," ")</f>
        <v xml:space="preserve"> </v>
      </c>
      <c r="AC21" s="1"/>
      <c r="AJ21" s="2230"/>
      <c r="AK21" s="2793"/>
      <c r="AL21" s="2784"/>
      <c r="AM21" s="11">
        <f>'Regular and QuickBrace Systems'!F35</f>
        <v>0.8</v>
      </c>
      <c r="AN21" s="1336">
        <f>'Regular and QuickBrace Systems'!G35</f>
        <v>120</v>
      </c>
      <c r="AO21" s="26">
        <f>'Regular and QuickBrace Systems'!H35</f>
        <v>109</v>
      </c>
      <c r="AP21" s="1595"/>
      <c r="AQ21" s="2663"/>
      <c r="AR21" s="2664"/>
      <c r="AS21" s="2031"/>
      <c r="AT21" s="1339"/>
      <c r="AU21" s="2123"/>
      <c r="AW21" s="1569" t="str">
        <f>'Regular and QuickBrace Systems'!O35</f>
        <v>Yes</v>
      </c>
      <c r="AX21" s="442" t="str">
        <f>'Regular and QuickBrace Systems'!Q35</f>
        <v>Yes</v>
      </c>
      <c r="BD21" s="2648"/>
      <c r="BF21" s="482" t="s">
        <v>8</v>
      </c>
      <c r="BI21" s="759"/>
      <c r="BJ21" s="897">
        <f t="shared" si="4"/>
        <v>13</v>
      </c>
      <c r="BK21" s="769" t="str">
        <f t="shared" si="7"/>
        <v xml:space="preserve">  </v>
      </c>
      <c r="BL21" s="771" t="str">
        <f t="shared" si="8"/>
        <v>Custom10</v>
      </c>
      <c r="BM21" s="455">
        <f t="shared" si="9"/>
        <v>9.9999999999999996E-76</v>
      </c>
      <c r="BN21" s="455">
        <v>999</v>
      </c>
      <c r="BO21" s="455">
        <f t="shared" si="10"/>
        <v>0</v>
      </c>
      <c r="BP21" s="925">
        <f t="shared" si="11"/>
        <v>0</v>
      </c>
      <c r="BR21" s="764"/>
      <c r="BS21" s="455"/>
      <c r="BT21" s="455" t="str">
        <f t="shared" si="12"/>
        <v>B</v>
      </c>
      <c r="BU21" s="925" t="str">
        <f t="shared" si="13"/>
        <v>T</v>
      </c>
      <c r="BV21" s="1239" t="str">
        <f t="shared" si="14"/>
        <v>Custom10</v>
      </c>
      <c r="BW21" s="1236">
        <f t="shared" si="17"/>
        <v>13</v>
      </c>
      <c r="BX21" s="925" t="str">
        <f t="shared" si="15"/>
        <v>Single</v>
      </c>
      <c r="CH21" s="764">
        <f t="shared" si="5"/>
        <v>0</v>
      </c>
      <c r="CI21" s="925">
        <f t="shared" si="6"/>
        <v>0</v>
      </c>
      <c r="CJ21" s="759"/>
      <c r="CK21" s="188"/>
      <c r="CL21" s="979">
        <f>VLOOKUP(I21,Prodlink,2,0)</f>
        <v>0</v>
      </c>
      <c r="CN21" s="497">
        <f t="shared" ca="1" si="1"/>
        <v>0</v>
      </c>
      <c r="CO21" s="497">
        <f ca="1">OFFSET($CH$9,CL21-1,-15,1,1)</f>
        <v>0</v>
      </c>
      <c r="CQ21" s="51">
        <v>0</v>
      </c>
      <c r="CR21" s="51">
        <f>IF(K21=$BH$12,$BH$23,IF(K21=$BH$13,$BH$24,10000))</f>
        <v>10000</v>
      </c>
      <c r="CS21" s="51">
        <f ca="1">IF(F21&lt;OFFSET($BM$9,CL21-1,0,1,1),0,IF(F21&lt;OFFSET($BN$9,CL21-1,0,1,1),((F21-OFFSET($BM$9,CL21-1,0,1,1))*OFFSET($CH$9,CL21-1,0,1,1))+OFFSET($BO$9,CL21-1,CQ21,1,1),IF(F21&lt;OFFSET($BN$9,CL21+0,0,1,1),((F21-OFFSET($BM$9,CL21+0,0,1,1))*OFFSET($CH$9,CL21+0,0,1,1))+OFFSET($BO$9,CL21+0,CQ21,1,1),IF(F21&lt;OFFSET($BN$9,CL21+1,0,1,1),((F21-OFFSET($BM$9,CL21+1,0,1,1))*OFFSET($CH$9,CL21+1,0,1,1))+OFFSET($BO$9,CL21+1,CQ21,1,1),IF(F21&lt;OFFSET($BN$9,CL21+2,0,1,1),((F21-OFFSET($BM$9,CL21+2,0,1,1))*OFFSET($CH$9,CL21+2,0,1,1))+OFFSET($BO$9,CL21+2,CQ21,1,1),IF(F21&lt;OFFSET($BN$9,CL21+3,0,1,1),((F21-OFFSET($BM$9,CL21+3,0,1,1))*OFFSET($CH$9,CL21+3,0,1,1))+OFFSET($BO$9,CL21+3,CQ21,1,1),0))))))</f>
        <v>0</v>
      </c>
      <c r="CT21" s="51">
        <f ca="1">IF($F21&lt;OFFSET($BM$9,$CL21-1,0,1,1),0,IF($F21&lt;OFFSET($BN$9,$CL21-1,0,1,1),IF(AND($H21&gt;2.4,Z21&lt;&gt;"e",Z21&lt;&gt;"f"),CX21*2.4/$H21,CX21),IF($F21&lt;OFFSET($BN$9,$CL21+0,0,1,1),IF(AND($H21&gt;2.4,Z21&lt;&gt;"e",Z21&lt;&gt;"f"),CX21*2.4/$H21,CX21),IF($F21&lt;OFFSET($BN$9,$CL21+1,0,1,1),IF(AND($H21&gt;2.4,Z21&lt;&gt;"e",Z21&lt;&gt;"f"),CX21*2.4/$H21,CX21),IF($F21&lt;OFFSET($BN$9,CL21+2,0,1,1),IF(AND($H21&gt;2.4,Z21&lt;&gt;"e",Z21&lt;&gt;"f"),CX21*2.4/$H21,CX21),IF($F21&lt;OFFSET($BN$9,CL21+3,0,1,1),IF(AND($H21&gt;2.4,Z21&lt;&gt;"e",Z21&lt;&gt;"f"),CX21*2.4/$H21,CX21),0)))))*COS(RADIANS($G21)))</f>
        <v>0</v>
      </c>
      <c r="CU21" s="51">
        <f ca="1">IF(F21&lt;OFFSET($BM$9,CL21-1,0,1,1),0,IF(F21&lt;OFFSET($BN$9,CL21-1,0,1,1),((F21-OFFSET($BM$9,CL21-1,0,1,1))*OFFSET($CI$9,CL21-1,0,1,1))+OFFSET($BP$9,CL21-1,CQ21,1,1),IF(F21&lt;OFFSET($BN$9,CL21+0,0,1,1),((F21-OFFSET($BM$9,CL21+0,0,1,1))*OFFSET($CI$9,CL21+0,0,1,1))+OFFSET($BP$9,CL21+0,CQ21,1,1),IF(F21&lt;OFFSET($BN$9,CL21+1,0,1,1),((F21-OFFSET($BM$9,CL21+1,0,1,1))*OFFSET($CI$9,CL21+1,0,1,1))+OFFSET($BP$9,CL21+1,CQ21,1,1),IF(F21&lt;OFFSET($BN$9,CL21+2,0,1,1),((F21-OFFSET($BM$9,CL21+2,0,1,1))*OFFSET($CI$9,CL21+2,0,1,1))+OFFSET($BP$9,CL21+2,CQ21,1,1),IF(F21&lt;OFFSET($BN$9,CL21+3,0,1,1),((F21-OFFSET($BM$9,CL21+3,0,1,1))*OFFSET($CI$9,CL21+3,0,1,1))+OFFSET($BP$9,CL21+3,CQ21,1,1),0))))))</f>
        <v>0</v>
      </c>
      <c r="CV21" s="51">
        <f ca="1">IF($F21&lt;OFFSET($BM$9,$CL21-1,0,1,1),0,IF($F21&lt;OFFSET($BN$9,$CL21-1,0,1,1),IF(AND($H21&gt;2.4,Z21&lt;&gt;"e",Z21&lt;&gt;"f"),CZ21*2.4/$H21,CZ21),IF($F21&lt;OFFSET($BN$9,$CL21+0,0,1,1),IF(AND($H21&gt;2.4,Z21&lt;&gt;"e",Z21&lt;&gt;"f"),CZ21*2.4/$H21,CZ21),IF($F21&lt;OFFSET($BN$9,$CL21+1,0,1,1),IF(AND($H21&gt;2.4,Z21&lt;&gt;"e",Z21&lt;&gt;"f"),CZ21*2.4/$H21,CZ21),IF($F21&lt;OFFSET($BN$9,$CL21+2,0,1,1),IF(AND($H21&gt;2.4,Z21&lt;&gt;"e",Z21&lt;&gt;"f"),CZ21*2.4/$H21,CZ21),IF($F21&lt;OFFSET($BN$9,$CL21+3,0,1,1),IF(AND($H21&gt;2.4,Z21&lt;&gt;"e",Z21&lt;&gt;"f"),CZ21*2.4/$H21,CZ21),0)))))*COS(RADIANS($G21)))</f>
        <v>0</v>
      </c>
      <c r="CW21" s="51">
        <f ca="1">IF(CT21&gt;CR21,CR21,CT21)</f>
        <v>0</v>
      </c>
      <c r="CX21" s="51">
        <f ca="1">IF(CS21&gt;$CR21,$CR21,CS21)</f>
        <v>0</v>
      </c>
      <c r="CY21" s="51">
        <f ca="1">CW21*F21</f>
        <v>0</v>
      </c>
      <c r="CZ21" s="51">
        <f ca="1">IF($CU21&gt;$CR21,$CR21,$CU21)</f>
        <v>0</v>
      </c>
      <c r="DA21" s="51">
        <f ca="1">IF(CV21&gt;CR21,CR21,CV21)</f>
        <v>0</v>
      </c>
      <c r="DB21" s="51">
        <f ca="1">DA21*F21</f>
        <v>0</v>
      </c>
      <c r="DC21" s="993">
        <v>1</v>
      </c>
      <c r="DD21" s="758" t="str">
        <f>IF(OR(D21=BG$12,D21=BG$13),"External",IF(D21=BG$14,"Internal"," "))</f>
        <v xml:space="preserve"> </v>
      </c>
      <c r="DE21" s="51" t="str">
        <f t="shared" ca="1" si="2"/>
        <v/>
      </c>
      <c r="DF21" s="52" t="str">
        <f t="shared" ca="1" si="3"/>
        <v xml:space="preserve"> </v>
      </c>
      <c r="DG21" s="51">
        <f ca="1">IF(F21&lt;OFFSET($BM$9,CN21-1,0,1,1),0,IF(F21&lt;OFFSET($BN$9,CN21-1,0,1,1),((F21-OFFSET($BM$9,CN21-1,0,1,1))*OFFSET($CH$9,CN21-1,0,1,1))+OFFSET($BO$9,CN21-1,CQ21,1,1),IF(F21&lt;OFFSET($BN$9,CN21+0,0,1,1),((F21-OFFSET($BM$9,CN21+0,0,1,1))*OFFSET($CH$9,CN21+0,0,1,1))+OFFSET($BO$9,CN21+0,CQ21,1,1),IF(F21&lt;OFFSET($BN$9,CN21+1,0,1,1),((F21-OFFSET($BM$9,CN21+1,0,1,1))*OFFSET($CH$9,CN21+1,0,1,1))+OFFSET($BO$9,CN21+1,CQ21,1,1),IF(F21&lt;OFFSET($BN$9,CN21+2,0,1,1),((F21-OFFSET($BM$9,CN21+2,0,1,1))*OFFSET($CH$9,CN21+2,0,1,1))+OFFSET($BO$9,CN21+2,CQ21,1,1),IF(F21&lt;OFFSET($BN$9,CN21+3,0,1,1),((F21-OFFSET($BM$9,CN21+3,0,1,1))*OFFSET($CH$9,CN21+3,0,1,1))+OFFSET($BO$9,CN21+3,CQ21,1,1),0))))))</f>
        <v>0</v>
      </c>
      <c r="DH21" s="51">
        <f ca="1">IF($F21&lt;OFFSET($BM$9,$CN21-1,0,1,1),0,IF($F21&lt;OFFSET($BN$9,$CN21-1,0,1,1),IF(AND($H21&gt;2.4,Z21&lt;&gt;"e",Z21&lt;&gt;"f"),DL21*2.4/$H21,DL21),IF($F21&lt;OFFSET($BN$9,$CN21+0,0,1,1),IF(AND($H21&gt;2.4,Z21&lt;&gt;"e",Z21&lt;&gt;"f"),DL21*2.4/$H21,DL21),IF($F21&lt;OFFSET($BN$9,$CN21+1,0,1,1),IF(AND($H21&gt;2.4,Z21&lt;&gt;"e",Z21&lt;&gt;"f"),DL21*2.4/$H21,DL21),IF($F21&lt;OFFSET($BN$9,$CN21+2,0,1,1),IF(AND($H21&gt;2.4,Z21&lt;&gt;"e",Z21&lt;&gt;"f"),DL21*2.4/$H21,DL21),IF($F21&lt;OFFSET($BN$9,$CN21+3,0,1,1),IF(AND($H21&gt;2.4,Z21&lt;&gt;"e",Z21&lt;&gt;"f"),DL21*2.4/$H21,DL21),0)))))*COS(RADIANS($G21)))</f>
        <v>0</v>
      </c>
      <c r="DI21" s="51">
        <f ca="1">IF(F21&lt;OFFSET($BM$9,CN21-1,0,1,1),0,IF(F21&lt;OFFSET($BN$9,CN21-1,0,1,1),((F21-OFFSET($BM$9,CN21-1,0,1,1))*OFFSET($CI$9,CN21-1,0,1,1))+OFFSET($BP$9,CN21-1,CQ21,1,1),IF(F21&lt;OFFSET($BN$9,CN21+0,0,1,1),((F21-OFFSET($BM$9,CN21+0,0,1,1))*OFFSET($CI$9,CN21+0,0,1,1))+OFFSET($BP$9,CN21+0,CQ21,1,1),IF(F21&lt;OFFSET($BN$9,CN21+1,0,1,1),((F21-OFFSET($BM$9,CN21+1,0,1,1))*OFFSET($CI$9,CN21+1,0,1,1))+OFFSET($BP$9,CN21+1,CQ21,1,1),IF(F21&lt;OFFSET($BN$9,CN21+2,0,1,1),((F21-OFFSET($BM$9,CN21+2,0,1,1))*OFFSET($CI$9,CN21+2,0,1,1))+OFFSET($BP$9,CN21+2,CQ21,1,1),IF(F21&lt;OFFSET($BN$9,CN21+3,0,1,1),((F21-OFFSET($BM$9,CN21+3,0,1,1))*OFFSET($CI$9,CN21+3,0,1,1))+OFFSET($BP$9,CN21+3,CQ21,1,1),0))))))</f>
        <v>0</v>
      </c>
      <c r="DJ21" s="51">
        <f ca="1">IF($F21&lt;OFFSET($BM$9,$CN21-1,0,1,1),0,IF($F21&lt;OFFSET($BN$9,$CN21-1,0,1,1),IF(AND($H21&gt;2.4,Z21&lt;&gt;"e",Z21&lt;&gt;"f"),DN21*2.4/$H21,DN21),IF($F21&lt;OFFSET($BN$9,$CN21+0,0,1,1),IF(AND($H21&gt;2.4,Z21&lt;&gt;"e",Z21&lt;&gt;"f"),DN21*2.4/$H21,DN21),IF($F21&lt;OFFSET($BN$9,$CN21+1,0,1,1),IF(AND($H21&gt;2.4,Z21&lt;&gt;"e",Z21&lt;&gt;"f"),DN21*2.4/$H21,DN21),IF($F21&lt;OFFSET($BN$9,$CN21+2,0,1,1),IF(AND($H21&gt;2.4,Z21&lt;&gt;"e",Z21&lt;&gt;"f"),DN21*2.4/$H21,DN21),IF($F21&lt;OFFSET($BN$9,$CN21+3,0,1,1),IF(AND($H21&gt;2.4,Z21&lt;&gt;"e",Z21&lt;&gt;"f"),DN21*2.4/$H21,DN21),0)))))*COS(RADIANS($G21)))</f>
        <v>0</v>
      </c>
      <c r="DK21" s="51"/>
      <c r="DL21" s="51">
        <f ca="1">IF(DG21&gt;$CR21,$CR21,DG21)</f>
        <v>0</v>
      </c>
      <c r="DM21" s="51"/>
      <c r="DN21" s="51">
        <f ca="1">IF(DI21&gt;$CR21,$CR21,DI21)</f>
        <v>0</v>
      </c>
      <c r="DO21" s="435">
        <f ca="1">IF(DH21&gt;$CR21,$CR21,DH21)</f>
        <v>0</v>
      </c>
      <c r="DP21" s="435">
        <f ca="1">DO21*F21</f>
        <v>0</v>
      </c>
      <c r="DQ21" s="436">
        <f ca="1">IF(DJ21&gt;$CR21,$CR21,DJ21)</f>
        <v>0</v>
      </c>
      <c r="DR21" s="437">
        <f ca="1">DQ21*F21</f>
        <v>0</v>
      </c>
      <c r="DS21" s="426">
        <f ca="1">OFFSET($CH$9,CL21-1,-15,1,1)</f>
        <v>0</v>
      </c>
      <c r="DT21" s="426">
        <f ca="1">VLOOKUP(DS21,Prodlink,2,0)</f>
        <v>0</v>
      </c>
      <c r="DU21" s="188">
        <f ca="1">IF(F21&lt;OFFSET($BM$9,DT21-1,0,1,1),0,IF(F21&lt;OFFSET($BN$9,DT21-1,0,1,1),((F21-OFFSET($BM$9,DT21-1,0,1,1))*OFFSET($CH$9,DT21-1,0,1,1))+OFFSET($BO$9,DT21-1,CQ21,1,1),IF(F21&lt;OFFSET($BN$9,DT21+0,0,1,1),((F21-OFFSET($BM$9,DT21+0,0,1,1))*OFFSET($CH$9,DT21+0,0,1,1))+OFFSET($BO$9,DT21+0,CQ21,1,1),IF(F21&lt;OFFSET($BN$9,DT21+1,0,1,1),((F21-OFFSET($BM$9,DT21+1,0,1,1))*OFFSET($CH$9,DT21+1,0,1,1))+OFFSET($BO$9,DT21+1,CQ21,1,1),IF(F21&lt;OFFSET($BN$9,DT21+2,0,1,1),((F21-OFFSET($BM$9,DT21+2,0,1,1))*OFFSET($CH$9,DT21+2,0,1,1))+OFFSET($BO$9,DT21+2,CQ21,1,1),IF(F21&lt;OFFSET($BN$9,DT21+3,0,1,1),((F21-OFFSET($BM$9,DT21+3,0,1,1))*OFFSET($CH$9,DT21+3,0,1,1))+OFFSET($BO$9,DT21+3,CQ21,1,1),0))))))</f>
        <v>0</v>
      </c>
      <c r="DV21" s="51">
        <f ca="1">IF($F21&lt;OFFSET($BM$9,$DT21-1,0,1,1),0,IF($F21&lt;OFFSET($BN$9,$DT21-1,0,1,1),IF(AND($H21&gt;2.4,Z21&lt;&gt;"e",Z21&lt;&gt;"f"),DZ21*2.4/$H21,DZ21),IF($F21&lt;OFFSET($BN$9,$DT21+0,0,1,1),IF(AND($H21&gt;2.4,Z21&lt;&gt;"e",Z21&lt;&gt;"f"),DZ21*2.4/$H21,DZ21),IF($F21&lt;OFFSET($BN$9,$DT21+1,0,1,1),IF(AND($H21&gt;2.4,Z21&lt;&gt;"e",Z21&lt;&gt;"f"),DZ21*2.4/$H21,DZ21),IF($F21&lt;OFFSET($BN$9,$DT21+2,0,1,1),IF(AND($H21&gt;2.4,Z21&lt;&gt;"e",Z21&lt;&gt;"f"),DZ21*2.4/$H21,DZ21),IF($F21&lt;OFFSET($BN$9,$DT21+3,0,1,1),IF(AND($H21&gt;2.4,Z21&lt;&gt;"e",Z21&lt;&gt;"f"),DZ21*2.4/$H21,DZ21),0)))))*COS(RADIANS($G21)))</f>
        <v>0</v>
      </c>
      <c r="DW21" s="188">
        <f ca="1">IF(F21&lt;OFFSET($BM$9,DT21-1,0,1,1),0,IF(F21&lt;OFFSET($BN$9,DT21-1,0,1,1),((F21-OFFSET($BM$9,DT21-1,0,1,1))*OFFSET($CI$9,DT21-1,0,1,1))+OFFSET($BP$9,DT21-1,CQ21,1,1),IF(F21&lt;OFFSET($BN$9,DT21+0,0,1,1),((F21-OFFSET($BM$9,DT21+0,0,1,1))*OFFSET($CI$9,DT21+0,0,1,1))+OFFSET($BP$9,DT21+0,CQ21,1,1),IF(F21&lt;OFFSET($BN$9,DT21+1,0,1,1),((F21-OFFSET($BM$9,DT21+1,0,1,1))*OFFSET($CI$9,DT21+1,0,1,1))+OFFSET($BP$9,DT21+1,CQ21,1,1),IF(F21&lt;OFFSET($BN$9,DT21+2,0,1,1),((F21-OFFSET($BM$9,DT21+2,0,1,1))*OFFSET($CI$9,DT21+2,0,1,1))+OFFSET($BP$9,DT21+2,CQ21,1,1),IF(F21&lt;OFFSET($BN$9,DT21+3,0,1,1),((F21-OFFSET($BM$9,DT21+3,0,1,1))*OFFSET($CI$9,DT21+3,0,1,1))+OFFSET($BP$9,DT21+3,CQ21,1,1),0))))))</f>
        <v>0</v>
      </c>
      <c r="DX21" s="51">
        <f ca="1">IF($F21&lt;OFFSET($BM$9,$DT21-1,0,1,1),0,IF($F21&lt;OFFSET($BN$9,$DT21-1,0,1,1),IF(AND($H21&gt;2.4,Z21&lt;&gt;"e",Z21&lt;&gt;"f"),EB21*2.4/$H21,EB21),IF($F21&lt;OFFSET($BN$9,$DT21+0,0,1,1),IF(AND($H21&gt;2.4,Z21&lt;&gt;"e",Z21&lt;&gt;"f"),EB21*2.4/$H21,EB21),IF($F21&lt;OFFSET($BN$9,$DT21+1,0,1,1),IF(AND($H21&gt;2.4,Z21&lt;&gt;"e",Z21&lt;&gt;"f"),EB21*2.4/$H21,EB21),IF($F21&lt;OFFSET($BN$9,$DT21+2,0,1,1),IF(AND($H21&gt;2.4,Z21&lt;&gt;"e",Z21&lt;&gt;"f"),EB21*2.4/$H21,EB21),IF($F21&lt;OFFSET($BN$9,$DT21+3,0,1,1),IF(AND($H21&gt;2.4,Z21&lt;&gt;"e",Z21&lt;&gt;"f"),EB21*2.4/$H21,EB21),0)))))*COS(RADIANS($G21)))</f>
        <v>0</v>
      </c>
      <c r="DY21" s="188"/>
      <c r="DZ21" s="188">
        <f ca="1">IF(DU21&gt;$CR21,$CR21,DU21)</f>
        <v>0</v>
      </c>
      <c r="EA21" s="188"/>
      <c r="EB21" s="188">
        <f ca="1">IF(DW21&gt;$CR21,$CR21,DW21)</f>
        <v>0</v>
      </c>
      <c r="EC21" s="435">
        <f ca="1">IF(DV21&gt;$CR21,$CR21,DV21)</f>
        <v>0</v>
      </c>
      <c r="ED21" s="435">
        <f ca="1">EC21*F21</f>
        <v>0</v>
      </c>
      <c r="EE21" s="436">
        <f ca="1">IF(DX21&gt;$CR21,$CR21,DX21)</f>
        <v>0</v>
      </c>
      <c r="EF21" s="437">
        <f ca="1">EE21*F21</f>
        <v>0</v>
      </c>
      <c r="EG21" s="613" t="str">
        <f>IF(D21=BG$12,BG$12,"")</f>
        <v/>
      </c>
      <c r="EH21" s="614" t="str">
        <f>IF(D21=BG$13,BG$13,"")</f>
        <v/>
      </c>
      <c r="EI21" s="611">
        <f>IF(EG21=BG$12,M21,0)</f>
        <v>0</v>
      </c>
      <c r="EJ21" s="451">
        <f>IF(EG21=BG$12,O21,0)</f>
        <v>0</v>
      </c>
      <c r="EK21" s="451">
        <f>IF(EH21=BG$13,M21,0)</f>
        <v>0</v>
      </c>
      <c r="EL21" s="612">
        <f>IF(EH21=BG$13,O21,0)</f>
        <v>0</v>
      </c>
      <c r="EM21" s="426" t="str">
        <f ca="1">IF(AND(Z21&lt;&gt;"t",Z21&lt;&gt;"f"),"",IF(AND(EN21=$BH$13,K21=$BH$12),"NotOpt",IF(K21&lt;&gt;EN21,"Error","")))</f>
        <v/>
      </c>
      <c r="EN21" s="490" t="str">
        <f>IF($BG$28=1,$BH$13,$BH$12)</f>
        <v>120 BU's</v>
      </c>
      <c r="EO21" s="426" t="str">
        <f>K21</f>
        <v xml:space="preserve"> </v>
      </c>
      <c r="ER21" s="439" t="str">
        <f ca="1">IF(H21=0," ",H21)</f>
        <v xml:space="preserve"> </v>
      </c>
      <c r="ES21" s="440" t="str">
        <f ca="1">IF(ER21&lt;&gt;" ",IF(ER21&lt;&gt;ER$7,"Changed",""),"")</f>
        <v/>
      </c>
      <c r="ET21" s="440">
        <f ca="1">IF(ER21&lt;&gt;" ",IF(ER21&lt;&gt;ER$7,1,0),0)</f>
        <v>0</v>
      </c>
      <c r="EU21" s="957" t="str">
        <f ca="1">IF(I21=" "," ",IF(F21&lt;OFFSET($BM$9,CL21-1,0,1,1),1,""))</f>
        <v xml:space="preserve"> </v>
      </c>
      <c r="EW21" s="427"/>
      <c r="EX21"/>
      <c r="EY21"/>
      <c r="EZ21"/>
      <c r="FA21"/>
      <c r="FB21"/>
      <c r="FC21"/>
      <c r="FD21"/>
      <c r="FE21"/>
      <c r="FF21"/>
      <c r="FG21"/>
      <c r="FH21"/>
      <c r="FI21"/>
      <c r="FJ21"/>
      <c r="FK21"/>
      <c r="FL21"/>
      <c r="FM21"/>
      <c r="FN21"/>
      <c r="FO21"/>
    </row>
    <row r="22" spans="2:171" ht="17.100000000000001" customHeight="1" thickBot="1">
      <c r="B22" s="689" t="s">
        <v>246</v>
      </c>
      <c r="C22" s="684" t="str">
        <f>IF(OR(F22=0,I22="",I22=" ")," ",$V22)</f>
        <v xml:space="preserve"> </v>
      </c>
      <c r="D22" s="1033"/>
      <c r="E22" s="1360"/>
      <c r="F22" s="201"/>
      <c r="G22" s="1416"/>
      <c r="H22" s="199" t="str">
        <f ca="1">IF(OR(F22=0,Z22="E",Z22="f")," ",'Project Demand'!E$45)</f>
        <v xml:space="preserve"> </v>
      </c>
      <c r="I22" s="631" t="str">
        <f>IF($I$6&lt;&gt;$BG$8," ",AB22)</f>
        <v xml:space="preserve"> </v>
      </c>
      <c r="J22" s="44" t="str">
        <f ca="1">IF(OR(I22=" ",I22="")," ",OFFSET($BO$9,CL22-1,0-4,1,1))</f>
        <v xml:space="preserve"> </v>
      </c>
      <c r="K22" s="55" t="str">
        <f>IF(OR(I22=" ",I22="")," ",IF(OR(Z22="e",Z22="h"),"SD",BG$24))</f>
        <v xml:space="preserve"> </v>
      </c>
      <c r="L22" s="49">
        <f ca="1">CW22</f>
        <v>0</v>
      </c>
      <c r="M22" s="49">
        <f ca="1">CY22</f>
        <v>0</v>
      </c>
      <c r="N22" s="50">
        <f t="shared" ca="1" si="18"/>
        <v>0</v>
      </c>
      <c r="O22" s="126">
        <f t="shared" ca="1" si="18"/>
        <v>0</v>
      </c>
      <c r="P22" s="140"/>
      <c r="Q22" s="752" t="str">
        <f ca="1">IF(AND(OR(Z22="t",Z22="f"),K22=$BH$11),"No Floor!  Change Floor Type",IF(OR(I22=" ",I22="")," ",IF(F22&lt;OFFSET($BM$9,CL22-1,0,1,1),"check L(m)",DE22&amp;IF(AND(DP22&gt;=CY22,DR22&gt;=DB22),IF(AND(ED22&gt;=DP22,EF22&gt;=DR22),CONCATENATE(DS22," will provide same result"),CONCATENATE(CO22," will provide same result")),IF((DP22&gt;=CY22),CONCATENATE(CO22," provides same result in WIND"),IF((DR22&gt;=DB22),CONCATENATE(CO22," provides same result in EQ"),""))))))&amp;IF(ISERROR(FIND("pile",I22,1)),"",IF(INT(F22)&lt;&gt;F22,"Pile!  Use Whole Numbers Only",""))</f>
        <v xml:space="preserve"> </v>
      </c>
      <c r="R22" s="52"/>
      <c r="S22" s="1372"/>
      <c r="T22" s="52"/>
      <c r="U22" s="1377"/>
      <c r="V22" s="52" t="str">
        <f ca="1">IF(AND(B$5=$BF$9,OR(I22=BH$16,I22=BH$17))," ",IF(ISNUMBER(B$20),(CONCATENATE(B$20,".",W22)),(CONCATENATE(B$20,W22))))</f>
        <v>C0</v>
      </c>
      <c r="W22" s="9">
        <f ca="1">W21+X22</f>
        <v>0</v>
      </c>
      <c r="X22" s="9">
        <f>IF(AND(B$5=$BF$9,OR($I22=$BH$16,$I22=$BH$17,$I22=" ",$I22="",$F22=0)),0,IF(OR($I22=" ",$I22="",$F22=0),0,1))</f>
        <v>0</v>
      </c>
      <c r="Y22" s="896"/>
      <c r="Z22" s="52" t="str">
        <f ca="1">IF(I22=" "," ",OFFSET($BM$9,$CL22-1,8,1,1))</f>
        <v xml:space="preserve"> </v>
      </c>
      <c r="AA22" s="51" t="str">
        <f>IF(G22&gt;=45,"WA","")</f>
        <v/>
      </c>
      <c r="AB22" s="1364" t="str">
        <f>IF(F22&lt;&gt;"",IF(OR(D22=$BG$12,D22=$BG$13),IF(E22&lt;&gt;$BG$17,$BF$12,$BF$13),IF(E22&lt;&gt;$BG$17,$BF$12,$BF$13))," ")</f>
        <v xml:space="preserve"> </v>
      </c>
      <c r="AC22" s="1"/>
      <c r="AJ22" s="2230"/>
      <c r="AK22" s="2794"/>
      <c r="AL22" s="2785"/>
      <c r="AM22" s="1177">
        <f>'Regular and QuickBrace Systems'!F36</f>
        <v>1.2</v>
      </c>
      <c r="AN22" s="1274">
        <f>'Regular and QuickBrace Systems'!G36</f>
        <v>140</v>
      </c>
      <c r="AO22" s="1275">
        <f>'Regular and QuickBrace Systems'!H36</f>
        <v>115</v>
      </c>
      <c r="AP22" s="1277"/>
      <c r="AQ22" s="2665"/>
      <c r="AR22" s="2666"/>
      <c r="AS22" s="2032"/>
      <c r="AT22" s="1339"/>
      <c r="AU22" s="2124"/>
      <c r="AW22" s="1570" t="str">
        <f>'Regular and QuickBrace Systems'!O36</f>
        <v>Yes</v>
      </c>
      <c r="AX22" s="1574" t="str">
        <f>'Regular and QuickBrace Systems'!Q36</f>
        <v>Yes</v>
      </c>
      <c r="BD22" s="2648"/>
      <c r="BF22" s="598" t="str">
        <f>Table!AI83</f>
        <v>ESPH</v>
      </c>
      <c r="BG22" s="1003" t="s">
        <v>674</v>
      </c>
      <c r="BH22" s="1004"/>
      <c r="BI22" s="759"/>
      <c r="BJ22" s="897">
        <f t="shared" si="4"/>
        <v>14</v>
      </c>
      <c r="BK22" s="769" t="str">
        <f t="shared" si="7"/>
        <v xml:space="preserve">  </v>
      </c>
      <c r="BL22" s="771" t="str">
        <f t="shared" si="8"/>
        <v>Custom11</v>
      </c>
      <c r="BM22" s="455">
        <f t="shared" si="9"/>
        <v>9.9999999999999996E-76</v>
      </c>
      <c r="BN22" s="455">
        <v>999</v>
      </c>
      <c r="BO22" s="455">
        <f t="shared" si="10"/>
        <v>0</v>
      </c>
      <c r="BP22" s="925">
        <f t="shared" si="11"/>
        <v>0</v>
      </c>
      <c r="BR22" s="764"/>
      <c r="BS22" s="455"/>
      <c r="BT22" s="455" t="str">
        <f t="shared" si="12"/>
        <v>B</v>
      </c>
      <c r="BU22" s="925" t="str">
        <f t="shared" si="13"/>
        <v>T</v>
      </c>
      <c r="BV22" s="1239" t="str">
        <f t="shared" si="14"/>
        <v>Custom11</v>
      </c>
      <c r="BW22" s="1236">
        <f t="shared" si="17"/>
        <v>14</v>
      </c>
      <c r="BX22" s="925" t="str">
        <f t="shared" si="15"/>
        <v>Single</v>
      </c>
      <c r="CH22" s="764">
        <f t="shared" si="5"/>
        <v>0</v>
      </c>
      <c r="CI22" s="925">
        <f t="shared" si="6"/>
        <v>0</v>
      </c>
      <c r="CJ22" s="759"/>
      <c r="CK22" s="188"/>
      <c r="CL22" s="979">
        <f>VLOOKUP(I22,Prodlink,2,0)</f>
        <v>0</v>
      </c>
      <c r="CN22" s="497">
        <f t="shared" ca="1" si="1"/>
        <v>0</v>
      </c>
      <c r="CO22" s="497">
        <f ca="1">OFFSET($CH$9,CL22-1,-15,1,1)</f>
        <v>0</v>
      </c>
      <c r="CQ22" s="51">
        <v>0</v>
      </c>
      <c r="CR22" s="51">
        <f>IF(K22=$BH$12,$BH$23,IF(K22=$BH$13,$BH$24,10000))</f>
        <v>10000</v>
      </c>
      <c r="CS22" s="51">
        <f ca="1">IF(F22&lt;OFFSET($BM$9,CL22-1,0,1,1),0,IF(F22&lt;OFFSET($BN$9,CL22-1,0,1,1),((F22-OFFSET($BM$9,CL22-1,0,1,1))*OFFSET($CH$9,CL22-1,0,1,1))+OFFSET($BO$9,CL22-1,CQ22,1,1),IF(F22&lt;OFFSET($BN$9,CL22+0,0,1,1),((F22-OFFSET($BM$9,CL22+0,0,1,1))*OFFSET($CH$9,CL22+0,0,1,1))+OFFSET($BO$9,CL22+0,CQ22,1,1),IF(F22&lt;OFFSET($BN$9,CL22+1,0,1,1),((F22-OFFSET($BM$9,CL22+1,0,1,1))*OFFSET($CH$9,CL22+1,0,1,1))+OFFSET($BO$9,CL22+1,CQ22,1,1),IF(F22&lt;OFFSET($BN$9,CL22+2,0,1,1),((F22-OFFSET($BM$9,CL22+2,0,1,1))*OFFSET($CH$9,CL22+2,0,1,1))+OFFSET($BO$9,CL22+2,CQ22,1,1),IF(F22&lt;OFFSET($BN$9,CL22+3,0,1,1),((F22-OFFSET($BM$9,CL22+3,0,1,1))*OFFSET($CH$9,CL22+3,0,1,1))+OFFSET($BO$9,CL22+3,CQ22,1,1),0))))))</f>
        <v>0</v>
      </c>
      <c r="CT22" s="51">
        <f ca="1">IF($F22&lt;OFFSET($BM$9,$CL22-1,0,1,1),0,IF($F22&lt;OFFSET($BN$9,$CL22-1,0,1,1),IF(AND($H22&gt;2.4,Z22&lt;&gt;"e",Z22&lt;&gt;"f"),CX22*2.4/$H22,CX22),IF($F22&lt;OFFSET($BN$9,$CL22+0,0,1,1),IF(AND($H22&gt;2.4,Z22&lt;&gt;"e",Z22&lt;&gt;"f"),CX22*2.4/$H22,CX22),IF($F22&lt;OFFSET($BN$9,$CL22+1,0,1,1),IF(AND($H22&gt;2.4,Z22&lt;&gt;"e",Z22&lt;&gt;"f"),CX22*2.4/$H22,CX22),IF($F22&lt;OFFSET($BN$9,CL22+2,0,1,1),IF(AND($H22&gt;2.4,Z22&lt;&gt;"e",Z22&lt;&gt;"f"),CX22*2.4/$H22,CX22),IF($F22&lt;OFFSET($BN$9,CL22+3,0,1,1),IF(AND($H22&gt;2.4,Z22&lt;&gt;"e",Z22&lt;&gt;"f"),CX22*2.4/$H22,CX22),0)))))*COS(RADIANS($G22)))</f>
        <v>0</v>
      </c>
      <c r="CU22" s="51">
        <f ca="1">IF(F22&lt;OFFSET($BM$9,CL22-1,0,1,1),0,IF(F22&lt;OFFSET($BN$9,CL22-1,0,1,1),((F22-OFFSET($BM$9,CL22-1,0,1,1))*OFFSET($CI$9,CL22-1,0,1,1))+OFFSET($BP$9,CL22-1,CQ22,1,1),IF(F22&lt;OFFSET($BN$9,CL22+0,0,1,1),((F22-OFFSET($BM$9,CL22+0,0,1,1))*OFFSET($CI$9,CL22+0,0,1,1))+OFFSET($BP$9,CL22+0,CQ22,1,1),IF(F22&lt;OFFSET($BN$9,CL22+1,0,1,1),((F22-OFFSET($BM$9,CL22+1,0,1,1))*OFFSET($CI$9,CL22+1,0,1,1))+OFFSET($BP$9,CL22+1,CQ22,1,1),IF(F22&lt;OFFSET($BN$9,CL22+2,0,1,1),((F22-OFFSET($BM$9,CL22+2,0,1,1))*OFFSET($CI$9,CL22+2,0,1,1))+OFFSET($BP$9,CL22+2,CQ22,1,1),IF(F22&lt;OFFSET($BN$9,CL22+3,0,1,1),((F22-OFFSET($BM$9,CL22+3,0,1,1))*OFFSET($CI$9,CL22+3,0,1,1))+OFFSET($BP$9,CL22+3,CQ22,1,1),0))))))</f>
        <v>0</v>
      </c>
      <c r="CV22" s="51">
        <f ca="1">IF($F22&lt;OFFSET($BM$9,$CL22-1,0,1,1),0,IF($F22&lt;OFFSET($BN$9,$CL22-1,0,1,1),IF(AND($H22&gt;2.4,Z22&lt;&gt;"e",Z22&lt;&gt;"f"),CZ22*2.4/$H22,CZ22),IF($F22&lt;OFFSET($BN$9,$CL22+0,0,1,1),IF(AND($H22&gt;2.4,Z22&lt;&gt;"e",Z22&lt;&gt;"f"),CZ22*2.4/$H22,CZ22),IF($F22&lt;OFFSET($BN$9,$CL22+1,0,1,1),IF(AND($H22&gt;2.4,Z22&lt;&gt;"e",Z22&lt;&gt;"f"),CZ22*2.4/$H22,CZ22),IF($F22&lt;OFFSET($BN$9,$CL22+2,0,1,1),IF(AND($H22&gt;2.4,Z22&lt;&gt;"e",Z22&lt;&gt;"f"),CZ22*2.4/$H22,CZ22),IF($F22&lt;OFFSET($BN$9,$CL22+3,0,1,1),IF(AND($H22&gt;2.4,Z22&lt;&gt;"e",Z22&lt;&gt;"f"),CZ22*2.4/$H22,CZ22),0)))))*COS(RADIANS($G22)))</f>
        <v>0</v>
      </c>
      <c r="CW22" s="51">
        <f ca="1">IF(CT22&gt;CR22,CR22,CT22)</f>
        <v>0</v>
      </c>
      <c r="CX22" s="51">
        <f ca="1">IF(CS22&gt;$CR22,$CR22,CS22)</f>
        <v>0</v>
      </c>
      <c r="CY22" s="51">
        <f ca="1">CW22*F22</f>
        <v>0</v>
      </c>
      <c r="CZ22" s="51">
        <f ca="1">IF($CU22&gt;$CR22,$CR22,$CU22)</f>
        <v>0</v>
      </c>
      <c r="DA22" s="51">
        <f ca="1">IF(CV22&gt;CR22,CR22,CV22)</f>
        <v>0</v>
      </c>
      <c r="DB22" s="51">
        <f ca="1">DA22*F22</f>
        <v>0</v>
      </c>
      <c r="DC22" s="993">
        <v>1</v>
      </c>
      <c r="DD22" s="758" t="str">
        <f>IF(OR(D22=BG$12,D22=BG$13),"External",IF(D22=BG$14,"Internal"," "))</f>
        <v xml:space="preserve"> </v>
      </c>
      <c r="DE22" s="51" t="str">
        <f t="shared" ca="1" si="2"/>
        <v/>
      </c>
      <c r="DF22" s="52" t="str">
        <f t="shared" ca="1" si="3"/>
        <v xml:space="preserve"> </v>
      </c>
      <c r="DG22" s="51">
        <f ca="1">IF(F22&lt;OFFSET($BM$9,CN22-1,0,1,1),0,IF(F22&lt;OFFSET($BN$9,CN22-1,0,1,1),((F22-OFFSET($BM$9,CN22-1,0,1,1))*OFFSET($CH$9,CN22-1,0,1,1))+OFFSET($BO$9,CN22-1,CQ22,1,1),IF(F22&lt;OFFSET($BN$9,CN22+0,0,1,1),((F22-OFFSET($BM$9,CN22+0,0,1,1))*OFFSET($CH$9,CN22+0,0,1,1))+OFFSET($BO$9,CN22+0,CQ22,1,1),IF(F22&lt;OFFSET($BN$9,CN22+1,0,1,1),((F22-OFFSET($BM$9,CN22+1,0,1,1))*OFFSET($CH$9,CN22+1,0,1,1))+OFFSET($BO$9,CN22+1,CQ22,1,1),IF(F22&lt;OFFSET($BN$9,CN22+2,0,1,1),((F22-OFFSET($BM$9,CN22+2,0,1,1))*OFFSET($CH$9,CN22+2,0,1,1))+OFFSET($BO$9,CN22+2,CQ22,1,1),IF(F22&lt;OFFSET($BN$9,CN22+3,0,1,1),((F22-OFFSET($BM$9,CN22+3,0,1,1))*OFFSET($CH$9,CN22+3,0,1,1))+OFFSET($BO$9,CN22+3,CQ22,1,1),0))))))</f>
        <v>0</v>
      </c>
      <c r="DH22" s="51">
        <f ca="1">IF($F22&lt;OFFSET($BM$9,$CN22-1,0,1,1),0,IF($F22&lt;OFFSET($BN$9,$CN22-1,0,1,1),IF(AND($H22&gt;2.4,Z22&lt;&gt;"e",Z22&lt;&gt;"f"),DL22*2.4/$H22,DL22),IF($F22&lt;OFFSET($BN$9,$CN22+0,0,1,1),IF(AND($H22&gt;2.4,Z22&lt;&gt;"e",Z22&lt;&gt;"f"),DL22*2.4/$H22,DL22),IF($F22&lt;OFFSET($BN$9,$CN22+1,0,1,1),IF(AND($H22&gt;2.4,Z22&lt;&gt;"e",Z22&lt;&gt;"f"),DL22*2.4/$H22,DL22),IF($F22&lt;OFFSET($BN$9,$CN22+2,0,1,1),IF(AND($H22&gt;2.4,Z22&lt;&gt;"e",Z22&lt;&gt;"f"),DL22*2.4/$H22,DL22),IF($F22&lt;OFFSET($BN$9,$CN22+3,0,1,1),IF(AND($H22&gt;2.4,Z22&lt;&gt;"e",Z22&lt;&gt;"f"),DL22*2.4/$H22,DL22),0)))))*COS(RADIANS($G22)))</f>
        <v>0</v>
      </c>
      <c r="DI22" s="51">
        <f ca="1">IF(F22&lt;OFFSET($BM$9,CN22-1,0,1,1),0,IF(F22&lt;OFFSET($BN$9,CN22-1,0,1,1),((F22-OFFSET($BM$9,CN22-1,0,1,1))*OFFSET($CI$9,CN22-1,0,1,1))+OFFSET($BP$9,CN22-1,CQ22,1,1),IF(F22&lt;OFFSET($BN$9,CN22+0,0,1,1),((F22-OFFSET($BM$9,CN22+0,0,1,1))*OFFSET($CI$9,CN22+0,0,1,1))+OFFSET($BP$9,CN22+0,CQ22,1,1),IF(F22&lt;OFFSET($BN$9,CN22+1,0,1,1),((F22-OFFSET($BM$9,CN22+1,0,1,1))*OFFSET($CI$9,CN22+1,0,1,1))+OFFSET($BP$9,CN22+1,CQ22,1,1),IF(F22&lt;OFFSET($BN$9,CN22+2,0,1,1),((F22-OFFSET($BM$9,CN22+2,0,1,1))*OFFSET($CI$9,CN22+2,0,1,1))+OFFSET($BP$9,CN22+2,CQ22,1,1),IF(F22&lt;OFFSET($BN$9,CN22+3,0,1,1),((F22-OFFSET($BM$9,CN22+3,0,1,1))*OFFSET($CI$9,CN22+3,0,1,1))+OFFSET($BP$9,CN22+3,CQ22,1,1),0))))))</f>
        <v>0</v>
      </c>
      <c r="DJ22" s="51">
        <f ca="1">IF($F22&lt;OFFSET($BM$9,$CN22-1,0,1,1),0,IF($F22&lt;OFFSET($BN$9,$CN22-1,0,1,1),IF(AND($H22&gt;2.4,Z22&lt;&gt;"e",Z22&lt;&gt;"f"),DN22*2.4/$H22,DN22),IF($F22&lt;OFFSET($BN$9,$CN22+0,0,1,1),IF(AND($H22&gt;2.4,Z22&lt;&gt;"e",Z22&lt;&gt;"f"),DN22*2.4/$H22,DN22),IF($F22&lt;OFFSET($BN$9,$CN22+1,0,1,1),IF(AND($H22&gt;2.4,Z22&lt;&gt;"e",Z22&lt;&gt;"f"),DN22*2.4/$H22,DN22),IF($F22&lt;OFFSET($BN$9,$CN22+2,0,1,1),IF(AND($H22&gt;2.4,Z22&lt;&gt;"e",Z22&lt;&gt;"f"),DN22*2.4/$H22,DN22),IF($F22&lt;OFFSET($BN$9,$CN22+3,0,1,1),IF(AND($H22&gt;2.4,Z22&lt;&gt;"e",Z22&lt;&gt;"f"),DN22*2.4/$H22,DN22),0)))))*COS(RADIANS($G22)))</f>
        <v>0</v>
      </c>
      <c r="DK22" s="51"/>
      <c r="DL22" s="51">
        <f ca="1">IF(DG22&gt;$CR22,$CR22,DG22)</f>
        <v>0</v>
      </c>
      <c r="DM22" s="51"/>
      <c r="DN22" s="51">
        <f ca="1">IF(DI22&gt;$CR22,$CR22,DI22)</f>
        <v>0</v>
      </c>
      <c r="DO22" s="435">
        <f ca="1">IF(DH22&gt;$CR22,$CR22,DH22)</f>
        <v>0</v>
      </c>
      <c r="DP22" s="435">
        <f ca="1">DO22*F22</f>
        <v>0</v>
      </c>
      <c r="DQ22" s="436">
        <f ca="1">IF(DJ22&gt;$CR22,$CR22,DJ22)</f>
        <v>0</v>
      </c>
      <c r="DR22" s="437">
        <f ca="1">DQ22*F22</f>
        <v>0</v>
      </c>
      <c r="DS22" s="426">
        <f ca="1">OFFSET($CH$9,CL22-1,-15,1,1)</f>
        <v>0</v>
      </c>
      <c r="DT22" s="426">
        <f ca="1">VLOOKUP(DS22,Prodlink,2,0)</f>
        <v>0</v>
      </c>
      <c r="DU22" s="188">
        <f ca="1">IF(F22&lt;OFFSET($BM$9,DT22-1,0,1,1),0,IF(F22&lt;OFFSET($BN$9,DT22-1,0,1,1),((F22-OFFSET($BM$9,DT22-1,0,1,1))*OFFSET($CH$9,DT22-1,0,1,1))+OFFSET($BO$9,DT22-1,CQ22,1,1),IF(F22&lt;OFFSET($BN$9,DT22+0,0,1,1),((F22-OFFSET($BM$9,DT22+0,0,1,1))*OFFSET($CH$9,DT22+0,0,1,1))+OFFSET($BO$9,DT22+0,CQ22,1,1),IF(F22&lt;OFFSET($BN$9,DT22+1,0,1,1),((F22-OFFSET($BM$9,DT22+1,0,1,1))*OFFSET($CH$9,DT22+1,0,1,1))+OFFSET($BO$9,DT22+1,CQ22,1,1),IF(F22&lt;OFFSET($BN$9,DT22+2,0,1,1),((F22-OFFSET($BM$9,DT22+2,0,1,1))*OFFSET($CH$9,DT22+2,0,1,1))+OFFSET($BO$9,DT22+2,CQ22,1,1),IF(F22&lt;OFFSET($BN$9,DT22+3,0,1,1),((F22-OFFSET($BM$9,DT22+3,0,1,1))*OFFSET($CH$9,DT22+3,0,1,1))+OFFSET($BO$9,DT22+3,CQ22,1,1),0))))))</f>
        <v>0</v>
      </c>
      <c r="DV22" s="51">
        <f ca="1">IF($F22&lt;OFFSET($BM$9,$DT22-1,0,1,1),0,IF($F22&lt;OFFSET($BN$9,$DT22-1,0,1,1),IF(AND($H22&gt;2.4,Z22&lt;&gt;"e",Z22&lt;&gt;"f"),DZ22*2.4/$H22,DZ22),IF($F22&lt;OFFSET($BN$9,$DT22+0,0,1,1),IF(AND($H22&gt;2.4,Z22&lt;&gt;"e",Z22&lt;&gt;"f"),DZ22*2.4/$H22,DZ22),IF($F22&lt;OFFSET($BN$9,$DT22+1,0,1,1),IF(AND($H22&gt;2.4,Z22&lt;&gt;"e",Z22&lt;&gt;"f"),DZ22*2.4/$H22,DZ22),IF($F22&lt;OFFSET($BN$9,$DT22+2,0,1,1),IF(AND($H22&gt;2.4,Z22&lt;&gt;"e",Z22&lt;&gt;"f"),DZ22*2.4/$H22,DZ22),IF($F22&lt;OFFSET($BN$9,$DT22+3,0,1,1),IF(AND($H22&gt;2.4,Z22&lt;&gt;"e",Z22&lt;&gt;"f"),DZ22*2.4/$H22,DZ22),0)))))*COS(RADIANS($G22)))</f>
        <v>0</v>
      </c>
      <c r="DW22" s="188">
        <f ca="1">IF(F22&lt;OFFSET($BM$9,DT22-1,0,1,1),0,IF(F22&lt;OFFSET($BN$9,DT22-1,0,1,1),((F22-OFFSET($BM$9,DT22-1,0,1,1))*OFFSET($CI$9,DT22-1,0,1,1))+OFFSET($BP$9,DT22-1,CQ22,1,1),IF(F22&lt;OFFSET($BN$9,DT22+0,0,1,1),((F22-OFFSET($BM$9,DT22+0,0,1,1))*OFFSET($CI$9,DT22+0,0,1,1))+OFFSET($BP$9,DT22+0,CQ22,1,1),IF(F22&lt;OFFSET($BN$9,DT22+1,0,1,1),((F22-OFFSET($BM$9,DT22+1,0,1,1))*OFFSET($CI$9,DT22+1,0,1,1))+OFFSET($BP$9,DT22+1,CQ22,1,1),IF(F22&lt;OFFSET($BN$9,DT22+2,0,1,1),((F22-OFFSET($BM$9,DT22+2,0,1,1))*OFFSET($CI$9,DT22+2,0,1,1))+OFFSET($BP$9,DT22+2,CQ22,1,1),IF(F22&lt;OFFSET($BN$9,DT22+3,0,1,1),((F22-OFFSET($BM$9,DT22+3,0,1,1))*OFFSET($CI$9,DT22+3,0,1,1))+OFFSET($BP$9,DT22+3,CQ22,1,1),0))))))</f>
        <v>0</v>
      </c>
      <c r="DX22" s="51">
        <f ca="1">IF($F22&lt;OFFSET($BM$9,$DT22-1,0,1,1),0,IF($F22&lt;OFFSET($BN$9,$DT22-1,0,1,1),IF(AND($H22&gt;2.4,Z22&lt;&gt;"e",Z22&lt;&gt;"f"),EB22*2.4/$H22,EB22),IF($F22&lt;OFFSET($BN$9,$DT22+0,0,1,1),IF(AND($H22&gt;2.4,Z22&lt;&gt;"e",Z22&lt;&gt;"f"),EB22*2.4/$H22,EB22),IF($F22&lt;OFFSET($BN$9,$DT22+1,0,1,1),IF(AND($H22&gt;2.4,Z22&lt;&gt;"e",Z22&lt;&gt;"f"),EB22*2.4/$H22,EB22),IF($F22&lt;OFFSET($BN$9,$DT22+2,0,1,1),IF(AND($H22&gt;2.4,Z22&lt;&gt;"e",Z22&lt;&gt;"f"),EB22*2.4/$H22,EB22),IF($F22&lt;OFFSET($BN$9,$DT22+3,0,1,1),IF(AND($H22&gt;2.4,Z22&lt;&gt;"e",Z22&lt;&gt;"f"),EB22*2.4/$H22,EB22),0)))))*COS(RADIANS($G22)))</f>
        <v>0</v>
      </c>
      <c r="DY22" s="188"/>
      <c r="DZ22" s="188">
        <f ca="1">IF(DU22&gt;$CR22,$CR22,DU22)</f>
        <v>0</v>
      </c>
      <c r="EA22" s="188"/>
      <c r="EB22" s="188">
        <f ca="1">IF(DW22&gt;$CR22,$CR22,DW22)</f>
        <v>0</v>
      </c>
      <c r="EC22" s="435">
        <f ca="1">IF(DV22&gt;$CR22,$CR22,DV22)</f>
        <v>0</v>
      </c>
      <c r="ED22" s="435">
        <f ca="1">EC22*F22</f>
        <v>0</v>
      </c>
      <c r="EE22" s="436">
        <f ca="1">IF(DX22&gt;$CR22,$CR22,DX22)</f>
        <v>0</v>
      </c>
      <c r="EF22" s="437">
        <f ca="1">EE22*F22</f>
        <v>0</v>
      </c>
      <c r="EG22" s="613" t="str">
        <f>IF(D22=BG$12,BG$12,"")</f>
        <v/>
      </c>
      <c r="EH22" s="614" t="str">
        <f>IF(D22=BG$13,BG$13,"")</f>
        <v/>
      </c>
      <c r="EI22" s="611">
        <f>IF(EG22=BG$12,M22,0)</f>
        <v>0</v>
      </c>
      <c r="EJ22" s="451">
        <f>IF(EG22=BG$12,O22,0)</f>
        <v>0</v>
      </c>
      <c r="EK22" s="451">
        <f>IF(EH22=BG$13,M22,0)</f>
        <v>0</v>
      </c>
      <c r="EL22" s="612">
        <f>IF(EH22=BG$13,O22,0)</f>
        <v>0</v>
      </c>
      <c r="EM22" s="426" t="str">
        <f ca="1">IF(AND(Z22&lt;&gt;"t",Z22&lt;&gt;"f"),"",IF(AND(EN22=$BH$13,K22=$BH$12),"NotOpt",IF(K22&lt;&gt;EN22,"Error","")))</f>
        <v/>
      </c>
      <c r="EN22" s="490" t="str">
        <f>IF($BG$28=1,$BH$13,$BH$12)</f>
        <v>120 BU's</v>
      </c>
      <c r="EO22" s="426" t="str">
        <f>K22</f>
        <v xml:space="preserve"> </v>
      </c>
      <c r="ER22" s="439" t="str">
        <f ca="1">IF(H22=0," ",H22)</f>
        <v xml:space="preserve"> </v>
      </c>
      <c r="ES22" s="440" t="str">
        <f ca="1">IF(ER22&lt;&gt;" ",IF(ER22&lt;&gt;ER$7,"Changed",""),"")</f>
        <v/>
      </c>
      <c r="ET22" s="440">
        <f ca="1">IF(ER22&lt;&gt;" ",IF(ER22&lt;&gt;ER$7,1,0),0)</f>
        <v>0</v>
      </c>
      <c r="EU22" s="957" t="str">
        <f ca="1">IF(I22=" "," ",IF(F22&lt;OFFSET($BM$9,CL22-1,0,1,1),1,""))</f>
        <v xml:space="preserve"> </v>
      </c>
      <c r="EW22" s="427"/>
      <c r="EX22"/>
      <c r="EY22"/>
      <c r="EZ22"/>
      <c r="FA22"/>
      <c r="FB22"/>
      <c r="FC22"/>
      <c r="FD22"/>
      <c r="FE22"/>
      <c r="FF22"/>
      <c r="FG22"/>
      <c r="FH22"/>
      <c r="FI22"/>
      <c r="FJ22"/>
      <c r="FK22"/>
      <c r="FL22"/>
      <c r="FM22"/>
      <c r="FN22"/>
      <c r="FO22"/>
    </row>
    <row r="23" spans="2:171" ht="17.100000000000001" customHeight="1" thickBot="1">
      <c r="B23" s="689" t="s">
        <v>246</v>
      </c>
      <c r="C23" s="684" t="str">
        <f>IF(OR(F23=0,I23="",I23=" ")," ",$V23)</f>
        <v xml:space="preserve"> </v>
      </c>
      <c r="D23" s="1033"/>
      <c r="E23" s="1360"/>
      <c r="F23" s="201"/>
      <c r="G23" s="1416"/>
      <c r="H23" s="199" t="str">
        <f ca="1">IF(OR(F23=0,Z23="E",Z23="f")," ",'Project Demand'!E$45)</f>
        <v xml:space="preserve"> </v>
      </c>
      <c r="I23" s="631" t="str">
        <f>IF($I$6&lt;&gt;$BG$8," ",AB23)</f>
        <v xml:space="preserve"> </v>
      </c>
      <c r="J23" s="44" t="str">
        <f ca="1">IF(OR(I23=" ",I23="")," ",OFFSET($BO$9,CL23-1,0-4,1,1))</f>
        <v xml:space="preserve"> </v>
      </c>
      <c r="K23" s="55" t="str">
        <f>IF(OR(I23=" ",I23="")," ",IF(OR(Z23="e",Z23="h"),"SD",BG$24))</f>
        <v xml:space="preserve"> </v>
      </c>
      <c r="L23" s="49">
        <f ca="1">CW23</f>
        <v>0</v>
      </c>
      <c r="M23" s="49">
        <f ca="1">CY23</f>
        <v>0</v>
      </c>
      <c r="N23" s="50">
        <f t="shared" ca="1" si="18"/>
        <v>0</v>
      </c>
      <c r="O23" s="126">
        <f t="shared" ca="1" si="18"/>
        <v>0</v>
      </c>
      <c r="P23" s="140"/>
      <c r="Q23" s="752" t="str">
        <f ca="1">IF(AND(OR(Z23="t",Z23="f"),K23=$BH$11),"No Floor!  Change Floor Type",IF(OR(I23=" ",I23="")," ",IF(F23&lt;OFFSET($BM$9,CL23-1,0,1,1),"check L(m)",DE23&amp;IF(AND(DP23&gt;=CY23,DR23&gt;=DB23),IF(AND(ED23&gt;=DP23,EF23&gt;=DR23),CONCATENATE(DS23," will provide same result"),CONCATENATE(CO23," will provide same result")),IF((DP23&gt;=CY23),CONCATENATE(CO23," provides same result in WIND"),IF((DR23&gt;=DB23),CONCATENATE(CO23," provides same result in EQ"),""))))))&amp;IF(ISERROR(FIND("pile",I23,1)),"",IF(INT(F23)&lt;&gt;F23,"Pile!  Use Whole Numbers Only",""))</f>
        <v xml:space="preserve"> </v>
      </c>
      <c r="R23" s="52"/>
      <c r="S23" s="1372"/>
      <c r="T23" s="52"/>
      <c r="U23" s="1377"/>
      <c r="V23" s="52" t="str">
        <f ca="1">IF(AND(B$5=$BF$9,OR(I23=BH$16,I23=BH$17))," ",IF(ISNUMBER(B$20),(CONCATENATE(B$20,".",W23)),(CONCATENATE(B$20,W23))))</f>
        <v>C0</v>
      </c>
      <c r="W23" s="9">
        <f ca="1">W22+X23</f>
        <v>0</v>
      </c>
      <c r="X23" s="9">
        <f>IF(AND(B$5=$BF$9,OR($I23=$BH$16,$I23=$BH$17,$I23=" ",$I23="",$F23=0)),0,IF(OR($I23=" ",$I23="",$F23=0),0,1))</f>
        <v>0</v>
      </c>
      <c r="Y23" s="896"/>
      <c r="Z23" s="52" t="str">
        <f ca="1">IF(I23=" "," ",OFFSET($BM$9,$CL23-1,8,1,1))</f>
        <v xml:space="preserve"> </v>
      </c>
      <c r="AA23" s="51" t="str">
        <f>IF(G23&gt;=45,"WA","")</f>
        <v/>
      </c>
      <c r="AB23" s="1364" t="str">
        <f>IF(F23&lt;&gt;"",IF(OR(D23=$BG$12,D23=$BG$13),IF(E23&lt;&gt;$BG$17,$BF$12,$BF$13),IF(E23&lt;&gt;$BG$17,$BF$12,$BF$13))," ")</f>
        <v xml:space="preserve"> </v>
      </c>
      <c r="AC23" s="1"/>
      <c r="AJ23" s="2230"/>
      <c r="AK23" s="2803" t="str">
        <f>'Regular and QuickBrace Systems'!D37</f>
        <v>Plasterboard on Both Sides</v>
      </c>
      <c r="AL23" s="2804"/>
      <c r="AM23" s="2804"/>
      <c r="AN23" s="2804"/>
      <c r="AO23" s="1304"/>
      <c r="AP23" s="1304"/>
      <c r="AQ23" s="1305"/>
      <c r="AR23" s="1305"/>
      <c r="AS23" s="1337"/>
      <c r="AT23" s="1188"/>
      <c r="AU23" s="1332"/>
      <c r="AW23" s="1585"/>
      <c r="AX23" s="1576"/>
      <c r="BD23" s="2648"/>
      <c r="BF23" s="598" t="str">
        <f>Table!AI84</f>
        <v>EMPH</v>
      </c>
      <c r="BG23" s="1012">
        <f>'Project Demand'!AX75</f>
        <v>1</v>
      </c>
      <c r="BH23" s="655">
        <f>IF(BE$3=1,120,6)</f>
        <v>120</v>
      </c>
      <c r="BI23" s="759"/>
      <c r="BJ23" s="897">
        <f t="shared" si="4"/>
        <v>15</v>
      </c>
      <c r="BK23" s="769" t="str">
        <f t="shared" si="7"/>
        <v xml:space="preserve">  </v>
      </c>
      <c r="BL23" s="771" t="str">
        <f t="shared" si="8"/>
        <v>Custom12</v>
      </c>
      <c r="BM23" s="455">
        <f t="shared" si="9"/>
        <v>9.9999999999999996E-76</v>
      </c>
      <c r="BN23" s="455">
        <v>999</v>
      </c>
      <c r="BO23" s="455">
        <f t="shared" si="10"/>
        <v>0</v>
      </c>
      <c r="BP23" s="925">
        <f t="shared" si="11"/>
        <v>0</v>
      </c>
      <c r="BR23" s="764"/>
      <c r="BS23" s="455"/>
      <c r="BT23" s="455" t="str">
        <f t="shared" si="12"/>
        <v>B</v>
      </c>
      <c r="BU23" s="925" t="str">
        <f t="shared" si="13"/>
        <v>T</v>
      </c>
      <c r="BV23" s="1239" t="str">
        <f t="shared" si="14"/>
        <v>Custom12</v>
      </c>
      <c r="BW23" s="1236">
        <f t="shared" si="17"/>
        <v>15</v>
      </c>
      <c r="BX23" s="925" t="str">
        <f t="shared" si="15"/>
        <v>Single</v>
      </c>
      <c r="CH23" s="764">
        <f t="shared" si="5"/>
        <v>0</v>
      </c>
      <c r="CI23" s="925">
        <f t="shared" si="6"/>
        <v>0</v>
      </c>
      <c r="CJ23" s="759"/>
      <c r="CK23" s="188"/>
      <c r="CL23" s="979">
        <f>VLOOKUP(I23,Prodlink,2,0)</f>
        <v>0</v>
      </c>
      <c r="CN23" s="497">
        <f t="shared" ca="1" si="1"/>
        <v>0</v>
      </c>
      <c r="CO23" s="497">
        <f ca="1">OFFSET($CH$9,CL23-1,-15,1,1)</f>
        <v>0</v>
      </c>
      <c r="CQ23" s="51">
        <v>0</v>
      </c>
      <c r="CR23" s="51">
        <f>IF(K23=$BH$12,$BH$23,IF(K23=$BH$13,$BH$24,10000))</f>
        <v>10000</v>
      </c>
      <c r="CS23" s="51">
        <f ca="1">IF(F23&lt;OFFSET($BM$9,CL23-1,0,1,1),0,IF(F23&lt;OFFSET($BN$9,CL23-1,0,1,1),((F23-OFFSET($BM$9,CL23-1,0,1,1))*OFFSET($CH$9,CL23-1,0,1,1))+OFFSET($BO$9,CL23-1,CQ23,1,1),IF(F23&lt;OFFSET($BN$9,CL23+0,0,1,1),((F23-OFFSET($BM$9,CL23+0,0,1,1))*OFFSET($CH$9,CL23+0,0,1,1))+OFFSET($BO$9,CL23+0,CQ23,1,1),IF(F23&lt;OFFSET($BN$9,CL23+1,0,1,1),((F23-OFFSET($BM$9,CL23+1,0,1,1))*OFFSET($CH$9,CL23+1,0,1,1))+OFFSET($BO$9,CL23+1,CQ23,1,1),IF(F23&lt;OFFSET($BN$9,CL23+2,0,1,1),((F23-OFFSET($BM$9,CL23+2,0,1,1))*OFFSET($CH$9,CL23+2,0,1,1))+OFFSET($BO$9,CL23+2,CQ23,1,1),IF(F23&lt;OFFSET($BN$9,CL23+3,0,1,1),((F23-OFFSET($BM$9,CL23+3,0,1,1))*OFFSET($CH$9,CL23+3,0,1,1))+OFFSET($BO$9,CL23+3,CQ23,1,1),0))))))</f>
        <v>0</v>
      </c>
      <c r="CT23" s="51">
        <f ca="1">IF($F23&lt;OFFSET($BM$9,$CL23-1,0,1,1),0,IF($F23&lt;OFFSET($BN$9,$CL23-1,0,1,1),IF(AND($H23&gt;2.4,Z23&lt;&gt;"e",Z23&lt;&gt;"f"),CX23*2.4/$H23,CX23),IF($F23&lt;OFFSET($BN$9,$CL23+0,0,1,1),IF(AND($H23&gt;2.4,Z23&lt;&gt;"e",Z23&lt;&gt;"f"),CX23*2.4/$H23,CX23),IF($F23&lt;OFFSET($BN$9,$CL23+1,0,1,1),IF(AND($H23&gt;2.4,Z23&lt;&gt;"e",Z23&lt;&gt;"f"),CX23*2.4/$H23,CX23),IF($F23&lt;OFFSET($BN$9,CL23+2,0,1,1),IF(AND($H23&gt;2.4,Z23&lt;&gt;"e",Z23&lt;&gt;"f"),CX23*2.4/$H23,CX23),IF($F23&lt;OFFSET($BN$9,CL23+3,0,1,1),IF(AND($H23&gt;2.4,Z23&lt;&gt;"e",Z23&lt;&gt;"f"),CX23*2.4/$H23,CX23),0)))))*COS(RADIANS($G23)))</f>
        <v>0</v>
      </c>
      <c r="CU23" s="51">
        <f ca="1">IF(F23&lt;OFFSET($BM$9,CL23-1,0,1,1),0,IF(F23&lt;OFFSET($BN$9,CL23-1,0,1,1),((F23-OFFSET($BM$9,CL23-1,0,1,1))*OFFSET($CI$9,CL23-1,0,1,1))+OFFSET($BP$9,CL23-1,CQ23,1,1),IF(F23&lt;OFFSET($BN$9,CL23+0,0,1,1),((F23-OFFSET($BM$9,CL23+0,0,1,1))*OFFSET($CI$9,CL23+0,0,1,1))+OFFSET($BP$9,CL23+0,CQ23,1,1),IF(F23&lt;OFFSET($BN$9,CL23+1,0,1,1),((F23-OFFSET($BM$9,CL23+1,0,1,1))*OFFSET($CI$9,CL23+1,0,1,1))+OFFSET($BP$9,CL23+1,CQ23,1,1),IF(F23&lt;OFFSET($BN$9,CL23+2,0,1,1),((F23-OFFSET($BM$9,CL23+2,0,1,1))*OFFSET($CI$9,CL23+2,0,1,1))+OFFSET($BP$9,CL23+2,CQ23,1,1),IF(F23&lt;OFFSET($BN$9,CL23+3,0,1,1),((F23-OFFSET($BM$9,CL23+3,0,1,1))*OFFSET($CI$9,CL23+3,0,1,1))+OFFSET($BP$9,CL23+3,CQ23,1,1),0))))))</f>
        <v>0</v>
      </c>
      <c r="CV23" s="51">
        <f ca="1">IF($F23&lt;OFFSET($BM$9,$CL23-1,0,1,1),0,IF($F23&lt;OFFSET($BN$9,$CL23-1,0,1,1),IF(AND($H23&gt;2.4,Z23&lt;&gt;"e",Z23&lt;&gt;"f"),CZ23*2.4/$H23,CZ23),IF($F23&lt;OFFSET($BN$9,$CL23+0,0,1,1),IF(AND($H23&gt;2.4,Z23&lt;&gt;"e",Z23&lt;&gt;"f"),CZ23*2.4/$H23,CZ23),IF($F23&lt;OFFSET($BN$9,$CL23+1,0,1,1),IF(AND($H23&gt;2.4,Z23&lt;&gt;"e",Z23&lt;&gt;"f"),CZ23*2.4/$H23,CZ23),IF($F23&lt;OFFSET($BN$9,$CL23+2,0,1,1),IF(AND($H23&gt;2.4,Z23&lt;&gt;"e",Z23&lt;&gt;"f"),CZ23*2.4/$H23,CZ23),IF($F23&lt;OFFSET($BN$9,$CL23+3,0,1,1),IF(AND($H23&gt;2.4,Z23&lt;&gt;"e",Z23&lt;&gt;"f"),CZ23*2.4/$H23,CZ23),0)))))*COS(RADIANS($G23)))</f>
        <v>0</v>
      </c>
      <c r="CW23" s="51">
        <f ca="1">IF(CT23&gt;CR23,CR23,CT23)</f>
        <v>0</v>
      </c>
      <c r="CX23" s="51">
        <f ca="1">IF(CS23&gt;$CR23,$CR23,CS23)</f>
        <v>0</v>
      </c>
      <c r="CY23" s="51">
        <f ca="1">CW23*F23</f>
        <v>0</v>
      </c>
      <c r="CZ23" s="51">
        <f ca="1">IF($CU23&gt;$CR23,$CR23,$CU23)</f>
        <v>0</v>
      </c>
      <c r="DA23" s="51">
        <f ca="1">IF(CV23&gt;CR23,CR23,CV23)</f>
        <v>0</v>
      </c>
      <c r="DB23" s="51">
        <f ca="1">DA23*F23</f>
        <v>0</v>
      </c>
      <c r="DC23" s="993">
        <v>1</v>
      </c>
      <c r="DD23" s="758" t="str">
        <f>IF(OR(D23=BG$12,D23=BG$13),"External",IF(D23=BG$14,"Internal"," "))</f>
        <v xml:space="preserve"> </v>
      </c>
      <c r="DE23" s="51" t="str">
        <f t="shared" ca="1" si="2"/>
        <v/>
      </c>
      <c r="DF23" s="52" t="str">
        <f t="shared" ca="1" si="3"/>
        <v xml:space="preserve"> </v>
      </c>
      <c r="DG23" s="51">
        <f ca="1">IF(F23&lt;OFFSET($BM$9,CN23-1,0,1,1),0,IF(F23&lt;OFFSET($BN$9,CN23-1,0,1,1),((F23-OFFSET($BM$9,CN23-1,0,1,1))*OFFSET($CH$9,CN23-1,0,1,1))+OFFSET($BO$9,CN23-1,CQ23,1,1),IF(F23&lt;OFFSET($BN$9,CN23+0,0,1,1),((F23-OFFSET($BM$9,CN23+0,0,1,1))*OFFSET($CH$9,CN23+0,0,1,1))+OFFSET($BO$9,CN23+0,CQ23,1,1),IF(F23&lt;OFFSET($BN$9,CN23+1,0,1,1),((F23-OFFSET($BM$9,CN23+1,0,1,1))*OFFSET($CH$9,CN23+1,0,1,1))+OFFSET($BO$9,CN23+1,CQ23,1,1),IF(F23&lt;OFFSET($BN$9,CN23+2,0,1,1),((F23-OFFSET($BM$9,CN23+2,0,1,1))*OFFSET($CH$9,CN23+2,0,1,1))+OFFSET($BO$9,CN23+2,CQ23,1,1),IF(F23&lt;OFFSET($BN$9,CN23+3,0,1,1),((F23-OFFSET($BM$9,CN23+3,0,1,1))*OFFSET($CH$9,CN23+3,0,1,1))+OFFSET($BO$9,CN23+3,CQ23,1,1),0))))))</f>
        <v>0</v>
      </c>
      <c r="DH23" s="51">
        <f ca="1">IF($F23&lt;OFFSET($BM$9,$CN23-1,0,1,1),0,IF($F23&lt;OFFSET($BN$9,$CN23-1,0,1,1),IF(AND($H23&gt;2.4,Z23&lt;&gt;"e",Z23&lt;&gt;"f"),DL23*2.4/$H23,DL23),IF($F23&lt;OFFSET($BN$9,$CN23+0,0,1,1),IF(AND($H23&gt;2.4,Z23&lt;&gt;"e",Z23&lt;&gt;"f"),DL23*2.4/$H23,DL23),IF($F23&lt;OFFSET($BN$9,$CN23+1,0,1,1),IF(AND($H23&gt;2.4,Z23&lt;&gt;"e",Z23&lt;&gt;"f"),DL23*2.4/$H23,DL23),IF($F23&lt;OFFSET($BN$9,$CN23+2,0,1,1),IF(AND($H23&gt;2.4,Z23&lt;&gt;"e",Z23&lt;&gt;"f"),DL23*2.4/$H23,DL23),IF($F23&lt;OFFSET($BN$9,$CN23+3,0,1,1),IF(AND($H23&gt;2.4,Z23&lt;&gt;"e",Z23&lt;&gt;"f"),DL23*2.4/$H23,DL23),0)))))*COS(RADIANS($G23)))</f>
        <v>0</v>
      </c>
      <c r="DI23" s="51">
        <f ca="1">IF(F23&lt;OFFSET($BM$9,CN23-1,0,1,1),0,IF(F23&lt;OFFSET($BN$9,CN23-1,0,1,1),((F23-OFFSET($BM$9,CN23-1,0,1,1))*OFFSET($CI$9,CN23-1,0,1,1))+OFFSET($BP$9,CN23-1,CQ23,1,1),IF(F23&lt;OFFSET($BN$9,CN23+0,0,1,1),((F23-OFFSET($BM$9,CN23+0,0,1,1))*OFFSET($CI$9,CN23+0,0,1,1))+OFFSET($BP$9,CN23+0,CQ23,1,1),IF(F23&lt;OFFSET($BN$9,CN23+1,0,1,1),((F23-OFFSET($BM$9,CN23+1,0,1,1))*OFFSET($CI$9,CN23+1,0,1,1))+OFFSET($BP$9,CN23+1,CQ23,1,1),IF(F23&lt;OFFSET($BN$9,CN23+2,0,1,1),((F23-OFFSET($BM$9,CN23+2,0,1,1))*OFFSET($CI$9,CN23+2,0,1,1))+OFFSET($BP$9,CN23+2,CQ23,1,1),IF(F23&lt;OFFSET($BN$9,CN23+3,0,1,1),((F23-OFFSET($BM$9,CN23+3,0,1,1))*OFFSET($CI$9,CN23+3,0,1,1))+OFFSET($BP$9,CN23+3,CQ23,1,1),0))))))</f>
        <v>0</v>
      </c>
      <c r="DJ23" s="51">
        <f ca="1">IF($F23&lt;OFFSET($BM$9,$CN23-1,0,1,1),0,IF($F23&lt;OFFSET($BN$9,$CN23-1,0,1,1),IF(AND($H23&gt;2.4,Z23&lt;&gt;"e",Z23&lt;&gt;"f"),DN23*2.4/$H23,DN23),IF($F23&lt;OFFSET($BN$9,$CN23+0,0,1,1),IF(AND($H23&gt;2.4,Z23&lt;&gt;"e",Z23&lt;&gt;"f"),DN23*2.4/$H23,DN23),IF($F23&lt;OFFSET($BN$9,$CN23+1,0,1,1),IF(AND($H23&gt;2.4,Z23&lt;&gt;"e",Z23&lt;&gt;"f"),DN23*2.4/$H23,DN23),IF($F23&lt;OFFSET($BN$9,$CN23+2,0,1,1),IF(AND($H23&gt;2.4,Z23&lt;&gt;"e",Z23&lt;&gt;"f"),DN23*2.4/$H23,DN23),IF($F23&lt;OFFSET($BN$9,$CN23+3,0,1,1),IF(AND($H23&gt;2.4,Z23&lt;&gt;"e",Z23&lt;&gt;"f"),DN23*2.4/$H23,DN23),0)))))*COS(RADIANS($G23)))</f>
        <v>0</v>
      </c>
      <c r="DK23" s="51"/>
      <c r="DL23" s="51">
        <f ca="1">IF(DG23&gt;$CR23,$CR23,DG23)</f>
        <v>0</v>
      </c>
      <c r="DM23" s="51"/>
      <c r="DN23" s="51">
        <f ca="1">IF(DI23&gt;$CR23,$CR23,DI23)</f>
        <v>0</v>
      </c>
      <c r="DO23" s="435">
        <f ca="1">IF(DH23&gt;$CR23,$CR23,DH23)</f>
        <v>0</v>
      </c>
      <c r="DP23" s="435">
        <f ca="1">DO23*F23</f>
        <v>0</v>
      </c>
      <c r="DQ23" s="436">
        <f ca="1">IF(DJ23&gt;$CR23,$CR23,DJ23)</f>
        <v>0</v>
      </c>
      <c r="DR23" s="437">
        <f ca="1">DQ23*F23</f>
        <v>0</v>
      </c>
      <c r="DS23" s="426">
        <f ca="1">OFFSET($CH$9,CL23-1,-15,1,1)</f>
        <v>0</v>
      </c>
      <c r="DT23" s="426">
        <f ca="1">VLOOKUP(DS23,Prodlink,2,0)</f>
        <v>0</v>
      </c>
      <c r="DU23" s="188">
        <f ca="1">IF(F23&lt;OFFSET($BM$9,DT23-1,0,1,1),0,IF(F23&lt;OFFSET($BN$9,DT23-1,0,1,1),((F23-OFFSET($BM$9,DT23-1,0,1,1))*OFFSET($CH$9,DT23-1,0,1,1))+OFFSET($BO$9,DT23-1,CQ23,1,1),IF(F23&lt;OFFSET($BN$9,DT23+0,0,1,1),((F23-OFFSET($BM$9,DT23+0,0,1,1))*OFFSET($CH$9,DT23+0,0,1,1))+OFFSET($BO$9,DT23+0,CQ23,1,1),IF(F23&lt;OFFSET($BN$9,DT23+1,0,1,1),((F23-OFFSET($BM$9,DT23+1,0,1,1))*OFFSET($CH$9,DT23+1,0,1,1))+OFFSET($BO$9,DT23+1,CQ23,1,1),IF(F23&lt;OFFSET($BN$9,DT23+2,0,1,1),((F23-OFFSET($BM$9,DT23+2,0,1,1))*OFFSET($CH$9,DT23+2,0,1,1))+OFFSET($BO$9,DT23+2,CQ23,1,1),IF(F23&lt;OFFSET($BN$9,DT23+3,0,1,1),((F23-OFFSET($BM$9,DT23+3,0,1,1))*OFFSET($CH$9,DT23+3,0,1,1))+OFFSET($BO$9,DT23+3,CQ23,1,1),0))))))</f>
        <v>0</v>
      </c>
      <c r="DV23" s="51">
        <f ca="1">IF($F23&lt;OFFSET($BM$9,$DT23-1,0,1,1),0,IF($F23&lt;OFFSET($BN$9,$DT23-1,0,1,1),IF(AND($H23&gt;2.4,Z23&lt;&gt;"e",Z23&lt;&gt;"f"),DZ23*2.4/$H23,DZ23),IF($F23&lt;OFFSET($BN$9,$DT23+0,0,1,1),IF(AND($H23&gt;2.4,Z23&lt;&gt;"e",Z23&lt;&gt;"f"),DZ23*2.4/$H23,DZ23),IF($F23&lt;OFFSET($BN$9,$DT23+1,0,1,1),IF(AND($H23&gt;2.4,Z23&lt;&gt;"e",Z23&lt;&gt;"f"),DZ23*2.4/$H23,DZ23),IF($F23&lt;OFFSET($BN$9,$DT23+2,0,1,1),IF(AND($H23&gt;2.4,Z23&lt;&gt;"e",Z23&lt;&gt;"f"),DZ23*2.4/$H23,DZ23),IF($F23&lt;OFFSET($BN$9,$DT23+3,0,1,1),IF(AND($H23&gt;2.4,Z23&lt;&gt;"e",Z23&lt;&gt;"f"),DZ23*2.4/$H23,DZ23),0)))))*COS(RADIANS($G23)))</f>
        <v>0</v>
      </c>
      <c r="DW23" s="188">
        <f ca="1">IF(F23&lt;OFFSET($BM$9,DT23-1,0,1,1),0,IF(F23&lt;OFFSET($BN$9,DT23-1,0,1,1),((F23-OFFSET($BM$9,DT23-1,0,1,1))*OFFSET($CI$9,DT23-1,0,1,1))+OFFSET($BP$9,DT23-1,CQ23,1,1),IF(F23&lt;OFFSET($BN$9,DT23+0,0,1,1),((F23-OFFSET($BM$9,DT23+0,0,1,1))*OFFSET($CI$9,DT23+0,0,1,1))+OFFSET($BP$9,DT23+0,CQ23,1,1),IF(F23&lt;OFFSET($BN$9,DT23+1,0,1,1),((F23-OFFSET($BM$9,DT23+1,0,1,1))*OFFSET($CI$9,DT23+1,0,1,1))+OFFSET($BP$9,DT23+1,CQ23,1,1),IF(F23&lt;OFFSET($BN$9,DT23+2,0,1,1),((F23-OFFSET($BM$9,DT23+2,0,1,1))*OFFSET($CI$9,DT23+2,0,1,1))+OFFSET($BP$9,DT23+2,CQ23,1,1),IF(F23&lt;OFFSET($BN$9,DT23+3,0,1,1),((F23-OFFSET($BM$9,DT23+3,0,1,1))*OFFSET($CI$9,DT23+3,0,1,1))+OFFSET($BP$9,DT23+3,CQ23,1,1),0))))))</f>
        <v>0</v>
      </c>
      <c r="DX23" s="51">
        <f ca="1">IF($F23&lt;OFFSET($BM$9,$DT23-1,0,1,1),0,IF($F23&lt;OFFSET($BN$9,$DT23-1,0,1,1),IF(AND($H23&gt;2.4,Z23&lt;&gt;"e",Z23&lt;&gt;"f"),EB23*2.4/$H23,EB23),IF($F23&lt;OFFSET($BN$9,$DT23+0,0,1,1),IF(AND($H23&gt;2.4,Z23&lt;&gt;"e",Z23&lt;&gt;"f"),EB23*2.4/$H23,EB23),IF($F23&lt;OFFSET($BN$9,$DT23+1,0,1,1),IF(AND($H23&gt;2.4,Z23&lt;&gt;"e",Z23&lt;&gt;"f"),EB23*2.4/$H23,EB23),IF($F23&lt;OFFSET($BN$9,$DT23+2,0,1,1),IF(AND($H23&gt;2.4,Z23&lt;&gt;"e",Z23&lt;&gt;"f"),EB23*2.4/$H23,EB23),IF($F23&lt;OFFSET($BN$9,$DT23+3,0,1,1),IF(AND($H23&gt;2.4,Z23&lt;&gt;"e",Z23&lt;&gt;"f"),EB23*2.4/$H23,EB23),0)))))*COS(RADIANS($G23)))</f>
        <v>0</v>
      </c>
      <c r="DY23" s="188"/>
      <c r="DZ23" s="188">
        <f ca="1">IF(DU23&gt;$CR23,$CR23,DU23)</f>
        <v>0</v>
      </c>
      <c r="EA23" s="188"/>
      <c r="EB23" s="188">
        <f ca="1">IF(DW23&gt;$CR23,$CR23,DW23)</f>
        <v>0</v>
      </c>
      <c r="EC23" s="435">
        <f ca="1">IF(DV23&gt;$CR23,$CR23,DV23)</f>
        <v>0</v>
      </c>
      <c r="ED23" s="435">
        <f ca="1">EC23*F23</f>
        <v>0</v>
      </c>
      <c r="EE23" s="436">
        <f ca="1">IF(DX23&gt;$CR23,$CR23,DX23)</f>
        <v>0</v>
      </c>
      <c r="EF23" s="437">
        <f ca="1">EE23*F23</f>
        <v>0</v>
      </c>
      <c r="EG23" s="613" t="str">
        <f>IF(D23=BG$12,BG$12,"")</f>
        <v/>
      </c>
      <c r="EH23" s="614" t="str">
        <f>IF(D23=BG$13,BG$13,"")</f>
        <v/>
      </c>
      <c r="EI23" s="611">
        <f>IF(EG23=BG$12,M23,0)</f>
        <v>0</v>
      </c>
      <c r="EJ23" s="451">
        <f>IF(EG23=BG$12,O23,0)</f>
        <v>0</v>
      </c>
      <c r="EK23" s="451">
        <f>IF(EH23=BG$13,M23,0)</f>
        <v>0</v>
      </c>
      <c r="EL23" s="612">
        <f>IF(EH23=BG$13,O23,0)</f>
        <v>0</v>
      </c>
      <c r="EM23" s="426" t="str">
        <f ca="1">IF(AND(Z23&lt;&gt;"t",Z23&lt;&gt;"f"),"",IF(AND(EN23=$BH$13,K23=$BH$12),"NotOpt",IF(K23&lt;&gt;EN23,"Error","")))</f>
        <v/>
      </c>
      <c r="EN23" s="490" t="str">
        <f>IF($BG$28=1,$BH$13,$BH$12)</f>
        <v>120 BU's</v>
      </c>
      <c r="EO23" s="426" t="str">
        <f>K23</f>
        <v xml:space="preserve"> </v>
      </c>
      <c r="ER23" s="439" t="str">
        <f ca="1">IF(H23=0," ",H23)</f>
        <v xml:space="preserve"> </v>
      </c>
      <c r="ES23" s="440" t="str">
        <f ca="1">IF(ER23&lt;&gt;" ",IF(ER23&lt;&gt;ER$7,"Changed",""),"")</f>
        <v/>
      </c>
      <c r="ET23" s="440">
        <f ca="1">IF(ER23&lt;&gt;" ",IF(ER23&lt;&gt;ER$7,1,0),0)</f>
        <v>0</v>
      </c>
      <c r="EU23" s="957" t="str">
        <f ca="1">IF(I23=" "," ",IF(F23&lt;OFFSET($BM$9,CL23-1,0,1,1),1,""))</f>
        <v xml:space="preserve"> </v>
      </c>
      <c r="EW23" s="427"/>
      <c r="EX23"/>
      <c r="EY23"/>
      <c r="EZ23"/>
      <c r="FA23"/>
      <c r="FB23"/>
      <c r="FC23"/>
      <c r="FD23"/>
      <c r="FE23"/>
      <c r="FF23"/>
      <c r="FG23"/>
      <c r="FH23"/>
      <c r="FI23"/>
      <c r="FJ23"/>
      <c r="FK23"/>
      <c r="FL23"/>
      <c r="FM23"/>
      <c r="FN23"/>
      <c r="FO23"/>
    </row>
    <row r="24" spans="2:171" ht="17.100000000000001" customHeight="1" thickBot="1">
      <c r="B24" s="689" t="s">
        <v>246</v>
      </c>
      <c r="C24" s="684" t="str">
        <f>IF(OR(F24=0,I24="",I24=" ")," ",$V24)</f>
        <v xml:space="preserve"> </v>
      </c>
      <c r="D24" s="1419"/>
      <c r="E24" s="1034"/>
      <c r="F24" s="201"/>
      <c r="G24" s="1416"/>
      <c r="H24" s="199" t="str">
        <f ca="1">IF(OR(F24=0,Z24="E",Z24="f")," ",'Project Demand'!E$45)</f>
        <v xml:space="preserve"> </v>
      </c>
      <c r="I24" s="631" t="str">
        <f>IF($I$6&lt;&gt;$BG$8," ",AB24)</f>
        <v xml:space="preserve"> </v>
      </c>
      <c r="J24" s="44" t="str">
        <f ca="1">IF(OR(I24=" ",I24="")," ",OFFSET($BO$9,CL24-1,0-4,1,1))</f>
        <v xml:space="preserve"> </v>
      </c>
      <c r="K24" s="55" t="str">
        <f>IF(OR(I24=" ",I24="")," ",IF(OR(Z24="e",Z24="h"),"SD",BG$24))</f>
        <v xml:space="preserve"> </v>
      </c>
      <c r="L24" s="49">
        <f ca="1">CW24</f>
        <v>0</v>
      </c>
      <c r="M24" s="49">
        <f ca="1">CY24</f>
        <v>0</v>
      </c>
      <c r="N24" s="50">
        <f t="shared" ca="1" si="18"/>
        <v>0</v>
      </c>
      <c r="O24" s="126">
        <f t="shared" ca="1" si="18"/>
        <v>0</v>
      </c>
      <c r="P24" s="140"/>
      <c r="Q24" s="752" t="str">
        <f ca="1">IF(AND(OR(Z24="t",Z24="f"),K24=$BH$11),"No Floor!  Change Floor Type",IF(OR(I24=" ",I24="")," ",IF(F24&lt;OFFSET($BM$9,CL24-1,0,1,1),"check L(m)",DE24&amp;IF(AND(DP24&gt;=CY24,DR24&gt;=DB24),IF(AND(ED24&gt;=DP24,EF24&gt;=DR24),CONCATENATE(DS24," will provide same result"),CONCATENATE(CO24," will provide same result")),IF((DP24&gt;=CY24),CONCATENATE(CO24," provides same result in WIND"),IF((DR24&gt;=DB24),CONCATENATE(CO24," provides same result in EQ"),""))))))&amp;IF(ISERROR(FIND("pile",I24,1)),"",IF(INT(F24)&lt;&gt;F24,"Pile!  Use Whole Numbers Only",""))</f>
        <v xml:space="preserve"> </v>
      </c>
      <c r="T24" s="52"/>
      <c r="U24" s="1377"/>
      <c r="V24" s="52" t="str">
        <f ca="1">IF(AND(B$5=$BF$9,OR(I24=BH$16,I24=BH$17))," ",IF(ISNUMBER(B$20),(CONCATENATE(B$20,".",W24)),(CONCATENATE(B$20,W24))))</f>
        <v>C0</v>
      </c>
      <c r="W24" s="9">
        <f ca="1">W23+X24</f>
        <v>0</v>
      </c>
      <c r="X24" s="9">
        <f>IF(AND(B$5=$BF$9,OR($I24=$BH$16,$I24=$BH$17,$I24=" ",$I24="",$F24=0)),0,IF(OR($I24=" ",$I24="",$F24=0),0,1))</f>
        <v>0</v>
      </c>
      <c r="Y24" s="896"/>
      <c r="Z24" s="52" t="str">
        <f ca="1">IF(I24=" "," ",OFFSET($BM$9,$CL24-1,8,1,1))</f>
        <v xml:space="preserve"> </v>
      </c>
      <c r="AA24" s="51" t="str">
        <f>IF(G24&gt;=45,"WA","")</f>
        <v/>
      </c>
      <c r="AB24" s="1364" t="str">
        <f>IF(F24&lt;&gt;"",IF(OR(D24=$BG$12,D24=$BG$13),IF(E24&lt;&gt;$BG$17,$BF$12,$BF$13),IF(E24&lt;&gt;$BG$17,$BF$12,$BF$13))," ")</f>
        <v xml:space="preserve"> </v>
      </c>
      <c r="AC24" s="1"/>
      <c r="AJ24" s="2230"/>
      <c r="AK24" s="2779" t="str">
        <f>'Regular and QuickBrace Systems'!D38</f>
        <v>Internal</v>
      </c>
      <c r="AL24" s="2781" t="str">
        <f>'Regular and QuickBrace Systems'!E38</f>
        <v>ER2</v>
      </c>
      <c r="AM24" s="1176">
        <f>'Regular and QuickBrace Systems'!F38</f>
        <v>0.4</v>
      </c>
      <c r="AN24" s="1272">
        <f>'Regular and QuickBrace Systems'!G38</f>
        <v>56</v>
      </c>
      <c r="AO24" s="1273">
        <f>'Regular and QuickBrace Systems'!H38</f>
        <v>51</v>
      </c>
      <c r="AP24" s="1594"/>
      <c r="AQ24" s="2808" t="str">
        <f>'Regular and QuickBrace Systems'!I38</f>
        <v>Regular Fixing</v>
      </c>
      <c r="AR24" s="2809"/>
      <c r="AS24" s="2030" t="str">
        <f>'Regular and QuickBrace Systems'!K38</f>
        <v>No</v>
      </c>
      <c r="AT24" s="1339"/>
      <c r="AU24" s="2131" t="str">
        <f>'Regular and QuickBrace Systems'!M14</f>
        <v>Any Elephant Plasterboard on Both sides</v>
      </c>
      <c r="AW24" s="1567" t="str">
        <f>'Regular and QuickBrace Systems'!O14</f>
        <v>Yes</v>
      </c>
      <c r="AX24" s="1573" t="str">
        <f>'Regular and QuickBrace Systems'!Q14</f>
        <v>No</v>
      </c>
      <c r="BD24" s="2648"/>
      <c r="BF24" s="482" t="s">
        <v>8</v>
      </c>
      <c r="BG24" s="655" t="str">
        <f>IF(BG$23=1,BH12,IF(BG$23=2,BH13,IF(BG$23=3,BH14," ")))</f>
        <v>120 BU's</v>
      </c>
      <c r="BH24" s="710">
        <f>IF($BE$3=1,150,7.5)</f>
        <v>150</v>
      </c>
      <c r="BI24" s="759"/>
      <c r="BJ24" s="897">
        <f t="shared" si="4"/>
        <v>16</v>
      </c>
      <c r="BK24" s="769" t="str">
        <f t="shared" si="7"/>
        <v xml:space="preserve">  </v>
      </c>
      <c r="BL24" s="771" t="str">
        <f t="shared" si="8"/>
        <v>Custom13</v>
      </c>
      <c r="BM24" s="455">
        <f t="shared" si="9"/>
        <v>9.9999999999999996E-76</v>
      </c>
      <c r="BN24" s="455">
        <v>999</v>
      </c>
      <c r="BO24" s="455">
        <f t="shared" si="10"/>
        <v>0</v>
      </c>
      <c r="BP24" s="925">
        <f t="shared" si="11"/>
        <v>0</v>
      </c>
      <c r="BR24" s="764"/>
      <c r="BS24" s="455"/>
      <c r="BT24" s="455" t="str">
        <f t="shared" si="12"/>
        <v>B</v>
      </c>
      <c r="BU24" s="925" t="str">
        <f t="shared" si="13"/>
        <v>T</v>
      </c>
      <c r="BV24" s="1239" t="str">
        <f t="shared" si="14"/>
        <v>Custom13</v>
      </c>
      <c r="BW24" s="1236">
        <f t="shared" si="17"/>
        <v>16</v>
      </c>
      <c r="BX24" s="925" t="str">
        <f t="shared" si="15"/>
        <v>Single</v>
      </c>
      <c r="CH24" s="764">
        <f t="shared" si="5"/>
        <v>0</v>
      </c>
      <c r="CI24" s="925">
        <f t="shared" si="6"/>
        <v>0</v>
      </c>
      <c r="CJ24" s="759"/>
      <c r="CK24" s="188"/>
      <c r="CL24" s="979">
        <f>VLOOKUP(I24,Prodlink,2,0)</f>
        <v>0</v>
      </c>
      <c r="CN24" s="497">
        <f t="shared" ca="1" si="1"/>
        <v>0</v>
      </c>
      <c r="CO24" s="497">
        <f ca="1">OFFSET($CH$9,CL24-1,-15,1,1)</f>
        <v>0</v>
      </c>
      <c r="CQ24" s="51">
        <v>0</v>
      </c>
      <c r="CR24" s="51">
        <f>IF(K24=$BH$12,$BH$23,IF(K24=$BH$13,$BH$24,10000))</f>
        <v>10000</v>
      </c>
      <c r="CS24" s="51">
        <f ca="1">IF(F24&lt;OFFSET($BM$9,CL24-1,0,1,1),0,IF(F24&lt;OFFSET($BN$9,CL24-1,0,1,1),((F24-OFFSET($BM$9,CL24-1,0,1,1))*OFFSET($CH$9,CL24-1,0,1,1))+OFFSET($BO$9,CL24-1,CQ24,1,1),IF(F24&lt;OFFSET($BN$9,CL24+0,0,1,1),((F24-OFFSET($BM$9,CL24+0,0,1,1))*OFFSET($CH$9,CL24+0,0,1,1))+OFFSET($BO$9,CL24+0,CQ24,1,1),IF(F24&lt;OFFSET($BN$9,CL24+1,0,1,1),((F24-OFFSET($BM$9,CL24+1,0,1,1))*OFFSET($CH$9,CL24+1,0,1,1))+OFFSET($BO$9,CL24+1,CQ24,1,1),IF(F24&lt;OFFSET($BN$9,CL24+2,0,1,1),((F24-OFFSET($BM$9,CL24+2,0,1,1))*OFFSET($CH$9,CL24+2,0,1,1))+OFFSET($BO$9,CL24+2,CQ24,1,1),IF(F24&lt;OFFSET($BN$9,CL24+3,0,1,1),((F24-OFFSET($BM$9,CL24+3,0,1,1))*OFFSET($CH$9,CL24+3,0,1,1))+OFFSET($BO$9,CL24+3,CQ24,1,1),0))))))</f>
        <v>0</v>
      </c>
      <c r="CT24" s="51">
        <f ca="1">IF($F24&lt;OFFSET($BM$9,$CL24-1,0,1,1),0,IF($F24&lt;OFFSET($BN$9,$CL24-1,0,1,1),IF(AND($H24&gt;2.4,Z24&lt;&gt;"e",Z24&lt;&gt;"f"),CX24*2.4/$H24,CX24),IF($F24&lt;OFFSET($BN$9,$CL24+0,0,1,1),IF(AND($H24&gt;2.4,Z24&lt;&gt;"e",Z24&lt;&gt;"f"),CX24*2.4/$H24,CX24),IF($F24&lt;OFFSET($BN$9,$CL24+1,0,1,1),IF(AND($H24&gt;2.4,Z24&lt;&gt;"e",Z24&lt;&gt;"f"),CX24*2.4/$H24,CX24),IF($F24&lt;OFFSET($BN$9,CL24+2,0,1,1),IF(AND($H24&gt;2.4,Z24&lt;&gt;"e",Z24&lt;&gt;"f"),CX24*2.4/$H24,CX24),IF($F24&lt;OFFSET($BN$9,CL24+3,0,1,1),IF(AND($H24&gt;2.4,Z24&lt;&gt;"e",Z24&lt;&gt;"f"),CX24*2.4/$H24,CX24),0)))))*COS(RADIANS($G24)))</f>
        <v>0</v>
      </c>
      <c r="CU24" s="51">
        <f ca="1">IF(F24&lt;OFFSET($BM$9,CL24-1,0,1,1),0,IF(F24&lt;OFFSET($BN$9,CL24-1,0,1,1),((F24-OFFSET($BM$9,CL24-1,0,1,1))*OFFSET($CI$9,CL24-1,0,1,1))+OFFSET($BP$9,CL24-1,CQ24,1,1),IF(F24&lt;OFFSET($BN$9,CL24+0,0,1,1),((F24-OFFSET($BM$9,CL24+0,0,1,1))*OFFSET($CI$9,CL24+0,0,1,1))+OFFSET($BP$9,CL24+0,CQ24,1,1),IF(F24&lt;OFFSET($BN$9,CL24+1,0,1,1),((F24-OFFSET($BM$9,CL24+1,0,1,1))*OFFSET($CI$9,CL24+1,0,1,1))+OFFSET($BP$9,CL24+1,CQ24,1,1),IF(F24&lt;OFFSET($BN$9,CL24+2,0,1,1),((F24-OFFSET($BM$9,CL24+2,0,1,1))*OFFSET($CI$9,CL24+2,0,1,1))+OFFSET($BP$9,CL24+2,CQ24,1,1),IF(F24&lt;OFFSET($BN$9,CL24+3,0,1,1),((F24-OFFSET($BM$9,CL24+3,0,1,1))*OFFSET($CI$9,CL24+3,0,1,1))+OFFSET($BP$9,CL24+3,CQ24,1,1),0))))))</f>
        <v>0</v>
      </c>
      <c r="CV24" s="51">
        <f ca="1">IF($F24&lt;OFFSET($BM$9,$CL24-1,0,1,1),0,IF($F24&lt;OFFSET($BN$9,$CL24-1,0,1,1),IF(AND($H24&gt;2.4,Z24&lt;&gt;"e",Z24&lt;&gt;"f"),CZ24*2.4/$H24,CZ24),IF($F24&lt;OFFSET($BN$9,$CL24+0,0,1,1),IF(AND($H24&gt;2.4,Z24&lt;&gt;"e",Z24&lt;&gt;"f"),CZ24*2.4/$H24,CZ24),IF($F24&lt;OFFSET($BN$9,$CL24+1,0,1,1),IF(AND($H24&gt;2.4,Z24&lt;&gt;"e",Z24&lt;&gt;"f"),CZ24*2.4/$H24,CZ24),IF($F24&lt;OFFSET($BN$9,$CL24+2,0,1,1),IF(AND($H24&gt;2.4,Z24&lt;&gt;"e",Z24&lt;&gt;"f"),CZ24*2.4/$H24,CZ24),IF($F24&lt;OFFSET($BN$9,$CL24+3,0,1,1),IF(AND($H24&gt;2.4,Z24&lt;&gt;"e",Z24&lt;&gt;"f"),CZ24*2.4/$H24,CZ24),0)))))*COS(RADIANS($G24)))</f>
        <v>0</v>
      </c>
      <c r="CW24" s="51">
        <f ca="1">IF(CT24&gt;CR24,CR24,CT24)</f>
        <v>0</v>
      </c>
      <c r="CX24" s="51">
        <f ca="1">IF(CS24&gt;$CR24,$CR24,CS24)</f>
        <v>0</v>
      </c>
      <c r="CY24" s="51">
        <f ca="1">CW24*F24</f>
        <v>0</v>
      </c>
      <c r="CZ24" s="51">
        <f ca="1">IF($CU24&gt;$CR24,$CR24,$CU24)</f>
        <v>0</v>
      </c>
      <c r="DA24" s="51">
        <f ca="1">IF(CV24&gt;CR24,CR24,CV24)</f>
        <v>0</v>
      </c>
      <c r="DB24" s="51">
        <f ca="1">DA24*F24</f>
        <v>0</v>
      </c>
      <c r="DC24" s="993">
        <v>1</v>
      </c>
      <c r="DD24" s="758" t="str">
        <f>IF(OR(D24=BG$12,D24=BG$13),"External",IF(D24=BG$14,"Internal"," "))</f>
        <v xml:space="preserve"> </v>
      </c>
      <c r="DE24" s="51" t="str">
        <f t="shared" ca="1" si="2"/>
        <v/>
      </c>
      <c r="DF24" s="52" t="str">
        <f t="shared" ca="1" si="3"/>
        <v xml:space="preserve"> </v>
      </c>
      <c r="DG24" s="51">
        <f ca="1">IF(F24&lt;OFFSET($BM$9,CN24-1,0,1,1),0,IF(F24&lt;OFFSET($BN$9,CN24-1,0,1,1),((F24-OFFSET($BM$9,CN24-1,0,1,1))*OFFSET($CH$9,CN24-1,0,1,1))+OFFSET($BO$9,CN24-1,CQ24,1,1),IF(F24&lt;OFFSET($BN$9,CN24+0,0,1,1),((F24-OFFSET($BM$9,CN24+0,0,1,1))*OFFSET($CH$9,CN24+0,0,1,1))+OFFSET($BO$9,CN24+0,CQ24,1,1),IF(F24&lt;OFFSET($BN$9,CN24+1,0,1,1),((F24-OFFSET($BM$9,CN24+1,0,1,1))*OFFSET($CH$9,CN24+1,0,1,1))+OFFSET($BO$9,CN24+1,CQ24,1,1),IF(F24&lt;OFFSET($BN$9,CN24+2,0,1,1),((F24-OFFSET($BM$9,CN24+2,0,1,1))*OFFSET($CH$9,CN24+2,0,1,1))+OFFSET($BO$9,CN24+2,CQ24,1,1),IF(F24&lt;OFFSET($BN$9,CN24+3,0,1,1),((F24-OFFSET($BM$9,CN24+3,0,1,1))*OFFSET($CH$9,CN24+3,0,1,1))+OFFSET($BO$9,CN24+3,CQ24,1,1),0))))))</f>
        <v>0</v>
      </c>
      <c r="DH24" s="51">
        <f ca="1">IF($F24&lt;OFFSET($BM$9,$CN24-1,0,1,1),0,IF($F24&lt;OFFSET($BN$9,$CN24-1,0,1,1),IF(AND($H24&gt;2.4,Z24&lt;&gt;"e",Z24&lt;&gt;"f"),DL24*2.4/$H24,DL24),IF($F24&lt;OFFSET($BN$9,$CN24+0,0,1,1),IF(AND($H24&gt;2.4,Z24&lt;&gt;"e",Z24&lt;&gt;"f"),DL24*2.4/$H24,DL24),IF($F24&lt;OFFSET($BN$9,$CN24+1,0,1,1),IF(AND($H24&gt;2.4,Z24&lt;&gt;"e",Z24&lt;&gt;"f"),DL24*2.4/$H24,DL24),IF($F24&lt;OFFSET($BN$9,$CN24+2,0,1,1),IF(AND($H24&gt;2.4,Z24&lt;&gt;"e",Z24&lt;&gt;"f"),DL24*2.4/$H24,DL24),IF($F24&lt;OFFSET($BN$9,$CN24+3,0,1,1),IF(AND($H24&gt;2.4,Z24&lt;&gt;"e",Z24&lt;&gt;"f"),DL24*2.4/$H24,DL24),0)))))*COS(RADIANS($G24)))</f>
        <v>0</v>
      </c>
      <c r="DI24" s="51">
        <f ca="1">IF(F24&lt;OFFSET($BM$9,CN24-1,0,1,1),0,IF(F24&lt;OFFSET($BN$9,CN24-1,0,1,1),((F24-OFFSET($BM$9,CN24-1,0,1,1))*OFFSET($CI$9,CN24-1,0,1,1))+OFFSET($BP$9,CN24-1,CQ24,1,1),IF(F24&lt;OFFSET($BN$9,CN24+0,0,1,1),((F24-OFFSET($BM$9,CN24+0,0,1,1))*OFFSET($CI$9,CN24+0,0,1,1))+OFFSET($BP$9,CN24+0,CQ24,1,1),IF(F24&lt;OFFSET($BN$9,CN24+1,0,1,1),((F24-OFFSET($BM$9,CN24+1,0,1,1))*OFFSET($CI$9,CN24+1,0,1,1))+OFFSET($BP$9,CN24+1,CQ24,1,1),IF(F24&lt;OFFSET($BN$9,CN24+2,0,1,1),((F24-OFFSET($BM$9,CN24+2,0,1,1))*OFFSET($CI$9,CN24+2,0,1,1))+OFFSET($BP$9,CN24+2,CQ24,1,1),IF(F24&lt;OFFSET($BN$9,CN24+3,0,1,1),((F24-OFFSET($BM$9,CN24+3,0,1,1))*OFFSET($CI$9,CN24+3,0,1,1))+OFFSET($BP$9,CN24+3,CQ24,1,1),0))))))</f>
        <v>0</v>
      </c>
      <c r="DJ24" s="51">
        <f ca="1">IF($F24&lt;OFFSET($BM$9,$CN24-1,0,1,1),0,IF($F24&lt;OFFSET($BN$9,$CN24-1,0,1,1),IF(AND($H24&gt;2.4,Z24&lt;&gt;"e",Z24&lt;&gt;"f"),DN24*2.4/$H24,DN24),IF($F24&lt;OFFSET($BN$9,$CN24+0,0,1,1),IF(AND($H24&gt;2.4,Z24&lt;&gt;"e",Z24&lt;&gt;"f"),DN24*2.4/$H24,DN24),IF($F24&lt;OFFSET($BN$9,$CN24+1,0,1,1),IF(AND($H24&gt;2.4,Z24&lt;&gt;"e",Z24&lt;&gt;"f"),DN24*2.4/$H24,DN24),IF($F24&lt;OFFSET($BN$9,$CN24+2,0,1,1),IF(AND($H24&gt;2.4,Z24&lt;&gt;"e",Z24&lt;&gt;"f"),DN24*2.4/$H24,DN24),IF($F24&lt;OFFSET($BN$9,$CN24+3,0,1,1),IF(AND($H24&gt;2.4,Z24&lt;&gt;"e",Z24&lt;&gt;"f"),DN24*2.4/$H24,DN24),0)))))*COS(RADIANS($G24)))</f>
        <v>0</v>
      </c>
      <c r="DK24" s="51"/>
      <c r="DL24" s="51">
        <f ca="1">IF(DG24&gt;$CR24,$CR24,DG24)</f>
        <v>0</v>
      </c>
      <c r="DM24" s="51"/>
      <c r="DN24" s="51">
        <f ca="1">IF(DI24&gt;$CR24,$CR24,DI24)</f>
        <v>0</v>
      </c>
      <c r="DO24" s="435">
        <f ca="1">IF(DH24&gt;$CR24,$CR24,DH24)</f>
        <v>0</v>
      </c>
      <c r="DP24" s="435">
        <f ca="1">DO24*F24</f>
        <v>0</v>
      </c>
      <c r="DQ24" s="436">
        <f ca="1">IF(DJ24&gt;$CR24,$CR24,DJ24)</f>
        <v>0</v>
      </c>
      <c r="DR24" s="437">
        <f ca="1">DQ24*F24</f>
        <v>0</v>
      </c>
      <c r="DS24" s="426">
        <f ca="1">OFFSET($CH$9,CL24-1,-15,1,1)</f>
        <v>0</v>
      </c>
      <c r="DT24" s="426">
        <f ca="1">VLOOKUP(DS24,Prodlink,2,0)</f>
        <v>0</v>
      </c>
      <c r="DU24" s="188">
        <f ca="1">IF(F24&lt;OFFSET($BM$9,DT24-1,0,1,1),0,IF(F24&lt;OFFSET($BN$9,DT24-1,0,1,1),((F24-OFFSET($BM$9,DT24-1,0,1,1))*OFFSET($CH$9,DT24-1,0,1,1))+OFFSET($BO$9,DT24-1,CQ24,1,1),IF(F24&lt;OFFSET($BN$9,DT24+0,0,1,1),((F24-OFFSET($BM$9,DT24+0,0,1,1))*OFFSET($CH$9,DT24+0,0,1,1))+OFFSET($BO$9,DT24+0,CQ24,1,1),IF(F24&lt;OFFSET($BN$9,DT24+1,0,1,1),((F24-OFFSET($BM$9,DT24+1,0,1,1))*OFFSET($CH$9,DT24+1,0,1,1))+OFFSET($BO$9,DT24+1,CQ24,1,1),IF(F24&lt;OFFSET($BN$9,DT24+2,0,1,1),((F24-OFFSET($BM$9,DT24+2,0,1,1))*OFFSET($CH$9,DT24+2,0,1,1))+OFFSET($BO$9,DT24+2,CQ24,1,1),IF(F24&lt;OFFSET($BN$9,DT24+3,0,1,1),((F24-OFFSET($BM$9,DT24+3,0,1,1))*OFFSET($CH$9,DT24+3,0,1,1))+OFFSET($BO$9,DT24+3,CQ24,1,1),0))))))</f>
        <v>0</v>
      </c>
      <c r="DV24" s="51">
        <f ca="1">IF($F24&lt;OFFSET($BM$9,$DT24-1,0,1,1),0,IF($F24&lt;OFFSET($BN$9,$DT24-1,0,1,1),IF(AND($H24&gt;2.4,Z24&lt;&gt;"e",Z24&lt;&gt;"f"),DZ24*2.4/$H24,DZ24),IF($F24&lt;OFFSET($BN$9,$DT24+0,0,1,1),IF(AND($H24&gt;2.4,Z24&lt;&gt;"e",Z24&lt;&gt;"f"),DZ24*2.4/$H24,DZ24),IF($F24&lt;OFFSET($BN$9,$DT24+1,0,1,1),IF(AND($H24&gt;2.4,Z24&lt;&gt;"e",Z24&lt;&gt;"f"),DZ24*2.4/$H24,DZ24),IF($F24&lt;OFFSET($BN$9,$DT24+2,0,1,1),IF(AND($H24&gt;2.4,Z24&lt;&gt;"e",Z24&lt;&gt;"f"),DZ24*2.4/$H24,DZ24),IF($F24&lt;OFFSET($BN$9,$DT24+3,0,1,1),IF(AND($H24&gt;2.4,Z24&lt;&gt;"e",Z24&lt;&gt;"f"),DZ24*2.4/$H24,DZ24),0)))))*COS(RADIANS($G24)))</f>
        <v>0</v>
      </c>
      <c r="DW24" s="188">
        <f ca="1">IF(F24&lt;OFFSET($BM$9,DT24-1,0,1,1),0,IF(F24&lt;OFFSET($BN$9,DT24-1,0,1,1),((F24-OFFSET($BM$9,DT24-1,0,1,1))*OFFSET($CI$9,DT24-1,0,1,1))+OFFSET($BP$9,DT24-1,CQ24,1,1),IF(F24&lt;OFFSET($BN$9,DT24+0,0,1,1),((F24-OFFSET($BM$9,DT24+0,0,1,1))*OFFSET($CI$9,DT24+0,0,1,1))+OFFSET($BP$9,DT24+0,CQ24,1,1),IF(F24&lt;OFFSET($BN$9,DT24+1,0,1,1),((F24-OFFSET($BM$9,DT24+1,0,1,1))*OFFSET($CI$9,DT24+1,0,1,1))+OFFSET($BP$9,DT24+1,CQ24,1,1),IF(F24&lt;OFFSET($BN$9,DT24+2,0,1,1),((F24-OFFSET($BM$9,DT24+2,0,1,1))*OFFSET($CI$9,DT24+2,0,1,1))+OFFSET($BP$9,DT24+2,CQ24,1,1),IF(F24&lt;OFFSET($BN$9,DT24+3,0,1,1),((F24-OFFSET($BM$9,DT24+3,0,1,1))*OFFSET($CI$9,DT24+3,0,1,1))+OFFSET($BP$9,DT24+3,CQ24,1,1),0))))))</f>
        <v>0</v>
      </c>
      <c r="DX24" s="51">
        <f ca="1">IF($F24&lt;OFFSET($BM$9,$DT24-1,0,1,1),0,IF($F24&lt;OFFSET($BN$9,$DT24-1,0,1,1),IF(AND($H24&gt;2.4,Z24&lt;&gt;"e",Z24&lt;&gt;"f"),EB24*2.4/$H24,EB24),IF($F24&lt;OFFSET($BN$9,$DT24+0,0,1,1),IF(AND($H24&gt;2.4,Z24&lt;&gt;"e",Z24&lt;&gt;"f"),EB24*2.4/$H24,EB24),IF($F24&lt;OFFSET($BN$9,$DT24+1,0,1,1),IF(AND($H24&gt;2.4,Z24&lt;&gt;"e",Z24&lt;&gt;"f"),EB24*2.4/$H24,EB24),IF($F24&lt;OFFSET($BN$9,$DT24+2,0,1,1),IF(AND($H24&gt;2.4,Z24&lt;&gt;"e",Z24&lt;&gt;"f"),EB24*2.4/$H24,EB24),IF($F24&lt;OFFSET($BN$9,$DT24+3,0,1,1),IF(AND($H24&gt;2.4,Z24&lt;&gt;"e",Z24&lt;&gt;"f"),EB24*2.4/$H24,EB24),0)))))*COS(RADIANS($G24)))</f>
        <v>0</v>
      </c>
      <c r="DY24" s="188"/>
      <c r="DZ24" s="188">
        <f ca="1">IF(DU24&gt;$CR24,$CR24,DU24)</f>
        <v>0</v>
      </c>
      <c r="EA24" s="188"/>
      <c r="EB24" s="188">
        <f ca="1">IF(DW24&gt;$CR24,$CR24,DW24)</f>
        <v>0</v>
      </c>
      <c r="EC24" s="435">
        <f ca="1">IF(DV24&gt;$CR24,$CR24,DV24)</f>
        <v>0</v>
      </c>
      <c r="ED24" s="435">
        <f ca="1">EC24*F24</f>
        <v>0</v>
      </c>
      <c r="EE24" s="436">
        <f ca="1">IF(DX24&gt;$CR24,$CR24,DX24)</f>
        <v>0</v>
      </c>
      <c r="EF24" s="437">
        <f ca="1">EE24*F24</f>
        <v>0</v>
      </c>
      <c r="EG24" s="613" t="str">
        <f>IF(D24=BG$12,BG$12,"")</f>
        <v/>
      </c>
      <c r="EH24" s="614" t="str">
        <f>IF(D24=BG$13,BG$13,"")</f>
        <v/>
      </c>
      <c r="EI24" s="611">
        <f>IF(EG24=BG$12,M24,0)</f>
        <v>0</v>
      </c>
      <c r="EJ24" s="451">
        <f>IF(EG24=BG$12,O24,0)</f>
        <v>0</v>
      </c>
      <c r="EK24" s="451">
        <f>IF(EH24=BG$13,M24,0)</f>
        <v>0</v>
      </c>
      <c r="EL24" s="612">
        <f>IF(EH24=BG$13,O24,0)</f>
        <v>0</v>
      </c>
      <c r="EM24" s="426" t="str">
        <f ca="1">IF(AND(Z24&lt;&gt;"t",Z24&lt;&gt;"f"),"",IF(AND(EN24=$BH$13,K24=$BH$12),"NotOpt",IF(K24&lt;&gt;EN24,"Error","")))</f>
        <v/>
      </c>
      <c r="EN24" s="490" t="str">
        <f>IF($BG$28=1,$BH$13,$BH$12)</f>
        <v>120 BU's</v>
      </c>
      <c r="EO24" s="426" t="str">
        <f>K24</f>
        <v xml:space="preserve"> </v>
      </c>
      <c r="ER24" s="439" t="str">
        <f ca="1">IF(H24=0," ",H24)</f>
        <v xml:space="preserve"> </v>
      </c>
      <c r="ES24" s="440" t="str">
        <f ca="1">IF(ER24&lt;&gt;" ",IF(ER24&lt;&gt;ER$7,"Changed",""),"")</f>
        <v/>
      </c>
      <c r="ET24" s="440">
        <f ca="1">IF(ER24&lt;&gt;" ",IF(ER24&lt;&gt;ER$7,1,0),0)</f>
        <v>0</v>
      </c>
      <c r="EU24" s="957" t="str">
        <f ca="1">IF(I24=" "," ",IF(F24&lt;OFFSET($BM$9,CL24-1,0,1,1),1,""))</f>
        <v xml:space="preserve"> </v>
      </c>
      <c r="EW24" s="427"/>
      <c r="EX24"/>
      <c r="EY24"/>
      <c r="EZ24"/>
      <c r="FA24"/>
      <c r="FB24"/>
      <c r="FC24"/>
      <c r="FD24"/>
      <c r="FE24"/>
      <c r="FF24"/>
      <c r="FG24"/>
      <c r="FH24"/>
      <c r="FI24"/>
      <c r="FJ24"/>
      <c r="FK24"/>
      <c r="FL24"/>
      <c r="FM24"/>
      <c r="FN24"/>
      <c r="FO24"/>
    </row>
    <row r="25" spans="2:171" ht="17.100000000000001" customHeight="1" thickBot="1">
      <c r="B25" s="2686" t="s">
        <v>8</v>
      </c>
      <c r="C25" s="2687"/>
      <c r="D25" s="1461" t="s">
        <v>8</v>
      </c>
      <c r="E25" s="659"/>
      <c r="F25" s="659"/>
      <c r="G25" s="659"/>
      <c r="H25" s="659"/>
      <c r="I25" s="1462"/>
      <c r="J25" s="1365" t="str">
        <f ca="1">(CONCATENATE(B20,$BE$54))</f>
        <v>C  Line:  Min. Requirement</v>
      </c>
      <c r="K25" s="23"/>
      <c r="L25" s="1019">
        <f ca="1">L$5</f>
        <v>0</v>
      </c>
      <c r="M25" s="48">
        <f ca="1">IF(B20=B14,SUM(M20:M24)+M19,SUM(M20:M24))</f>
        <v>0</v>
      </c>
      <c r="N25" s="1019">
        <f ca="1">N$5</f>
        <v>0</v>
      </c>
      <c r="O25" s="125">
        <f ca="1">IF(B20=B14,SUM(O20:O24)+O19,SUM(O20:O24))</f>
        <v>0</v>
      </c>
      <c r="P25" s="139"/>
      <c r="Q25" s="42" t="str">
        <f ca="1">IF(B20=B26,"",IF(AND(M25&gt;0,L25=L$5,OR(M25&lt;$M$105,M25&lt;$BF$3)),"Achieved &lt; Min Req per Line",IF(AND(O25&gt;0,N25=N$5,OR(O25&lt;$O$105,O25&lt;$BF$3)),"Achieved &lt; Min Req per Line",IF(AND(M25&gt;0,L25&gt;M25),"More Required on this line",IF(AND(O25&gt;0,N25&gt;O25),"More Required on this line",IF(AND(L25&gt;0,L25&lt;$BF$3),$BE$59,IF(AND(N25&gt;0,N25&lt;$BF$3),$BE$59,"")))))))</f>
        <v/>
      </c>
      <c r="R25" s="52"/>
      <c r="S25" s="52"/>
      <c r="T25" s="52"/>
      <c r="U25" s="1378"/>
      <c r="V25" s="52"/>
      <c r="W25" s="898"/>
      <c r="X25" s="898"/>
      <c r="Y25" s="896"/>
      <c r="Z25" s="52"/>
      <c r="AA25" s="51"/>
      <c r="AB25" s="1364"/>
      <c r="AC25" s="1"/>
      <c r="AJ25" s="2230"/>
      <c r="AK25" s="2779"/>
      <c r="AL25" s="2782"/>
      <c r="AM25" s="1207">
        <f>'Regular and QuickBrace Systems'!F40</f>
        <v>1.2</v>
      </c>
      <c r="AN25" s="1276">
        <f>'Regular and QuickBrace Systems'!G40</f>
        <v>60</v>
      </c>
      <c r="AO25" s="1277">
        <f>'Regular and QuickBrace Systems'!H40</f>
        <v>55</v>
      </c>
      <c r="AP25" s="1277"/>
      <c r="AQ25" s="2810"/>
      <c r="AR25" s="2811"/>
      <c r="AS25" s="2032"/>
      <c r="AT25" s="1339"/>
      <c r="AU25" s="2132"/>
      <c r="AW25" s="1568" t="str">
        <f>'Regular and QuickBrace Systems'!O16</f>
        <v>Yes</v>
      </c>
      <c r="AX25" s="1577" t="str">
        <f>'Regular and QuickBrace Systems'!Q16</f>
        <v>No</v>
      </c>
      <c r="BD25" s="2648"/>
      <c r="BF25" s="599" t="str">
        <f>'Custom Elements'!C9</f>
        <v>Custom1</v>
      </c>
      <c r="BI25" s="759"/>
      <c r="BJ25" s="897">
        <f t="shared" si="4"/>
        <v>17</v>
      </c>
      <c r="BK25" s="769" t="str">
        <f t="shared" si="7"/>
        <v xml:space="preserve">  </v>
      </c>
      <c r="BL25" s="771" t="str">
        <f t="shared" si="8"/>
        <v>Custom14</v>
      </c>
      <c r="BM25" s="455">
        <f t="shared" si="9"/>
        <v>9.9999999999999996E-76</v>
      </c>
      <c r="BN25" s="455">
        <v>999</v>
      </c>
      <c r="BO25" s="455">
        <f t="shared" si="10"/>
        <v>0</v>
      </c>
      <c r="BP25" s="925">
        <f t="shared" si="11"/>
        <v>0</v>
      </c>
      <c r="BR25" s="764"/>
      <c r="BS25" s="455"/>
      <c r="BT25" s="455" t="str">
        <f t="shared" si="12"/>
        <v>B</v>
      </c>
      <c r="BU25" s="925" t="str">
        <f t="shared" si="13"/>
        <v>T</v>
      </c>
      <c r="BV25" s="1239" t="str">
        <f t="shared" si="14"/>
        <v>Custom14</v>
      </c>
      <c r="BW25" s="1236">
        <f t="shared" si="17"/>
        <v>17</v>
      </c>
      <c r="BX25" s="925" t="str">
        <f t="shared" si="15"/>
        <v>Single</v>
      </c>
      <c r="CH25" s="764">
        <f t="shared" si="5"/>
        <v>0</v>
      </c>
      <c r="CI25" s="925">
        <f t="shared" si="6"/>
        <v>0</v>
      </c>
      <c r="CJ25" s="759"/>
      <c r="CK25" s="188"/>
      <c r="CL25" s="979"/>
      <c r="CN25" s="497"/>
      <c r="CO25" s="497"/>
      <c r="CQ25" s="51"/>
      <c r="CR25" s="51" t="s">
        <v>8</v>
      </c>
      <c r="CS25" s="51"/>
      <c r="CT25" s="51" t="s">
        <v>8</v>
      </c>
      <c r="CU25" s="51"/>
      <c r="CV25" s="51" t="s">
        <v>8</v>
      </c>
      <c r="CW25" s="51"/>
      <c r="CX25" s="51"/>
      <c r="CY25" s="51"/>
      <c r="CZ25" s="51"/>
      <c r="DD25" s="758"/>
      <c r="DF25" s="52"/>
      <c r="DG25" s="51"/>
      <c r="DH25" s="51"/>
      <c r="DI25" s="51"/>
      <c r="DJ25" s="51"/>
      <c r="DK25" s="51"/>
      <c r="DL25" s="51"/>
      <c r="DM25" s="51"/>
      <c r="DN25" s="51"/>
      <c r="DO25" s="435"/>
      <c r="DP25" s="435"/>
      <c r="DQ25" s="868"/>
      <c r="DR25" s="868"/>
      <c r="DU25" s="188"/>
      <c r="DV25" s="188" t="s">
        <v>8</v>
      </c>
      <c r="DW25" s="188"/>
      <c r="DX25" s="188" t="s">
        <v>8</v>
      </c>
      <c r="DY25" s="188"/>
      <c r="DZ25" s="188"/>
      <c r="EA25" s="188"/>
      <c r="EB25" s="188"/>
      <c r="EC25" s="435"/>
      <c r="ED25" s="435"/>
      <c r="EE25" s="868"/>
      <c r="EF25" s="867"/>
      <c r="EG25" s="613"/>
      <c r="EH25" s="614"/>
      <c r="EI25" s="613"/>
      <c r="EJ25" s="435"/>
      <c r="EK25" s="451"/>
      <c r="EL25" s="612"/>
      <c r="EN25" s="947"/>
      <c r="ER25" s="441"/>
      <c r="ES25" s="440"/>
      <c r="ET25" s="440"/>
      <c r="EU25" s="957"/>
      <c r="EW25" s="427"/>
      <c r="EX25"/>
      <c r="EY25"/>
      <c r="EZ25"/>
      <c r="FA25"/>
      <c r="FB25"/>
      <c r="FC25"/>
      <c r="FD25"/>
      <c r="FE25"/>
      <c r="FF25"/>
      <c r="FG25"/>
      <c r="FH25"/>
      <c r="FI25"/>
      <c r="FJ25"/>
      <c r="FK25"/>
      <c r="FL25"/>
      <c r="FM25"/>
      <c r="FN25"/>
      <c r="FO25"/>
    </row>
    <row r="26" spans="2:171" ht="17.100000000000001" customHeight="1">
      <c r="B26" s="1369" t="str">
        <f ca="1">S26</f>
        <v>D</v>
      </c>
      <c r="C26" s="684" t="str">
        <f>IF(OR(F26=0,I26="",I26=" ")," ",$V26)</f>
        <v xml:space="preserve"> </v>
      </c>
      <c r="D26" s="1361"/>
      <c r="E26" s="1360"/>
      <c r="F26" s="201"/>
      <c r="G26" s="1416"/>
      <c r="H26" s="199" t="str">
        <f ca="1">IF(OR(F26=0,Z26="E",Z26="f")," ",'Project Demand'!E$45)</f>
        <v xml:space="preserve"> </v>
      </c>
      <c r="I26" s="631" t="str">
        <f>IF($I$6&lt;&gt;$BG$8," ",AB26)</f>
        <v xml:space="preserve"> </v>
      </c>
      <c r="J26" s="43" t="str">
        <f ca="1">IF(OR(I26=" ",I26="")," ",OFFSET($BO$9,CL26-1,0-4,1,1))</f>
        <v xml:space="preserve"> </v>
      </c>
      <c r="K26" s="55" t="str">
        <f>IF(OR(I26=" ",I26="")," ",IF(OR(Z26="e",Z26="h"),"SD",BG$24))</f>
        <v xml:space="preserve"> </v>
      </c>
      <c r="L26" s="49">
        <f ca="1">CW26</f>
        <v>0</v>
      </c>
      <c r="M26" s="49">
        <f ca="1">CY26</f>
        <v>0</v>
      </c>
      <c r="N26" s="50">
        <f t="shared" ref="N26:O30" ca="1" si="19">DA26</f>
        <v>0</v>
      </c>
      <c r="O26" s="126">
        <f t="shared" ca="1" si="19"/>
        <v>0</v>
      </c>
      <c r="P26" s="140"/>
      <c r="Q26" s="752" t="str">
        <f ca="1">IF(AND(OR(Z26="t",Z26="f"),K26=$BH$11),"No Floor!  Change Floor Type",IF(OR(I26=" ",I26="")," ",IF(F26&lt;OFFSET($BM$9,CL26-1,0,1,1),"check L(m)",DE26&amp;IF(AND(DP26&gt;=CY26,DR26&gt;=DB26),IF(AND(ED26&gt;=DP26,EF26&gt;=DR26),CONCATENATE(DS26," will provide same result"),CONCATENATE(CO26," will provide same result")),IF((DP26&gt;=CY26),CONCATENATE(CO26," provides same result in WIND"),IF((DR26&gt;=DB26),CONCATENATE(CO26," provides same result in EQ"),""))))))&amp;IF(ISERROR(FIND("pile",I26,1)),"",IF(INT(F26)&lt;&gt;F26,"Pile!  Use Whole Numbers Only",""))</f>
        <v xml:space="preserve"> </v>
      </c>
      <c r="R26" s="52">
        <f ca="1">IF(T20&lt;&gt;2,(COLUMN(INDIRECT(B20&amp;1))+1),U26)</f>
        <v>4</v>
      </c>
      <c r="S26" s="1372" t="str">
        <f ca="1">SUBSTITUTE(ADDRESS(1,R26,4),"1","")</f>
        <v>D</v>
      </c>
      <c r="T26" s="451">
        <f ca="1">IF(AND(ISTEXT(B26),SUBSTITUTE(SUBSTITUTE(SUBSTITUTE(SUBSTITUTE(SUBSTITUTE(SUBSTITUTE(SUBSTITUTE(SUBSTITUTE(SUBSTITUTE(SUBSTITUTE(SUBSTITUTE(SUBSTITUTE(SUBSTITUTE(SUBSTITUTE(SUBSTITUTE(SUBSTITUTE(SUBSTITUTE(SUBSTITUTE(SUBSTITUTE(SUBSTITUTE(SUBSTITUTE(SUBSTITUTE(SUBSTITUTE(SUBSTITUTE(SUBSTITUTE(SUBSTITUTE(LOWER(B26),"a",),"b",),"c",),"d",),"e",),"f",),"g",),"h",),"i",),"j",),"k",),"l",),"m",),"n",),"o",),"p",),"q",),"r",),"s",),"t",),"u",),"v",),"w",),"x",),"y",),"z",)=""),1,2)</f>
        <v>1</v>
      </c>
      <c r="U26" s="1377">
        <v>4</v>
      </c>
      <c r="V26" s="52" t="str">
        <f ca="1">IF(AND(B$5=$BF$9,OR(I26=BH$16,I26=BH$17))," ",IF(ISNUMBER(B$26),(CONCATENATE(B$26,".",W26)),(CONCATENATE(B$26,W26))))</f>
        <v>D0</v>
      </c>
      <c r="W26" s="9">
        <f ca="1">IF(B20=B26,W24+X26,X26)</f>
        <v>0</v>
      </c>
      <c r="X26" s="9">
        <f>IF(AND(B$5=$BF$9,OR($I26=$BH$16,$I26=$BH$17,$I26=" ",$I26="",$F26=0)),0,IF(OR($I26=" ",$I26="",$F26=0),0,1))</f>
        <v>0</v>
      </c>
      <c r="Y26" s="896">
        <f ca="1">IF(AND(M31&gt;0,B26&lt;&gt;B32),1,0)</f>
        <v>0</v>
      </c>
      <c r="Z26" s="52" t="str">
        <f ca="1">IF(I26=" "," ",OFFSET($BM$9,$CL26-1,8,1,1))</f>
        <v xml:space="preserve"> </v>
      </c>
      <c r="AA26" s="51" t="str">
        <f>IF(G26&gt;=45,"WA","")</f>
        <v/>
      </c>
      <c r="AB26" s="1364" t="str">
        <f>IF(F26&lt;&gt;"",IF(OR(D26=$BG$12,D26=$BG$13),IF(E26&lt;&gt;$BG$17,$BF$12,$BF$13),IF(E26&lt;&gt;$BG$17,$BF$12,$BF$13))," ")</f>
        <v xml:space="preserve"> </v>
      </c>
      <c r="AC26" s="1"/>
      <c r="AJ26" s="2230"/>
      <c r="AK26" s="2779"/>
      <c r="AL26" s="2783" t="str">
        <f>'Regular and QuickBrace Systems'!E41</f>
        <v>ESSN</v>
      </c>
      <c r="AM26" s="1176">
        <f>'Regular and QuickBrace Systems'!F41</f>
        <v>0.4</v>
      </c>
      <c r="AN26" s="1272">
        <f>'Regular and QuickBrace Systems'!G41</f>
        <v>79</v>
      </c>
      <c r="AO26" s="1273">
        <f>'Regular and QuickBrace Systems'!H41</f>
        <v>74</v>
      </c>
      <c r="AP26" s="1594"/>
      <c r="AQ26" s="2661" t="str">
        <f>'Regular and QuickBrace Systems'!I41</f>
        <v>Specialised QuickBrace Pattern</v>
      </c>
      <c r="AR26" s="2662"/>
      <c r="AS26" s="2030" t="str">
        <f>'Regular and QuickBrace Systems'!K41</f>
        <v>No</v>
      </c>
      <c r="AT26" s="1339"/>
      <c r="AU26" s="2131" t="str">
        <f>'Regular and QuickBrace Systems'!M41</f>
        <v xml:space="preserve">Elephant Standard-Plus board Both sides </v>
      </c>
      <c r="AW26" s="1567" t="str">
        <f>'Regular and QuickBrace Systems'!O41</f>
        <v>Yes</v>
      </c>
      <c r="AX26" s="1573" t="str">
        <f>'Regular and QuickBrace Systems'!Q41</f>
        <v>No</v>
      </c>
      <c r="BD26" s="2648"/>
      <c r="BF26" s="599" t="str">
        <f>'Custom Elements'!C10</f>
        <v>Custom2</v>
      </c>
      <c r="BI26" s="759"/>
      <c r="BJ26" s="897">
        <f t="shared" si="4"/>
        <v>18</v>
      </c>
      <c r="BK26" s="769" t="str">
        <f t="shared" si="7"/>
        <v xml:space="preserve">  </v>
      </c>
      <c r="BL26" s="771" t="str">
        <f t="shared" si="8"/>
        <v>Custom15</v>
      </c>
      <c r="BM26" s="455">
        <f t="shared" si="9"/>
        <v>9.9999999999999996E-76</v>
      </c>
      <c r="BN26" s="455">
        <v>999</v>
      </c>
      <c r="BO26" s="455">
        <f t="shared" si="10"/>
        <v>0</v>
      </c>
      <c r="BP26" s="925">
        <f t="shared" si="11"/>
        <v>0</v>
      </c>
      <c r="BR26" s="764"/>
      <c r="BS26" s="455"/>
      <c r="BT26" s="455" t="str">
        <f t="shared" si="12"/>
        <v>B</v>
      </c>
      <c r="BU26" s="925" t="str">
        <f t="shared" si="13"/>
        <v>T</v>
      </c>
      <c r="BV26" s="1239" t="str">
        <f t="shared" si="14"/>
        <v>Custom15</v>
      </c>
      <c r="BW26" s="1236">
        <f t="shared" si="17"/>
        <v>18</v>
      </c>
      <c r="BX26" s="925" t="str">
        <f t="shared" si="15"/>
        <v>Single</v>
      </c>
      <c r="CH26" s="764">
        <f t="shared" si="5"/>
        <v>0</v>
      </c>
      <c r="CI26" s="925">
        <f t="shared" si="6"/>
        <v>0</v>
      </c>
      <c r="CJ26" s="759"/>
      <c r="CK26" s="188"/>
      <c r="CL26" s="979">
        <f>VLOOKUP(I26,Prodlink,2,0)</f>
        <v>0</v>
      </c>
      <c r="CN26" s="497">
        <f t="shared" ca="1" si="1"/>
        <v>0</v>
      </c>
      <c r="CO26" s="497">
        <f ca="1">OFFSET($CH$9,CL26-1,-15,1,1)</f>
        <v>0</v>
      </c>
      <c r="CQ26" s="51">
        <v>0</v>
      </c>
      <c r="CR26" s="51">
        <f>IF(K26=$BH$12,$BH$23,IF(K26=$BH$13,$BH$24,10000))</f>
        <v>10000</v>
      </c>
      <c r="CS26" s="51">
        <f ca="1">IF(F26&lt;OFFSET($BM$9,CL26-1,0,1,1),0,IF(F26&lt;OFFSET($BN$9,CL26-1,0,1,1),((F26-OFFSET($BM$9,CL26-1,0,1,1))*OFFSET($CH$9,CL26-1,0,1,1))+OFFSET($BO$9,CL26-1,CQ26,1,1),IF(F26&lt;OFFSET($BN$9,CL26+0,0,1,1),((F26-OFFSET($BM$9,CL26+0,0,1,1))*OFFSET($CH$9,CL26+0,0,1,1))+OFFSET($BO$9,CL26+0,CQ26,1,1),IF(F26&lt;OFFSET($BN$9,CL26+1,0,1,1),((F26-OFFSET($BM$9,CL26+1,0,1,1))*OFFSET($CH$9,CL26+1,0,1,1))+OFFSET($BO$9,CL26+1,CQ26,1,1),IF(F26&lt;OFFSET($BN$9,CL26+2,0,1,1),((F26-OFFSET($BM$9,CL26+2,0,1,1))*OFFSET($CH$9,CL26+2,0,1,1))+OFFSET($BO$9,CL26+2,CQ26,1,1),IF(F26&lt;OFFSET($BN$9,CL26+3,0,1,1),((F26-OFFSET($BM$9,CL26+3,0,1,1))*OFFSET($CH$9,CL26+3,0,1,1))+OFFSET($BO$9,CL26+3,CQ26,1,1),0))))))</f>
        <v>0</v>
      </c>
      <c r="CT26" s="51">
        <f ca="1">IF($F26&lt;OFFSET($BM$9,$CL26-1,0,1,1),0,IF($F26&lt;OFFSET($BN$9,$CL26-1,0,1,1),IF(AND($H26&gt;2.4,Z26&lt;&gt;"e",Z26&lt;&gt;"f"),CX26*2.4/$H26,CX26),IF($F26&lt;OFFSET($BN$9,$CL26+0,0,1,1),IF(AND($H26&gt;2.4,Z26&lt;&gt;"e",Z26&lt;&gt;"f"),CX26*2.4/$H26,CX26),IF($F26&lt;OFFSET($BN$9,$CL26+1,0,1,1),IF(AND($H26&gt;2.4,Z26&lt;&gt;"e",Z26&lt;&gt;"f"),CX26*2.4/$H26,CX26),IF($F26&lt;OFFSET($BN$9,CL26+2,0,1,1),IF(AND($H26&gt;2.4,Z26&lt;&gt;"e",Z26&lt;&gt;"f"),CX26*2.4/$H26,CX26),IF($F26&lt;OFFSET($BN$9,CL26+3,0,1,1),IF(AND($H26&gt;2.4,Z26&lt;&gt;"e",Z26&lt;&gt;"f"),CX26*2.4/$H26,CX26),0)))))*COS(RADIANS($G26)))</f>
        <v>0</v>
      </c>
      <c r="CU26" s="51">
        <f ca="1">IF(F26&lt;OFFSET($BM$9,CL26-1,0,1,1),0,IF(F26&lt;OFFSET($BN$9,CL26-1,0,1,1),((F26-OFFSET($BM$9,CL26-1,0,1,1))*OFFSET($CI$9,CL26-1,0,1,1))+OFFSET($BP$9,CL26-1,CQ26,1,1),IF(F26&lt;OFFSET($BN$9,CL26+0,0,1,1),((F26-OFFSET($BM$9,CL26+0,0,1,1))*OFFSET($CI$9,CL26+0,0,1,1))+OFFSET($BP$9,CL26+0,CQ26,1,1),IF(F26&lt;OFFSET($BN$9,CL26+1,0,1,1),((F26-OFFSET($BM$9,CL26+1,0,1,1))*OFFSET($CI$9,CL26+1,0,1,1))+OFFSET($BP$9,CL26+1,CQ26,1,1),IF(F26&lt;OFFSET($BN$9,CL26+2,0,1,1),((F26-OFFSET($BM$9,CL26+2,0,1,1))*OFFSET($CI$9,CL26+2,0,1,1))+OFFSET($BP$9,CL26+2,CQ26,1,1),IF(F26&lt;OFFSET($BN$9,CL26+3,0,1,1),((F26-OFFSET($BM$9,CL26+3,0,1,1))*OFFSET($CI$9,CL26+3,0,1,1))+OFFSET($BP$9,CL26+3,CQ26,1,1),0))))))</f>
        <v>0</v>
      </c>
      <c r="CV26" s="51">
        <f ca="1">IF($F26&lt;OFFSET($BM$9,$CL26-1,0,1,1),0,IF($F26&lt;OFFSET($BN$9,$CL26-1,0,1,1),IF(AND($H26&gt;2.4,Z26&lt;&gt;"e",Z26&lt;&gt;"f"),CZ26*2.4/$H26,CZ26),IF($F26&lt;OFFSET($BN$9,$CL26+0,0,1,1),IF(AND($H26&gt;2.4,Z26&lt;&gt;"e",Z26&lt;&gt;"f"),CZ26*2.4/$H26,CZ26),IF($F26&lt;OFFSET($BN$9,$CL26+1,0,1,1),IF(AND($H26&gt;2.4,Z26&lt;&gt;"e",Z26&lt;&gt;"f"),CZ26*2.4/$H26,CZ26),IF($F26&lt;OFFSET($BN$9,$CL26+2,0,1,1),IF(AND($H26&gt;2.4,Z26&lt;&gt;"e",Z26&lt;&gt;"f"),CZ26*2.4/$H26,CZ26),IF($F26&lt;OFFSET($BN$9,$CL26+3,0,1,1),IF(AND($H26&gt;2.4,Z26&lt;&gt;"e",Z26&lt;&gt;"f"),CZ26*2.4/$H26,CZ26),0)))))*COS(RADIANS($G26)))</f>
        <v>0</v>
      </c>
      <c r="CW26" s="51">
        <f ca="1">IF(CT26&gt;CR26,CR26,CT26)</f>
        <v>0</v>
      </c>
      <c r="CX26" s="51">
        <f ca="1">IF(CS26&gt;$CR26,$CR26,CS26)</f>
        <v>0</v>
      </c>
      <c r="CY26" s="51">
        <f ca="1">CW26*F26</f>
        <v>0</v>
      </c>
      <c r="CZ26" s="51">
        <f ca="1">IF($CU26&gt;$CR26,$CR26,$CU26)</f>
        <v>0</v>
      </c>
      <c r="DA26" s="51">
        <f ca="1">IF(CV26&gt;CR26,CR26,CV26)</f>
        <v>0</v>
      </c>
      <c r="DB26" s="51">
        <f ca="1">DA26*F26</f>
        <v>0</v>
      </c>
      <c r="DC26" s="993">
        <v>1</v>
      </c>
      <c r="DD26" s="758" t="str">
        <f>IF(OR(D26=BG$12,D26=BG$13),"External",IF(D26=BG$14,"Internal"," "))</f>
        <v xml:space="preserve"> </v>
      </c>
      <c r="DE26" s="51" t="str">
        <f t="shared" ca="1" si="2"/>
        <v/>
      </c>
      <c r="DF26" s="52" t="str">
        <f t="shared" ca="1" si="3"/>
        <v xml:space="preserve"> </v>
      </c>
      <c r="DG26" s="51">
        <f ca="1">IF(F26&lt;OFFSET($BM$9,CN26-1,0,1,1),0,IF(F26&lt;OFFSET($BN$9,CN26-1,0,1,1),((F26-OFFSET($BM$9,CN26-1,0,1,1))*OFFSET($CH$9,CN26-1,0,1,1))+OFFSET($BO$9,CN26-1,CQ26,1,1),IF(F26&lt;OFFSET($BN$9,CN26+0,0,1,1),((F26-OFFSET($BM$9,CN26+0,0,1,1))*OFFSET($CH$9,CN26+0,0,1,1))+OFFSET($BO$9,CN26+0,CQ26,1,1),IF(F26&lt;OFFSET($BN$9,CN26+1,0,1,1),((F26-OFFSET($BM$9,CN26+1,0,1,1))*OFFSET($CH$9,CN26+1,0,1,1))+OFFSET($BO$9,CN26+1,CQ26,1,1),IF(F26&lt;OFFSET($BN$9,CN26+2,0,1,1),((F26-OFFSET($BM$9,CN26+2,0,1,1))*OFFSET($CH$9,CN26+2,0,1,1))+OFFSET($BO$9,CN26+2,CQ26,1,1),IF(F26&lt;OFFSET($BN$9,CN26+3,0,1,1),((F26-OFFSET($BM$9,CN26+3,0,1,1))*OFFSET($CH$9,CN26+3,0,1,1))+OFFSET($BO$9,CN26+3,CQ26,1,1),0))))))</f>
        <v>0</v>
      </c>
      <c r="DH26" s="51">
        <f ca="1">IF($F26&lt;OFFSET($BM$9,$CN26-1,0,1,1),0,IF($F26&lt;OFFSET($BN$9,$CN26-1,0,1,1),IF(AND($H26&gt;2.4,Z26&lt;&gt;"e",Z26&lt;&gt;"f"),DL26*2.4/$H26,DL26),IF($F26&lt;OFFSET($BN$9,$CN26+0,0,1,1),IF(AND($H26&gt;2.4,Z26&lt;&gt;"e",Z26&lt;&gt;"f"),DL26*2.4/$H26,DL26),IF($F26&lt;OFFSET($BN$9,$CN26+1,0,1,1),IF(AND($H26&gt;2.4,Z26&lt;&gt;"e",Z26&lt;&gt;"f"),DL26*2.4/$H26,DL26),IF($F26&lt;OFFSET($BN$9,$CN26+2,0,1,1),IF(AND($H26&gt;2.4,Z26&lt;&gt;"e",Z26&lt;&gt;"f"),DL26*2.4/$H26,DL26),IF($F26&lt;OFFSET($BN$9,$CN26+3,0,1,1),IF(AND($H26&gt;2.4,Z26&lt;&gt;"e",Z26&lt;&gt;"f"),DL26*2.4/$H26,DL26),0)))))*COS(RADIANS($G26)))</f>
        <v>0</v>
      </c>
      <c r="DI26" s="51">
        <f ca="1">IF(F26&lt;OFFSET($BM$9,CN26-1,0,1,1),0,IF(F26&lt;OFFSET($BN$9,CN26-1,0,1,1),((F26-OFFSET($BM$9,CN26-1,0,1,1))*OFFSET($CI$9,CN26-1,0,1,1))+OFFSET($BP$9,CN26-1,CQ26,1,1),IF(F26&lt;OFFSET($BN$9,CN26+0,0,1,1),((F26-OFFSET($BM$9,CN26+0,0,1,1))*OFFSET($CI$9,CN26+0,0,1,1))+OFFSET($BP$9,CN26+0,CQ26,1,1),IF(F26&lt;OFFSET($BN$9,CN26+1,0,1,1),((F26-OFFSET($BM$9,CN26+1,0,1,1))*OFFSET($CI$9,CN26+1,0,1,1))+OFFSET($BP$9,CN26+1,CQ26,1,1),IF(F26&lt;OFFSET($BN$9,CN26+2,0,1,1),((F26-OFFSET($BM$9,CN26+2,0,1,1))*OFFSET($CI$9,CN26+2,0,1,1))+OFFSET($BP$9,CN26+2,CQ26,1,1),IF(F26&lt;OFFSET($BN$9,CN26+3,0,1,1),((F26-OFFSET($BM$9,CN26+3,0,1,1))*OFFSET($CI$9,CN26+3,0,1,1))+OFFSET($BP$9,CN26+3,CQ26,1,1),0))))))</f>
        <v>0</v>
      </c>
      <c r="DJ26" s="51">
        <f ca="1">IF($F26&lt;OFFSET($BM$9,$CN26-1,0,1,1),0,IF($F26&lt;OFFSET($BN$9,$CN26-1,0,1,1),IF(AND($H26&gt;2.4,Z26&lt;&gt;"e",Z26&lt;&gt;"f"),DN26*2.4/$H26,DN26),IF($F26&lt;OFFSET($BN$9,$CN26+0,0,1,1),IF(AND($H26&gt;2.4,Z26&lt;&gt;"e",Z26&lt;&gt;"f"),DN26*2.4/$H26,DN26),IF($F26&lt;OFFSET($BN$9,$CN26+1,0,1,1),IF(AND($H26&gt;2.4,Z26&lt;&gt;"e",Z26&lt;&gt;"f"),DN26*2.4/$H26,DN26),IF($F26&lt;OFFSET($BN$9,$CN26+2,0,1,1),IF(AND($H26&gt;2.4,Z26&lt;&gt;"e",Z26&lt;&gt;"f"),DN26*2.4/$H26,DN26),IF($F26&lt;OFFSET($BN$9,$CN26+3,0,1,1),IF(AND($H26&gt;2.4,Z26&lt;&gt;"e",Z26&lt;&gt;"f"),DN26*2.4/$H26,DN26),0)))))*COS(RADIANS($G26)))</f>
        <v>0</v>
      </c>
      <c r="DK26" s="51"/>
      <c r="DL26" s="51">
        <f ca="1">IF(DG26&gt;$CR26,$CR26,DG26)</f>
        <v>0</v>
      </c>
      <c r="DM26" s="51"/>
      <c r="DN26" s="51">
        <f ca="1">IF(DI26&gt;$CR26,$CR26,DI26)</f>
        <v>0</v>
      </c>
      <c r="DO26" s="435">
        <f ca="1">IF(DH26&gt;$CR26,$CR26,DH26)</f>
        <v>0</v>
      </c>
      <c r="DP26" s="435">
        <f ca="1">DO26*F26</f>
        <v>0</v>
      </c>
      <c r="DQ26" s="436">
        <f ca="1">IF(DJ26&gt;$CR26,$CR26,DJ26)</f>
        <v>0</v>
      </c>
      <c r="DR26" s="437">
        <f ca="1">DQ26*F26</f>
        <v>0</v>
      </c>
      <c r="DS26" s="426">
        <f ca="1">OFFSET($CH$9,CL26-1,-15,1,1)</f>
        <v>0</v>
      </c>
      <c r="DT26" s="426">
        <f ca="1">VLOOKUP(DS26,Prodlink,2,0)</f>
        <v>0</v>
      </c>
      <c r="DU26" s="188">
        <f ca="1">IF(F26&lt;OFFSET($BM$9,DT26-1,0,1,1),0,IF(F26&lt;OFFSET($BN$9,DT26-1,0,1,1),((F26-OFFSET($BM$9,DT26-1,0,1,1))*OFFSET($CH$9,DT26-1,0,1,1))+OFFSET($BO$9,DT26-1,CQ26,1,1),IF(F26&lt;OFFSET($BN$9,DT26+0,0,1,1),((F26-OFFSET($BM$9,DT26+0,0,1,1))*OFFSET($CH$9,DT26+0,0,1,1))+OFFSET($BO$9,DT26+0,CQ26,1,1),IF(F26&lt;OFFSET($BN$9,DT26+1,0,1,1),((F26-OFFSET($BM$9,DT26+1,0,1,1))*OFFSET($CH$9,DT26+1,0,1,1))+OFFSET($BO$9,DT26+1,CQ26,1,1),IF(F26&lt;OFFSET($BN$9,DT26+2,0,1,1),((F26-OFFSET($BM$9,DT26+2,0,1,1))*OFFSET($CH$9,DT26+2,0,1,1))+OFFSET($BO$9,DT26+2,CQ26,1,1),IF(F26&lt;OFFSET($BN$9,DT26+3,0,1,1),((F26-OFFSET($BM$9,DT26+3,0,1,1))*OFFSET($CH$9,DT26+3,0,1,1))+OFFSET($BO$9,DT26+3,CQ26,1,1),0))))))</f>
        <v>0</v>
      </c>
      <c r="DV26" s="51">
        <f ca="1">IF($F26&lt;OFFSET($BM$9,$DT26-1,0,1,1),0,IF($F26&lt;OFFSET($BN$9,$DT26-1,0,1,1),IF(AND($H26&gt;2.4,Z26&lt;&gt;"e",Z26&lt;&gt;"f"),DZ26*2.4/$H26,DZ26),IF($F26&lt;OFFSET($BN$9,$DT26+0,0,1,1),IF(AND($H26&gt;2.4,Z26&lt;&gt;"e",Z26&lt;&gt;"f"),DZ26*2.4/$H26,DZ26),IF($F26&lt;OFFSET($BN$9,$DT26+1,0,1,1),IF(AND($H26&gt;2.4,Z26&lt;&gt;"e",Z26&lt;&gt;"f"),DZ26*2.4/$H26,DZ26),IF($F26&lt;OFFSET($BN$9,$DT26+2,0,1,1),IF(AND($H26&gt;2.4,Z26&lt;&gt;"e",Z26&lt;&gt;"f"),DZ26*2.4/$H26,DZ26),IF($F26&lt;OFFSET($BN$9,$DT26+3,0,1,1),IF(AND($H26&gt;2.4,Z26&lt;&gt;"e",Z26&lt;&gt;"f"),DZ26*2.4/$H26,DZ26),0)))))*COS(RADIANS($G26)))</f>
        <v>0</v>
      </c>
      <c r="DW26" s="188">
        <f ca="1">IF(F26&lt;OFFSET($BM$9,DT26-1,0,1,1),0,IF(F26&lt;OFFSET($BN$9,DT26-1,0,1,1),((F26-OFFSET($BM$9,DT26-1,0,1,1))*OFFSET($CI$9,DT26-1,0,1,1))+OFFSET($BP$9,DT26-1,CQ26,1,1),IF(F26&lt;OFFSET($BN$9,DT26+0,0,1,1),((F26-OFFSET($BM$9,DT26+0,0,1,1))*OFFSET($CI$9,DT26+0,0,1,1))+OFFSET($BP$9,DT26+0,CQ26,1,1),IF(F26&lt;OFFSET($BN$9,DT26+1,0,1,1),((F26-OFFSET($BM$9,DT26+1,0,1,1))*OFFSET($CI$9,DT26+1,0,1,1))+OFFSET($BP$9,DT26+1,CQ26,1,1),IF(F26&lt;OFFSET($BN$9,DT26+2,0,1,1),((F26-OFFSET($BM$9,DT26+2,0,1,1))*OFFSET($CI$9,DT26+2,0,1,1))+OFFSET($BP$9,DT26+2,CQ26,1,1),IF(F26&lt;OFFSET($BN$9,DT26+3,0,1,1),((F26-OFFSET($BM$9,DT26+3,0,1,1))*OFFSET($CI$9,DT26+3,0,1,1))+OFFSET($BP$9,DT26+3,CQ26,1,1),0))))))</f>
        <v>0</v>
      </c>
      <c r="DX26" s="51">
        <f ca="1">IF($F26&lt;OFFSET($BM$9,$DT26-1,0,1,1),0,IF($F26&lt;OFFSET($BN$9,$DT26-1,0,1,1),IF(AND($H26&gt;2.4,Z26&lt;&gt;"e",Z26&lt;&gt;"f"),EB26*2.4/$H26,EB26),IF($F26&lt;OFFSET($BN$9,$DT26+0,0,1,1),IF(AND($H26&gt;2.4,Z26&lt;&gt;"e",Z26&lt;&gt;"f"),EB26*2.4/$H26,EB26),IF($F26&lt;OFFSET($BN$9,$DT26+1,0,1,1),IF(AND($H26&gt;2.4,Z26&lt;&gt;"e",Z26&lt;&gt;"f"),EB26*2.4/$H26,EB26),IF($F26&lt;OFFSET($BN$9,$DT26+2,0,1,1),IF(AND($H26&gt;2.4,Z26&lt;&gt;"e",Z26&lt;&gt;"f"),EB26*2.4/$H26,EB26),IF($F26&lt;OFFSET($BN$9,$DT26+3,0,1,1),IF(AND($H26&gt;2.4,Z26&lt;&gt;"e",Z26&lt;&gt;"f"),EB26*2.4/$H26,EB26),0)))))*COS(RADIANS($G26)))</f>
        <v>0</v>
      </c>
      <c r="DY26" s="188"/>
      <c r="DZ26" s="188">
        <f ca="1">IF(DU26&gt;$CR26,$CR26,DU26)</f>
        <v>0</v>
      </c>
      <c r="EA26" s="188"/>
      <c r="EB26" s="188">
        <f ca="1">IF(DW26&gt;$CR26,$CR26,DW26)</f>
        <v>0</v>
      </c>
      <c r="EC26" s="435">
        <f ca="1">IF(DV26&gt;$CR26,$CR26,DV26)</f>
        <v>0</v>
      </c>
      <c r="ED26" s="435">
        <f ca="1">EC26*F26</f>
        <v>0</v>
      </c>
      <c r="EE26" s="436">
        <f ca="1">IF(DX26&gt;$CR26,$CR26,DX26)</f>
        <v>0</v>
      </c>
      <c r="EF26" s="437">
        <f ca="1">EE26*F26</f>
        <v>0</v>
      </c>
      <c r="EG26" s="613" t="str">
        <f>IF(D26=BG$12,BG$12,"")</f>
        <v/>
      </c>
      <c r="EH26" s="614" t="str">
        <f>IF(D26=BG$13,BG$13,"")</f>
        <v/>
      </c>
      <c r="EI26" s="611">
        <f>IF(EG26=BG$12,M26,0)</f>
        <v>0</v>
      </c>
      <c r="EJ26" s="451">
        <f>IF(EG26=BG$12,O26,0)</f>
        <v>0</v>
      </c>
      <c r="EK26" s="451">
        <f>IF(EH26=BG$13,M26,0)</f>
        <v>0</v>
      </c>
      <c r="EL26" s="612">
        <f>IF(EH26=BG$13,O26,0)</f>
        <v>0</v>
      </c>
      <c r="EM26" s="426" t="str">
        <f ca="1">IF(AND(Z26&lt;&gt;"t",Z26&lt;&gt;"f"),"",IF(AND(EN26=$BH$13,K26=$BH$12),"NotOpt",IF(K26&lt;&gt;EN26,"Error","")))</f>
        <v/>
      </c>
      <c r="EN26" s="490" t="str">
        <f>IF($BG$28=1,$BH$13,$BH$12)</f>
        <v>120 BU's</v>
      </c>
      <c r="EO26" s="426" t="str">
        <f>K26</f>
        <v xml:space="preserve"> </v>
      </c>
      <c r="ER26" s="439" t="str">
        <f ca="1">IF(H26=0," ",H26)</f>
        <v xml:space="preserve"> </v>
      </c>
      <c r="ES26" s="440" t="str">
        <f ca="1">IF(ER26&lt;&gt;" ",IF(ER26&lt;&gt;ER$7,"Changed",""),"")</f>
        <v/>
      </c>
      <c r="ET26" s="440">
        <f ca="1">IF(ER26&lt;&gt;" ",IF(ER26&lt;&gt;ER$7,1,0),0)</f>
        <v>0</v>
      </c>
      <c r="EU26" s="957" t="str">
        <f ca="1">IF(I26=" "," ",IF(F26&lt;OFFSET($BM$9,CL26-1,0,1,1),1,""))</f>
        <v xml:space="preserve"> </v>
      </c>
      <c r="EW26" s="427"/>
      <c r="EX26"/>
      <c r="EY26"/>
      <c r="EZ26"/>
      <c r="FA26"/>
      <c r="FB26"/>
      <c r="FC26"/>
      <c r="FD26"/>
      <c r="FE26"/>
      <c r="FF26"/>
      <c r="FG26"/>
      <c r="FH26"/>
      <c r="FI26"/>
      <c r="FJ26"/>
      <c r="FK26"/>
      <c r="FL26"/>
      <c r="FM26"/>
      <c r="FN26"/>
      <c r="FO26"/>
    </row>
    <row r="27" spans="2:171" ht="17.100000000000001" customHeight="1">
      <c r="B27" s="689" t="s">
        <v>246</v>
      </c>
      <c r="C27" s="684" t="str">
        <f>IF(OR(F27=0,I27="",I27=" ")," ",$V27)</f>
        <v xml:space="preserve"> </v>
      </c>
      <c r="D27" s="1361"/>
      <c r="E27" s="1360"/>
      <c r="F27" s="201"/>
      <c r="G27" s="1416"/>
      <c r="H27" s="199" t="str">
        <f ca="1">IF(OR(F27=0,Z27="E",Z27="f")," ",'Project Demand'!E$45)</f>
        <v xml:space="preserve"> </v>
      </c>
      <c r="I27" s="631" t="str">
        <f>IF($I$6&lt;&gt;$BG$8," ",AB27)</f>
        <v xml:space="preserve"> </v>
      </c>
      <c r="J27" s="44" t="str">
        <f ca="1">IF(OR(I27=" ",I27="")," ",OFFSET($BO$9,CL27-1,0-4,1,1))</f>
        <v xml:space="preserve"> </v>
      </c>
      <c r="K27" s="55" t="str">
        <f>IF(OR(I27=" ",I27="")," ",IF(OR(Z27="e",Z27="h"),"SD",BG$24))</f>
        <v xml:space="preserve"> </v>
      </c>
      <c r="L27" s="49">
        <f ca="1">CW27</f>
        <v>0</v>
      </c>
      <c r="M27" s="49">
        <f ca="1">CY27</f>
        <v>0</v>
      </c>
      <c r="N27" s="50">
        <f t="shared" ca="1" si="19"/>
        <v>0</v>
      </c>
      <c r="O27" s="126">
        <f t="shared" ca="1" si="19"/>
        <v>0</v>
      </c>
      <c r="P27" s="140"/>
      <c r="Q27" s="752" t="str">
        <f ca="1">IF(AND(OR(Z27="t",Z27="f"),K27=$BH$11),"No Floor!  Change Floor Type",IF(OR(I27=" ",I27="")," ",IF(F27&lt;OFFSET($BM$9,CL27-1,0,1,1),"check L(m)",DE27&amp;IF(AND(DP27&gt;=CY27,DR27&gt;=DB27),IF(AND(ED27&gt;=DP27,EF27&gt;=DR27),CONCATENATE(DS27," will provide same result"),CONCATENATE(CO27," will provide same result")),IF((DP27&gt;=CY27),CONCATENATE(CO27," provides same result in WIND"),IF((DR27&gt;=DB27),CONCATENATE(CO27," provides same result in EQ"),""))))))&amp;IF(ISERROR(FIND("pile",I27,1)),"",IF(INT(F27)&lt;&gt;F27,"Pile!  Use Whole Numbers Only",""))</f>
        <v xml:space="preserve"> </v>
      </c>
      <c r="R27" s="52"/>
      <c r="S27" s="1372"/>
      <c r="T27" s="1372"/>
      <c r="U27" s="1377"/>
      <c r="V27" s="52" t="str">
        <f ca="1">IF(AND(B$5=$BF$9,OR(I27=BH$16,I27=BH$17))," ",IF(ISNUMBER(B$26),(CONCATENATE(B$26,".",W27)),(CONCATENATE(B$26,W27))))</f>
        <v>D0</v>
      </c>
      <c r="W27" s="9">
        <f ca="1">W26+X27</f>
        <v>0</v>
      </c>
      <c r="X27" s="9">
        <f>IF(AND(B$5=$BF$9,OR($I27=$BH$16,$I27=$BH$17,$I27=" ",$I27="",$F27=0)),0,IF(OR($I27=" ",$I27="",$F27=0),0,1))</f>
        <v>0</v>
      </c>
      <c r="Y27" s="896"/>
      <c r="Z27" s="52" t="str">
        <f ca="1">IF(I27=" "," ",OFFSET($BM$9,$CL27-1,8,1,1))</f>
        <v xml:space="preserve"> </v>
      </c>
      <c r="AA27" s="51" t="str">
        <f>IF(G27&gt;=45,"WA","")</f>
        <v/>
      </c>
      <c r="AB27" s="1364" t="str">
        <f>IF(F27&lt;&gt;"",IF(OR(D27=$BG$12,D27=$BG$13),IF(E27&lt;&gt;$BG$17,$BF$12,$BF$13),IF(E27&lt;&gt;$BG$17,$BF$12,$BF$13))," ")</f>
        <v xml:space="preserve"> </v>
      </c>
      <c r="AC27" s="1"/>
      <c r="AJ27" s="2230"/>
      <c r="AK27" s="2779"/>
      <c r="AL27" s="2784"/>
      <c r="AM27" s="11">
        <f>'Regular and QuickBrace Systems'!F42</f>
        <v>0.8</v>
      </c>
      <c r="AN27" s="1336">
        <f>'Regular and QuickBrace Systems'!G42</f>
        <v>93</v>
      </c>
      <c r="AO27" s="26">
        <f>'Regular and QuickBrace Systems'!H42</f>
        <v>83</v>
      </c>
      <c r="AP27" s="1595"/>
      <c r="AQ27" s="2663"/>
      <c r="AR27" s="2664"/>
      <c r="AS27" s="2031"/>
      <c r="AT27" s="1339"/>
      <c r="AU27" s="2090"/>
      <c r="AW27" s="1569" t="str">
        <f>'Regular and QuickBrace Systems'!O42</f>
        <v>Yes</v>
      </c>
      <c r="AX27" s="442" t="str">
        <f>'Regular and QuickBrace Systems'!Q42</f>
        <v>No</v>
      </c>
      <c r="BD27" s="2648"/>
      <c r="BF27" s="599" t="str">
        <f>'Custom Elements'!C11</f>
        <v>Custom3</v>
      </c>
      <c r="BG27" s="965" t="s">
        <v>13</v>
      </c>
      <c r="BH27" s="964" t="s">
        <v>367</v>
      </c>
      <c r="BI27" s="759"/>
      <c r="BJ27" s="897">
        <f t="shared" si="4"/>
        <v>19</v>
      </c>
      <c r="BK27" s="769" t="str">
        <f t="shared" si="7"/>
        <v xml:space="preserve">  </v>
      </c>
      <c r="BL27" s="771" t="str">
        <f t="shared" si="8"/>
        <v>Custom16</v>
      </c>
      <c r="BM27" s="969">
        <f t="shared" si="9"/>
        <v>9.9999999999999996E-76</v>
      </c>
      <c r="BN27" s="455">
        <v>999</v>
      </c>
      <c r="BO27" s="455">
        <f t="shared" si="10"/>
        <v>0</v>
      </c>
      <c r="BP27" s="925">
        <f t="shared" si="11"/>
        <v>0</v>
      </c>
      <c r="BR27" s="764"/>
      <c r="BS27" s="455"/>
      <c r="BT27" s="455" t="str">
        <f t="shared" si="12"/>
        <v>B</v>
      </c>
      <c r="BU27" s="925" t="str">
        <f t="shared" si="13"/>
        <v>T</v>
      </c>
      <c r="BV27" s="1239" t="str">
        <f t="shared" si="14"/>
        <v>Custom16</v>
      </c>
      <c r="BW27" s="1236">
        <f t="shared" si="17"/>
        <v>19</v>
      </c>
      <c r="BX27" s="925" t="str">
        <f t="shared" si="15"/>
        <v>Single</v>
      </c>
      <c r="CH27" s="764">
        <f t="shared" si="5"/>
        <v>0</v>
      </c>
      <c r="CI27" s="925">
        <f t="shared" si="6"/>
        <v>0</v>
      </c>
      <c r="CJ27" s="759"/>
      <c r="CK27" s="188"/>
      <c r="CL27" s="979">
        <f>VLOOKUP(I27,Prodlink,2,0)</f>
        <v>0</v>
      </c>
      <c r="CN27" s="497">
        <f t="shared" ca="1" si="1"/>
        <v>0</v>
      </c>
      <c r="CO27" s="497">
        <f ca="1">OFFSET($CH$9,CL27-1,-15,1,1)</f>
        <v>0</v>
      </c>
      <c r="CQ27" s="51">
        <v>0</v>
      </c>
      <c r="CR27" s="51">
        <f>IF(K27=$BH$12,$BH$23,IF(K27=$BH$13,$BH$24,10000))</f>
        <v>10000</v>
      </c>
      <c r="CS27" s="51">
        <f ca="1">IF(F27&lt;OFFSET($BM$9,CL27-1,0,1,1),0,IF(F27&lt;OFFSET($BN$9,CL27-1,0,1,1),((F27-OFFSET($BM$9,CL27-1,0,1,1))*OFFSET($CH$9,CL27-1,0,1,1))+OFFSET($BO$9,CL27-1,CQ27,1,1),IF(F27&lt;OFFSET($BN$9,CL27+0,0,1,1),((F27-OFFSET($BM$9,CL27+0,0,1,1))*OFFSET($CH$9,CL27+0,0,1,1))+OFFSET($BO$9,CL27+0,CQ27,1,1),IF(F27&lt;OFFSET($BN$9,CL27+1,0,1,1),((F27-OFFSET($BM$9,CL27+1,0,1,1))*OFFSET($CH$9,CL27+1,0,1,1))+OFFSET($BO$9,CL27+1,CQ27,1,1),IF(F27&lt;OFFSET($BN$9,CL27+2,0,1,1),((F27-OFFSET($BM$9,CL27+2,0,1,1))*OFFSET($CH$9,CL27+2,0,1,1))+OFFSET($BO$9,CL27+2,CQ27,1,1),IF(F27&lt;OFFSET($BN$9,CL27+3,0,1,1),((F27-OFFSET($BM$9,CL27+3,0,1,1))*OFFSET($CH$9,CL27+3,0,1,1))+OFFSET($BO$9,CL27+3,CQ27,1,1),0))))))</f>
        <v>0</v>
      </c>
      <c r="CT27" s="51">
        <f ca="1">IF($F27&lt;OFFSET($BM$9,$CL27-1,0,1,1),0,IF($F27&lt;OFFSET($BN$9,$CL27-1,0,1,1),IF(AND($H27&gt;2.4,Z27&lt;&gt;"e",Z27&lt;&gt;"f"),CX27*2.4/$H27,CX27),IF($F27&lt;OFFSET($BN$9,$CL27+0,0,1,1),IF(AND($H27&gt;2.4,Z27&lt;&gt;"e",Z27&lt;&gt;"f"),CX27*2.4/$H27,CX27),IF($F27&lt;OFFSET($BN$9,$CL27+1,0,1,1),IF(AND($H27&gt;2.4,Z27&lt;&gt;"e",Z27&lt;&gt;"f"),CX27*2.4/$H27,CX27),IF($F27&lt;OFFSET($BN$9,CL27+2,0,1,1),IF(AND($H27&gt;2.4,Z27&lt;&gt;"e",Z27&lt;&gt;"f"),CX27*2.4/$H27,CX27),IF($F27&lt;OFFSET($BN$9,CL27+3,0,1,1),IF(AND($H27&gt;2.4,Z27&lt;&gt;"e",Z27&lt;&gt;"f"),CX27*2.4/$H27,CX27),0)))))*COS(RADIANS($G27)))</f>
        <v>0</v>
      </c>
      <c r="CU27" s="51">
        <f ca="1">IF(F27&lt;OFFSET($BM$9,CL27-1,0,1,1),0,IF(F27&lt;OFFSET($BN$9,CL27-1,0,1,1),((F27-OFFSET($BM$9,CL27-1,0,1,1))*OFFSET($CI$9,CL27-1,0,1,1))+OFFSET($BP$9,CL27-1,CQ27,1,1),IF(F27&lt;OFFSET($BN$9,CL27+0,0,1,1),((F27-OFFSET($BM$9,CL27+0,0,1,1))*OFFSET($CI$9,CL27+0,0,1,1))+OFFSET($BP$9,CL27+0,CQ27,1,1),IF(F27&lt;OFFSET($BN$9,CL27+1,0,1,1),((F27-OFFSET($BM$9,CL27+1,0,1,1))*OFFSET($CI$9,CL27+1,0,1,1))+OFFSET($BP$9,CL27+1,CQ27,1,1),IF(F27&lt;OFFSET($BN$9,CL27+2,0,1,1),((F27-OFFSET($BM$9,CL27+2,0,1,1))*OFFSET($CI$9,CL27+2,0,1,1))+OFFSET($BP$9,CL27+2,CQ27,1,1),IF(F27&lt;OFFSET($BN$9,CL27+3,0,1,1),((F27-OFFSET($BM$9,CL27+3,0,1,1))*OFFSET($CI$9,CL27+3,0,1,1))+OFFSET($BP$9,CL27+3,CQ27,1,1),0))))))</f>
        <v>0</v>
      </c>
      <c r="CV27" s="51">
        <f ca="1">IF($F27&lt;OFFSET($BM$9,$CL27-1,0,1,1),0,IF($F27&lt;OFFSET($BN$9,$CL27-1,0,1,1),IF(AND($H27&gt;2.4,Z27&lt;&gt;"e",Z27&lt;&gt;"f"),CZ27*2.4/$H27,CZ27),IF($F27&lt;OFFSET($BN$9,$CL27+0,0,1,1),IF(AND($H27&gt;2.4,Z27&lt;&gt;"e",Z27&lt;&gt;"f"),CZ27*2.4/$H27,CZ27),IF($F27&lt;OFFSET($BN$9,$CL27+1,0,1,1),IF(AND($H27&gt;2.4,Z27&lt;&gt;"e",Z27&lt;&gt;"f"),CZ27*2.4/$H27,CZ27),IF($F27&lt;OFFSET($BN$9,$CL27+2,0,1,1),IF(AND($H27&gt;2.4,Z27&lt;&gt;"e",Z27&lt;&gt;"f"),CZ27*2.4/$H27,CZ27),IF($F27&lt;OFFSET($BN$9,$CL27+3,0,1,1),IF(AND($H27&gt;2.4,Z27&lt;&gt;"e",Z27&lt;&gt;"f"),CZ27*2.4/$H27,CZ27),0)))))*COS(RADIANS($G27)))</f>
        <v>0</v>
      </c>
      <c r="CW27" s="51">
        <f ca="1">IF(CT27&gt;CR27,CR27,CT27)</f>
        <v>0</v>
      </c>
      <c r="CX27" s="51">
        <f ca="1">IF(CS27&gt;$CR27,$CR27,CS27)</f>
        <v>0</v>
      </c>
      <c r="CY27" s="51">
        <f ca="1">CW27*F27</f>
        <v>0</v>
      </c>
      <c r="CZ27" s="51">
        <f ca="1">IF($CU27&gt;$CR27,$CR27,$CU27)</f>
        <v>0</v>
      </c>
      <c r="DA27" s="51">
        <f ca="1">IF(CV27&gt;CR27,CR27,CV27)</f>
        <v>0</v>
      </c>
      <c r="DB27" s="51">
        <f ca="1">DA27*F27</f>
        <v>0</v>
      </c>
      <c r="DC27" s="993">
        <v>1</v>
      </c>
      <c r="DD27" s="758" t="str">
        <f>IF(OR(D27=BG$12,D27=BG$13),"External",IF(D27=BG$14,"Internal"," "))</f>
        <v xml:space="preserve"> </v>
      </c>
      <c r="DE27" s="51" t="str">
        <f t="shared" ca="1" si="2"/>
        <v/>
      </c>
      <c r="DF27" s="52" t="str">
        <f t="shared" ca="1" si="3"/>
        <v xml:space="preserve"> </v>
      </c>
      <c r="DG27" s="51">
        <f ca="1">IF(F27&lt;OFFSET($BM$9,CN27-1,0,1,1),0,IF(F27&lt;OFFSET($BN$9,CN27-1,0,1,1),((F27-OFFSET($BM$9,CN27-1,0,1,1))*OFFSET($CH$9,CN27-1,0,1,1))+OFFSET($BO$9,CN27-1,CQ27,1,1),IF(F27&lt;OFFSET($BN$9,CN27+0,0,1,1),((F27-OFFSET($BM$9,CN27+0,0,1,1))*OFFSET($CH$9,CN27+0,0,1,1))+OFFSET($BO$9,CN27+0,CQ27,1,1),IF(F27&lt;OFFSET($BN$9,CN27+1,0,1,1),((F27-OFFSET($BM$9,CN27+1,0,1,1))*OFFSET($CH$9,CN27+1,0,1,1))+OFFSET($BO$9,CN27+1,CQ27,1,1),IF(F27&lt;OFFSET($BN$9,CN27+2,0,1,1),((F27-OFFSET($BM$9,CN27+2,0,1,1))*OFFSET($CH$9,CN27+2,0,1,1))+OFFSET($BO$9,CN27+2,CQ27,1,1),IF(F27&lt;OFFSET($BN$9,CN27+3,0,1,1),((F27-OFFSET($BM$9,CN27+3,0,1,1))*OFFSET($CH$9,CN27+3,0,1,1))+OFFSET($BO$9,CN27+3,CQ27,1,1),0))))))</f>
        <v>0</v>
      </c>
      <c r="DH27" s="51">
        <f ca="1">IF($F27&lt;OFFSET($BM$9,$CN27-1,0,1,1),0,IF($F27&lt;OFFSET($BN$9,$CN27-1,0,1,1),IF(AND($H27&gt;2.4,Z27&lt;&gt;"e",Z27&lt;&gt;"f"),DL27*2.4/$H27,DL27),IF($F27&lt;OFFSET($BN$9,$CN27+0,0,1,1),IF(AND($H27&gt;2.4,Z27&lt;&gt;"e",Z27&lt;&gt;"f"),DL27*2.4/$H27,DL27),IF($F27&lt;OFFSET($BN$9,$CN27+1,0,1,1),IF(AND($H27&gt;2.4,Z27&lt;&gt;"e",Z27&lt;&gt;"f"),DL27*2.4/$H27,DL27),IF($F27&lt;OFFSET($BN$9,$CN27+2,0,1,1),IF(AND($H27&gt;2.4,Z27&lt;&gt;"e",Z27&lt;&gt;"f"),DL27*2.4/$H27,DL27),IF($F27&lt;OFFSET($BN$9,$CN27+3,0,1,1),IF(AND($H27&gt;2.4,Z27&lt;&gt;"e",Z27&lt;&gt;"f"),DL27*2.4/$H27,DL27),0)))))*COS(RADIANS($G27)))</f>
        <v>0</v>
      </c>
      <c r="DI27" s="51">
        <f ca="1">IF(F27&lt;OFFSET($BM$9,CN27-1,0,1,1),0,IF(F27&lt;OFFSET($BN$9,CN27-1,0,1,1),((F27-OFFSET($BM$9,CN27-1,0,1,1))*OFFSET($CI$9,CN27-1,0,1,1))+OFFSET($BP$9,CN27-1,CQ27,1,1),IF(F27&lt;OFFSET($BN$9,CN27+0,0,1,1),((F27-OFFSET($BM$9,CN27+0,0,1,1))*OFFSET($CI$9,CN27+0,0,1,1))+OFFSET($BP$9,CN27+0,CQ27,1,1),IF(F27&lt;OFFSET($BN$9,CN27+1,0,1,1),((F27-OFFSET($BM$9,CN27+1,0,1,1))*OFFSET($CI$9,CN27+1,0,1,1))+OFFSET($BP$9,CN27+1,CQ27,1,1),IF(F27&lt;OFFSET($BN$9,CN27+2,0,1,1),((F27-OFFSET($BM$9,CN27+2,0,1,1))*OFFSET($CI$9,CN27+2,0,1,1))+OFFSET($BP$9,CN27+2,CQ27,1,1),IF(F27&lt;OFFSET($BN$9,CN27+3,0,1,1),((F27-OFFSET($BM$9,CN27+3,0,1,1))*OFFSET($CI$9,CN27+3,0,1,1))+OFFSET($BP$9,CN27+3,CQ27,1,1),0))))))</f>
        <v>0</v>
      </c>
      <c r="DJ27" s="51">
        <f ca="1">IF($F27&lt;OFFSET($BM$9,$CN27-1,0,1,1),0,IF($F27&lt;OFFSET($BN$9,$CN27-1,0,1,1),IF(AND($H27&gt;2.4,Z27&lt;&gt;"e",Z27&lt;&gt;"f"),DN27*2.4/$H27,DN27),IF($F27&lt;OFFSET($BN$9,$CN27+0,0,1,1),IF(AND($H27&gt;2.4,Z27&lt;&gt;"e",Z27&lt;&gt;"f"),DN27*2.4/$H27,DN27),IF($F27&lt;OFFSET($BN$9,$CN27+1,0,1,1),IF(AND($H27&gt;2.4,Z27&lt;&gt;"e",Z27&lt;&gt;"f"),DN27*2.4/$H27,DN27),IF($F27&lt;OFFSET($BN$9,$CN27+2,0,1,1),IF(AND($H27&gt;2.4,Z27&lt;&gt;"e",Z27&lt;&gt;"f"),DN27*2.4/$H27,DN27),IF($F27&lt;OFFSET($BN$9,$CN27+3,0,1,1),IF(AND($H27&gt;2.4,Z27&lt;&gt;"e",Z27&lt;&gt;"f"),DN27*2.4/$H27,DN27),0)))))*COS(RADIANS($G27)))</f>
        <v>0</v>
      </c>
      <c r="DK27" s="51"/>
      <c r="DL27" s="51">
        <f ca="1">IF(DG27&gt;$CR27,$CR27,DG27)</f>
        <v>0</v>
      </c>
      <c r="DM27" s="51"/>
      <c r="DN27" s="51">
        <f ca="1">IF(DI27&gt;$CR27,$CR27,DI27)</f>
        <v>0</v>
      </c>
      <c r="DO27" s="435">
        <f ca="1">IF(DH27&gt;$CR27,$CR27,DH27)</f>
        <v>0</v>
      </c>
      <c r="DP27" s="435">
        <f ca="1">DO27*F27</f>
        <v>0</v>
      </c>
      <c r="DQ27" s="436">
        <f ca="1">IF(DJ27&gt;$CR27,$CR27,DJ27)</f>
        <v>0</v>
      </c>
      <c r="DR27" s="437">
        <f ca="1">DQ27*F27</f>
        <v>0</v>
      </c>
      <c r="DS27" s="426">
        <f ca="1">OFFSET($CH$9,CL27-1,-15,1,1)</f>
        <v>0</v>
      </c>
      <c r="DT27" s="426">
        <f ca="1">VLOOKUP(DS27,Prodlink,2,0)</f>
        <v>0</v>
      </c>
      <c r="DU27" s="188">
        <f ca="1">IF(F27&lt;OFFSET($BM$9,DT27-1,0,1,1),0,IF(F27&lt;OFFSET($BN$9,DT27-1,0,1,1),((F27-OFFSET($BM$9,DT27-1,0,1,1))*OFFSET($CH$9,DT27-1,0,1,1))+OFFSET($BO$9,DT27-1,CQ27,1,1),IF(F27&lt;OFFSET($BN$9,DT27+0,0,1,1),((F27-OFFSET($BM$9,DT27+0,0,1,1))*OFFSET($CH$9,DT27+0,0,1,1))+OFFSET($BO$9,DT27+0,CQ27,1,1),IF(F27&lt;OFFSET($BN$9,DT27+1,0,1,1),((F27-OFFSET($BM$9,DT27+1,0,1,1))*OFFSET($CH$9,DT27+1,0,1,1))+OFFSET($BO$9,DT27+1,CQ27,1,1),IF(F27&lt;OFFSET($BN$9,DT27+2,0,1,1),((F27-OFFSET($BM$9,DT27+2,0,1,1))*OFFSET($CH$9,DT27+2,0,1,1))+OFFSET($BO$9,DT27+2,CQ27,1,1),IF(F27&lt;OFFSET($BN$9,DT27+3,0,1,1),((F27-OFFSET($BM$9,DT27+3,0,1,1))*OFFSET($CH$9,DT27+3,0,1,1))+OFFSET($BO$9,DT27+3,CQ27,1,1),0))))))</f>
        <v>0</v>
      </c>
      <c r="DV27" s="51">
        <f ca="1">IF($F27&lt;OFFSET($BM$9,$DT27-1,0,1,1),0,IF($F27&lt;OFFSET($BN$9,$DT27-1,0,1,1),IF(AND($H27&gt;2.4,Z27&lt;&gt;"e",Z27&lt;&gt;"f"),DZ27*2.4/$H27,DZ27),IF($F27&lt;OFFSET($BN$9,$DT27+0,0,1,1),IF(AND($H27&gt;2.4,Z27&lt;&gt;"e",Z27&lt;&gt;"f"),DZ27*2.4/$H27,DZ27),IF($F27&lt;OFFSET($BN$9,$DT27+1,0,1,1),IF(AND($H27&gt;2.4,Z27&lt;&gt;"e",Z27&lt;&gt;"f"),DZ27*2.4/$H27,DZ27),IF($F27&lt;OFFSET($BN$9,$DT27+2,0,1,1),IF(AND($H27&gt;2.4,Z27&lt;&gt;"e",Z27&lt;&gt;"f"),DZ27*2.4/$H27,DZ27),IF($F27&lt;OFFSET($BN$9,$DT27+3,0,1,1),IF(AND($H27&gt;2.4,Z27&lt;&gt;"e",Z27&lt;&gt;"f"),DZ27*2.4/$H27,DZ27),0)))))*COS(RADIANS($G27)))</f>
        <v>0</v>
      </c>
      <c r="DW27" s="188">
        <f ca="1">IF(F27&lt;OFFSET($BM$9,DT27-1,0,1,1),0,IF(F27&lt;OFFSET($BN$9,DT27-1,0,1,1),((F27-OFFSET($BM$9,DT27-1,0,1,1))*OFFSET($CI$9,DT27-1,0,1,1))+OFFSET($BP$9,DT27-1,CQ27,1,1),IF(F27&lt;OFFSET($BN$9,DT27+0,0,1,1),((F27-OFFSET($BM$9,DT27+0,0,1,1))*OFFSET($CI$9,DT27+0,0,1,1))+OFFSET($BP$9,DT27+0,CQ27,1,1),IF(F27&lt;OFFSET($BN$9,DT27+1,0,1,1),((F27-OFFSET($BM$9,DT27+1,0,1,1))*OFFSET($CI$9,DT27+1,0,1,1))+OFFSET($BP$9,DT27+1,CQ27,1,1),IF(F27&lt;OFFSET($BN$9,DT27+2,0,1,1),((F27-OFFSET($BM$9,DT27+2,0,1,1))*OFFSET($CI$9,DT27+2,0,1,1))+OFFSET($BP$9,DT27+2,CQ27,1,1),IF(F27&lt;OFFSET($BN$9,DT27+3,0,1,1),((F27-OFFSET($BM$9,DT27+3,0,1,1))*OFFSET($CI$9,DT27+3,0,1,1))+OFFSET($BP$9,DT27+3,CQ27,1,1),0))))))</f>
        <v>0</v>
      </c>
      <c r="DX27" s="51">
        <f ca="1">IF($F27&lt;OFFSET($BM$9,$DT27-1,0,1,1),0,IF($F27&lt;OFFSET($BN$9,$DT27-1,0,1,1),IF(AND($H27&gt;2.4,Z27&lt;&gt;"e",Z27&lt;&gt;"f"),EB27*2.4/$H27,EB27),IF($F27&lt;OFFSET($BN$9,$DT27+0,0,1,1),IF(AND($H27&gt;2.4,Z27&lt;&gt;"e",Z27&lt;&gt;"f"),EB27*2.4/$H27,EB27),IF($F27&lt;OFFSET($BN$9,$DT27+1,0,1,1),IF(AND($H27&gt;2.4,Z27&lt;&gt;"e",Z27&lt;&gt;"f"),EB27*2.4/$H27,EB27),IF($F27&lt;OFFSET($BN$9,$DT27+2,0,1,1),IF(AND($H27&gt;2.4,Z27&lt;&gt;"e",Z27&lt;&gt;"f"),EB27*2.4/$H27,EB27),IF($F27&lt;OFFSET($BN$9,$DT27+3,0,1,1),IF(AND($H27&gt;2.4,Z27&lt;&gt;"e",Z27&lt;&gt;"f"),EB27*2.4/$H27,EB27),0)))))*COS(RADIANS($G27)))</f>
        <v>0</v>
      </c>
      <c r="DY27" s="188"/>
      <c r="DZ27" s="188">
        <f ca="1">IF(DU27&gt;$CR27,$CR27,DU27)</f>
        <v>0</v>
      </c>
      <c r="EA27" s="188"/>
      <c r="EB27" s="188">
        <f ca="1">IF(DW27&gt;$CR27,$CR27,DW27)</f>
        <v>0</v>
      </c>
      <c r="EC27" s="435">
        <f ca="1">IF(DV27&gt;$CR27,$CR27,DV27)</f>
        <v>0</v>
      </c>
      <c r="ED27" s="435">
        <f ca="1">EC27*F27</f>
        <v>0</v>
      </c>
      <c r="EE27" s="436">
        <f ca="1">IF(DX27&gt;$CR27,$CR27,DX27)</f>
        <v>0</v>
      </c>
      <c r="EF27" s="437">
        <f ca="1">EE27*F27</f>
        <v>0</v>
      </c>
      <c r="EG27" s="613" t="str">
        <f>IF(D27=BG$12,BG$12,"")</f>
        <v/>
      </c>
      <c r="EH27" s="614" t="str">
        <f>IF(D27=BG$13,BG$13,"")</f>
        <v/>
      </c>
      <c r="EI27" s="611">
        <f>IF(EG27=BG$12,M27,0)</f>
        <v>0</v>
      </c>
      <c r="EJ27" s="451">
        <f>IF(EG27=BG$12,O27,0)</f>
        <v>0</v>
      </c>
      <c r="EK27" s="451">
        <f>IF(EH27=BG$13,M27,0)</f>
        <v>0</v>
      </c>
      <c r="EL27" s="612">
        <f>IF(EH27=BG$13,O27,0)</f>
        <v>0</v>
      </c>
      <c r="EM27" s="426" t="str">
        <f ca="1">IF(AND(Z27&lt;&gt;"t",Z27&lt;&gt;"f"),"",IF(AND(EN27=$BH$13,K27=$BH$12),"NotOpt",IF(K27&lt;&gt;EN27,"Error","")))</f>
        <v/>
      </c>
      <c r="EN27" s="490" t="str">
        <f>IF($BG$28=1,$BH$13,$BH$12)</f>
        <v>120 BU's</v>
      </c>
      <c r="EO27" s="426" t="str">
        <f>K27</f>
        <v xml:space="preserve"> </v>
      </c>
      <c r="ER27" s="439" t="str">
        <f ca="1">IF(H27=0," ",H27)</f>
        <v xml:space="preserve"> </v>
      </c>
      <c r="ES27" s="440" t="str">
        <f ca="1">IF(ER27&lt;&gt;" ",IF(ER27&lt;&gt;ER$7,"Changed",""),"")</f>
        <v/>
      </c>
      <c r="ET27" s="440">
        <f ca="1">IF(ER27&lt;&gt;" ",IF(ER27&lt;&gt;ER$7,1,0),0)</f>
        <v>0</v>
      </c>
      <c r="EU27" s="957" t="str">
        <f ca="1">IF(I27=" "," ",IF(F27&lt;OFFSET($BM$9,CL27-1,0,1,1),1,""))</f>
        <v xml:space="preserve"> </v>
      </c>
      <c r="EW27" s="427"/>
      <c r="EX27"/>
      <c r="EY27"/>
      <c r="EZ27"/>
      <c r="FA27"/>
      <c r="FB27"/>
      <c r="FC27"/>
      <c r="FD27"/>
      <c r="FE27"/>
      <c r="FF27"/>
      <c r="FG27"/>
      <c r="FH27"/>
      <c r="FI27"/>
      <c r="FJ27"/>
      <c r="FK27"/>
      <c r="FL27"/>
      <c r="FM27"/>
      <c r="FN27"/>
      <c r="FO27"/>
    </row>
    <row r="28" spans="2:171" ht="17.100000000000001" customHeight="1" thickBot="1">
      <c r="B28" s="689" t="s">
        <v>246</v>
      </c>
      <c r="C28" s="684" t="str">
        <f>IF(OR(F28=0,I28="",I28=" ")," ",$V28)</f>
        <v xml:space="preserve"> </v>
      </c>
      <c r="D28" s="1361"/>
      <c r="E28" s="1360"/>
      <c r="F28" s="201"/>
      <c r="G28" s="1416"/>
      <c r="H28" s="199" t="str">
        <f ca="1">IF(OR(F28=0,Z28="E",Z28="f")," ",'Project Demand'!E$45)</f>
        <v xml:space="preserve"> </v>
      </c>
      <c r="I28" s="631" t="str">
        <f>IF($I$6&lt;&gt;$BG$8," ",AB28)</f>
        <v xml:space="preserve"> </v>
      </c>
      <c r="J28" s="44" t="str">
        <f ca="1">IF(OR(I28=" ",I28="")," ",OFFSET($BO$9,CL28-1,0-4,1,1))</f>
        <v xml:space="preserve"> </v>
      </c>
      <c r="K28" s="55" t="str">
        <f>IF(OR(I28=" ",I28="")," ",IF(OR(Z28="e",Z28="h"),"SD",BG$24))</f>
        <v xml:space="preserve"> </v>
      </c>
      <c r="L28" s="49">
        <f ca="1">CW28</f>
        <v>0</v>
      </c>
      <c r="M28" s="49">
        <f ca="1">CY28</f>
        <v>0</v>
      </c>
      <c r="N28" s="50">
        <f t="shared" ca="1" si="19"/>
        <v>0</v>
      </c>
      <c r="O28" s="126">
        <f t="shared" ca="1" si="19"/>
        <v>0</v>
      </c>
      <c r="P28" s="140"/>
      <c r="Q28" s="752" t="str">
        <f ca="1">IF(AND(OR(Z28="t",Z28="f"),K28=$BH$11),"No Floor!  Change Floor Type",IF(OR(I28=" ",I28="")," ",IF(F28&lt;OFFSET($BM$9,CL28-1,0,1,1),"check L(m)",DE28&amp;IF(AND(DP28&gt;=CY28,DR28&gt;=DB28),IF(AND(ED28&gt;=DP28,EF28&gt;=DR28),CONCATENATE(DS28," will provide same result"),CONCATENATE(CO28," will provide same result")),IF((DP28&gt;=CY28),CONCATENATE(CO28," provides same result in WIND"),IF((DR28&gt;=DB28),CONCATENATE(CO28," provides same result in EQ"),""))))))&amp;IF(ISERROR(FIND("pile",I28,1)),"",IF(INT(F28)&lt;&gt;F28,"Pile!  Use Whole Numbers Only",""))</f>
        <v xml:space="preserve"> </v>
      </c>
      <c r="R28" s="52"/>
      <c r="S28" s="1372"/>
      <c r="T28" s="1372"/>
      <c r="U28" s="1377"/>
      <c r="V28" s="52" t="str">
        <f ca="1">IF(AND(B$5=$BF$9,OR(I28=BH$16,I28=BH$17))," ",IF(ISNUMBER(B$26),(CONCATENATE(B$26,".",W28)),(CONCATENATE(B$26,W28))))</f>
        <v>D0</v>
      </c>
      <c r="W28" s="9">
        <f ca="1">W27+X28</f>
        <v>0</v>
      </c>
      <c r="X28" s="9">
        <f>IF(AND(B$5=$BF$9,OR($I28=$BH$16,$I28=$BH$17,$I28=" ",$I28="",$F28=0)),0,IF(OR($I28=" ",$I28="",$F28=0),0,1))</f>
        <v>0</v>
      </c>
      <c r="Y28" s="896"/>
      <c r="Z28" s="52" t="str">
        <f ca="1">IF(I28=" "," ",OFFSET($BM$9,$CL28-1,8,1,1))</f>
        <v xml:space="preserve"> </v>
      </c>
      <c r="AA28" s="51" t="str">
        <f>IF(G28&gt;=45,"WA","")</f>
        <v/>
      </c>
      <c r="AB28" s="1364" t="str">
        <f>IF(F28&lt;&gt;"",IF(OR(D28=$BG$12,D28=$BG$13),IF(E28&lt;&gt;$BG$17,$BF$12,$BF$13),IF(E28&lt;&gt;$BG$17,$BF$12,$BF$13))," ")</f>
        <v xml:space="preserve"> </v>
      </c>
      <c r="AC28" s="1"/>
      <c r="AJ28" s="2230"/>
      <c r="AK28" s="2779"/>
      <c r="AL28" s="2785"/>
      <c r="AM28" s="1177">
        <f>'Regular and QuickBrace Systems'!F43</f>
        <v>1.2</v>
      </c>
      <c r="AN28" s="1274">
        <f>'Regular and QuickBrace Systems'!G43</f>
        <v>98</v>
      </c>
      <c r="AO28" s="1275">
        <f>'Regular and QuickBrace Systems'!H43</f>
        <v>88</v>
      </c>
      <c r="AP28" s="1277"/>
      <c r="AQ28" s="2665"/>
      <c r="AR28" s="2666"/>
      <c r="AS28" s="2032"/>
      <c r="AT28" s="1339"/>
      <c r="AU28" s="2132"/>
      <c r="AW28" s="1570" t="str">
        <f>'Regular and QuickBrace Systems'!O43</f>
        <v>Yes</v>
      </c>
      <c r="AX28" s="1574" t="str">
        <f>'Regular and QuickBrace Systems'!Q43</f>
        <v>No</v>
      </c>
      <c r="BD28" s="635"/>
      <c r="BF28" s="599" t="str">
        <f>'Custom Elements'!C12</f>
        <v>Custom4</v>
      </c>
      <c r="BG28" s="962">
        <f>'Project Demand'!AQ9</f>
        <v>2</v>
      </c>
      <c r="BH28" s="963">
        <f>'Project Demand'!AQ6</f>
        <v>2</v>
      </c>
      <c r="BI28" s="759"/>
      <c r="BJ28" s="897">
        <f t="shared" si="4"/>
        <v>20</v>
      </c>
      <c r="BK28" s="769" t="str">
        <f t="shared" si="7"/>
        <v xml:space="preserve">  </v>
      </c>
      <c r="BL28" s="960" t="str">
        <f t="shared" si="8"/>
        <v>Custom17</v>
      </c>
      <c r="BM28" s="455">
        <f t="shared" si="9"/>
        <v>9.9999999999999996E-76</v>
      </c>
      <c r="BN28" s="455">
        <v>999</v>
      </c>
      <c r="BO28" s="455">
        <f t="shared" si="10"/>
        <v>0</v>
      </c>
      <c r="BP28" s="925">
        <f t="shared" si="11"/>
        <v>0</v>
      </c>
      <c r="BR28" s="764"/>
      <c r="BS28" s="455"/>
      <c r="BT28" s="455" t="str">
        <f t="shared" si="12"/>
        <v>B</v>
      </c>
      <c r="BU28" s="925" t="str">
        <f t="shared" si="13"/>
        <v>T</v>
      </c>
      <c r="BV28" s="1239" t="str">
        <f t="shared" si="14"/>
        <v>Custom17</v>
      </c>
      <c r="BW28" s="1236">
        <f t="shared" si="17"/>
        <v>20</v>
      </c>
      <c r="BX28" s="925" t="str">
        <f t="shared" si="15"/>
        <v>Single</v>
      </c>
      <c r="CH28" s="764">
        <f t="shared" si="5"/>
        <v>0</v>
      </c>
      <c r="CI28" s="925">
        <f t="shared" si="6"/>
        <v>0</v>
      </c>
      <c r="CJ28" s="759"/>
      <c r="CK28" s="188"/>
      <c r="CL28" s="979">
        <f>VLOOKUP(I28,Prodlink,2,0)</f>
        <v>0</v>
      </c>
      <c r="CN28" s="497">
        <f t="shared" ca="1" si="1"/>
        <v>0</v>
      </c>
      <c r="CO28" s="497">
        <f ca="1">OFFSET($CH$9,CL28-1,-15,1,1)</f>
        <v>0</v>
      </c>
      <c r="CQ28" s="51">
        <v>0</v>
      </c>
      <c r="CR28" s="51">
        <f>IF(K28=$BH$12,$BH$23,IF(K28=$BH$13,$BH$24,10000))</f>
        <v>10000</v>
      </c>
      <c r="CS28" s="51">
        <f ca="1">IF(F28&lt;OFFSET($BM$9,CL28-1,0,1,1),0,IF(F28&lt;OFFSET($BN$9,CL28-1,0,1,1),((F28-OFFSET($BM$9,CL28-1,0,1,1))*OFFSET($CH$9,CL28-1,0,1,1))+OFFSET($BO$9,CL28-1,CQ28,1,1),IF(F28&lt;OFFSET($BN$9,CL28+0,0,1,1),((F28-OFFSET($BM$9,CL28+0,0,1,1))*OFFSET($CH$9,CL28+0,0,1,1))+OFFSET($BO$9,CL28+0,CQ28,1,1),IF(F28&lt;OFFSET($BN$9,CL28+1,0,1,1),((F28-OFFSET($BM$9,CL28+1,0,1,1))*OFFSET($CH$9,CL28+1,0,1,1))+OFFSET($BO$9,CL28+1,CQ28,1,1),IF(F28&lt;OFFSET($BN$9,CL28+2,0,1,1),((F28-OFFSET($BM$9,CL28+2,0,1,1))*OFFSET($CH$9,CL28+2,0,1,1))+OFFSET($BO$9,CL28+2,CQ28,1,1),IF(F28&lt;OFFSET($BN$9,CL28+3,0,1,1),((F28-OFFSET($BM$9,CL28+3,0,1,1))*OFFSET($CH$9,CL28+3,0,1,1))+OFFSET($BO$9,CL28+3,CQ28,1,1),0))))))</f>
        <v>0</v>
      </c>
      <c r="CT28" s="51">
        <f ca="1">IF($F28&lt;OFFSET($BM$9,$CL28-1,0,1,1),0,IF($F28&lt;OFFSET($BN$9,$CL28-1,0,1,1),IF(AND($H28&gt;2.4,Z28&lt;&gt;"e",Z28&lt;&gt;"f"),CX28*2.4/$H28,CX28),IF($F28&lt;OFFSET($BN$9,$CL28+0,0,1,1),IF(AND($H28&gt;2.4,Z28&lt;&gt;"e",Z28&lt;&gt;"f"),CX28*2.4/$H28,CX28),IF($F28&lt;OFFSET($BN$9,$CL28+1,0,1,1),IF(AND($H28&gt;2.4,Z28&lt;&gt;"e",Z28&lt;&gt;"f"),CX28*2.4/$H28,CX28),IF($F28&lt;OFFSET($BN$9,CL28+2,0,1,1),IF(AND($H28&gt;2.4,Z28&lt;&gt;"e",Z28&lt;&gt;"f"),CX28*2.4/$H28,CX28),IF($F28&lt;OFFSET($BN$9,CL28+3,0,1,1),IF(AND($H28&gt;2.4,Z28&lt;&gt;"e",Z28&lt;&gt;"f"),CX28*2.4/$H28,CX28),0)))))*COS(RADIANS($G28)))</f>
        <v>0</v>
      </c>
      <c r="CU28" s="51">
        <f ca="1">IF(F28&lt;OFFSET($BM$9,CL28-1,0,1,1),0,IF(F28&lt;OFFSET($BN$9,CL28-1,0,1,1),((F28-OFFSET($BM$9,CL28-1,0,1,1))*OFFSET($CI$9,CL28-1,0,1,1))+OFFSET($BP$9,CL28-1,CQ28,1,1),IF(F28&lt;OFFSET($BN$9,CL28+0,0,1,1),((F28-OFFSET($BM$9,CL28+0,0,1,1))*OFFSET($CI$9,CL28+0,0,1,1))+OFFSET($BP$9,CL28+0,CQ28,1,1),IF(F28&lt;OFFSET($BN$9,CL28+1,0,1,1),((F28-OFFSET($BM$9,CL28+1,0,1,1))*OFFSET($CI$9,CL28+1,0,1,1))+OFFSET($BP$9,CL28+1,CQ28,1,1),IF(F28&lt;OFFSET($BN$9,CL28+2,0,1,1),((F28-OFFSET($BM$9,CL28+2,0,1,1))*OFFSET($CI$9,CL28+2,0,1,1))+OFFSET($BP$9,CL28+2,CQ28,1,1),IF(F28&lt;OFFSET($BN$9,CL28+3,0,1,1),((F28-OFFSET($BM$9,CL28+3,0,1,1))*OFFSET($CI$9,CL28+3,0,1,1))+OFFSET($BP$9,CL28+3,CQ28,1,1),0))))))</f>
        <v>0</v>
      </c>
      <c r="CV28" s="51">
        <f ca="1">IF($F28&lt;OFFSET($BM$9,$CL28-1,0,1,1),0,IF($F28&lt;OFFSET($BN$9,$CL28-1,0,1,1),IF(AND($H28&gt;2.4,Z28&lt;&gt;"e",Z28&lt;&gt;"f"),CZ28*2.4/$H28,CZ28),IF($F28&lt;OFFSET($BN$9,$CL28+0,0,1,1),IF(AND($H28&gt;2.4,Z28&lt;&gt;"e",Z28&lt;&gt;"f"),CZ28*2.4/$H28,CZ28),IF($F28&lt;OFFSET($BN$9,$CL28+1,0,1,1),IF(AND($H28&gt;2.4,Z28&lt;&gt;"e",Z28&lt;&gt;"f"),CZ28*2.4/$H28,CZ28),IF($F28&lt;OFFSET($BN$9,$CL28+2,0,1,1),IF(AND($H28&gt;2.4,Z28&lt;&gt;"e",Z28&lt;&gt;"f"),CZ28*2.4/$H28,CZ28),IF($F28&lt;OFFSET($BN$9,$CL28+3,0,1,1),IF(AND($H28&gt;2.4,Z28&lt;&gt;"e",Z28&lt;&gt;"f"),CZ28*2.4/$H28,CZ28),0)))))*COS(RADIANS($G28)))</f>
        <v>0</v>
      </c>
      <c r="CW28" s="51">
        <f ca="1">IF(CT28&gt;CR28,CR28,CT28)</f>
        <v>0</v>
      </c>
      <c r="CX28" s="51">
        <f ca="1">IF(CS28&gt;$CR28,$CR28,CS28)</f>
        <v>0</v>
      </c>
      <c r="CY28" s="51">
        <f ca="1">CW28*F28</f>
        <v>0</v>
      </c>
      <c r="CZ28" s="51">
        <f ca="1">IF($CU28&gt;$CR28,$CR28,$CU28)</f>
        <v>0</v>
      </c>
      <c r="DA28" s="51">
        <f ca="1">IF(CV28&gt;CR28,CR28,CV28)</f>
        <v>0</v>
      </c>
      <c r="DB28" s="51">
        <f ca="1">DA28*F28</f>
        <v>0</v>
      </c>
      <c r="DC28" s="993">
        <v>3</v>
      </c>
      <c r="DD28" s="758" t="str">
        <f>IF(OR(D28=BG$12,D28=BG$13),"External",IF(D28=BG$14,"Internal"," "))</f>
        <v xml:space="preserve"> </v>
      </c>
      <c r="DE28" s="51" t="str">
        <f t="shared" ca="1" si="2"/>
        <v/>
      </c>
      <c r="DF28" s="52" t="str">
        <f t="shared" ca="1" si="3"/>
        <v xml:space="preserve"> </v>
      </c>
      <c r="DG28" s="51">
        <f ca="1">IF(F28&lt;OFFSET($BM$9,CN28-1,0,1,1),0,IF(F28&lt;OFFSET($BN$9,CN28-1,0,1,1),((F28-OFFSET($BM$9,CN28-1,0,1,1))*OFFSET($CH$9,CN28-1,0,1,1))+OFFSET($BO$9,CN28-1,CQ28,1,1),IF(F28&lt;OFFSET($BN$9,CN28+0,0,1,1),((F28-OFFSET($BM$9,CN28+0,0,1,1))*OFFSET($CH$9,CN28+0,0,1,1))+OFFSET($BO$9,CN28+0,CQ28,1,1),IF(F28&lt;OFFSET($BN$9,CN28+1,0,1,1),((F28-OFFSET($BM$9,CN28+1,0,1,1))*OFFSET($CH$9,CN28+1,0,1,1))+OFFSET($BO$9,CN28+1,CQ28,1,1),IF(F28&lt;OFFSET($BN$9,CN28+2,0,1,1),((F28-OFFSET($BM$9,CN28+2,0,1,1))*OFFSET($CH$9,CN28+2,0,1,1))+OFFSET($BO$9,CN28+2,CQ28,1,1),IF(F28&lt;OFFSET($BN$9,CN28+3,0,1,1),((F28-OFFSET($BM$9,CN28+3,0,1,1))*OFFSET($CH$9,CN28+3,0,1,1))+OFFSET($BO$9,CN28+3,CQ28,1,1),0))))))</f>
        <v>0</v>
      </c>
      <c r="DH28" s="51">
        <f ca="1">IF($F28&lt;OFFSET($BM$9,$CN28-1,0,1,1),0,IF($F28&lt;OFFSET($BN$9,$CN28-1,0,1,1),IF(AND($H28&gt;2.4,Z28&lt;&gt;"e",Z28&lt;&gt;"f"),DL28*2.4/$H28,DL28),IF($F28&lt;OFFSET($BN$9,$CN28+0,0,1,1),IF(AND($H28&gt;2.4,Z28&lt;&gt;"e",Z28&lt;&gt;"f"),DL28*2.4/$H28,DL28),IF($F28&lt;OFFSET($BN$9,$CN28+1,0,1,1),IF(AND($H28&gt;2.4,Z28&lt;&gt;"e",Z28&lt;&gt;"f"),DL28*2.4/$H28,DL28),IF($F28&lt;OFFSET($BN$9,$CN28+2,0,1,1),IF(AND($H28&gt;2.4,Z28&lt;&gt;"e",Z28&lt;&gt;"f"),DL28*2.4/$H28,DL28),IF($F28&lt;OFFSET($BN$9,$CN28+3,0,1,1),IF(AND($H28&gt;2.4,Z28&lt;&gt;"e",Z28&lt;&gt;"f"),DL28*2.4/$H28,DL28),0)))))*COS(RADIANS($G28)))</f>
        <v>0</v>
      </c>
      <c r="DI28" s="51">
        <f ca="1">IF(F28&lt;OFFSET($BM$9,CN28-1,0,1,1),0,IF(F28&lt;OFFSET($BN$9,CN28-1,0,1,1),((F28-OFFSET($BM$9,CN28-1,0,1,1))*OFFSET($CI$9,CN28-1,0,1,1))+OFFSET($BP$9,CN28-1,CQ28,1,1),IF(F28&lt;OFFSET($BN$9,CN28+0,0,1,1),((F28-OFFSET($BM$9,CN28+0,0,1,1))*OFFSET($CI$9,CN28+0,0,1,1))+OFFSET($BP$9,CN28+0,CQ28,1,1),IF(F28&lt;OFFSET($BN$9,CN28+1,0,1,1),((F28-OFFSET($BM$9,CN28+1,0,1,1))*OFFSET($CI$9,CN28+1,0,1,1))+OFFSET($BP$9,CN28+1,CQ28,1,1),IF(F28&lt;OFFSET($BN$9,CN28+2,0,1,1),((F28-OFFSET($BM$9,CN28+2,0,1,1))*OFFSET($CI$9,CN28+2,0,1,1))+OFFSET($BP$9,CN28+2,CQ28,1,1),IF(F28&lt;OFFSET($BN$9,CN28+3,0,1,1),((F28-OFFSET($BM$9,CN28+3,0,1,1))*OFFSET($CI$9,CN28+3,0,1,1))+OFFSET($BP$9,CN28+3,CQ28,1,1),0))))))</f>
        <v>0</v>
      </c>
      <c r="DJ28" s="51">
        <f ca="1">IF($F28&lt;OFFSET($BM$9,$CN28-1,0,1,1),0,IF($F28&lt;OFFSET($BN$9,$CN28-1,0,1,1),IF(AND($H28&gt;2.4,Z28&lt;&gt;"e",Z28&lt;&gt;"f"),DN28*2.4/$H28,DN28),IF($F28&lt;OFFSET($BN$9,$CN28+0,0,1,1),IF(AND($H28&gt;2.4,Z28&lt;&gt;"e",Z28&lt;&gt;"f"),DN28*2.4/$H28,DN28),IF($F28&lt;OFFSET($BN$9,$CN28+1,0,1,1),IF(AND($H28&gt;2.4,Z28&lt;&gt;"e",Z28&lt;&gt;"f"),DN28*2.4/$H28,DN28),IF($F28&lt;OFFSET($BN$9,$CN28+2,0,1,1),IF(AND($H28&gt;2.4,Z28&lt;&gt;"e",Z28&lt;&gt;"f"),DN28*2.4/$H28,DN28),IF($F28&lt;OFFSET($BN$9,$CN28+3,0,1,1),IF(AND($H28&gt;2.4,Z28&lt;&gt;"e",Z28&lt;&gt;"f"),DN28*2.4/$H28,DN28),0)))))*COS(RADIANS($G28)))</f>
        <v>0</v>
      </c>
      <c r="DK28" s="51"/>
      <c r="DL28" s="51">
        <f ca="1">IF(DG28&gt;$CR28,$CR28,DG28)</f>
        <v>0</v>
      </c>
      <c r="DM28" s="51"/>
      <c r="DN28" s="51">
        <f ca="1">IF(DI28&gt;$CR28,$CR28,DI28)</f>
        <v>0</v>
      </c>
      <c r="DO28" s="435">
        <f ca="1">IF(DH28&gt;$CR28,$CR28,DH28)</f>
        <v>0</v>
      </c>
      <c r="DP28" s="435">
        <f ca="1">DO28*F28</f>
        <v>0</v>
      </c>
      <c r="DQ28" s="436">
        <f ca="1">IF(DJ28&gt;$CR28,$CR28,DJ28)</f>
        <v>0</v>
      </c>
      <c r="DR28" s="437">
        <f ca="1">DQ28*F28</f>
        <v>0</v>
      </c>
      <c r="DS28" s="426">
        <f ca="1">OFFSET($CH$9,CL28-1,-15,1,1)</f>
        <v>0</v>
      </c>
      <c r="DT28" s="426">
        <f ca="1">VLOOKUP(DS28,Prodlink,2,0)</f>
        <v>0</v>
      </c>
      <c r="DU28" s="188">
        <f ca="1">IF(F28&lt;OFFSET($BM$9,DT28-1,0,1,1),0,IF(F28&lt;OFFSET($BN$9,DT28-1,0,1,1),((F28-OFFSET($BM$9,DT28-1,0,1,1))*OFFSET($CH$9,DT28-1,0,1,1))+OFFSET($BO$9,DT28-1,CQ28,1,1),IF(F28&lt;OFFSET($BN$9,DT28+0,0,1,1),((F28-OFFSET($BM$9,DT28+0,0,1,1))*OFFSET($CH$9,DT28+0,0,1,1))+OFFSET($BO$9,DT28+0,CQ28,1,1),IF(F28&lt;OFFSET($BN$9,DT28+1,0,1,1),((F28-OFFSET($BM$9,DT28+1,0,1,1))*OFFSET($CH$9,DT28+1,0,1,1))+OFFSET($BO$9,DT28+1,CQ28,1,1),IF(F28&lt;OFFSET($BN$9,DT28+2,0,1,1),((F28-OFFSET($BM$9,DT28+2,0,1,1))*OFFSET($CH$9,DT28+2,0,1,1))+OFFSET($BO$9,DT28+2,CQ28,1,1),IF(F28&lt;OFFSET($BN$9,DT28+3,0,1,1),((F28-OFFSET($BM$9,DT28+3,0,1,1))*OFFSET($CH$9,DT28+3,0,1,1))+OFFSET($BO$9,DT28+3,CQ28,1,1),0))))))</f>
        <v>0</v>
      </c>
      <c r="DV28" s="51">
        <f ca="1">IF($F28&lt;OFFSET($BM$9,$DT28-1,0,1,1),0,IF($F28&lt;OFFSET($BN$9,$DT28-1,0,1,1),IF(AND($H28&gt;2.4,Z28&lt;&gt;"e",Z28&lt;&gt;"f"),DZ28*2.4/$H28,DZ28),IF($F28&lt;OFFSET($BN$9,$DT28+0,0,1,1),IF(AND($H28&gt;2.4,Z28&lt;&gt;"e",Z28&lt;&gt;"f"),DZ28*2.4/$H28,DZ28),IF($F28&lt;OFFSET($BN$9,$DT28+1,0,1,1),IF(AND($H28&gt;2.4,Z28&lt;&gt;"e",Z28&lt;&gt;"f"),DZ28*2.4/$H28,DZ28),IF($F28&lt;OFFSET($BN$9,$DT28+2,0,1,1),IF(AND($H28&gt;2.4,Z28&lt;&gt;"e",Z28&lt;&gt;"f"),DZ28*2.4/$H28,DZ28),IF($F28&lt;OFFSET($BN$9,$DT28+3,0,1,1),IF(AND($H28&gt;2.4,Z28&lt;&gt;"e",Z28&lt;&gt;"f"),DZ28*2.4/$H28,DZ28),0)))))*COS(RADIANS($G28)))</f>
        <v>0</v>
      </c>
      <c r="DW28" s="188">
        <f ca="1">IF(F28&lt;OFFSET($BM$9,DT28-1,0,1,1),0,IF(F28&lt;OFFSET($BN$9,DT28-1,0,1,1),((F28-OFFSET($BM$9,DT28-1,0,1,1))*OFFSET($CI$9,DT28-1,0,1,1))+OFFSET($BP$9,DT28-1,CQ28,1,1),IF(F28&lt;OFFSET($BN$9,DT28+0,0,1,1),((F28-OFFSET($BM$9,DT28+0,0,1,1))*OFFSET($CI$9,DT28+0,0,1,1))+OFFSET($BP$9,DT28+0,CQ28,1,1),IF(F28&lt;OFFSET($BN$9,DT28+1,0,1,1),((F28-OFFSET($BM$9,DT28+1,0,1,1))*OFFSET($CI$9,DT28+1,0,1,1))+OFFSET($BP$9,DT28+1,CQ28,1,1),IF(F28&lt;OFFSET($BN$9,DT28+2,0,1,1),((F28-OFFSET($BM$9,DT28+2,0,1,1))*OFFSET($CI$9,DT28+2,0,1,1))+OFFSET($BP$9,DT28+2,CQ28,1,1),IF(F28&lt;OFFSET($BN$9,DT28+3,0,1,1),((F28-OFFSET($BM$9,DT28+3,0,1,1))*OFFSET($CI$9,DT28+3,0,1,1))+OFFSET($BP$9,DT28+3,CQ28,1,1),0))))))</f>
        <v>0</v>
      </c>
      <c r="DX28" s="51">
        <f ca="1">IF($F28&lt;OFFSET($BM$9,$DT28-1,0,1,1),0,IF($F28&lt;OFFSET($BN$9,$DT28-1,0,1,1),IF(AND($H28&gt;2.4,Z28&lt;&gt;"e",Z28&lt;&gt;"f"),EB28*2.4/$H28,EB28),IF($F28&lt;OFFSET($BN$9,$DT28+0,0,1,1),IF(AND($H28&gt;2.4,Z28&lt;&gt;"e",Z28&lt;&gt;"f"),EB28*2.4/$H28,EB28),IF($F28&lt;OFFSET($BN$9,$DT28+1,0,1,1),IF(AND($H28&gt;2.4,Z28&lt;&gt;"e",Z28&lt;&gt;"f"),EB28*2.4/$H28,EB28),IF($F28&lt;OFFSET($BN$9,$DT28+2,0,1,1),IF(AND($H28&gt;2.4,Z28&lt;&gt;"e",Z28&lt;&gt;"f"),EB28*2.4/$H28,EB28),IF($F28&lt;OFFSET($BN$9,$DT28+3,0,1,1),IF(AND($H28&gt;2.4,Z28&lt;&gt;"e",Z28&lt;&gt;"f"),EB28*2.4/$H28,EB28),0)))))*COS(RADIANS($G28)))</f>
        <v>0</v>
      </c>
      <c r="DY28" s="188"/>
      <c r="DZ28" s="188">
        <f ca="1">IF(DU28&gt;$CR28,$CR28,DU28)</f>
        <v>0</v>
      </c>
      <c r="EA28" s="188"/>
      <c r="EB28" s="188">
        <f ca="1">IF(DW28&gt;$CR28,$CR28,DW28)</f>
        <v>0</v>
      </c>
      <c r="EC28" s="435">
        <f ca="1">IF(DV28&gt;$CR28,$CR28,DV28)</f>
        <v>0</v>
      </c>
      <c r="ED28" s="435">
        <f ca="1">EC28*F28</f>
        <v>0</v>
      </c>
      <c r="EE28" s="436">
        <f ca="1">IF(DX28&gt;$CR28,$CR28,DX28)</f>
        <v>0</v>
      </c>
      <c r="EF28" s="437">
        <f ca="1">EE28*F28</f>
        <v>0</v>
      </c>
      <c r="EG28" s="613" t="str">
        <f>IF(D28=BG$12,BG$12,"")</f>
        <v/>
      </c>
      <c r="EH28" s="614" t="str">
        <f>IF(D28=BG$13,BG$13,"")</f>
        <v/>
      </c>
      <c r="EI28" s="611">
        <f>IF(EG28=BG$12,M28,0)</f>
        <v>0</v>
      </c>
      <c r="EJ28" s="451">
        <f>IF(EG28=BG$12,O28,0)</f>
        <v>0</v>
      </c>
      <c r="EK28" s="451">
        <f>IF(EH28=BG$13,M28,0)</f>
        <v>0</v>
      </c>
      <c r="EL28" s="612">
        <f>IF(EH28=BG$13,O28,0)</f>
        <v>0</v>
      </c>
      <c r="EM28" s="426" t="str">
        <f ca="1">IF(AND(Z28&lt;&gt;"t",Z28&lt;&gt;"f"),"",IF(AND(EN28=$BH$13,K28=$BH$12),"NotOpt",IF(K28&lt;&gt;EN28,"Error","")))</f>
        <v/>
      </c>
      <c r="EN28" s="490" t="str">
        <f>IF($BG$28=1,$BH$13,$BH$12)</f>
        <v>120 BU's</v>
      </c>
      <c r="EO28" s="426" t="str">
        <f>K28</f>
        <v xml:space="preserve"> </v>
      </c>
      <c r="ER28" s="439" t="str">
        <f ca="1">IF(H28=0," ",H28)</f>
        <v xml:space="preserve"> </v>
      </c>
      <c r="ES28" s="440" t="str">
        <f ca="1">IF(ER28&lt;&gt;" ",IF(ER28&lt;&gt;ER$7,"Changed",""),"")</f>
        <v/>
      </c>
      <c r="ET28" s="440">
        <f ca="1">IF(ER28&lt;&gt;" ",IF(ER28&lt;&gt;ER$7,1,0),0)</f>
        <v>0</v>
      </c>
      <c r="EU28" s="957" t="str">
        <f ca="1">IF(I28=" "," ",IF(F28&lt;OFFSET($BM$9,CL28-1,0,1,1),1,""))</f>
        <v xml:space="preserve"> </v>
      </c>
      <c r="EW28" s="427"/>
      <c r="EX28"/>
      <c r="EY28"/>
      <c r="EZ28"/>
      <c r="FA28"/>
      <c r="FB28"/>
      <c r="FC28"/>
      <c r="FD28"/>
      <c r="FE28"/>
      <c r="FF28"/>
      <c r="FG28"/>
      <c r="FH28"/>
      <c r="FI28"/>
      <c r="FJ28"/>
      <c r="FK28"/>
      <c r="FL28"/>
      <c r="FM28"/>
      <c r="FN28"/>
      <c r="FO28"/>
    </row>
    <row r="29" spans="2:171" ht="17.100000000000001" customHeight="1">
      <c r="B29" s="689" t="s">
        <v>246</v>
      </c>
      <c r="C29" s="684" t="str">
        <f>IF(OR(F29=0,I29="",I29=" ")," ",$V29)</f>
        <v xml:space="preserve"> </v>
      </c>
      <c r="D29" s="1033"/>
      <c r="E29" s="1360"/>
      <c r="F29" s="201"/>
      <c r="G29" s="1416"/>
      <c r="H29" s="199" t="str">
        <f ca="1">IF(OR(F29=0,Z29="E",Z29="f")," ",'Project Demand'!E$45)</f>
        <v xml:space="preserve"> </v>
      </c>
      <c r="I29" s="631" t="str">
        <f>IF($I$6&lt;&gt;$BG$8," ",AB29)</f>
        <v xml:space="preserve"> </v>
      </c>
      <c r="J29" s="44" t="str">
        <f ca="1">IF(OR(I29=" ",I29="")," ",OFFSET($BO$9,CL29-1,0-4,1,1))</f>
        <v xml:space="preserve"> </v>
      </c>
      <c r="K29" s="55" t="str">
        <f>IF(OR(I29=" ",I29="")," ",IF(OR(Z29="e",Z29="h"),"SD",BG$24))</f>
        <v xml:space="preserve"> </v>
      </c>
      <c r="L29" s="49">
        <f ca="1">CW29</f>
        <v>0</v>
      </c>
      <c r="M29" s="49">
        <f ca="1">CY29</f>
        <v>0</v>
      </c>
      <c r="N29" s="50">
        <f t="shared" ca="1" si="19"/>
        <v>0</v>
      </c>
      <c r="O29" s="126">
        <f t="shared" ca="1" si="19"/>
        <v>0</v>
      </c>
      <c r="P29" s="140"/>
      <c r="Q29" s="752" t="str">
        <f ca="1">IF(AND(OR(Z29="t",Z29="f"),K29=$BH$11),"No Floor!  Change Floor Type",IF(OR(I29=" ",I29="")," ",IF(F29&lt;OFFSET($BM$9,CL29-1,0,1,1),"check L(m)",DE29&amp;IF(AND(DP29&gt;=CY29,DR29&gt;=DB29),IF(AND(ED29&gt;=DP29,EF29&gt;=DR29),CONCATENATE(DS29," will provide same result"),CONCATENATE(CO29," will provide same result")),IF((DP29&gt;=CY29),CONCATENATE(CO29," provides same result in WIND"),IF((DR29&gt;=DB29),CONCATENATE(CO29," provides same result in EQ"),""))))))&amp;IF(ISERROR(FIND("pile",I29,1)),"",IF(INT(F29)&lt;&gt;F29,"Pile!  Use Whole Numbers Only",""))</f>
        <v xml:space="preserve"> </v>
      </c>
      <c r="R29" s="52"/>
      <c r="S29" s="1372"/>
      <c r="T29" s="1372"/>
      <c r="U29" s="1377"/>
      <c r="V29" s="52" t="str">
        <f ca="1">IF(AND(B$5=$BF$9,OR(I29=BH$16,I29=BH$17))," ",IF(ISNUMBER(B$26),(CONCATENATE(B$26,".",W29)),(CONCATENATE(B$26,W29))))</f>
        <v>D0</v>
      </c>
      <c r="W29" s="9">
        <f ca="1">W28+X29</f>
        <v>0</v>
      </c>
      <c r="X29" s="9">
        <f>IF(AND(B$5=$BF$9,OR($I29=$BH$16,$I29=$BH$17,$I29=" ",$I29="",$F29=0)),0,IF(OR($I29=" ",$I29="",$F29=0),0,1))</f>
        <v>0</v>
      </c>
      <c r="Y29" s="896"/>
      <c r="Z29" s="52" t="str">
        <f ca="1">IF(I29=" "," ",OFFSET($BM$9,$CL29-1,8,1,1))</f>
        <v xml:space="preserve"> </v>
      </c>
      <c r="AA29" s="51" t="str">
        <f>IF(G29&gt;=45,"WA","")</f>
        <v/>
      </c>
      <c r="AB29" s="1364" t="str">
        <f>IF(F29&lt;&gt;"",IF(OR(D29=$BG$12,D29=$BG$13),IF(E29&lt;&gt;$BG$17,$BF$12,$BF$13),IF(E29&lt;&gt;$BG$17,$BF$12,$BF$13))," ")</f>
        <v xml:space="preserve"> </v>
      </c>
      <c r="AC29" s="1"/>
      <c r="AJ29" s="2230"/>
      <c r="AK29" s="2779"/>
      <c r="AL29" s="2783" t="str">
        <f>'Regular and QuickBrace Systems'!E44</f>
        <v>ESSH</v>
      </c>
      <c r="AM29" s="1176">
        <f>'Regular and QuickBrace Systems'!F44</f>
        <v>0.4</v>
      </c>
      <c r="AN29" s="1272">
        <f>'Regular and QuickBrace Systems'!G44</f>
        <v>95</v>
      </c>
      <c r="AO29" s="1273">
        <f>'Regular and QuickBrace Systems'!H44</f>
        <v>109</v>
      </c>
      <c r="AP29" s="1594"/>
      <c r="AQ29" s="2661" t="str">
        <f>'Regular and QuickBrace Systems'!I41</f>
        <v>Specialised QuickBrace Pattern</v>
      </c>
      <c r="AR29" s="2662"/>
      <c r="AS29" s="2030" t="str">
        <f>'Regular and QuickBrace Systems'!K44</f>
        <v>Yes</v>
      </c>
      <c r="AT29" s="1339"/>
      <c r="AU29" s="2131" t="str">
        <f>'Regular and QuickBrace Systems'!M44</f>
        <v>Elephant Standard-Plus board Both sides</v>
      </c>
      <c r="AW29" s="1567" t="str">
        <f>'Regular and QuickBrace Systems'!O44</f>
        <v>Yes</v>
      </c>
      <c r="AX29" s="1573" t="str">
        <f>'Regular and QuickBrace Systems'!Q44</f>
        <v>No</v>
      </c>
      <c r="BD29" s="2648"/>
      <c r="BF29" s="599" t="str">
        <f>'Custom Elements'!C13</f>
        <v>Custom5</v>
      </c>
      <c r="BI29" s="759"/>
      <c r="BJ29" s="897">
        <f t="shared" si="4"/>
        <v>21</v>
      </c>
      <c r="BK29" s="769" t="str">
        <f t="shared" si="7"/>
        <v xml:space="preserve">  </v>
      </c>
      <c r="BL29" s="771" t="str">
        <f t="shared" si="8"/>
        <v>Custom18</v>
      </c>
      <c r="BM29" s="455">
        <f t="shared" si="9"/>
        <v>9.9999999999999996E-76</v>
      </c>
      <c r="BN29" s="455">
        <v>999</v>
      </c>
      <c r="BO29" s="455">
        <f t="shared" si="10"/>
        <v>0</v>
      </c>
      <c r="BP29" s="925">
        <f t="shared" si="11"/>
        <v>0</v>
      </c>
      <c r="BR29" s="764"/>
      <c r="BS29" s="455"/>
      <c r="BT29" s="455" t="str">
        <f t="shared" si="12"/>
        <v>B</v>
      </c>
      <c r="BU29" s="925" t="str">
        <f t="shared" si="13"/>
        <v>T</v>
      </c>
      <c r="BV29" s="1239" t="str">
        <f t="shared" si="14"/>
        <v>Custom18</v>
      </c>
      <c r="BW29" s="1236">
        <f t="shared" si="17"/>
        <v>21</v>
      </c>
      <c r="BX29" s="925" t="str">
        <f t="shared" si="15"/>
        <v>Single</v>
      </c>
      <c r="CH29" s="764">
        <f t="shared" si="5"/>
        <v>0</v>
      </c>
      <c r="CI29" s="925">
        <f t="shared" si="6"/>
        <v>0</v>
      </c>
      <c r="CJ29" s="759"/>
      <c r="CK29" s="188"/>
      <c r="CL29" s="979">
        <f>VLOOKUP(I29,Prodlink,2,0)</f>
        <v>0</v>
      </c>
      <c r="CN29" s="497">
        <f t="shared" ca="1" si="1"/>
        <v>0</v>
      </c>
      <c r="CO29" s="497">
        <f ca="1">OFFSET($CH$9,CL29-1,-15,1,1)</f>
        <v>0</v>
      </c>
      <c r="CQ29" s="51">
        <v>0</v>
      </c>
      <c r="CR29" s="51">
        <f>IF(K29=$BH$12,$BH$23,IF(K29=$BH$13,$BH$24,10000))</f>
        <v>10000</v>
      </c>
      <c r="CS29" s="51">
        <f ca="1">IF(F29&lt;OFFSET($BM$9,CL29-1,0,1,1),0,IF(F29&lt;OFFSET($BN$9,CL29-1,0,1,1),((F29-OFFSET($BM$9,CL29-1,0,1,1))*OFFSET($CH$9,CL29-1,0,1,1))+OFFSET($BO$9,CL29-1,CQ29,1,1),IF(F29&lt;OFFSET($BN$9,CL29+0,0,1,1),((F29-OFFSET($BM$9,CL29+0,0,1,1))*OFFSET($CH$9,CL29+0,0,1,1))+OFFSET($BO$9,CL29+0,CQ29,1,1),IF(F29&lt;OFFSET($BN$9,CL29+1,0,1,1),((F29-OFFSET($BM$9,CL29+1,0,1,1))*OFFSET($CH$9,CL29+1,0,1,1))+OFFSET($BO$9,CL29+1,CQ29,1,1),IF(F29&lt;OFFSET($BN$9,CL29+2,0,1,1),((F29-OFFSET($BM$9,CL29+2,0,1,1))*OFFSET($CH$9,CL29+2,0,1,1))+OFFSET($BO$9,CL29+2,CQ29,1,1),IF(F29&lt;OFFSET($BN$9,CL29+3,0,1,1),((F29-OFFSET($BM$9,CL29+3,0,1,1))*OFFSET($CH$9,CL29+3,0,1,1))+OFFSET($BO$9,CL29+3,CQ29,1,1),0))))))</f>
        <v>0</v>
      </c>
      <c r="CT29" s="51">
        <f ca="1">IF($F29&lt;OFFSET($BM$9,$CL29-1,0,1,1),0,IF($F29&lt;OFFSET($BN$9,$CL29-1,0,1,1),IF(AND($H29&gt;2.4,Z29&lt;&gt;"e",Z29&lt;&gt;"f"),CX29*2.4/$H29,CX29),IF($F29&lt;OFFSET($BN$9,$CL29+0,0,1,1),IF(AND($H29&gt;2.4,Z29&lt;&gt;"e",Z29&lt;&gt;"f"),CX29*2.4/$H29,CX29),IF($F29&lt;OFFSET($BN$9,$CL29+1,0,1,1),IF(AND($H29&gt;2.4,Z29&lt;&gt;"e",Z29&lt;&gt;"f"),CX29*2.4/$H29,CX29),IF($F29&lt;OFFSET($BN$9,CL29+2,0,1,1),IF(AND($H29&gt;2.4,Z29&lt;&gt;"e",Z29&lt;&gt;"f"),CX29*2.4/$H29,CX29),IF($F29&lt;OFFSET($BN$9,CL29+3,0,1,1),IF(AND($H29&gt;2.4,Z29&lt;&gt;"e",Z29&lt;&gt;"f"),CX29*2.4/$H29,CX29),0)))))*COS(RADIANS($G29)))</f>
        <v>0</v>
      </c>
      <c r="CU29" s="51">
        <f ca="1">IF(F29&lt;OFFSET($BM$9,CL29-1,0,1,1),0,IF(F29&lt;OFFSET($BN$9,CL29-1,0,1,1),((F29-OFFSET($BM$9,CL29-1,0,1,1))*OFFSET($CI$9,CL29-1,0,1,1))+OFFSET($BP$9,CL29-1,CQ29,1,1),IF(F29&lt;OFFSET($BN$9,CL29+0,0,1,1),((F29-OFFSET($BM$9,CL29+0,0,1,1))*OFFSET($CI$9,CL29+0,0,1,1))+OFFSET($BP$9,CL29+0,CQ29,1,1),IF(F29&lt;OFFSET($BN$9,CL29+1,0,1,1),((F29-OFFSET($BM$9,CL29+1,0,1,1))*OFFSET($CI$9,CL29+1,0,1,1))+OFFSET($BP$9,CL29+1,CQ29,1,1),IF(F29&lt;OFFSET($BN$9,CL29+2,0,1,1),((F29-OFFSET($BM$9,CL29+2,0,1,1))*OFFSET($CI$9,CL29+2,0,1,1))+OFFSET($BP$9,CL29+2,CQ29,1,1),IF(F29&lt;OFFSET($BN$9,CL29+3,0,1,1),((F29-OFFSET($BM$9,CL29+3,0,1,1))*OFFSET($CI$9,CL29+3,0,1,1))+OFFSET($BP$9,CL29+3,CQ29,1,1),0))))))</f>
        <v>0</v>
      </c>
      <c r="CV29" s="51">
        <f ca="1">IF($F29&lt;OFFSET($BM$9,$CL29-1,0,1,1),0,IF($F29&lt;OFFSET($BN$9,$CL29-1,0,1,1),IF(AND($H29&gt;2.4,Z29&lt;&gt;"e",Z29&lt;&gt;"f"),CZ29*2.4/$H29,CZ29),IF($F29&lt;OFFSET($BN$9,$CL29+0,0,1,1),IF(AND($H29&gt;2.4,Z29&lt;&gt;"e",Z29&lt;&gt;"f"),CZ29*2.4/$H29,CZ29),IF($F29&lt;OFFSET($BN$9,$CL29+1,0,1,1),IF(AND($H29&gt;2.4,Z29&lt;&gt;"e",Z29&lt;&gt;"f"),CZ29*2.4/$H29,CZ29),IF($F29&lt;OFFSET($BN$9,$CL29+2,0,1,1),IF(AND($H29&gt;2.4,Z29&lt;&gt;"e",Z29&lt;&gt;"f"),CZ29*2.4/$H29,CZ29),IF($F29&lt;OFFSET($BN$9,$CL29+3,0,1,1),IF(AND($H29&gt;2.4,Z29&lt;&gt;"e",Z29&lt;&gt;"f"),CZ29*2.4/$H29,CZ29),0)))))*COS(RADIANS($G29)))</f>
        <v>0</v>
      </c>
      <c r="CW29" s="51">
        <f ca="1">IF(CT29&gt;CR29,CR29,CT29)</f>
        <v>0</v>
      </c>
      <c r="CX29" s="51">
        <f ca="1">IF(CS29&gt;$CR29,$CR29,CS29)</f>
        <v>0</v>
      </c>
      <c r="CY29" s="51">
        <f ca="1">CW29*F29</f>
        <v>0</v>
      </c>
      <c r="CZ29" s="51">
        <f ca="1">IF($CU29&gt;$CR29,$CR29,$CU29)</f>
        <v>0</v>
      </c>
      <c r="DA29" s="51">
        <f ca="1">IF(CV29&gt;CR29,CR29,CV29)</f>
        <v>0</v>
      </c>
      <c r="DB29" s="51">
        <f ca="1">DA29*F29</f>
        <v>0</v>
      </c>
      <c r="DC29" s="993">
        <v>3</v>
      </c>
      <c r="DD29" s="758" t="str">
        <f>IF(OR(D29=BG$12,D29=BG$13),"External",IF(D29=BG$14,"Internal"," "))</f>
        <v xml:space="preserve"> </v>
      </c>
      <c r="DE29" s="51" t="str">
        <f t="shared" ca="1" si="2"/>
        <v/>
      </c>
      <c r="DF29" s="52" t="str">
        <f t="shared" ca="1" si="3"/>
        <v xml:space="preserve"> </v>
      </c>
      <c r="DG29" s="51">
        <f ca="1">IF(F29&lt;OFFSET($BM$9,CN29-1,0,1,1),0,IF(F29&lt;OFFSET($BN$9,CN29-1,0,1,1),((F29-OFFSET($BM$9,CN29-1,0,1,1))*OFFSET($CH$9,CN29-1,0,1,1))+OFFSET($BO$9,CN29-1,CQ29,1,1),IF(F29&lt;OFFSET($BN$9,CN29+0,0,1,1),((F29-OFFSET($BM$9,CN29+0,0,1,1))*OFFSET($CH$9,CN29+0,0,1,1))+OFFSET($BO$9,CN29+0,CQ29,1,1),IF(F29&lt;OFFSET($BN$9,CN29+1,0,1,1),((F29-OFFSET($BM$9,CN29+1,0,1,1))*OFFSET($CH$9,CN29+1,0,1,1))+OFFSET($BO$9,CN29+1,CQ29,1,1),IF(F29&lt;OFFSET($BN$9,CN29+2,0,1,1),((F29-OFFSET($BM$9,CN29+2,0,1,1))*OFFSET($CH$9,CN29+2,0,1,1))+OFFSET($BO$9,CN29+2,CQ29,1,1),IF(F29&lt;OFFSET($BN$9,CN29+3,0,1,1),((F29-OFFSET($BM$9,CN29+3,0,1,1))*OFFSET($CH$9,CN29+3,0,1,1))+OFFSET($BO$9,CN29+3,CQ29,1,1),0))))))</f>
        <v>0</v>
      </c>
      <c r="DH29" s="51">
        <f ca="1">IF($F29&lt;OFFSET($BM$9,$CN29-1,0,1,1),0,IF($F29&lt;OFFSET($BN$9,$CN29-1,0,1,1),IF(AND($H29&gt;2.4,Z29&lt;&gt;"e",Z29&lt;&gt;"f"),DL29*2.4/$H29,DL29),IF($F29&lt;OFFSET($BN$9,$CN29+0,0,1,1),IF(AND($H29&gt;2.4,Z29&lt;&gt;"e",Z29&lt;&gt;"f"),DL29*2.4/$H29,DL29),IF($F29&lt;OFFSET($BN$9,$CN29+1,0,1,1),IF(AND($H29&gt;2.4,Z29&lt;&gt;"e",Z29&lt;&gt;"f"),DL29*2.4/$H29,DL29),IF($F29&lt;OFFSET($BN$9,$CN29+2,0,1,1),IF(AND($H29&gt;2.4,Z29&lt;&gt;"e",Z29&lt;&gt;"f"),DL29*2.4/$H29,DL29),IF($F29&lt;OFFSET($BN$9,$CN29+3,0,1,1),IF(AND($H29&gt;2.4,Z29&lt;&gt;"e",Z29&lt;&gt;"f"),DL29*2.4/$H29,DL29),0)))))*COS(RADIANS($G29)))</f>
        <v>0</v>
      </c>
      <c r="DI29" s="51">
        <f ca="1">IF(F29&lt;OFFSET($BM$9,CN29-1,0,1,1),0,IF(F29&lt;OFFSET($BN$9,CN29-1,0,1,1),((F29-OFFSET($BM$9,CN29-1,0,1,1))*OFFSET($CI$9,CN29-1,0,1,1))+OFFSET($BP$9,CN29-1,CQ29,1,1),IF(F29&lt;OFFSET($BN$9,CN29+0,0,1,1),((F29-OFFSET($BM$9,CN29+0,0,1,1))*OFFSET($CI$9,CN29+0,0,1,1))+OFFSET($BP$9,CN29+0,CQ29,1,1),IF(F29&lt;OFFSET($BN$9,CN29+1,0,1,1),((F29-OFFSET($BM$9,CN29+1,0,1,1))*OFFSET($CI$9,CN29+1,0,1,1))+OFFSET($BP$9,CN29+1,CQ29,1,1),IF(F29&lt;OFFSET($BN$9,CN29+2,0,1,1),((F29-OFFSET($BM$9,CN29+2,0,1,1))*OFFSET($CI$9,CN29+2,0,1,1))+OFFSET($BP$9,CN29+2,CQ29,1,1),IF(F29&lt;OFFSET($BN$9,CN29+3,0,1,1),((F29-OFFSET($BM$9,CN29+3,0,1,1))*OFFSET($CI$9,CN29+3,0,1,1))+OFFSET($BP$9,CN29+3,CQ29,1,1),0))))))</f>
        <v>0</v>
      </c>
      <c r="DJ29" s="51">
        <f ca="1">IF($F29&lt;OFFSET($BM$9,$CN29-1,0,1,1),0,IF($F29&lt;OFFSET($BN$9,$CN29-1,0,1,1),IF(AND($H29&gt;2.4,Z29&lt;&gt;"e",Z29&lt;&gt;"f"),DN29*2.4/$H29,DN29),IF($F29&lt;OFFSET($BN$9,$CN29+0,0,1,1),IF(AND($H29&gt;2.4,Z29&lt;&gt;"e",Z29&lt;&gt;"f"),DN29*2.4/$H29,DN29),IF($F29&lt;OFFSET($BN$9,$CN29+1,0,1,1),IF(AND($H29&gt;2.4,Z29&lt;&gt;"e",Z29&lt;&gt;"f"),DN29*2.4/$H29,DN29),IF($F29&lt;OFFSET($BN$9,$CN29+2,0,1,1),IF(AND($H29&gt;2.4,Z29&lt;&gt;"e",Z29&lt;&gt;"f"),DN29*2.4/$H29,DN29),IF($F29&lt;OFFSET($BN$9,$CN29+3,0,1,1),IF(AND($H29&gt;2.4,Z29&lt;&gt;"e",Z29&lt;&gt;"f"),DN29*2.4/$H29,DN29),0)))))*COS(RADIANS($G29)))</f>
        <v>0</v>
      </c>
      <c r="DK29" s="51"/>
      <c r="DL29" s="51">
        <f ca="1">IF(DG29&gt;$CR29,$CR29,DG29)</f>
        <v>0</v>
      </c>
      <c r="DM29" s="51"/>
      <c r="DN29" s="51">
        <f ca="1">IF(DI29&gt;$CR29,$CR29,DI29)</f>
        <v>0</v>
      </c>
      <c r="DO29" s="435">
        <f ca="1">IF(DH29&gt;$CR29,$CR29,DH29)</f>
        <v>0</v>
      </c>
      <c r="DP29" s="435">
        <f ca="1">DO29*F29</f>
        <v>0</v>
      </c>
      <c r="DQ29" s="436">
        <f ca="1">IF(DJ29&gt;$CR29,$CR29,DJ29)</f>
        <v>0</v>
      </c>
      <c r="DR29" s="437">
        <f ca="1">DQ29*F29</f>
        <v>0</v>
      </c>
      <c r="DS29" s="426">
        <f ca="1">OFFSET($CH$9,CL29-1,-15,1,1)</f>
        <v>0</v>
      </c>
      <c r="DT29" s="426">
        <f ca="1">VLOOKUP(DS29,Prodlink,2,0)</f>
        <v>0</v>
      </c>
      <c r="DU29" s="188">
        <f ca="1">IF(F29&lt;OFFSET($BM$9,DT29-1,0,1,1),0,IF(F29&lt;OFFSET($BN$9,DT29-1,0,1,1),((F29-OFFSET($BM$9,DT29-1,0,1,1))*OFFSET($CH$9,DT29-1,0,1,1))+OFFSET($BO$9,DT29-1,CQ29,1,1),IF(F29&lt;OFFSET($BN$9,DT29+0,0,1,1),((F29-OFFSET($BM$9,DT29+0,0,1,1))*OFFSET($CH$9,DT29+0,0,1,1))+OFFSET($BO$9,DT29+0,CQ29,1,1),IF(F29&lt;OFFSET($BN$9,DT29+1,0,1,1),((F29-OFFSET($BM$9,DT29+1,0,1,1))*OFFSET($CH$9,DT29+1,0,1,1))+OFFSET($BO$9,DT29+1,CQ29,1,1),IF(F29&lt;OFFSET($BN$9,DT29+2,0,1,1),((F29-OFFSET($BM$9,DT29+2,0,1,1))*OFFSET($CH$9,DT29+2,0,1,1))+OFFSET($BO$9,DT29+2,CQ29,1,1),IF(F29&lt;OFFSET($BN$9,DT29+3,0,1,1),((F29-OFFSET($BM$9,DT29+3,0,1,1))*OFFSET($CH$9,DT29+3,0,1,1))+OFFSET($BO$9,DT29+3,CQ29,1,1),0))))))</f>
        <v>0</v>
      </c>
      <c r="DV29" s="51">
        <f ca="1">IF($F29&lt;OFFSET($BM$9,$DT29-1,0,1,1),0,IF($F29&lt;OFFSET($BN$9,$DT29-1,0,1,1),IF(AND($H29&gt;2.4,Z29&lt;&gt;"e",Z29&lt;&gt;"f"),DZ29*2.4/$H29,DZ29),IF($F29&lt;OFFSET($BN$9,$DT29+0,0,1,1),IF(AND($H29&gt;2.4,Z29&lt;&gt;"e",Z29&lt;&gt;"f"),DZ29*2.4/$H29,DZ29),IF($F29&lt;OFFSET($BN$9,$DT29+1,0,1,1),IF(AND($H29&gt;2.4,Z29&lt;&gt;"e",Z29&lt;&gt;"f"),DZ29*2.4/$H29,DZ29),IF($F29&lt;OFFSET($BN$9,$DT29+2,0,1,1),IF(AND($H29&gt;2.4,Z29&lt;&gt;"e",Z29&lt;&gt;"f"),DZ29*2.4/$H29,DZ29),IF($F29&lt;OFFSET($BN$9,$DT29+3,0,1,1),IF(AND($H29&gt;2.4,Z29&lt;&gt;"e",Z29&lt;&gt;"f"),DZ29*2.4/$H29,DZ29),0)))))*COS(RADIANS($G29)))</f>
        <v>0</v>
      </c>
      <c r="DW29" s="188">
        <f ca="1">IF(F29&lt;OFFSET($BM$9,DT29-1,0,1,1),0,IF(F29&lt;OFFSET($BN$9,DT29-1,0,1,1),((F29-OFFSET($BM$9,DT29-1,0,1,1))*OFFSET($CI$9,DT29-1,0,1,1))+OFFSET($BP$9,DT29-1,CQ29,1,1),IF(F29&lt;OFFSET($BN$9,DT29+0,0,1,1),((F29-OFFSET($BM$9,DT29+0,0,1,1))*OFFSET($CI$9,DT29+0,0,1,1))+OFFSET($BP$9,DT29+0,CQ29,1,1),IF(F29&lt;OFFSET($BN$9,DT29+1,0,1,1),((F29-OFFSET($BM$9,DT29+1,0,1,1))*OFFSET($CI$9,DT29+1,0,1,1))+OFFSET($BP$9,DT29+1,CQ29,1,1),IF(F29&lt;OFFSET($BN$9,DT29+2,0,1,1),((F29-OFFSET($BM$9,DT29+2,0,1,1))*OFFSET($CI$9,DT29+2,0,1,1))+OFFSET($BP$9,DT29+2,CQ29,1,1),IF(F29&lt;OFFSET($BN$9,DT29+3,0,1,1),((F29-OFFSET($BM$9,DT29+3,0,1,1))*OFFSET($CI$9,DT29+3,0,1,1))+OFFSET($BP$9,DT29+3,CQ29,1,1),0))))))</f>
        <v>0</v>
      </c>
      <c r="DX29" s="51">
        <f ca="1">IF($F29&lt;OFFSET($BM$9,$DT29-1,0,1,1),0,IF($F29&lt;OFFSET($BN$9,$DT29-1,0,1,1),IF(AND($H29&gt;2.4,Z29&lt;&gt;"e",Z29&lt;&gt;"f"),EB29*2.4/$H29,EB29),IF($F29&lt;OFFSET($BN$9,$DT29+0,0,1,1),IF(AND($H29&gt;2.4,Z29&lt;&gt;"e",Z29&lt;&gt;"f"),EB29*2.4/$H29,EB29),IF($F29&lt;OFFSET($BN$9,$DT29+1,0,1,1),IF(AND($H29&gt;2.4,Z29&lt;&gt;"e",Z29&lt;&gt;"f"),EB29*2.4/$H29,EB29),IF($F29&lt;OFFSET($BN$9,$DT29+2,0,1,1),IF(AND($H29&gt;2.4,Z29&lt;&gt;"e",Z29&lt;&gt;"f"),EB29*2.4/$H29,EB29),IF($F29&lt;OFFSET($BN$9,$DT29+3,0,1,1),IF(AND($H29&gt;2.4,Z29&lt;&gt;"e",Z29&lt;&gt;"f"),EB29*2.4/$H29,EB29),0)))))*COS(RADIANS($G29)))</f>
        <v>0</v>
      </c>
      <c r="DY29" s="188"/>
      <c r="DZ29" s="188">
        <f ca="1">IF(DU29&gt;$CR29,$CR29,DU29)</f>
        <v>0</v>
      </c>
      <c r="EA29" s="188"/>
      <c r="EB29" s="188">
        <f ca="1">IF(DW29&gt;$CR29,$CR29,DW29)</f>
        <v>0</v>
      </c>
      <c r="EC29" s="435">
        <f ca="1">IF(DV29&gt;$CR29,$CR29,DV29)</f>
        <v>0</v>
      </c>
      <c r="ED29" s="435">
        <f ca="1">EC29*F29</f>
        <v>0</v>
      </c>
      <c r="EE29" s="436">
        <f ca="1">IF(DX29&gt;$CR29,$CR29,DX29)</f>
        <v>0</v>
      </c>
      <c r="EF29" s="437">
        <f ca="1">EE29*F29</f>
        <v>0</v>
      </c>
      <c r="EG29" s="613" t="str">
        <f>IF(D29=BG$12,BG$12,"")</f>
        <v/>
      </c>
      <c r="EH29" s="614" t="str">
        <f>IF(D29=BG$13,BG$13,"")</f>
        <v/>
      </c>
      <c r="EI29" s="611">
        <f>IF(EG29=BG$12,M29,0)</f>
        <v>0</v>
      </c>
      <c r="EJ29" s="451">
        <f>IF(EG29=BG$12,O29,0)</f>
        <v>0</v>
      </c>
      <c r="EK29" s="451">
        <f>IF(EH29=BG$13,M29,0)</f>
        <v>0</v>
      </c>
      <c r="EL29" s="612">
        <f>IF(EH29=BG$13,O29,0)</f>
        <v>0</v>
      </c>
      <c r="EM29" s="426" t="str">
        <f ca="1">IF(AND(Z29&lt;&gt;"t",Z29&lt;&gt;"f"),"",IF(AND(EN29=$BH$13,K29=$BH$12),"NotOpt",IF(K29&lt;&gt;EN29,"Error","")))</f>
        <v/>
      </c>
      <c r="EN29" s="490" t="str">
        <f>IF($BG$28=1,$BH$13,$BH$12)</f>
        <v>120 BU's</v>
      </c>
      <c r="EO29" s="426" t="str">
        <f>K29</f>
        <v xml:space="preserve"> </v>
      </c>
      <c r="ER29" s="439" t="str">
        <f ca="1">IF(H29=0," ",H29)</f>
        <v xml:space="preserve"> </v>
      </c>
      <c r="ES29" s="440" t="str">
        <f ca="1">IF(ER29&lt;&gt;" ",IF(ER29&lt;&gt;ER$7,"Changed",""),"")</f>
        <v/>
      </c>
      <c r="ET29" s="440">
        <f ca="1">IF(ER29&lt;&gt;" ",IF(ER29&lt;&gt;ER$7,1,0),0)</f>
        <v>0</v>
      </c>
      <c r="EU29" s="957" t="str">
        <f ca="1">IF(I29=" "," ",IF(F29&lt;OFFSET($BM$9,CL29-1,0,1,1),1,""))</f>
        <v xml:space="preserve"> </v>
      </c>
      <c r="EW29" s="427"/>
      <c r="EX29"/>
      <c r="EY29"/>
      <c r="EZ29"/>
      <c r="FA29"/>
      <c r="FB29"/>
      <c r="FC29"/>
      <c r="FD29"/>
      <c r="FE29"/>
      <c r="FF29"/>
      <c r="FG29"/>
      <c r="FH29"/>
      <c r="FI29"/>
      <c r="FJ29"/>
      <c r="FK29"/>
      <c r="FL29"/>
      <c r="FM29"/>
      <c r="FN29"/>
      <c r="FO29"/>
    </row>
    <row r="30" spans="2:171" ht="17.100000000000001" customHeight="1" thickBot="1">
      <c r="B30" s="689" t="s">
        <v>246</v>
      </c>
      <c r="C30" s="684" t="str">
        <f>IF(OR(F30=0,I30="",I30=" ")," ",$V30)</f>
        <v xml:space="preserve"> </v>
      </c>
      <c r="D30" s="1033"/>
      <c r="E30" s="1360"/>
      <c r="F30" s="201"/>
      <c r="G30" s="1416"/>
      <c r="H30" s="199" t="str">
        <f ca="1">IF(OR(F30=0,Z30="E",Z30="f")," ",'Project Demand'!E$45)</f>
        <v xml:space="preserve"> </v>
      </c>
      <c r="I30" s="631" t="str">
        <f>IF($I$6&lt;&gt;$BG$8," ",AB30)</f>
        <v xml:space="preserve"> </v>
      </c>
      <c r="J30" s="44" t="str">
        <f ca="1">IF(OR(I30=" ",I30="")," ",OFFSET($BO$9,CL30-1,0-4,1,1))</f>
        <v xml:space="preserve"> </v>
      </c>
      <c r="K30" s="55" t="str">
        <f>IF(OR(I30=" ",I30="")," ",IF(OR(Z30="e",Z30="h"),"SD",BG$24))</f>
        <v xml:space="preserve"> </v>
      </c>
      <c r="L30" s="49">
        <f ca="1">CW30</f>
        <v>0</v>
      </c>
      <c r="M30" s="49">
        <f ca="1">CY30</f>
        <v>0</v>
      </c>
      <c r="N30" s="50">
        <f t="shared" ca="1" si="19"/>
        <v>0</v>
      </c>
      <c r="O30" s="126">
        <f t="shared" ca="1" si="19"/>
        <v>0</v>
      </c>
      <c r="P30" s="140"/>
      <c r="Q30" s="752" t="str">
        <f ca="1">IF(AND(OR(Z30="t",Z30="f"),K30=$BH$11),"No Floor!  Change Floor Type",IF(OR(I30=" ",I30="")," ",IF(F30&lt;OFFSET($BM$9,CL30-1,0,1,1),"check L(m)",DE30&amp;IF(AND(DP30&gt;=CY30,DR30&gt;=DB30),IF(AND(ED30&gt;=DP30,EF30&gt;=DR30),CONCATENATE(DS30," will provide same result"),CONCATENATE(CO30," will provide same result")),IF((DP30&gt;=CY30),CONCATENATE(CO30," provides same result in WIND"),IF((DR30&gt;=DB30),CONCATENATE(CO30," provides same result in EQ"),""))))))&amp;IF(ISERROR(FIND("pile",I30,1)),"",IF(INT(F30)&lt;&gt;F30,"Pile!  Use Whole Numbers Only",""))</f>
        <v xml:space="preserve"> </v>
      </c>
      <c r="U30" s="1377"/>
      <c r="V30" s="52" t="str">
        <f ca="1">IF(AND(B$5=$BF$9,OR(I30=BH$16,I30=BH$17))," ",IF(ISNUMBER(B$26),(CONCATENATE(B$26,".",W30)),(CONCATENATE(B$26,W30))))</f>
        <v>D0</v>
      </c>
      <c r="W30" s="9">
        <f ca="1">W29+X30</f>
        <v>0</v>
      </c>
      <c r="X30" s="9">
        <f>IF(AND(B$5=$BF$9,OR($I30=$BH$16,$I30=$BH$17,$I30=" ",$I30="",$F30=0)),0,IF(OR($I30=" ",$I30="",$F30=0),0,1))</f>
        <v>0</v>
      </c>
      <c r="Y30" s="896"/>
      <c r="Z30" s="52" t="str">
        <f ca="1">IF(I30=" "," ",OFFSET($BM$9,$CL30-1,8,1,1))</f>
        <v xml:space="preserve"> </v>
      </c>
      <c r="AA30" s="51" t="str">
        <f>IF(G30&gt;=45,"WA","")</f>
        <v/>
      </c>
      <c r="AB30" s="1364" t="str">
        <f>IF(F30&lt;&gt;"",IF(OR(D30=$BG$12,D30=$BG$13),IF(E30&lt;&gt;$BG$17,$BF$12,$BF$13),IF(E30&lt;&gt;$BG$17,$BF$12,$BF$13))," ")</f>
        <v xml:space="preserve"> </v>
      </c>
      <c r="AC30" s="1"/>
      <c r="AJ30" s="2230"/>
      <c r="AK30" s="2779"/>
      <c r="AL30" s="2784"/>
      <c r="AM30" s="11">
        <f>'Regular and QuickBrace Systems'!F45</f>
        <v>0.8</v>
      </c>
      <c r="AN30" s="1336">
        <f>'Regular and QuickBrace Systems'!G45</f>
        <v>135</v>
      </c>
      <c r="AO30" s="26">
        <f>'Regular and QuickBrace Systems'!H45</f>
        <v>125</v>
      </c>
      <c r="AP30" s="1595"/>
      <c r="AQ30" s="2663"/>
      <c r="AR30" s="2664"/>
      <c r="AS30" s="2031"/>
      <c r="AT30" s="1339"/>
      <c r="AU30" s="2090"/>
      <c r="AW30" s="1569" t="str">
        <f>'Regular and QuickBrace Systems'!O45</f>
        <v>Yes</v>
      </c>
      <c r="AX30" s="442" t="str">
        <f>'Regular and QuickBrace Systems'!Q45</f>
        <v>Yes</v>
      </c>
      <c r="BD30" s="2648"/>
      <c r="BF30" s="599" t="str">
        <f>'Custom Elements'!C14</f>
        <v>Custom6</v>
      </c>
      <c r="BI30" s="759"/>
      <c r="BJ30" s="897">
        <f t="shared" si="4"/>
        <v>22</v>
      </c>
      <c r="BK30" s="769" t="str">
        <f t="shared" si="7"/>
        <v xml:space="preserve">  </v>
      </c>
      <c r="BL30" s="771" t="str">
        <f t="shared" si="8"/>
        <v>Custom19</v>
      </c>
      <c r="BM30" s="455">
        <f t="shared" si="9"/>
        <v>9.9999999999999996E-76</v>
      </c>
      <c r="BN30" s="455">
        <v>999</v>
      </c>
      <c r="BO30" s="455">
        <f t="shared" si="10"/>
        <v>0</v>
      </c>
      <c r="BP30" s="925">
        <f t="shared" si="11"/>
        <v>0</v>
      </c>
      <c r="BR30" s="764"/>
      <c r="BS30" s="455"/>
      <c r="BT30" s="455" t="str">
        <f t="shared" si="12"/>
        <v>B</v>
      </c>
      <c r="BU30" s="925" t="str">
        <f t="shared" si="13"/>
        <v>T</v>
      </c>
      <c r="BV30" s="1239" t="str">
        <f t="shared" si="14"/>
        <v>Custom19</v>
      </c>
      <c r="BW30" s="1236">
        <f t="shared" si="17"/>
        <v>22</v>
      </c>
      <c r="BX30" s="925" t="str">
        <f t="shared" si="15"/>
        <v>Single</v>
      </c>
      <c r="CH30" s="764">
        <f t="shared" si="5"/>
        <v>0</v>
      </c>
      <c r="CI30" s="925">
        <f t="shared" si="6"/>
        <v>0</v>
      </c>
      <c r="CJ30" s="759"/>
      <c r="CK30" s="188"/>
      <c r="CL30" s="979">
        <f>VLOOKUP(I30,Prodlink,2,0)</f>
        <v>0</v>
      </c>
      <c r="CN30" s="497">
        <f t="shared" ca="1" si="1"/>
        <v>0</v>
      </c>
      <c r="CO30" s="497">
        <f ca="1">OFFSET($CH$9,CL30-1,-15,1,1)</f>
        <v>0</v>
      </c>
      <c r="CQ30" s="51">
        <v>0</v>
      </c>
      <c r="CR30" s="51">
        <f>IF(K30=$BH$12,$BH$23,IF(K30=$BH$13,$BH$24,10000))</f>
        <v>10000</v>
      </c>
      <c r="CS30" s="51">
        <f ca="1">IF(F30&lt;OFFSET($BM$9,CL30-1,0,1,1),0,IF(F30&lt;OFFSET($BN$9,CL30-1,0,1,1),((F30-OFFSET($BM$9,CL30-1,0,1,1))*OFFSET($CH$9,CL30-1,0,1,1))+OFFSET($BO$9,CL30-1,CQ30,1,1),IF(F30&lt;OFFSET($BN$9,CL30+0,0,1,1),((F30-OFFSET($BM$9,CL30+0,0,1,1))*OFFSET($CH$9,CL30+0,0,1,1))+OFFSET($BO$9,CL30+0,CQ30,1,1),IF(F30&lt;OFFSET($BN$9,CL30+1,0,1,1),((F30-OFFSET($BM$9,CL30+1,0,1,1))*OFFSET($CH$9,CL30+1,0,1,1))+OFFSET($BO$9,CL30+1,CQ30,1,1),IF(F30&lt;OFFSET($BN$9,CL30+2,0,1,1),((F30-OFFSET($BM$9,CL30+2,0,1,1))*OFFSET($CH$9,CL30+2,0,1,1))+OFFSET($BO$9,CL30+2,CQ30,1,1),IF(F30&lt;OFFSET($BN$9,CL30+3,0,1,1),((F30-OFFSET($BM$9,CL30+3,0,1,1))*OFFSET($CH$9,CL30+3,0,1,1))+OFFSET($BO$9,CL30+3,CQ30,1,1),0))))))</f>
        <v>0</v>
      </c>
      <c r="CT30" s="51">
        <f ca="1">IF($F30&lt;OFFSET($BM$9,$CL30-1,0,1,1),0,IF($F30&lt;OFFSET($BN$9,$CL30-1,0,1,1),IF(AND($H30&gt;2.4,Z30&lt;&gt;"e",Z30&lt;&gt;"f"),CX30*2.4/$H30,CX30),IF($F30&lt;OFFSET($BN$9,$CL30+0,0,1,1),IF(AND($H30&gt;2.4,Z30&lt;&gt;"e",Z30&lt;&gt;"f"),CX30*2.4/$H30,CX30),IF($F30&lt;OFFSET($BN$9,$CL30+1,0,1,1),IF(AND($H30&gt;2.4,Z30&lt;&gt;"e",Z30&lt;&gt;"f"),CX30*2.4/$H30,CX30),IF($F30&lt;OFFSET($BN$9,CL30+2,0,1,1),IF(AND($H30&gt;2.4,Z30&lt;&gt;"e",Z30&lt;&gt;"f"),CX30*2.4/$H30,CX30),IF($F30&lt;OFFSET($BN$9,CL30+3,0,1,1),IF(AND($H30&gt;2.4,Z30&lt;&gt;"e",Z30&lt;&gt;"f"),CX30*2.4/$H30,CX30),0)))))*COS(RADIANS($G30)))</f>
        <v>0</v>
      </c>
      <c r="CU30" s="51">
        <f ca="1">IF(F30&lt;OFFSET($BM$9,CL30-1,0,1,1),0,IF(F30&lt;OFFSET($BN$9,CL30-1,0,1,1),((F30-OFFSET($BM$9,CL30-1,0,1,1))*OFFSET($CI$9,CL30-1,0,1,1))+OFFSET($BP$9,CL30-1,CQ30,1,1),IF(F30&lt;OFFSET($BN$9,CL30+0,0,1,1),((F30-OFFSET($BM$9,CL30+0,0,1,1))*OFFSET($CI$9,CL30+0,0,1,1))+OFFSET($BP$9,CL30+0,CQ30,1,1),IF(F30&lt;OFFSET($BN$9,CL30+1,0,1,1),((F30-OFFSET($BM$9,CL30+1,0,1,1))*OFFSET($CI$9,CL30+1,0,1,1))+OFFSET($BP$9,CL30+1,CQ30,1,1),IF(F30&lt;OFFSET($BN$9,CL30+2,0,1,1),((F30-OFFSET($BM$9,CL30+2,0,1,1))*OFFSET($CI$9,CL30+2,0,1,1))+OFFSET($BP$9,CL30+2,CQ30,1,1),IF(F30&lt;OFFSET($BN$9,CL30+3,0,1,1),((F30-OFFSET($BM$9,CL30+3,0,1,1))*OFFSET($CI$9,CL30+3,0,1,1))+OFFSET($BP$9,CL30+3,CQ30,1,1),0))))))</f>
        <v>0</v>
      </c>
      <c r="CV30" s="51">
        <f ca="1">IF($F30&lt;OFFSET($BM$9,$CL30-1,0,1,1),0,IF($F30&lt;OFFSET($BN$9,$CL30-1,0,1,1),IF(AND($H30&gt;2.4,Z30&lt;&gt;"e",Z30&lt;&gt;"f"),CZ30*2.4/$H30,CZ30),IF($F30&lt;OFFSET($BN$9,$CL30+0,0,1,1),IF(AND($H30&gt;2.4,Z30&lt;&gt;"e",Z30&lt;&gt;"f"),CZ30*2.4/$H30,CZ30),IF($F30&lt;OFFSET($BN$9,$CL30+1,0,1,1),IF(AND($H30&gt;2.4,Z30&lt;&gt;"e",Z30&lt;&gt;"f"),CZ30*2.4/$H30,CZ30),IF($F30&lt;OFFSET($BN$9,$CL30+2,0,1,1),IF(AND($H30&gt;2.4,Z30&lt;&gt;"e",Z30&lt;&gt;"f"),CZ30*2.4/$H30,CZ30),IF($F30&lt;OFFSET($BN$9,$CL30+3,0,1,1),IF(AND($H30&gt;2.4,Z30&lt;&gt;"e",Z30&lt;&gt;"f"),CZ30*2.4/$H30,CZ30),0)))))*COS(RADIANS($G30)))</f>
        <v>0</v>
      </c>
      <c r="CW30" s="51">
        <f ca="1">IF(CT30&gt;CR30,CR30,CT30)</f>
        <v>0</v>
      </c>
      <c r="CX30" s="51">
        <f ca="1">IF(CS30&gt;$CR30,$CR30,CS30)</f>
        <v>0</v>
      </c>
      <c r="CY30" s="51">
        <f ca="1">CW30*F30</f>
        <v>0</v>
      </c>
      <c r="CZ30" s="51">
        <f ca="1">IF($CU30&gt;$CR30,$CR30,$CU30)</f>
        <v>0</v>
      </c>
      <c r="DA30" s="51">
        <f ca="1">IF(CV30&gt;CR30,CR30,CV30)</f>
        <v>0</v>
      </c>
      <c r="DB30" s="51">
        <f ca="1">DA30*F30</f>
        <v>0</v>
      </c>
      <c r="DC30" s="993">
        <v>1</v>
      </c>
      <c r="DD30" s="758" t="str">
        <f>IF(OR(D30=BG$12,D30=BG$13),"External",IF(D30=BG$14,"Internal"," "))</f>
        <v xml:space="preserve"> </v>
      </c>
      <c r="DE30" s="51" t="str">
        <f t="shared" ca="1" si="2"/>
        <v/>
      </c>
      <c r="DF30" s="52" t="str">
        <f t="shared" ca="1" si="3"/>
        <v xml:space="preserve"> </v>
      </c>
      <c r="DG30" s="51">
        <f ca="1">IF(F30&lt;OFFSET($BM$9,CN30-1,0,1,1),0,IF(F30&lt;OFFSET($BN$9,CN30-1,0,1,1),((F30-OFFSET($BM$9,CN30-1,0,1,1))*OFFSET($CH$9,CN30-1,0,1,1))+OFFSET($BO$9,CN30-1,CQ30,1,1),IF(F30&lt;OFFSET($BN$9,CN30+0,0,1,1),((F30-OFFSET($BM$9,CN30+0,0,1,1))*OFFSET($CH$9,CN30+0,0,1,1))+OFFSET($BO$9,CN30+0,CQ30,1,1),IF(F30&lt;OFFSET($BN$9,CN30+1,0,1,1),((F30-OFFSET($BM$9,CN30+1,0,1,1))*OFFSET($CH$9,CN30+1,0,1,1))+OFFSET($BO$9,CN30+1,CQ30,1,1),IF(F30&lt;OFFSET($BN$9,CN30+2,0,1,1),((F30-OFFSET($BM$9,CN30+2,0,1,1))*OFFSET($CH$9,CN30+2,0,1,1))+OFFSET($BO$9,CN30+2,CQ30,1,1),IF(F30&lt;OFFSET($BN$9,CN30+3,0,1,1),((F30-OFFSET($BM$9,CN30+3,0,1,1))*OFFSET($CH$9,CN30+3,0,1,1))+OFFSET($BO$9,CN30+3,CQ30,1,1),0))))))</f>
        <v>0</v>
      </c>
      <c r="DH30" s="51">
        <f ca="1">IF($F30&lt;OFFSET($BM$9,$CN30-1,0,1,1),0,IF($F30&lt;OFFSET($BN$9,$CN30-1,0,1,1),IF(AND($H30&gt;2.4,Z30&lt;&gt;"e",Z30&lt;&gt;"f"),DL30*2.4/$H30,DL30),IF($F30&lt;OFFSET($BN$9,$CN30+0,0,1,1),IF(AND($H30&gt;2.4,Z30&lt;&gt;"e",Z30&lt;&gt;"f"),DL30*2.4/$H30,DL30),IF($F30&lt;OFFSET($BN$9,$CN30+1,0,1,1),IF(AND($H30&gt;2.4,Z30&lt;&gt;"e",Z30&lt;&gt;"f"),DL30*2.4/$H30,DL30),IF($F30&lt;OFFSET($BN$9,$CN30+2,0,1,1),IF(AND($H30&gt;2.4,Z30&lt;&gt;"e",Z30&lt;&gt;"f"),DL30*2.4/$H30,DL30),IF($F30&lt;OFFSET($BN$9,$CN30+3,0,1,1),IF(AND($H30&gt;2.4,Z30&lt;&gt;"e",Z30&lt;&gt;"f"),DL30*2.4/$H30,DL30),0)))))*COS(RADIANS($G30)))</f>
        <v>0</v>
      </c>
      <c r="DI30" s="51">
        <f ca="1">IF(F30&lt;OFFSET($BM$9,CN30-1,0,1,1),0,IF(F30&lt;OFFSET($BN$9,CN30-1,0,1,1),((F30-OFFSET($BM$9,CN30-1,0,1,1))*OFFSET($CI$9,CN30-1,0,1,1))+OFFSET($BP$9,CN30-1,CQ30,1,1),IF(F30&lt;OFFSET($BN$9,CN30+0,0,1,1),((F30-OFFSET($BM$9,CN30+0,0,1,1))*OFFSET($CI$9,CN30+0,0,1,1))+OFFSET($BP$9,CN30+0,CQ30,1,1),IF(F30&lt;OFFSET($BN$9,CN30+1,0,1,1),((F30-OFFSET($BM$9,CN30+1,0,1,1))*OFFSET($CI$9,CN30+1,0,1,1))+OFFSET($BP$9,CN30+1,CQ30,1,1),IF(F30&lt;OFFSET($BN$9,CN30+2,0,1,1),((F30-OFFSET($BM$9,CN30+2,0,1,1))*OFFSET($CI$9,CN30+2,0,1,1))+OFFSET($BP$9,CN30+2,CQ30,1,1),IF(F30&lt;OFFSET($BN$9,CN30+3,0,1,1),((F30-OFFSET($BM$9,CN30+3,0,1,1))*OFFSET($CI$9,CN30+3,0,1,1))+OFFSET($BP$9,CN30+3,CQ30,1,1),0))))))</f>
        <v>0</v>
      </c>
      <c r="DJ30" s="51">
        <f ca="1">IF($F30&lt;OFFSET($BM$9,$CN30-1,0,1,1),0,IF($F30&lt;OFFSET($BN$9,$CN30-1,0,1,1),IF(AND($H30&gt;2.4,Z30&lt;&gt;"e",Z30&lt;&gt;"f"),DN30*2.4/$H30,DN30),IF($F30&lt;OFFSET($BN$9,$CN30+0,0,1,1),IF(AND($H30&gt;2.4,Z30&lt;&gt;"e",Z30&lt;&gt;"f"),DN30*2.4/$H30,DN30),IF($F30&lt;OFFSET($BN$9,$CN30+1,0,1,1),IF(AND($H30&gt;2.4,Z30&lt;&gt;"e",Z30&lt;&gt;"f"),DN30*2.4/$H30,DN30),IF($F30&lt;OFFSET($BN$9,$CN30+2,0,1,1),IF(AND($H30&gt;2.4,Z30&lt;&gt;"e",Z30&lt;&gt;"f"),DN30*2.4/$H30,DN30),IF($F30&lt;OFFSET($BN$9,$CN30+3,0,1,1),IF(AND($H30&gt;2.4,Z30&lt;&gt;"e",Z30&lt;&gt;"f"),DN30*2.4/$H30,DN30),0)))))*COS(RADIANS($G30)))</f>
        <v>0</v>
      </c>
      <c r="DK30" s="51"/>
      <c r="DL30" s="51">
        <f ca="1">IF(DG30&gt;$CR30,$CR30,DG30)</f>
        <v>0</v>
      </c>
      <c r="DM30" s="51"/>
      <c r="DN30" s="51">
        <f ca="1">IF(DI30&gt;$CR30,$CR30,DI30)</f>
        <v>0</v>
      </c>
      <c r="DO30" s="435">
        <f ca="1">IF(DH30&gt;$CR30,$CR30,DH30)</f>
        <v>0</v>
      </c>
      <c r="DP30" s="435">
        <f ca="1">DO30*F30</f>
        <v>0</v>
      </c>
      <c r="DQ30" s="436">
        <f ca="1">IF(DJ30&gt;$CR30,$CR30,DJ30)</f>
        <v>0</v>
      </c>
      <c r="DR30" s="437">
        <f ca="1">DQ30*F30</f>
        <v>0</v>
      </c>
      <c r="DS30" s="426">
        <f ca="1">OFFSET($CH$9,CL30-1,-15,1,1)</f>
        <v>0</v>
      </c>
      <c r="DT30" s="426">
        <f ca="1">VLOOKUP(DS30,Prodlink,2,0)</f>
        <v>0</v>
      </c>
      <c r="DU30" s="188">
        <f ca="1">IF(F30&lt;OFFSET($BM$9,DT30-1,0,1,1),0,IF(F30&lt;OFFSET($BN$9,DT30-1,0,1,1),((F30-OFFSET($BM$9,DT30-1,0,1,1))*OFFSET($CH$9,DT30-1,0,1,1))+OFFSET($BO$9,DT30-1,CQ30,1,1),IF(F30&lt;OFFSET($BN$9,DT30+0,0,1,1),((F30-OFFSET($BM$9,DT30+0,0,1,1))*OFFSET($CH$9,DT30+0,0,1,1))+OFFSET($BO$9,DT30+0,CQ30,1,1),IF(F30&lt;OFFSET($BN$9,DT30+1,0,1,1),((F30-OFFSET($BM$9,DT30+1,0,1,1))*OFFSET($CH$9,DT30+1,0,1,1))+OFFSET($BO$9,DT30+1,CQ30,1,1),IF(F30&lt;OFFSET($BN$9,DT30+2,0,1,1),((F30-OFFSET($BM$9,DT30+2,0,1,1))*OFFSET($CH$9,DT30+2,0,1,1))+OFFSET($BO$9,DT30+2,CQ30,1,1),IF(F30&lt;OFFSET($BN$9,DT30+3,0,1,1),((F30-OFFSET($BM$9,DT30+3,0,1,1))*OFFSET($CH$9,DT30+3,0,1,1))+OFFSET($BO$9,DT30+3,CQ30,1,1),0))))))</f>
        <v>0</v>
      </c>
      <c r="DV30" s="51">
        <f ca="1">IF($F30&lt;OFFSET($BM$9,$DT30-1,0,1,1),0,IF($F30&lt;OFFSET($BN$9,$DT30-1,0,1,1),IF(AND($H30&gt;2.4,Z30&lt;&gt;"e",Z30&lt;&gt;"f"),DZ30*2.4/$H30,DZ30),IF($F30&lt;OFFSET($BN$9,$DT30+0,0,1,1),IF(AND($H30&gt;2.4,Z30&lt;&gt;"e",Z30&lt;&gt;"f"),DZ30*2.4/$H30,DZ30),IF($F30&lt;OFFSET($BN$9,$DT30+1,0,1,1),IF(AND($H30&gt;2.4,Z30&lt;&gt;"e",Z30&lt;&gt;"f"),DZ30*2.4/$H30,DZ30),IF($F30&lt;OFFSET($BN$9,$DT30+2,0,1,1),IF(AND($H30&gt;2.4,Z30&lt;&gt;"e",Z30&lt;&gt;"f"),DZ30*2.4/$H30,DZ30),IF($F30&lt;OFFSET($BN$9,$DT30+3,0,1,1),IF(AND($H30&gt;2.4,Z30&lt;&gt;"e",Z30&lt;&gt;"f"),DZ30*2.4/$H30,DZ30),0)))))*COS(RADIANS($G30)))</f>
        <v>0</v>
      </c>
      <c r="DW30" s="188">
        <f ca="1">IF(F30&lt;OFFSET($BM$9,DT30-1,0,1,1),0,IF(F30&lt;OFFSET($BN$9,DT30-1,0,1,1),((F30-OFFSET($BM$9,DT30-1,0,1,1))*OFFSET($CI$9,DT30-1,0,1,1))+OFFSET($BP$9,DT30-1,CQ30,1,1),IF(F30&lt;OFFSET($BN$9,DT30+0,0,1,1),((F30-OFFSET($BM$9,DT30+0,0,1,1))*OFFSET($CI$9,DT30+0,0,1,1))+OFFSET($BP$9,DT30+0,CQ30,1,1),IF(F30&lt;OFFSET($BN$9,DT30+1,0,1,1),((F30-OFFSET($BM$9,DT30+1,0,1,1))*OFFSET($CI$9,DT30+1,0,1,1))+OFFSET($BP$9,DT30+1,CQ30,1,1),IF(F30&lt;OFFSET($BN$9,DT30+2,0,1,1),((F30-OFFSET($BM$9,DT30+2,0,1,1))*OFFSET($CI$9,DT30+2,0,1,1))+OFFSET($BP$9,DT30+2,CQ30,1,1),IF(F30&lt;OFFSET($BN$9,DT30+3,0,1,1),((F30-OFFSET($BM$9,DT30+3,0,1,1))*OFFSET($CI$9,DT30+3,0,1,1))+OFFSET($BP$9,DT30+3,CQ30,1,1),0))))))</f>
        <v>0</v>
      </c>
      <c r="DX30" s="51">
        <f ca="1">IF($F30&lt;OFFSET($BM$9,$DT30-1,0,1,1),0,IF($F30&lt;OFFSET($BN$9,$DT30-1,0,1,1),IF(AND($H30&gt;2.4,Z30&lt;&gt;"e",Z30&lt;&gt;"f"),EB30*2.4/$H30,EB30),IF($F30&lt;OFFSET($BN$9,$DT30+0,0,1,1),IF(AND($H30&gt;2.4,Z30&lt;&gt;"e",Z30&lt;&gt;"f"),EB30*2.4/$H30,EB30),IF($F30&lt;OFFSET($BN$9,$DT30+1,0,1,1),IF(AND($H30&gt;2.4,Z30&lt;&gt;"e",Z30&lt;&gt;"f"),EB30*2.4/$H30,EB30),IF($F30&lt;OFFSET($BN$9,$DT30+2,0,1,1),IF(AND($H30&gt;2.4,Z30&lt;&gt;"e",Z30&lt;&gt;"f"),EB30*2.4/$H30,EB30),IF($F30&lt;OFFSET($BN$9,$DT30+3,0,1,1),IF(AND($H30&gt;2.4,Z30&lt;&gt;"e",Z30&lt;&gt;"f"),EB30*2.4/$H30,EB30),0)))))*COS(RADIANS($G30)))</f>
        <v>0</v>
      </c>
      <c r="DY30" s="188"/>
      <c r="DZ30" s="188">
        <f ca="1">IF(DU30&gt;$CR30,$CR30,DU30)</f>
        <v>0</v>
      </c>
      <c r="EA30" s="188"/>
      <c r="EB30" s="188">
        <f ca="1">IF(DW30&gt;$CR30,$CR30,DW30)</f>
        <v>0</v>
      </c>
      <c r="EC30" s="435">
        <f ca="1">IF(DV30&gt;$CR30,$CR30,DV30)</f>
        <v>0</v>
      </c>
      <c r="ED30" s="435">
        <f ca="1">EC30*F30</f>
        <v>0</v>
      </c>
      <c r="EE30" s="436">
        <f ca="1">IF(DX30&gt;$CR30,$CR30,DX30)</f>
        <v>0</v>
      </c>
      <c r="EF30" s="437">
        <f ca="1">EE30*F30</f>
        <v>0</v>
      </c>
      <c r="EG30" s="613" t="str">
        <f>IF(D30=BG$12,BG$12,"")</f>
        <v/>
      </c>
      <c r="EH30" s="614" t="str">
        <f>IF(D30=BG$13,BG$13,"")</f>
        <v/>
      </c>
      <c r="EI30" s="611">
        <f>IF(EG30=BG$12,M30,0)</f>
        <v>0</v>
      </c>
      <c r="EJ30" s="451">
        <f>IF(EG30=BG$12,O30,0)</f>
        <v>0</v>
      </c>
      <c r="EK30" s="451">
        <f>IF(EH30=BG$13,M30,0)</f>
        <v>0</v>
      </c>
      <c r="EL30" s="612">
        <f>IF(EH30=BG$13,O30,0)</f>
        <v>0</v>
      </c>
      <c r="EM30" s="426" t="str">
        <f ca="1">IF(AND(Z30&lt;&gt;"t",Z30&lt;&gt;"f"),"",IF(AND(EN30=$BH$13,K30=$BH$12),"NotOpt",IF(K30&lt;&gt;EN30,"Error","")))</f>
        <v/>
      </c>
      <c r="EN30" s="490" t="str">
        <f>IF($BG$28=1,$BH$13,$BH$12)</f>
        <v>120 BU's</v>
      </c>
      <c r="EO30" s="426" t="str">
        <f>K30</f>
        <v xml:space="preserve"> </v>
      </c>
      <c r="ER30" s="439" t="str">
        <f ca="1">IF(H30=0," ",H30)</f>
        <v xml:space="preserve"> </v>
      </c>
      <c r="ES30" s="440" t="str">
        <f ca="1">IF(ER30&lt;&gt;" ",IF(ER30&lt;&gt;ER$7,"Changed",""),"")</f>
        <v/>
      </c>
      <c r="ET30" s="440">
        <f ca="1">IF(ER30&lt;&gt;" ",IF(ER30&lt;&gt;ER$7,1,0),0)</f>
        <v>0</v>
      </c>
      <c r="EU30" s="957" t="str">
        <f ca="1">IF(I30=" "," ",IF(F30&lt;OFFSET($BM$9,CL30-1,0,1,1),1,""))</f>
        <v xml:space="preserve"> </v>
      </c>
      <c r="EW30" s="427"/>
      <c r="EX30"/>
      <c r="EY30"/>
      <c r="EZ30"/>
      <c r="FA30"/>
      <c r="FB30"/>
      <c r="FC30"/>
      <c r="FD30"/>
      <c r="FE30"/>
      <c r="FF30"/>
      <c r="FG30"/>
      <c r="FH30"/>
      <c r="FI30"/>
      <c r="FJ30"/>
      <c r="FK30"/>
      <c r="FL30"/>
      <c r="FM30"/>
      <c r="FN30"/>
      <c r="FO30"/>
    </row>
    <row r="31" spans="2:171" ht="17.100000000000001" customHeight="1" thickBot="1">
      <c r="B31" s="2686" t="s">
        <v>8</v>
      </c>
      <c r="C31" s="2687"/>
      <c r="D31" s="1461" t="s">
        <v>8</v>
      </c>
      <c r="E31" s="659"/>
      <c r="F31" s="659"/>
      <c r="G31" s="659"/>
      <c r="H31" s="659"/>
      <c r="I31" s="1462"/>
      <c r="J31" s="1365" t="str">
        <f ca="1">(CONCATENATE(B26,$BE$54))</f>
        <v>D  Line:  Min. Requirement</v>
      </c>
      <c r="K31" s="23"/>
      <c r="L31" s="1019">
        <f ca="1">L$5</f>
        <v>0</v>
      </c>
      <c r="M31" s="48">
        <f ca="1">IF(B26=B20,SUM(M26:M30)+M25,SUM(M26:M30))</f>
        <v>0</v>
      </c>
      <c r="N31" s="1019">
        <f ca="1">N$5</f>
        <v>0</v>
      </c>
      <c r="O31" s="125">
        <f ca="1">IF(B26=B20,SUM(O26:O30)+O25,SUM(O26:O30))</f>
        <v>0</v>
      </c>
      <c r="P31" s="139"/>
      <c r="Q31" s="42" t="str">
        <f ca="1">IF(B26=B32,"",IF(AND(M31&gt;0,L31=L$5,OR(M31&lt;$M$105,M31&lt;$BF$3)),"Achieved &lt; Min Req per Line",IF(AND(O31&gt;0,N31=N$5,OR(O31&lt;$O$105,O31&lt;$BF$3)),"Achieved &lt; Min Req per Line",IF(AND(M31&gt;0,L31&gt;M31),"More Required on this line",IF(AND(O31&gt;0,N31&gt;O31),"More Required on this line",IF(AND(L31&gt;0,L31&lt;$BF$3),$BE$59,IF(AND(N31&gt;0,N31&lt;$BF$3),$BE$59,"")))))))</f>
        <v/>
      </c>
      <c r="R31" s="52"/>
      <c r="S31" s="52"/>
      <c r="T31" s="52"/>
      <c r="U31" s="1378"/>
      <c r="V31" s="52"/>
      <c r="W31" s="999"/>
      <c r="X31" s="999"/>
      <c r="Y31" s="896"/>
      <c r="Z31" s="52"/>
      <c r="AA31" s="51"/>
      <c r="AB31" s="1364"/>
      <c r="AC31" s="1"/>
      <c r="AJ31" s="2230"/>
      <c r="AK31" s="2779"/>
      <c r="AL31" s="2785"/>
      <c r="AM31" s="1177">
        <f>'Regular and QuickBrace Systems'!F46</f>
        <v>1.2</v>
      </c>
      <c r="AN31" s="1274">
        <f>'Regular and QuickBrace Systems'!G46</f>
        <v>150</v>
      </c>
      <c r="AO31" s="1275">
        <f>'Regular and QuickBrace Systems'!H46</f>
        <v>135</v>
      </c>
      <c r="AP31" s="1277"/>
      <c r="AQ31" s="2665"/>
      <c r="AR31" s="2666"/>
      <c r="AS31" s="2032"/>
      <c r="AT31" s="1339"/>
      <c r="AU31" s="2132"/>
      <c r="AW31" s="1570" t="str">
        <f>'Regular and QuickBrace Systems'!O46</f>
        <v>Yes</v>
      </c>
      <c r="AX31" s="1574" t="str">
        <f>'Regular and QuickBrace Systems'!Q46</f>
        <v>Yes</v>
      </c>
      <c r="BD31" s="2648"/>
      <c r="BF31" s="599" t="str">
        <f>'Custom Elements'!C15</f>
        <v>Custom7</v>
      </c>
      <c r="BI31" s="759"/>
      <c r="BJ31" s="897">
        <f t="shared" si="4"/>
        <v>23</v>
      </c>
      <c r="BK31" s="775" t="str">
        <f t="shared" si="7"/>
        <v xml:space="preserve"> </v>
      </c>
      <c r="BL31" s="772" t="str">
        <f t="shared" si="8"/>
        <v>Custom20</v>
      </c>
      <c r="BM31" s="776">
        <f t="shared" si="9"/>
        <v>9.9999999999999996E-76</v>
      </c>
      <c r="BN31" s="776">
        <v>999</v>
      </c>
      <c r="BO31" s="776">
        <f t="shared" si="10"/>
        <v>0</v>
      </c>
      <c r="BP31" s="926">
        <f t="shared" si="11"/>
        <v>0</v>
      </c>
      <c r="BR31" s="908"/>
      <c r="BS31" s="776"/>
      <c r="BT31" s="455" t="str">
        <f t="shared" si="12"/>
        <v>B</v>
      </c>
      <c r="BU31" s="925" t="str">
        <f t="shared" si="13"/>
        <v>T</v>
      </c>
      <c r="BV31" s="1030" t="str">
        <f t="shared" si="14"/>
        <v>Custom20</v>
      </c>
      <c r="BW31" s="1237">
        <f t="shared" si="17"/>
        <v>23</v>
      </c>
      <c r="BX31" s="925" t="str">
        <f t="shared" si="15"/>
        <v>Single</v>
      </c>
      <c r="CH31" s="908">
        <f>IF(BN31=999,0,(BO41-BO31)/(BN31-BM31))</f>
        <v>0</v>
      </c>
      <c r="CI31" s="926">
        <f>IF(BN31=999,0,(BP41-BP31)/(BN31-BM31))</f>
        <v>0</v>
      </c>
      <c r="CJ31" s="759"/>
      <c r="CK31" s="188"/>
      <c r="CL31" s="979"/>
      <c r="CN31" s="497"/>
      <c r="CO31" s="497"/>
      <c r="CQ31" s="51"/>
      <c r="CR31" s="51" t="s">
        <v>8</v>
      </c>
      <c r="CS31" s="51"/>
      <c r="CT31" s="51" t="s">
        <v>8</v>
      </c>
      <c r="CU31" s="51"/>
      <c r="CV31" s="51" t="s">
        <v>8</v>
      </c>
      <c r="CW31" s="51"/>
      <c r="CX31" s="51"/>
      <c r="CY31" s="51"/>
      <c r="CZ31" s="51"/>
      <c r="DD31" s="758"/>
      <c r="DF31" s="52"/>
      <c r="DG31" s="51"/>
      <c r="DH31" s="51"/>
      <c r="DI31" s="51"/>
      <c r="DJ31" s="51"/>
      <c r="DK31" s="51"/>
      <c r="DL31" s="51"/>
      <c r="DM31" s="51"/>
      <c r="DN31" s="51"/>
      <c r="DO31" s="435"/>
      <c r="DP31" s="435"/>
      <c r="DQ31" s="868"/>
      <c r="DR31" s="868"/>
      <c r="DU31" s="188"/>
      <c r="DV31" s="188" t="s">
        <v>8</v>
      </c>
      <c r="DW31" s="188"/>
      <c r="DX31" s="188" t="s">
        <v>8</v>
      </c>
      <c r="DY31" s="188"/>
      <c r="DZ31" s="188"/>
      <c r="EA31" s="188"/>
      <c r="EB31" s="188"/>
      <c r="EC31" s="435"/>
      <c r="ED31" s="435"/>
      <c r="EE31" s="868"/>
      <c r="EF31" s="867"/>
      <c r="EG31" s="613"/>
      <c r="EH31" s="614"/>
      <c r="EI31" s="613"/>
      <c r="EJ31" s="435"/>
      <c r="EK31" s="451"/>
      <c r="EL31" s="612"/>
      <c r="EN31" s="947"/>
      <c r="ER31" s="441"/>
      <c r="ES31" s="440"/>
      <c r="ET31" s="440"/>
      <c r="EU31" s="957"/>
      <c r="EW31" s="427"/>
      <c r="EX31"/>
      <c r="EY31"/>
      <c r="EZ31"/>
      <c r="FA31"/>
      <c r="FB31"/>
      <c r="FC31"/>
      <c r="FD31"/>
      <c r="FE31"/>
      <c r="FF31"/>
      <c r="FG31"/>
      <c r="FH31"/>
      <c r="FI31"/>
      <c r="FJ31"/>
      <c r="FK31"/>
      <c r="FL31"/>
      <c r="FM31"/>
      <c r="FN31"/>
      <c r="FO31"/>
    </row>
    <row r="32" spans="2:171" ht="17.100000000000001" customHeight="1" thickBot="1">
      <c r="B32" s="1369" t="str">
        <f ca="1">S32</f>
        <v>E</v>
      </c>
      <c r="C32" s="684" t="str">
        <f>IF(OR(F32=0,I32="",I32=" ")," ",$V32)</f>
        <v xml:space="preserve"> </v>
      </c>
      <c r="D32" s="1033"/>
      <c r="E32" s="1360"/>
      <c r="F32" s="202"/>
      <c r="G32" s="1416"/>
      <c r="H32" s="199" t="str">
        <f ca="1">IF(OR(F32=0,Z32="E",Z32="f")," ",'Project Demand'!E$45)</f>
        <v xml:space="preserve"> </v>
      </c>
      <c r="I32" s="631" t="str">
        <f>IF($I$6&lt;&gt;$BG$8," ",AB32)</f>
        <v xml:space="preserve"> </v>
      </c>
      <c r="J32" s="43" t="str">
        <f ca="1">IF(OR(I32=" ",I32="")," ",OFFSET($BO$9,CL32-1,0-4,1,1))</f>
        <v xml:space="preserve"> </v>
      </c>
      <c r="K32" s="55" t="str">
        <f>IF(OR(I32=" ",I32="")," ",IF(OR(Z32="e",Z32="h"),"SD",BG$24))</f>
        <v xml:space="preserve"> </v>
      </c>
      <c r="L32" s="49">
        <f ca="1">CW32</f>
        <v>0</v>
      </c>
      <c r="M32" s="49">
        <f ca="1">CY32</f>
        <v>0</v>
      </c>
      <c r="N32" s="50">
        <f t="shared" ref="N32:O36" ca="1" si="20">DA32</f>
        <v>0</v>
      </c>
      <c r="O32" s="126">
        <f t="shared" ca="1" si="20"/>
        <v>0</v>
      </c>
      <c r="P32" s="140"/>
      <c r="Q32" s="752" t="str">
        <f ca="1">IF(AND(OR(Z32="t",Z32="f"),K32=$BH$11),"No Floor!  Change Floor Type",IF(OR(I32=" ",I32="")," ",IF(F32&lt;OFFSET($BM$9,CL32-1,0,1,1),"check L(m)",DE32&amp;IF(AND(DP32&gt;=CY32,DR32&gt;=DB32),IF(AND(ED32&gt;=DP32,EF32&gt;=DR32),CONCATENATE(DS32," will provide same result"),CONCATENATE(CO32," will provide same result")),IF((DP32&gt;=CY32),CONCATENATE(CO32," provides same result in WIND"),IF((DR32&gt;=DB32),CONCATENATE(CO32," provides same result in EQ"),""))))))&amp;IF(ISERROR(FIND("pile",I32,1)),"",IF(INT(F32)&lt;&gt;F32,"Pile!  Use Whole Numbers Only",""))</f>
        <v xml:space="preserve"> </v>
      </c>
      <c r="R32" s="52">
        <f ca="1">IF(T26&lt;&gt;2,(COLUMN(INDIRECT(B26&amp;1))+1),U32)</f>
        <v>5</v>
      </c>
      <c r="S32" s="1372" t="str">
        <f ca="1">SUBSTITUTE(ADDRESS(1,R32,4),"1","")</f>
        <v>E</v>
      </c>
      <c r="T32" s="451">
        <f ca="1">IF(AND(ISTEXT(B32),SUBSTITUTE(SUBSTITUTE(SUBSTITUTE(SUBSTITUTE(SUBSTITUTE(SUBSTITUTE(SUBSTITUTE(SUBSTITUTE(SUBSTITUTE(SUBSTITUTE(SUBSTITUTE(SUBSTITUTE(SUBSTITUTE(SUBSTITUTE(SUBSTITUTE(SUBSTITUTE(SUBSTITUTE(SUBSTITUTE(SUBSTITUTE(SUBSTITUTE(SUBSTITUTE(SUBSTITUTE(SUBSTITUTE(SUBSTITUTE(SUBSTITUTE(SUBSTITUTE(LOWER(B32),"a",),"b",),"c",),"d",),"e",),"f",),"g",),"h",),"i",),"j",),"k",),"l",),"m",),"n",),"o",),"p",),"q",),"r",),"s",),"t",),"u",),"v",),"w",),"x",),"y",),"z",)=""),1,2)</f>
        <v>1</v>
      </c>
      <c r="U32" s="1377">
        <v>5</v>
      </c>
      <c r="V32" s="52" t="str">
        <f ca="1">IF(AND(B$5=$BF$9,OR(I32=BH$16,I32=BH$17))," ",IF(ISNUMBER(B$32),(CONCATENATE(B$32,".",W32)),(CONCATENATE(B$32,W32))))</f>
        <v>E0</v>
      </c>
      <c r="W32" s="9">
        <f ca="1">IF(B26=B32,W30+X32,X32)</f>
        <v>0</v>
      </c>
      <c r="X32" s="9">
        <f>IF(AND(B$5=$BF$9,OR($I32=$BH$16,$I32=$BH$17,$I32=" ",$I32="",$F32=0)),0,IF(OR($I32=" ",$I32="",$F32=0),0,1))</f>
        <v>0</v>
      </c>
      <c r="Y32" s="896">
        <f ca="1">IF(AND(M37&gt;0,B32&lt;&gt;B38),1,0)</f>
        <v>0</v>
      </c>
      <c r="Z32" s="52" t="str">
        <f ca="1">IF(I32=" "," ",OFFSET($BM$9,$CL32-1,8,1,1))</f>
        <v xml:space="preserve"> </v>
      </c>
      <c r="AA32" s="51" t="str">
        <f>IF(G32&gt;=45,"WA","")</f>
        <v/>
      </c>
      <c r="AB32" s="1364" t="str">
        <f>IF(F32&lt;&gt;"",IF(OR(D32=$BG$12,D32=$BG$13),IF(E32&lt;&gt;$BG$17,$BF$12,$BF$13),IF(E32&lt;&gt;$BG$17,$BF$12,$BF$13))," ")</f>
        <v xml:space="preserve"> </v>
      </c>
      <c r="AC32" s="1"/>
      <c r="AJ32" s="2230"/>
      <c r="AK32" s="2779"/>
      <c r="AL32" s="2783" t="str">
        <f>'Regular and QuickBrace Systems'!E47</f>
        <v>EMSH</v>
      </c>
      <c r="AM32" s="1176">
        <f>'Regular and QuickBrace Systems'!F47</f>
        <v>0.4</v>
      </c>
      <c r="AN32" s="1272">
        <f>'Regular and QuickBrace Systems'!G47</f>
        <v>110</v>
      </c>
      <c r="AO32" s="1273">
        <f>'Regular and QuickBrace Systems'!H47</f>
        <v>115</v>
      </c>
      <c r="AP32" s="1594"/>
      <c r="AQ32" s="2661" t="str">
        <f>'Regular and QuickBrace Systems'!I41</f>
        <v>Specialised QuickBrace Pattern</v>
      </c>
      <c r="AR32" s="2662"/>
      <c r="AS32" s="2030" t="str">
        <f>'Regular and QuickBrace Systems'!K44</f>
        <v>Yes</v>
      </c>
      <c r="AT32" s="1339"/>
      <c r="AU32" s="2133" t="str">
        <f>'Regular and QuickBrace Systems'!M47</f>
        <v>Elephant Multiboard One side,           Elephant Standard-Plus board the Other</v>
      </c>
      <c r="AW32" s="1567" t="str">
        <f>'Regular and QuickBrace Systems'!O47</f>
        <v>Yes</v>
      </c>
      <c r="AX32" s="1573" t="str">
        <f>'Regular and QuickBrace Systems'!Q47</f>
        <v>No</v>
      </c>
      <c r="BD32" s="2648"/>
      <c r="BF32" s="599" t="str">
        <f>'Custom Elements'!C16</f>
        <v>Custom8</v>
      </c>
      <c r="BG32" s="948" t="s">
        <v>775</v>
      </c>
      <c r="BI32" s="759"/>
      <c r="BJ32" s="897">
        <f t="shared" si="4"/>
        <v>24</v>
      </c>
      <c r="BW32" s="896"/>
      <c r="CH32" s="970"/>
      <c r="CI32" s="971"/>
      <c r="CJ32" s="759"/>
      <c r="CK32" s="188"/>
      <c r="CL32" s="979">
        <f>VLOOKUP(I32,Prodlink,2,0)</f>
        <v>0</v>
      </c>
      <c r="CN32" s="497">
        <f t="shared" ca="1" si="1"/>
        <v>0</v>
      </c>
      <c r="CO32" s="497">
        <f ca="1">OFFSET($CH$9,CL32-1,-15,1,1)</f>
        <v>0</v>
      </c>
      <c r="CQ32" s="51">
        <v>0</v>
      </c>
      <c r="CR32" s="51">
        <f>IF(K32=$BH$12,$BH$23,IF(K32=$BH$13,$BH$24,10000))</f>
        <v>10000</v>
      </c>
      <c r="CS32" s="51">
        <f ca="1">IF(F32&lt;OFFSET($BM$9,CL32-1,0,1,1),0,IF(F32&lt;OFFSET($BN$9,CL32-1,0,1,1),((F32-OFFSET($BM$9,CL32-1,0,1,1))*OFFSET($CH$9,CL32-1,0,1,1))+OFFSET($BO$9,CL32-1,CQ32,1,1),IF(F32&lt;OFFSET($BN$9,CL32+0,0,1,1),((F32-OFFSET($BM$9,CL32+0,0,1,1))*OFFSET($CH$9,CL32+0,0,1,1))+OFFSET($BO$9,CL32+0,CQ32,1,1),IF(F32&lt;OFFSET($BN$9,CL32+1,0,1,1),((F32-OFFSET($BM$9,CL32+1,0,1,1))*OFFSET($CH$9,CL32+1,0,1,1))+OFFSET($BO$9,CL32+1,CQ32,1,1),IF(F32&lt;OFFSET($BN$9,CL32+2,0,1,1),((F32-OFFSET($BM$9,CL32+2,0,1,1))*OFFSET($CH$9,CL32+2,0,1,1))+OFFSET($BO$9,CL32+2,CQ32,1,1),IF(F32&lt;OFFSET($BN$9,CL32+3,0,1,1),((F32-OFFSET($BM$9,CL32+3,0,1,1))*OFFSET($CH$9,CL32+3,0,1,1))+OFFSET($BO$9,CL32+3,CQ32,1,1),0))))))</f>
        <v>0</v>
      </c>
      <c r="CT32" s="51">
        <f ca="1">IF($F32&lt;OFFSET($BM$9,$CL32-1,0,1,1),0,IF($F32&lt;OFFSET($BN$9,$CL32-1,0,1,1),IF(AND($H32&gt;2.4,Z32&lt;&gt;"e",Z32&lt;&gt;"f"),CX32*2.4/$H32,CX32),IF($F32&lt;OFFSET($BN$9,$CL32+0,0,1,1),IF(AND($H32&gt;2.4,Z32&lt;&gt;"e",Z32&lt;&gt;"f"),CX32*2.4/$H32,CX32),IF($F32&lt;OFFSET($BN$9,$CL32+1,0,1,1),IF(AND($H32&gt;2.4,Z32&lt;&gt;"e",Z32&lt;&gt;"f"),CX32*2.4/$H32,CX32),IF($F32&lt;OFFSET($BN$9,CL32+2,0,1,1),IF(AND($H32&gt;2.4,Z32&lt;&gt;"e",Z32&lt;&gt;"f"),CX32*2.4/$H32,CX32),IF($F32&lt;OFFSET($BN$9,CL32+3,0,1,1),IF(AND($H32&gt;2.4,Z32&lt;&gt;"e",Z32&lt;&gt;"f"),CX32*2.4/$H32,CX32),0)))))*COS(RADIANS($G32)))</f>
        <v>0</v>
      </c>
      <c r="CU32" s="51">
        <f ca="1">IF(F32&lt;OFFSET($BM$9,CL32-1,0,1,1),0,IF(F32&lt;OFFSET($BN$9,CL32-1,0,1,1),((F32-OFFSET($BM$9,CL32-1,0,1,1))*OFFSET($CI$9,CL32-1,0,1,1))+OFFSET($BP$9,CL32-1,CQ32,1,1),IF(F32&lt;OFFSET($BN$9,CL32+0,0,1,1),((F32-OFFSET($BM$9,CL32+0,0,1,1))*OFFSET($CI$9,CL32+0,0,1,1))+OFFSET($BP$9,CL32+0,CQ32,1,1),IF(F32&lt;OFFSET($BN$9,CL32+1,0,1,1),((F32-OFFSET($BM$9,CL32+1,0,1,1))*OFFSET($CI$9,CL32+1,0,1,1))+OFFSET($BP$9,CL32+1,CQ32,1,1),IF(F32&lt;OFFSET($BN$9,CL32+2,0,1,1),((F32-OFFSET($BM$9,CL32+2,0,1,1))*OFFSET($CI$9,CL32+2,0,1,1))+OFFSET($BP$9,CL32+2,CQ32,1,1),IF(F32&lt;OFFSET($BN$9,CL32+3,0,1,1),((F32-OFFSET($BM$9,CL32+3,0,1,1))*OFFSET($CI$9,CL32+3,0,1,1))+OFFSET($BP$9,CL32+3,CQ32,1,1),0))))))</f>
        <v>0</v>
      </c>
      <c r="CV32" s="51">
        <f ca="1">IF($F32&lt;OFFSET($BM$9,$CL32-1,0,1,1),0,IF($F32&lt;OFFSET($BN$9,$CL32-1,0,1,1),IF(AND($H32&gt;2.4,Z32&lt;&gt;"e",Z32&lt;&gt;"f"),CZ32*2.4/$H32,CZ32),IF($F32&lt;OFFSET($BN$9,$CL32+0,0,1,1),IF(AND($H32&gt;2.4,Z32&lt;&gt;"e",Z32&lt;&gt;"f"),CZ32*2.4/$H32,CZ32),IF($F32&lt;OFFSET($BN$9,$CL32+1,0,1,1),IF(AND($H32&gt;2.4,Z32&lt;&gt;"e",Z32&lt;&gt;"f"),CZ32*2.4/$H32,CZ32),IF($F32&lt;OFFSET($BN$9,$CL32+2,0,1,1),IF(AND($H32&gt;2.4,Z32&lt;&gt;"e",Z32&lt;&gt;"f"),CZ32*2.4/$H32,CZ32),IF($F32&lt;OFFSET($BN$9,$CL32+3,0,1,1),IF(AND($H32&gt;2.4,Z32&lt;&gt;"e",Z32&lt;&gt;"f"),CZ32*2.4/$H32,CZ32),0)))))*COS(RADIANS($G32)))</f>
        <v>0</v>
      </c>
      <c r="CW32" s="51">
        <f ca="1">IF(CT32&gt;CR32,CR32,CT32)</f>
        <v>0</v>
      </c>
      <c r="CX32" s="51">
        <f ca="1">IF(CS32&gt;$CR32,$CR32,CS32)</f>
        <v>0</v>
      </c>
      <c r="CY32" s="51">
        <f ca="1">CW32*F32</f>
        <v>0</v>
      </c>
      <c r="CZ32" s="51">
        <f ca="1">IF($CU32&gt;$CR32,$CR32,$CU32)</f>
        <v>0</v>
      </c>
      <c r="DA32" s="51">
        <f ca="1">IF(CV32&gt;CR32,CR32,CV32)</f>
        <v>0</v>
      </c>
      <c r="DB32" s="51">
        <f ca="1">DA32*F32</f>
        <v>0</v>
      </c>
      <c r="DC32" s="993">
        <v>1</v>
      </c>
      <c r="DD32" s="758" t="str">
        <f>IF(OR(D32=BG$12,D32=BG$13),"External",IF(D32=BG$14,"Internal"," "))</f>
        <v xml:space="preserve"> </v>
      </c>
      <c r="DE32" s="51" t="str">
        <f t="shared" ca="1" si="2"/>
        <v/>
      </c>
      <c r="DF32" s="52" t="str">
        <f t="shared" ca="1" si="3"/>
        <v xml:space="preserve"> </v>
      </c>
      <c r="DG32" s="51">
        <f ca="1">IF(F32&lt;OFFSET($BM$9,CN32-1,0,1,1),0,IF(F32&lt;OFFSET($BN$9,CN32-1,0,1,1),((F32-OFFSET($BM$9,CN32-1,0,1,1))*OFFSET($CH$9,CN32-1,0,1,1))+OFFSET($BO$9,CN32-1,CQ32,1,1),IF(F32&lt;OFFSET($BN$9,CN32+0,0,1,1),((F32-OFFSET($BM$9,CN32+0,0,1,1))*OFFSET($CH$9,CN32+0,0,1,1))+OFFSET($BO$9,CN32+0,CQ32,1,1),IF(F32&lt;OFFSET($BN$9,CN32+1,0,1,1),((F32-OFFSET($BM$9,CN32+1,0,1,1))*OFFSET($CH$9,CN32+1,0,1,1))+OFFSET($BO$9,CN32+1,CQ32,1,1),IF(F32&lt;OFFSET($BN$9,CN32+2,0,1,1),((F32-OFFSET($BM$9,CN32+2,0,1,1))*OFFSET($CH$9,CN32+2,0,1,1))+OFFSET($BO$9,CN32+2,CQ32,1,1),IF(F32&lt;OFFSET($BN$9,CN32+3,0,1,1),((F32-OFFSET($BM$9,CN32+3,0,1,1))*OFFSET($CH$9,CN32+3,0,1,1))+OFFSET($BO$9,CN32+3,CQ32,1,1),0))))))</f>
        <v>0</v>
      </c>
      <c r="DH32" s="51">
        <f ca="1">IF($F32&lt;OFFSET($BM$9,$CN32-1,0,1,1),0,IF($F32&lt;OFFSET($BN$9,$CN32-1,0,1,1),IF(AND($H32&gt;2.4,Z32&lt;&gt;"e",Z32&lt;&gt;"f"),DL32*2.4/$H32,DL32),IF($F32&lt;OFFSET($BN$9,$CN32+0,0,1,1),IF(AND($H32&gt;2.4,Z32&lt;&gt;"e",Z32&lt;&gt;"f"),DL32*2.4/$H32,DL32),IF($F32&lt;OFFSET($BN$9,$CN32+1,0,1,1),IF(AND($H32&gt;2.4,Z32&lt;&gt;"e",Z32&lt;&gt;"f"),DL32*2.4/$H32,DL32),IF($F32&lt;OFFSET($BN$9,$CN32+2,0,1,1),IF(AND($H32&gt;2.4,Z32&lt;&gt;"e",Z32&lt;&gt;"f"),DL32*2.4/$H32,DL32),IF($F32&lt;OFFSET($BN$9,$CN32+3,0,1,1),IF(AND($H32&gt;2.4,Z32&lt;&gt;"e",Z32&lt;&gt;"f"),DL32*2.4/$H32,DL32),0)))))*COS(RADIANS($G32)))</f>
        <v>0</v>
      </c>
      <c r="DI32" s="51">
        <f ca="1">IF(F32&lt;OFFSET($BM$9,CN32-1,0,1,1),0,IF(F32&lt;OFFSET($BN$9,CN32-1,0,1,1),((F32-OFFSET($BM$9,CN32-1,0,1,1))*OFFSET($CI$9,CN32-1,0,1,1))+OFFSET($BP$9,CN32-1,CQ32,1,1),IF(F32&lt;OFFSET($BN$9,CN32+0,0,1,1),((F32-OFFSET($BM$9,CN32+0,0,1,1))*OFFSET($CI$9,CN32+0,0,1,1))+OFFSET($BP$9,CN32+0,CQ32,1,1),IF(F32&lt;OFFSET($BN$9,CN32+1,0,1,1),((F32-OFFSET($BM$9,CN32+1,0,1,1))*OFFSET($CI$9,CN32+1,0,1,1))+OFFSET($BP$9,CN32+1,CQ32,1,1),IF(F32&lt;OFFSET($BN$9,CN32+2,0,1,1),((F32-OFFSET($BM$9,CN32+2,0,1,1))*OFFSET($CI$9,CN32+2,0,1,1))+OFFSET($BP$9,CN32+2,CQ32,1,1),IF(F32&lt;OFFSET($BN$9,CN32+3,0,1,1),((F32-OFFSET($BM$9,CN32+3,0,1,1))*OFFSET($CI$9,CN32+3,0,1,1))+OFFSET($BP$9,CN32+3,CQ32,1,1),0))))))</f>
        <v>0</v>
      </c>
      <c r="DJ32" s="51">
        <f ca="1">IF($F32&lt;OFFSET($BM$9,$CN32-1,0,1,1),0,IF($F32&lt;OFFSET($BN$9,$CN32-1,0,1,1),IF(AND($H32&gt;2.4,Z32&lt;&gt;"e",Z32&lt;&gt;"f"),DN32*2.4/$H32,DN32),IF($F32&lt;OFFSET($BN$9,$CN32+0,0,1,1),IF(AND($H32&gt;2.4,Z32&lt;&gt;"e",Z32&lt;&gt;"f"),DN32*2.4/$H32,DN32),IF($F32&lt;OFFSET($BN$9,$CN32+1,0,1,1),IF(AND($H32&gt;2.4,Z32&lt;&gt;"e",Z32&lt;&gt;"f"),DN32*2.4/$H32,DN32),IF($F32&lt;OFFSET($BN$9,$CN32+2,0,1,1),IF(AND($H32&gt;2.4,Z32&lt;&gt;"e",Z32&lt;&gt;"f"),DN32*2.4/$H32,DN32),IF($F32&lt;OFFSET($BN$9,$CN32+3,0,1,1),IF(AND($H32&gt;2.4,Z32&lt;&gt;"e",Z32&lt;&gt;"f"),DN32*2.4/$H32,DN32),0)))))*COS(RADIANS($G32)))</f>
        <v>0</v>
      </c>
      <c r="DK32" s="51"/>
      <c r="DL32" s="51">
        <f ca="1">IF(DG32&gt;$CR32,$CR32,DG32)</f>
        <v>0</v>
      </c>
      <c r="DM32" s="51"/>
      <c r="DN32" s="51">
        <f ca="1">IF(DI32&gt;$CR32,$CR32,DI32)</f>
        <v>0</v>
      </c>
      <c r="DO32" s="435">
        <f ca="1">IF(DH32&gt;$CR32,$CR32,DH32)</f>
        <v>0</v>
      </c>
      <c r="DP32" s="435">
        <f ca="1">DO32*F32</f>
        <v>0</v>
      </c>
      <c r="DQ32" s="436">
        <f ca="1">IF(DJ32&gt;$CR32,$CR32,DJ32)</f>
        <v>0</v>
      </c>
      <c r="DR32" s="437">
        <f ca="1">DQ32*F32</f>
        <v>0</v>
      </c>
      <c r="DS32" s="426">
        <f ca="1">OFFSET($CH$9,CL32-1,-15,1,1)</f>
        <v>0</v>
      </c>
      <c r="DT32" s="426">
        <f ca="1">VLOOKUP(DS32,Prodlink,2,0)</f>
        <v>0</v>
      </c>
      <c r="DU32" s="188">
        <f ca="1">IF(F32&lt;OFFSET($BM$9,DT32-1,0,1,1),0,IF(F32&lt;OFFSET($BN$9,DT32-1,0,1,1),((F32-OFFSET($BM$9,DT32-1,0,1,1))*OFFSET($CH$9,DT32-1,0,1,1))+OFFSET($BO$9,DT32-1,CQ32,1,1),IF(F32&lt;OFFSET($BN$9,DT32+0,0,1,1),((F32-OFFSET($BM$9,DT32+0,0,1,1))*OFFSET($CH$9,DT32+0,0,1,1))+OFFSET($BO$9,DT32+0,CQ32,1,1),IF(F32&lt;OFFSET($BN$9,DT32+1,0,1,1),((F32-OFFSET($BM$9,DT32+1,0,1,1))*OFFSET($CH$9,DT32+1,0,1,1))+OFFSET($BO$9,DT32+1,CQ32,1,1),IF(F32&lt;OFFSET($BN$9,DT32+2,0,1,1),((F32-OFFSET($BM$9,DT32+2,0,1,1))*OFFSET($CH$9,DT32+2,0,1,1))+OFFSET($BO$9,DT32+2,CQ32,1,1),IF(F32&lt;OFFSET($BN$9,DT32+3,0,1,1),((F32-OFFSET($BM$9,DT32+3,0,1,1))*OFFSET($CH$9,DT32+3,0,1,1))+OFFSET($BO$9,DT32+3,CQ32,1,1),0))))))</f>
        <v>0</v>
      </c>
      <c r="DV32" s="51">
        <f ca="1">IF($F32&lt;OFFSET($BM$9,$DT32-1,0,1,1),0,IF($F32&lt;OFFSET($BN$9,$DT32-1,0,1,1),IF(AND($H32&gt;2.4,Z32&lt;&gt;"e",Z32&lt;&gt;"f"),DZ32*2.4/$H32,DZ32),IF($F32&lt;OFFSET($BN$9,$DT32+0,0,1,1),IF(AND($H32&gt;2.4,Z32&lt;&gt;"e",Z32&lt;&gt;"f"),DZ32*2.4/$H32,DZ32),IF($F32&lt;OFFSET($BN$9,$DT32+1,0,1,1),IF(AND($H32&gt;2.4,Z32&lt;&gt;"e",Z32&lt;&gt;"f"),DZ32*2.4/$H32,DZ32),IF($F32&lt;OFFSET($BN$9,$DT32+2,0,1,1),IF(AND($H32&gt;2.4,Z32&lt;&gt;"e",Z32&lt;&gt;"f"),DZ32*2.4/$H32,DZ32),IF($F32&lt;OFFSET($BN$9,$DT32+3,0,1,1),IF(AND($H32&gt;2.4,Z32&lt;&gt;"e",Z32&lt;&gt;"f"),DZ32*2.4/$H32,DZ32),0)))))*COS(RADIANS($G32)))</f>
        <v>0</v>
      </c>
      <c r="DW32" s="188">
        <f ca="1">IF(F32&lt;OFFSET($BM$9,DT32-1,0,1,1),0,IF(F32&lt;OFFSET($BN$9,DT32-1,0,1,1),((F32-OFFSET($BM$9,DT32-1,0,1,1))*OFFSET($CI$9,DT32-1,0,1,1))+OFFSET($BP$9,DT32-1,CQ32,1,1),IF(F32&lt;OFFSET($BN$9,DT32+0,0,1,1),((F32-OFFSET($BM$9,DT32+0,0,1,1))*OFFSET($CI$9,DT32+0,0,1,1))+OFFSET($BP$9,DT32+0,CQ32,1,1),IF(F32&lt;OFFSET($BN$9,DT32+1,0,1,1),((F32-OFFSET($BM$9,DT32+1,0,1,1))*OFFSET($CI$9,DT32+1,0,1,1))+OFFSET($BP$9,DT32+1,CQ32,1,1),IF(F32&lt;OFFSET($BN$9,DT32+2,0,1,1),((F32-OFFSET($BM$9,DT32+2,0,1,1))*OFFSET($CI$9,DT32+2,0,1,1))+OFFSET($BP$9,DT32+2,CQ32,1,1),IF(F32&lt;OFFSET($BN$9,DT32+3,0,1,1),((F32-OFFSET($BM$9,DT32+3,0,1,1))*OFFSET($CI$9,DT32+3,0,1,1))+OFFSET($BP$9,DT32+3,CQ32,1,1),0))))))</f>
        <v>0</v>
      </c>
      <c r="DX32" s="51">
        <f ca="1">IF($F32&lt;OFFSET($BM$9,$DT32-1,0,1,1),0,IF($F32&lt;OFFSET($BN$9,$DT32-1,0,1,1),IF(AND($H32&gt;2.4,Z32&lt;&gt;"e",Z32&lt;&gt;"f"),EB32*2.4/$H32,EB32),IF($F32&lt;OFFSET($BN$9,$DT32+0,0,1,1),IF(AND($H32&gt;2.4,Z32&lt;&gt;"e",Z32&lt;&gt;"f"),EB32*2.4/$H32,EB32),IF($F32&lt;OFFSET($BN$9,$DT32+1,0,1,1),IF(AND($H32&gt;2.4,Z32&lt;&gt;"e",Z32&lt;&gt;"f"),EB32*2.4/$H32,EB32),IF($F32&lt;OFFSET($BN$9,$DT32+2,0,1,1),IF(AND($H32&gt;2.4,Z32&lt;&gt;"e",Z32&lt;&gt;"f"),EB32*2.4/$H32,EB32),IF($F32&lt;OFFSET($BN$9,$DT32+3,0,1,1),IF(AND($H32&gt;2.4,Z32&lt;&gt;"e",Z32&lt;&gt;"f"),EB32*2.4/$H32,EB32),0)))))*COS(RADIANS($G32)))</f>
        <v>0</v>
      </c>
      <c r="DY32" s="188"/>
      <c r="DZ32" s="188">
        <f ca="1">IF(DU32&gt;$CR32,$CR32,DU32)</f>
        <v>0</v>
      </c>
      <c r="EA32" s="188"/>
      <c r="EB32" s="188">
        <f ca="1">IF(DW32&gt;$CR32,$CR32,DW32)</f>
        <v>0</v>
      </c>
      <c r="EC32" s="435">
        <f ca="1">IF(DV32&gt;$CR32,$CR32,DV32)</f>
        <v>0</v>
      </c>
      <c r="ED32" s="435">
        <f ca="1">EC32*F32</f>
        <v>0</v>
      </c>
      <c r="EE32" s="436">
        <f ca="1">IF(DX32&gt;$CR32,$CR32,DX32)</f>
        <v>0</v>
      </c>
      <c r="EF32" s="437">
        <f ca="1">EE32*F32</f>
        <v>0</v>
      </c>
      <c r="EG32" s="613" t="str">
        <f>IF(D32=BG$12,BG$12,"")</f>
        <v/>
      </c>
      <c r="EH32" s="614" t="str">
        <f>IF(D32=BG$13,BG$13,"")</f>
        <v/>
      </c>
      <c r="EI32" s="611">
        <f>IF(EG32=BG$12,M32,0)</f>
        <v>0</v>
      </c>
      <c r="EJ32" s="451">
        <f>IF(EG32=BG$12,O32,0)</f>
        <v>0</v>
      </c>
      <c r="EK32" s="451">
        <f>IF(EH32=BG$13,M32,0)</f>
        <v>0</v>
      </c>
      <c r="EL32" s="612">
        <f>IF(EH32=BG$13,O32,0)</f>
        <v>0</v>
      </c>
      <c r="EM32" s="426" t="str">
        <f ca="1">IF(AND(Z32&lt;&gt;"t",Z32&lt;&gt;"f"),"",IF(AND(EN32=$BH$13,K32=$BH$12),"NotOpt",IF(K32&lt;&gt;EN32,"Error","")))</f>
        <v/>
      </c>
      <c r="EN32" s="490" t="str">
        <f>IF($BG$28=1,$BH$13,$BH$12)</f>
        <v>120 BU's</v>
      </c>
      <c r="EO32" s="426" t="str">
        <f>K32</f>
        <v xml:space="preserve"> </v>
      </c>
      <c r="ER32" s="439" t="str">
        <f ca="1">IF(H32=0," ",H32)</f>
        <v xml:space="preserve"> </v>
      </c>
      <c r="ES32" s="440" t="str">
        <f ca="1">IF(ER32&lt;&gt;" ",IF(ER32&lt;&gt;ER$7,"Changed",""),"")</f>
        <v/>
      </c>
      <c r="ET32" s="440">
        <f ca="1">IF(ER32&lt;&gt;" ",IF(ER32&lt;&gt;ER$7,1,0),0)</f>
        <v>0</v>
      </c>
      <c r="EU32" s="957" t="str">
        <f ca="1">IF(I32=" "," ",IF(F32&lt;OFFSET($BM$9,CL32-1,0,1,1),1,""))</f>
        <v xml:space="preserve"> </v>
      </c>
      <c r="EW32" s="427"/>
      <c r="EX32"/>
      <c r="EY32"/>
      <c r="EZ32"/>
      <c r="FA32"/>
      <c r="FB32"/>
      <c r="FC32"/>
      <c r="FD32"/>
      <c r="FE32"/>
      <c r="FF32"/>
      <c r="FG32"/>
      <c r="FH32"/>
      <c r="FI32"/>
      <c r="FJ32"/>
      <c r="FK32"/>
      <c r="FL32"/>
      <c r="FM32"/>
      <c r="FN32"/>
      <c r="FO32"/>
    </row>
    <row r="33" spans="1:171" ht="17.100000000000001" customHeight="1">
      <c r="B33" s="689" t="s">
        <v>246</v>
      </c>
      <c r="C33" s="684" t="str">
        <f>IF(OR(F33=0,I33="",I33=" ")," ",$V33)</f>
        <v xml:space="preserve"> </v>
      </c>
      <c r="D33" s="1033"/>
      <c r="E33" s="1360"/>
      <c r="F33" s="202"/>
      <c r="G33" s="1416"/>
      <c r="H33" s="199" t="str">
        <f ca="1">IF(OR(F33=0,Z33="E",Z33="f")," ",'Project Demand'!E$45)</f>
        <v xml:space="preserve"> </v>
      </c>
      <c r="I33" s="631" t="str">
        <f>IF($I$6&lt;&gt;$BG$8," ",AB33)</f>
        <v xml:space="preserve"> </v>
      </c>
      <c r="J33" s="44" t="str">
        <f ca="1">IF(OR(I33=" ",I33="")," ",OFFSET($BO$9,CL33-1,0-4,1,1))</f>
        <v xml:space="preserve"> </v>
      </c>
      <c r="K33" s="55" t="str">
        <f>IF(OR(I33=" ",I33="")," ",IF(OR(Z33="e",Z33="h"),"SD",BG$24))</f>
        <v xml:space="preserve"> </v>
      </c>
      <c r="L33" s="49">
        <f ca="1">CW33</f>
        <v>0</v>
      </c>
      <c r="M33" s="49">
        <f ca="1">CY33</f>
        <v>0</v>
      </c>
      <c r="N33" s="50">
        <f t="shared" ca="1" si="20"/>
        <v>0</v>
      </c>
      <c r="O33" s="126">
        <f t="shared" ca="1" si="20"/>
        <v>0</v>
      </c>
      <c r="P33" s="140"/>
      <c r="Q33" s="752" t="str">
        <f ca="1">IF(AND(OR(Z33="t",Z33="f"),K33=$BH$11),"No Floor!  Change Floor Type",IF(OR(I33=" ",I33="")," ",IF(F33&lt;OFFSET($BM$9,CL33-1,0,1,1),"check L(m)",DE33&amp;IF(AND(DP33&gt;=CY33,DR33&gt;=DB33),IF(AND(ED33&gt;=DP33,EF33&gt;=DR33),CONCATENATE(DS33," will provide same result"),CONCATENATE(CO33," will provide same result")),IF((DP33&gt;=CY33),CONCATENATE(CO33," provides same result in WIND"),IF((DR33&gt;=DB33),CONCATENATE(CO33," provides same result in EQ"),""))))))&amp;IF(ISERROR(FIND("pile",I33,1)),"",IF(INT(F33)&lt;&gt;F33,"Pile!  Use Whole Numbers Only",""))</f>
        <v xml:space="preserve"> </v>
      </c>
      <c r="R33" s="52"/>
      <c r="S33" s="1372"/>
      <c r="T33" s="1372"/>
      <c r="U33" s="1377"/>
      <c r="V33" s="52" t="str">
        <f ca="1">IF(AND(B$5=$BF$9,OR(I33=BH$16,I33=BH$17))," ",IF(ISNUMBER(B$32),(CONCATENATE(B$32,".",W33)),(CONCATENATE(B$32,W33))))</f>
        <v>E0</v>
      </c>
      <c r="W33" s="9">
        <f ca="1">W32+X33</f>
        <v>0</v>
      </c>
      <c r="X33" s="9">
        <f>IF(AND(B$5=$BF$9,OR($I33=$BH$16,$I33=$BH$17,$I33=" ",$I33="",$F33=0)),0,IF(OR($I33=" ",$I33="",$F33=0),0,1))</f>
        <v>0</v>
      </c>
      <c r="Y33" s="896"/>
      <c r="Z33" s="52" t="str">
        <f ca="1">IF(I33=" "," ",OFFSET($BM$9,$CL33-1,8,1,1))</f>
        <v xml:space="preserve"> </v>
      </c>
      <c r="AA33" s="51" t="str">
        <f>IF(G33&gt;=45,"WA","")</f>
        <v/>
      </c>
      <c r="AB33" s="1364" t="str">
        <f>IF(F33&lt;&gt;"",IF(OR(D33=$BG$12,D33=$BG$13),IF(E33&lt;&gt;$BG$17,$BF$12,$BF$13),IF(E33&lt;&gt;$BG$17,$BF$12,$BF$13))," ")</f>
        <v xml:space="preserve"> </v>
      </c>
      <c r="AC33" s="1"/>
      <c r="AJ33" s="2230"/>
      <c r="AK33" s="2779"/>
      <c r="AL33" s="2784"/>
      <c r="AM33" s="116">
        <f>'Regular and QuickBrace Systems'!F48</f>
        <v>0.8</v>
      </c>
      <c r="AN33" s="1336">
        <f>'Regular and QuickBrace Systems'!G48</f>
        <v>143</v>
      </c>
      <c r="AO33" s="26">
        <f>'Regular and QuickBrace Systems'!H48</f>
        <v>134</v>
      </c>
      <c r="AP33" s="1595"/>
      <c r="AQ33" s="2663"/>
      <c r="AR33" s="2664"/>
      <c r="AS33" s="2031"/>
      <c r="AT33" s="1339"/>
      <c r="AU33" s="2123"/>
      <c r="AW33" s="1586" t="str">
        <f>'Regular and QuickBrace Systems'!O48</f>
        <v>Yes</v>
      </c>
      <c r="AX33" s="1578" t="str">
        <f>'Regular and QuickBrace Systems'!Q48</f>
        <v>Yes</v>
      </c>
      <c r="BD33" s="2648"/>
      <c r="BF33" s="599" t="str">
        <f>'Custom Elements'!C17</f>
        <v>Custom9</v>
      </c>
      <c r="BG33" s="948" t="s">
        <v>774</v>
      </c>
      <c r="BI33" s="759"/>
      <c r="BJ33" s="897">
        <f t="shared" si="4"/>
        <v>25</v>
      </c>
      <c r="BK33" s="1247" t="str">
        <f>'Custom Elements'!O9</f>
        <v>NZS 3604</v>
      </c>
      <c r="BL33" s="770" t="str">
        <f>'Custom Elements'!P9</f>
        <v>Masonry 0.75</v>
      </c>
      <c r="BM33" s="454">
        <f>'Custom Elements'!Q9</f>
        <v>1.5</v>
      </c>
      <c r="BN33" s="454">
        <v>999</v>
      </c>
      <c r="BO33" s="454">
        <f>'Custom Elements'!R9</f>
        <v>42</v>
      </c>
      <c r="BP33" s="924">
        <f>'Custom Elements'!S9</f>
        <v>42</v>
      </c>
      <c r="BQ33" s="920"/>
      <c r="BR33" s="768"/>
      <c r="BS33" s="454"/>
      <c r="BT33" s="454" t="s">
        <v>7</v>
      </c>
      <c r="BU33" s="925" t="s">
        <v>34</v>
      </c>
      <c r="BV33" s="1248" t="str">
        <f>BL33</f>
        <v>Masonry 0.75</v>
      </c>
      <c r="BW33" s="1182">
        <f t="shared" ref="BW33:BW39" si="21">BJ33</f>
        <v>25</v>
      </c>
      <c r="BX33" s="925" t="str">
        <f>'Custom Elements'!U9</f>
        <v>Single</v>
      </c>
      <c r="CH33" s="768">
        <f t="shared" ref="CH33:CH38" si="22">IF(BN33=999,0,(BO34-BO33)/(BN33-BM33))</f>
        <v>0</v>
      </c>
      <c r="CI33" s="924">
        <f t="shared" ref="CI33:CI38" si="23">IF(BN33=999,0,(BP34-BP33)/(BN33-BM33))</f>
        <v>0</v>
      </c>
      <c r="CJ33" s="759"/>
      <c r="CK33" s="188"/>
      <c r="CL33" s="979">
        <f>VLOOKUP(I33,Prodlink,2,0)</f>
        <v>0</v>
      </c>
      <c r="CN33" s="497">
        <f t="shared" ca="1" si="1"/>
        <v>0</v>
      </c>
      <c r="CO33" s="497">
        <f ca="1">OFFSET($CH$9,CL33-1,-15,1,1)</f>
        <v>0</v>
      </c>
      <c r="CQ33" s="51">
        <v>0</v>
      </c>
      <c r="CR33" s="51">
        <f>IF(K33=$BH$12,$BH$23,IF(K33=$BH$13,$BH$24,10000))</f>
        <v>10000</v>
      </c>
      <c r="CS33" s="51">
        <f ca="1">IF(F33&lt;OFFSET($BM$9,CL33-1,0,1,1),0,IF(F33&lt;OFFSET($BN$9,CL33-1,0,1,1),((F33-OFFSET($BM$9,CL33-1,0,1,1))*OFFSET($CH$9,CL33-1,0,1,1))+OFFSET($BO$9,CL33-1,CQ33,1,1),IF(F33&lt;OFFSET($BN$9,CL33+0,0,1,1),((F33-OFFSET($BM$9,CL33+0,0,1,1))*OFFSET($CH$9,CL33+0,0,1,1))+OFFSET($BO$9,CL33+0,CQ33,1,1),IF(F33&lt;OFFSET($BN$9,CL33+1,0,1,1),((F33-OFFSET($BM$9,CL33+1,0,1,1))*OFFSET($CH$9,CL33+1,0,1,1))+OFFSET($BO$9,CL33+1,CQ33,1,1),IF(F33&lt;OFFSET($BN$9,CL33+2,0,1,1),((F33-OFFSET($BM$9,CL33+2,0,1,1))*OFFSET($CH$9,CL33+2,0,1,1))+OFFSET($BO$9,CL33+2,CQ33,1,1),IF(F33&lt;OFFSET($BN$9,CL33+3,0,1,1),((F33-OFFSET($BM$9,CL33+3,0,1,1))*OFFSET($CH$9,CL33+3,0,1,1))+OFFSET($BO$9,CL33+3,CQ33,1,1),0))))))</f>
        <v>0</v>
      </c>
      <c r="CT33" s="51">
        <f ca="1">IF($F33&lt;OFFSET($BM$9,$CL33-1,0,1,1),0,IF($F33&lt;OFFSET($BN$9,$CL33-1,0,1,1),IF(AND($H33&gt;2.4,Z33&lt;&gt;"e",Z33&lt;&gt;"f"),CX33*2.4/$H33,CX33),IF($F33&lt;OFFSET($BN$9,$CL33+0,0,1,1),IF(AND($H33&gt;2.4,Z33&lt;&gt;"e",Z33&lt;&gt;"f"),CX33*2.4/$H33,CX33),IF($F33&lt;OFFSET($BN$9,$CL33+1,0,1,1),IF(AND($H33&gt;2.4,Z33&lt;&gt;"e",Z33&lt;&gt;"f"),CX33*2.4/$H33,CX33),IF($F33&lt;OFFSET($BN$9,CL33+2,0,1,1),IF(AND($H33&gt;2.4,Z33&lt;&gt;"e",Z33&lt;&gt;"f"),CX33*2.4/$H33,CX33),IF($F33&lt;OFFSET($BN$9,CL33+3,0,1,1),IF(AND($H33&gt;2.4,Z33&lt;&gt;"e",Z33&lt;&gt;"f"),CX33*2.4/$H33,CX33),0)))))*COS(RADIANS($G33)))</f>
        <v>0</v>
      </c>
      <c r="CU33" s="51">
        <f ca="1">IF(F33&lt;OFFSET($BM$9,CL33-1,0,1,1),0,IF(F33&lt;OFFSET($BN$9,CL33-1,0,1,1),((F33-OFFSET($BM$9,CL33-1,0,1,1))*OFFSET($CI$9,CL33-1,0,1,1))+OFFSET($BP$9,CL33-1,CQ33,1,1),IF(F33&lt;OFFSET($BN$9,CL33+0,0,1,1),((F33-OFFSET($BM$9,CL33+0,0,1,1))*OFFSET($CI$9,CL33+0,0,1,1))+OFFSET($BP$9,CL33+0,CQ33,1,1),IF(F33&lt;OFFSET($BN$9,CL33+1,0,1,1),((F33-OFFSET($BM$9,CL33+1,0,1,1))*OFFSET($CI$9,CL33+1,0,1,1))+OFFSET($BP$9,CL33+1,CQ33,1,1),IF(F33&lt;OFFSET($BN$9,CL33+2,0,1,1),((F33-OFFSET($BM$9,CL33+2,0,1,1))*OFFSET($CI$9,CL33+2,0,1,1))+OFFSET($BP$9,CL33+2,CQ33,1,1),IF(F33&lt;OFFSET($BN$9,CL33+3,0,1,1),((F33-OFFSET($BM$9,CL33+3,0,1,1))*OFFSET($CI$9,CL33+3,0,1,1))+OFFSET($BP$9,CL33+3,CQ33,1,1),0))))))</f>
        <v>0</v>
      </c>
      <c r="CV33" s="51">
        <f ca="1">IF($F33&lt;OFFSET($BM$9,$CL33-1,0,1,1),0,IF($F33&lt;OFFSET($BN$9,$CL33-1,0,1,1),IF(AND($H33&gt;2.4,Z33&lt;&gt;"e",Z33&lt;&gt;"f"),CZ33*2.4/$H33,CZ33),IF($F33&lt;OFFSET($BN$9,$CL33+0,0,1,1),IF(AND($H33&gt;2.4,Z33&lt;&gt;"e",Z33&lt;&gt;"f"),CZ33*2.4/$H33,CZ33),IF($F33&lt;OFFSET($BN$9,$CL33+1,0,1,1),IF(AND($H33&gt;2.4,Z33&lt;&gt;"e",Z33&lt;&gt;"f"),CZ33*2.4/$H33,CZ33),IF($F33&lt;OFFSET($BN$9,$CL33+2,0,1,1),IF(AND($H33&gt;2.4,Z33&lt;&gt;"e",Z33&lt;&gt;"f"),CZ33*2.4/$H33,CZ33),IF($F33&lt;OFFSET($BN$9,$CL33+3,0,1,1),IF(AND($H33&gt;2.4,Z33&lt;&gt;"e",Z33&lt;&gt;"f"),CZ33*2.4/$H33,CZ33),0)))))*COS(RADIANS($G33)))</f>
        <v>0</v>
      </c>
      <c r="CW33" s="51">
        <f ca="1">IF(CT33&gt;CR33,CR33,CT33)</f>
        <v>0</v>
      </c>
      <c r="CX33" s="51">
        <f ca="1">IF(CS33&gt;$CR33,$CR33,CS33)</f>
        <v>0</v>
      </c>
      <c r="CY33" s="51">
        <f ca="1">CW33*F33</f>
        <v>0</v>
      </c>
      <c r="CZ33" s="51">
        <f ca="1">IF($CU33&gt;$CR33,$CR33,$CU33)</f>
        <v>0</v>
      </c>
      <c r="DA33" s="51">
        <f ca="1">IF(CV33&gt;CR33,CR33,CV33)</f>
        <v>0</v>
      </c>
      <c r="DB33" s="51">
        <f ca="1">DA33*F33</f>
        <v>0</v>
      </c>
      <c r="DC33" s="993">
        <v>1</v>
      </c>
      <c r="DD33" s="758" t="str">
        <f>IF(OR(D33=BG$12,D33=BG$13),"External",IF(D33=BG$14,"Internal"," "))</f>
        <v xml:space="preserve"> </v>
      </c>
      <c r="DE33" s="51" t="str">
        <f t="shared" ca="1" si="2"/>
        <v/>
      </c>
      <c r="DF33" s="52" t="str">
        <f t="shared" ca="1" si="3"/>
        <v xml:space="preserve"> </v>
      </c>
      <c r="DG33" s="51">
        <f ca="1">IF(F33&lt;OFFSET($BM$9,CN33-1,0,1,1),0,IF(F33&lt;OFFSET($BN$9,CN33-1,0,1,1),((F33-OFFSET($BM$9,CN33-1,0,1,1))*OFFSET($CH$9,CN33-1,0,1,1))+OFFSET($BO$9,CN33-1,CQ33,1,1),IF(F33&lt;OFFSET($BN$9,CN33+0,0,1,1),((F33-OFFSET($BM$9,CN33+0,0,1,1))*OFFSET($CH$9,CN33+0,0,1,1))+OFFSET($BO$9,CN33+0,CQ33,1,1),IF(F33&lt;OFFSET($BN$9,CN33+1,0,1,1),((F33-OFFSET($BM$9,CN33+1,0,1,1))*OFFSET($CH$9,CN33+1,0,1,1))+OFFSET($BO$9,CN33+1,CQ33,1,1),IF(F33&lt;OFFSET($BN$9,CN33+2,0,1,1),((F33-OFFSET($BM$9,CN33+2,0,1,1))*OFFSET($CH$9,CN33+2,0,1,1))+OFFSET($BO$9,CN33+2,CQ33,1,1),IF(F33&lt;OFFSET($BN$9,CN33+3,0,1,1),((F33-OFFSET($BM$9,CN33+3,0,1,1))*OFFSET($CH$9,CN33+3,0,1,1))+OFFSET($BO$9,CN33+3,CQ33,1,1),0))))))</f>
        <v>0</v>
      </c>
      <c r="DH33" s="51">
        <f ca="1">IF($F33&lt;OFFSET($BM$9,$CN33-1,0,1,1),0,IF($F33&lt;OFFSET($BN$9,$CN33-1,0,1,1),IF(AND($H33&gt;2.4,Z33&lt;&gt;"e",Z33&lt;&gt;"f"),DL33*2.4/$H33,DL33),IF($F33&lt;OFFSET($BN$9,$CN33+0,0,1,1),IF(AND($H33&gt;2.4,Z33&lt;&gt;"e",Z33&lt;&gt;"f"),DL33*2.4/$H33,DL33),IF($F33&lt;OFFSET($BN$9,$CN33+1,0,1,1),IF(AND($H33&gt;2.4,Z33&lt;&gt;"e",Z33&lt;&gt;"f"),DL33*2.4/$H33,DL33),IF($F33&lt;OFFSET($BN$9,$CN33+2,0,1,1),IF(AND($H33&gt;2.4,Z33&lt;&gt;"e",Z33&lt;&gt;"f"),DL33*2.4/$H33,DL33),IF($F33&lt;OFFSET($BN$9,$CN33+3,0,1,1),IF(AND($H33&gt;2.4,Z33&lt;&gt;"e",Z33&lt;&gt;"f"),DL33*2.4/$H33,DL33),0)))))*COS(RADIANS($G33)))</f>
        <v>0</v>
      </c>
      <c r="DI33" s="51">
        <f ca="1">IF(F33&lt;OFFSET($BM$9,CN33-1,0,1,1),0,IF(F33&lt;OFFSET($BN$9,CN33-1,0,1,1),((F33-OFFSET($BM$9,CN33-1,0,1,1))*OFFSET($CI$9,CN33-1,0,1,1))+OFFSET($BP$9,CN33-1,CQ33,1,1),IF(F33&lt;OFFSET($BN$9,CN33+0,0,1,1),((F33-OFFSET($BM$9,CN33+0,0,1,1))*OFFSET($CI$9,CN33+0,0,1,1))+OFFSET($BP$9,CN33+0,CQ33,1,1),IF(F33&lt;OFFSET($BN$9,CN33+1,0,1,1),((F33-OFFSET($BM$9,CN33+1,0,1,1))*OFFSET($CI$9,CN33+1,0,1,1))+OFFSET($BP$9,CN33+1,CQ33,1,1),IF(F33&lt;OFFSET($BN$9,CN33+2,0,1,1),((F33-OFFSET($BM$9,CN33+2,0,1,1))*OFFSET($CI$9,CN33+2,0,1,1))+OFFSET($BP$9,CN33+2,CQ33,1,1),IF(F33&lt;OFFSET($BN$9,CN33+3,0,1,1),((F33-OFFSET($BM$9,CN33+3,0,1,1))*OFFSET($CI$9,CN33+3,0,1,1))+OFFSET($BP$9,CN33+3,CQ33,1,1),0))))))</f>
        <v>0</v>
      </c>
      <c r="DJ33" s="51">
        <f ca="1">IF($F33&lt;OFFSET($BM$9,$CN33-1,0,1,1),0,IF($F33&lt;OFFSET($BN$9,$CN33-1,0,1,1),IF(AND($H33&gt;2.4,Z33&lt;&gt;"e",Z33&lt;&gt;"f"),DN33*2.4/$H33,DN33),IF($F33&lt;OFFSET($BN$9,$CN33+0,0,1,1),IF(AND($H33&gt;2.4,Z33&lt;&gt;"e",Z33&lt;&gt;"f"),DN33*2.4/$H33,DN33),IF($F33&lt;OFFSET($BN$9,$CN33+1,0,1,1),IF(AND($H33&gt;2.4,Z33&lt;&gt;"e",Z33&lt;&gt;"f"),DN33*2.4/$H33,DN33),IF($F33&lt;OFFSET($BN$9,$CN33+2,0,1,1),IF(AND($H33&gt;2.4,Z33&lt;&gt;"e",Z33&lt;&gt;"f"),DN33*2.4/$H33,DN33),IF($F33&lt;OFFSET($BN$9,$CN33+3,0,1,1),IF(AND($H33&gt;2.4,Z33&lt;&gt;"e",Z33&lt;&gt;"f"),DN33*2.4/$H33,DN33),0)))))*COS(RADIANS($G33)))</f>
        <v>0</v>
      </c>
      <c r="DK33" s="51"/>
      <c r="DL33" s="51">
        <f ca="1">IF(DG33&gt;$CR33,$CR33,DG33)</f>
        <v>0</v>
      </c>
      <c r="DM33" s="51"/>
      <c r="DN33" s="51">
        <f ca="1">IF(DI33&gt;$CR33,$CR33,DI33)</f>
        <v>0</v>
      </c>
      <c r="DO33" s="435">
        <f ca="1">IF(DH33&gt;$CR33,$CR33,DH33)</f>
        <v>0</v>
      </c>
      <c r="DP33" s="435">
        <f ca="1">DO33*F33</f>
        <v>0</v>
      </c>
      <c r="DQ33" s="436">
        <f ca="1">IF(DJ33&gt;$CR33,$CR33,DJ33)</f>
        <v>0</v>
      </c>
      <c r="DR33" s="437">
        <f ca="1">DQ33*F33</f>
        <v>0</v>
      </c>
      <c r="DS33" s="426">
        <f ca="1">OFFSET($CH$9,CL33-1,-15,1,1)</f>
        <v>0</v>
      </c>
      <c r="DT33" s="426">
        <f ca="1">VLOOKUP(DS33,Prodlink,2,0)</f>
        <v>0</v>
      </c>
      <c r="DU33" s="188">
        <f ca="1">IF(F33&lt;OFFSET($BM$9,DT33-1,0,1,1),0,IF(F33&lt;OFFSET($BN$9,DT33-1,0,1,1),((F33-OFFSET($BM$9,DT33-1,0,1,1))*OFFSET($CH$9,DT33-1,0,1,1))+OFFSET($BO$9,DT33-1,CQ33,1,1),IF(F33&lt;OFFSET($BN$9,DT33+0,0,1,1),((F33-OFFSET($BM$9,DT33+0,0,1,1))*OFFSET($CH$9,DT33+0,0,1,1))+OFFSET($BO$9,DT33+0,CQ33,1,1),IF(F33&lt;OFFSET($BN$9,DT33+1,0,1,1),((F33-OFFSET($BM$9,DT33+1,0,1,1))*OFFSET($CH$9,DT33+1,0,1,1))+OFFSET($BO$9,DT33+1,CQ33,1,1),IF(F33&lt;OFFSET($BN$9,DT33+2,0,1,1),((F33-OFFSET($BM$9,DT33+2,0,1,1))*OFFSET($CH$9,DT33+2,0,1,1))+OFFSET($BO$9,DT33+2,CQ33,1,1),IF(F33&lt;OFFSET($BN$9,DT33+3,0,1,1),((F33-OFFSET($BM$9,DT33+3,0,1,1))*OFFSET($CH$9,DT33+3,0,1,1))+OFFSET($BO$9,DT33+3,CQ33,1,1),0))))))</f>
        <v>0</v>
      </c>
      <c r="DV33" s="51">
        <f ca="1">IF($F33&lt;OFFSET($BM$9,$DT33-1,0,1,1),0,IF($F33&lt;OFFSET($BN$9,$DT33-1,0,1,1),IF(AND($H33&gt;2.4,Z33&lt;&gt;"e",Z33&lt;&gt;"f"),DZ33*2.4/$H33,DZ33),IF($F33&lt;OFFSET($BN$9,$DT33+0,0,1,1),IF(AND($H33&gt;2.4,Z33&lt;&gt;"e",Z33&lt;&gt;"f"),DZ33*2.4/$H33,DZ33),IF($F33&lt;OFFSET($BN$9,$DT33+1,0,1,1),IF(AND($H33&gt;2.4,Z33&lt;&gt;"e",Z33&lt;&gt;"f"),DZ33*2.4/$H33,DZ33),IF($F33&lt;OFFSET($BN$9,$DT33+2,0,1,1),IF(AND($H33&gt;2.4,Z33&lt;&gt;"e",Z33&lt;&gt;"f"),DZ33*2.4/$H33,DZ33),IF($F33&lt;OFFSET($BN$9,$DT33+3,0,1,1),IF(AND($H33&gt;2.4,Z33&lt;&gt;"e",Z33&lt;&gt;"f"),DZ33*2.4/$H33,DZ33),0)))))*COS(RADIANS($G33)))</f>
        <v>0</v>
      </c>
      <c r="DW33" s="188">
        <f ca="1">IF(F33&lt;OFFSET($BM$9,DT33-1,0,1,1),0,IF(F33&lt;OFFSET($BN$9,DT33-1,0,1,1),((F33-OFFSET($BM$9,DT33-1,0,1,1))*OFFSET($CI$9,DT33-1,0,1,1))+OFFSET($BP$9,DT33-1,CQ33,1,1),IF(F33&lt;OFFSET($BN$9,DT33+0,0,1,1),((F33-OFFSET($BM$9,DT33+0,0,1,1))*OFFSET($CI$9,DT33+0,0,1,1))+OFFSET($BP$9,DT33+0,CQ33,1,1),IF(F33&lt;OFFSET($BN$9,DT33+1,0,1,1),((F33-OFFSET($BM$9,DT33+1,0,1,1))*OFFSET($CI$9,DT33+1,0,1,1))+OFFSET($BP$9,DT33+1,CQ33,1,1),IF(F33&lt;OFFSET($BN$9,DT33+2,0,1,1),((F33-OFFSET($BM$9,DT33+2,0,1,1))*OFFSET($CI$9,DT33+2,0,1,1))+OFFSET($BP$9,DT33+2,CQ33,1,1),IF(F33&lt;OFFSET($BN$9,DT33+3,0,1,1),((F33-OFFSET($BM$9,DT33+3,0,1,1))*OFFSET($CI$9,DT33+3,0,1,1))+OFFSET($BP$9,DT33+3,CQ33,1,1),0))))))</f>
        <v>0</v>
      </c>
      <c r="DX33" s="51">
        <f ca="1">IF($F33&lt;OFFSET($BM$9,$DT33-1,0,1,1),0,IF($F33&lt;OFFSET($BN$9,$DT33-1,0,1,1),IF(AND($H33&gt;2.4,Z33&lt;&gt;"e",Z33&lt;&gt;"f"),EB33*2.4/$H33,EB33),IF($F33&lt;OFFSET($BN$9,$DT33+0,0,1,1),IF(AND($H33&gt;2.4,Z33&lt;&gt;"e",Z33&lt;&gt;"f"),EB33*2.4/$H33,EB33),IF($F33&lt;OFFSET($BN$9,$DT33+1,0,1,1),IF(AND($H33&gt;2.4,Z33&lt;&gt;"e",Z33&lt;&gt;"f"),EB33*2.4/$H33,EB33),IF($F33&lt;OFFSET($BN$9,$DT33+2,0,1,1),IF(AND($H33&gt;2.4,Z33&lt;&gt;"e",Z33&lt;&gt;"f"),EB33*2.4/$H33,EB33),IF($F33&lt;OFFSET($BN$9,$DT33+3,0,1,1),IF(AND($H33&gt;2.4,Z33&lt;&gt;"e",Z33&lt;&gt;"f"),EB33*2.4/$H33,EB33),0)))))*COS(RADIANS($G33)))</f>
        <v>0</v>
      </c>
      <c r="DY33" s="188"/>
      <c r="DZ33" s="188">
        <f ca="1">IF(DU33&gt;$CR33,$CR33,DU33)</f>
        <v>0</v>
      </c>
      <c r="EA33" s="188"/>
      <c r="EB33" s="188">
        <f ca="1">IF(DW33&gt;$CR33,$CR33,DW33)</f>
        <v>0</v>
      </c>
      <c r="EC33" s="435">
        <f ca="1">IF(DV33&gt;$CR33,$CR33,DV33)</f>
        <v>0</v>
      </c>
      <c r="ED33" s="435">
        <f ca="1">EC33*F33</f>
        <v>0</v>
      </c>
      <c r="EE33" s="436">
        <f ca="1">IF(DX33&gt;$CR33,$CR33,DX33)</f>
        <v>0</v>
      </c>
      <c r="EF33" s="437">
        <f ca="1">EE33*F33</f>
        <v>0</v>
      </c>
      <c r="EG33" s="613" t="str">
        <f>IF(D33=BG$12,BG$12,"")</f>
        <v/>
      </c>
      <c r="EH33" s="614" t="str">
        <f>IF(D33=BG$13,BG$13,"")</f>
        <v/>
      </c>
      <c r="EI33" s="611">
        <f>IF(EG33=BG$12,M33,0)</f>
        <v>0</v>
      </c>
      <c r="EJ33" s="451">
        <f>IF(EG33=BG$12,O33,0)</f>
        <v>0</v>
      </c>
      <c r="EK33" s="451">
        <f>IF(EH33=BG$13,M33,0)</f>
        <v>0</v>
      </c>
      <c r="EL33" s="612">
        <f>IF(EH33=BG$13,O33,0)</f>
        <v>0</v>
      </c>
      <c r="EM33" s="426" t="str">
        <f ca="1">IF(AND(Z33&lt;&gt;"t",Z33&lt;&gt;"f"),"",IF(AND(EN33=$BH$13,K33=$BH$12),"NotOpt",IF(K33&lt;&gt;EN33,"Error","")))</f>
        <v/>
      </c>
      <c r="EN33" s="490" t="str">
        <f>IF($BG$28=1,$BH$13,$BH$12)</f>
        <v>120 BU's</v>
      </c>
      <c r="EO33" s="426" t="str">
        <f>K33</f>
        <v xml:space="preserve"> </v>
      </c>
      <c r="ER33" s="439" t="str">
        <f ca="1">IF(H33=0," ",H33)</f>
        <v xml:space="preserve"> </v>
      </c>
      <c r="ES33" s="440" t="str">
        <f ca="1">IF(ER33&lt;&gt;" ",IF(ER33&lt;&gt;ER$7,"Changed",""),"")</f>
        <v/>
      </c>
      <c r="ET33" s="440">
        <f ca="1">IF(ER33&lt;&gt;" ",IF(ER33&lt;&gt;ER$7,1,0),0)</f>
        <v>0</v>
      </c>
      <c r="EU33" s="957" t="str">
        <f ca="1">IF(I33=" "," ",IF(F33&lt;OFFSET($BM$9,CL33-1,0,1,1),1,""))</f>
        <v xml:space="preserve"> </v>
      </c>
      <c r="EW33" s="427"/>
      <c r="EX33"/>
      <c r="EY33"/>
      <c r="EZ33"/>
      <c r="FA33"/>
      <c r="FB33"/>
      <c r="FC33"/>
      <c r="FD33"/>
      <c r="FE33"/>
      <c r="FF33"/>
      <c r="FG33"/>
      <c r="FH33"/>
      <c r="FI33"/>
      <c r="FJ33"/>
      <c r="FK33"/>
      <c r="FL33"/>
      <c r="FM33"/>
      <c r="FN33"/>
      <c r="FO33"/>
    </row>
    <row r="34" spans="1:171" ht="17.100000000000001" customHeight="1" thickBot="1">
      <c r="B34" s="689" t="s">
        <v>246</v>
      </c>
      <c r="C34" s="684" t="str">
        <f>IF(OR(F34=0,I34="",I34=" ")," ",$V34)</f>
        <v xml:space="preserve"> </v>
      </c>
      <c r="D34" s="1033" t="s">
        <v>8</v>
      </c>
      <c r="E34" s="1360"/>
      <c r="F34" s="202"/>
      <c r="G34" s="1416"/>
      <c r="H34" s="199" t="str">
        <f ca="1">IF(OR(F34=0,Z34="E",Z34="f")," ",'Project Demand'!E$45)</f>
        <v xml:space="preserve"> </v>
      </c>
      <c r="I34" s="631" t="str">
        <f>IF($I$6&lt;&gt;$BG$8," ",AB34)</f>
        <v xml:space="preserve"> </v>
      </c>
      <c r="J34" s="44" t="str">
        <f ca="1">IF(OR(I34=" ",I34="")," ",OFFSET($BO$9,CL34-1,0-4,1,1))</f>
        <v xml:space="preserve"> </v>
      </c>
      <c r="K34" s="55" t="str">
        <f>IF(OR(I34=" ",I34="")," ",IF(OR(Z34="e",Z34="h"),"SD",BG$24))</f>
        <v xml:space="preserve"> </v>
      </c>
      <c r="L34" s="49">
        <f ca="1">CW34</f>
        <v>0</v>
      </c>
      <c r="M34" s="49">
        <f ca="1">CY34</f>
        <v>0</v>
      </c>
      <c r="N34" s="50">
        <f t="shared" ca="1" si="20"/>
        <v>0</v>
      </c>
      <c r="O34" s="126">
        <f t="shared" ca="1" si="20"/>
        <v>0</v>
      </c>
      <c r="P34" s="140"/>
      <c r="Q34" s="752" t="str">
        <f ca="1">IF(AND(OR(Z34="t",Z34="f"),K34=$BH$11),"No Floor!  Change Floor Type",IF(OR(I34=" ",I34="")," ",IF(F34&lt;OFFSET($BM$9,CL34-1,0,1,1),"check L(m)",DE34&amp;IF(AND(DP34&gt;=CY34,DR34&gt;=DB34),IF(AND(ED34&gt;=DP34,EF34&gt;=DR34),CONCATENATE(DS34," will provide same result"),CONCATENATE(CO34," will provide same result")),IF((DP34&gt;=CY34),CONCATENATE(CO34," provides same result in WIND"),IF((DR34&gt;=DB34),CONCATENATE(CO34," provides same result in EQ"),""))))))&amp;IF(ISERROR(FIND("pile",I34,1)),"",IF(INT(F34)&lt;&gt;F34,"Pile!  Use Whole Numbers Only",""))</f>
        <v xml:space="preserve"> </v>
      </c>
      <c r="R34" s="52"/>
      <c r="S34" s="1372"/>
      <c r="T34" s="1372"/>
      <c r="U34" s="1377"/>
      <c r="V34" s="52" t="str">
        <f ca="1">IF(AND(B$5=$BF$9,OR(I34=BH$16,I34=BH$17))," ",IF(ISNUMBER(B$32),(CONCATENATE(B$32,".",W34)),(CONCATENATE(B$32,W34))))</f>
        <v>E0</v>
      </c>
      <c r="W34" s="9">
        <f ca="1">W33+X34</f>
        <v>0</v>
      </c>
      <c r="X34" s="9">
        <f>IF(AND(B$5=$BF$9,OR($I34=$BH$16,$I34=$BH$17,$I34=" ",$I34="",$F34=0)),0,IF(OR($I34=" ",$I34="",$F34=0),0,1))</f>
        <v>0</v>
      </c>
      <c r="Y34" s="896"/>
      <c r="Z34" s="52" t="str">
        <f ca="1">IF(I34=" "," ",OFFSET($BM$9,$CL34-1,8,1,1))</f>
        <v xml:space="preserve"> </v>
      </c>
      <c r="AA34" s="51" t="str">
        <f>IF(G34&gt;=45,"WA","")</f>
        <v/>
      </c>
      <c r="AB34" s="1364" t="str">
        <f>IF(F34&lt;&gt;"",IF(OR(D34=$BG$12,D34=$BG$13),IF(E34&lt;&gt;$BG$17,$BF$12,$BF$13),IF(E34&lt;&gt;$BG$17,$BF$12,$BF$13))," ")</f>
        <v xml:space="preserve"> </v>
      </c>
      <c r="AC34" s="1"/>
      <c r="AJ34" s="2230"/>
      <c r="AK34" s="2780"/>
      <c r="AL34" s="2785"/>
      <c r="AM34" s="1177">
        <f>'Regular and QuickBrace Systems'!F49</f>
        <v>1.2</v>
      </c>
      <c r="AN34" s="1274">
        <f>'Regular and QuickBrace Systems'!G49</f>
        <v>150</v>
      </c>
      <c r="AO34" s="1275">
        <f>'Regular and QuickBrace Systems'!H49</f>
        <v>148</v>
      </c>
      <c r="AP34" s="1277"/>
      <c r="AQ34" s="2665"/>
      <c r="AR34" s="2666"/>
      <c r="AS34" s="2032"/>
      <c r="AT34" s="1339"/>
      <c r="AU34" s="2124"/>
      <c r="AW34" s="1570" t="str">
        <f>'Regular and QuickBrace Systems'!O49</f>
        <v>Yes</v>
      </c>
      <c r="AX34" s="1574" t="str">
        <f>'Regular and QuickBrace Systems'!Q49</f>
        <v>Yes</v>
      </c>
      <c r="BD34" s="2648"/>
      <c r="BF34" s="599" t="str">
        <f>'Custom Elements'!C18</f>
        <v>Custom10</v>
      </c>
      <c r="BI34" s="759"/>
      <c r="BJ34" s="897">
        <f t="shared" si="4"/>
        <v>26</v>
      </c>
      <c r="BK34" s="769" t="str">
        <f>'Custom Elements'!O10</f>
        <v>NZS 3604</v>
      </c>
      <c r="BL34" s="771" t="str">
        <f>'Custom Elements'!P10</f>
        <v>Masonry 1.5</v>
      </c>
      <c r="BM34" s="455">
        <f>'Custom Elements'!Q10</f>
        <v>1.5</v>
      </c>
      <c r="BN34" s="455">
        <v>999</v>
      </c>
      <c r="BO34" s="455">
        <f>'Custom Elements'!R10</f>
        <v>100</v>
      </c>
      <c r="BP34" s="925">
        <f>'Custom Elements'!S10</f>
        <v>100</v>
      </c>
      <c r="BR34" s="764"/>
      <c r="BS34" s="455"/>
      <c r="BT34" s="455" t="s">
        <v>7</v>
      </c>
      <c r="BU34" s="925" t="s">
        <v>34</v>
      </c>
      <c r="BV34" s="483" t="str">
        <f t="shared" ref="BV34:BV39" si="24">BL34</f>
        <v>Masonry 1.5</v>
      </c>
      <c r="BW34" s="910">
        <f t="shared" si="21"/>
        <v>26</v>
      </c>
      <c r="BX34" s="925" t="str">
        <f>'Custom Elements'!U10</f>
        <v>Single</v>
      </c>
      <c r="CH34" s="764">
        <f t="shared" si="22"/>
        <v>0</v>
      </c>
      <c r="CI34" s="925">
        <f t="shared" si="23"/>
        <v>0</v>
      </c>
      <c r="CJ34" s="759"/>
      <c r="CK34" s="188"/>
      <c r="CL34" s="979">
        <f>VLOOKUP(I34,Prodlink,2,0)</f>
        <v>0</v>
      </c>
      <c r="CN34" s="497">
        <f t="shared" ca="1" si="1"/>
        <v>0</v>
      </c>
      <c r="CO34" s="497">
        <f ca="1">OFFSET($CH$9,CL34-1,-15,1,1)</f>
        <v>0</v>
      </c>
      <c r="CQ34" s="51">
        <v>0</v>
      </c>
      <c r="CR34" s="51">
        <f>IF(K34=$BH$12,$BH$23,IF(K34=$BH$13,$BH$24,10000))</f>
        <v>10000</v>
      </c>
      <c r="CS34" s="51">
        <f ca="1">IF(F34&lt;OFFSET($BM$9,CL34-1,0,1,1),0,IF(F34&lt;OFFSET($BN$9,CL34-1,0,1,1),((F34-OFFSET($BM$9,CL34-1,0,1,1))*OFFSET($CH$9,CL34-1,0,1,1))+OFFSET($BO$9,CL34-1,CQ34,1,1),IF(F34&lt;OFFSET($BN$9,CL34+0,0,1,1),((F34-OFFSET($BM$9,CL34+0,0,1,1))*OFFSET($CH$9,CL34+0,0,1,1))+OFFSET($BO$9,CL34+0,CQ34,1,1),IF(F34&lt;OFFSET($BN$9,CL34+1,0,1,1),((F34-OFFSET($BM$9,CL34+1,0,1,1))*OFFSET($CH$9,CL34+1,0,1,1))+OFFSET($BO$9,CL34+1,CQ34,1,1),IF(F34&lt;OFFSET($BN$9,CL34+2,0,1,1),((F34-OFFSET($BM$9,CL34+2,0,1,1))*OFFSET($CH$9,CL34+2,0,1,1))+OFFSET($BO$9,CL34+2,CQ34,1,1),IF(F34&lt;OFFSET($BN$9,CL34+3,0,1,1),((F34-OFFSET($BM$9,CL34+3,0,1,1))*OFFSET($CH$9,CL34+3,0,1,1))+OFFSET($BO$9,CL34+3,CQ34,1,1),0))))))</f>
        <v>0</v>
      </c>
      <c r="CT34" s="51">
        <f ca="1">IF($F34&lt;OFFSET($BM$9,$CL34-1,0,1,1),0,IF($F34&lt;OFFSET($BN$9,$CL34-1,0,1,1),IF(AND($H34&gt;2.4,Z34&lt;&gt;"e",Z34&lt;&gt;"f"),CX34*2.4/$H34,CX34),IF($F34&lt;OFFSET($BN$9,$CL34+0,0,1,1),IF(AND($H34&gt;2.4,Z34&lt;&gt;"e",Z34&lt;&gt;"f"),CX34*2.4/$H34,CX34),IF($F34&lt;OFFSET($BN$9,$CL34+1,0,1,1),IF(AND($H34&gt;2.4,Z34&lt;&gt;"e",Z34&lt;&gt;"f"),CX34*2.4/$H34,CX34),IF($F34&lt;OFFSET($BN$9,CL34+2,0,1,1),IF(AND($H34&gt;2.4,Z34&lt;&gt;"e",Z34&lt;&gt;"f"),CX34*2.4/$H34,CX34),IF($F34&lt;OFFSET($BN$9,CL34+3,0,1,1),IF(AND($H34&gt;2.4,Z34&lt;&gt;"e",Z34&lt;&gt;"f"),CX34*2.4/$H34,CX34),0)))))*COS(RADIANS($G34)))</f>
        <v>0</v>
      </c>
      <c r="CU34" s="51">
        <f ca="1">IF(F34&lt;OFFSET($BM$9,CL34-1,0,1,1),0,IF(F34&lt;OFFSET($BN$9,CL34-1,0,1,1),((F34-OFFSET($BM$9,CL34-1,0,1,1))*OFFSET($CI$9,CL34-1,0,1,1))+OFFSET($BP$9,CL34-1,CQ34,1,1),IF(F34&lt;OFFSET($BN$9,CL34+0,0,1,1),((F34-OFFSET($BM$9,CL34+0,0,1,1))*OFFSET($CI$9,CL34+0,0,1,1))+OFFSET($BP$9,CL34+0,CQ34,1,1),IF(F34&lt;OFFSET($BN$9,CL34+1,0,1,1),((F34-OFFSET($BM$9,CL34+1,0,1,1))*OFFSET($CI$9,CL34+1,0,1,1))+OFFSET($BP$9,CL34+1,CQ34,1,1),IF(F34&lt;OFFSET($BN$9,CL34+2,0,1,1),((F34-OFFSET($BM$9,CL34+2,0,1,1))*OFFSET($CI$9,CL34+2,0,1,1))+OFFSET($BP$9,CL34+2,CQ34,1,1),IF(F34&lt;OFFSET($BN$9,CL34+3,0,1,1),((F34-OFFSET($BM$9,CL34+3,0,1,1))*OFFSET($CI$9,CL34+3,0,1,1))+OFFSET($BP$9,CL34+3,CQ34,1,1),0))))))</f>
        <v>0</v>
      </c>
      <c r="CV34" s="51">
        <f ca="1">IF($F34&lt;OFFSET($BM$9,$CL34-1,0,1,1),0,IF($F34&lt;OFFSET($BN$9,$CL34-1,0,1,1),IF(AND($H34&gt;2.4,Z34&lt;&gt;"e",Z34&lt;&gt;"f"),CZ34*2.4/$H34,CZ34),IF($F34&lt;OFFSET($BN$9,$CL34+0,0,1,1),IF(AND($H34&gt;2.4,Z34&lt;&gt;"e",Z34&lt;&gt;"f"),CZ34*2.4/$H34,CZ34),IF($F34&lt;OFFSET($BN$9,$CL34+1,0,1,1),IF(AND($H34&gt;2.4,Z34&lt;&gt;"e",Z34&lt;&gt;"f"),CZ34*2.4/$H34,CZ34),IF($F34&lt;OFFSET($BN$9,$CL34+2,0,1,1),IF(AND($H34&gt;2.4,Z34&lt;&gt;"e",Z34&lt;&gt;"f"),CZ34*2.4/$H34,CZ34),IF($F34&lt;OFFSET($BN$9,$CL34+3,0,1,1),IF(AND($H34&gt;2.4,Z34&lt;&gt;"e",Z34&lt;&gt;"f"),CZ34*2.4/$H34,CZ34),0)))))*COS(RADIANS($G34)))</f>
        <v>0</v>
      </c>
      <c r="CW34" s="51">
        <f ca="1">IF(CT34&gt;CR34,CR34,CT34)</f>
        <v>0</v>
      </c>
      <c r="CX34" s="51">
        <f ca="1">IF(CS34&gt;$CR34,$CR34,CS34)</f>
        <v>0</v>
      </c>
      <c r="CY34" s="51">
        <f ca="1">CW34*F34</f>
        <v>0</v>
      </c>
      <c r="CZ34" s="51">
        <f ca="1">IF($CU34&gt;$CR34,$CR34,$CU34)</f>
        <v>0</v>
      </c>
      <c r="DA34" s="51">
        <f ca="1">IF(CV34&gt;CR34,CR34,CV34)</f>
        <v>0</v>
      </c>
      <c r="DB34" s="51">
        <f ca="1">DA34*F34</f>
        <v>0</v>
      </c>
      <c r="DC34" s="993">
        <v>3</v>
      </c>
      <c r="DD34" s="758" t="str">
        <f>IF(OR(D34=BG$12,D34=BG$13),"External",IF(D34=BG$14,"Internal"," "))</f>
        <v xml:space="preserve"> </v>
      </c>
      <c r="DE34" s="51" t="str">
        <f t="shared" ca="1" si="2"/>
        <v/>
      </c>
      <c r="DF34" s="52" t="str">
        <f t="shared" ca="1" si="3"/>
        <v xml:space="preserve"> </v>
      </c>
      <c r="DG34" s="51">
        <f ca="1">IF(F34&lt;OFFSET($BM$9,CN34-1,0,1,1),0,IF(F34&lt;OFFSET($BN$9,CN34-1,0,1,1),((F34-OFFSET($BM$9,CN34-1,0,1,1))*OFFSET($CH$9,CN34-1,0,1,1))+OFFSET($BO$9,CN34-1,CQ34,1,1),IF(F34&lt;OFFSET($BN$9,CN34+0,0,1,1),((F34-OFFSET($BM$9,CN34+0,0,1,1))*OFFSET($CH$9,CN34+0,0,1,1))+OFFSET($BO$9,CN34+0,CQ34,1,1),IF(F34&lt;OFFSET($BN$9,CN34+1,0,1,1),((F34-OFFSET($BM$9,CN34+1,0,1,1))*OFFSET($CH$9,CN34+1,0,1,1))+OFFSET($BO$9,CN34+1,CQ34,1,1),IF(F34&lt;OFFSET($BN$9,CN34+2,0,1,1),((F34-OFFSET($BM$9,CN34+2,0,1,1))*OFFSET($CH$9,CN34+2,0,1,1))+OFFSET($BO$9,CN34+2,CQ34,1,1),IF(F34&lt;OFFSET($BN$9,CN34+3,0,1,1),((F34-OFFSET($BM$9,CN34+3,0,1,1))*OFFSET($CH$9,CN34+3,0,1,1))+OFFSET($BO$9,CN34+3,CQ34,1,1),0))))))</f>
        <v>0</v>
      </c>
      <c r="DH34" s="51">
        <f ca="1">IF($F34&lt;OFFSET($BM$9,$CN34-1,0,1,1),0,IF($F34&lt;OFFSET($BN$9,$CN34-1,0,1,1),IF(AND($H34&gt;2.4,Z34&lt;&gt;"e",Z34&lt;&gt;"f"),DL34*2.4/$H34,DL34),IF($F34&lt;OFFSET($BN$9,$CN34+0,0,1,1),IF(AND($H34&gt;2.4,Z34&lt;&gt;"e",Z34&lt;&gt;"f"),DL34*2.4/$H34,DL34),IF($F34&lt;OFFSET($BN$9,$CN34+1,0,1,1),IF(AND($H34&gt;2.4,Z34&lt;&gt;"e",Z34&lt;&gt;"f"),DL34*2.4/$H34,DL34),IF($F34&lt;OFFSET($BN$9,$CN34+2,0,1,1),IF(AND($H34&gt;2.4,Z34&lt;&gt;"e",Z34&lt;&gt;"f"),DL34*2.4/$H34,DL34),IF($F34&lt;OFFSET($BN$9,$CN34+3,0,1,1),IF(AND($H34&gt;2.4,Z34&lt;&gt;"e",Z34&lt;&gt;"f"),DL34*2.4/$H34,DL34),0)))))*COS(RADIANS($G34)))</f>
        <v>0</v>
      </c>
      <c r="DI34" s="51">
        <f ca="1">IF(F34&lt;OFFSET($BM$9,CN34-1,0,1,1),0,IF(F34&lt;OFFSET($BN$9,CN34-1,0,1,1),((F34-OFFSET($BM$9,CN34-1,0,1,1))*OFFSET($CI$9,CN34-1,0,1,1))+OFFSET($BP$9,CN34-1,CQ34,1,1),IF(F34&lt;OFFSET($BN$9,CN34+0,0,1,1),((F34-OFFSET($BM$9,CN34+0,0,1,1))*OFFSET($CI$9,CN34+0,0,1,1))+OFFSET($BP$9,CN34+0,CQ34,1,1),IF(F34&lt;OFFSET($BN$9,CN34+1,0,1,1),((F34-OFFSET($BM$9,CN34+1,0,1,1))*OFFSET($CI$9,CN34+1,0,1,1))+OFFSET($BP$9,CN34+1,CQ34,1,1),IF(F34&lt;OFFSET($BN$9,CN34+2,0,1,1),((F34-OFFSET($BM$9,CN34+2,0,1,1))*OFFSET($CI$9,CN34+2,0,1,1))+OFFSET($BP$9,CN34+2,CQ34,1,1),IF(F34&lt;OFFSET($BN$9,CN34+3,0,1,1),((F34-OFFSET($BM$9,CN34+3,0,1,1))*OFFSET($CI$9,CN34+3,0,1,1))+OFFSET($BP$9,CN34+3,CQ34,1,1),0))))))</f>
        <v>0</v>
      </c>
      <c r="DJ34" s="51">
        <f ca="1">IF($F34&lt;OFFSET($BM$9,$CN34-1,0,1,1),0,IF($F34&lt;OFFSET($BN$9,$CN34-1,0,1,1),IF(AND($H34&gt;2.4,Z34&lt;&gt;"e",Z34&lt;&gt;"f"),DN34*2.4/$H34,DN34),IF($F34&lt;OFFSET($BN$9,$CN34+0,0,1,1),IF(AND($H34&gt;2.4,Z34&lt;&gt;"e",Z34&lt;&gt;"f"),DN34*2.4/$H34,DN34),IF($F34&lt;OFFSET($BN$9,$CN34+1,0,1,1),IF(AND($H34&gt;2.4,Z34&lt;&gt;"e",Z34&lt;&gt;"f"),DN34*2.4/$H34,DN34),IF($F34&lt;OFFSET($BN$9,$CN34+2,0,1,1),IF(AND($H34&gt;2.4,Z34&lt;&gt;"e",Z34&lt;&gt;"f"),DN34*2.4/$H34,DN34),IF($F34&lt;OFFSET($BN$9,$CN34+3,0,1,1),IF(AND($H34&gt;2.4,Z34&lt;&gt;"e",Z34&lt;&gt;"f"),DN34*2.4/$H34,DN34),0)))))*COS(RADIANS($G34)))</f>
        <v>0</v>
      </c>
      <c r="DK34" s="51"/>
      <c r="DL34" s="51">
        <f ca="1">IF(DG34&gt;$CR34,$CR34,DG34)</f>
        <v>0</v>
      </c>
      <c r="DM34" s="51"/>
      <c r="DN34" s="51">
        <f ca="1">IF(DI34&gt;$CR34,$CR34,DI34)</f>
        <v>0</v>
      </c>
      <c r="DO34" s="435">
        <f ca="1">IF(DH34&gt;$CR34,$CR34,DH34)</f>
        <v>0</v>
      </c>
      <c r="DP34" s="435">
        <f ca="1">DO34*F34</f>
        <v>0</v>
      </c>
      <c r="DQ34" s="436">
        <f ca="1">IF(DJ34&gt;$CR34,$CR34,DJ34)</f>
        <v>0</v>
      </c>
      <c r="DR34" s="437">
        <f ca="1">DQ34*F34</f>
        <v>0</v>
      </c>
      <c r="DS34" s="426">
        <f ca="1">OFFSET($CH$9,CL34-1,-15,1,1)</f>
        <v>0</v>
      </c>
      <c r="DT34" s="426">
        <f ca="1">VLOOKUP(DS34,Prodlink,2,0)</f>
        <v>0</v>
      </c>
      <c r="DU34" s="188">
        <f ca="1">IF(F34&lt;OFFSET($BM$9,DT34-1,0,1,1),0,IF(F34&lt;OFFSET($BN$9,DT34-1,0,1,1),((F34-OFFSET($BM$9,DT34-1,0,1,1))*OFFSET($CH$9,DT34-1,0,1,1))+OFFSET($BO$9,DT34-1,CQ34,1,1),IF(F34&lt;OFFSET($BN$9,DT34+0,0,1,1),((F34-OFFSET($BM$9,DT34+0,0,1,1))*OFFSET($CH$9,DT34+0,0,1,1))+OFFSET($BO$9,DT34+0,CQ34,1,1),IF(F34&lt;OFFSET($BN$9,DT34+1,0,1,1),((F34-OFFSET($BM$9,DT34+1,0,1,1))*OFFSET($CH$9,DT34+1,0,1,1))+OFFSET($BO$9,DT34+1,CQ34,1,1),IF(F34&lt;OFFSET($BN$9,DT34+2,0,1,1),((F34-OFFSET($BM$9,DT34+2,0,1,1))*OFFSET($CH$9,DT34+2,0,1,1))+OFFSET($BO$9,DT34+2,CQ34,1,1),IF(F34&lt;OFFSET($BN$9,DT34+3,0,1,1),((F34-OFFSET($BM$9,DT34+3,0,1,1))*OFFSET($CH$9,DT34+3,0,1,1))+OFFSET($BO$9,DT34+3,CQ34,1,1),0))))))</f>
        <v>0</v>
      </c>
      <c r="DV34" s="51">
        <f ca="1">IF($F34&lt;OFFSET($BM$9,$DT34-1,0,1,1),0,IF($F34&lt;OFFSET($BN$9,$DT34-1,0,1,1),IF(AND($H34&gt;2.4,Z34&lt;&gt;"e",Z34&lt;&gt;"f"),DZ34*2.4/$H34,DZ34),IF($F34&lt;OFFSET($BN$9,$DT34+0,0,1,1),IF(AND($H34&gt;2.4,Z34&lt;&gt;"e",Z34&lt;&gt;"f"),DZ34*2.4/$H34,DZ34),IF($F34&lt;OFFSET($BN$9,$DT34+1,0,1,1),IF(AND($H34&gt;2.4,Z34&lt;&gt;"e",Z34&lt;&gt;"f"),DZ34*2.4/$H34,DZ34),IF($F34&lt;OFFSET($BN$9,$DT34+2,0,1,1),IF(AND($H34&gt;2.4,Z34&lt;&gt;"e",Z34&lt;&gt;"f"),DZ34*2.4/$H34,DZ34),IF($F34&lt;OFFSET($BN$9,$DT34+3,0,1,1),IF(AND($H34&gt;2.4,Z34&lt;&gt;"e",Z34&lt;&gt;"f"),DZ34*2.4/$H34,DZ34),0)))))*COS(RADIANS($G34)))</f>
        <v>0</v>
      </c>
      <c r="DW34" s="188">
        <f ca="1">IF(F34&lt;OFFSET($BM$9,DT34-1,0,1,1),0,IF(F34&lt;OFFSET($BN$9,DT34-1,0,1,1),((F34-OFFSET($BM$9,DT34-1,0,1,1))*OFFSET($CI$9,DT34-1,0,1,1))+OFFSET($BP$9,DT34-1,CQ34,1,1),IF(F34&lt;OFFSET($BN$9,DT34+0,0,1,1),((F34-OFFSET($BM$9,DT34+0,0,1,1))*OFFSET($CI$9,DT34+0,0,1,1))+OFFSET($BP$9,DT34+0,CQ34,1,1),IF(F34&lt;OFFSET($BN$9,DT34+1,0,1,1),((F34-OFFSET($BM$9,DT34+1,0,1,1))*OFFSET($CI$9,DT34+1,0,1,1))+OFFSET($BP$9,DT34+1,CQ34,1,1),IF(F34&lt;OFFSET($BN$9,DT34+2,0,1,1),((F34-OFFSET($BM$9,DT34+2,0,1,1))*OFFSET($CI$9,DT34+2,0,1,1))+OFFSET($BP$9,DT34+2,CQ34,1,1),IF(F34&lt;OFFSET($BN$9,DT34+3,0,1,1),((F34-OFFSET($BM$9,DT34+3,0,1,1))*OFFSET($CI$9,DT34+3,0,1,1))+OFFSET($BP$9,DT34+3,CQ34,1,1),0))))))</f>
        <v>0</v>
      </c>
      <c r="DX34" s="51">
        <f ca="1">IF($F34&lt;OFFSET($BM$9,$DT34-1,0,1,1),0,IF($F34&lt;OFFSET($BN$9,$DT34-1,0,1,1),IF(AND($H34&gt;2.4,Z34&lt;&gt;"e",Z34&lt;&gt;"f"),EB34*2.4/$H34,EB34),IF($F34&lt;OFFSET($BN$9,$DT34+0,0,1,1),IF(AND($H34&gt;2.4,Z34&lt;&gt;"e",Z34&lt;&gt;"f"),EB34*2.4/$H34,EB34),IF($F34&lt;OFFSET($BN$9,$DT34+1,0,1,1),IF(AND($H34&gt;2.4,Z34&lt;&gt;"e",Z34&lt;&gt;"f"),EB34*2.4/$H34,EB34),IF($F34&lt;OFFSET($BN$9,$DT34+2,0,1,1),IF(AND($H34&gt;2.4,Z34&lt;&gt;"e",Z34&lt;&gt;"f"),EB34*2.4/$H34,EB34),IF($F34&lt;OFFSET($BN$9,$DT34+3,0,1,1),IF(AND($H34&gt;2.4,Z34&lt;&gt;"e",Z34&lt;&gt;"f"),EB34*2.4/$H34,EB34),0)))))*COS(RADIANS($G34)))</f>
        <v>0</v>
      </c>
      <c r="DY34" s="188"/>
      <c r="DZ34" s="188">
        <f ca="1">IF(DU34&gt;$CR34,$CR34,DU34)</f>
        <v>0</v>
      </c>
      <c r="EA34" s="188"/>
      <c r="EB34" s="188">
        <f ca="1">IF(DW34&gt;$CR34,$CR34,DW34)</f>
        <v>0</v>
      </c>
      <c r="EC34" s="435">
        <f ca="1">IF(DV34&gt;$CR34,$CR34,DV34)</f>
        <v>0</v>
      </c>
      <c r="ED34" s="435">
        <f ca="1">EC34*F34</f>
        <v>0</v>
      </c>
      <c r="EE34" s="436">
        <f ca="1">IF(DX34&gt;$CR34,$CR34,DX34)</f>
        <v>0</v>
      </c>
      <c r="EF34" s="437">
        <f ca="1">EE34*F34</f>
        <v>0</v>
      </c>
      <c r="EG34" s="613" t="str">
        <f>IF(D34=BG$12,BG$12,"")</f>
        <v/>
      </c>
      <c r="EH34" s="614" t="str">
        <f>IF(D34=BG$13,BG$13,"")</f>
        <v/>
      </c>
      <c r="EI34" s="611">
        <f>IF(EG34=BG$12,M34,0)</f>
        <v>0</v>
      </c>
      <c r="EJ34" s="451">
        <f>IF(EG34=BG$12,O34,0)</f>
        <v>0</v>
      </c>
      <c r="EK34" s="451">
        <f>IF(EH34=BG$13,M34,0)</f>
        <v>0</v>
      </c>
      <c r="EL34" s="612">
        <f>IF(EH34=BG$13,O34,0)</f>
        <v>0</v>
      </c>
      <c r="EM34" s="426" t="str">
        <f ca="1">IF(AND(Z34&lt;&gt;"t",Z34&lt;&gt;"f"),"",IF(AND(EN34=$BH$13,K34=$BH$12),"NotOpt",IF(K34&lt;&gt;EN34,"Error","")))</f>
        <v/>
      </c>
      <c r="EN34" s="490" t="str">
        <f>IF($BG$28=1,$BH$13,$BH$12)</f>
        <v>120 BU's</v>
      </c>
      <c r="EO34" s="426" t="str">
        <f>K34</f>
        <v xml:space="preserve"> </v>
      </c>
      <c r="ER34" s="439" t="str">
        <f ca="1">IF(H34=0," ",H34)</f>
        <v xml:space="preserve"> </v>
      </c>
      <c r="ES34" s="440" t="str">
        <f ca="1">IF(ER34&lt;&gt;" ",IF(ER34&lt;&gt;ER$7,"Changed",""),"")</f>
        <v/>
      </c>
      <c r="ET34" s="440">
        <f ca="1">IF(ER34&lt;&gt;" ",IF(ER34&lt;&gt;ER$7,1,0),0)</f>
        <v>0</v>
      </c>
      <c r="EU34" s="957" t="str">
        <f ca="1">IF(I34=" "," ",IF(F34&lt;OFFSET($BM$9,CL34-1,0,1,1),1,""))</f>
        <v xml:space="preserve"> </v>
      </c>
      <c r="EW34" s="427"/>
      <c r="EX34"/>
      <c r="EY34"/>
      <c r="EZ34"/>
      <c r="FA34"/>
      <c r="FB34"/>
      <c r="FC34"/>
      <c r="FD34"/>
      <c r="FE34"/>
      <c r="FF34"/>
      <c r="FG34"/>
      <c r="FH34"/>
      <c r="FI34"/>
      <c r="FJ34"/>
      <c r="FK34"/>
      <c r="FL34"/>
      <c r="FM34"/>
      <c r="FN34"/>
      <c r="FO34"/>
    </row>
    <row r="35" spans="1:171" ht="17.100000000000001" customHeight="1" thickBot="1">
      <c r="B35" s="689" t="s">
        <v>246</v>
      </c>
      <c r="C35" s="684" t="str">
        <f>IF(OR(F35=0,I35="",I35=" ")," ",$V35)</f>
        <v xml:space="preserve"> </v>
      </c>
      <c r="D35" s="1033"/>
      <c r="E35" s="1360" t="s">
        <v>8</v>
      </c>
      <c r="F35" s="202"/>
      <c r="G35" s="1416"/>
      <c r="H35" s="199" t="str">
        <f ca="1">IF(OR(F35=0,Z35="E",Z35="f")," ",'Project Demand'!E$45)</f>
        <v xml:space="preserve"> </v>
      </c>
      <c r="I35" s="631" t="str">
        <f>IF($I$6&lt;&gt;$BG$8," ",AB35)</f>
        <v xml:space="preserve"> </v>
      </c>
      <c r="J35" s="44" t="str">
        <f ca="1">IF(OR(I35=" ",I35="")," ",OFFSET($BO$9,CL35-1,0-4,1,1))</f>
        <v xml:space="preserve"> </v>
      </c>
      <c r="K35" s="55" t="str">
        <f>IF(OR(I35=" ",I35="")," ",IF(OR(Z35="e",Z35="h"),"SD",BG$24))</f>
        <v xml:space="preserve"> </v>
      </c>
      <c r="L35" s="49">
        <f ca="1">CW35</f>
        <v>0</v>
      </c>
      <c r="M35" s="49">
        <f ca="1">CY35</f>
        <v>0</v>
      </c>
      <c r="N35" s="50">
        <f t="shared" ca="1" si="20"/>
        <v>0</v>
      </c>
      <c r="O35" s="126">
        <f t="shared" ca="1" si="20"/>
        <v>0</v>
      </c>
      <c r="P35" s="140"/>
      <c r="Q35" s="752" t="str">
        <f ca="1">IF(AND(OR(Z35="t",Z35="f"),K35=$BH$11),"No Floor!  Change Floor Type",IF(OR(I35=" ",I35="")," ",IF(F35&lt;OFFSET($BM$9,CL35-1,0,1,1),"check L(m)",DE35&amp;IF(AND(DP35&gt;=CY35,DR35&gt;=DB35),IF(AND(ED35&gt;=DP35,EF35&gt;=DR35),CONCATENATE(DS35," will provide same result"),CONCATENATE(CO35," will provide same result")),IF((DP35&gt;=CY35),CONCATENATE(CO35," provides same result in WIND"),IF((DR35&gt;=DB35),CONCATENATE(CO35," provides same result in EQ"),""))))))&amp;IF(ISERROR(FIND("pile",I35,1)),"",IF(INT(F35)&lt;&gt;F35,"Pile!  Use Whole Numbers Only",""))</f>
        <v xml:space="preserve"> </v>
      </c>
      <c r="R35" s="52"/>
      <c r="S35" s="1372"/>
      <c r="T35" s="1372"/>
      <c r="U35" s="1377"/>
      <c r="V35" s="52" t="str">
        <f ca="1">IF(AND(B$5=$BF$9,OR(I35=BH$16,I35=BH$17))," ",IF(ISNUMBER(B$32),(CONCATENATE(B$32,".",W35)),(CONCATENATE(B$32,W35))))</f>
        <v>E0</v>
      </c>
      <c r="W35" s="9">
        <f ca="1">W34+X35</f>
        <v>0</v>
      </c>
      <c r="X35" s="9">
        <f>IF(AND(B$5=$BF$9,OR($I35=$BH$16,$I35=$BH$17,$I35=" ",$I35="",$F35=0)),0,IF(OR($I35=" ",$I35="",$F35=0),0,1))</f>
        <v>0</v>
      </c>
      <c r="Y35" s="896"/>
      <c r="Z35" s="52" t="str">
        <f ca="1">IF(I35=" "," ",OFFSET($BM$9,$CL35-1,8,1,1))</f>
        <v xml:space="preserve"> </v>
      </c>
      <c r="AA35" s="51" t="str">
        <f>IF(G35&gt;=45,"WA","")</f>
        <v/>
      </c>
      <c r="AB35" s="1364" t="str">
        <f>IF(F35&lt;&gt;"",IF(OR(D35=$BG$12,D35=$BG$13),IF(E35&lt;&gt;$BG$17,$BF$12,$BF$13),IF(E35&lt;&gt;$BG$17,$BF$12,$BF$13))," ")</f>
        <v xml:space="preserve"> </v>
      </c>
      <c r="AC35" s="1"/>
      <c r="AJ35" s="2230"/>
      <c r="AK35" s="2799" t="str">
        <f>'Regular and QuickBrace Systems'!D50</f>
        <v>Plasterboard One Side, Plywood the Other</v>
      </c>
      <c r="AL35" s="2800"/>
      <c r="AM35" s="2800"/>
      <c r="AN35" s="2800"/>
      <c r="AO35" s="2800"/>
      <c r="AP35" s="1551"/>
      <c r="AQ35" s="1306"/>
      <c r="AR35" s="1551"/>
      <c r="AS35" s="1338"/>
      <c r="AT35" s="1188"/>
      <c r="AU35" s="1333"/>
      <c r="AW35" s="1587"/>
      <c r="AX35" s="1579"/>
      <c r="BD35" s="2648"/>
      <c r="BF35" s="599" t="str">
        <f>'Custom Elements'!C19</f>
        <v>Custom11</v>
      </c>
      <c r="BG35" s="948" t="s">
        <v>640</v>
      </c>
      <c r="BI35" s="759"/>
      <c r="BJ35" s="897">
        <f t="shared" si="4"/>
        <v>27</v>
      </c>
      <c r="BK35" s="769" t="str">
        <f>'Custom Elements'!O11</f>
        <v>NZS 3604</v>
      </c>
      <c r="BL35" s="771" t="str">
        <f>'Custom Elements'!P11</f>
        <v>Masonry 3.0</v>
      </c>
      <c r="BM35" s="455">
        <f>'Custom Elements'!Q11</f>
        <v>1.5</v>
      </c>
      <c r="BN35" s="455">
        <v>999</v>
      </c>
      <c r="BO35" s="455">
        <f>'Custom Elements'!R11</f>
        <v>200</v>
      </c>
      <c r="BP35" s="925">
        <f>'Custom Elements'!S11</f>
        <v>200</v>
      </c>
      <c r="BR35" s="764"/>
      <c r="BS35" s="455"/>
      <c r="BT35" s="455" t="s">
        <v>7</v>
      </c>
      <c r="BU35" s="925" t="s">
        <v>34</v>
      </c>
      <c r="BV35" s="483" t="str">
        <f t="shared" si="24"/>
        <v>Masonry 3.0</v>
      </c>
      <c r="BW35" s="910">
        <f t="shared" si="21"/>
        <v>27</v>
      </c>
      <c r="BX35" s="925" t="str">
        <f>'Custom Elements'!U11</f>
        <v>Single</v>
      </c>
      <c r="CH35" s="764">
        <f t="shared" si="22"/>
        <v>0</v>
      </c>
      <c r="CI35" s="925">
        <f t="shared" si="23"/>
        <v>0</v>
      </c>
      <c r="CJ35" s="759"/>
      <c r="CK35" s="188"/>
      <c r="CL35" s="979">
        <f>VLOOKUP(I35,Prodlink,2,0)</f>
        <v>0</v>
      </c>
      <c r="CN35" s="497">
        <f t="shared" ca="1" si="1"/>
        <v>0</v>
      </c>
      <c r="CO35" s="497">
        <f ca="1">OFFSET($CH$9,CL35-1,-15,1,1)</f>
        <v>0</v>
      </c>
      <c r="CQ35" s="51">
        <v>0</v>
      </c>
      <c r="CR35" s="51">
        <f>IF(K35=$BH$12,$BH$23,IF(K35=$BH$13,$BH$24,10000))</f>
        <v>10000</v>
      </c>
      <c r="CS35" s="51">
        <f ca="1">IF(F35&lt;OFFSET($BM$9,CL35-1,0,1,1),0,IF(F35&lt;OFFSET($BN$9,CL35-1,0,1,1),((F35-OFFSET($BM$9,CL35-1,0,1,1))*OFFSET($CH$9,CL35-1,0,1,1))+OFFSET($BO$9,CL35-1,CQ35,1,1),IF(F35&lt;OFFSET($BN$9,CL35+0,0,1,1),((F35-OFFSET($BM$9,CL35+0,0,1,1))*OFFSET($CH$9,CL35+0,0,1,1))+OFFSET($BO$9,CL35+0,CQ35,1,1),IF(F35&lt;OFFSET($BN$9,CL35+1,0,1,1),((F35-OFFSET($BM$9,CL35+1,0,1,1))*OFFSET($CH$9,CL35+1,0,1,1))+OFFSET($BO$9,CL35+1,CQ35,1,1),IF(F35&lt;OFFSET($BN$9,CL35+2,0,1,1),((F35-OFFSET($BM$9,CL35+2,0,1,1))*OFFSET($CH$9,CL35+2,0,1,1))+OFFSET($BO$9,CL35+2,CQ35,1,1),IF(F35&lt;OFFSET($BN$9,CL35+3,0,1,1),((F35-OFFSET($BM$9,CL35+3,0,1,1))*OFFSET($CH$9,CL35+3,0,1,1))+OFFSET($BO$9,CL35+3,CQ35,1,1),0))))))</f>
        <v>0</v>
      </c>
      <c r="CT35" s="51">
        <f ca="1">IF($F35&lt;OFFSET($BM$9,$CL35-1,0,1,1),0,IF($F35&lt;OFFSET($BN$9,$CL35-1,0,1,1),IF(AND($H35&gt;2.4,Z35&lt;&gt;"e",Z35&lt;&gt;"f"),CX35*2.4/$H35,CX35),IF($F35&lt;OFFSET($BN$9,$CL35+0,0,1,1),IF(AND($H35&gt;2.4,Z35&lt;&gt;"e",Z35&lt;&gt;"f"),CX35*2.4/$H35,CX35),IF($F35&lt;OFFSET($BN$9,$CL35+1,0,1,1),IF(AND($H35&gt;2.4,Z35&lt;&gt;"e",Z35&lt;&gt;"f"),CX35*2.4/$H35,CX35),IF($F35&lt;OFFSET($BN$9,CL35+2,0,1,1),IF(AND($H35&gt;2.4,Z35&lt;&gt;"e",Z35&lt;&gt;"f"),CX35*2.4/$H35,CX35),IF($F35&lt;OFFSET($BN$9,CL35+3,0,1,1),IF(AND($H35&gt;2.4,Z35&lt;&gt;"e",Z35&lt;&gt;"f"),CX35*2.4/$H35,CX35),0)))))*COS(RADIANS($G35)))</f>
        <v>0</v>
      </c>
      <c r="CU35" s="51">
        <f ca="1">IF(F35&lt;OFFSET($BM$9,CL35-1,0,1,1),0,IF(F35&lt;OFFSET($BN$9,CL35-1,0,1,1),((F35-OFFSET($BM$9,CL35-1,0,1,1))*OFFSET($CI$9,CL35-1,0,1,1))+OFFSET($BP$9,CL35-1,CQ35,1,1),IF(F35&lt;OFFSET($BN$9,CL35+0,0,1,1),((F35-OFFSET($BM$9,CL35+0,0,1,1))*OFFSET($CI$9,CL35+0,0,1,1))+OFFSET($BP$9,CL35+0,CQ35,1,1),IF(F35&lt;OFFSET($BN$9,CL35+1,0,1,1),((F35-OFFSET($BM$9,CL35+1,0,1,1))*OFFSET($CI$9,CL35+1,0,1,1))+OFFSET($BP$9,CL35+1,CQ35,1,1),IF(F35&lt;OFFSET($BN$9,CL35+2,0,1,1),((F35-OFFSET($BM$9,CL35+2,0,1,1))*OFFSET($CI$9,CL35+2,0,1,1))+OFFSET($BP$9,CL35+2,CQ35,1,1),IF(F35&lt;OFFSET($BN$9,CL35+3,0,1,1),((F35-OFFSET($BM$9,CL35+3,0,1,1))*OFFSET($CI$9,CL35+3,0,1,1))+OFFSET($BP$9,CL35+3,CQ35,1,1),0))))))</f>
        <v>0</v>
      </c>
      <c r="CV35" s="51">
        <f ca="1">IF($F35&lt;OFFSET($BM$9,$CL35-1,0,1,1),0,IF($F35&lt;OFFSET($BN$9,$CL35-1,0,1,1),IF(AND($H35&gt;2.4,Z35&lt;&gt;"e",Z35&lt;&gt;"f"),CZ35*2.4/$H35,CZ35),IF($F35&lt;OFFSET($BN$9,$CL35+0,0,1,1),IF(AND($H35&gt;2.4,Z35&lt;&gt;"e",Z35&lt;&gt;"f"),CZ35*2.4/$H35,CZ35),IF($F35&lt;OFFSET($BN$9,$CL35+1,0,1,1),IF(AND($H35&gt;2.4,Z35&lt;&gt;"e",Z35&lt;&gt;"f"),CZ35*2.4/$H35,CZ35),IF($F35&lt;OFFSET($BN$9,$CL35+2,0,1,1),IF(AND($H35&gt;2.4,Z35&lt;&gt;"e",Z35&lt;&gt;"f"),CZ35*2.4/$H35,CZ35),IF($F35&lt;OFFSET($BN$9,$CL35+3,0,1,1),IF(AND($H35&gt;2.4,Z35&lt;&gt;"e",Z35&lt;&gt;"f"),CZ35*2.4/$H35,CZ35),0)))))*COS(RADIANS($G35)))</f>
        <v>0</v>
      </c>
      <c r="CW35" s="51">
        <f ca="1">IF(CT35&gt;CR35,CR35,CT35)</f>
        <v>0</v>
      </c>
      <c r="CX35" s="51">
        <f ca="1">IF(CS35&gt;$CR35,$CR35,CS35)</f>
        <v>0</v>
      </c>
      <c r="CY35" s="51">
        <f ca="1">CW35*F35</f>
        <v>0</v>
      </c>
      <c r="CZ35" s="51">
        <f ca="1">IF($CU35&gt;$CR35,$CR35,$CU35)</f>
        <v>0</v>
      </c>
      <c r="DA35" s="51">
        <f ca="1">IF(CV35&gt;CR35,CR35,CV35)</f>
        <v>0</v>
      </c>
      <c r="DB35" s="51">
        <f ca="1">DA35*F35</f>
        <v>0</v>
      </c>
      <c r="DC35" s="993">
        <v>3</v>
      </c>
      <c r="DD35" s="758" t="str">
        <f>IF(OR(D35=BG$12,D35=BG$13),"External",IF(D35=BG$14,"Internal"," "))</f>
        <v xml:space="preserve"> </v>
      </c>
      <c r="DE35" s="51" t="str">
        <f t="shared" ca="1" si="2"/>
        <v/>
      </c>
      <c r="DF35" s="52" t="str">
        <f t="shared" ca="1" si="3"/>
        <v xml:space="preserve"> </v>
      </c>
      <c r="DG35" s="51">
        <f ca="1">IF(F35&lt;OFFSET($BM$9,CN35-1,0,1,1),0,IF(F35&lt;OFFSET($BN$9,CN35-1,0,1,1),((F35-OFFSET($BM$9,CN35-1,0,1,1))*OFFSET($CH$9,CN35-1,0,1,1))+OFFSET($BO$9,CN35-1,CQ35,1,1),IF(F35&lt;OFFSET($BN$9,CN35+0,0,1,1),((F35-OFFSET($BM$9,CN35+0,0,1,1))*OFFSET($CH$9,CN35+0,0,1,1))+OFFSET($BO$9,CN35+0,CQ35,1,1),IF(F35&lt;OFFSET($BN$9,CN35+1,0,1,1),((F35-OFFSET($BM$9,CN35+1,0,1,1))*OFFSET($CH$9,CN35+1,0,1,1))+OFFSET($BO$9,CN35+1,CQ35,1,1),IF(F35&lt;OFFSET($BN$9,CN35+2,0,1,1),((F35-OFFSET($BM$9,CN35+2,0,1,1))*OFFSET($CH$9,CN35+2,0,1,1))+OFFSET($BO$9,CN35+2,CQ35,1,1),IF(F35&lt;OFFSET($BN$9,CN35+3,0,1,1),((F35-OFFSET($BM$9,CN35+3,0,1,1))*OFFSET($CH$9,CN35+3,0,1,1))+OFFSET($BO$9,CN35+3,CQ35,1,1),0))))))</f>
        <v>0</v>
      </c>
      <c r="DH35" s="51">
        <f ca="1">IF($F35&lt;OFFSET($BM$9,$CN35-1,0,1,1),0,IF($F35&lt;OFFSET($BN$9,$CN35-1,0,1,1),IF(AND($H35&gt;2.4,Z35&lt;&gt;"e",Z35&lt;&gt;"f"),DL35*2.4/$H35,DL35),IF($F35&lt;OFFSET($BN$9,$CN35+0,0,1,1),IF(AND($H35&gt;2.4,Z35&lt;&gt;"e",Z35&lt;&gt;"f"),DL35*2.4/$H35,DL35),IF($F35&lt;OFFSET($BN$9,$CN35+1,0,1,1),IF(AND($H35&gt;2.4,Z35&lt;&gt;"e",Z35&lt;&gt;"f"),DL35*2.4/$H35,DL35),IF($F35&lt;OFFSET($BN$9,$CN35+2,0,1,1),IF(AND($H35&gt;2.4,Z35&lt;&gt;"e",Z35&lt;&gt;"f"),DL35*2.4/$H35,DL35),IF($F35&lt;OFFSET($BN$9,$CN35+3,0,1,1),IF(AND($H35&gt;2.4,Z35&lt;&gt;"e",Z35&lt;&gt;"f"),DL35*2.4/$H35,DL35),0)))))*COS(RADIANS($G35)))</f>
        <v>0</v>
      </c>
      <c r="DI35" s="51">
        <f ca="1">IF(F35&lt;OFFSET($BM$9,CN35-1,0,1,1),0,IF(F35&lt;OFFSET($BN$9,CN35-1,0,1,1),((F35-OFFSET($BM$9,CN35-1,0,1,1))*OFFSET($CI$9,CN35-1,0,1,1))+OFFSET($BP$9,CN35-1,CQ35,1,1),IF(F35&lt;OFFSET($BN$9,CN35+0,0,1,1),((F35-OFFSET($BM$9,CN35+0,0,1,1))*OFFSET($CI$9,CN35+0,0,1,1))+OFFSET($BP$9,CN35+0,CQ35,1,1),IF(F35&lt;OFFSET($BN$9,CN35+1,0,1,1),((F35-OFFSET($BM$9,CN35+1,0,1,1))*OFFSET($CI$9,CN35+1,0,1,1))+OFFSET($BP$9,CN35+1,CQ35,1,1),IF(F35&lt;OFFSET($BN$9,CN35+2,0,1,1),((F35-OFFSET($BM$9,CN35+2,0,1,1))*OFFSET($CI$9,CN35+2,0,1,1))+OFFSET($BP$9,CN35+2,CQ35,1,1),IF(F35&lt;OFFSET($BN$9,CN35+3,0,1,1),((F35-OFFSET($BM$9,CN35+3,0,1,1))*OFFSET($CI$9,CN35+3,0,1,1))+OFFSET($BP$9,CN35+3,CQ35,1,1),0))))))</f>
        <v>0</v>
      </c>
      <c r="DJ35" s="51">
        <f ca="1">IF($F35&lt;OFFSET($BM$9,$CN35-1,0,1,1),0,IF($F35&lt;OFFSET($BN$9,$CN35-1,0,1,1),IF(AND($H35&gt;2.4,Z35&lt;&gt;"e",Z35&lt;&gt;"f"),DN35*2.4/$H35,DN35),IF($F35&lt;OFFSET($BN$9,$CN35+0,0,1,1),IF(AND($H35&gt;2.4,Z35&lt;&gt;"e",Z35&lt;&gt;"f"),DN35*2.4/$H35,DN35),IF($F35&lt;OFFSET($BN$9,$CN35+1,0,1,1),IF(AND($H35&gt;2.4,Z35&lt;&gt;"e",Z35&lt;&gt;"f"),DN35*2.4/$H35,DN35),IF($F35&lt;OFFSET($BN$9,$CN35+2,0,1,1),IF(AND($H35&gt;2.4,Z35&lt;&gt;"e",Z35&lt;&gt;"f"),DN35*2.4/$H35,DN35),IF($F35&lt;OFFSET($BN$9,$CN35+3,0,1,1),IF(AND($H35&gt;2.4,Z35&lt;&gt;"e",Z35&lt;&gt;"f"),DN35*2.4/$H35,DN35),0)))))*COS(RADIANS($G35)))</f>
        <v>0</v>
      </c>
      <c r="DK35" s="51"/>
      <c r="DL35" s="51">
        <f ca="1">IF(DG35&gt;$CR35,$CR35,DG35)</f>
        <v>0</v>
      </c>
      <c r="DM35" s="51"/>
      <c r="DN35" s="51">
        <f ca="1">IF(DI35&gt;$CR35,$CR35,DI35)</f>
        <v>0</v>
      </c>
      <c r="DO35" s="435">
        <f ca="1">IF(DH35&gt;$CR35,$CR35,DH35)</f>
        <v>0</v>
      </c>
      <c r="DP35" s="435">
        <f ca="1">DO35*F35</f>
        <v>0</v>
      </c>
      <c r="DQ35" s="436">
        <f ca="1">IF(DJ35&gt;$CR35,$CR35,DJ35)</f>
        <v>0</v>
      </c>
      <c r="DR35" s="437">
        <f ca="1">DQ35*F35</f>
        <v>0</v>
      </c>
      <c r="DS35" s="426">
        <f ca="1">OFFSET($CH$9,CL35-1,-15,1,1)</f>
        <v>0</v>
      </c>
      <c r="DT35" s="426">
        <f ca="1">VLOOKUP(DS35,Prodlink,2,0)</f>
        <v>0</v>
      </c>
      <c r="DU35" s="188">
        <f ca="1">IF(F35&lt;OFFSET($BM$9,DT35-1,0,1,1),0,IF(F35&lt;OFFSET($BN$9,DT35-1,0,1,1),((F35-OFFSET($BM$9,DT35-1,0,1,1))*OFFSET($CH$9,DT35-1,0,1,1))+OFFSET($BO$9,DT35-1,CQ35,1,1),IF(F35&lt;OFFSET($BN$9,DT35+0,0,1,1),((F35-OFFSET($BM$9,DT35+0,0,1,1))*OFFSET($CH$9,DT35+0,0,1,1))+OFFSET($BO$9,DT35+0,CQ35,1,1),IF(F35&lt;OFFSET($BN$9,DT35+1,0,1,1),((F35-OFFSET($BM$9,DT35+1,0,1,1))*OFFSET($CH$9,DT35+1,0,1,1))+OFFSET($BO$9,DT35+1,CQ35,1,1),IF(F35&lt;OFFSET($BN$9,DT35+2,0,1,1),((F35-OFFSET($BM$9,DT35+2,0,1,1))*OFFSET($CH$9,DT35+2,0,1,1))+OFFSET($BO$9,DT35+2,CQ35,1,1),IF(F35&lt;OFFSET($BN$9,DT35+3,0,1,1),((F35-OFFSET($BM$9,DT35+3,0,1,1))*OFFSET($CH$9,DT35+3,0,1,1))+OFFSET($BO$9,DT35+3,CQ35,1,1),0))))))</f>
        <v>0</v>
      </c>
      <c r="DV35" s="51">
        <f ca="1">IF($F35&lt;OFFSET($BM$9,$DT35-1,0,1,1),0,IF($F35&lt;OFFSET($BN$9,$DT35-1,0,1,1),IF(AND($H35&gt;2.4,Z35&lt;&gt;"e",Z35&lt;&gt;"f"),DZ35*2.4/$H35,DZ35),IF($F35&lt;OFFSET($BN$9,$DT35+0,0,1,1),IF(AND($H35&gt;2.4,Z35&lt;&gt;"e",Z35&lt;&gt;"f"),DZ35*2.4/$H35,DZ35),IF($F35&lt;OFFSET($BN$9,$DT35+1,0,1,1),IF(AND($H35&gt;2.4,Z35&lt;&gt;"e",Z35&lt;&gt;"f"),DZ35*2.4/$H35,DZ35),IF($F35&lt;OFFSET($BN$9,$DT35+2,0,1,1),IF(AND($H35&gt;2.4,Z35&lt;&gt;"e",Z35&lt;&gt;"f"),DZ35*2.4/$H35,DZ35),IF($F35&lt;OFFSET($BN$9,$DT35+3,0,1,1),IF(AND($H35&gt;2.4,Z35&lt;&gt;"e",Z35&lt;&gt;"f"),DZ35*2.4/$H35,DZ35),0)))))*COS(RADIANS($G35)))</f>
        <v>0</v>
      </c>
      <c r="DW35" s="188">
        <f ca="1">IF(F35&lt;OFFSET($BM$9,DT35-1,0,1,1),0,IF(F35&lt;OFFSET($BN$9,DT35-1,0,1,1),((F35-OFFSET($BM$9,DT35-1,0,1,1))*OFFSET($CI$9,DT35-1,0,1,1))+OFFSET($BP$9,DT35-1,CQ35,1,1),IF(F35&lt;OFFSET($BN$9,DT35+0,0,1,1),((F35-OFFSET($BM$9,DT35+0,0,1,1))*OFFSET($CI$9,DT35+0,0,1,1))+OFFSET($BP$9,DT35+0,CQ35,1,1),IF(F35&lt;OFFSET($BN$9,DT35+1,0,1,1),((F35-OFFSET($BM$9,DT35+1,0,1,1))*OFFSET($CI$9,DT35+1,0,1,1))+OFFSET($BP$9,DT35+1,CQ35,1,1),IF(F35&lt;OFFSET($BN$9,DT35+2,0,1,1),((F35-OFFSET($BM$9,DT35+2,0,1,1))*OFFSET($CI$9,DT35+2,0,1,1))+OFFSET($BP$9,DT35+2,CQ35,1,1),IF(F35&lt;OFFSET($BN$9,DT35+3,0,1,1),((F35-OFFSET($BM$9,DT35+3,0,1,1))*OFFSET($CI$9,DT35+3,0,1,1))+OFFSET($BP$9,DT35+3,CQ35,1,1),0))))))</f>
        <v>0</v>
      </c>
      <c r="DX35" s="51">
        <f ca="1">IF($F35&lt;OFFSET($BM$9,$DT35-1,0,1,1),0,IF($F35&lt;OFFSET($BN$9,$DT35-1,0,1,1),IF(AND($H35&gt;2.4,Z35&lt;&gt;"e",Z35&lt;&gt;"f"),EB35*2.4/$H35,EB35),IF($F35&lt;OFFSET($BN$9,$DT35+0,0,1,1),IF(AND($H35&gt;2.4,Z35&lt;&gt;"e",Z35&lt;&gt;"f"),EB35*2.4/$H35,EB35),IF($F35&lt;OFFSET($BN$9,$DT35+1,0,1,1),IF(AND($H35&gt;2.4,Z35&lt;&gt;"e",Z35&lt;&gt;"f"),EB35*2.4/$H35,EB35),IF($F35&lt;OFFSET($BN$9,$DT35+2,0,1,1),IF(AND($H35&gt;2.4,Z35&lt;&gt;"e",Z35&lt;&gt;"f"),EB35*2.4/$H35,EB35),IF($F35&lt;OFFSET($BN$9,$DT35+3,0,1,1),IF(AND($H35&gt;2.4,Z35&lt;&gt;"e",Z35&lt;&gt;"f"),EB35*2.4/$H35,EB35),0)))))*COS(RADIANS($G35)))</f>
        <v>0</v>
      </c>
      <c r="DY35" s="188"/>
      <c r="DZ35" s="188">
        <f ca="1">IF(DU35&gt;$CR35,$CR35,DU35)</f>
        <v>0</v>
      </c>
      <c r="EA35" s="188"/>
      <c r="EB35" s="188">
        <f ca="1">IF(DW35&gt;$CR35,$CR35,DW35)</f>
        <v>0</v>
      </c>
      <c r="EC35" s="435">
        <f ca="1">IF(DV35&gt;$CR35,$CR35,DV35)</f>
        <v>0</v>
      </c>
      <c r="ED35" s="435">
        <f ca="1">EC35*F35</f>
        <v>0</v>
      </c>
      <c r="EE35" s="436">
        <f ca="1">IF(DX35&gt;$CR35,$CR35,DX35)</f>
        <v>0</v>
      </c>
      <c r="EF35" s="437">
        <f ca="1">EE35*F35</f>
        <v>0</v>
      </c>
      <c r="EG35" s="613" t="str">
        <f>IF(D35=BG$12,BG$12,"")</f>
        <v/>
      </c>
      <c r="EH35" s="614" t="str">
        <f>IF(D35=BG$13,BG$13,"")</f>
        <v/>
      </c>
      <c r="EI35" s="611">
        <f>IF(EG35=BG$12,M35,0)</f>
        <v>0</v>
      </c>
      <c r="EJ35" s="451">
        <f>IF(EG35=BG$12,O35,0)</f>
        <v>0</v>
      </c>
      <c r="EK35" s="451">
        <f>IF(EH35=BG$13,M35,0)</f>
        <v>0</v>
      </c>
      <c r="EL35" s="612">
        <f>IF(EH35=BG$13,O35,0)</f>
        <v>0</v>
      </c>
      <c r="EM35" s="426" t="str">
        <f ca="1">IF(AND(Z35&lt;&gt;"t",Z35&lt;&gt;"f"),"",IF(AND(EN35=$BH$13,K35=$BH$12),"NotOpt",IF(K35&lt;&gt;EN35,"Error","")))</f>
        <v/>
      </c>
      <c r="EN35" s="490" t="str">
        <f>IF($BG$28=1,$BH$13,$BH$12)</f>
        <v>120 BU's</v>
      </c>
      <c r="EO35" s="426" t="str">
        <f>K35</f>
        <v xml:space="preserve"> </v>
      </c>
      <c r="ER35" s="439" t="str">
        <f ca="1">IF(H35=0," ",H35)</f>
        <v xml:space="preserve"> </v>
      </c>
      <c r="ES35" s="440" t="str">
        <f ca="1">IF(ER35&lt;&gt;" ",IF(ER35&lt;&gt;ER$7,"Changed",""),"")</f>
        <v/>
      </c>
      <c r="ET35" s="440">
        <f ca="1">IF(ER35&lt;&gt;" ",IF(ER35&lt;&gt;ER$7,1,0),0)</f>
        <v>0</v>
      </c>
      <c r="EU35" s="957" t="str">
        <f ca="1">IF(I35=" "," ",IF(F35&lt;OFFSET($BM$9,CL35-1,0,1,1),1,""))</f>
        <v xml:space="preserve"> </v>
      </c>
      <c r="EW35" s="427"/>
      <c r="EX35"/>
      <c r="EY35"/>
      <c r="EZ35"/>
      <c r="FA35"/>
      <c r="FB35"/>
      <c r="FC35"/>
      <c r="FD35"/>
      <c r="FE35"/>
      <c r="FF35"/>
      <c r="FG35"/>
      <c r="FH35"/>
      <c r="FI35"/>
      <c r="FJ35"/>
      <c r="FK35"/>
      <c r="FL35"/>
      <c r="FM35"/>
      <c r="FN35"/>
      <c r="FO35"/>
    </row>
    <row r="36" spans="1:171" ht="17.100000000000001" customHeight="1" thickBot="1">
      <c r="B36" s="689" t="s">
        <v>246</v>
      </c>
      <c r="C36" s="684" t="str">
        <f>IF(OR(F36=0,I36="",I36=" ")," ",$V36)</f>
        <v xml:space="preserve"> </v>
      </c>
      <c r="D36" s="1033"/>
      <c r="E36" s="1360" t="s">
        <v>8</v>
      </c>
      <c r="F36" s="202"/>
      <c r="G36" s="1416"/>
      <c r="H36" s="199" t="str">
        <f ca="1">IF(OR(F36=0,Z36="E",Z36="f")," ",'Project Demand'!E$45)</f>
        <v xml:space="preserve"> </v>
      </c>
      <c r="I36" s="631" t="str">
        <f>IF($I$6&lt;&gt;$BG$8," ",AB36)</f>
        <v xml:space="preserve"> </v>
      </c>
      <c r="J36" s="44" t="str">
        <f ca="1">IF(OR(I36=" ",I36="")," ",OFFSET($BO$9,CL36-1,0-4,1,1))</f>
        <v xml:space="preserve"> </v>
      </c>
      <c r="K36" s="55" t="str">
        <f>IF(OR(I36=" ",I36="")," ",IF(OR(Z36="e",Z36="h"),"SD",BG$24))</f>
        <v xml:space="preserve"> </v>
      </c>
      <c r="L36" s="49">
        <f ca="1">CW36</f>
        <v>0</v>
      </c>
      <c r="M36" s="49">
        <f ca="1">CY36</f>
        <v>0</v>
      </c>
      <c r="N36" s="50">
        <f t="shared" ca="1" si="20"/>
        <v>0</v>
      </c>
      <c r="O36" s="126">
        <f t="shared" ca="1" si="20"/>
        <v>0</v>
      </c>
      <c r="P36" s="140"/>
      <c r="Q36" s="752" t="str">
        <f ca="1">IF(AND(OR(Z36="t",Z36="f"),K36=$BH$11),"No Floor!  Change Floor Type",IF(OR(I36=" ",I36="")," ",IF(F36&lt;OFFSET($BM$9,CL36-1,0,1,1),"check L(m)",DE36&amp;IF(AND(DP36&gt;=CY36,DR36&gt;=DB36),IF(AND(ED36&gt;=DP36,EF36&gt;=DR36),CONCATENATE(DS36," will provide same result"),CONCATENATE(CO36," will provide same result")),IF((DP36&gt;=CY36),CONCATENATE(CO36," provides same result in WIND"),IF((DR36&gt;=DB36),CONCATENATE(CO36," provides same result in EQ"),""))))))&amp;IF(ISERROR(FIND("pile",I36,1)),"",IF(INT(F36)&lt;&gt;F36,"Pile!  Use Whole Numbers Only",""))</f>
        <v xml:space="preserve"> </v>
      </c>
      <c r="U36" s="1377"/>
      <c r="V36" s="52" t="str">
        <f ca="1">IF(AND(B$5=$BF$9,OR(I36=BH$16,I36=BH$17))," ",IF(ISNUMBER(B$32),(CONCATENATE(B$32,".",W36)),(CONCATENATE(B$32,W36))))</f>
        <v>E0</v>
      </c>
      <c r="W36" s="9">
        <f ca="1">W35+X36</f>
        <v>0</v>
      </c>
      <c r="X36" s="9">
        <f>IF(AND(B$5=$BF$9,OR($I36=$BH$16,$I36=$BH$17,$I36=" ",$I36="",$F36=0)),0,IF(OR($I36=" ",$I36="",$F36=0),0,1))</f>
        <v>0</v>
      </c>
      <c r="Y36" s="896"/>
      <c r="Z36" s="52" t="str">
        <f ca="1">IF(I36=" "," ",OFFSET($BM$9,$CL36-1,8,1,1))</f>
        <v xml:space="preserve"> </v>
      </c>
      <c r="AA36" s="51" t="str">
        <f>IF(G36&gt;=45,"WA","")</f>
        <v/>
      </c>
      <c r="AB36" s="1364" t="str">
        <f>IF(F36&lt;&gt;"",IF(OR(D36=$BG$12,D36=$BG$13),IF(E36&lt;&gt;$BG$17,$BF$12,$BF$13),IF(E36&lt;&gt;$BG$17,$BF$12,$BF$13))," ")</f>
        <v xml:space="preserve"> </v>
      </c>
      <c r="AC36" s="1"/>
      <c r="AJ36" s="2230"/>
      <c r="AK36" s="2797" t="str">
        <f>'Regular and QuickBrace Systems'!D54</f>
        <v>External</v>
      </c>
      <c r="AL36" s="2783" t="str">
        <f>'Regular and QuickBrace Systems'!E54</f>
        <v>ESPH</v>
      </c>
      <c r="AM36" s="1176">
        <f>'Regular and QuickBrace Systems'!F54</f>
        <v>0.4</v>
      </c>
      <c r="AN36" s="1272">
        <f>'Regular and QuickBrace Systems'!G54</f>
        <v>102</v>
      </c>
      <c r="AO36" s="1273">
        <f>'Regular and QuickBrace Systems'!H54</f>
        <v>114</v>
      </c>
      <c r="AP36" s="1594"/>
      <c r="AQ36" s="2661" t="str">
        <f>'Regular and QuickBrace Systems'!I54</f>
        <v>Specialised QuickBrace Pattern</v>
      </c>
      <c r="AR36" s="2662"/>
      <c r="AS36" s="2826" t="str">
        <f>'Regular and QuickBrace Systems'!K54</f>
        <v>Yes</v>
      </c>
      <c r="AT36" s="1340"/>
      <c r="AU36" s="2131" t="str">
        <f>'Regular and QuickBrace Systems'!M54</f>
        <v>Elephant Standard-Plus board One side,       Plywood the Other</v>
      </c>
      <c r="AW36" s="1567" t="str">
        <f>'Regular and QuickBrace Systems'!O54</f>
        <v>Yes</v>
      </c>
      <c r="AX36" s="1573" t="str">
        <f>'Regular and QuickBrace Systems'!Q54</f>
        <v>No</v>
      </c>
      <c r="BD36" s="2648"/>
      <c r="BF36" s="599" t="str">
        <f>'Custom Elements'!C20</f>
        <v>Custom12</v>
      </c>
      <c r="BG36" s="948" t="s">
        <v>641</v>
      </c>
      <c r="BI36" s="759"/>
      <c r="BJ36" s="897">
        <f t="shared" si="4"/>
        <v>28</v>
      </c>
      <c r="BK36" s="769" t="str">
        <f>'Custom Elements'!O12</f>
        <v>NZS 3604</v>
      </c>
      <c r="BL36" s="771" t="str">
        <f>'Custom Elements'!P12</f>
        <v>Masonry 4.5</v>
      </c>
      <c r="BM36" s="455">
        <f>'Custom Elements'!Q12</f>
        <v>1.5</v>
      </c>
      <c r="BN36" s="455">
        <v>999</v>
      </c>
      <c r="BO36" s="455">
        <f>'Custom Elements'!R12</f>
        <v>300</v>
      </c>
      <c r="BP36" s="925">
        <f>'Custom Elements'!S12</f>
        <v>300</v>
      </c>
      <c r="BR36" s="764"/>
      <c r="BS36" s="455"/>
      <c r="BT36" s="455" t="s">
        <v>7</v>
      </c>
      <c r="BU36" s="925" t="s">
        <v>34</v>
      </c>
      <c r="BV36" s="483" t="str">
        <f t="shared" si="24"/>
        <v>Masonry 4.5</v>
      </c>
      <c r="BW36" s="910">
        <f t="shared" si="21"/>
        <v>28</v>
      </c>
      <c r="BX36" s="925" t="str">
        <f>'Custom Elements'!U12</f>
        <v>Single</v>
      </c>
      <c r="CH36" s="764">
        <f t="shared" si="22"/>
        <v>0</v>
      </c>
      <c r="CI36" s="925">
        <f t="shared" si="23"/>
        <v>0</v>
      </c>
      <c r="CJ36" s="759"/>
      <c r="CK36" s="188"/>
      <c r="CL36" s="979">
        <f>VLOOKUP(I36,Prodlink,2,0)</f>
        <v>0</v>
      </c>
      <c r="CN36" s="497">
        <f t="shared" ca="1" si="1"/>
        <v>0</v>
      </c>
      <c r="CO36" s="497">
        <f ca="1">OFFSET($CH$9,CL36-1,-15,1,1)</f>
        <v>0</v>
      </c>
      <c r="CQ36" s="51">
        <v>0</v>
      </c>
      <c r="CR36" s="51">
        <f>IF(K36=$BH$12,$BH$23,IF(K36=$BH$13,$BH$24,10000))</f>
        <v>10000</v>
      </c>
      <c r="CS36" s="51">
        <f ca="1">IF(F36&lt;OFFSET($BM$9,CL36-1,0,1,1),0,IF(F36&lt;OFFSET($BN$9,CL36-1,0,1,1),((F36-OFFSET($BM$9,CL36-1,0,1,1))*OFFSET($CH$9,CL36-1,0,1,1))+OFFSET($BO$9,CL36-1,CQ36,1,1),IF(F36&lt;OFFSET($BN$9,CL36+0,0,1,1),((F36-OFFSET($BM$9,CL36+0,0,1,1))*OFFSET($CH$9,CL36+0,0,1,1))+OFFSET($BO$9,CL36+0,CQ36,1,1),IF(F36&lt;OFFSET($BN$9,CL36+1,0,1,1),((F36-OFFSET($BM$9,CL36+1,0,1,1))*OFFSET($CH$9,CL36+1,0,1,1))+OFFSET($BO$9,CL36+1,CQ36,1,1),IF(F36&lt;OFFSET($BN$9,CL36+2,0,1,1),((F36-OFFSET($BM$9,CL36+2,0,1,1))*OFFSET($CH$9,CL36+2,0,1,1))+OFFSET($BO$9,CL36+2,CQ36,1,1),IF(F36&lt;OFFSET($BN$9,CL36+3,0,1,1),((F36-OFFSET($BM$9,CL36+3,0,1,1))*OFFSET($CH$9,CL36+3,0,1,1))+OFFSET($BO$9,CL36+3,CQ36,1,1),0))))))</f>
        <v>0</v>
      </c>
      <c r="CT36" s="51">
        <f ca="1">IF($F36&lt;OFFSET($BM$9,$CL36-1,0,1,1),0,IF($F36&lt;OFFSET($BN$9,$CL36-1,0,1,1),IF(AND($H36&gt;2.4,Z36&lt;&gt;"e",Z36&lt;&gt;"f"),CX36*2.4/$H36,CX36),IF($F36&lt;OFFSET($BN$9,$CL36+0,0,1,1),IF(AND($H36&gt;2.4,Z36&lt;&gt;"e",Z36&lt;&gt;"f"),CX36*2.4/$H36,CX36),IF($F36&lt;OFFSET($BN$9,$CL36+1,0,1,1),IF(AND($H36&gt;2.4,Z36&lt;&gt;"e",Z36&lt;&gt;"f"),CX36*2.4/$H36,CX36),IF($F36&lt;OFFSET($BN$9,CL36+2,0,1,1),IF(AND($H36&gt;2.4,Z36&lt;&gt;"e",Z36&lt;&gt;"f"),CX36*2.4/$H36,CX36),IF($F36&lt;OFFSET($BN$9,CL36+3,0,1,1),IF(AND($H36&gt;2.4,Z36&lt;&gt;"e",Z36&lt;&gt;"f"),CX36*2.4/$H36,CX36),0)))))*COS(RADIANS($G36)))</f>
        <v>0</v>
      </c>
      <c r="CU36" s="51">
        <f ca="1">IF(F36&lt;OFFSET($BM$9,CL36-1,0,1,1),0,IF(F36&lt;OFFSET($BN$9,CL36-1,0,1,1),((F36-OFFSET($BM$9,CL36-1,0,1,1))*OFFSET($CI$9,CL36-1,0,1,1))+OFFSET($BP$9,CL36-1,CQ36,1,1),IF(F36&lt;OFFSET($BN$9,CL36+0,0,1,1),((F36-OFFSET($BM$9,CL36+0,0,1,1))*OFFSET($CI$9,CL36+0,0,1,1))+OFFSET($BP$9,CL36+0,CQ36,1,1),IF(F36&lt;OFFSET($BN$9,CL36+1,0,1,1),((F36-OFFSET($BM$9,CL36+1,0,1,1))*OFFSET($CI$9,CL36+1,0,1,1))+OFFSET($BP$9,CL36+1,CQ36,1,1),IF(F36&lt;OFFSET($BN$9,CL36+2,0,1,1),((F36-OFFSET($BM$9,CL36+2,0,1,1))*OFFSET($CI$9,CL36+2,0,1,1))+OFFSET($BP$9,CL36+2,CQ36,1,1),IF(F36&lt;OFFSET($BN$9,CL36+3,0,1,1),((F36-OFFSET($BM$9,CL36+3,0,1,1))*OFFSET($CI$9,CL36+3,0,1,1))+OFFSET($BP$9,CL36+3,CQ36,1,1),0))))))</f>
        <v>0</v>
      </c>
      <c r="CV36" s="51">
        <f ca="1">IF($F36&lt;OFFSET($BM$9,$CL36-1,0,1,1),0,IF($F36&lt;OFFSET($BN$9,$CL36-1,0,1,1),IF(AND($H36&gt;2.4,Z36&lt;&gt;"e",Z36&lt;&gt;"f"),CZ36*2.4/$H36,CZ36),IF($F36&lt;OFFSET($BN$9,$CL36+0,0,1,1),IF(AND($H36&gt;2.4,Z36&lt;&gt;"e",Z36&lt;&gt;"f"),CZ36*2.4/$H36,CZ36),IF($F36&lt;OFFSET($BN$9,$CL36+1,0,1,1),IF(AND($H36&gt;2.4,Z36&lt;&gt;"e",Z36&lt;&gt;"f"),CZ36*2.4/$H36,CZ36),IF($F36&lt;OFFSET($BN$9,$CL36+2,0,1,1),IF(AND($H36&gt;2.4,Z36&lt;&gt;"e",Z36&lt;&gt;"f"),CZ36*2.4/$H36,CZ36),IF($F36&lt;OFFSET($BN$9,$CL36+3,0,1,1),IF(AND($H36&gt;2.4,Z36&lt;&gt;"e",Z36&lt;&gt;"f"),CZ36*2.4/$H36,CZ36),0)))))*COS(RADIANS($G36)))</f>
        <v>0</v>
      </c>
      <c r="CW36" s="51">
        <f ca="1">IF(CT36&gt;CR36,CR36,CT36)</f>
        <v>0</v>
      </c>
      <c r="CX36" s="51">
        <f ca="1">IF(CS36&gt;$CR36,$CR36,CS36)</f>
        <v>0</v>
      </c>
      <c r="CY36" s="51">
        <f ca="1">CW36*F36</f>
        <v>0</v>
      </c>
      <c r="CZ36" s="51">
        <f ca="1">IF($CU36&gt;$CR36,$CR36,$CU36)</f>
        <v>0</v>
      </c>
      <c r="DA36" s="51">
        <f ca="1">IF(CV36&gt;CR36,CR36,CV36)</f>
        <v>0</v>
      </c>
      <c r="DB36" s="51">
        <f ca="1">DA36*F36</f>
        <v>0</v>
      </c>
      <c r="DC36" s="993">
        <v>1</v>
      </c>
      <c r="DD36" s="758" t="str">
        <f>IF(OR(D36=BG$12,D36=BG$13),"External",IF(D36=BG$14,"Internal"," "))</f>
        <v xml:space="preserve"> </v>
      </c>
      <c r="DE36" s="51" t="str">
        <f t="shared" ca="1" si="2"/>
        <v/>
      </c>
      <c r="DF36" s="52" t="str">
        <f t="shared" ca="1" si="3"/>
        <v xml:space="preserve"> </v>
      </c>
      <c r="DG36" s="51">
        <f ca="1">IF(F36&lt;OFFSET($BM$9,CN36-1,0,1,1),0,IF(F36&lt;OFFSET($BN$9,CN36-1,0,1,1),((F36-OFFSET($BM$9,CN36-1,0,1,1))*OFFSET($CH$9,CN36-1,0,1,1))+OFFSET($BO$9,CN36-1,CQ36,1,1),IF(F36&lt;OFFSET($BN$9,CN36+0,0,1,1),((F36-OFFSET($BM$9,CN36+0,0,1,1))*OFFSET($CH$9,CN36+0,0,1,1))+OFFSET($BO$9,CN36+0,CQ36,1,1),IF(F36&lt;OFFSET($BN$9,CN36+1,0,1,1),((F36-OFFSET($BM$9,CN36+1,0,1,1))*OFFSET($CH$9,CN36+1,0,1,1))+OFFSET($BO$9,CN36+1,CQ36,1,1),IF(F36&lt;OFFSET($BN$9,CN36+2,0,1,1),((F36-OFFSET($BM$9,CN36+2,0,1,1))*OFFSET($CH$9,CN36+2,0,1,1))+OFFSET($BO$9,CN36+2,CQ36,1,1),IF(F36&lt;OFFSET($BN$9,CN36+3,0,1,1),((F36-OFFSET($BM$9,CN36+3,0,1,1))*OFFSET($CH$9,CN36+3,0,1,1))+OFFSET($BO$9,CN36+3,CQ36,1,1),0))))))</f>
        <v>0</v>
      </c>
      <c r="DH36" s="51">
        <f ca="1">IF($F36&lt;OFFSET($BM$9,$CN36-1,0,1,1),0,IF($F36&lt;OFFSET($BN$9,$CN36-1,0,1,1),IF(AND($H36&gt;2.4,Z36&lt;&gt;"e",Z36&lt;&gt;"f"),DL36*2.4/$H36,DL36),IF($F36&lt;OFFSET($BN$9,$CN36+0,0,1,1),IF(AND($H36&gt;2.4,Z36&lt;&gt;"e",Z36&lt;&gt;"f"),DL36*2.4/$H36,DL36),IF($F36&lt;OFFSET($BN$9,$CN36+1,0,1,1),IF(AND($H36&gt;2.4,Z36&lt;&gt;"e",Z36&lt;&gt;"f"),DL36*2.4/$H36,DL36),IF($F36&lt;OFFSET($BN$9,$CN36+2,0,1,1),IF(AND($H36&gt;2.4,Z36&lt;&gt;"e",Z36&lt;&gt;"f"),DL36*2.4/$H36,DL36),IF($F36&lt;OFFSET($BN$9,$CN36+3,0,1,1),IF(AND($H36&gt;2.4,Z36&lt;&gt;"e",Z36&lt;&gt;"f"),DL36*2.4/$H36,DL36),0)))))*COS(RADIANS($G36)))</f>
        <v>0</v>
      </c>
      <c r="DI36" s="51">
        <f ca="1">IF(F36&lt;OFFSET($BM$9,CN36-1,0,1,1),0,IF(F36&lt;OFFSET($BN$9,CN36-1,0,1,1),((F36-OFFSET($BM$9,CN36-1,0,1,1))*OFFSET($CI$9,CN36-1,0,1,1))+OFFSET($BP$9,CN36-1,CQ36,1,1),IF(F36&lt;OFFSET($BN$9,CN36+0,0,1,1),((F36-OFFSET($BM$9,CN36+0,0,1,1))*OFFSET($CI$9,CN36+0,0,1,1))+OFFSET($BP$9,CN36+0,CQ36,1,1),IF(F36&lt;OFFSET($BN$9,CN36+1,0,1,1),((F36-OFFSET($BM$9,CN36+1,0,1,1))*OFFSET($CI$9,CN36+1,0,1,1))+OFFSET($BP$9,CN36+1,CQ36,1,1),IF(F36&lt;OFFSET($BN$9,CN36+2,0,1,1),((F36-OFFSET($BM$9,CN36+2,0,1,1))*OFFSET($CI$9,CN36+2,0,1,1))+OFFSET($BP$9,CN36+2,CQ36,1,1),IF(F36&lt;OFFSET($BN$9,CN36+3,0,1,1),((F36-OFFSET($BM$9,CN36+3,0,1,1))*OFFSET($CI$9,CN36+3,0,1,1))+OFFSET($BP$9,CN36+3,CQ36,1,1),0))))))</f>
        <v>0</v>
      </c>
      <c r="DJ36" s="51">
        <f ca="1">IF($F36&lt;OFFSET($BM$9,$CN36-1,0,1,1),0,IF($F36&lt;OFFSET($BN$9,$CN36-1,0,1,1),IF(AND($H36&gt;2.4,Z36&lt;&gt;"e",Z36&lt;&gt;"f"),DN36*2.4/$H36,DN36),IF($F36&lt;OFFSET($BN$9,$CN36+0,0,1,1),IF(AND($H36&gt;2.4,Z36&lt;&gt;"e",Z36&lt;&gt;"f"),DN36*2.4/$H36,DN36),IF($F36&lt;OFFSET($BN$9,$CN36+1,0,1,1),IF(AND($H36&gt;2.4,Z36&lt;&gt;"e",Z36&lt;&gt;"f"),DN36*2.4/$H36,DN36),IF($F36&lt;OFFSET($BN$9,$CN36+2,0,1,1),IF(AND($H36&gt;2.4,Z36&lt;&gt;"e",Z36&lt;&gt;"f"),DN36*2.4/$H36,DN36),IF($F36&lt;OFFSET($BN$9,$CN36+3,0,1,1),IF(AND($H36&gt;2.4,Z36&lt;&gt;"e",Z36&lt;&gt;"f"),DN36*2.4/$H36,DN36),0)))))*COS(RADIANS($G36)))</f>
        <v>0</v>
      </c>
      <c r="DK36" s="51"/>
      <c r="DL36" s="51">
        <f ca="1">IF(DG36&gt;$CR36,$CR36,DG36)</f>
        <v>0</v>
      </c>
      <c r="DM36" s="51"/>
      <c r="DN36" s="51">
        <f ca="1">IF(DI36&gt;$CR36,$CR36,DI36)</f>
        <v>0</v>
      </c>
      <c r="DO36" s="435">
        <f ca="1">IF(DH36&gt;$CR36,$CR36,DH36)</f>
        <v>0</v>
      </c>
      <c r="DP36" s="435">
        <f ca="1">DO36*F36</f>
        <v>0</v>
      </c>
      <c r="DQ36" s="436">
        <f ca="1">IF(DJ36&gt;$CR36,$CR36,DJ36)</f>
        <v>0</v>
      </c>
      <c r="DR36" s="437">
        <f ca="1">DQ36*F36</f>
        <v>0</v>
      </c>
      <c r="DS36" s="426">
        <f ca="1">OFFSET($CH$9,CL36-1,-15,1,1)</f>
        <v>0</v>
      </c>
      <c r="DT36" s="426">
        <f ca="1">VLOOKUP(DS36,Prodlink,2,0)</f>
        <v>0</v>
      </c>
      <c r="DU36" s="188">
        <f ca="1">IF(F36&lt;OFFSET($BM$9,DT36-1,0,1,1),0,IF(F36&lt;OFFSET($BN$9,DT36-1,0,1,1),((F36-OFFSET($BM$9,DT36-1,0,1,1))*OFFSET($CH$9,DT36-1,0,1,1))+OFFSET($BO$9,DT36-1,CQ36,1,1),IF(F36&lt;OFFSET($BN$9,DT36+0,0,1,1),((F36-OFFSET($BM$9,DT36+0,0,1,1))*OFFSET($CH$9,DT36+0,0,1,1))+OFFSET($BO$9,DT36+0,CQ36,1,1),IF(F36&lt;OFFSET($BN$9,DT36+1,0,1,1),((F36-OFFSET($BM$9,DT36+1,0,1,1))*OFFSET($CH$9,DT36+1,0,1,1))+OFFSET($BO$9,DT36+1,CQ36,1,1),IF(F36&lt;OFFSET($BN$9,DT36+2,0,1,1),((F36-OFFSET($BM$9,DT36+2,0,1,1))*OFFSET($CH$9,DT36+2,0,1,1))+OFFSET($BO$9,DT36+2,CQ36,1,1),IF(F36&lt;OFFSET($BN$9,DT36+3,0,1,1),((F36-OFFSET($BM$9,DT36+3,0,1,1))*OFFSET($CH$9,DT36+3,0,1,1))+OFFSET($BO$9,DT36+3,CQ36,1,1),0))))))</f>
        <v>0</v>
      </c>
      <c r="DV36" s="51">
        <f ca="1">IF($F36&lt;OFFSET($BM$9,$DT36-1,0,1,1),0,IF($F36&lt;OFFSET($BN$9,$DT36-1,0,1,1),IF(AND($H36&gt;2.4,Z36&lt;&gt;"e",Z36&lt;&gt;"f"),DZ36*2.4/$H36,DZ36),IF($F36&lt;OFFSET($BN$9,$DT36+0,0,1,1),IF(AND($H36&gt;2.4,Z36&lt;&gt;"e",Z36&lt;&gt;"f"),DZ36*2.4/$H36,DZ36),IF($F36&lt;OFFSET($BN$9,$DT36+1,0,1,1),IF(AND($H36&gt;2.4,Z36&lt;&gt;"e",Z36&lt;&gt;"f"),DZ36*2.4/$H36,DZ36),IF($F36&lt;OFFSET($BN$9,$DT36+2,0,1,1),IF(AND($H36&gt;2.4,Z36&lt;&gt;"e",Z36&lt;&gt;"f"),DZ36*2.4/$H36,DZ36),IF($F36&lt;OFFSET($BN$9,$DT36+3,0,1,1),IF(AND($H36&gt;2.4,Z36&lt;&gt;"e",Z36&lt;&gt;"f"),DZ36*2.4/$H36,DZ36),0)))))*COS(RADIANS($G36)))</f>
        <v>0</v>
      </c>
      <c r="DW36" s="188">
        <f ca="1">IF(F36&lt;OFFSET($BM$9,DT36-1,0,1,1),0,IF(F36&lt;OFFSET($BN$9,DT36-1,0,1,1),((F36-OFFSET($BM$9,DT36-1,0,1,1))*OFFSET($CI$9,DT36-1,0,1,1))+OFFSET($BP$9,DT36-1,CQ36,1,1),IF(F36&lt;OFFSET($BN$9,DT36+0,0,1,1),((F36-OFFSET($BM$9,DT36+0,0,1,1))*OFFSET($CI$9,DT36+0,0,1,1))+OFFSET($BP$9,DT36+0,CQ36,1,1),IF(F36&lt;OFFSET($BN$9,DT36+1,0,1,1),((F36-OFFSET($BM$9,DT36+1,0,1,1))*OFFSET($CI$9,DT36+1,0,1,1))+OFFSET($BP$9,DT36+1,CQ36,1,1),IF(F36&lt;OFFSET($BN$9,DT36+2,0,1,1),((F36-OFFSET($BM$9,DT36+2,0,1,1))*OFFSET($CI$9,DT36+2,0,1,1))+OFFSET($BP$9,DT36+2,CQ36,1,1),IF(F36&lt;OFFSET($BN$9,DT36+3,0,1,1),((F36-OFFSET($BM$9,DT36+3,0,1,1))*OFFSET($CI$9,DT36+3,0,1,1))+OFFSET($BP$9,DT36+3,CQ36,1,1),0))))))</f>
        <v>0</v>
      </c>
      <c r="DX36" s="51">
        <f ca="1">IF($F36&lt;OFFSET($BM$9,$DT36-1,0,1,1),0,IF($F36&lt;OFFSET($BN$9,$DT36-1,0,1,1),IF(AND($H36&gt;2.4,Z36&lt;&gt;"e",Z36&lt;&gt;"f"),EB36*2.4/$H36,EB36),IF($F36&lt;OFFSET($BN$9,$DT36+0,0,1,1),IF(AND($H36&gt;2.4,Z36&lt;&gt;"e",Z36&lt;&gt;"f"),EB36*2.4/$H36,EB36),IF($F36&lt;OFFSET($BN$9,$DT36+1,0,1,1),IF(AND($H36&gt;2.4,Z36&lt;&gt;"e",Z36&lt;&gt;"f"),EB36*2.4/$H36,EB36),IF($F36&lt;OFFSET($BN$9,$DT36+2,0,1,1),IF(AND($H36&gt;2.4,Z36&lt;&gt;"e",Z36&lt;&gt;"f"),EB36*2.4/$H36,EB36),IF($F36&lt;OFFSET($BN$9,$DT36+3,0,1,1),IF(AND($H36&gt;2.4,Z36&lt;&gt;"e",Z36&lt;&gt;"f"),EB36*2.4/$H36,EB36),0)))))*COS(RADIANS($G36)))</f>
        <v>0</v>
      </c>
      <c r="DY36" s="188"/>
      <c r="DZ36" s="188">
        <f ca="1">IF(DU36&gt;$CR36,$CR36,DU36)</f>
        <v>0</v>
      </c>
      <c r="EA36" s="188"/>
      <c r="EB36" s="188">
        <f ca="1">IF(DW36&gt;$CR36,$CR36,DW36)</f>
        <v>0</v>
      </c>
      <c r="EC36" s="435">
        <f ca="1">IF(DV36&gt;$CR36,$CR36,DV36)</f>
        <v>0</v>
      </c>
      <c r="ED36" s="435">
        <f ca="1">EC36*F36</f>
        <v>0</v>
      </c>
      <c r="EE36" s="436">
        <f ca="1">IF(DX36&gt;$CR36,$CR36,DX36)</f>
        <v>0</v>
      </c>
      <c r="EF36" s="437">
        <f ca="1">EE36*F36</f>
        <v>0</v>
      </c>
      <c r="EG36" s="613" t="str">
        <f>IF(D36=BG$12,BG$12,"")</f>
        <v/>
      </c>
      <c r="EH36" s="614" t="str">
        <f>IF(D36=BG$13,BG$13,"")</f>
        <v/>
      </c>
      <c r="EI36" s="611">
        <f>IF(EG36=BG$12,M36,0)</f>
        <v>0</v>
      </c>
      <c r="EJ36" s="451">
        <f>IF(EG36=BG$12,O36,0)</f>
        <v>0</v>
      </c>
      <c r="EK36" s="451">
        <f>IF(EH36=BG$13,M36,0)</f>
        <v>0</v>
      </c>
      <c r="EL36" s="612">
        <f>IF(EH36=BG$13,O36,0)</f>
        <v>0</v>
      </c>
      <c r="EM36" s="426" t="str">
        <f ca="1">IF(AND(Z36&lt;&gt;"t",Z36&lt;&gt;"f"),"",IF(AND(EN36=$BH$13,K36=$BH$12),"NotOpt",IF(K36&lt;&gt;EN36,"Error","")))</f>
        <v/>
      </c>
      <c r="EN36" s="490" t="str">
        <f>IF($BG$28=1,$BH$13,$BH$12)</f>
        <v>120 BU's</v>
      </c>
      <c r="EO36" s="426" t="str">
        <f>K36</f>
        <v xml:space="preserve"> </v>
      </c>
      <c r="ER36" s="439" t="str">
        <f ca="1">IF(H36=0," ",H36)</f>
        <v xml:space="preserve"> </v>
      </c>
      <c r="ES36" s="440" t="str">
        <f ca="1">IF(ER36&lt;&gt;" ",IF(ER36&lt;&gt;ER$7,"Changed",""),"")</f>
        <v/>
      </c>
      <c r="ET36" s="440">
        <f ca="1">IF(ER36&lt;&gt;" ",IF(ER36&lt;&gt;ER$7,1,0),0)</f>
        <v>0</v>
      </c>
      <c r="EU36" s="957" t="str">
        <f ca="1">IF(I36=" "," ",IF(F36&lt;OFFSET($BM$9,CL36-1,0,1,1),1,""))</f>
        <v xml:space="preserve"> </v>
      </c>
      <c r="EW36" s="427"/>
      <c r="EX36"/>
      <c r="EY36"/>
      <c r="EZ36"/>
      <c r="FA36"/>
      <c r="FB36"/>
      <c r="FC36"/>
      <c r="FD36"/>
      <c r="FE36"/>
      <c r="FF36"/>
      <c r="FG36"/>
      <c r="FH36"/>
      <c r="FI36"/>
      <c r="FJ36"/>
      <c r="FK36"/>
      <c r="FL36"/>
      <c r="FM36"/>
      <c r="FN36"/>
      <c r="FO36"/>
    </row>
    <row r="37" spans="1:171" ht="17.100000000000001" customHeight="1" thickBot="1">
      <c r="B37" s="2686" t="s">
        <v>8</v>
      </c>
      <c r="C37" s="2687"/>
      <c r="D37" s="1461" t="s">
        <v>8</v>
      </c>
      <c r="E37" s="659"/>
      <c r="F37" s="659"/>
      <c r="G37" s="659"/>
      <c r="H37" s="659"/>
      <c r="I37" s="1462"/>
      <c r="J37" s="1365" t="str">
        <f ca="1">(CONCATENATE(B32,$BE$54))</f>
        <v>E  Line:  Min. Requirement</v>
      </c>
      <c r="K37" s="23"/>
      <c r="L37" s="1019">
        <f ca="1">L$5</f>
        <v>0</v>
      </c>
      <c r="M37" s="48">
        <f ca="1">IF(B32=B26,SUM(M32:M36)+M31,SUM(M32:M36))</f>
        <v>0</v>
      </c>
      <c r="N37" s="1019">
        <f ca="1">N$5</f>
        <v>0</v>
      </c>
      <c r="O37" s="125">
        <f ca="1">IF(B32=B26,SUM(O32:O36)+O31,SUM(O32:O36))</f>
        <v>0</v>
      </c>
      <c r="P37" s="139"/>
      <c r="Q37" s="42" t="str">
        <f ca="1">IF(B32=B38,"",IF(AND(M37&gt;0,L37=L$5,OR(M37&lt;$M$105,M37&lt;$BF$3)),"Achieved &lt; Min Req per Line",IF(AND(O37&gt;0,N37=N$5,OR(O37&lt;$O$105,O37&lt;$BF$3)),"Achieved &lt; Min Req per Line",IF(AND(M37&gt;0,L37&gt;M37),"More Required on this line",IF(AND(O37&gt;0,N37&gt;O37),"More Required on this line",IF(AND(L37&gt;0,L37&lt;$BF$3),$BE$59,IF(AND(N37&gt;0,N37&lt;$BF$3),$BE$59,"")))))))</f>
        <v/>
      </c>
      <c r="R37" s="52"/>
      <c r="S37" s="52"/>
      <c r="T37" s="52"/>
      <c r="U37" s="1378"/>
      <c r="V37" s="52"/>
      <c r="W37" s="999"/>
      <c r="X37" s="999"/>
      <c r="Y37" s="896"/>
      <c r="Z37" s="52"/>
      <c r="AA37" s="51"/>
      <c r="AB37" s="1364"/>
      <c r="AJ37" s="2230"/>
      <c r="AK37" s="2797"/>
      <c r="AL37" s="2784"/>
      <c r="AM37" s="191">
        <f>'Regular and QuickBrace Systems'!F55</f>
        <v>0.8</v>
      </c>
      <c r="AN37" s="1336">
        <f>'Regular and QuickBrace Systems'!G55</f>
        <v>140</v>
      </c>
      <c r="AO37" s="26">
        <f>'Regular and QuickBrace Systems'!H55</f>
        <v>140</v>
      </c>
      <c r="AP37" s="1595"/>
      <c r="AQ37" s="2663"/>
      <c r="AR37" s="2664"/>
      <c r="AS37" s="2827"/>
      <c r="AT37" s="1340"/>
      <c r="AU37" s="2090"/>
      <c r="AW37" s="1588" t="str">
        <f>'Regular and QuickBrace Systems'!O55</f>
        <v>Yes</v>
      </c>
      <c r="AX37" s="1580" t="str">
        <f>'Regular and QuickBrace Systems'!Q55</f>
        <v>Yes</v>
      </c>
      <c r="BD37" s="2648"/>
      <c r="BF37" s="599" t="str">
        <f>'Custom Elements'!C21</f>
        <v>Custom13</v>
      </c>
      <c r="BI37" s="759"/>
      <c r="BJ37" s="897">
        <f t="shared" si="4"/>
        <v>29</v>
      </c>
      <c r="BK37" s="769" t="str">
        <f>'Custom Elements'!O13</f>
        <v>NZS 3604</v>
      </c>
      <c r="BL37" s="771" t="str">
        <f>'Custom Elements'!P13</f>
        <v>Braced pile</v>
      </c>
      <c r="BM37" s="455">
        <f>'Custom Elements'!Q13</f>
        <v>1</v>
      </c>
      <c r="BN37" s="455">
        <v>999</v>
      </c>
      <c r="BO37" s="455">
        <f>'Custom Elements'!R13</f>
        <v>160</v>
      </c>
      <c r="BP37" s="925">
        <f>'Custom Elements'!S13</f>
        <v>120</v>
      </c>
      <c r="BR37" s="764"/>
      <c r="BS37" s="455"/>
      <c r="BT37" s="455" t="s">
        <v>3</v>
      </c>
      <c r="BU37" s="925" t="s">
        <v>34</v>
      </c>
      <c r="BV37" s="483" t="str">
        <f t="shared" si="24"/>
        <v>Braced pile</v>
      </c>
      <c r="BW37" s="910">
        <f t="shared" si="21"/>
        <v>29</v>
      </c>
      <c r="BX37" s="925" t="str">
        <f>'Custom Elements'!U13</f>
        <v>Single</v>
      </c>
      <c r="CH37" s="764">
        <f t="shared" si="22"/>
        <v>0</v>
      </c>
      <c r="CI37" s="925">
        <f t="shared" si="23"/>
        <v>0</v>
      </c>
      <c r="CJ37" s="759"/>
      <c r="CK37" s="188"/>
      <c r="CL37" s="979"/>
      <c r="CN37" s="497"/>
      <c r="CO37" s="497"/>
      <c r="CQ37" s="51"/>
      <c r="CR37" s="51" t="s">
        <v>8</v>
      </c>
      <c r="CS37" s="51"/>
      <c r="CT37" s="51" t="s">
        <v>8</v>
      </c>
      <c r="CU37" s="51"/>
      <c r="CV37" s="51" t="s">
        <v>8</v>
      </c>
      <c r="CW37" s="51"/>
      <c r="CX37" s="51"/>
      <c r="CY37" s="51"/>
      <c r="CZ37" s="51"/>
      <c r="DD37" s="758"/>
      <c r="DF37" s="52"/>
      <c r="DG37" s="51"/>
      <c r="DH37" s="51"/>
      <c r="DI37" s="51"/>
      <c r="DJ37" s="51"/>
      <c r="DK37" s="51"/>
      <c r="DL37" s="51"/>
      <c r="DM37" s="51"/>
      <c r="DN37" s="51"/>
      <c r="DO37" s="435"/>
      <c r="DP37" s="435"/>
      <c r="DQ37" s="868"/>
      <c r="DR37" s="868"/>
      <c r="DU37" s="188"/>
      <c r="DV37" s="188" t="s">
        <v>8</v>
      </c>
      <c r="DW37" s="188"/>
      <c r="DX37" s="188" t="s">
        <v>8</v>
      </c>
      <c r="DY37" s="188"/>
      <c r="DZ37" s="188"/>
      <c r="EA37" s="188"/>
      <c r="EB37" s="188"/>
      <c r="EC37" s="435"/>
      <c r="ED37" s="435"/>
      <c r="EE37" s="868"/>
      <c r="EF37" s="867"/>
      <c r="EG37" s="613"/>
      <c r="EH37" s="614"/>
      <c r="EI37" s="613"/>
      <c r="EJ37" s="435"/>
      <c r="EK37" s="451"/>
      <c r="EL37" s="612"/>
      <c r="EN37" s="947"/>
      <c r="ER37" s="441"/>
      <c r="ES37" s="440"/>
      <c r="ET37" s="440"/>
      <c r="EU37" s="957"/>
      <c r="EW37" s="427"/>
      <c r="EX37"/>
      <c r="EY37"/>
      <c r="EZ37"/>
      <c r="FA37"/>
      <c r="FB37"/>
      <c r="FC37"/>
      <c r="FD37"/>
      <c r="FE37"/>
      <c r="FF37"/>
      <c r="FG37"/>
      <c r="FH37"/>
      <c r="FI37"/>
      <c r="FJ37"/>
      <c r="FK37"/>
      <c r="FL37"/>
      <c r="FM37"/>
      <c r="FN37"/>
      <c r="FO37"/>
    </row>
    <row r="38" spans="1:171" ht="17.100000000000001" customHeight="1" thickBot="1">
      <c r="B38" s="1369" t="str">
        <f ca="1">S38</f>
        <v>F</v>
      </c>
      <c r="C38" s="684" t="str">
        <f>IF(OR(F38=0,I38="",I38=" ")," ",$V38)</f>
        <v xml:space="preserve"> </v>
      </c>
      <c r="D38" s="1033"/>
      <c r="E38" s="1360" t="s">
        <v>8</v>
      </c>
      <c r="F38" s="202"/>
      <c r="G38" s="1416"/>
      <c r="H38" s="199" t="str">
        <f ca="1">IF(OR(F38=0,Z38="E",Z38="f")," ",'Project Demand'!E$45)</f>
        <v xml:space="preserve"> </v>
      </c>
      <c r="I38" s="631" t="str">
        <f>IF($I$6&lt;&gt;$BG$8," ",AB38)</f>
        <v xml:space="preserve"> </v>
      </c>
      <c r="J38" s="43" t="str">
        <f ca="1">IF(OR(I38=" ",I38="")," ",OFFSET($BO$9,CL38-1,0-4,1,1))</f>
        <v xml:space="preserve"> </v>
      </c>
      <c r="K38" s="55" t="str">
        <f>IF(OR(I38=" ",I38="")," ",IF(OR(Z38="e",Z38="h"),"SD",BG$24))</f>
        <v xml:space="preserve"> </v>
      </c>
      <c r="L38" s="49">
        <f ca="1">CW38</f>
        <v>0</v>
      </c>
      <c r="M38" s="49">
        <f ca="1">CY38</f>
        <v>0</v>
      </c>
      <c r="N38" s="50">
        <f t="shared" ref="N38:O42" ca="1" si="25">DA38</f>
        <v>0</v>
      </c>
      <c r="O38" s="126">
        <f t="shared" ca="1" si="25"/>
        <v>0</v>
      </c>
      <c r="P38" s="140"/>
      <c r="Q38" s="752" t="str">
        <f ca="1">IF(AND(OR(Z38="t",Z38="f"),K38=$BH$11),"No Floor!  Change Floor Type",IF(OR(I38=" ",I38="")," ",IF(F38&lt;OFFSET($BM$9,CL38-1,0,1,1),"check L(m)",DE38&amp;IF(AND(DP38&gt;=CY38,DR38&gt;=DB38),IF(AND(ED38&gt;=DP38,EF38&gt;=DR38),CONCATENATE(DS38," will provide same result"),CONCATENATE(CO38," will provide same result")),IF((DP38&gt;=CY38),CONCATENATE(CO38," provides same result in WIND"),IF((DR38&gt;=DB38),CONCATENATE(CO38," provides same result in EQ"),""))))))&amp;IF(ISERROR(FIND("pile",I38,1)),"",IF(INT(F38)&lt;&gt;F38,"Pile!  Use Whole Numbers Only",""))</f>
        <v xml:space="preserve"> </v>
      </c>
      <c r="R38" s="52">
        <f ca="1">IF(T32&lt;&gt;2,(COLUMN(INDIRECT(B32&amp;1))+1),U38)</f>
        <v>6</v>
      </c>
      <c r="S38" s="1372" t="str">
        <f ca="1">SUBSTITUTE(ADDRESS(1,R38,4),"1","")</f>
        <v>F</v>
      </c>
      <c r="T38" s="451">
        <f ca="1">IF(AND(ISTEXT(B38),SUBSTITUTE(SUBSTITUTE(SUBSTITUTE(SUBSTITUTE(SUBSTITUTE(SUBSTITUTE(SUBSTITUTE(SUBSTITUTE(SUBSTITUTE(SUBSTITUTE(SUBSTITUTE(SUBSTITUTE(SUBSTITUTE(SUBSTITUTE(SUBSTITUTE(SUBSTITUTE(SUBSTITUTE(SUBSTITUTE(SUBSTITUTE(SUBSTITUTE(SUBSTITUTE(SUBSTITUTE(SUBSTITUTE(SUBSTITUTE(SUBSTITUTE(SUBSTITUTE(LOWER(B38),"a",),"b",),"c",),"d",),"e",),"f",),"g",),"h",),"i",),"j",),"k",),"l",),"m",),"n",),"o",),"p",),"q",),"r",),"s",),"t",),"u",),"v",),"w",),"x",),"y",),"z",)=""),1,2)</f>
        <v>1</v>
      </c>
      <c r="U38" s="1377">
        <v>6</v>
      </c>
      <c r="V38" s="52" t="str">
        <f ca="1">IF(AND(B$5=$BF$9,OR(I38=BH$16,I38=BH$17))," ",IF(ISNUMBER(B$38),(CONCATENATE(B$38,".",W38)),(CONCATENATE(B$38,W38))))</f>
        <v>F0</v>
      </c>
      <c r="W38" s="9">
        <f ca="1">IF(B32=B38,W36+X38,X38)</f>
        <v>0</v>
      </c>
      <c r="X38" s="9">
        <f>IF(AND(B$5=$BF$9,OR($I38=$BH$16,$I38=$BH$17,$I38=" ",$I38="",$F38=0)),0,IF(OR($I38=" ",$I38="",$F38=0),0,1))</f>
        <v>0</v>
      </c>
      <c r="Y38" s="896">
        <f ca="1">IF(AND(M43&gt;0,B38&lt;&gt;B44),1,0)</f>
        <v>0</v>
      </c>
      <c r="Z38" s="52" t="str">
        <f ca="1">IF(I38=" "," ",OFFSET($BM$9,$CL38-1,8,1,1))</f>
        <v xml:space="preserve"> </v>
      </c>
      <c r="AA38" s="51" t="str">
        <f>IF(G38&gt;=45,"WA","")</f>
        <v/>
      </c>
      <c r="AB38" s="1364" t="str">
        <f>IF(F38&lt;&gt;"",IF(OR(D38=$BG$12,D38=$BG$13),IF(E38&lt;&gt;$BG$17,$BF$12,$BF$13),IF(E38&lt;&gt;$BG$17,$BF$12,$BF$13))," ")</f>
        <v xml:space="preserve"> </v>
      </c>
      <c r="AC38" s="1"/>
      <c r="AJ38" s="2230"/>
      <c r="AK38" s="2797"/>
      <c r="AL38" s="2785"/>
      <c r="AM38" s="1179">
        <f>'Regular and QuickBrace Systems'!F56</f>
        <v>1.2</v>
      </c>
      <c r="AN38" s="1274">
        <f>'Regular and QuickBrace Systems'!G56</f>
        <v>150</v>
      </c>
      <c r="AO38" s="1275">
        <f>'Regular and QuickBrace Systems'!H56</f>
        <v>150</v>
      </c>
      <c r="AP38" s="1277"/>
      <c r="AQ38" s="2665"/>
      <c r="AR38" s="2666"/>
      <c r="AS38" s="2828"/>
      <c r="AT38" s="1340"/>
      <c r="AU38" s="2132"/>
      <c r="AW38" s="1589" t="str">
        <f>'Regular and QuickBrace Systems'!O56</f>
        <v>Yes</v>
      </c>
      <c r="AX38" s="1581" t="str">
        <f>'Regular and QuickBrace Systems'!Q56</f>
        <v>Yes</v>
      </c>
      <c r="BD38" s="635"/>
      <c r="BF38" s="599" t="str">
        <f>'Custom Elements'!C22</f>
        <v>Custom14</v>
      </c>
      <c r="BI38" s="759"/>
      <c r="BJ38" s="897">
        <f t="shared" si="4"/>
        <v>30</v>
      </c>
      <c r="BK38" s="769" t="str">
        <f>'Custom Elements'!O14</f>
        <v>NZS 3604</v>
      </c>
      <c r="BL38" s="771" t="str">
        <f>'Custom Elements'!P14</f>
        <v>Cantilever pile</v>
      </c>
      <c r="BM38" s="455">
        <f>'Custom Elements'!Q14</f>
        <v>1</v>
      </c>
      <c r="BN38" s="455">
        <v>999</v>
      </c>
      <c r="BO38" s="455">
        <f>'Custom Elements'!R14</f>
        <v>70</v>
      </c>
      <c r="BP38" s="925">
        <f>'Custom Elements'!S14</f>
        <v>30</v>
      </c>
      <c r="BR38" s="764"/>
      <c r="BS38" s="455"/>
      <c r="BT38" s="455" t="s">
        <v>3</v>
      </c>
      <c r="BU38" s="925" t="s">
        <v>44</v>
      </c>
      <c r="BV38" s="483" t="str">
        <f t="shared" si="24"/>
        <v>Cantilever pile</v>
      </c>
      <c r="BW38" s="910">
        <f t="shared" si="21"/>
        <v>30</v>
      </c>
      <c r="BX38" s="925" t="str">
        <f>'Custom Elements'!U14</f>
        <v>Single</v>
      </c>
      <c r="CH38" s="764">
        <f t="shared" si="22"/>
        <v>0</v>
      </c>
      <c r="CI38" s="925">
        <f t="shared" si="23"/>
        <v>0</v>
      </c>
      <c r="CJ38" s="759"/>
      <c r="CK38" s="188"/>
      <c r="CL38" s="979">
        <f>VLOOKUP(I38,Prodlink,2,0)</f>
        <v>0</v>
      </c>
      <c r="CN38" s="497">
        <f t="shared" ca="1" si="1"/>
        <v>0</v>
      </c>
      <c r="CO38" s="497">
        <f ca="1">OFFSET($CH$9,CL38-1,-15,1,1)</f>
        <v>0</v>
      </c>
      <c r="CQ38" s="51">
        <v>0</v>
      </c>
      <c r="CR38" s="51">
        <f>IF(K38=$BH$12,$BH$23,IF(K38=$BH$13,$BH$24,10000))</f>
        <v>10000</v>
      </c>
      <c r="CS38" s="51">
        <f ca="1">IF(F38&lt;OFFSET($BM$9,CL38-1,0,1,1),0,IF(F38&lt;OFFSET($BN$9,CL38-1,0,1,1),((F38-OFFSET($BM$9,CL38-1,0,1,1))*OFFSET($CH$9,CL38-1,0,1,1))+OFFSET($BO$9,CL38-1,CQ38,1,1),IF(F38&lt;OFFSET($BN$9,CL38+0,0,1,1),((F38-OFFSET($BM$9,CL38+0,0,1,1))*OFFSET($CH$9,CL38+0,0,1,1))+OFFSET($BO$9,CL38+0,CQ38,1,1),IF(F38&lt;OFFSET($BN$9,CL38+1,0,1,1),((F38-OFFSET($BM$9,CL38+1,0,1,1))*OFFSET($CH$9,CL38+1,0,1,1))+OFFSET($BO$9,CL38+1,CQ38,1,1),IF(F38&lt;OFFSET($BN$9,CL38+2,0,1,1),((F38-OFFSET($BM$9,CL38+2,0,1,1))*OFFSET($CH$9,CL38+2,0,1,1))+OFFSET($BO$9,CL38+2,CQ38,1,1),IF(F38&lt;OFFSET($BN$9,CL38+3,0,1,1),((F38-OFFSET($BM$9,CL38+3,0,1,1))*OFFSET($CH$9,CL38+3,0,1,1))+OFFSET($BO$9,CL38+3,CQ38,1,1),0))))))</f>
        <v>0</v>
      </c>
      <c r="CT38" s="51">
        <f ca="1">IF($F38&lt;OFFSET($BM$9,$CL38-1,0,1,1),0,IF($F38&lt;OFFSET($BN$9,$CL38-1,0,1,1),IF(AND($H38&gt;2.4,Z38&lt;&gt;"e",Z38&lt;&gt;"f"),CX38*2.4/$H38,CX38),IF($F38&lt;OFFSET($BN$9,$CL38+0,0,1,1),IF(AND($H38&gt;2.4,Z38&lt;&gt;"e",Z38&lt;&gt;"f"),CX38*2.4/$H38,CX38),IF($F38&lt;OFFSET($BN$9,$CL38+1,0,1,1),IF(AND($H38&gt;2.4,Z38&lt;&gt;"e",Z38&lt;&gt;"f"),CX38*2.4/$H38,CX38),IF($F38&lt;OFFSET($BN$9,CL38+2,0,1,1),IF(AND($H38&gt;2.4,Z38&lt;&gt;"e",Z38&lt;&gt;"f"),CX38*2.4/$H38,CX38),IF($F38&lt;OFFSET($BN$9,CL38+3,0,1,1),IF(AND($H38&gt;2.4,Z38&lt;&gt;"e",Z38&lt;&gt;"f"),CX38*2.4/$H38,CX38),0)))))*COS(RADIANS($G38)))</f>
        <v>0</v>
      </c>
      <c r="CU38" s="51">
        <f ca="1">IF(F38&lt;OFFSET($BM$9,CL38-1,0,1,1),0,IF(F38&lt;OFFSET($BN$9,CL38-1,0,1,1),((F38-OFFSET($BM$9,CL38-1,0,1,1))*OFFSET($CI$9,CL38-1,0,1,1))+OFFSET($BP$9,CL38-1,CQ38,1,1),IF(F38&lt;OFFSET($BN$9,CL38+0,0,1,1),((F38-OFFSET($BM$9,CL38+0,0,1,1))*OFFSET($CI$9,CL38+0,0,1,1))+OFFSET($BP$9,CL38+0,CQ38,1,1),IF(F38&lt;OFFSET($BN$9,CL38+1,0,1,1),((F38-OFFSET($BM$9,CL38+1,0,1,1))*OFFSET($CI$9,CL38+1,0,1,1))+OFFSET($BP$9,CL38+1,CQ38,1,1),IF(F38&lt;OFFSET($BN$9,CL38+2,0,1,1),((F38-OFFSET($BM$9,CL38+2,0,1,1))*OFFSET($CI$9,CL38+2,0,1,1))+OFFSET($BP$9,CL38+2,CQ38,1,1),IF(F38&lt;OFFSET($BN$9,CL38+3,0,1,1),((F38-OFFSET($BM$9,CL38+3,0,1,1))*OFFSET($CI$9,CL38+3,0,1,1))+OFFSET($BP$9,CL38+3,CQ38,1,1),0))))))</f>
        <v>0</v>
      </c>
      <c r="CV38" s="51">
        <f ca="1">IF($F38&lt;OFFSET($BM$9,$CL38-1,0,1,1),0,IF($F38&lt;OFFSET($BN$9,$CL38-1,0,1,1),IF(AND($H38&gt;2.4,Z38&lt;&gt;"e",Z38&lt;&gt;"f"),CZ38*2.4/$H38,CZ38),IF($F38&lt;OFFSET($BN$9,$CL38+0,0,1,1),IF(AND($H38&gt;2.4,Z38&lt;&gt;"e",Z38&lt;&gt;"f"),CZ38*2.4/$H38,CZ38),IF($F38&lt;OFFSET($BN$9,$CL38+1,0,1,1),IF(AND($H38&gt;2.4,Z38&lt;&gt;"e",Z38&lt;&gt;"f"),CZ38*2.4/$H38,CZ38),IF($F38&lt;OFFSET($BN$9,$CL38+2,0,1,1),IF(AND($H38&gt;2.4,Z38&lt;&gt;"e",Z38&lt;&gt;"f"),CZ38*2.4/$H38,CZ38),IF($F38&lt;OFFSET($BN$9,$CL38+3,0,1,1),IF(AND($H38&gt;2.4,Z38&lt;&gt;"e",Z38&lt;&gt;"f"),CZ38*2.4/$H38,CZ38),0)))))*COS(RADIANS($G38)))</f>
        <v>0</v>
      </c>
      <c r="CW38" s="51">
        <f ca="1">IF(CT38&gt;CR38,CR38,CT38)</f>
        <v>0</v>
      </c>
      <c r="CX38" s="51">
        <f ca="1">IF(CS38&gt;$CR38,$CR38,CS38)</f>
        <v>0</v>
      </c>
      <c r="CY38" s="51">
        <f ca="1">CW38*F38</f>
        <v>0</v>
      </c>
      <c r="CZ38" s="51">
        <f ca="1">IF($CU38&gt;$CR38,$CR38,$CU38)</f>
        <v>0</v>
      </c>
      <c r="DA38" s="51">
        <f ca="1">IF(CV38&gt;CR38,CR38,CV38)</f>
        <v>0</v>
      </c>
      <c r="DB38" s="51">
        <f ca="1">DA38*F38</f>
        <v>0</v>
      </c>
      <c r="DC38" s="993">
        <v>1</v>
      </c>
      <c r="DD38" s="758" t="str">
        <f>IF(OR(D38=BG$12,D38=BG$13),"External",IF(D38=BG$14,"Internal"," "))</f>
        <v xml:space="preserve"> </v>
      </c>
      <c r="DE38" s="51" t="str">
        <f t="shared" ca="1" si="2"/>
        <v/>
      </c>
      <c r="DF38" s="52" t="str">
        <f t="shared" ca="1" si="3"/>
        <v xml:space="preserve"> </v>
      </c>
      <c r="DG38" s="51">
        <f ca="1">IF(F38&lt;OFFSET($BM$9,CN38-1,0,1,1),0,IF(F38&lt;OFFSET($BN$9,CN38-1,0,1,1),((F38-OFFSET($BM$9,CN38-1,0,1,1))*OFFSET($CH$9,CN38-1,0,1,1))+OFFSET($BO$9,CN38-1,CQ38,1,1),IF(F38&lt;OFFSET($BN$9,CN38+0,0,1,1),((F38-OFFSET($BM$9,CN38+0,0,1,1))*OFFSET($CH$9,CN38+0,0,1,1))+OFFSET($BO$9,CN38+0,CQ38,1,1),IF(F38&lt;OFFSET($BN$9,CN38+1,0,1,1),((F38-OFFSET($BM$9,CN38+1,0,1,1))*OFFSET($CH$9,CN38+1,0,1,1))+OFFSET($BO$9,CN38+1,CQ38,1,1),IF(F38&lt;OFFSET($BN$9,CN38+2,0,1,1),((F38-OFFSET($BM$9,CN38+2,0,1,1))*OFFSET($CH$9,CN38+2,0,1,1))+OFFSET($BO$9,CN38+2,CQ38,1,1),IF(F38&lt;OFFSET($BN$9,CN38+3,0,1,1),((F38-OFFSET($BM$9,CN38+3,0,1,1))*OFFSET($CH$9,CN38+3,0,1,1))+OFFSET($BO$9,CN38+3,CQ38,1,1),0))))))</f>
        <v>0</v>
      </c>
      <c r="DH38" s="51">
        <f ca="1">IF($F38&lt;OFFSET($BM$9,$CN38-1,0,1,1),0,IF($F38&lt;OFFSET($BN$9,$CN38-1,0,1,1),IF(AND($H38&gt;2.4,Z38&lt;&gt;"e",Z38&lt;&gt;"f"),DL38*2.4/$H38,DL38),IF($F38&lt;OFFSET($BN$9,$CN38+0,0,1,1),IF(AND($H38&gt;2.4,Z38&lt;&gt;"e",Z38&lt;&gt;"f"),DL38*2.4/$H38,DL38),IF($F38&lt;OFFSET($BN$9,$CN38+1,0,1,1),IF(AND($H38&gt;2.4,Z38&lt;&gt;"e",Z38&lt;&gt;"f"),DL38*2.4/$H38,DL38),IF($F38&lt;OFFSET($BN$9,$CN38+2,0,1,1),IF(AND($H38&gt;2.4,Z38&lt;&gt;"e",Z38&lt;&gt;"f"),DL38*2.4/$H38,DL38),IF($F38&lt;OFFSET($BN$9,$CN38+3,0,1,1),IF(AND($H38&gt;2.4,Z38&lt;&gt;"e",Z38&lt;&gt;"f"),DL38*2.4/$H38,DL38),0)))))*COS(RADIANS($G38)))</f>
        <v>0</v>
      </c>
      <c r="DI38" s="51">
        <f ca="1">IF(F38&lt;OFFSET($BM$9,CN38-1,0,1,1),0,IF(F38&lt;OFFSET($BN$9,CN38-1,0,1,1),((F38-OFFSET($BM$9,CN38-1,0,1,1))*OFFSET($CI$9,CN38-1,0,1,1))+OFFSET($BP$9,CN38-1,CQ38,1,1),IF(F38&lt;OFFSET($BN$9,CN38+0,0,1,1),((F38-OFFSET($BM$9,CN38+0,0,1,1))*OFFSET($CI$9,CN38+0,0,1,1))+OFFSET($BP$9,CN38+0,CQ38,1,1),IF(F38&lt;OFFSET($BN$9,CN38+1,0,1,1),((F38-OFFSET($BM$9,CN38+1,0,1,1))*OFFSET($CI$9,CN38+1,0,1,1))+OFFSET($BP$9,CN38+1,CQ38,1,1),IF(F38&lt;OFFSET($BN$9,CN38+2,0,1,1),((F38-OFFSET($BM$9,CN38+2,0,1,1))*OFFSET($CI$9,CN38+2,0,1,1))+OFFSET($BP$9,CN38+2,CQ38,1,1),IF(F38&lt;OFFSET($BN$9,CN38+3,0,1,1),((F38-OFFSET($BM$9,CN38+3,0,1,1))*OFFSET($CI$9,CN38+3,0,1,1))+OFFSET($BP$9,CN38+3,CQ38,1,1),0))))))</f>
        <v>0</v>
      </c>
      <c r="DJ38" s="51">
        <f ca="1">IF($F38&lt;OFFSET($BM$9,$CN38-1,0,1,1),0,IF($F38&lt;OFFSET($BN$9,$CN38-1,0,1,1),IF(AND($H38&gt;2.4,Z38&lt;&gt;"e",Z38&lt;&gt;"f"),DN38*2.4/$H38,DN38),IF($F38&lt;OFFSET($BN$9,$CN38+0,0,1,1),IF(AND($H38&gt;2.4,Z38&lt;&gt;"e",Z38&lt;&gt;"f"),DN38*2.4/$H38,DN38),IF($F38&lt;OFFSET($BN$9,$CN38+1,0,1,1),IF(AND($H38&gt;2.4,Z38&lt;&gt;"e",Z38&lt;&gt;"f"),DN38*2.4/$H38,DN38),IF($F38&lt;OFFSET($BN$9,$CN38+2,0,1,1),IF(AND($H38&gt;2.4,Z38&lt;&gt;"e",Z38&lt;&gt;"f"),DN38*2.4/$H38,DN38),IF($F38&lt;OFFSET($BN$9,$CN38+3,0,1,1),IF(AND($H38&gt;2.4,Z38&lt;&gt;"e",Z38&lt;&gt;"f"),DN38*2.4/$H38,DN38),0)))))*COS(RADIANS($G38)))</f>
        <v>0</v>
      </c>
      <c r="DK38" s="51"/>
      <c r="DL38" s="51">
        <f ca="1">IF(DG38&gt;$CR38,$CR38,DG38)</f>
        <v>0</v>
      </c>
      <c r="DM38" s="51"/>
      <c r="DN38" s="51">
        <f ca="1">IF(DI38&gt;$CR38,$CR38,DI38)</f>
        <v>0</v>
      </c>
      <c r="DO38" s="435">
        <f ca="1">IF(DH38&gt;$CR38,$CR38,DH38)</f>
        <v>0</v>
      </c>
      <c r="DP38" s="435">
        <f ca="1">DO38*F38</f>
        <v>0</v>
      </c>
      <c r="DQ38" s="436">
        <f ca="1">IF(DJ38&gt;$CR38,$CR38,DJ38)</f>
        <v>0</v>
      </c>
      <c r="DR38" s="437">
        <f ca="1">DQ38*F38</f>
        <v>0</v>
      </c>
      <c r="DS38" s="426">
        <f ca="1">OFFSET($CH$9,CL38-1,-15,1,1)</f>
        <v>0</v>
      </c>
      <c r="DT38" s="426">
        <f ca="1">VLOOKUP(DS38,Prodlink,2,0)</f>
        <v>0</v>
      </c>
      <c r="DU38" s="188">
        <f ca="1">IF(F38&lt;OFFSET($BM$9,DT38-1,0,1,1),0,IF(F38&lt;OFFSET($BN$9,DT38-1,0,1,1),((F38-OFFSET($BM$9,DT38-1,0,1,1))*OFFSET($CH$9,DT38-1,0,1,1))+OFFSET($BO$9,DT38-1,CQ38,1,1),IF(F38&lt;OFFSET($BN$9,DT38+0,0,1,1),((F38-OFFSET($BM$9,DT38+0,0,1,1))*OFFSET($CH$9,DT38+0,0,1,1))+OFFSET($BO$9,DT38+0,CQ38,1,1),IF(F38&lt;OFFSET($BN$9,DT38+1,0,1,1),((F38-OFFSET($BM$9,DT38+1,0,1,1))*OFFSET($CH$9,DT38+1,0,1,1))+OFFSET($BO$9,DT38+1,CQ38,1,1),IF(F38&lt;OFFSET($BN$9,DT38+2,0,1,1),((F38-OFFSET($BM$9,DT38+2,0,1,1))*OFFSET($CH$9,DT38+2,0,1,1))+OFFSET($BO$9,DT38+2,CQ38,1,1),IF(F38&lt;OFFSET($BN$9,DT38+3,0,1,1),((F38-OFFSET($BM$9,DT38+3,0,1,1))*OFFSET($CH$9,DT38+3,0,1,1))+OFFSET($BO$9,DT38+3,CQ38,1,1),0))))))</f>
        <v>0</v>
      </c>
      <c r="DV38" s="51">
        <f ca="1">IF($F38&lt;OFFSET($BM$9,$DT38-1,0,1,1),0,IF($F38&lt;OFFSET($BN$9,$DT38-1,0,1,1),IF(AND($H38&gt;2.4,Z38&lt;&gt;"e",Z38&lt;&gt;"f"),DZ38*2.4/$H38,DZ38),IF($F38&lt;OFFSET($BN$9,$DT38+0,0,1,1),IF(AND($H38&gt;2.4,Z38&lt;&gt;"e",Z38&lt;&gt;"f"),DZ38*2.4/$H38,DZ38),IF($F38&lt;OFFSET($BN$9,$DT38+1,0,1,1),IF(AND($H38&gt;2.4,Z38&lt;&gt;"e",Z38&lt;&gt;"f"),DZ38*2.4/$H38,DZ38),IF($F38&lt;OFFSET($BN$9,$DT38+2,0,1,1),IF(AND($H38&gt;2.4,Z38&lt;&gt;"e",Z38&lt;&gt;"f"),DZ38*2.4/$H38,DZ38),IF($F38&lt;OFFSET($BN$9,$DT38+3,0,1,1),IF(AND($H38&gt;2.4,Z38&lt;&gt;"e",Z38&lt;&gt;"f"),DZ38*2.4/$H38,DZ38),0)))))*COS(RADIANS($G38)))</f>
        <v>0</v>
      </c>
      <c r="DW38" s="188">
        <f ca="1">IF(F38&lt;OFFSET($BM$9,DT38-1,0,1,1),0,IF(F38&lt;OFFSET($BN$9,DT38-1,0,1,1),((F38-OFFSET($BM$9,DT38-1,0,1,1))*OFFSET($CI$9,DT38-1,0,1,1))+OFFSET($BP$9,DT38-1,CQ38,1,1),IF(F38&lt;OFFSET($BN$9,DT38+0,0,1,1),((F38-OFFSET($BM$9,DT38+0,0,1,1))*OFFSET($CI$9,DT38+0,0,1,1))+OFFSET($BP$9,DT38+0,CQ38,1,1),IF(F38&lt;OFFSET($BN$9,DT38+1,0,1,1),((F38-OFFSET($BM$9,DT38+1,0,1,1))*OFFSET($CI$9,DT38+1,0,1,1))+OFFSET($BP$9,DT38+1,CQ38,1,1),IF(F38&lt;OFFSET($BN$9,DT38+2,0,1,1),((F38-OFFSET($BM$9,DT38+2,0,1,1))*OFFSET($CI$9,DT38+2,0,1,1))+OFFSET($BP$9,DT38+2,CQ38,1,1),IF(F38&lt;OFFSET($BN$9,DT38+3,0,1,1),((F38-OFFSET($BM$9,DT38+3,0,1,1))*OFFSET($CI$9,DT38+3,0,1,1))+OFFSET($BP$9,DT38+3,CQ38,1,1),0))))))</f>
        <v>0</v>
      </c>
      <c r="DX38" s="51">
        <f ca="1">IF($F38&lt;OFFSET($BM$9,$DT38-1,0,1,1),0,IF($F38&lt;OFFSET($BN$9,$DT38-1,0,1,1),IF(AND($H38&gt;2.4,Z38&lt;&gt;"e",Z38&lt;&gt;"f"),EB38*2.4/$H38,EB38),IF($F38&lt;OFFSET($BN$9,$DT38+0,0,1,1),IF(AND($H38&gt;2.4,Z38&lt;&gt;"e",Z38&lt;&gt;"f"),EB38*2.4/$H38,EB38),IF($F38&lt;OFFSET($BN$9,$DT38+1,0,1,1),IF(AND($H38&gt;2.4,Z38&lt;&gt;"e",Z38&lt;&gt;"f"),EB38*2.4/$H38,EB38),IF($F38&lt;OFFSET($BN$9,$DT38+2,0,1,1),IF(AND($H38&gt;2.4,Z38&lt;&gt;"e",Z38&lt;&gt;"f"),EB38*2.4/$H38,EB38),IF($F38&lt;OFFSET($BN$9,$DT38+3,0,1,1),IF(AND($H38&gt;2.4,Z38&lt;&gt;"e",Z38&lt;&gt;"f"),EB38*2.4/$H38,EB38),0)))))*COS(RADIANS($G38)))</f>
        <v>0</v>
      </c>
      <c r="DY38" s="188"/>
      <c r="DZ38" s="188">
        <f ca="1">IF(DU38&gt;$CR38,$CR38,DU38)</f>
        <v>0</v>
      </c>
      <c r="EA38" s="188"/>
      <c r="EB38" s="188">
        <f ca="1">IF(DW38&gt;$CR38,$CR38,DW38)</f>
        <v>0</v>
      </c>
      <c r="EC38" s="435">
        <f ca="1">IF(DV38&gt;$CR38,$CR38,DV38)</f>
        <v>0</v>
      </c>
      <c r="ED38" s="435">
        <f ca="1">EC38*F38</f>
        <v>0</v>
      </c>
      <c r="EE38" s="436">
        <f ca="1">IF(DX38&gt;$CR38,$CR38,DX38)</f>
        <v>0</v>
      </c>
      <c r="EF38" s="437">
        <f ca="1">EE38*F38</f>
        <v>0</v>
      </c>
      <c r="EG38" s="613" t="str">
        <f>IF(D38=BG$12,BG$12,"")</f>
        <v/>
      </c>
      <c r="EH38" s="614" t="str">
        <f>IF(D38=BG$13,BG$13,"")</f>
        <v/>
      </c>
      <c r="EI38" s="611">
        <f>IF(EG38=BG$12,M38,0)</f>
        <v>0</v>
      </c>
      <c r="EJ38" s="451">
        <f>IF(EG38=BG$12,O38,0)</f>
        <v>0</v>
      </c>
      <c r="EK38" s="451">
        <f>IF(EH38=BG$13,M38,0)</f>
        <v>0</v>
      </c>
      <c r="EL38" s="612">
        <f>IF(EH38=BG$13,O38,0)</f>
        <v>0</v>
      </c>
      <c r="EM38" s="426" t="str">
        <f ca="1">IF(AND(Z38&lt;&gt;"t",Z38&lt;&gt;"f"),"",IF(AND(EN38=$BH$13,K38=$BH$12),"NotOpt",IF(K38&lt;&gt;EN38,"Error","")))</f>
        <v/>
      </c>
      <c r="EN38" s="490" t="str">
        <f>IF($BG$28=1,$BH$13,$BH$12)</f>
        <v>120 BU's</v>
      </c>
      <c r="EO38" s="426" t="str">
        <f>K38</f>
        <v xml:space="preserve"> </v>
      </c>
      <c r="ER38" s="439" t="str">
        <f ca="1">IF(H38=0," ",H38)</f>
        <v xml:space="preserve"> </v>
      </c>
      <c r="ES38" s="440" t="str">
        <f ca="1">IF(ER38&lt;&gt;" ",IF(ER38&lt;&gt;ER$7,"Changed",""),"")</f>
        <v/>
      </c>
      <c r="ET38" s="440">
        <f ca="1">IF(ER38&lt;&gt;" ",IF(ER38&lt;&gt;ER$7,1,0),0)</f>
        <v>0</v>
      </c>
      <c r="EU38" s="957" t="str">
        <f ca="1">IF(I38=" "," ",IF(F38&lt;OFFSET($BM$9,CL38-1,0,1,1),1,""))</f>
        <v xml:space="preserve"> </v>
      </c>
      <c r="EW38" s="427"/>
      <c r="EX38"/>
      <c r="EY38"/>
      <c r="EZ38"/>
      <c r="FA38"/>
      <c r="FB38"/>
      <c r="FC38"/>
      <c r="FD38"/>
      <c r="FE38"/>
      <c r="FF38"/>
      <c r="FG38"/>
      <c r="FH38"/>
      <c r="FI38"/>
      <c r="FJ38"/>
      <c r="FK38"/>
      <c r="FL38"/>
      <c r="FM38"/>
      <c r="FN38"/>
      <c r="FO38"/>
    </row>
    <row r="39" spans="1:171" ht="17.100000000000001" customHeight="1" thickBot="1">
      <c r="B39" s="689" t="s">
        <v>246</v>
      </c>
      <c r="C39" s="684" t="str">
        <f>IF(OR(F39=0,I39="",I39=" ")," ",$V39)</f>
        <v xml:space="preserve"> </v>
      </c>
      <c r="D39" s="1033"/>
      <c r="E39" s="1360" t="s">
        <v>8</v>
      </c>
      <c r="F39" s="202"/>
      <c r="G39" s="1416"/>
      <c r="H39" s="199" t="str">
        <f ca="1">IF(OR(F39=0,Z39="E",Z39="f")," ",'Project Demand'!E$45)</f>
        <v xml:space="preserve"> </v>
      </c>
      <c r="I39" s="631" t="str">
        <f>IF($I$6&lt;&gt;$BG$8," ",AB39)</f>
        <v xml:space="preserve"> </v>
      </c>
      <c r="J39" s="44" t="str">
        <f ca="1">IF(OR(I39=" ",I39="")," ",OFFSET($BO$9,CL39-1,0-4,1,1))</f>
        <v xml:space="preserve"> </v>
      </c>
      <c r="K39" s="55" t="str">
        <f>IF(OR(I39=" ",I39="")," ",IF(OR(Z39="e",Z39="h"),"SD",BG$24))</f>
        <v xml:space="preserve"> </v>
      </c>
      <c r="L39" s="49">
        <f ca="1">CW39</f>
        <v>0</v>
      </c>
      <c r="M39" s="49">
        <f ca="1">CY39</f>
        <v>0</v>
      </c>
      <c r="N39" s="50">
        <f t="shared" ca="1" si="25"/>
        <v>0</v>
      </c>
      <c r="O39" s="126">
        <f t="shared" ca="1" si="25"/>
        <v>0</v>
      </c>
      <c r="P39" s="140"/>
      <c r="Q39" s="752" t="str">
        <f ca="1">IF(AND(OR(Z39="t",Z39="f"),K39=$BH$11),"No Floor!  Change Floor Type",IF(OR(I39=" ",I39="")," ",IF(F39&lt;OFFSET($BM$9,CL39-1,0,1,1),"check L(m)",DE39&amp;IF(AND(DP39&gt;=CY39,DR39&gt;=DB39),IF(AND(ED39&gt;=DP39,EF39&gt;=DR39),CONCATENATE(DS39," will provide same result"),CONCATENATE(CO39," will provide same result")),IF((DP39&gt;=CY39),CONCATENATE(CO39," provides same result in WIND"),IF((DR39&gt;=DB39),CONCATENATE(CO39," provides same result in EQ"),""))))))&amp;IF(ISERROR(FIND("pile",I39,1)),"",IF(INT(F39)&lt;&gt;F39,"Pile!  Use Whole Numbers Only",""))</f>
        <v xml:space="preserve"> </v>
      </c>
      <c r="R39" s="52"/>
      <c r="S39" s="1372"/>
      <c r="T39" s="1372"/>
      <c r="U39" s="1377"/>
      <c r="V39" s="52" t="str">
        <f ca="1">IF(AND(B$5=$BF$9,OR(I39=BH$16,I39=BH$17))," ",IF(ISNUMBER(B$38),(CONCATENATE(B$38,".",W39)),(CONCATENATE(B$38,W39))))</f>
        <v>F0</v>
      </c>
      <c r="W39" s="9">
        <f ca="1">W38+X39</f>
        <v>0</v>
      </c>
      <c r="X39" s="9">
        <f>IF(AND(B$5=$BF$9,OR($I39=$BH$16,$I39=$BH$17,$I39=" ",$I39="",$F39=0)),0,IF(OR($I39=" ",$I39="",$F39=0),0,1))</f>
        <v>0</v>
      </c>
      <c r="Y39" s="896"/>
      <c r="Z39" s="52" t="str">
        <f ca="1">IF(I39=" "," ",OFFSET($BM$9,$CL39-1,8,1,1))</f>
        <v xml:space="preserve"> </v>
      </c>
      <c r="AA39" s="51" t="str">
        <f>IF(G39&gt;=45,"WA","")</f>
        <v/>
      </c>
      <c r="AB39" s="1364" t="str">
        <f>IF(F39&lt;&gt;"",IF(OR(D39=$BG$12,D39=$BG$13),IF(E39&lt;&gt;$BG$17,$BF$12,$BF$13),IF(E39&lt;&gt;$BG$17,$BF$12,$BF$13))," ")</f>
        <v xml:space="preserve"> </v>
      </c>
      <c r="AC39" s="1"/>
      <c r="AJ39" s="2230"/>
      <c r="AK39" s="2797"/>
      <c r="AL39" s="2783" t="str">
        <f>'Regular and QuickBrace Systems'!E57</f>
        <v>EMPH</v>
      </c>
      <c r="AM39" s="116">
        <f>'Regular and QuickBrace Systems'!F57</f>
        <v>0.4</v>
      </c>
      <c r="AN39" s="1278">
        <f>'Regular and QuickBrace Systems'!G57</f>
        <v>121</v>
      </c>
      <c r="AO39" s="1279">
        <f>'Regular and QuickBrace Systems'!H57</f>
        <v>138</v>
      </c>
      <c r="AP39" s="1595"/>
      <c r="AQ39" s="2661" t="str">
        <f>'Regular and QuickBrace Systems'!I54</f>
        <v>Specialised QuickBrace Pattern</v>
      </c>
      <c r="AR39" s="2662"/>
      <c r="AS39" s="2826" t="str">
        <f>'Regular and QuickBrace Systems'!K54</f>
        <v>Yes</v>
      </c>
      <c r="AT39" s="1340"/>
      <c r="AU39" s="2133" t="str">
        <f>'Regular and QuickBrace Systems'!M57</f>
        <v>Elephant Multiboard One side,               Plywood the Other</v>
      </c>
      <c r="AW39" s="1586" t="str">
        <f>'Regular and QuickBrace Systems'!O57</f>
        <v>Yes</v>
      </c>
      <c r="AX39" s="1578" t="str">
        <f>'Regular and QuickBrace Systems'!Q57</f>
        <v>Yes</v>
      </c>
      <c r="BD39" s="635"/>
      <c r="BF39" s="599" t="str">
        <f>'Custom Elements'!C23</f>
        <v>Custom15</v>
      </c>
      <c r="BG39" s="430" t="s">
        <v>776</v>
      </c>
      <c r="BI39" s="759"/>
      <c r="BJ39" s="897">
        <f t="shared" si="4"/>
        <v>31</v>
      </c>
      <c r="BK39" s="775" t="str">
        <f>'Custom Elements'!O15</f>
        <v>NZS 3604</v>
      </c>
      <c r="BL39" s="772" t="str">
        <f>'Custom Elements'!P15</f>
        <v>Anchor pile</v>
      </c>
      <c r="BM39" s="776">
        <f>'Custom Elements'!Q15</f>
        <v>1</v>
      </c>
      <c r="BN39" s="776">
        <v>999</v>
      </c>
      <c r="BO39" s="776">
        <f>'Custom Elements'!R15</f>
        <v>160</v>
      </c>
      <c r="BP39" s="926">
        <f>'Custom Elements'!S15</f>
        <v>120</v>
      </c>
      <c r="BQ39" s="1183"/>
      <c r="BR39" s="908"/>
      <c r="BS39" s="776"/>
      <c r="BT39" s="776" t="s">
        <v>3</v>
      </c>
      <c r="BU39" s="926" t="s">
        <v>44</v>
      </c>
      <c r="BV39" s="484" t="str">
        <f t="shared" si="24"/>
        <v>Anchor pile</v>
      </c>
      <c r="BW39" s="911">
        <f t="shared" si="21"/>
        <v>31</v>
      </c>
      <c r="BX39" s="925" t="str">
        <f>'Custom Elements'!U15</f>
        <v>Single</v>
      </c>
      <c r="CH39" s="908">
        <f>IF(BN39=999,0,(#REF!-BO39)/(BN39-BM39))</f>
        <v>0</v>
      </c>
      <c r="CI39" s="926">
        <f>IF(BN39=999,0,(#REF!-BP39)/(BN39-BM39))</f>
        <v>0</v>
      </c>
      <c r="CJ39" s="759"/>
      <c r="CK39" s="188"/>
      <c r="CL39" s="979">
        <f>VLOOKUP(I39,Prodlink,2,0)</f>
        <v>0</v>
      </c>
      <c r="CN39" s="497">
        <f t="shared" ca="1" si="1"/>
        <v>0</v>
      </c>
      <c r="CO39" s="497">
        <f ca="1">OFFSET($CH$9,CL39-1,-15,1,1)</f>
        <v>0</v>
      </c>
      <c r="CQ39" s="51">
        <v>0</v>
      </c>
      <c r="CR39" s="51">
        <f>IF(K39=$BH$12,$BH$23,IF(K39=$BH$13,$BH$24,10000))</f>
        <v>10000</v>
      </c>
      <c r="CS39" s="51">
        <f ca="1">IF(F39&lt;OFFSET($BM$9,CL39-1,0,1,1),0,IF(F39&lt;OFFSET($BN$9,CL39-1,0,1,1),((F39-OFFSET($BM$9,CL39-1,0,1,1))*OFFSET($CH$9,CL39-1,0,1,1))+OFFSET($BO$9,CL39-1,CQ39,1,1),IF(F39&lt;OFFSET($BN$9,CL39+0,0,1,1),((F39-OFFSET($BM$9,CL39+0,0,1,1))*OFFSET($CH$9,CL39+0,0,1,1))+OFFSET($BO$9,CL39+0,CQ39,1,1),IF(F39&lt;OFFSET($BN$9,CL39+1,0,1,1),((F39-OFFSET($BM$9,CL39+1,0,1,1))*OFFSET($CH$9,CL39+1,0,1,1))+OFFSET($BO$9,CL39+1,CQ39,1,1),IF(F39&lt;OFFSET($BN$9,CL39+2,0,1,1),((F39-OFFSET($BM$9,CL39+2,0,1,1))*OFFSET($CH$9,CL39+2,0,1,1))+OFFSET($BO$9,CL39+2,CQ39,1,1),IF(F39&lt;OFFSET($BN$9,CL39+3,0,1,1),((F39-OFFSET($BM$9,CL39+3,0,1,1))*OFFSET($CH$9,CL39+3,0,1,1))+OFFSET($BO$9,CL39+3,CQ39,1,1),0))))))</f>
        <v>0</v>
      </c>
      <c r="CT39" s="51">
        <f ca="1">IF($F39&lt;OFFSET($BM$9,$CL39-1,0,1,1),0,IF($F39&lt;OFFSET($BN$9,$CL39-1,0,1,1),IF(AND($H39&gt;2.4,Z39&lt;&gt;"e",Z39&lt;&gt;"f"),CX39*2.4/$H39,CX39),IF($F39&lt;OFFSET($BN$9,$CL39+0,0,1,1),IF(AND($H39&gt;2.4,Z39&lt;&gt;"e",Z39&lt;&gt;"f"),CX39*2.4/$H39,CX39),IF($F39&lt;OFFSET($BN$9,$CL39+1,0,1,1),IF(AND($H39&gt;2.4,Z39&lt;&gt;"e",Z39&lt;&gt;"f"),CX39*2.4/$H39,CX39),IF($F39&lt;OFFSET($BN$9,CL39+2,0,1,1),IF(AND($H39&gt;2.4,Z39&lt;&gt;"e",Z39&lt;&gt;"f"),CX39*2.4/$H39,CX39),IF($F39&lt;OFFSET($BN$9,CL39+3,0,1,1),IF(AND($H39&gt;2.4,Z39&lt;&gt;"e",Z39&lt;&gt;"f"),CX39*2.4/$H39,CX39),0)))))*COS(RADIANS($G39)))</f>
        <v>0</v>
      </c>
      <c r="CU39" s="51">
        <f ca="1">IF(F39&lt;OFFSET($BM$9,CL39-1,0,1,1),0,IF(F39&lt;OFFSET($BN$9,CL39-1,0,1,1),((F39-OFFSET($BM$9,CL39-1,0,1,1))*OFFSET($CI$9,CL39-1,0,1,1))+OFFSET($BP$9,CL39-1,CQ39,1,1),IF(F39&lt;OFFSET($BN$9,CL39+0,0,1,1),((F39-OFFSET($BM$9,CL39+0,0,1,1))*OFFSET($CI$9,CL39+0,0,1,1))+OFFSET($BP$9,CL39+0,CQ39,1,1),IF(F39&lt;OFFSET($BN$9,CL39+1,0,1,1),((F39-OFFSET($BM$9,CL39+1,0,1,1))*OFFSET($CI$9,CL39+1,0,1,1))+OFFSET($BP$9,CL39+1,CQ39,1,1),IF(F39&lt;OFFSET($BN$9,CL39+2,0,1,1),((F39-OFFSET($BM$9,CL39+2,0,1,1))*OFFSET($CI$9,CL39+2,0,1,1))+OFFSET($BP$9,CL39+2,CQ39,1,1),IF(F39&lt;OFFSET($BN$9,CL39+3,0,1,1),((F39-OFFSET($BM$9,CL39+3,0,1,1))*OFFSET($CI$9,CL39+3,0,1,1))+OFFSET($BP$9,CL39+3,CQ39,1,1),0))))))</f>
        <v>0</v>
      </c>
      <c r="CV39" s="51">
        <f ca="1">IF($F39&lt;OFFSET($BM$9,$CL39-1,0,1,1),0,IF($F39&lt;OFFSET($BN$9,$CL39-1,0,1,1),IF(AND($H39&gt;2.4,Z39&lt;&gt;"e",Z39&lt;&gt;"f"),CZ39*2.4/$H39,CZ39),IF($F39&lt;OFFSET($BN$9,$CL39+0,0,1,1),IF(AND($H39&gt;2.4,Z39&lt;&gt;"e",Z39&lt;&gt;"f"),CZ39*2.4/$H39,CZ39),IF($F39&lt;OFFSET($BN$9,$CL39+1,0,1,1),IF(AND($H39&gt;2.4,Z39&lt;&gt;"e",Z39&lt;&gt;"f"),CZ39*2.4/$H39,CZ39),IF($F39&lt;OFFSET($BN$9,$CL39+2,0,1,1),IF(AND($H39&gt;2.4,Z39&lt;&gt;"e",Z39&lt;&gt;"f"),CZ39*2.4/$H39,CZ39),IF($F39&lt;OFFSET($BN$9,$CL39+3,0,1,1),IF(AND($H39&gt;2.4,Z39&lt;&gt;"e",Z39&lt;&gt;"f"),CZ39*2.4/$H39,CZ39),0)))))*COS(RADIANS($G39)))</f>
        <v>0</v>
      </c>
      <c r="CW39" s="51">
        <f ca="1">IF(CT39&gt;CR39,CR39,CT39)</f>
        <v>0</v>
      </c>
      <c r="CX39" s="51">
        <f ca="1">IF(CS39&gt;$CR39,$CR39,CS39)</f>
        <v>0</v>
      </c>
      <c r="CY39" s="51">
        <f ca="1">CW39*F39</f>
        <v>0</v>
      </c>
      <c r="CZ39" s="51">
        <f ca="1">IF($CU39&gt;$CR39,$CR39,$CU39)</f>
        <v>0</v>
      </c>
      <c r="DA39" s="51">
        <f ca="1">IF(CV39&gt;CR39,CR39,CV39)</f>
        <v>0</v>
      </c>
      <c r="DB39" s="51">
        <f ca="1">DA39*F39</f>
        <v>0</v>
      </c>
      <c r="DC39" s="993">
        <v>1</v>
      </c>
      <c r="DD39" s="758" t="str">
        <f>IF(OR(D39=BG$12,D39=BG$13),"External",IF(D39=BG$14,"Internal"," "))</f>
        <v xml:space="preserve"> </v>
      </c>
      <c r="DE39" s="51" t="str">
        <f t="shared" ca="1" si="2"/>
        <v/>
      </c>
      <c r="DF39" s="52" t="str">
        <f t="shared" ca="1" si="3"/>
        <v xml:space="preserve"> </v>
      </c>
      <c r="DG39" s="51">
        <f ca="1">IF(F39&lt;OFFSET($BM$9,CN39-1,0,1,1),0,IF(F39&lt;OFFSET($BN$9,CN39-1,0,1,1),((F39-OFFSET($BM$9,CN39-1,0,1,1))*OFFSET($CH$9,CN39-1,0,1,1))+OFFSET($BO$9,CN39-1,CQ39,1,1),IF(F39&lt;OFFSET($BN$9,CN39+0,0,1,1),((F39-OFFSET($BM$9,CN39+0,0,1,1))*OFFSET($CH$9,CN39+0,0,1,1))+OFFSET($BO$9,CN39+0,CQ39,1,1),IF(F39&lt;OFFSET($BN$9,CN39+1,0,1,1),((F39-OFFSET($BM$9,CN39+1,0,1,1))*OFFSET($CH$9,CN39+1,0,1,1))+OFFSET($BO$9,CN39+1,CQ39,1,1),IF(F39&lt;OFFSET($BN$9,CN39+2,0,1,1),((F39-OFFSET($BM$9,CN39+2,0,1,1))*OFFSET($CH$9,CN39+2,0,1,1))+OFFSET($BO$9,CN39+2,CQ39,1,1),IF(F39&lt;OFFSET($BN$9,CN39+3,0,1,1),((F39-OFFSET($BM$9,CN39+3,0,1,1))*OFFSET($CH$9,CN39+3,0,1,1))+OFFSET($BO$9,CN39+3,CQ39,1,1),0))))))</f>
        <v>0</v>
      </c>
      <c r="DH39" s="51">
        <f ca="1">IF($F39&lt;OFFSET($BM$9,$CN39-1,0,1,1),0,IF($F39&lt;OFFSET($BN$9,$CN39-1,0,1,1),IF(AND($H39&gt;2.4,Z39&lt;&gt;"e",Z39&lt;&gt;"f"),DL39*2.4/$H39,DL39),IF($F39&lt;OFFSET($BN$9,$CN39+0,0,1,1),IF(AND($H39&gt;2.4,Z39&lt;&gt;"e",Z39&lt;&gt;"f"),DL39*2.4/$H39,DL39),IF($F39&lt;OFFSET($BN$9,$CN39+1,0,1,1),IF(AND($H39&gt;2.4,Z39&lt;&gt;"e",Z39&lt;&gt;"f"),DL39*2.4/$H39,DL39),IF($F39&lt;OFFSET($BN$9,$CN39+2,0,1,1),IF(AND($H39&gt;2.4,Z39&lt;&gt;"e",Z39&lt;&gt;"f"),DL39*2.4/$H39,DL39),IF($F39&lt;OFFSET($BN$9,$CN39+3,0,1,1),IF(AND($H39&gt;2.4,Z39&lt;&gt;"e",Z39&lt;&gt;"f"),DL39*2.4/$H39,DL39),0)))))*COS(RADIANS($G39)))</f>
        <v>0</v>
      </c>
      <c r="DI39" s="51">
        <f ca="1">IF(F39&lt;OFFSET($BM$9,CN39-1,0,1,1),0,IF(F39&lt;OFFSET($BN$9,CN39-1,0,1,1),((F39-OFFSET($BM$9,CN39-1,0,1,1))*OFFSET($CI$9,CN39-1,0,1,1))+OFFSET($BP$9,CN39-1,CQ39,1,1),IF(F39&lt;OFFSET($BN$9,CN39+0,0,1,1),((F39-OFFSET($BM$9,CN39+0,0,1,1))*OFFSET($CI$9,CN39+0,0,1,1))+OFFSET($BP$9,CN39+0,CQ39,1,1),IF(F39&lt;OFFSET($BN$9,CN39+1,0,1,1),((F39-OFFSET($BM$9,CN39+1,0,1,1))*OFFSET($CI$9,CN39+1,0,1,1))+OFFSET($BP$9,CN39+1,CQ39,1,1),IF(F39&lt;OFFSET($BN$9,CN39+2,0,1,1),((F39-OFFSET($BM$9,CN39+2,0,1,1))*OFFSET($CI$9,CN39+2,0,1,1))+OFFSET($BP$9,CN39+2,CQ39,1,1),IF(F39&lt;OFFSET($BN$9,CN39+3,0,1,1),((F39-OFFSET($BM$9,CN39+3,0,1,1))*OFFSET($CI$9,CN39+3,0,1,1))+OFFSET($BP$9,CN39+3,CQ39,1,1),0))))))</f>
        <v>0</v>
      </c>
      <c r="DJ39" s="51">
        <f ca="1">IF($F39&lt;OFFSET($BM$9,$CN39-1,0,1,1),0,IF($F39&lt;OFFSET($BN$9,$CN39-1,0,1,1),IF(AND($H39&gt;2.4,Z39&lt;&gt;"e",Z39&lt;&gt;"f"),DN39*2.4/$H39,DN39),IF($F39&lt;OFFSET($BN$9,$CN39+0,0,1,1),IF(AND($H39&gt;2.4,Z39&lt;&gt;"e",Z39&lt;&gt;"f"),DN39*2.4/$H39,DN39),IF($F39&lt;OFFSET($BN$9,$CN39+1,0,1,1),IF(AND($H39&gt;2.4,Z39&lt;&gt;"e",Z39&lt;&gt;"f"),DN39*2.4/$H39,DN39),IF($F39&lt;OFFSET($BN$9,$CN39+2,0,1,1),IF(AND($H39&gt;2.4,Z39&lt;&gt;"e",Z39&lt;&gt;"f"),DN39*2.4/$H39,DN39),IF($F39&lt;OFFSET($BN$9,$CN39+3,0,1,1),IF(AND($H39&gt;2.4,Z39&lt;&gt;"e",Z39&lt;&gt;"f"),DN39*2.4/$H39,DN39),0)))))*COS(RADIANS($G39)))</f>
        <v>0</v>
      </c>
      <c r="DK39" s="51"/>
      <c r="DL39" s="51">
        <f ca="1">IF(DG39&gt;$CR39,$CR39,DG39)</f>
        <v>0</v>
      </c>
      <c r="DM39" s="51"/>
      <c r="DN39" s="51">
        <f ca="1">IF(DI39&gt;$CR39,$CR39,DI39)</f>
        <v>0</v>
      </c>
      <c r="DO39" s="435">
        <f ca="1">IF(DH39&gt;$CR39,$CR39,DH39)</f>
        <v>0</v>
      </c>
      <c r="DP39" s="435">
        <f ca="1">DO39*F39</f>
        <v>0</v>
      </c>
      <c r="DQ39" s="436">
        <f ca="1">IF(DJ39&gt;$CR39,$CR39,DJ39)</f>
        <v>0</v>
      </c>
      <c r="DR39" s="437">
        <f ca="1">DQ39*F39</f>
        <v>0</v>
      </c>
      <c r="DS39" s="426">
        <f ca="1">OFFSET($CH$9,CL39-1,-15,1,1)</f>
        <v>0</v>
      </c>
      <c r="DT39" s="426">
        <f ca="1">VLOOKUP(DS39,Prodlink,2,0)</f>
        <v>0</v>
      </c>
      <c r="DU39" s="188">
        <f ca="1">IF(F39&lt;OFFSET($BM$9,DT39-1,0,1,1),0,IF(F39&lt;OFFSET($BN$9,DT39-1,0,1,1),((F39-OFFSET($BM$9,DT39-1,0,1,1))*OFFSET($CH$9,DT39-1,0,1,1))+OFFSET($BO$9,DT39-1,CQ39,1,1),IF(F39&lt;OFFSET($BN$9,DT39+0,0,1,1),((F39-OFFSET($BM$9,DT39+0,0,1,1))*OFFSET($CH$9,DT39+0,0,1,1))+OFFSET($BO$9,DT39+0,CQ39,1,1),IF(F39&lt;OFFSET($BN$9,DT39+1,0,1,1),((F39-OFFSET($BM$9,DT39+1,0,1,1))*OFFSET($CH$9,DT39+1,0,1,1))+OFFSET($BO$9,DT39+1,CQ39,1,1),IF(F39&lt;OFFSET($BN$9,DT39+2,0,1,1),((F39-OFFSET($BM$9,DT39+2,0,1,1))*OFFSET($CH$9,DT39+2,0,1,1))+OFFSET($BO$9,DT39+2,CQ39,1,1),IF(F39&lt;OFFSET($BN$9,DT39+3,0,1,1),((F39-OFFSET($BM$9,DT39+3,0,1,1))*OFFSET($CH$9,DT39+3,0,1,1))+OFFSET($BO$9,DT39+3,CQ39,1,1),0))))))</f>
        <v>0</v>
      </c>
      <c r="DV39" s="51">
        <f ca="1">IF($F39&lt;OFFSET($BM$9,$DT39-1,0,1,1),0,IF($F39&lt;OFFSET($BN$9,$DT39-1,0,1,1),IF(AND($H39&gt;2.4,Z39&lt;&gt;"e",Z39&lt;&gt;"f"),DZ39*2.4/$H39,DZ39),IF($F39&lt;OFFSET($BN$9,$DT39+0,0,1,1),IF(AND($H39&gt;2.4,Z39&lt;&gt;"e",Z39&lt;&gt;"f"),DZ39*2.4/$H39,DZ39),IF($F39&lt;OFFSET($BN$9,$DT39+1,0,1,1),IF(AND($H39&gt;2.4,Z39&lt;&gt;"e",Z39&lt;&gt;"f"),DZ39*2.4/$H39,DZ39),IF($F39&lt;OFFSET($BN$9,$DT39+2,0,1,1),IF(AND($H39&gt;2.4,Z39&lt;&gt;"e",Z39&lt;&gt;"f"),DZ39*2.4/$H39,DZ39),IF($F39&lt;OFFSET($BN$9,$DT39+3,0,1,1),IF(AND($H39&gt;2.4,Z39&lt;&gt;"e",Z39&lt;&gt;"f"),DZ39*2.4/$H39,DZ39),0)))))*COS(RADIANS($G39)))</f>
        <v>0</v>
      </c>
      <c r="DW39" s="188">
        <f ca="1">IF(F39&lt;OFFSET($BM$9,DT39-1,0,1,1),0,IF(F39&lt;OFFSET($BN$9,DT39-1,0,1,1),((F39-OFFSET($BM$9,DT39-1,0,1,1))*OFFSET($CI$9,DT39-1,0,1,1))+OFFSET($BP$9,DT39-1,CQ39,1,1),IF(F39&lt;OFFSET($BN$9,DT39+0,0,1,1),((F39-OFFSET($BM$9,DT39+0,0,1,1))*OFFSET($CI$9,DT39+0,0,1,1))+OFFSET($BP$9,DT39+0,CQ39,1,1),IF(F39&lt;OFFSET($BN$9,DT39+1,0,1,1),((F39-OFFSET($BM$9,DT39+1,0,1,1))*OFFSET($CI$9,DT39+1,0,1,1))+OFFSET($BP$9,DT39+1,CQ39,1,1),IF(F39&lt;OFFSET($BN$9,DT39+2,0,1,1),((F39-OFFSET($BM$9,DT39+2,0,1,1))*OFFSET($CI$9,DT39+2,0,1,1))+OFFSET($BP$9,DT39+2,CQ39,1,1),IF(F39&lt;OFFSET($BN$9,DT39+3,0,1,1),((F39-OFFSET($BM$9,DT39+3,0,1,1))*OFFSET($CI$9,DT39+3,0,1,1))+OFFSET($BP$9,DT39+3,CQ39,1,1),0))))))</f>
        <v>0</v>
      </c>
      <c r="DX39" s="51">
        <f ca="1">IF($F39&lt;OFFSET($BM$9,$DT39-1,0,1,1),0,IF($F39&lt;OFFSET($BN$9,$DT39-1,0,1,1),IF(AND($H39&gt;2.4,Z39&lt;&gt;"e",Z39&lt;&gt;"f"),EB39*2.4/$H39,EB39),IF($F39&lt;OFFSET($BN$9,$DT39+0,0,1,1),IF(AND($H39&gt;2.4,Z39&lt;&gt;"e",Z39&lt;&gt;"f"),EB39*2.4/$H39,EB39),IF($F39&lt;OFFSET($BN$9,$DT39+1,0,1,1),IF(AND($H39&gt;2.4,Z39&lt;&gt;"e",Z39&lt;&gt;"f"),EB39*2.4/$H39,EB39),IF($F39&lt;OFFSET($BN$9,$DT39+2,0,1,1),IF(AND($H39&gt;2.4,Z39&lt;&gt;"e",Z39&lt;&gt;"f"),EB39*2.4/$H39,EB39),IF($F39&lt;OFFSET($BN$9,$DT39+3,0,1,1),IF(AND($H39&gt;2.4,Z39&lt;&gt;"e",Z39&lt;&gt;"f"),EB39*2.4/$H39,EB39),0)))))*COS(RADIANS($G39)))</f>
        <v>0</v>
      </c>
      <c r="DY39" s="188"/>
      <c r="DZ39" s="188">
        <f ca="1">IF(DU39&gt;$CR39,$CR39,DU39)</f>
        <v>0</v>
      </c>
      <c r="EA39" s="188"/>
      <c r="EB39" s="188">
        <f ca="1">IF(DW39&gt;$CR39,$CR39,DW39)</f>
        <v>0</v>
      </c>
      <c r="EC39" s="435">
        <f ca="1">IF(DV39&gt;$CR39,$CR39,DV39)</f>
        <v>0</v>
      </c>
      <c r="ED39" s="435">
        <f ca="1">EC39*F39</f>
        <v>0</v>
      </c>
      <c r="EE39" s="436">
        <f ca="1">IF(DX39&gt;$CR39,$CR39,DX39)</f>
        <v>0</v>
      </c>
      <c r="EF39" s="437">
        <f ca="1">EE39*F39</f>
        <v>0</v>
      </c>
      <c r="EG39" s="613" t="str">
        <f>IF(D39=BG$12,BG$12,"")</f>
        <v/>
      </c>
      <c r="EH39" s="614" t="str">
        <f>IF(D39=BG$13,BG$13,"")</f>
        <v/>
      </c>
      <c r="EI39" s="611">
        <f>IF(EG39=BG$12,M39,0)</f>
        <v>0</v>
      </c>
      <c r="EJ39" s="451">
        <f>IF(EG39=BG$12,O39,0)</f>
        <v>0</v>
      </c>
      <c r="EK39" s="451">
        <f>IF(EH39=BG$13,M39,0)</f>
        <v>0</v>
      </c>
      <c r="EL39" s="612">
        <f>IF(EH39=BG$13,O39,0)</f>
        <v>0</v>
      </c>
      <c r="EM39" s="426" t="str">
        <f ca="1">IF(AND(Z39&lt;&gt;"t",Z39&lt;&gt;"f"),"",IF(AND(EN39=$BH$13,K39=$BH$12),"NotOpt",IF(K39&lt;&gt;EN39,"Error","")))</f>
        <v/>
      </c>
      <c r="EN39" s="490" t="str">
        <f>IF($BG$28=1,$BH$13,$BH$12)</f>
        <v>120 BU's</v>
      </c>
      <c r="EO39" s="426" t="str">
        <f>K39</f>
        <v xml:space="preserve"> </v>
      </c>
      <c r="ER39" s="439" t="str">
        <f ca="1">IF(H39=0," ",H39)</f>
        <v xml:space="preserve"> </v>
      </c>
      <c r="ES39" s="440" t="str">
        <f ca="1">IF(ER39&lt;&gt;" ",IF(ER39&lt;&gt;ER$7,"Changed",""),"")</f>
        <v/>
      </c>
      <c r="ET39" s="440">
        <f ca="1">IF(ER39&lt;&gt;" ",IF(ER39&lt;&gt;ER$7,1,0),0)</f>
        <v>0</v>
      </c>
      <c r="EU39" s="957" t="str">
        <f ca="1">IF(I39=" "," ",IF(F39&lt;OFFSET($BM$9,CL39-1,0,1,1),1,""))</f>
        <v xml:space="preserve"> </v>
      </c>
      <c r="EW39" s="427"/>
      <c r="EX39"/>
      <c r="EY39"/>
      <c r="EZ39"/>
      <c r="FA39"/>
      <c r="FB39"/>
      <c r="FC39"/>
      <c r="FD39"/>
      <c r="FE39"/>
      <c r="FF39"/>
      <c r="FG39"/>
      <c r="FH39"/>
      <c r="FI39"/>
      <c r="FJ39"/>
      <c r="FK39"/>
      <c r="FL39"/>
      <c r="FM39"/>
      <c r="FN39"/>
      <c r="FO39"/>
    </row>
    <row r="40" spans="1:171" ht="17.100000000000001" customHeight="1" thickBot="1">
      <c r="B40" s="689" t="s">
        <v>246</v>
      </c>
      <c r="C40" s="684" t="str">
        <f>IF(OR(F40=0,I40="",I40=" ")," ",$V40)</f>
        <v xml:space="preserve"> </v>
      </c>
      <c r="D40" s="1033"/>
      <c r="E40" s="1360" t="s">
        <v>8</v>
      </c>
      <c r="F40" s="202"/>
      <c r="G40" s="1416"/>
      <c r="H40" s="199" t="str">
        <f ca="1">IF(OR(F40=0,Z40="E",Z40="f")," ",'Project Demand'!E$45)</f>
        <v xml:space="preserve"> </v>
      </c>
      <c r="I40" s="631" t="str">
        <f>IF($I$6&lt;&gt;$BG$8," ",AB40)</f>
        <v xml:space="preserve"> </v>
      </c>
      <c r="J40" s="44" t="str">
        <f ca="1">IF(OR(I40=" ",I40="")," ",OFFSET($BO$9,CL40-1,0-4,1,1))</f>
        <v xml:space="preserve"> </v>
      </c>
      <c r="K40" s="55" t="str">
        <f>IF(OR(I40=" ",I40="")," ",IF(OR(Z40="e",Z40="h"),"SD",BG$24))</f>
        <v xml:space="preserve"> </v>
      </c>
      <c r="L40" s="49">
        <f ca="1">CW40</f>
        <v>0</v>
      </c>
      <c r="M40" s="49">
        <f ca="1">CY40</f>
        <v>0</v>
      </c>
      <c r="N40" s="50">
        <f t="shared" ca="1" si="25"/>
        <v>0</v>
      </c>
      <c r="O40" s="126">
        <f t="shared" ca="1" si="25"/>
        <v>0</v>
      </c>
      <c r="P40" s="140"/>
      <c r="Q40" s="752" t="str">
        <f ca="1">IF(AND(OR(Z40="t",Z40="f"),K40=$BH$11),"No Floor!  Change Floor Type",IF(OR(I40=" ",I40="")," ",IF(F40&lt;OFFSET($BM$9,CL40-1,0,1,1),"check L(m)",DE40&amp;IF(AND(DP40&gt;=CY40,DR40&gt;=DB40),IF(AND(ED40&gt;=DP40,EF40&gt;=DR40),CONCATENATE(DS40," will provide same result"),CONCATENATE(CO40," will provide same result")),IF((DP40&gt;=CY40),CONCATENATE(CO40," provides same result in WIND"),IF((DR40&gt;=DB40),CONCATENATE(CO40," provides same result in EQ"),""))))))&amp;IF(ISERROR(FIND("pile",I40,1)),"",IF(INT(F40)&lt;&gt;F40,"Pile!  Use Whole Numbers Only",""))</f>
        <v xml:space="preserve"> </v>
      </c>
      <c r="R40" s="52"/>
      <c r="S40" s="1372"/>
      <c r="T40" s="1372"/>
      <c r="U40" s="1377"/>
      <c r="V40" s="52" t="str">
        <f ca="1">IF(AND(B$5=$BF$9,OR(I40=BH$16,I40=BH$17))," ",IF(ISNUMBER(B$38),(CONCATENATE(B$38,".",W40)),(CONCATENATE(B$38,W40))))</f>
        <v>F0</v>
      </c>
      <c r="W40" s="9">
        <f ca="1">W39+X40</f>
        <v>0</v>
      </c>
      <c r="X40" s="9">
        <f>IF(AND(B$5=$BF$9,OR($I40=$BH$16,$I40=$BH$17,$I40=" ",$I40="",$F40=0)),0,IF(OR($I40=" ",$I40="",$F40=0),0,1))</f>
        <v>0</v>
      </c>
      <c r="Y40" s="896"/>
      <c r="Z40" s="52" t="str">
        <f ca="1">IF(I40=" "," ",OFFSET($BM$9,$CL40-1,8,1,1))</f>
        <v xml:space="preserve"> </v>
      </c>
      <c r="AA40" s="51" t="str">
        <f>IF(G40&gt;=45,"WA","")</f>
        <v/>
      </c>
      <c r="AB40" s="1364" t="str">
        <f>IF(F40&lt;&gt;"",IF(OR(D40=$BG$12,D40=$BG$13),IF(E40&lt;&gt;$BG$17,$BF$12,$BF$13),IF(E40&lt;&gt;$BG$17,$BF$12,$BF$13))," ")</f>
        <v xml:space="preserve"> </v>
      </c>
      <c r="AC40" s="1"/>
      <c r="AJ40" s="2230"/>
      <c r="AK40" s="2797"/>
      <c r="AL40" s="2784"/>
      <c r="AM40" s="11">
        <f>'Regular and QuickBrace Systems'!F58</f>
        <v>0.8</v>
      </c>
      <c r="AN40" s="1336">
        <f>'Regular and QuickBrace Systems'!G58</f>
        <v>148</v>
      </c>
      <c r="AO40" s="26">
        <f>'Regular and QuickBrace Systems'!H58</f>
        <v>150</v>
      </c>
      <c r="AP40" s="1595"/>
      <c r="AQ40" s="2663"/>
      <c r="AR40" s="2664"/>
      <c r="AS40" s="2827"/>
      <c r="AT40" s="1340"/>
      <c r="AU40" s="2123"/>
      <c r="AW40" s="1569" t="str">
        <f>'Regular and QuickBrace Systems'!O58</f>
        <v>Yes</v>
      </c>
      <c r="AX40" s="442" t="str">
        <f>'Regular and QuickBrace Systems'!Q58</f>
        <v>Yes</v>
      </c>
      <c r="BD40" s="641"/>
      <c r="BF40" s="599" t="str">
        <f>'Custom Elements'!C24</f>
        <v>Custom16</v>
      </c>
      <c r="BG40" s="430" t="s">
        <v>933</v>
      </c>
      <c r="BI40" s="759"/>
      <c r="BJ40" s="897">
        <f t="shared" si="4"/>
        <v>32</v>
      </c>
      <c r="CJ40" s="759"/>
      <c r="CK40" s="188"/>
      <c r="CL40" s="979">
        <f>VLOOKUP(I40,Prodlink,2,0)</f>
        <v>0</v>
      </c>
      <c r="CN40" s="497">
        <f t="shared" ref="CN40:CN66" ca="1" si="26">VLOOKUP(CO40,Prodlink,2,0)</f>
        <v>0</v>
      </c>
      <c r="CO40" s="497">
        <f ca="1">OFFSET($CH$9,CL40-1,-15,1,1)</f>
        <v>0</v>
      </c>
      <c r="CQ40" s="51">
        <v>0</v>
      </c>
      <c r="CR40" s="51">
        <f>IF(K40=$BH$12,$BH$23,IF(K40=$BH$13,$BH$24,10000))</f>
        <v>10000</v>
      </c>
      <c r="CS40" s="51">
        <f ca="1">IF(F40&lt;OFFSET($BM$9,CL40-1,0,1,1),0,IF(F40&lt;OFFSET($BN$9,CL40-1,0,1,1),((F40-OFFSET($BM$9,CL40-1,0,1,1))*OFFSET($CH$9,CL40-1,0,1,1))+OFFSET($BO$9,CL40-1,CQ40,1,1),IF(F40&lt;OFFSET($BN$9,CL40+0,0,1,1),((F40-OFFSET($BM$9,CL40+0,0,1,1))*OFFSET($CH$9,CL40+0,0,1,1))+OFFSET($BO$9,CL40+0,CQ40,1,1),IF(F40&lt;OFFSET($BN$9,CL40+1,0,1,1),((F40-OFFSET($BM$9,CL40+1,0,1,1))*OFFSET($CH$9,CL40+1,0,1,1))+OFFSET($BO$9,CL40+1,CQ40,1,1),IF(F40&lt;OFFSET($BN$9,CL40+2,0,1,1),((F40-OFFSET($BM$9,CL40+2,0,1,1))*OFFSET($CH$9,CL40+2,0,1,1))+OFFSET($BO$9,CL40+2,CQ40,1,1),IF(F40&lt;OFFSET($BN$9,CL40+3,0,1,1),((F40-OFFSET($BM$9,CL40+3,0,1,1))*OFFSET($CH$9,CL40+3,0,1,1))+OFFSET($BO$9,CL40+3,CQ40,1,1),0))))))</f>
        <v>0</v>
      </c>
      <c r="CT40" s="51">
        <f ca="1">IF($F40&lt;OFFSET($BM$9,$CL40-1,0,1,1),0,IF($F40&lt;OFFSET($BN$9,$CL40-1,0,1,1),IF(AND($H40&gt;2.4,Z40&lt;&gt;"e",Z40&lt;&gt;"f"),CX40*2.4/$H40,CX40),IF($F40&lt;OFFSET($BN$9,$CL40+0,0,1,1),IF(AND($H40&gt;2.4,Z40&lt;&gt;"e",Z40&lt;&gt;"f"),CX40*2.4/$H40,CX40),IF($F40&lt;OFFSET($BN$9,$CL40+1,0,1,1),IF(AND($H40&gt;2.4,Z40&lt;&gt;"e",Z40&lt;&gt;"f"),CX40*2.4/$H40,CX40),IF($F40&lt;OFFSET($BN$9,CL40+2,0,1,1),IF(AND($H40&gt;2.4,Z40&lt;&gt;"e",Z40&lt;&gt;"f"),CX40*2.4/$H40,CX40),IF($F40&lt;OFFSET($BN$9,CL40+3,0,1,1),IF(AND($H40&gt;2.4,Z40&lt;&gt;"e",Z40&lt;&gt;"f"),CX40*2.4/$H40,CX40),0)))))*COS(RADIANS($G40)))</f>
        <v>0</v>
      </c>
      <c r="CU40" s="51">
        <f ca="1">IF(F40&lt;OFFSET($BM$9,CL40-1,0,1,1),0,IF(F40&lt;OFFSET($BN$9,CL40-1,0,1,1),((F40-OFFSET($BM$9,CL40-1,0,1,1))*OFFSET($CI$9,CL40-1,0,1,1))+OFFSET($BP$9,CL40-1,CQ40,1,1),IF(F40&lt;OFFSET($BN$9,CL40+0,0,1,1),((F40-OFFSET($BM$9,CL40+0,0,1,1))*OFFSET($CI$9,CL40+0,0,1,1))+OFFSET($BP$9,CL40+0,CQ40,1,1),IF(F40&lt;OFFSET($BN$9,CL40+1,0,1,1),((F40-OFFSET($BM$9,CL40+1,0,1,1))*OFFSET($CI$9,CL40+1,0,1,1))+OFFSET($BP$9,CL40+1,CQ40,1,1),IF(F40&lt;OFFSET($BN$9,CL40+2,0,1,1),((F40-OFFSET($BM$9,CL40+2,0,1,1))*OFFSET($CI$9,CL40+2,0,1,1))+OFFSET($BP$9,CL40+2,CQ40,1,1),IF(F40&lt;OFFSET($BN$9,CL40+3,0,1,1),((F40-OFFSET($BM$9,CL40+3,0,1,1))*OFFSET($CI$9,CL40+3,0,1,1))+OFFSET($BP$9,CL40+3,CQ40,1,1),0))))))</f>
        <v>0</v>
      </c>
      <c r="CV40" s="51">
        <f ca="1">IF($F40&lt;OFFSET($BM$9,$CL40-1,0,1,1),0,IF($F40&lt;OFFSET($BN$9,$CL40-1,0,1,1),IF(AND($H40&gt;2.4,Z40&lt;&gt;"e",Z40&lt;&gt;"f"),CZ40*2.4/$H40,CZ40),IF($F40&lt;OFFSET($BN$9,$CL40+0,0,1,1),IF(AND($H40&gt;2.4,Z40&lt;&gt;"e",Z40&lt;&gt;"f"),CZ40*2.4/$H40,CZ40),IF($F40&lt;OFFSET($BN$9,$CL40+1,0,1,1),IF(AND($H40&gt;2.4,Z40&lt;&gt;"e",Z40&lt;&gt;"f"),CZ40*2.4/$H40,CZ40),IF($F40&lt;OFFSET($BN$9,$CL40+2,0,1,1),IF(AND($H40&gt;2.4,Z40&lt;&gt;"e",Z40&lt;&gt;"f"),CZ40*2.4/$H40,CZ40),IF($F40&lt;OFFSET($BN$9,$CL40+3,0,1,1),IF(AND($H40&gt;2.4,Z40&lt;&gt;"e",Z40&lt;&gt;"f"),CZ40*2.4/$H40,CZ40),0)))))*COS(RADIANS($G40)))</f>
        <v>0</v>
      </c>
      <c r="CW40" s="51">
        <f ca="1">IF(CT40&gt;CR40,CR40,CT40)</f>
        <v>0</v>
      </c>
      <c r="CX40" s="51">
        <f ca="1">IF(CS40&gt;$CR40,$CR40,CS40)</f>
        <v>0</v>
      </c>
      <c r="CY40" s="51">
        <f ca="1">CW40*F40</f>
        <v>0</v>
      </c>
      <c r="CZ40" s="51">
        <f ca="1">IF($CU40&gt;$CR40,$CR40,$CU40)</f>
        <v>0</v>
      </c>
      <c r="DA40" s="51">
        <f ca="1">IF(CV40&gt;CR40,CR40,CV40)</f>
        <v>0</v>
      </c>
      <c r="DB40" s="51">
        <f ca="1">DA40*F40</f>
        <v>0</v>
      </c>
      <c r="DC40" s="993">
        <v>1</v>
      </c>
      <c r="DD40" s="758" t="str">
        <f>IF(OR(D40=BG$12,D40=BG$13),"External",IF(D40=BG$14,"Internal"," "))</f>
        <v xml:space="preserve"> </v>
      </c>
      <c r="DE40" s="51" t="str">
        <f t="shared" ca="1" si="2"/>
        <v/>
      </c>
      <c r="DF40" s="52" t="str">
        <f t="shared" ca="1" si="3"/>
        <v xml:space="preserve"> </v>
      </c>
      <c r="DG40" s="51">
        <f ca="1">IF(F40&lt;OFFSET($BM$9,CN40-1,0,1,1),0,IF(F40&lt;OFFSET($BN$9,CN40-1,0,1,1),((F40-OFFSET($BM$9,CN40-1,0,1,1))*OFFSET($CH$9,CN40-1,0,1,1))+OFFSET($BO$9,CN40-1,CQ40,1,1),IF(F40&lt;OFFSET($BN$9,CN40+0,0,1,1),((F40-OFFSET($BM$9,CN40+0,0,1,1))*OFFSET($CH$9,CN40+0,0,1,1))+OFFSET($BO$9,CN40+0,CQ40,1,1),IF(F40&lt;OFFSET($BN$9,CN40+1,0,1,1),((F40-OFFSET($BM$9,CN40+1,0,1,1))*OFFSET($CH$9,CN40+1,0,1,1))+OFFSET($BO$9,CN40+1,CQ40,1,1),IF(F40&lt;OFFSET($BN$9,CN40+2,0,1,1),((F40-OFFSET($BM$9,CN40+2,0,1,1))*OFFSET($CH$9,CN40+2,0,1,1))+OFFSET($BO$9,CN40+2,CQ40,1,1),IF(F40&lt;OFFSET($BN$9,CN40+3,0,1,1),((F40-OFFSET($BM$9,CN40+3,0,1,1))*OFFSET($CH$9,CN40+3,0,1,1))+OFFSET($BO$9,CN40+3,CQ40,1,1),0))))))</f>
        <v>0</v>
      </c>
      <c r="DH40" s="51">
        <f ca="1">IF($F40&lt;OFFSET($BM$9,$CN40-1,0,1,1),0,IF($F40&lt;OFFSET($BN$9,$CN40-1,0,1,1),IF(AND($H40&gt;2.4,Z40&lt;&gt;"e",Z40&lt;&gt;"f"),DL40*2.4/$H40,DL40),IF($F40&lt;OFFSET($BN$9,$CN40+0,0,1,1),IF(AND($H40&gt;2.4,Z40&lt;&gt;"e",Z40&lt;&gt;"f"),DL40*2.4/$H40,DL40),IF($F40&lt;OFFSET($BN$9,$CN40+1,0,1,1),IF(AND($H40&gt;2.4,Z40&lt;&gt;"e",Z40&lt;&gt;"f"),DL40*2.4/$H40,DL40),IF($F40&lt;OFFSET($BN$9,$CN40+2,0,1,1),IF(AND($H40&gt;2.4,Z40&lt;&gt;"e",Z40&lt;&gt;"f"),DL40*2.4/$H40,DL40),IF($F40&lt;OFFSET($BN$9,$CN40+3,0,1,1),IF(AND($H40&gt;2.4,Z40&lt;&gt;"e",Z40&lt;&gt;"f"),DL40*2.4/$H40,DL40),0)))))*COS(RADIANS($G40)))</f>
        <v>0</v>
      </c>
      <c r="DI40" s="51">
        <f ca="1">IF(F40&lt;OFFSET($BM$9,CN40-1,0,1,1),0,IF(F40&lt;OFFSET($BN$9,CN40-1,0,1,1),((F40-OFFSET($BM$9,CN40-1,0,1,1))*OFFSET($CI$9,CN40-1,0,1,1))+OFFSET($BP$9,CN40-1,CQ40,1,1),IF(F40&lt;OFFSET($BN$9,CN40+0,0,1,1),((F40-OFFSET($BM$9,CN40+0,0,1,1))*OFFSET($CI$9,CN40+0,0,1,1))+OFFSET($BP$9,CN40+0,CQ40,1,1),IF(F40&lt;OFFSET($BN$9,CN40+1,0,1,1),((F40-OFFSET($BM$9,CN40+1,0,1,1))*OFFSET($CI$9,CN40+1,0,1,1))+OFFSET($BP$9,CN40+1,CQ40,1,1),IF(F40&lt;OFFSET($BN$9,CN40+2,0,1,1),((F40-OFFSET($BM$9,CN40+2,0,1,1))*OFFSET($CI$9,CN40+2,0,1,1))+OFFSET($BP$9,CN40+2,CQ40,1,1),IF(F40&lt;OFFSET($BN$9,CN40+3,0,1,1),((F40-OFFSET($BM$9,CN40+3,0,1,1))*OFFSET($CI$9,CN40+3,0,1,1))+OFFSET($BP$9,CN40+3,CQ40,1,1),0))))))</f>
        <v>0</v>
      </c>
      <c r="DJ40" s="51">
        <f ca="1">IF($F40&lt;OFFSET($BM$9,$CN40-1,0,1,1),0,IF($F40&lt;OFFSET($BN$9,$CN40-1,0,1,1),IF(AND($H40&gt;2.4,Z40&lt;&gt;"e",Z40&lt;&gt;"f"),DN40*2.4/$H40,DN40),IF($F40&lt;OFFSET($BN$9,$CN40+0,0,1,1),IF(AND($H40&gt;2.4,Z40&lt;&gt;"e",Z40&lt;&gt;"f"),DN40*2.4/$H40,DN40),IF($F40&lt;OFFSET($BN$9,$CN40+1,0,1,1),IF(AND($H40&gt;2.4,Z40&lt;&gt;"e",Z40&lt;&gt;"f"),DN40*2.4/$H40,DN40),IF($F40&lt;OFFSET($BN$9,$CN40+2,0,1,1),IF(AND($H40&gt;2.4,Z40&lt;&gt;"e",Z40&lt;&gt;"f"),DN40*2.4/$H40,DN40),IF($F40&lt;OFFSET($BN$9,$CN40+3,0,1,1),IF(AND($H40&gt;2.4,Z40&lt;&gt;"e",Z40&lt;&gt;"f"),DN40*2.4/$H40,DN40),0)))))*COS(RADIANS($G40)))</f>
        <v>0</v>
      </c>
      <c r="DK40" s="51"/>
      <c r="DL40" s="51">
        <f ca="1">IF(DG40&gt;$CR40,$CR40,DG40)</f>
        <v>0</v>
      </c>
      <c r="DM40" s="51"/>
      <c r="DN40" s="51">
        <f ca="1">IF(DI40&gt;$CR40,$CR40,DI40)</f>
        <v>0</v>
      </c>
      <c r="DO40" s="435">
        <f ca="1">IF(DH40&gt;$CR40,$CR40,DH40)</f>
        <v>0</v>
      </c>
      <c r="DP40" s="435">
        <f ca="1">DO40*F40</f>
        <v>0</v>
      </c>
      <c r="DQ40" s="436">
        <f ca="1">IF(DJ40&gt;$CR40,$CR40,DJ40)</f>
        <v>0</v>
      </c>
      <c r="DR40" s="437">
        <f ca="1">DQ40*F40</f>
        <v>0</v>
      </c>
      <c r="DS40" s="426">
        <f ca="1">OFFSET($CH$9,CL40-1,-15,1,1)</f>
        <v>0</v>
      </c>
      <c r="DT40" s="426">
        <f ca="1">VLOOKUP(DS40,Prodlink,2,0)</f>
        <v>0</v>
      </c>
      <c r="DU40" s="188">
        <f ca="1">IF(F40&lt;OFFSET($BM$9,DT40-1,0,1,1),0,IF(F40&lt;OFFSET($BN$9,DT40-1,0,1,1),((F40-OFFSET($BM$9,DT40-1,0,1,1))*OFFSET($CH$9,DT40-1,0,1,1))+OFFSET($BO$9,DT40-1,CQ40,1,1),IF(F40&lt;OFFSET($BN$9,DT40+0,0,1,1),((F40-OFFSET($BM$9,DT40+0,0,1,1))*OFFSET($CH$9,DT40+0,0,1,1))+OFFSET($BO$9,DT40+0,CQ40,1,1),IF(F40&lt;OFFSET($BN$9,DT40+1,0,1,1),((F40-OFFSET($BM$9,DT40+1,0,1,1))*OFFSET($CH$9,DT40+1,0,1,1))+OFFSET($BO$9,DT40+1,CQ40,1,1),IF(F40&lt;OFFSET($BN$9,DT40+2,0,1,1),((F40-OFFSET($BM$9,DT40+2,0,1,1))*OFFSET($CH$9,DT40+2,0,1,1))+OFFSET($BO$9,DT40+2,CQ40,1,1),IF(F40&lt;OFFSET($BN$9,DT40+3,0,1,1),((F40-OFFSET($BM$9,DT40+3,0,1,1))*OFFSET($CH$9,DT40+3,0,1,1))+OFFSET($BO$9,DT40+3,CQ40,1,1),0))))))</f>
        <v>0</v>
      </c>
      <c r="DV40" s="51">
        <f ca="1">IF($F40&lt;OFFSET($BM$9,$DT40-1,0,1,1),0,IF($F40&lt;OFFSET($BN$9,$DT40-1,0,1,1),IF(AND($H40&gt;2.4,Z40&lt;&gt;"e",Z40&lt;&gt;"f"),DZ40*2.4/$H40,DZ40),IF($F40&lt;OFFSET($BN$9,$DT40+0,0,1,1),IF(AND($H40&gt;2.4,Z40&lt;&gt;"e",Z40&lt;&gt;"f"),DZ40*2.4/$H40,DZ40),IF($F40&lt;OFFSET($BN$9,$DT40+1,0,1,1),IF(AND($H40&gt;2.4,Z40&lt;&gt;"e",Z40&lt;&gt;"f"),DZ40*2.4/$H40,DZ40),IF($F40&lt;OFFSET($BN$9,$DT40+2,0,1,1),IF(AND($H40&gt;2.4,Z40&lt;&gt;"e",Z40&lt;&gt;"f"),DZ40*2.4/$H40,DZ40),IF($F40&lt;OFFSET($BN$9,$DT40+3,0,1,1),IF(AND($H40&gt;2.4,Z40&lt;&gt;"e",Z40&lt;&gt;"f"),DZ40*2.4/$H40,DZ40),0)))))*COS(RADIANS($G40)))</f>
        <v>0</v>
      </c>
      <c r="DW40" s="188">
        <f ca="1">IF(F40&lt;OFFSET($BM$9,DT40-1,0,1,1),0,IF(F40&lt;OFFSET($BN$9,DT40-1,0,1,1),((F40-OFFSET($BM$9,DT40-1,0,1,1))*OFFSET($CI$9,DT40-1,0,1,1))+OFFSET($BP$9,DT40-1,CQ40,1,1),IF(F40&lt;OFFSET($BN$9,DT40+0,0,1,1),((F40-OFFSET($BM$9,DT40+0,0,1,1))*OFFSET($CI$9,DT40+0,0,1,1))+OFFSET($BP$9,DT40+0,CQ40,1,1),IF(F40&lt;OFFSET($BN$9,DT40+1,0,1,1),((F40-OFFSET($BM$9,DT40+1,0,1,1))*OFFSET($CI$9,DT40+1,0,1,1))+OFFSET($BP$9,DT40+1,CQ40,1,1),IF(F40&lt;OFFSET($BN$9,DT40+2,0,1,1),((F40-OFFSET($BM$9,DT40+2,0,1,1))*OFFSET($CI$9,DT40+2,0,1,1))+OFFSET($BP$9,DT40+2,CQ40,1,1),IF(F40&lt;OFFSET($BN$9,DT40+3,0,1,1),((F40-OFFSET($BM$9,DT40+3,0,1,1))*OFFSET($CI$9,DT40+3,0,1,1))+OFFSET($BP$9,DT40+3,CQ40,1,1),0))))))</f>
        <v>0</v>
      </c>
      <c r="DX40" s="51">
        <f ca="1">IF($F40&lt;OFFSET($BM$9,$DT40-1,0,1,1),0,IF($F40&lt;OFFSET($BN$9,$DT40-1,0,1,1),IF(AND($H40&gt;2.4,Z40&lt;&gt;"e",Z40&lt;&gt;"f"),EB40*2.4/$H40,EB40),IF($F40&lt;OFFSET($BN$9,$DT40+0,0,1,1),IF(AND($H40&gt;2.4,Z40&lt;&gt;"e",Z40&lt;&gt;"f"),EB40*2.4/$H40,EB40),IF($F40&lt;OFFSET($BN$9,$DT40+1,0,1,1),IF(AND($H40&gt;2.4,Z40&lt;&gt;"e",Z40&lt;&gt;"f"),EB40*2.4/$H40,EB40),IF($F40&lt;OFFSET($BN$9,$DT40+2,0,1,1),IF(AND($H40&gt;2.4,Z40&lt;&gt;"e",Z40&lt;&gt;"f"),EB40*2.4/$H40,EB40),IF($F40&lt;OFFSET($BN$9,$DT40+3,0,1,1),IF(AND($H40&gt;2.4,Z40&lt;&gt;"e",Z40&lt;&gt;"f"),EB40*2.4/$H40,EB40),0)))))*COS(RADIANS($G40)))</f>
        <v>0</v>
      </c>
      <c r="DY40" s="188"/>
      <c r="DZ40" s="188">
        <f ca="1">IF(DU40&gt;$CR40,$CR40,DU40)</f>
        <v>0</v>
      </c>
      <c r="EA40" s="188"/>
      <c r="EB40" s="188">
        <f ca="1">IF(DW40&gt;$CR40,$CR40,DW40)</f>
        <v>0</v>
      </c>
      <c r="EC40" s="435">
        <f ca="1">IF(DV40&gt;$CR40,$CR40,DV40)</f>
        <v>0</v>
      </c>
      <c r="ED40" s="435">
        <f ca="1">EC40*F40</f>
        <v>0</v>
      </c>
      <c r="EE40" s="436">
        <f ca="1">IF(DX40&gt;$CR40,$CR40,DX40)</f>
        <v>0</v>
      </c>
      <c r="EF40" s="437">
        <f ca="1">EE40*F40</f>
        <v>0</v>
      </c>
      <c r="EG40" s="613" t="str">
        <f>IF(D40=BG$12,BG$12,"")</f>
        <v/>
      </c>
      <c r="EH40" s="614" t="str">
        <f>IF(D40=BG$13,BG$13,"")</f>
        <v/>
      </c>
      <c r="EI40" s="611">
        <f>IF(EG40=BG$12,M40,0)</f>
        <v>0</v>
      </c>
      <c r="EJ40" s="451">
        <f>IF(EG40=BG$12,O40,0)</f>
        <v>0</v>
      </c>
      <c r="EK40" s="451">
        <f>IF(EH40=BG$13,M40,0)</f>
        <v>0</v>
      </c>
      <c r="EL40" s="612">
        <f>IF(EH40=BG$13,O40,0)</f>
        <v>0</v>
      </c>
      <c r="EM40" s="426" t="str">
        <f ca="1">IF(AND(Z40&lt;&gt;"t",Z40&lt;&gt;"f"),"",IF(AND(EN40=$BH$13,K40=$BH$12),"NotOpt",IF(K40&lt;&gt;EN40,"Error","")))</f>
        <v/>
      </c>
      <c r="EN40" s="490" t="str">
        <f>IF($BG$28=1,$BH$13,$BH$12)</f>
        <v>120 BU's</v>
      </c>
      <c r="EO40" s="426" t="str">
        <f>K40</f>
        <v xml:space="preserve"> </v>
      </c>
      <c r="ER40" s="439" t="str">
        <f ca="1">IF(H40=0," ",H40)</f>
        <v xml:space="preserve"> </v>
      </c>
      <c r="ES40" s="440" t="str">
        <f ca="1">IF(ER40&lt;&gt;" ",IF(ER40&lt;&gt;ER$7,"Changed",""),"")</f>
        <v/>
      </c>
      <c r="ET40" s="440">
        <f ca="1">IF(ER40&lt;&gt;" ",IF(ER40&lt;&gt;ER$7,1,0),0)</f>
        <v>0</v>
      </c>
      <c r="EU40" s="957" t="str">
        <f ca="1">IF(I40=" "," ",IF(F40&lt;OFFSET($BM$9,CL40-1,0,1,1),1,""))</f>
        <v xml:space="preserve"> </v>
      </c>
      <c r="EW40" s="427"/>
      <c r="EX40"/>
      <c r="EY40"/>
      <c r="EZ40"/>
      <c r="FA40"/>
      <c r="FB40"/>
      <c r="FC40"/>
      <c r="FD40"/>
      <c r="FE40"/>
      <c r="FF40"/>
      <c r="FG40"/>
      <c r="FH40"/>
      <c r="FI40"/>
      <c r="FJ40"/>
      <c r="FK40"/>
      <c r="FL40"/>
      <c r="FM40"/>
      <c r="FN40"/>
      <c r="FO40"/>
    </row>
    <row r="41" spans="1:171" ht="17.100000000000001" customHeight="1" thickBot="1">
      <c r="B41" s="689" t="s">
        <v>246</v>
      </c>
      <c r="C41" s="684" t="str">
        <f>IF(OR(F41=0,I41="",I41=" ")," ",$V41)</f>
        <v xml:space="preserve"> </v>
      </c>
      <c r="D41" s="1033"/>
      <c r="E41" s="1360" t="s">
        <v>8</v>
      </c>
      <c r="F41" s="202"/>
      <c r="G41" s="1416"/>
      <c r="H41" s="199" t="str">
        <f ca="1">IF(OR(F41=0,Z41="E",Z41="f")," ",'Project Demand'!E$45)</f>
        <v xml:space="preserve"> </v>
      </c>
      <c r="I41" s="631" t="str">
        <f>IF($I$6&lt;&gt;$BG$8," ",AB41)</f>
        <v xml:space="preserve"> </v>
      </c>
      <c r="J41" s="44" t="str">
        <f ca="1">IF(OR(I41=" ",I41="")," ",OFFSET($BO$9,CL41-1,0-4,1,1))</f>
        <v xml:space="preserve"> </v>
      </c>
      <c r="K41" s="55" t="str">
        <f>IF(OR(I41=" ",I41="")," ",IF(OR(Z41="e",Z41="h"),"SD",BG$24))</f>
        <v xml:space="preserve"> </v>
      </c>
      <c r="L41" s="49">
        <f ca="1">CW41</f>
        <v>0</v>
      </c>
      <c r="M41" s="49">
        <f ca="1">CY41</f>
        <v>0</v>
      </c>
      <c r="N41" s="50">
        <f t="shared" ca="1" si="25"/>
        <v>0</v>
      </c>
      <c r="O41" s="126">
        <f t="shared" ca="1" si="25"/>
        <v>0</v>
      </c>
      <c r="P41" s="140"/>
      <c r="Q41" s="752" t="str">
        <f ca="1">IF(AND(OR(Z41="t",Z41="f"),K41=$BH$11),"No Floor!  Change Floor Type",IF(OR(I41=" ",I41="")," ",IF(F41&lt;OFFSET($BM$9,CL41-1,0,1,1),"check L(m)",DE41&amp;IF(AND(DP41&gt;=CY41,DR41&gt;=DB41),IF(AND(ED41&gt;=DP41,EF41&gt;=DR41),CONCATENATE(DS41," will provide same result"),CONCATENATE(CO41," will provide same result")),IF((DP41&gt;=CY41),CONCATENATE(CO41," provides same result in WIND"),IF((DR41&gt;=DB41),CONCATENATE(CO41," provides same result in EQ"),""))))))&amp;IF(ISERROR(FIND("pile",I41,1)),"",IF(INT(F41)&lt;&gt;F41,"Pile!  Use Whole Numbers Only",""))</f>
        <v xml:space="preserve"> </v>
      </c>
      <c r="R41" s="52"/>
      <c r="S41" s="1372"/>
      <c r="T41" s="1372"/>
      <c r="U41" s="1377"/>
      <c r="V41" s="52" t="str">
        <f ca="1">IF(AND(B$5=$BF$9,OR(I41=BH$16,I41=BH$17))," ",IF(ISNUMBER(B$38),(CONCATENATE(B$38,".",W41)),(CONCATENATE(B$38,W41))))</f>
        <v>F0</v>
      </c>
      <c r="W41" s="9">
        <f ca="1">W40+X41</f>
        <v>0</v>
      </c>
      <c r="X41" s="9">
        <f>IF(AND(B$5=$BF$9,OR($I41=$BH$16,$I41=$BH$17,$I41=" ",$I41="",$F41=0)),0,IF(OR($I41=" ",$I41="",$F41=0),0,1))</f>
        <v>0</v>
      </c>
      <c r="Y41" s="896"/>
      <c r="Z41" s="52" t="str">
        <f ca="1">IF(I41=" "," ",OFFSET($BM$9,$CL41-1,8,1,1))</f>
        <v xml:space="preserve"> </v>
      </c>
      <c r="AA41" s="51" t="str">
        <f>IF(G41&gt;=45,"WA","")</f>
        <v/>
      </c>
      <c r="AB41" s="1364" t="str">
        <f>IF(F41&lt;&gt;"",IF(OR(D41=$BG$12,D41=$BG$13),IF(E41&lt;&gt;$BG$17,$BF$12,$BF$13),IF(E41&lt;&gt;$BG$17,$BF$12,$BF$13))," ")</f>
        <v xml:space="preserve"> </v>
      </c>
      <c r="AC41" s="1"/>
      <c r="AJ41" s="2231"/>
      <c r="AK41" s="2798"/>
      <c r="AL41" s="2829"/>
      <c r="AM41" s="117">
        <f>'Regular and QuickBrace Systems'!F59</f>
        <v>1.2</v>
      </c>
      <c r="AN41" s="1280">
        <f>'Regular and QuickBrace Systems'!G59</f>
        <v>150</v>
      </c>
      <c r="AO41" s="61">
        <f>'Regular and QuickBrace Systems'!H59</f>
        <v>150</v>
      </c>
      <c r="AP41" s="1596"/>
      <c r="AQ41" s="2801"/>
      <c r="AR41" s="2802"/>
      <c r="AS41" s="2830"/>
      <c r="AT41" s="1341"/>
      <c r="AU41" s="2204"/>
      <c r="AW41" s="1590" t="str">
        <f>'Regular and QuickBrace Systems'!O59</f>
        <v>Yes</v>
      </c>
      <c r="AX41" s="443" t="str">
        <f>'Regular and QuickBrace Systems'!Q59</f>
        <v>Yes</v>
      </c>
      <c r="BD41" s="641"/>
      <c r="BF41" s="599" t="str">
        <f>'Custom Elements'!C25</f>
        <v>Custom17</v>
      </c>
      <c r="BI41" s="759"/>
      <c r="BJ41" s="897">
        <f t="shared" ref="BJ41:BJ81" si="27">BJ40+1</f>
        <v>33</v>
      </c>
      <c r="BK41" s="1222" t="str">
        <f>BK50</f>
        <v xml:space="preserve">EPB </v>
      </c>
      <c r="BL41" s="1181" t="str">
        <f>Table!I4</f>
        <v>ER1</v>
      </c>
      <c r="BM41" s="454">
        <f>Table!J4</f>
        <v>0.4</v>
      </c>
      <c r="BN41" s="454">
        <f>BM42</f>
        <v>1</v>
      </c>
      <c r="BO41" s="454">
        <f>Table!K4</f>
        <v>40</v>
      </c>
      <c r="BP41" s="924">
        <f>Table!L4</f>
        <v>30</v>
      </c>
      <c r="BQ41" s="920"/>
      <c r="BR41" s="768" t="str">
        <f>Table!M4</f>
        <v xml:space="preserve"> </v>
      </c>
      <c r="BS41" s="454" t="str">
        <f>Table!M5</f>
        <v xml:space="preserve"> </v>
      </c>
      <c r="BT41" s="454" t="str">
        <f>Table!N4</f>
        <v>B</v>
      </c>
      <c r="BU41" s="924" t="s">
        <v>242</v>
      </c>
      <c r="BV41" s="1230" t="str">
        <f>Table!AI72</f>
        <v>ER1</v>
      </c>
      <c r="BW41" s="1229">
        <f>BJ41</f>
        <v>33</v>
      </c>
      <c r="BX41" s="924" t="str">
        <f>Table!N5</f>
        <v>Single</v>
      </c>
      <c r="CH41" s="768">
        <f>IF(BN41=999,0,(BO42-BO41)/(BN41-BM41))</f>
        <v>0</v>
      </c>
      <c r="CI41" s="924">
        <f>IF(BN41=999,0,(BP42-BP41)/(BN41-BM41))</f>
        <v>0</v>
      </c>
      <c r="CJ41" s="759"/>
      <c r="CK41" s="188"/>
      <c r="CL41" s="979">
        <f>VLOOKUP(I41,Prodlink,2,0)</f>
        <v>0</v>
      </c>
      <c r="CN41" s="497">
        <f t="shared" ca="1" si="26"/>
        <v>0</v>
      </c>
      <c r="CO41" s="497">
        <f ca="1">OFFSET($CH$9,CL41-1,-15,1,1)</f>
        <v>0</v>
      </c>
      <c r="CQ41" s="51">
        <v>0</v>
      </c>
      <c r="CR41" s="51">
        <f>IF(K41=$BH$12,$BH$23,IF(K41=$BH$13,$BH$24,10000))</f>
        <v>10000</v>
      </c>
      <c r="CS41" s="51">
        <f ca="1">IF(F41&lt;OFFSET($BM$9,CL41-1,0,1,1),0,IF(F41&lt;OFFSET($BN$9,CL41-1,0,1,1),((F41-OFFSET($BM$9,CL41-1,0,1,1))*OFFSET($CH$9,CL41-1,0,1,1))+OFFSET($BO$9,CL41-1,CQ41,1,1),IF(F41&lt;OFFSET($BN$9,CL41+0,0,1,1),((F41-OFFSET($BM$9,CL41+0,0,1,1))*OFFSET($CH$9,CL41+0,0,1,1))+OFFSET($BO$9,CL41+0,CQ41,1,1),IF(F41&lt;OFFSET($BN$9,CL41+1,0,1,1),((F41-OFFSET($BM$9,CL41+1,0,1,1))*OFFSET($CH$9,CL41+1,0,1,1))+OFFSET($BO$9,CL41+1,CQ41,1,1),IF(F41&lt;OFFSET($BN$9,CL41+2,0,1,1),((F41-OFFSET($BM$9,CL41+2,0,1,1))*OFFSET($CH$9,CL41+2,0,1,1))+OFFSET($BO$9,CL41+2,CQ41,1,1),IF(F41&lt;OFFSET($BN$9,CL41+3,0,1,1),((F41-OFFSET($BM$9,CL41+3,0,1,1))*OFFSET($CH$9,CL41+3,0,1,1))+OFFSET($BO$9,CL41+3,CQ41,1,1),0))))))</f>
        <v>0</v>
      </c>
      <c r="CT41" s="51">
        <f ca="1">IF($F41&lt;OFFSET($BM$9,$CL41-1,0,1,1),0,IF($F41&lt;OFFSET($BN$9,$CL41-1,0,1,1),IF(AND($H41&gt;2.4,Z41&lt;&gt;"e",Z41&lt;&gt;"f"),CX41*2.4/$H41,CX41),IF($F41&lt;OFFSET($BN$9,$CL41+0,0,1,1),IF(AND($H41&gt;2.4,Z41&lt;&gt;"e",Z41&lt;&gt;"f"),CX41*2.4/$H41,CX41),IF($F41&lt;OFFSET($BN$9,$CL41+1,0,1,1),IF(AND($H41&gt;2.4,Z41&lt;&gt;"e",Z41&lt;&gt;"f"),CX41*2.4/$H41,CX41),IF($F41&lt;OFFSET($BN$9,CL41+2,0,1,1),IF(AND($H41&gt;2.4,Z41&lt;&gt;"e",Z41&lt;&gt;"f"),CX41*2.4/$H41,CX41),IF($F41&lt;OFFSET($BN$9,CL41+3,0,1,1),IF(AND($H41&gt;2.4,Z41&lt;&gt;"e",Z41&lt;&gt;"f"),CX41*2.4/$H41,CX41),0)))))*COS(RADIANS($G41)))</f>
        <v>0</v>
      </c>
      <c r="CU41" s="51">
        <f ca="1">IF(F41&lt;OFFSET($BM$9,CL41-1,0,1,1),0,IF(F41&lt;OFFSET($BN$9,CL41-1,0,1,1),((F41-OFFSET($BM$9,CL41-1,0,1,1))*OFFSET($CI$9,CL41-1,0,1,1))+OFFSET($BP$9,CL41-1,CQ41,1,1),IF(F41&lt;OFFSET($BN$9,CL41+0,0,1,1),((F41-OFFSET($BM$9,CL41+0,0,1,1))*OFFSET($CI$9,CL41+0,0,1,1))+OFFSET($BP$9,CL41+0,CQ41,1,1),IF(F41&lt;OFFSET($BN$9,CL41+1,0,1,1),((F41-OFFSET($BM$9,CL41+1,0,1,1))*OFFSET($CI$9,CL41+1,0,1,1))+OFFSET($BP$9,CL41+1,CQ41,1,1),IF(F41&lt;OFFSET($BN$9,CL41+2,0,1,1),((F41-OFFSET($BM$9,CL41+2,0,1,1))*OFFSET($CI$9,CL41+2,0,1,1))+OFFSET($BP$9,CL41+2,CQ41,1,1),IF(F41&lt;OFFSET($BN$9,CL41+3,0,1,1),((F41-OFFSET($BM$9,CL41+3,0,1,1))*OFFSET($CI$9,CL41+3,0,1,1))+OFFSET($BP$9,CL41+3,CQ41,1,1),0))))))</f>
        <v>0</v>
      </c>
      <c r="CV41" s="51">
        <f ca="1">IF($F41&lt;OFFSET($BM$9,$CL41-1,0,1,1),0,IF($F41&lt;OFFSET($BN$9,$CL41-1,0,1,1),IF(AND($H41&gt;2.4,Z41&lt;&gt;"e",Z41&lt;&gt;"f"),CZ41*2.4/$H41,CZ41),IF($F41&lt;OFFSET($BN$9,$CL41+0,0,1,1),IF(AND($H41&gt;2.4,Z41&lt;&gt;"e",Z41&lt;&gt;"f"),CZ41*2.4/$H41,CZ41),IF($F41&lt;OFFSET($BN$9,$CL41+1,0,1,1),IF(AND($H41&gt;2.4,Z41&lt;&gt;"e",Z41&lt;&gt;"f"),CZ41*2.4/$H41,CZ41),IF($F41&lt;OFFSET($BN$9,$CL41+2,0,1,1),IF(AND($H41&gt;2.4,Z41&lt;&gt;"e",Z41&lt;&gt;"f"),CZ41*2.4/$H41,CZ41),IF($F41&lt;OFFSET($BN$9,$CL41+3,0,1,1),IF(AND($H41&gt;2.4,Z41&lt;&gt;"e",Z41&lt;&gt;"f"),CZ41*2.4/$H41,CZ41),0)))))*COS(RADIANS($G41)))</f>
        <v>0</v>
      </c>
      <c r="CW41" s="51">
        <f ca="1">IF(CT41&gt;CR41,CR41,CT41)</f>
        <v>0</v>
      </c>
      <c r="CX41" s="51">
        <f ca="1">IF(CS41&gt;$CR41,$CR41,CS41)</f>
        <v>0</v>
      </c>
      <c r="CY41" s="51">
        <f ca="1">CW41*F41</f>
        <v>0</v>
      </c>
      <c r="CZ41" s="51">
        <f ca="1">IF($CU41&gt;$CR41,$CR41,$CU41)</f>
        <v>0</v>
      </c>
      <c r="DA41" s="51">
        <f ca="1">IF(CV41&gt;CR41,CR41,CV41)</f>
        <v>0</v>
      </c>
      <c r="DB41" s="51">
        <f ca="1">DA41*F41</f>
        <v>0</v>
      </c>
      <c r="DC41" s="993">
        <v>1</v>
      </c>
      <c r="DD41" s="758" t="str">
        <f>IF(OR(D41=BG$12,D41=BG$13),"External",IF(D41=BG$14,"Internal"," "))</f>
        <v xml:space="preserve"> </v>
      </c>
      <c r="DE41" s="51" t="str">
        <f t="shared" ca="1" si="2"/>
        <v/>
      </c>
      <c r="DF41" s="52" t="str">
        <f t="shared" ca="1" si="3"/>
        <v xml:space="preserve"> </v>
      </c>
      <c r="DG41" s="51">
        <f ca="1">IF(F41&lt;OFFSET($BM$9,CN41-1,0,1,1),0,IF(F41&lt;OFFSET($BN$9,CN41-1,0,1,1),((F41-OFFSET($BM$9,CN41-1,0,1,1))*OFFSET($CH$9,CN41-1,0,1,1))+OFFSET($BO$9,CN41-1,CQ41,1,1),IF(F41&lt;OFFSET($BN$9,CN41+0,0,1,1),((F41-OFFSET($BM$9,CN41+0,0,1,1))*OFFSET($CH$9,CN41+0,0,1,1))+OFFSET($BO$9,CN41+0,CQ41,1,1),IF(F41&lt;OFFSET($BN$9,CN41+1,0,1,1),((F41-OFFSET($BM$9,CN41+1,0,1,1))*OFFSET($CH$9,CN41+1,0,1,1))+OFFSET($BO$9,CN41+1,CQ41,1,1),IF(F41&lt;OFFSET($BN$9,CN41+2,0,1,1),((F41-OFFSET($BM$9,CN41+2,0,1,1))*OFFSET($CH$9,CN41+2,0,1,1))+OFFSET($BO$9,CN41+2,CQ41,1,1),IF(F41&lt;OFFSET($BN$9,CN41+3,0,1,1),((F41-OFFSET($BM$9,CN41+3,0,1,1))*OFFSET($CH$9,CN41+3,0,1,1))+OFFSET($BO$9,CN41+3,CQ41,1,1),0))))))</f>
        <v>0</v>
      </c>
      <c r="DH41" s="51">
        <f ca="1">IF($F41&lt;OFFSET($BM$9,$CN41-1,0,1,1),0,IF($F41&lt;OFFSET($BN$9,$CN41-1,0,1,1),IF(AND($H41&gt;2.4,Z41&lt;&gt;"e",Z41&lt;&gt;"f"),DL41*2.4/$H41,DL41),IF($F41&lt;OFFSET($BN$9,$CN41+0,0,1,1),IF(AND($H41&gt;2.4,Z41&lt;&gt;"e",Z41&lt;&gt;"f"),DL41*2.4/$H41,DL41),IF($F41&lt;OFFSET($BN$9,$CN41+1,0,1,1),IF(AND($H41&gt;2.4,Z41&lt;&gt;"e",Z41&lt;&gt;"f"),DL41*2.4/$H41,DL41),IF($F41&lt;OFFSET($BN$9,$CN41+2,0,1,1),IF(AND($H41&gt;2.4,Z41&lt;&gt;"e",Z41&lt;&gt;"f"),DL41*2.4/$H41,DL41),IF($F41&lt;OFFSET($BN$9,$CN41+3,0,1,1),IF(AND($H41&gt;2.4,Z41&lt;&gt;"e",Z41&lt;&gt;"f"),DL41*2.4/$H41,DL41),0)))))*COS(RADIANS($G41)))</f>
        <v>0</v>
      </c>
      <c r="DI41" s="51">
        <f ca="1">IF(F41&lt;OFFSET($BM$9,CN41-1,0,1,1),0,IF(F41&lt;OFFSET($BN$9,CN41-1,0,1,1),((F41-OFFSET($BM$9,CN41-1,0,1,1))*OFFSET($CI$9,CN41-1,0,1,1))+OFFSET($BP$9,CN41-1,CQ41,1,1),IF(F41&lt;OFFSET($BN$9,CN41+0,0,1,1),((F41-OFFSET($BM$9,CN41+0,0,1,1))*OFFSET($CI$9,CN41+0,0,1,1))+OFFSET($BP$9,CN41+0,CQ41,1,1),IF(F41&lt;OFFSET($BN$9,CN41+1,0,1,1),((F41-OFFSET($BM$9,CN41+1,0,1,1))*OFFSET($CI$9,CN41+1,0,1,1))+OFFSET($BP$9,CN41+1,CQ41,1,1),IF(F41&lt;OFFSET($BN$9,CN41+2,0,1,1),((F41-OFFSET($BM$9,CN41+2,0,1,1))*OFFSET($CI$9,CN41+2,0,1,1))+OFFSET($BP$9,CN41+2,CQ41,1,1),IF(F41&lt;OFFSET($BN$9,CN41+3,0,1,1),((F41-OFFSET($BM$9,CN41+3,0,1,1))*OFFSET($CI$9,CN41+3,0,1,1))+OFFSET($BP$9,CN41+3,CQ41,1,1),0))))))</f>
        <v>0</v>
      </c>
      <c r="DJ41" s="51">
        <f ca="1">IF($F41&lt;OFFSET($BM$9,$CN41-1,0,1,1),0,IF($F41&lt;OFFSET($BN$9,$CN41-1,0,1,1),IF(AND($H41&gt;2.4,Z41&lt;&gt;"e",Z41&lt;&gt;"f"),DN41*2.4/$H41,DN41),IF($F41&lt;OFFSET($BN$9,$CN41+0,0,1,1),IF(AND($H41&gt;2.4,Z41&lt;&gt;"e",Z41&lt;&gt;"f"),DN41*2.4/$H41,DN41),IF($F41&lt;OFFSET($BN$9,$CN41+1,0,1,1),IF(AND($H41&gt;2.4,Z41&lt;&gt;"e",Z41&lt;&gt;"f"),DN41*2.4/$H41,DN41),IF($F41&lt;OFFSET($BN$9,$CN41+2,0,1,1),IF(AND($H41&gt;2.4,Z41&lt;&gt;"e",Z41&lt;&gt;"f"),DN41*2.4/$H41,DN41),IF($F41&lt;OFFSET($BN$9,$CN41+3,0,1,1),IF(AND($H41&gt;2.4,Z41&lt;&gt;"e",Z41&lt;&gt;"f"),DN41*2.4/$H41,DN41),0)))))*COS(RADIANS($G41)))</f>
        <v>0</v>
      </c>
      <c r="DK41" s="51"/>
      <c r="DL41" s="51">
        <f ca="1">IF(DG41&gt;$CR41,$CR41,DG41)</f>
        <v>0</v>
      </c>
      <c r="DM41" s="51"/>
      <c r="DN41" s="51">
        <f ca="1">IF(DI41&gt;$CR41,$CR41,DI41)</f>
        <v>0</v>
      </c>
      <c r="DO41" s="435">
        <f ca="1">IF(DH41&gt;$CR41,$CR41,DH41)</f>
        <v>0</v>
      </c>
      <c r="DP41" s="435">
        <f ca="1">DO41*F41</f>
        <v>0</v>
      </c>
      <c r="DQ41" s="436">
        <f ca="1">IF(DJ41&gt;$CR41,$CR41,DJ41)</f>
        <v>0</v>
      </c>
      <c r="DR41" s="437">
        <f ca="1">DQ41*F41</f>
        <v>0</v>
      </c>
      <c r="DS41" s="426">
        <f ca="1">OFFSET($CH$9,CL41-1,-15,1,1)</f>
        <v>0</v>
      </c>
      <c r="DT41" s="426">
        <f ca="1">VLOOKUP(DS41,Prodlink,2,0)</f>
        <v>0</v>
      </c>
      <c r="DU41" s="188">
        <f ca="1">IF(F41&lt;OFFSET($BM$9,DT41-1,0,1,1),0,IF(F41&lt;OFFSET($BN$9,DT41-1,0,1,1),((F41-OFFSET($BM$9,DT41-1,0,1,1))*OFFSET($CH$9,DT41-1,0,1,1))+OFFSET($BO$9,DT41-1,CQ41,1,1),IF(F41&lt;OFFSET($BN$9,DT41+0,0,1,1),((F41-OFFSET($BM$9,DT41+0,0,1,1))*OFFSET($CH$9,DT41+0,0,1,1))+OFFSET($BO$9,DT41+0,CQ41,1,1),IF(F41&lt;OFFSET($BN$9,DT41+1,0,1,1),((F41-OFFSET($BM$9,DT41+1,0,1,1))*OFFSET($CH$9,DT41+1,0,1,1))+OFFSET($BO$9,DT41+1,CQ41,1,1),IF(F41&lt;OFFSET($BN$9,DT41+2,0,1,1),((F41-OFFSET($BM$9,DT41+2,0,1,1))*OFFSET($CH$9,DT41+2,0,1,1))+OFFSET($BO$9,DT41+2,CQ41,1,1),IF(F41&lt;OFFSET($BN$9,DT41+3,0,1,1),((F41-OFFSET($BM$9,DT41+3,0,1,1))*OFFSET($CH$9,DT41+3,0,1,1))+OFFSET($BO$9,DT41+3,CQ41,1,1),0))))))</f>
        <v>0</v>
      </c>
      <c r="DV41" s="51">
        <f ca="1">IF($F41&lt;OFFSET($BM$9,$DT41-1,0,1,1),0,IF($F41&lt;OFFSET($BN$9,$DT41-1,0,1,1),IF(AND($H41&gt;2.4,Z41&lt;&gt;"e",Z41&lt;&gt;"f"),DZ41*2.4/$H41,DZ41),IF($F41&lt;OFFSET($BN$9,$DT41+0,0,1,1),IF(AND($H41&gt;2.4,Z41&lt;&gt;"e",Z41&lt;&gt;"f"),DZ41*2.4/$H41,DZ41),IF($F41&lt;OFFSET($BN$9,$DT41+1,0,1,1),IF(AND($H41&gt;2.4,Z41&lt;&gt;"e",Z41&lt;&gt;"f"),DZ41*2.4/$H41,DZ41),IF($F41&lt;OFFSET($BN$9,$DT41+2,0,1,1),IF(AND($H41&gt;2.4,Z41&lt;&gt;"e",Z41&lt;&gt;"f"),DZ41*2.4/$H41,DZ41),IF($F41&lt;OFFSET($BN$9,$DT41+3,0,1,1),IF(AND($H41&gt;2.4,Z41&lt;&gt;"e",Z41&lt;&gt;"f"),DZ41*2.4/$H41,DZ41),0)))))*COS(RADIANS($G41)))</f>
        <v>0</v>
      </c>
      <c r="DW41" s="188">
        <f ca="1">IF(F41&lt;OFFSET($BM$9,DT41-1,0,1,1),0,IF(F41&lt;OFFSET($BN$9,DT41-1,0,1,1),((F41-OFFSET($BM$9,DT41-1,0,1,1))*OFFSET($CI$9,DT41-1,0,1,1))+OFFSET($BP$9,DT41-1,CQ41,1,1),IF(F41&lt;OFFSET($BN$9,DT41+0,0,1,1),((F41-OFFSET($BM$9,DT41+0,0,1,1))*OFFSET($CI$9,DT41+0,0,1,1))+OFFSET($BP$9,DT41+0,CQ41,1,1),IF(F41&lt;OFFSET($BN$9,DT41+1,0,1,1),((F41-OFFSET($BM$9,DT41+1,0,1,1))*OFFSET($CI$9,DT41+1,0,1,1))+OFFSET($BP$9,DT41+1,CQ41,1,1),IF(F41&lt;OFFSET($BN$9,DT41+2,0,1,1),((F41-OFFSET($BM$9,DT41+2,0,1,1))*OFFSET($CI$9,DT41+2,0,1,1))+OFFSET($BP$9,DT41+2,CQ41,1,1),IF(F41&lt;OFFSET($BN$9,DT41+3,0,1,1),((F41-OFFSET($BM$9,DT41+3,0,1,1))*OFFSET($CI$9,DT41+3,0,1,1))+OFFSET($BP$9,DT41+3,CQ41,1,1),0))))))</f>
        <v>0</v>
      </c>
      <c r="DX41" s="51">
        <f ca="1">IF($F41&lt;OFFSET($BM$9,$DT41-1,0,1,1),0,IF($F41&lt;OFFSET($BN$9,$DT41-1,0,1,1),IF(AND($H41&gt;2.4,Z41&lt;&gt;"e",Z41&lt;&gt;"f"),EB41*2.4/$H41,EB41),IF($F41&lt;OFFSET($BN$9,$DT41+0,0,1,1),IF(AND($H41&gt;2.4,Z41&lt;&gt;"e",Z41&lt;&gt;"f"),EB41*2.4/$H41,EB41),IF($F41&lt;OFFSET($BN$9,$DT41+1,0,1,1),IF(AND($H41&gt;2.4,Z41&lt;&gt;"e",Z41&lt;&gt;"f"),EB41*2.4/$H41,EB41),IF($F41&lt;OFFSET($BN$9,$DT41+2,0,1,1),IF(AND($H41&gt;2.4,Z41&lt;&gt;"e",Z41&lt;&gt;"f"),EB41*2.4/$H41,EB41),IF($F41&lt;OFFSET($BN$9,$DT41+3,0,1,1),IF(AND($H41&gt;2.4,Z41&lt;&gt;"e",Z41&lt;&gt;"f"),EB41*2.4/$H41,EB41),0)))))*COS(RADIANS($G41)))</f>
        <v>0</v>
      </c>
      <c r="DY41" s="188"/>
      <c r="DZ41" s="188">
        <f ca="1">IF(DU41&gt;$CR41,$CR41,DU41)</f>
        <v>0</v>
      </c>
      <c r="EA41" s="188"/>
      <c r="EB41" s="188">
        <f ca="1">IF(DW41&gt;$CR41,$CR41,DW41)</f>
        <v>0</v>
      </c>
      <c r="EC41" s="435">
        <f ca="1">IF(DV41&gt;$CR41,$CR41,DV41)</f>
        <v>0</v>
      </c>
      <c r="ED41" s="435">
        <f ca="1">EC41*F41</f>
        <v>0</v>
      </c>
      <c r="EE41" s="436">
        <f ca="1">IF(DX41&gt;$CR41,$CR41,DX41)</f>
        <v>0</v>
      </c>
      <c r="EF41" s="437">
        <f ca="1">EE41*F41</f>
        <v>0</v>
      </c>
      <c r="EG41" s="613" t="str">
        <f>IF(D41=BG$12,BG$12,"")</f>
        <v/>
      </c>
      <c r="EH41" s="614" t="str">
        <f>IF(D41=BG$13,BG$13,"")</f>
        <v/>
      </c>
      <c r="EI41" s="611">
        <f>IF(EG41=BG$12,M41,0)</f>
        <v>0</v>
      </c>
      <c r="EJ41" s="451">
        <f>IF(EG41=BG$12,O41,0)</f>
        <v>0</v>
      </c>
      <c r="EK41" s="451">
        <f>IF(EH41=BG$13,M41,0)</f>
        <v>0</v>
      </c>
      <c r="EL41" s="612">
        <f>IF(EH41=BG$13,O41,0)</f>
        <v>0</v>
      </c>
      <c r="EM41" s="426" t="str">
        <f ca="1">IF(AND(Z41&lt;&gt;"t",Z41&lt;&gt;"f"),"",IF(AND(EN41=$BH$13,K41=$BH$12),"NotOpt",IF(K41&lt;&gt;EN41,"Error","")))</f>
        <v/>
      </c>
      <c r="EN41" s="490" t="str">
        <f>IF($BG$28=1,$BH$13,$BH$12)</f>
        <v>120 BU's</v>
      </c>
      <c r="EO41" s="426" t="str">
        <f>K41</f>
        <v xml:space="preserve"> </v>
      </c>
      <c r="ER41" s="439" t="str">
        <f ca="1">IF(H41=0," ",H41)</f>
        <v xml:space="preserve"> </v>
      </c>
      <c r="ES41" s="440" t="str">
        <f ca="1">IF(ER41&lt;&gt;" ",IF(ER41&lt;&gt;ER$7,"Changed",""),"")</f>
        <v/>
      </c>
      <c r="ET41" s="440">
        <f ca="1">IF(ER41&lt;&gt;" ",IF(ER41&lt;&gt;ER$7,1,0),0)</f>
        <v>0</v>
      </c>
      <c r="EU41" s="957" t="str">
        <f ca="1">IF(I41=" "," ",IF(F41&lt;OFFSET($BM$9,CL41-1,0,1,1),1,""))</f>
        <v xml:space="preserve"> </v>
      </c>
      <c r="EW41" s="427"/>
      <c r="EX41"/>
      <c r="EY41"/>
      <c r="EZ41"/>
      <c r="FA41"/>
      <c r="FB41"/>
      <c r="FC41"/>
      <c r="FD41"/>
      <c r="FE41"/>
      <c r="FF41"/>
      <c r="FG41"/>
      <c r="FH41"/>
      <c r="FI41"/>
      <c r="FJ41"/>
      <c r="FK41"/>
      <c r="FL41"/>
      <c r="FM41"/>
      <c r="FN41"/>
      <c r="FO41"/>
    </row>
    <row r="42" spans="1:171" ht="17.100000000000001" customHeight="1" thickBot="1">
      <c r="A42" s="2685" t="s">
        <v>929</v>
      </c>
      <c r="B42" s="689" t="s">
        <v>246</v>
      </c>
      <c r="C42" s="684" t="str">
        <f>IF(OR(F42=0,I42="",I42=" ")," ",$V42)</f>
        <v xml:space="preserve"> </v>
      </c>
      <c r="D42" s="1033"/>
      <c r="E42" s="1360" t="s">
        <v>8</v>
      </c>
      <c r="F42" s="202"/>
      <c r="G42" s="1416"/>
      <c r="H42" s="199" t="str">
        <f ca="1">IF(OR(F42=0,Z42="E",Z42="f")," ",'Project Demand'!E$45)</f>
        <v xml:space="preserve"> </v>
      </c>
      <c r="I42" s="631" t="str">
        <f>IF($I$6&lt;&gt;$BG$8," ",AB42)</f>
        <v xml:space="preserve"> </v>
      </c>
      <c r="J42" s="44" t="str">
        <f ca="1">IF(OR(I42=" ",I42="")," ",OFFSET($BO$9,CL42-1,0-4,1,1))</f>
        <v xml:space="preserve"> </v>
      </c>
      <c r="K42" s="55" t="str">
        <f>IF(OR(I42=" ",I42="")," ",IF(OR(Z42="e",Z42="h"),"SD",BG$24))</f>
        <v xml:space="preserve"> </v>
      </c>
      <c r="L42" s="49">
        <f ca="1">CW42</f>
        <v>0</v>
      </c>
      <c r="M42" s="49">
        <f ca="1">CY42</f>
        <v>0</v>
      </c>
      <c r="N42" s="50">
        <f t="shared" ca="1" si="25"/>
        <v>0</v>
      </c>
      <c r="O42" s="126">
        <f t="shared" ca="1" si="25"/>
        <v>0</v>
      </c>
      <c r="P42" s="140"/>
      <c r="Q42" s="752" t="str">
        <f ca="1">IF(AND(OR(Z42="t",Z42="f"),K42=$BH$11),"No Floor!  Change Floor Type",IF(OR(I42=" ",I42="")," ",IF(F42&lt;OFFSET($BM$9,CL42-1,0,1,1),"check L(m)",DE42&amp;IF(AND(DP42&gt;=CY42,DR42&gt;=DB42),IF(AND(ED42&gt;=DP42,EF42&gt;=DR42),CONCATENATE(DS42," will provide same result"),CONCATENATE(CO42," will provide same result")),IF((DP42&gt;=CY42),CONCATENATE(CO42," provides same result in WIND"),IF((DR42&gt;=DB42),CONCATENATE(CO42," provides same result in EQ"),""))))))&amp;IF(ISERROR(FIND("pile",I42,1)),"",IF(INT(F42)&lt;&gt;F42,"Pile!  Use Whole Numbers Only",""))</f>
        <v xml:space="preserve"> </v>
      </c>
      <c r="U42" s="1377"/>
      <c r="V42" s="52" t="str">
        <f ca="1">IF(AND(B$5=$BF$9,OR(I42=BH$16,I42=BH$17))," ",IF(ISNUMBER(B$38),(CONCATENATE(B$38,".",W42)),(CONCATENATE(B$38,W42))))</f>
        <v>F0</v>
      </c>
      <c r="W42" s="9">
        <f ca="1">W41+X42</f>
        <v>0</v>
      </c>
      <c r="X42" s="9">
        <f>IF(AND(B$5=$BF$9,OR($I42=$BH$16,$I42=$BH$17,$I42=" ",$I42="",$F42=0)),0,IF(OR($I42=" ",$I42="",$F42=0),0,1))</f>
        <v>0</v>
      </c>
      <c r="Y42" s="896"/>
      <c r="Z42" s="52" t="str">
        <f ca="1">IF(I42=" "," ",OFFSET($BM$9,$CL42-1,8,1,1))</f>
        <v xml:space="preserve"> </v>
      </c>
      <c r="AA42" s="51" t="str">
        <f>IF(G42&gt;=45,"WA","")</f>
        <v/>
      </c>
      <c r="AB42" s="1364" t="str">
        <f>IF(F42&lt;&gt;"",IF(OR(D42=$BG$12,D42=$BG$13),IF(E42&lt;&gt;$BG$17,$BF$12,$BF$13),IF(E42&lt;&gt;$BG$17,$BF$12,$BF$13))," ")</f>
        <v xml:space="preserve"> </v>
      </c>
      <c r="AC42" s="1"/>
      <c r="AJ42" s="955" t="str">
        <f>'Regular and QuickBrace Systems'!C61</f>
        <v>NB: The Elephant Regular Fixing Code &amp; the Elephant QuickBrace© Numbering System (and the sub-components thereof), are protected by copyright.</v>
      </c>
      <c r="AK42" s="955"/>
      <c r="AL42" s="955"/>
      <c r="AM42" s="955"/>
      <c r="AN42" s="955"/>
      <c r="AO42" s="955"/>
      <c r="AP42" s="955"/>
      <c r="AQ42" s="955"/>
      <c r="AR42" s="955"/>
      <c r="AS42" s="955"/>
      <c r="AT42" s="426"/>
      <c r="AU42" s="955"/>
      <c r="AW42" s="426"/>
      <c r="BD42" s="641"/>
      <c r="BF42" s="599" t="str">
        <f>'Custom Elements'!C26</f>
        <v>Custom18</v>
      </c>
      <c r="BG42" s="995" t="s">
        <v>901</v>
      </c>
      <c r="BH42" s="989" t="s">
        <v>934</v>
      </c>
      <c r="BI42" s="759"/>
      <c r="BJ42" s="897">
        <f t="shared" si="27"/>
        <v>34</v>
      </c>
      <c r="BK42" s="1223"/>
      <c r="BL42" s="767"/>
      <c r="BM42" s="776">
        <f>Table!J7</f>
        <v>1</v>
      </c>
      <c r="BN42" s="776">
        <v>999</v>
      </c>
      <c r="BO42" s="776">
        <f>Table!K7</f>
        <v>40</v>
      </c>
      <c r="BP42" s="926">
        <f>Table!L7</f>
        <v>30</v>
      </c>
      <c r="BQ42" s="1183"/>
      <c r="BR42" s="908"/>
      <c r="BS42" s="776"/>
      <c r="BT42" s="776"/>
      <c r="BU42" s="926" t="s">
        <v>242</v>
      </c>
      <c r="BV42" s="1183"/>
      <c r="BW42" s="602"/>
      <c r="BX42" s="926" t="str">
        <f>Table!N5</f>
        <v>Single</v>
      </c>
      <c r="CH42" s="908">
        <f>IF(BN42=999,0,(BO43-BO42)/(BN42-BM42))</f>
        <v>0</v>
      </c>
      <c r="CI42" s="926">
        <f>IF(BN42=999,0,(BP43-BP42)/(BN42-BM42))</f>
        <v>0</v>
      </c>
      <c r="CJ42" s="759"/>
      <c r="CK42" s="188"/>
      <c r="CL42" s="979">
        <f>VLOOKUP(I42,Prodlink,2,0)</f>
        <v>0</v>
      </c>
      <c r="CN42" s="497">
        <f t="shared" ca="1" si="26"/>
        <v>0</v>
      </c>
      <c r="CO42" s="497">
        <f ca="1">OFFSET($CH$9,CL42-1,-15,1,1)</f>
        <v>0</v>
      </c>
      <c r="CQ42" s="51">
        <v>0</v>
      </c>
      <c r="CR42" s="51">
        <f>IF(K42=$BH$12,$BH$23,IF(K42=$BH$13,$BH$24,10000))</f>
        <v>10000</v>
      </c>
      <c r="CS42" s="51">
        <f ca="1">IF(F42&lt;OFFSET($BM$9,CL42-1,0,1,1),0,IF(F42&lt;OFFSET($BN$9,CL42-1,0,1,1),((F42-OFFSET($BM$9,CL42-1,0,1,1))*OFFSET($CH$9,CL42-1,0,1,1))+OFFSET($BO$9,CL42-1,CQ42,1,1),IF(F42&lt;OFFSET($BN$9,CL42+0,0,1,1),((F42-OFFSET($BM$9,CL42+0,0,1,1))*OFFSET($CH$9,CL42+0,0,1,1))+OFFSET($BO$9,CL42+0,CQ42,1,1),IF(F42&lt;OFFSET($BN$9,CL42+1,0,1,1),((F42-OFFSET($BM$9,CL42+1,0,1,1))*OFFSET($CH$9,CL42+1,0,1,1))+OFFSET($BO$9,CL42+1,CQ42,1,1),IF(F42&lt;OFFSET($BN$9,CL42+2,0,1,1),((F42-OFFSET($BM$9,CL42+2,0,1,1))*OFFSET($CH$9,CL42+2,0,1,1))+OFFSET($BO$9,CL42+2,CQ42,1,1),IF(F42&lt;OFFSET($BN$9,CL42+3,0,1,1),((F42-OFFSET($BM$9,CL42+3,0,1,1))*OFFSET($CH$9,CL42+3,0,1,1))+OFFSET($BO$9,CL42+3,CQ42,1,1),0))))))</f>
        <v>0</v>
      </c>
      <c r="CT42" s="51">
        <f ca="1">IF($F42&lt;OFFSET($BM$9,$CL42-1,0,1,1),0,IF($F42&lt;OFFSET($BN$9,$CL42-1,0,1,1),IF(AND($H42&gt;2.4,Z42&lt;&gt;"e",Z42&lt;&gt;"f"),CX42*2.4/$H42,CX42),IF($F42&lt;OFFSET($BN$9,$CL42+0,0,1,1),IF(AND($H42&gt;2.4,Z42&lt;&gt;"e",Z42&lt;&gt;"f"),CX42*2.4/$H42,CX42),IF($F42&lt;OFFSET($BN$9,$CL42+1,0,1,1),IF(AND($H42&gt;2.4,Z42&lt;&gt;"e",Z42&lt;&gt;"f"),CX42*2.4/$H42,CX42),IF($F42&lt;OFFSET($BN$9,CL42+2,0,1,1),IF(AND($H42&gt;2.4,Z42&lt;&gt;"e",Z42&lt;&gt;"f"),CX42*2.4/$H42,CX42),IF($F42&lt;OFFSET($BN$9,CL42+3,0,1,1),IF(AND($H42&gt;2.4,Z42&lt;&gt;"e",Z42&lt;&gt;"f"),CX42*2.4/$H42,CX42),0)))))*COS(RADIANS($G42)))</f>
        <v>0</v>
      </c>
      <c r="CU42" s="51">
        <f ca="1">IF(F42&lt;OFFSET($BM$9,CL42-1,0,1,1),0,IF(F42&lt;OFFSET($BN$9,CL42-1,0,1,1),((F42-OFFSET($BM$9,CL42-1,0,1,1))*OFFSET($CI$9,CL42-1,0,1,1))+OFFSET($BP$9,CL42-1,CQ42,1,1),IF(F42&lt;OFFSET($BN$9,CL42+0,0,1,1),((F42-OFFSET($BM$9,CL42+0,0,1,1))*OFFSET($CI$9,CL42+0,0,1,1))+OFFSET($BP$9,CL42+0,CQ42,1,1),IF(F42&lt;OFFSET($BN$9,CL42+1,0,1,1),((F42-OFFSET($BM$9,CL42+1,0,1,1))*OFFSET($CI$9,CL42+1,0,1,1))+OFFSET($BP$9,CL42+1,CQ42,1,1),IF(F42&lt;OFFSET($BN$9,CL42+2,0,1,1),((F42-OFFSET($BM$9,CL42+2,0,1,1))*OFFSET($CI$9,CL42+2,0,1,1))+OFFSET($BP$9,CL42+2,CQ42,1,1),IF(F42&lt;OFFSET($BN$9,CL42+3,0,1,1),((F42-OFFSET($BM$9,CL42+3,0,1,1))*OFFSET($CI$9,CL42+3,0,1,1))+OFFSET($BP$9,CL42+3,CQ42,1,1),0))))))</f>
        <v>0</v>
      </c>
      <c r="CV42" s="51">
        <f ca="1">IF($F42&lt;OFFSET($BM$9,$CL42-1,0,1,1),0,IF($F42&lt;OFFSET($BN$9,$CL42-1,0,1,1),IF(AND($H42&gt;2.4,Z42&lt;&gt;"e",Z42&lt;&gt;"f"),CZ42*2.4/$H42,CZ42),IF($F42&lt;OFFSET($BN$9,$CL42+0,0,1,1),IF(AND($H42&gt;2.4,Z42&lt;&gt;"e",Z42&lt;&gt;"f"),CZ42*2.4/$H42,CZ42),IF($F42&lt;OFFSET($BN$9,$CL42+1,0,1,1),IF(AND($H42&gt;2.4,Z42&lt;&gt;"e",Z42&lt;&gt;"f"),CZ42*2.4/$H42,CZ42),IF($F42&lt;OFFSET($BN$9,$CL42+2,0,1,1),IF(AND($H42&gt;2.4,Z42&lt;&gt;"e",Z42&lt;&gt;"f"),CZ42*2.4/$H42,CZ42),IF($F42&lt;OFFSET($BN$9,$CL42+3,0,1,1),IF(AND($H42&gt;2.4,Z42&lt;&gt;"e",Z42&lt;&gt;"f"),CZ42*2.4/$H42,CZ42),0)))))*COS(RADIANS($G42)))</f>
        <v>0</v>
      </c>
      <c r="CW42" s="51">
        <f ca="1">IF(CT42&gt;CR42,CR42,CT42)</f>
        <v>0</v>
      </c>
      <c r="CX42" s="51">
        <f ca="1">IF(CS42&gt;$CR42,$CR42,CS42)</f>
        <v>0</v>
      </c>
      <c r="CY42" s="51">
        <f ca="1">CW42*F42</f>
        <v>0</v>
      </c>
      <c r="CZ42" s="51">
        <f ca="1">IF($CU42&gt;$CR42,$CR42,$CU42)</f>
        <v>0</v>
      </c>
      <c r="DA42" s="51">
        <f ca="1">IF(CV42&gt;CR42,CR42,CV42)</f>
        <v>0</v>
      </c>
      <c r="DB42" s="51">
        <f ca="1">DA42*F42</f>
        <v>0</v>
      </c>
      <c r="DC42" s="993">
        <v>1</v>
      </c>
      <c r="DD42" s="758" t="str">
        <f>IF(OR(D42=BG$12,D42=BG$13),"External",IF(D42=BG$14,"Internal"," "))</f>
        <v xml:space="preserve"> </v>
      </c>
      <c r="DE42" s="51" t="str">
        <f t="shared" ca="1" si="2"/>
        <v/>
      </c>
      <c r="DF42" s="52" t="str">
        <f t="shared" ca="1" si="3"/>
        <v xml:space="preserve"> </v>
      </c>
      <c r="DG42" s="51">
        <f ca="1">IF(F42&lt;OFFSET($BM$9,CN42-1,0,1,1),0,IF(F42&lt;OFFSET($BN$9,CN42-1,0,1,1),((F42-OFFSET($BM$9,CN42-1,0,1,1))*OFFSET($CH$9,CN42-1,0,1,1))+OFFSET($BO$9,CN42-1,CQ42,1,1),IF(F42&lt;OFFSET($BN$9,CN42+0,0,1,1),((F42-OFFSET($BM$9,CN42+0,0,1,1))*OFFSET($CH$9,CN42+0,0,1,1))+OFFSET($BO$9,CN42+0,CQ42,1,1),IF(F42&lt;OFFSET($BN$9,CN42+1,0,1,1),((F42-OFFSET($BM$9,CN42+1,0,1,1))*OFFSET($CH$9,CN42+1,0,1,1))+OFFSET($BO$9,CN42+1,CQ42,1,1),IF(F42&lt;OFFSET($BN$9,CN42+2,0,1,1),((F42-OFFSET($BM$9,CN42+2,0,1,1))*OFFSET($CH$9,CN42+2,0,1,1))+OFFSET($BO$9,CN42+2,CQ42,1,1),IF(F42&lt;OFFSET($BN$9,CN42+3,0,1,1),((F42-OFFSET($BM$9,CN42+3,0,1,1))*OFFSET($CH$9,CN42+3,0,1,1))+OFFSET($BO$9,CN42+3,CQ42,1,1),0))))))</f>
        <v>0</v>
      </c>
      <c r="DH42" s="51">
        <f ca="1">IF($F42&lt;OFFSET($BM$9,$CN42-1,0,1,1),0,IF($F42&lt;OFFSET($BN$9,$CN42-1,0,1,1),IF(AND($H42&gt;2.4,Z42&lt;&gt;"e",Z42&lt;&gt;"f"),DL42*2.4/$H42,DL42),IF($F42&lt;OFFSET($BN$9,$CN42+0,0,1,1),IF(AND($H42&gt;2.4,Z42&lt;&gt;"e",Z42&lt;&gt;"f"),DL42*2.4/$H42,DL42),IF($F42&lt;OFFSET($BN$9,$CN42+1,0,1,1),IF(AND($H42&gt;2.4,Z42&lt;&gt;"e",Z42&lt;&gt;"f"),DL42*2.4/$H42,DL42),IF($F42&lt;OFFSET($BN$9,$CN42+2,0,1,1),IF(AND($H42&gt;2.4,Z42&lt;&gt;"e",Z42&lt;&gt;"f"),DL42*2.4/$H42,DL42),IF($F42&lt;OFFSET($BN$9,$CN42+3,0,1,1),IF(AND($H42&gt;2.4,Z42&lt;&gt;"e",Z42&lt;&gt;"f"),DL42*2.4/$H42,DL42),0)))))*COS(RADIANS($G42)))</f>
        <v>0</v>
      </c>
      <c r="DI42" s="51">
        <f ca="1">IF(F42&lt;OFFSET($BM$9,CN42-1,0,1,1),0,IF(F42&lt;OFFSET($BN$9,CN42-1,0,1,1),((F42-OFFSET($BM$9,CN42-1,0,1,1))*OFFSET($CI$9,CN42-1,0,1,1))+OFFSET($BP$9,CN42-1,CQ42,1,1),IF(F42&lt;OFFSET($BN$9,CN42+0,0,1,1),((F42-OFFSET($BM$9,CN42+0,0,1,1))*OFFSET($CI$9,CN42+0,0,1,1))+OFFSET($BP$9,CN42+0,CQ42,1,1),IF(F42&lt;OFFSET($BN$9,CN42+1,0,1,1),((F42-OFFSET($BM$9,CN42+1,0,1,1))*OFFSET($CI$9,CN42+1,0,1,1))+OFFSET($BP$9,CN42+1,CQ42,1,1),IF(F42&lt;OFFSET($BN$9,CN42+2,0,1,1),((F42-OFFSET($BM$9,CN42+2,0,1,1))*OFFSET($CI$9,CN42+2,0,1,1))+OFFSET($BP$9,CN42+2,CQ42,1,1),IF(F42&lt;OFFSET($BN$9,CN42+3,0,1,1),((F42-OFFSET($BM$9,CN42+3,0,1,1))*OFFSET($CI$9,CN42+3,0,1,1))+OFFSET($BP$9,CN42+3,CQ42,1,1),0))))))</f>
        <v>0</v>
      </c>
      <c r="DJ42" s="51">
        <f ca="1">IF($F42&lt;OFFSET($BM$9,$CN42-1,0,1,1),0,IF($F42&lt;OFFSET($BN$9,$CN42-1,0,1,1),IF(AND($H42&gt;2.4,Z42&lt;&gt;"e",Z42&lt;&gt;"f"),DN42*2.4/$H42,DN42),IF($F42&lt;OFFSET($BN$9,$CN42+0,0,1,1),IF(AND($H42&gt;2.4,Z42&lt;&gt;"e",Z42&lt;&gt;"f"),DN42*2.4/$H42,DN42),IF($F42&lt;OFFSET($BN$9,$CN42+1,0,1,1),IF(AND($H42&gt;2.4,Z42&lt;&gt;"e",Z42&lt;&gt;"f"),DN42*2.4/$H42,DN42),IF($F42&lt;OFFSET($BN$9,$CN42+2,0,1,1),IF(AND($H42&gt;2.4,Z42&lt;&gt;"e",Z42&lt;&gt;"f"),DN42*2.4/$H42,DN42),IF($F42&lt;OFFSET($BN$9,$CN42+3,0,1,1),IF(AND($H42&gt;2.4,Z42&lt;&gt;"e",Z42&lt;&gt;"f"),DN42*2.4/$H42,DN42),0)))))*COS(RADIANS($G42)))</f>
        <v>0</v>
      </c>
      <c r="DK42" s="51"/>
      <c r="DL42" s="51">
        <f ca="1">IF(DG42&gt;$CR42,$CR42,DG42)</f>
        <v>0</v>
      </c>
      <c r="DM42" s="51"/>
      <c r="DN42" s="51">
        <f ca="1">IF(DI42&gt;$CR42,$CR42,DI42)</f>
        <v>0</v>
      </c>
      <c r="DO42" s="435">
        <f ca="1">IF(DH42&gt;$CR42,$CR42,DH42)</f>
        <v>0</v>
      </c>
      <c r="DP42" s="435">
        <f ca="1">DO42*F42</f>
        <v>0</v>
      </c>
      <c r="DQ42" s="436">
        <f ca="1">IF(DJ42&gt;$CR42,$CR42,DJ42)</f>
        <v>0</v>
      </c>
      <c r="DR42" s="437">
        <f ca="1">DQ42*F42</f>
        <v>0</v>
      </c>
      <c r="DS42" s="426">
        <f ca="1">OFFSET($CH$9,CL42-1,-15,1,1)</f>
        <v>0</v>
      </c>
      <c r="DT42" s="426">
        <f ca="1">VLOOKUP(DS42,Prodlink,2,0)</f>
        <v>0</v>
      </c>
      <c r="DU42" s="188">
        <f ca="1">IF(F42&lt;OFFSET($BM$9,DT42-1,0,1,1),0,IF(F42&lt;OFFSET($BN$9,DT42-1,0,1,1),((F42-OFFSET($BM$9,DT42-1,0,1,1))*OFFSET($CH$9,DT42-1,0,1,1))+OFFSET($BO$9,DT42-1,CQ42,1,1),IF(F42&lt;OFFSET($BN$9,DT42+0,0,1,1),((F42-OFFSET($BM$9,DT42+0,0,1,1))*OFFSET($CH$9,DT42+0,0,1,1))+OFFSET($BO$9,DT42+0,CQ42,1,1),IF(F42&lt;OFFSET($BN$9,DT42+1,0,1,1),((F42-OFFSET($BM$9,DT42+1,0,1,1))*OFFSET($CH$9,DT42+1,0,1,1))+OFFSET($BO$9,DT42+1,CQ42,1,1),IF(F42&lt;OFFSET($BN$9,DT42+2,0,1,1),((F42-OFFSET($BM$9,DT42+2,0,1,1))*OFFSET($CH$9,DT42+2,0,1,1))+OFFSET($BO$9,DT42+2,CQ42,1,1),IF(F42&lt;OFFSET($BN$9,DT42+3,0,1,1),((F42-OFFSET($BM$9,DT42+3,0,1,1))*OFFSET($CH$9,DT42+3,0,1,1))+OFFSET($BO$9,DT42+3,CQ42,1,1),0))))))</f>
        <v>0</v>
      </c>
      <c r="DV42" s="51">
        <f ca="1">IF($F42&lt;OFFSET($BM$9,$DT42-1,0,1,1),0,IF($F42&lt;OFFSET($BN$9,$DT42-1,0,1,1),IF(AND($H42&gt;2.4,Z42&lt;&gt;"e",Z42&lt;&gt;"f"),DZ42*2.4/$H42,DZ42),IF($F42&lt;OFFSET($BN$9,$DT42+0,0,1,1),IF(AND($H42&gt;2.4,Z42&lt;&gt;"e",Z42&lt;&gt;"f"),DZ42*2.4/$H42,DZ42),IF($F42&lt;OFFSET($BN$9,$DT42+1,0,1,1),IF(AND($H42&gt;2.4,Z42&lt;&gt;"e",Z42&lt;&gt;"f"),DZ42*2.4/$H42,DZ42),IF($F42&lt;OFFSET($BN$9,$DT42+2,0,1,1),IF(AND($H42&gt;2.4,Z42&lt;&gt;"e",Z42&lt;&gt;"f"),DZ42*2.4/$H42,DZ42),IF($F42&lt;OFFSET($BN$9,$DT42+3,0,1,1),IF(AND($H42&gt;2.4,Z42&lt;&gt;"e",Z42&lt;&gt;"f"),DZ42*2.4/$H42,DZ42),0)))))*COS(RADIANS($G42)))</f>
        <v>0</v>
      </c>
      <c r="DW42" s="188">
        <f ca="1">IF(F42&lt;OFFSET($BM$9,DT42-1,0,1,1),0,IF(F42&lt;OFFSET($BN$9,DT42-1,0,1,1),((F42-OFFSET($BM$9,DT42-1,0,1,1))*OFFSET($CI$9,DT42-1,0,1,1))+OFFSET($BP$9,DT42-1,CQ42,1,1),IF(F42&lt;OFFSET($BN$9,DT42+0,0,1,1),((F42-OFFSET($BM$9,DT42+0,0,1,1))*OFFSET($CI$9,DT42+0,0,1,1))+OFFSET($BP$9,DT42+0,CQ42,1,1),IF(F42&lt;OFFSET($BN$9,DT42+1,0,1,1),((F42-OFFSET($BM$9,DT42+1,0,1,1))*OFFSET($CI$9,DT42+1,0,1,1))+OFFSET($BP$9,DT42+1,CQ42,1,1),IF(F42&lt;OFFSET($BN$9,DT42+2,0,1,1),((F42-OFFSET($BM$9,DT42+2,0,1,1))*OFFSET($CI$9,DT42+2,0,1,1))+OFFSET($BP$9,DT42+2,CQ42,1,1),IF(F42&lt;OFFSET($BN$9,DT42+3,0,1,1),((F42-OFFSET($BM$9,DT42+3,0,1,1))*OFFSET($CI$9,DT42+3,0,1,1))+OFFSET($BP$9,DT42+3,CQ42,1,1),0))))))</f>
        <v>0</v>
      </c>
      <c r="DX42" s="51">
        <f ca="1">IF($F42&lt;OFFSET($BM$9,$DT42-1,0,1,1),0,IF($F42&lt;OFFSET($BN$9,$DT42-1,0,1,1),IF(AND($H42&gt;2.4,Z42&lt;&gt;"e",Z42&lt;&gt;"f"),EB42*2.4/$H42,EB42),IF($F42&lt;OFFSET($BN$9,$DT42+0,0,1,1),IF(AND($H42&gt;2.4,Z42&lt;&gt;"e",Z42&lt;&gt;"f"),EB42*2.4/$H42,EB42),IF($F42&lt;OFFSET($BN$9,$DT42+1,0,1,1),IF(AND($H42&gt;2.4,Z42&lt;&gt;"e",Z42&lt;&gt;"f"),EB42*2.4/$H42,EB42),IF($F42&lt;OFFSET($BN$9,$DT42+2,0,1,1),IF(AND($H42&gt;2.4,Z42&lt;&gt;"e",Z42&lt;&gt;"f"),EB42*2.4/$H42,EB42),IF($F42&lt;OFFSET($BN$9,$DT42+3,0,1,1),IF(AND($H42&gt;2.4,Z42&lt;&gt;"e",Z42&lt;&gt;"f"),EB42*2.4/$H42,EB42),0)))))*COS(RADIANS($G42)))</f>
        <v>0</v>
      </c>
      <c r="DY42" s="188"/>
      <c r="DZ42" s="188">
        <f ca="1">IF(DU42&gt;$CR42,$CR42,DU42)</f>
        <v>0</v>
      </c>
      <c r="EA42" s="188"/>
      <c r="EB42" s="188">
        <f ca="1">IF(DW42&gt;$CR42,$CR42,DW42)</f>
        <v>0</v>
      </c>
      <c r="EC42" s="435">
        <f ca="1">IF(DV42&gt;$CR42,$CR42,DV42)</f>
        <v>0</v>
      </c>
      <c r="ED42" s="435">
        <f ca="1">EC42*F42</f>
        <v>0</v>
      </c>
      <c r="EE42" s="436">
        <f ca="1">IF(DX42&gt;$CR42,$CR42,DX42)</f>
        <v>0</v>
      </c>
      <c r="EF42" s="437">
        <f ca="1">EE42*F42</f>
        <v>0</v>
      </c>
      <c r="EG42" s="613" t="str">
        <f>IF(D42=BG$12,BG$12,"")</f>
        <v/>
      </c>
      <c r="EH42" s="614" t="str">
        <f>IF(D42=BG$13,BG$13,"")</f>
        <v/>
      </c>
      <c r="EI42" s="611">
        <f>IF(EG42=BG$12,M42,0)</f>
        <v>0</v>
      </c>
      <c r="EJ42" s="451">
        <f>IF(EG42=BG$12,O42,0)</f>
        <v>0</v>
      </c>
      <c r="EK42" s="451">
        <f>IF(EH42=BG$13,M42,0)</f>
        <v>0</v>
      </c>
      <c r="EL42" s="612">
        <f>IF(EH42=BG$13,O42,0)</f>
        <v>0</v>
      </c>
      <c r="EM42" s="426" t="str">
        <f ca="1">IF(AND(Z42&lt;&gt;"t",Z42&lt;&gt;"f"),"",IF(AND(EN42=$BH$13,K42=$BH$12),"NotOpt",IF(K42&lt;&gt;EN42,"Error","")))</f>
        <v/>
      </c>
      <c r="EN42" s="490" t="str">
        <f>IF($BG$28=1,$BH$13,$BH$12)</f>
        <v>120 BU's</v>
      </c>
      <c r="EO42" s="426" t="str">
        <f>K42</f>
        <v xml:space="preserve"> </v>
      </c>
      <c r="ER42" s="439" t="str">
        <f ca="1">IF(H42=0," ",H42)</f>
        <v xml:space="preserve"> </v>
      </c>
      <c r="ES42" s="440" t="str">
        <f ca="1">IF(ER42&lt;&gt;" ",IF(ER42&lt;&gt;ER$7,"Changed",""),"")</f>
        <v/>
      </c>
      <c r="ET42" s="440">
        <f ca="1">IF(ER42&lt;&gt;" ",IF(ER42&lt;&gt;ER$7,1,0),0)</f>
        <v>0</v>
      </c>
      <c r="EU42" s="957" t="str">
        <f ca="1">IF(I42=" "," ",IF(F42&lt;OFFSET($BM$9,CL42-1,0,1,1),1,""))</f>
        <v xml:space="preserve"> </v>
      </c>
      <c r="EW42" s="427"/>
      <c r="EX42"/>
      <c r="EY42"/>
      <c r="EZ42"/>
      <c r="FA42"/>
      <c r="FB42"/>
      <c r="FC42"/>
      <c r="FD42"/>
      <c r="FE42"/>
      <c r="FF42"/>
      <c r="FG42"/>
      <c r="FH42"/>
      <c r="FI42"/>
      <c r="FJ42"/>
      <c r="FK42"/>
      <c r="FL42"/>
      <c r="FM42"/>
      <c r="FN42"/>
      <c r="FO42"/>
    </row>
    <row r="43" spans="1:171" ht="17.100000000000001" customHeight="1" thickBot="1">
      <c r="A43" s="2685"/>
      <c r="B43" s="2686" t="s">
        <v>8</v>
      </c>
      <c r="C43" s="2687"/>
      <c r="D43" s="1461" t="s">
        <v>8</v>
      </c>
      <c r="E43" s="659"/>
      <c r="F43" s="659"/>
      <c r="G43" s="659"/>
      <c r="H43" s="659"/>
      <c r="I43" s="1462"/>
      <c r="J43" s="1365" t="str">
        <f ca="1">(CONCATENATE(B38,$BE$54))</f>
        <v>F  Line:  Min. Requirement</v>
      </c>
      <c r="K43" s="23"/>
      <c r="L43" s="1019">
        <f ca="1">L$5</f>
        <v>0</v>
      </c>
      <c r="M43" s="48">
        <f ca="1">IF(B38=B32,SUM(M38:M42)+M37,SUM(M38:M42))</f>
        <v>0</v>
      </c>
      <c r="N43" s="1019">
        <f ca="1">N$5</f>
        <v>0</v>
      </c>
      <c r="O43" s="125">
        <f ca="1">IF(B38=B32,SUM(O38:O42)+O37,SUM(O38:O42))</f>
        <v>0</v>
      </c>
      <c r="P43" s="139"/>
      <c r="Q43" s="42" t="str">
        <f ca="1">IF(B38=B44,"",IF(AND(M43&gt;0,L43=L$5,OR(M43&lt;$M$105,M43&lt;$BF$3)),"Achieved &lt; Min Req per Line",IF(AND(O43&gt;0,N43=N$5,OR(O43&lt;$O$105,O43&lt;$BF$3)),"Achieved &lt; Min Req per Line",IF(AND(M43&gt;0,L43&gt;M43),"More Required on this line",IF(AND(O43&gt;0,N43&gt;O43),"More Required on this line",IF(AND(L43&gt;0,L43&lt;$BF$3),$BE$59,IF(AND(N43&gt;0,N43&lt;$BF$3),$BE$59,"")))))))</f>
        <v/>
      </c>
      <c r="R43" s="52"/>
      <c r="S43" s="52"/>
      <c r="T43" s="52"/>
      <c r="U43" s="1378"/>
      <c r="V43" s="52"/>
      <c r="W43" s="9"/>
      <c r="X43" s="9"/>
      <c r="Y43" s="896"/>
      <c r="Z43" s="52"/>
      <c r="AA43" s="51"/>
      <c r="AB43" s="1364"/>
      <c r="AC43"/>
      <c r="AJ43" s="13"/>
      <c r="AK43" s="13"/>
      <c r="AL43" s="1"/>
      <c r="AM43" s="1"/>
      <c r="AN43" s="1"/>
      <c r="AO43" s="1"/>
      <c r="AP43" s="1"/>
      <c r="AQ43" s="1"/>
      <c r="AR43" s="1"/>
      <c r="AS43" s="6"/>
      <c r="AT43" s="6"/>
      <c r="AW43" s="1"/>
      <c r="BD43" s="636"/>
      <c r="BF43" s="599" t="str">
        <f>'Custom Elements'!C27</f>
        <v>Custom19</v>
      </c>
      <c r="BG43" s="996" t="s">
        <v>902</v>
      </c>
      <c r="BH43" s="485" t="s">
        <v>935</v>
      </c>
      <c r="BI43" s="759"/>
      <c r="BJ43" s="897">
        <f t="shared" si="27"/>
        <v>35</v>
      </c>
      <c r="BX43" s="52"/>
      <c r="CJ43" s="759"/>
      <c r="CK43" s="188"/>
      <c r="CL43" s="979"/>
      <c r="CN43" s="497"/>
      <c r="CO43" s="497"/>
      <c r="CQ43" s="51"/>
      <c r="CR43" s="51" t="s">
        <v>8</v>
      </c>
      <c r="CS43" s="51"/>
      <c r="CT43" s="51"/>
      <c r="CU43" s="51"/>
      <c r="CV43" s="51" t="s">
        <v>8</v>
      </c>
      <c r="CW43" s="51"/>
      <c r="CX43" s="51"/>
      <c r="CY43" s="51"/>
      <c r="CZ43" s="51"/>
      <c r="DD43" s="758"/>
      <c r="DF43" s="52"/>
      <c r="DG43" s="51"/>
      <c r="DH43" s="51"/>
      <c r="DI43" s="51"/>
      <c r="DJ43" s="51"/>
      <c r="DK43" s="51"/>
      <c r="DL43" s="51"/>
      <c r="DM43" s="51"/>
      <c r="DN43" s="51"/>
      <c r="DO43" s="435"/>
      <c r="DP43" s="435"/>
      <c r="DQ43" s="868"/>
      <c r="DR43" s="868"/>
      <c r="DU43" s="188"/>
      <c r="DV43" s="188" t="s">
        <v>8</v>
      </c>
      <c r="DW43" s="188"/>
      <c r="DX43" s="188" t="s">
        <v>8</v>
      </c>
      <c r="DY43" s="188"/>
      <c r="DZ43" s="188"/>
      <c r="EA43" s="188"/>
      <c r="EB43" s="188"/>
      <c r="EC43" s="435"/>
      <c r="ED43" s="435"/>
      <c r="EE43" s="868"/>
      <c r="EF43" s="867"/>
      <c r="EG43" s="613"/>
      <c r="EH43" s="614"/>
      <c r="EI43" s="613"/>
      <c r="EJ43" s="435"/>
      <c r="EK43" s="451"/>
      <c r="EL43" s="612"/>
      <c r="EN43" s="947"/>
      <c r="ER43" s="441"/>
      <c r="ES43" s="440"/>
      <c r="ET43" s="440"/>
      <c r="EU43" s="957"/>
      <c r="EW43" s="427"/>
      <c r="EX43"/>
      <c r="EY43"/>
      <c r="EZ43"/>
      <c r="FA43"/>
      <c r="FB43"/>
      <c r="FC43"/>
      <c r="FD43"/>
      <c r="FE43"/>
      <c r="FF43"/>
      <c r="FG43"/>
      <c r="FH43"/>
      <c r="FI43"/>
      <c r="FJ43"/>
      <c r="FK43"/>
      <c r="FL43"/>
      <c r="FM43"/>
      <c r="FN43"/>
      <c r="FO43"/>
    </row>
    <row r="44" spans="1:171" ht="17.100000000000001" customHeight="1" thickBot="1">
      <c r="A44" s="2685"/>
      <c r="B44" s="1369" t="str">
        <f ca="1">S44</f>
        <v>G</v>
      </c>
      <c r="C44" s="684" t="str">
        <f>IF(OR(F44=0,I44="",I44=" ")," ",$V44)</f>
        <v xml:space="preserve"> </v>
      </c>
      <c r="D44" s="1033"/>
      <c r="E44" s="1360" t="s">
        <v>8</v>
      </c>
      <c r="F44" s="202"/>
      <c r="G44" s="1416"/>
      <c r="H44" s="199" t="str">
        <f ca="1">IF(OR(F44=0,Z44="E",Z44="f")," ",'Project Demand'!E$45)</f>
        <v xml:space="preserve"> </v>
      </c>
      <c r="I44" s="631" t="str">
        <f>IF($I$6&lt;&gt;$BG$8," ",AB44)</f>
        <v xml:space="preserve"> </v>
      </c>
      <c r="J44" s="43" t="str">
        <f ca="1">IF(OR(I44=" ",I44="")," ",OFFSET($BO$9,CL44-1,0-4,1,1))</f>
        <v xml:space="preserve"> </v>
      </c>
      <c r="K44" s="55" t="str">
        <f>IF(OR(I44=" ",I44="")," ",IF(OR(Z44="e",Z44="h"),"SD",BG$24))</f>
        <v xml:space="preserve"> </v>
      </c>
      <c r="L44" s="49">
        <f ca="1">CW44</f>
        <v>0</v>
      </c>
      <c r="M44" s="49">
        <f ca="1">CY44</f>
        <v>0</v>
      </c>
      <c r="N44" s="50">
        <f t="shared" ref="N44:O48" ca="1" si="28">DA44</f>
        <v>0</v>
      </c>
      <c r="O44" s="126">
        <f t="shared" ca="1" si="28"/>
        <v>0</v>
      </c>
      <c r="P44" s="140"/>
      <c r="Q44" s="752" t="str">
        <f ca="1">IF(AND(OR(Z44="t",Z44="f"),K44=$BH$11),"No Floor!  Change Floor Type",IF(OR(I44=" ",I44="")," ",IF(F44&lt;OFFSET($BM$9,CL44-1,0,1,1),"check L(m)",DE44&amp;IF(AND(DP44&gt;=CY44,DR44&gt;=DB44),IF(AND(ED44&gt;=DP44,EF44&gt;=DR44),CONCATENATE(DS44," will provide same result"),CONCATENATE(CO44," will provide same result")),IF((DP44&gt;=CY44),CONCATENATE(CO44," provides same result in WIND"),IF((DR44&gt;=DB44),CONCATENATE(CO44," provides same result in EQ"),""))))))&amp;IF(ISERROR(FIND("pile",I44,1)),"",IF(INT(F44)&lt;&gt;F44,"Pile!  Use Whole Numbers Only",""))</f>
        <v xml:space="preserve"> </v>
      </c>
      <c r="R44" s="52">
        <f ca="1">IF(T38&lt;&gt;2,(COLUMN(INDIRECT(B38&amp;1))+1),U44)</f>
        <v>7</v>
      </c>
      <c r="S44" s="1372" t="str">
        <f ca="1">SUBSTITUTE(ADDRESS(1,R44,4),"1","")</f>
        <v>G</v>
      </c>
      <c r="T44" s="451">
        <f ca="1">IF(AND(ISTEXT(B44),SUBSTITUTE(SUBSTITUTE(SUBSTITUTE(SUBSTITUTE(SUBSTITUTE(SUBSTITUTE(SUBSTITUTE(SUBSTITUTE(SUBSTITUTE(SUBSTITUTE(SUBSTITUTE(SUBSTITUTE(SUBSTITUTE(SUBSTITUTE(SUBSTITUTE(SUBSTITUTE(SUBSTITUTE(SUBSTITUTE(SUBSTITUTE(SUBSTITUTE(SUBSTITUTE(SUBSTITUTE(SUBSTITUTE(SUBSTITUTE(SUBSTITUTE(SUBSTITUTE(LOWER(B44),"a",),"b",),"c",),"d",),"e",),"f",),"g",),"h",),"i",),"j",),"k",),"l",),"m",),"n",),"o",),"p",),"q",),"r",),"s",),"t",),"u",),"v",),"w",),"x",),"y",),"z",)=""),1,2)</f>
        <v>1</v>
      </c>
      <c r="U44" s="1377">
        <v>7</v>
      </c>
      <c r="V44" s="52" t="str">
        <f ca="1">IF(AND(B$5=$BF$9,OR(I44=BH$16,I44=BH$17))," ",IF(ISNUMBER(B$44),(CONCATENATE(B$44,".",W44)),(CONCATENATE(B$44,W44))))</f>
        <v>G0</v>
      </c>
      <c r="W44" s="9">
        <f ca="1">IF(B38=B44,W42+X44,X44)</f>
        <v>0</v>
      </c>
      <c r="X44" s="9">
        <f>IF(AND(B$5=$BF$9,OR($I44=$BH$16,$I44=$BH$17,$I44=" ",$I44="",$F44=0)),0,IF(OR($I44=" ",$I44="",$F44=0),0,1))</f>
        <v>0</v>
      </c>
      <c r="Y44" s="896">
        <f ca="1">IF(AND(M49&gt;0,B44&lt;&gt;B50),1,0)</f>
        <v>0</v>
      </c>
      <c r="Z44" s="52" t="str">
        <f ca="1">IF(I44=" "," ",OFFSET($BM$9,$CL44-1,8,1,1))</f>
        <v xml:space="preserve"> </v>
      </c>
      <c r="AA44" s="51" t="str">
        <f>IF(G44&gt;=45,"WA","")</f>
        <v/>
      </c>
      <c r="AB44" s="1364" t="str">
        <f>IF(F44&lt;&gt;"",IF(OR(D44=$BG$12,D44=$BG$13),IF(E44&lt;&gt;$BG$17,$BF$12,$BF$13),IF(E44&lt;&gt;$BG$17,$BF$12,$BF$13))," ")</f>
        <v xml:space="preserve"> </v>
      </c>
      <c r="AC44" s="1"/>
      <c r="AJ44" s="1690" t="s">
        <v>1111</v>
      </c>
      <c r="AK44" s="12"/>
      <c r="AL44" s="1"/>
      <c r="AM44" s="47"/>
      <c r="AN44" s="1"/>
      <c r="AO44" s="1"/>
      <c r="AP44" s="1"/>
      <c r="AQ44" s="33"/>
      <c r="AR44" s="33"/>
      <c r="AS44" s="1"/>
      <c r="AT44" s="1"/>
      <c r="AU44" s="1"/>
      <c r="AW44" s="33"/>
      <c r="BD44" s="637"/>
      <c r="BF44" s="599" t="str">
        <f>'Custom Elements'!C28</f>
        <v>Custom20</v>
      </c>
      <c r="BI44" s="759"/>
      <c r="BJ44" s="897">
        <f t="shared" si="27"/>
        <v>36</v>
      </c>
      <c r="BK44" s="1222" t="str">
        <f>BK50</f>
        <v xml:space="preserve">EPB </v>
      </c>
      <c r="BL44" s="1181" t="str">
        <f>Table!I10</f>
        <v>ER2</v>
      </c>
      <c r="BM44" s="1210">
        <f>Table!J10</f>
        <v>0.4</v>
      </c>
      <c r="BN44" s="454">
        <f>BM45</f>
        <v>0.6</v>
      </c>
      <c r="BO44" s="454">
        <f>Table!K10</f>
        <v>56</v>
      </c>
      <c r="BP44" s="924">
        <f>Table!L10</f>
        <v>51</v>
      </c>
      <c r="BQ44" s="920"/>
      <c r="BR44" s="768">
        <f>Table!M10</f>
        <v>0</v>
      </c>
      <c r="BS44" s="454">
        <f>Table!M11</f>
        <v>0</v>
      </c>
      <c r="BT44" s="454" t="str">
        <f>Table!N10</f>
        <v>I</v>
      </c>
      <c r="BU44" s="924" t="s">
        <v>242</v>
      </c>
      <c r="BV44" s="1230" t="str">
        <f>Table!AI77</f>
        <v>ER2</v>
      </c>
      <c r="BW44" s="1229">
        <f>BJ44</f>
        <v>36</v>
      </c>
      <c r="BX44" s="924" t="str">
        <f>Table!N11</f>
        <v>Double</v>
      </c>
      <c r="CH44" s="768">
        <f>IF(BN44=999,0,(BO45-BO44)/(BN44-BM44))</f>
        <v>5.0000000000000009</v>
      </c>
      <c r="CI44" s="924">
        <f>IF(BN44=999,0,(BP45-BP44)/(BN44-BM44))</f>
        <v>5.0000000000000009</v>
      </c>
      <c r="CJ44" s="759"/>
      <c r="CK44" s="188"/>
      <c r="CL44" s="979">
        <f>VLOOKUP(I44,Prodlink,2,0)</f>
        <v>0</v>
      </c>
      <c r="CN44" s="497">
        <f t="shared" ca="1" si="26"/>
        <v>0</v>
      </c>
      <c r="CO44" s="497">
        <f ca="1">OFFSET($CH$9,CL44-1,-15,1,1)</f>
        <v>0</v>
      </c>
      <c r="CQ44" s="51">
        <v>0</v>
      </c>
      <c r="CR44" s="51">
        <f>IF(K44=$BH$12,$BH$23,IF(K44=$BH$13,$BH$24,10000))</f>
        <v>10000</v>
      </c>
      <c r="CS44" s="51">
        <f ca="1">IF(F44&lt;OFFSET($BM$9,CL44-1,0,1,1),0,IF(F44&lt;OFFSET($BN$9,CL44-1,0,1,1),((F44-OFFSET($BM$9,CL44-1,0,1,1))*OFFSET($CH$9,CL44-1,0,1,1))+OFFSET($BO$9,CL44-1,CQ44,1,1),IF(F44&lt;OFFSET($BN$9,CL44+0,0,1,1),((F44-OFFSET($BM$9,CL44+0,0,1,1))*OFFSET($CH$9,CL44+0,0,1,1))+OFFSET($BO$9,CL44+0,CQ44,1,1),IF(F44&lt;OFFSET($BN$9,CL44+1,0,1,1),((F44-OFFSET($BM$9,CL44+1,0,1,1))*OFFSET($CH$9,CL44+1,0,1,1))+OFFSET($BO$9,CL44+1,CQ44,1,1),IF(F44&lt;OFFSET($BN$9,CL44+2,0,1,1),((F44-OFFSET($BM$9,CL44+2,0,1,1))*OFFSET($CH$9,CL44+2,0,1,1))+OFFSET($BO$9,CL44+2,CQ44,1,1),IF(F44&lt;OFFSET($BN$9,CL44+3,0,1,1),((F44-OFFSET($BM$9,CL44+3,0,1,1))*OFFSET($CH$9,CL44+3,0,1,1))+OFFSET($BO$9,CL44+3,CQ44,1,1),0))))))</f>
        <v>0</v>
      </c>
      <c r="CT44" s="1552">
        <f ca="1">IF($F44&lt;OFFSET($BM$9,$CL44-1,0,1,1),0,IF($F44&lt;OFFSET($BN$9,$CL44-1,0,1,1),IF(AND($H44&gt;2.4,Z44&lt;&gt;"e",Z44&lt;&gt;"f"),CX44*2.4/$H44,CX44),IF($F44&lt;OFFSET($BN$9,$CL44+0,0,1,1),IF(AND($H44&gt;2.4,Z44&lt;&gt;"e",Z44&lt;&gt;"f"),CX44*2.4/$H44,CX44),IF($F44&lt;OFFSET($BN$9,$CL44+1,0,1,1),IF(AND($H44&gt;2.4,Z44&lt;&gt;"e",Z44&lt;&gt;"f"),CX44*2.4/$H44,CX44),IF($F44&lt;OFFSET($BN$9,CL44+2,0,1,1),IF(AND($H44&gt;2.4,Z44&lt;&gt;"e",Z44&lt;&gt;"f"),CX44*2.4/$H44,CX44),IF($F44&lt;OFFSET($BN$9,CL44+3,0,1,1),IF(AND($H44&gt;2.4,Z44&lt;&gt;"e",Z44&lt;&gt;"f"),CX44*2.4/$H44,CX44),0)))))*COS(RADIANS($G44)))</f>
        <v>0</v>
      </c>
      <c r="CU44" s="51">
        <f ca="1">IF(F44&lt;OFFSET($BM$9,CL44-1,0,1,1),0,IF(F44&lt;OFFSET($BN$9,CL44-1,0,1,1),((F44-OFFSET($BM$9,CL44-1,0,1,1))*OFFSET($CI$9,CL44-1,0,1,1))+OFFSET($BP$9,CL44-1,CQ44,1,1),IF(F44&lt;OFFSET($BN$9,CL44+0,0,1,1),((F44-OFFSET($BM$9,CL44+0,0,1,1))*OFFSET($CI$9,CL44+0,0,1,1))+OFFSET($BP$9,CL44+0,CQ44,1,1),IF(F44&lt;OFFSET($BN$9,CL44+1,0,1,1),((F44-OFFSET($BM$9,CL44+1,0,1,1))*OFFSET($CI$9,CL44+1,0,1,1))+OFFSET($BP$9,CL44+1,CQ44,1,1),IF(F44&lt;OFFSET($BN$9,CL44+2,0,1,1),((F44-OFFSET($BM$9,CL44+2,0,1,1))*OFFSET($CI$9,CL44+2,0,1,1))+OFFSET($BP$9,CL44+2,CQ44,1,1),IF(F44&lt;OFFSET($BN$9,CL44+3,0,1,1),((F44-OFFSET($BM$9,CL44+3,0,1,1))*OFFSET($CI$9,CL44+3,0,1,1))+OFFSET($BP$9,CL44+3,CQ44,1,1),0))))))</f>
        <v>0</v>
      </c>
      <c r="CV44" s="1552">
        <f ca="1">IF($F44&lt;OFFSET($BM$9,$CL44-1,0,1,1),0,IF($F44&lt;OFFSET($BN$9,$CL44-1,0,1,1),IF(AND($H44&gt;2.4,Z44&lt;&gt;"e",Z44&lt;&gt;"f"),CZ44*2.4/$H44,CZ44),IF($F44&lt;OFFSET($BN$9,$CL44+0,0,1,1),IF(AND($H44&gt;2.4,Z44&lt;&gt;"e",Z44&lt;&gt;"f"),CZ44*2.4/$H44,CZ44),IF($F44&lt;OFFSET($BN$9,$CL44+1,0,1,1),IF(AND($H44&gt;2.4,Z44&lt;&gt;"e",Z44&lt;&gt;"f"),CZ44*2.4/$H44,CZ44),IF($F44&lt;OFFSET($BN$9,$CL44+2,0,1,1),IF(AND($H44&gt;2.4,Z44&lt;&gt;"e",Z44&lt;&gt;"f"),CZ44*2.4/$H44,CZ44),IF($F44&lt;OFFSET($BN$9,$CL44+3,0,1,1),IF(AND($H44&gt;2.4,Z44&lt;&gt;"e",Z44&lt;&gt;"f"),CZ44*2.4/$H44,CZ44),0)))))*COS(RADIANS($G44)))</f>
        <v>0</v>
      </c>
      <c r="CW44" s="51">
        <f ca="1">IF(CT44&gt;CR44,CR44,CT44)</f>
        <v>0</v>
      </c>
      <c r="CX44" s="51">
        <f ca="1">IF(CS44&gt;$CR44,$CR44,CS44)</f>
        <v>0</v>
      </c>
      <c r="CY44" s="51">
        <f ca="1">CW44*F44</f>
        <v>0</v>
      </c>
      <c r="CZ44" s="51">
        <f ca="1">IF($CU44&gt;$CR44,$CR44,$CU44)</f>
        <v>0</v>
      </c>
      <c r="DA44" s="51">
        <f ca="1">IF(CV44&gt;CR44,CR44,CV44)</f>
        <v>0</v>
      </c>
      <c r="DB44" s="51">
        <f ca="1">DA44*F44</f>
        <v>0</v>
      </c>
      <c r="DC44" s="993">
        <v>1</v>
      </c>
      <c r="DD44" s="758" t="str">
        <f>IF(OR(D44=BG$12,D44=BG$13),"External",IF(D44=BG$14,"Internal"," "))</f>
        <v xml:space="preserve"> </v>
      </c>
      <c r="DE44" s="51" t="str">
        <f t="shared" ca="1" si="2"/>
        <v/>
      </c>
      <c r="DF44" s="52" t="str">
        <f t="shared" ca="1" si="3"/>
        <v xml:space="preserve"> </v>
      </c>
      <c r="DG44" s="51">
        <f ca="1">IF(F44&lt;OFFSET($BM$9,CN44-1,0,1,1),0,IF(F44&lt;OFFSET($BN$9,CN44-1,0,1,1),((F44-OFFSET($BM$9,CN44-1,0,1,1))*OFFSET($CH$9,CN44-1,0,1,1))+OFFSET($BO$9,CN44-1,CQ44,1,1),IF(F44&lt;OFFSET($BN$9,CN44+0,0,1,1),((F44-OFFSET($BM$9,CN44+0,0,1,1))*OFFSET($CH$9,CN44+0,0,1,1))+OFFSET($BO$9,CN44+0,CQ44,1,1),IF(F44&lt;OFFSET($BN$9,CN44+1,0,1,1),((F44-OFFSET($BM$9,CN44+1,0,1,1))*OFFSET($CH$9,CN44+1,0,1,1))+OFFSET($BO$9,CN44+1,CQ44,1,1),IF(F44&lt;OFFSET($BN$9,CN44+2,0,1,1),((F44-OFFSET($BM$9,CN44+2,0,1,1))*OFFSET($CH$9,CN44+2,0,1,1))+OFFSET($BO$9,CN44+2,CQ44,1,1),IF(F44&lt;OFFSET($BN$9,CN44+3,0,1,1),((F44-OFFSET($BM$9,CN44+3,0,1,1))*OFFSET($CH$9,CN44+3,0,1,1))+OFFSET($BO$9,CN44+3,CQ44,1,1),0))))))</f>
        <v>0</v>
      </c>
      <c r="DH44" s="1552">
        <f ca="1">IF($F44&lt;OFFSET($BM$9,$CN44-1,0,1,1),0,IF($F44&lt;OFFSET($BN$9,$CN44-1,0,1,1),IF(AND($H44&gt;2.4,Z44&lt;&gt;"e",Z44&lt;&gt;"f"),DL44*2.4/$H44,DL44),IF($F44&lt;OFFSET($BN$9,$CN44+0,0,1,1),IF(AND($H44&gt;2.4,Z44&lt;&gt;"e",Z44&lt;&gt;"f"),DL44*2.4/$H44,DL44),IF($F44&lt;OFFSET($BN$9,$CN44+1,0,1,1),IF(AND($H44&gt;2.4,Z44&lt;&gt;"e",Z44&lt;&gt;"f"),DL44*2.4/$H44,DL44),IF($F44&lt;OFFSET($BN$9,$CN44+2,0,1,1),IF(AND($H44&gt;2.4,Z44&lt;&gt;"e",Z44&lt;&gt;"f"),DL44*2.4/$H44,DL44),IF($F44&lt;OFFSET($BN$9,$CN44+3,0,1,1),IF(AND($H44&gt;2.4,Z44&lt;&gt;"e",Z44&lt;&gt;"f"),DL44*2.4/$H44,DL44),0)))))*COS(RADIANS($G44)))</f>
        <v>0</v>
      </c>
      <c r="DI44" s="51">
        <f ca="1">IF(F44&lt;OFFSET($BM$9,CN44-1,0,1,1),0,IF(F44&lt;OFFSET($BN$9,CN44-1,0,1,1),((F44-OFFSET($BM$9,CN44-1,0,1,1))*OFFSET($CI$9,CN44-1,0,1,1))+OFFSET($BP$9,CN44-1,CQ44,1,1),IF(F44&lt;OFFSET($BN$9,CN44+0,0,1,1),((F44-OFFSET($BM$9,CN44+0,0,1,1))*OFFSET($CI$9,CN44+0,0,1,1))+OFFSET($BP$9,CN44+0,CQ44,1,1),IF(F44&lt;OFFSET($BN$9,CN44+1,0,1,1),((F44-OFFSET($BM$9,CN44+1,0,1,1))*OFFSET($CI$9,CN44+1,0,1,1))+OFFSET($BP$9,CN44+1,CQ44,1,1),IF(F44&lt;OFFSET($BN$9,CN44+2,0,1,1),((F44-OFFSET($BM$9,CN44+2,0,1,1))*OFFSET($CI$9,CN44+2,0,1,1))+OFFSET($BP$9,CN44+2,CQ44,1,1),IF(F44&lt;OFFSET($BN$9,CN44+3,0,1,1),((F44-OFFSET($BM$9,CN44+3,0,1,1))*OFFSET($CI$9,CN44+3,0,1,1))+OFFSET($BP$9,CN44+3,CQ44,1,1),0))))))</f>
        <v>0</v>
      </c>
      <c r="DJ44" s="1552">
        <f ca="1">IF($F44&lt;OFFSET($BM$9,$CN44-1,0,1,1),0,IF($F44&lt;OFFSET($BN$9,$CN44-1,0,1,1),IF(AND($H44&gt;2.4,Z44&lt;&gt;"e",Z44&lt;&gt;"f"),DN44*2.4/$H44,DN44),IF($F44&lt;OFFSET($BN$9,$CN44+0,0,1,1),IF(AND($H44&gt;2.4,Z44&lt;&gt;"e",Z44&lt;&gt;"f"),DN44*2.4/$H44,DN44),IF($F44&lt;OFFSET($BN$9,$CN44+1,0,1,1),IF(AND($H44&gt;2.4,Z44&lt;&gt;"e",Z44&lt;&gt;"f"),DN44*2.4/$H44,DN44),IF($F44&lt;OFFSET($BN$9,$CN44+2,0,1,1),IF(AND($H44&gt;2.4,Z44&lt;&gt;"e",Z44&lt;&gt;"f"),DN44*2.4/$H44,DN44),IF($F44&lt;OFFSET($BN$9,$CN44+3,0,1,1),IF(AND($H44&gt;2.4,Z44&lt;&gt;"e",Z44&lt;&gt;"f"),DN44*2.4/$H44,DN44),0)))))*COS(RADIANS($G44)))</f>
        <v>0</v>
      </c>
      <c r="DK44" s="51"/>
      <c r="DL44" s="51">
        <f ca="1">IF(DG44&gt;$CR44,$CR44,DG44)</f>
        <v>0</v>
      </c>
      <c r="DM44" s="51"/>
      <c r="DN44" s="51">
        <f ca="1">IF(DI44&gt;$CR44,$CR44,DI44)</f>
        <v>0</v>
      </c>
      <c r="DO44" s="435">
        <f ca="1">IF(DH44&gt;$CR44,$CR44,DH44)</f>
        <v>0</v>
      </c>
      <c r="DP44" s="435">
        <f ca="1">DO44*F44</f>
        <v>0</v>
      </c>
      <c r="DQ44" s="436">
        <f ca="1">IF(DJ44&gt;$CR44,$CR44,DJ44)</f>
        <v>0</v>
      </c>
      <c r="DR44" s="437">
        <f ca="1">DQ44*F44</f>
        <v>0</v>
      </c>
      <c r="DS44" s="426">
        <f ca="1">OFFSET($CH$9,CL44-1,-15,1,1)</f>
        <v>0</v>
      </c>
      <c r="DT44" s="426">
        <f ca="1">VLOOKUP(DS44,Prodlink,2,0)</f>
        <v>0</v>
      </c>
      <c r="DU44" s="188">
        <f ca="1">IF(F44&lt;OFFSET($BM$9,DT44-1,0,1,1),0,IF(F44&lt;OFFSET($BN$9,DT44-1,0,1,1),((F44-OFFSET($BM$9,DT44-1,0,1,1))*OFFSET($CH$9,DT44-1,0,1,1))+OFFSET($BO$9,DT44-1,CQ44,1,1),IF(F44&lt;OFFSET($BN$9,DT44+0,0,1,1),((F44-OFFSET($BM$9,DT44+0,0,1,1))*OFFSET($CH$9,DT44+0,0,1,1))+OFFSET($BO$9,DT44+0,CQ44,1,1),IF(F44&lt;OFFSET($BN$9,DT44+1,0,1,1),((F44-OFFSET($BM$9,DT44+1,0,1,1))*OFFSET($CH$9,DT44+1,0,1,1))+OFFSET($BO$9,DT44+1,CQ44,1,1),IF(F44&lt;OFFSET($BN$9,DT44+2,0,1,1),((F44-OFFSET($BM$9,DT44+2,0,1,1))*OFFSET($CH$9,DT44+2,0,1,1))+OFFSET($BO$9,DT44+2,CQ44,1,1),IF(F44&lt;OFFSET($BN$9,DT44+3,0,1,1),((F44-OFFSET($BM$9,DT44+3,0,1,1))*OFFSET($CH$9,DT44+3,0,1,1))+OFFSET($BO$9,DT44+3,CQ44,1,1),0))))))</f>
        <v>0</v>
      </c>
      <c r="DV44" s="1552">
        <f ca="1">IF($F44&lt;OFFSET($BM$9,$DT44-1,0,1,1),0,IF($F44&lt;OFFSET($BN$9,$DT44-1,0,1,1),IF(AND($H44&gt;2.4,Z44&lt;&gt;"e",Z44&lt;&gt;"f"),DZ44*2.4/$H44,DZ44),IF($F44&lt;OFFSET($BN$9,$DT44+0,0,1,1),IF(AND($H44&gt;2.4,Z44&lt;&gt;"e",Z44&lt;&gt;"f"),DZ44*2.4/$H44,DZ44),IF($F44&lt;OFFSET($BN$9,$DT44+1,0,1,1),IF(AND($H44&gt;2.4,Z44&lt;&gt;"e",Z44&lt;&gt;"f"),DZ44*2.4/$H44,DZ44),IF($F44&lt;OFFSET($BN$9,$DT44+2,0,1,1),IF(AND($H44&gt;2.4,Z44&lt;&gt;"e",Z44&lt;&gt;"f"),DZ44*2.4/$H44,DZ44),IF($F44&lt;OFFSET($BN$9,$DT44+3,0,1,1),IF(AND($H44&gt;2.4,Z44&lt;&gt;"e",Z44&lt;&gt;"f"),DZ44*2.4/$H44,DZ44),0)))))*COS(RADIANS($G44)))</f>
        <v>0</v>
      </c>
      <c r="DW44" s="188">
        <f ca="1">IF(F44&lt;OFFSET($BM$9,DT44-1,0,1,1),0,IF(F44&lt;OFFSET($BN$9,DT44-1,0,1,1),((F44-OFFSET($BM$9,DT44-1,0,1,1))*OFFSET($CI$9,DT44-1,0,1,1))+OFFSET($BP$9,DT44-1,CQ44,1,1),IF(F44&lt;OFFSET($BN$9,DT44+0,0,1,1),((F44-OFFSET($BM$9,DT44+0,0,1,1))*OFFSET($CI$9,DT44+0,0,1,1))+OFFSET($BP$9,DT44+0,CQ44,1,1),IF(F44&lt;OFFSET($BN$9,DT44+1,0,1,1),((F44-OFFSET($BM$9,DT44+1,0,1,1))*OFFSET($CI$9,DT44+1,0,1,1))+OFFSET($BP$9,DT44+1,CQ44,1,1),IF(F44&lt;OFFSET($BN$9,DT44+2,0,1,1),((F44-OFFSET($BM$9,DT44+2,0,1,1))*OFFSET($CI$9,DT44+2,0,1,1))+OFFSET($BP$9,DT44+2,CQ44,1,1),IF(F44&lt;OFFSET($BN$9,DT44+3,0,1,1),((F44-OFFSET($BM$9,DT44+3,0,1,1))*OFFSET($CI$9,DT44+3,0,1,1))+OFFSET($BP$9,DT44+3,CQ44,1,1),0))))))</f>
        <v>0</v>
      </c>
      <c r="DX44" s="1552">
        <f ca="1">IF($F44&lt;OFFSET($BM$9,$DT44-1,0,1,1),0,IF($F44&lt;OFFSET($BN$9,$DT44-1,0,1,1),IF(AND($H44&gt;2.4,Z44&lt;&gt;"e",Z44&lt;&gt;"f"),EB44*2.4/$H44,EB44),IF($F44&lt;OFFSET($BN$9,$DT44+0,0,1,1),IF(AND($H44&gt;2.4,Z44&lt;&gt;"e",Z44&lt;&gt;"f"),EB44*2.4/$H44,EB44),IF($F44&lt;OFFSET($BN$9,$DT44+1,0,1,1),IF(AND($H44&gt;2.4,Z44&lt;&gt;"e",Z44&lt;&gt;"f"),EB44*2.4/$H44,EB44),IF($F44&lt;OFFSET($BN$9,$DT44+2,0,1,1),IF(AND($H44&gt;2.4,Z44&lt;&gt;"e",Z44&lt;&gt;"f"),EB44*2.4/$H44,EB44),IF($F44&lt;OFFSET($BN$9,$DT44+3,0,1,1),IF(AND($H44&gt;2.4,Z44&lt;&gt;"e",Z44&lt;&gt;"f"),EB44*2.4/$H44,EB44),0)))))*COS(RADIANS($G44)))</f>
        <v>0</v>
      </c>
      <c r="DY44" s="188"/>
      <c r="DZ44" s="188">
        <f ca="1">IF(DU44&gt;$CR44,$CR44,DU44)</f>
        <v>0</v>
      </c>
      <c r="EA44" s="188"/>
      <c r="EB44" s="188">
        <f ca="1">IF(DW44&gt;$CR44,$CR44,DW44)</f>
        <v>0</v>
      </c>
      <c r="EC44" s="435">
        <f ca="1">IF(DV44&gt;$CR44,$CR44,DV44)</f>
        <v>0</v>
      </c>
      <c r="ED44" s="435">
        <f ca="1">EC44*F44</f>
        <v>0</v>
      </c>
      <c r="EE44" s="436">
        <f ca="1">IF(DX44&gt;$CR44,$CR44,DX44)</f>
        <v>0</v>
      </c>
      <c r="EF44" s="437">
        <f ca="1">EE44*F44</f>
        <v>0</v>
      </c>
      <c r="EG44" s="613" t="str">
        <f>IF(D44=BG$12,BG$12,"")</f>
        <v/>
      </c>
      <c r="EH44" s="614" t="str">
        <f>IF(D44=BG$13,BG$13,"")</f>
        <v/>
      </c>
      <c r="EI44" s="611">
        <f>IF(EG44=BG$12,M44,0)</f>
        <v>0</v>
      </c>
      <c r="EJ44" s="451">
        <f>IF(EG44=BG$12,O44,0)</f>
        <v>0</v>
      </c>
      <c r="EK44" s="451">
        <f>IF(EH44=BG$13,M44,0)</f>
        <v>0</v>
      </c>
      <c r="EL44" s="612">
        <f>IF(EH44=BG$13,O44,0)</f>
        <v>0</v>
      </c>
      <c r="EM44" s="426" t="str">
        <f ca="1">IF(AND(Z44&lt;&gt;"t",Z44&lt;&gt;"f"),"",IF(AND(EN44=$BH$13,K44=$BH$12),"NotOpt",IF(K44&lt;&gt;EN44,"Error","")))</f>
        <v/>
      </c>
      <c r="EN44" s="490" t="str">
        <f>IF($BG$28=1,$BH$13,$BH$12)</f>
        <v>120 BU's</v>
      </c>
      <c r="EO44" s="426" t="str">
        <f>K44</f>
        <v xml:space="preserve"> </v>
      </c>
      <c r="ER44" s="439" t="str">
        <f ca="1">IF(H44=0," ",H44)</f>
        <v xml:space="preserve"> </v>
      </c>
      <c r="ES44" s="440" t="str">
        <f ca="1">IF(ER44&lt;&gt;" ",IF(ER44&lt;&gt;ER$7,"Changed",""),"")</f>
        <v/>
      </c>
      <c r="ET44" s="440">
        <f ca="1">IF(ER44&lt;&gt;" ",IF(ER44&lt;&gt;ER$7,1,0),0)</f>
        <v>0</v>
      </c>
      <c r="EU44" s="957" t="str">
        <f ca="1">IF(I44=" "," ",IF(F44&lt;OFFSET($BM$9,CL44-1,0,1,1),1,""))</f>
        <v xml:space="preserve"> </v>
      </c>
      <c r="EW44" s="427"/>
      <c r="EX44"/>
      <c r="EY44"/>
      <c r="EZ44"/>
      <c r="FA44"/>
      <c r="FB44"/>
      <c r="FC44"/>
      <c r="FD44"/>
      <c r="FE44"/>
      <c r="FF44"/>
      <c r="FG44"/>
      <c r="FH44"/>
      <c r="FI44"/>
      <c r="FJ44"/>
      <c r="FK44"/>
      <c r="FL44"/>
      <c r="FM44"/>
      <c r="FN44"/>
      <c r="FO44"/>
    </row>
    <row r="45" spans="1:171" ht="17.100000000000001" customHeight="1" thickBot="1">
      <c r="A45" s="2685"/>
      <c r="B45" s="689" t="s">
        <v>246</v>
      </c>
      <c r="C45" s="684" t="str">
        <f>IF(OR(F45=0,I45="",I45=" ")," ",$V45)</f>
        <v xml:space="preserve"> </v>
      </c>
      <c r="D45" s="1033"/>
      <c r="E45" s="1360" t="s">
        <v>8</v>
      </c>
      <c r="F45" s="202"/>
      <c r="G45" s="1416"/>
      <c r="H45" s="199" t="str">
        <f ca="1">IF(OR(F45=0,Z45="E",Z45="f")," ",'Project Demand'!E$45)</f>
        <v xml:space="preserve"> </v>
      </c>
      <c r="I45" s="631" t="str">
        <f>IF($I$6&lt;&gt;$BG$8," ",AB45)</f>
        <v xml:space="preserve"> </v>
      </c>
      <c r="J45" s="44" t="str">
        <f ca="1">IF(OR(I45=" ",I45="")," ",OFFSET($BO$9,CL45-1,0-4,1,1))</f>
        <v xml:space="preserve"> </v>
      </c>
      <c r="K45" s="55" t="str">
        <f>IF(OR(I45=" ",I45="")," ",IF(OR(Z45="e",Z45="h"),"SD",BG$24))</f>
        <v xml:space="preserve"> </v>
      </c>
      <c r="L45" s="49">
        <f ca="1">CW45</f>
        <v>0</v>
      </c>
      <c r="M45" s="49">
        <f ca="1">CY45</f>
        <v>0</v>
      </c>
      <c r="N45" s="50">
        <f t="shared" ca="1" si="28"/>
        <v>0</v>
      </c>
      <c r="O45" s="126">
        <f t="shared" ca="1" si="28"/>
        <v>0</v>
      </c>
      <c r="P45" s="140"/>
      <c r="Q45" s="752" t="str">
        <f ca="1">IF(AND(OR(Z45="t",Z45="f"),K45=$BH$11),"No Floor!  Change Floor Type",IF(OR(I45=" ",I45="")," ",IF(F45&lt;OFFSET($BM$9,CL45-1,0,1,1),"check L(m)",DE45&amp;IF(AND(DP45&gt;=CY45,DR45&gt;=DB45),IF(AND(ED45&gt;=DP45,EF45&gt;=DR45),CONCATENATE(DS45," will provide same result"),CONCATENATE(CO45," will provide same result")),IF((DP45&gt;=CY45),CONCATENATE(CO45," provides same result in WIND"),IF((DR45&gt;=DB45),CONCATENATE(CO45," provides same result in EQ"),""))))))&amp;IF(ISERROR(FIND("pile",I45,1)),"",IF(INT(F45)&lt;&gt;F45,"Pile!  Use Whole Numbers Only",""))</f>
        <v xml:space="preserve"> </v>
      </c>
      <c r="R45" s="52"/>
      <c r="S45" s="1372"/>
      <c r="T45" s="1372"/>
      <c r="U45" s="1377"/>
      <c r="V45" s="52" t="str">
        <f ca="1">IF(AND(B$5=$BF$9,OR(I45=BH$16,I45=BH$17))," ",IF(ISNUMBER(B$44),(CONCATENATE(B$44,".",W45)),(CONCATENATE(B$44,W45))))</f>
        <v>G0</v>
      </c>
      <c r="W45" s="9">
        <f ca="1">W44+X45</f>
        <v>0</v>
      </c>
      <c r="X45" s="9">
        <f>IF(AND(B$5=$BF$9,OR($I45=$BH$16,$I45=$BH$17,$I45=" ",$I45="",$F45=0)),0,IF(OR($I45=" ",$I45="",$F45=0),0,1))</f>
        <v>0</v>
      </c>
      <c r="Y45" s="896"/>
      <c r="Z45" s="52" t="str">
        <f ca="1">IF(I45=" "," ",OFFSET($BM$9,$CL45-1,8,1,1))</f>
        <v xml:space="preserve"> </v>
      </c>
      <c r="AA45" s="51" t="str">
        <f>IF(G45&gt;=45,"WA","")</f>
        <v/>
      </c>
      <c r="AB45" s="1364" t="str">
        <f>IF(F45&lt;&gt;"",IF(OR(D45=$BG$12,D45=$BG$13),IF(E45&lt;&gt;$BG$17,$BF$12,$BF$13),IF(E45&lt;&gt;$BG$17,$BF$12,$BF$13))," ")</f>
        <v xml:space="preserve"> </v>
      </c>
      <c r="AC45" s="1"/>
      <c r="AK45" s="2184" t="str">
        <f>'Custom Elements'!B6</f>
        <v>Supplier or Type</v>
      </c>
      <c r="AL45" s="2823" t="str">
        <f>'Custom Elements'!C6</f>
        <v xml:space="preserve"> Custom System Number</v>
      </c>
      <c r="AM45" s="1862" t="str">
        <f>'Custom Elements'!D6</f>
        <v>Min Length (m) or #</v>
      </c>
      <c r="AN45" s="2565" t="str">
        <f>'Custom Elements'!E6</f>
        <v>BU's/m   Wind</v>
      </c>
      <c r="AO45" s="2565" t="str">
        <f>'Custom Elements'!F6</f>
        <v>BU's/m   EQ</v>
      </c>
      <c r="AP45" s="1244"/>
      <c r="AQ45" s="1862" t="str">
        <f>'Custom Elements'!H6</f>
        <v>Single or Double Sided System</v>
      </c>
      <c r="AR45" s="1866" t="str">
        <f>'Custom Elements'!I6</f>
        <v>Height Dependant</v>
      </c>
      <c r="AS45" s="2232" t="str">
        <f>'Custom Elements'!J6</f>
        <v>Foundation Dependant</v>
      </c>
      <c r="AT45" s="1164"/>
      <c r="AU45" s="1164"/>
      <c r="AZ45" s="2232" t="s">
        <v>1102</v>
      </c>
      <c r="BD45" s="637"/>
      <c r="BF45" s="600" t="s">
        <v>8</v>
      </c>
      <c r="BI45" s="759"/>
      <c r="BJ45" s="897">
        <f t="shared" si="27"/>
        <v>37</v>
      </c>
      <c r="BK45" s="1224"/>
      <c r="BL45" s="1209"/>
      <c r="BM45" s="969">
        <f>Table!J11</f>
        <v>0.6</v>
      </c>
      <c r="BN45" s="455">
        <f t="shared" ref="BN45:BN47" si="29">BM46</f>
        <v>0.8</v>
      </c>
      <c r="BO45" s="455">
        <f>Table!K11</f>
        <v>57</v>
      </c>
      <c r="BP45" s="925">
        <f>Table!L11</f>
        <v>52</v>
      </c>
      <c r="BR45" s="1225"/>
      <c r="BS45" s="1212"/>
      <c r="BT45" s="1212"/>
      <c r="BU45" s="1226" t="s">
        <v>242</v>
      </c>
      <c r="BV45" s="895"/>
      <c r="BW45" s="603"/>
      <c r="BX45" s="1226" t="str">
        <f>Table!N11</f>
        <v>Double</v>
      </c>
      <c r="CH45" s="764">
        <f>IF(BN45=999,0,(BO46-BO45)/(BN45-BM45))</f>
        <v>4.9999999999999982</v>
      </c>
      <c r="CI45" s="925">
        <f>IF(BN45=999,0,(BP46-BP45)/(BN45-BM45))</f>
        <v>4.9999999999999982</v>
      </c>
      <c r="CJ45" s="759"/>
      <c r="CK45" s="188"/>
      <c r="CL45" s="979">
        <f>VLOOKUP(I45,Prodlink,2,0)</f>
        <v>0</v>
      </c>
      <c r="CN45" s="497">
        <f t="shared" ca="1" si="26"/>
        <v>0</v>
      </c>
      <c r="CO45" s="497">
        <f ca="1">OFFSET($CH$9,CL45-1,-15,1,1)</f>
        <v>0</v>
      </c>
      <c r="CQ45" s="51">
        <v>0</v>
      </c>
      <c r="CR45" s="51">
        <f>IF(K45=$BH$12,$BH$23,IF(K45=$BH$13,$BH$24,10000))</f>
        <v>10000</v>
      </c>
      <c r="CS45" s="51">
        <f ca="1">IF(F45&lt;OFFSET($BM$9,CL45-1,0,1,1),0,IF(F45&lt;OFFSET($BN$9,CL45-1,0,1,1),((F45-OFFSET($BM$9,CL45-1,0,1,1))*OFFSET($CH$9,CL45-1,0,1,1))+OFFSET($BO$9,CL45-1,CQ45,1,1),IF(F45&lt;OFFSET($BN$9,CL45+0,0,1,1),((F45-OFFSET($BM$9,CL45+0,0,1,1))*OFFSET($CH$9,CL45+0,0,1,1))+OFFSET($BO$9,CL45+0,CQ45,1,1),IF(F45&lt;OFFSET($BN$9,CL45+1,0,1,1),((F45-OFFSET($BM$9,CL45+1,0,1,1))*OFFSET($CH$9,CL45+1,0,1,1))+OFFSET($BO$9,CL45+1,CQ45,1,1),IF(F45&lt;OFFSET($BN$9,CL45+2,0,1,1),((F45-OFFSET($BM$9,CL45+2,0,1,1))*OFFSET($CH$9,CL45+2,0,1,1))+OFFSET($BO$9,CL45+2,CQ45,1,1),IF(F45&lt;OFFSET($BN$9,CL45+3,0,1,1),((F45-OFFSET($BM$9,CL45+3,0,1,1))*OFFSET($CH$9,CL45+3,0,1,1))+OFFSET($BO$9,CL45+3,CQ45,1,1),0))))))</f>
        <v>0</v>
      </c>
      <c r="CT45" s="51">
        <f ca="1">IF($F45&lt;OFFSET($BM$9,$CL45-1,0,1,1),0,IF($F45&lt;OFFSET($BN$9,$CL45-1,0,1,1),IF(AND($H45&gt;2.4,Z45&lt;&gt;"e",Z45&lt;&gt;"f"),CX45*2.4/$H45,CX45),IF($F45&lt;OFFSET($BN$9,$CL45+0,0,1,1),IF(AND($H45&gt;2.4,Z45&lt;&gt;"e",Z45&lt;&gt;"f"),CX45*2.4/$H45,CX45),IF($F45&lt;OFFSET($BN$9,$CL45+1,0,1,1),IF(AND($H45&gt;2.4,Z45&lt;&gt;"e",Z45&lt;&gt;"f"),CX45*2.4/$H45,CX45),IF($F45&lt;OFFSET($BN$9,CL45+2,0,1,1),IF(AND($H45&gt;2.4,Z45&lt;&gt;"e",Z45&lt;&gt;"f"),CX45*2.4/$H45,CX45),IF($F45&lt;OFFSET($BN$9,CL45+3,0,1,1),IF(AND($H45&gt;2.4,Z45&lt;&gt;"e",Z45&lt;&gt;"f"),CX45*2.4/$H45,CX45),0)))))*COS(RADIANS($G45)))</f>
        <v>0</v>
      </c>
      <c r="CU45" s="51">
        <f ca="1">IF(F45&lt;OFFSET($BM$9,CL45-1,0,1,1),0,IF(F45&lt;OFFSET($BN$9,CL45-1,0,1,1),((F45-OFFSET($BM$9,CL45-1,0,1,1))*OFFSET($CI$9,CL45-1,0,1,1))+OFFSET($BP$9,CL45-1,CQ45,1,1),IF(F45&lt;OFFSET($BN$9,CL45+0,0,1,1),((F45-OFFSET($BM$9,CL45+0,0,1,1))*OFFSET($CI$9,CL45+0,0,1,1))+OFFSET($BP$9,CL45+0,CQ45,1,1),IF(F45&lt;OFFSET($BN$9,CL45+1,0,1,1),((F45-OFFSET($BM$9,CL45+1,0,1,1))*OFFSET($CI$9,CL45+1,0,1,1))+OFFSET($BP$9,CL45+1,CQ45,1,1),IF(F45&lt;OFFSET($BN$9,CL45+2,0,1,1),((F45-OFFSET($BM$9,CL45+2,0,1,1))*OFFSET($CI$9,CL45+2,0,1,1))+OFFSET($BP$9,CL45+2,CQ45,1,1),IF(F45&lt;OFFSET($BN$9,CL45+3,0,1,1),((F45-OFFSET($BM$9,CL45+3,0,1,1))*OFFSET($CI$9,CL45+3,0,1,1))+OFFSET($BP$9,CL45+3,CQ45,1,1),0))))))</f>
        <v>0</v>
      </c>
      <c r="CV45" s="51">
        <f ca="1">IF($F45&lt;OFFSET($BM$9,$CL45-1,0,1,1),0,IF($F45&lt;OFFSET($BN$9,$CL45-1,0,1,1),IF(AND($H45&gt;2.4,Z45&lt;&gt;"e",Z45&lt;&gt;"f"),CZ45*2.4/$H45,CZ45),IF($F45&lt;OFFSET($BN$9,$CL45+0,0,1,1),IF(AND($H45&gt;2.4,Z45&lt;&gt;"e",Z45&lt;&gt;"f"),CZ45*2.4/$H45,CZ45),IF($F45&lt;OFFSET($BN$9,$CL45+1,0,1,1),IF(AND($H45&gt;2.4,Z45&lt;&gt;"e",Z45&lt;&gt;"f"),CZ45*2.4/$H45,CZ45),IF($F45&lt;OFFSET($BN$9,$CL45+2,0,1,1),IF(AND($H45&gt;2.4,Z45&lt;&gt;"e",Z45&lt;&gt;"f"),CZ45*2.4/$H45,CZ45),IF($F45&lt;OFFSET($BN$9,$CL45+3,0,1,1),IF(AND($H45&gt;2.4,Z45&lt;&gt;"e",Z45&lt;&gt;"f"),CZ45*2.4/$H45,CZ45),0)))))*COS(RADIANS($G45)))</f>
        <v>0</v>
      </c>
      <c r="CW45" s="51">
        <f ca="1">IF(CT45&gt;CR45,CR45,CT45)</f>
        <v>0</v>
      </c>
      <c r="CX45" s="51">
        <f ca="1">IF(CS45&gt;$CR45,$CR45,CS45)</f>
        <v>0</v>
      </c>
      <c r="CY45" s="51">
        <f ca="1">CW45*F45</f>
        <v>0</v>
      </c>
      <c r="CZ45" s="51">
        <f ca="1">IF($CU45&gt;$CR45,$CR45,$CU45)</f>
        <v>0</v>
      </c>
      <c r="DA45" s="51">
        <f ca="1">IF(CV45&gt;CR45,CR45,CV45)</f>
        <v>0</v>
      </c>
      <c r="DB45" s="51">
        <f ca="1">DA45*F45</f>
        <v>0</v>
      </c>
      <c r="DC45" s="993">
        <v>1</v>
      </c>
      <c r="DD45" s="758" t="str">
        <f>IF(OR(D45=BG$12,D45=BG$13),"External",IF(D45=BG$14,"Internal"," "))</f>
        <v xml:space="preserve"> </v>
      </c>
      <c r="DE45" s="51" t="str">
        <f t="shared" ca="1" si="2"/>
        <v/>
      </c>
      <c r="DF45" s="52" t="str">
        <f t="shared" ca="1" si="3"/>
        <v xml:space="preserve"> </v>
      </c>
      <c r="DG45" s="51">
        <f ca="1">IF(F45&lt;OFFSET($BM$9,CN45-1,0,1,1),0,IF(F45&lt;OFFSET($BN$9,CN45-1,0,1,1),((F45-OFFSET($BM$9,CN45-1,0,1,1))*OFFSET($CH$9,CN45-1,0,1,1))+OFFSET($BO$9,CN45-1,CQ45,1,1),IF(F45&lt;OFFSET($BN$9,CN45+0,0,1,1),((F45-OFFSET($BM$9,CN45+0,0,1,1))*OFFSET($CH$9,CN45+0,0,1,1))+OFFSET($BO$9,CN45+0,CQ45,1,1),IF(F45&lt;OFFSET($BN$9,CN45+1,0,1,1),((F45-OFFSET($BM$9,CN45+1,0,1,1))*OFFSET($CH$9,CN45+1,0,1,1))+OFFSET($BO$9,CN45+1,CQ45,1,1),IF(F45&lt;OFFSET($BN$9,CN45+2,0,1,1),((F45-OFFSET($BM$9,CN45+2,0,1,1))*OFFSET($CH$9,CN45+2,0,1,1))+OFFSET($BO$9,CN45+2,CQ45,1,1),IF(F45&lt;OFFSET($BN$9,CN45+3,0,1,1),((F45-OFFSET($BM$9,CN45+3,0,1,1))*OFFSET($CH$9,CN45+3,0,1,1))+OFFSET($BO$9,CN45+3,CQ45,1,1),0))))))</f>
        <v>0</v>
      </c>
      <c r="DH45" s="51">
        <f ca="1">IF($F45&lt;OFFSET($BM$9,$CN45-1,0,1,1),0,IF($F45&lt;OFFSET($BN$9,$CN45-1,0,1,1),IF(AND($H45&gt;2.4,Z45&lt;&gt;"e",Z45&lt;&gt;"f"),DL45*2.4/$H45,DL45),IF($F45&lt;OFFSET($BN$9,$CN45+0,0,1,1),IF(AND($H45&gt;2.4,Z45&lt;&gt;"e",Z45&lt;&gt;"f"),DL45*2.4/$H45,DL45),IF($F45&lt;OFFSET($BN$9,$CN45+1,0,1,1),IF(AND($H45&gt;2.4,Z45&lt;&gt;"e",Z45&lt;&gt;"f"),DL45*2.4/$H45,DL45),IF($F45&lt;OFFSET($BN$9,$CN45+2,0,1,1),IF(AND($H45&gt;2.4,Z45&lt;&gt;"e",Z45&lt;&gt;"f"),DL45*2.4/$H45,DL45),IF($F45&lt;OFFSET($BN$9,$CN45+3,0,1,1),IF(AND($H45&gt;2.4,Z45&lt;&gt;"e",Z45&lt;&gt;"f"),DL45*2.4/$H45,DL45),0)))))*COS(RADIANS($G45)))</f>
        <v>0</v>
      </c>
      <c r="DI45" s="51">
        <f ca="1">IF(F45&lt;OFFSET($BM$9,CN45-1,0,1,1),0,IF(F45&lt;OFFSET($BN$9,CN45-1,0,1,1),((F45-OFFSET($BM$9,CN45-1,0,1,1))*OFFSET($CI$9,CN45-1,0,1,1))+OFFSET($BP$9,CN45-1,CQ45,1,1),IF(F45&lt;OFFSET($BN$9,CN45+0,0,1,1),((F45-OFFSET($BM$9,CN45+0,0,1,1))*OFFSET($CI$9,CN45+0,0,1,1))+OFFSET($BP$9,CN45+0,CQ45,1,1),IF(F45&lt;OFFSET($BN$9,CN45+1,0,1,1),((F45-OFFSET($BM$9,CN45+1,0,1,1))*OFFSET($CI$9,CN45+1,0,1,1))+OFFSET($BP$9,CN45+1,CQ45,1,1),IF(F45&lt;OFFSET($BN$9,CN45+2,0,1,1),((F45-OFFSET($BM$9,CN45+2,0,1,1))*OFFSET($CI$9,CN45+2,0,1,1))+OFFSET($BP$9,CN45+2,CQ45,1,1),IF(F45&lt;OFFSET($BN$9,CN45+3,0,1,1),((F45-OFFSET($BM$9,CN45+3,0,1,1))*OFFSET($CI$9,CN45+3,0,1,1))+OFFSET($BP$9,CN45+3,CQ45,1,1),0))))))</f>
        <v>0</v>
      </c>
      <c r="DJ45" s="51">
        <f ca="1">IF($F45&lt;OFFSET($BM$9,$CN45-1,0,1,1),0,IF($F45&lt;OFFSET($BN$9,$CN45-1,0,1,1),IF(AND($H45&gt;2.4,Z45&lt;&gt;"e",Z45&lt;&gt;"f"),DN45*2.4/$H45,DN45),IF($F45&lt;OFFSET($BN$9,$CN45+0,0,1,1),IF(AND($H45&gt;2.4,Z45&lt;&gt;"e",Z45&lt;&gt;"f"),DN45*2.4/$H45,DN45),IF($F45&lt;OFFSET($BN$9,$CN45+1,0,1,1),IF(AND($H45&gt;2.4,Z45&lt;&gt;"e",Z45&lt;&gt;"f"),DN45*2.4/$H45,DN45),IF($F45&lt;OFFSET($BN$9,$CN45+2,0,1,1),IF(AND($H45&gt;2.4,Z45&lt;&gt;"e",Z45&lt;&gt;"f"),DN45*2.4/$H45,DN45),IF($F45&lt;OFFSET($BN$9,$CN45+3,0,1,1),IF(AND($H45&gt;2.4,Z45&lt;&gt;"e",Z45&lt;&gt;"f"),DN45*2.4/$H45,DN45),0)))))*COS(RADIANS($G45)))</f>
        <v>0</v>
      </c>
      <c r="DK45" s="51"/>
      <c r="DL45" s="51">
        <f ca="1">IF(DG45&gt;$CR45,$CR45,DG45)</f>
        <v>0</v>
      </c>
      <c r="DM45" s="51"/>
      <c r="DN45" s="51">
        <f ca="1">IF(DI45&gt;$CR45,$CR45,DI45)</f>
        <v>0</v>
      </c>
      <c r="DO45" s="435">
        <f ca="1">IF(DH45&gt;$CR45,$CR45,DH45)</f>
        <v>0</v>
      </c>
      <c r="DP45" s="435">
        <f ca="1">DO45*F45</f>
        <v>0</v>
      </c>
      <c r="DQ45" s="436">
        <f ca="1">IF(DJ45&gt;$CR45,$CR45,DJ45)</f>
        <v>0</v>
      </c>
      <c r="DR45" s="437">
        <f ca="1">DQ45*F45</f>
        <v>0</v>
      </c>
      <c r="DS45" s="426">
        <f ca="1">OFFSET($CH$9,CL45-1,-15,1,1)</f>
        <v>0</v>
      </c>
      <c r="DT45" s="426">
        <f ca="1">VLOOKUP(DS45,Prodlink,2,0)</f>
        <v>0</v>
      </c>
      <c r="DU45" s="188">
        <f ca="1">IF(F45&lt;OFFSET($BM$9,DT45-1,0,1,1),0,IF(F45&lt;OFFSET($BN$9,DT45-1,0,1,1),((F45-OFFSET($BM$9,DT45-1,0,1,1))*OFFSET($CH$9,DT45-1,0,1,1))+OFFSET($BO$9,DT45-1,CQ45,1,1),IF(F45&lt;OFFSET($BN$9,DT45+0,0,1,1),((F45-OFFSET($BM$9,DT45+0,0,1,1))*OFFSET($CH$9,DT45+0,0,1,1))+OFFSET($BO$9,DT45+0,CQ45,1,1),IF(F45&lt;OFFSET($BN$9,DT45+1,0,1,1),((F45-OFFSET($BM$9,DT45+1,0,1,1))*OFFSET($CH$9,DT45+1,0,1,1))+OFFSET($BO$9,DT45+1,CQ45,1,1),IF(F45&lt;OFFSET($BN$9,DT45+2,0,1,1),((F45-OFFSET($BM$9,DT45+2,0,1,1))*OFFSET($CH$9,DT45+2,0,1,1))+OFFSET($BO$9,DT45+2,CQ45,1,1),IF(F45&lt;OFFSET($BN$9,DT45+3,0,1,1),((F45-OFFSET($BM$9,DT45+3,0,1,1))*OFFSET($CH$9,DT45+3,0,1,1))+OFFSET($BO$9,DT45+3,CQ45,1,1),0))))))</f>
        <v>0</v>
      </c>
      <c r="DV45" s="51">
        <f ca="1">IF($F45&lt;OFFSET($BM$9,$DT45-1,0,1,1),0,IF($F45&lt;OFFSET($BN$9,$DT45-1,0,1,1),IF(AND($H45&gt;2.4,Z45&lt;&gt;"e",Z45&lt;&gt;"f"),DZ45*2.4/$H45,DZ45),IF($F45&lt;OFFSET($BN$9,$DT45+0,0,1,1),IF(AND($H45&gt;2.4,Z45&lt;&gt;"e",Z45&lt;&gt;"f"),DZ45*2.4/$H45,DZ45),IF($F45&lt;OFFSET($BN$9,$DT45+1,0,1,1),IF(AND($H45&gt;2.4,Z45&lt;&gt;"e",Z45&lt;&gt;"f"),DZ45*2.4/$H45,DZ45),IF($F45&lt;OFFSET($BN$9,$DT45+2,0,1,1),IF(AND($H45&gt;2.4,Z45&lt;&gt;"e",Z45&lt;&gt;"f"),DZ45*2.4/$H45,DZ45),IF($F45&lt;OFFSET($BN$9,$DT45+3,0,1,1),IF(AND($H45&gt;2.4,Z45&lt;&gt;"e",Z45&lt;&gt;"f"),DZ45*2.4/$H45,DZ45),0)))))*COS(RADIANS($G45)))</f>
        <v>0</v>
      </c>
      <c r="DW45" s="188">
        <f ca="1">IF(F45&lt;OFFSET($BM$9,DT45-1,0,1,1),0,IF(F45&lt;OFFSET($BN$9,DT45-1,0,1,1),((F45-OFFSET($BM$9,DT45-1,0,1,1))*OFFSET($CI$9,DT45-1,0,1,1))+OFFSET($BP$9,DT45-1,CQ45,1,1),IF(F45&lt;OFFSET($BN$9,DT45+0,0,1,1),((F45-OFFSET($BM$9,DT45+0,0,1,1))*OFFSET($CI$9,DT45+0,0,1,1))+OFFSET($BP$9,DT45+0,CQ45,1,1),IF(F45&lt;OFFSET($BN$9,DT45+1,0,1,1),((F45-OFFSET($BM$9,DT45+1,0,1,1))*OFFSET($CI$9,DT45+1,0,1,1))+OFFSET($BP$9,DT45+1,CQ45,1,1),IF(F45&lt;OFFSET($BN$9,DT45+2,0,1,1),((F45-OFFSET($BM$9,DT45+2,0,1,1))*OFFSET($CI$9,DT45+2,0,1,1))+OFFSET($BP$9,DT45+2,CQ45,1,1),IF(F45&lt;OFFSET($BN$9,DT45+3,0,1,1),((F45-OFFSET($BM$9,DT45+3,0,1,1))*OFFSET($CI$9,DT45+3,0,1,1))+OFFSET($BP$9,DT45+3,CQ45,1,1),0))))))</f>
        <v>0</v>
      </c>
      <c r="DX45" s="51">
        <f ca="1">IF($F45&lt;OFFSET($BM$9,$DT45-1,0,1,1),0,IF($F45&lt;OFFSET($BN$9,$DT45-1,0,1,1),IF(AND($H45&gt;2.4,Z45&lt;&gt;"e",Z45&lt;&gt;"f"),EB45*2.4/$H45,EB45),IF($F45&lt;OFFSET($BN$9,$DT45+0,0,1,1),IF(AND($H45&gt;2.4,Z45&lt;&gt;"e",Z45&lt;&gt;"f"),EB45*2.4/$H45,EB45),IF($F45&lt;OFFSET($BN$9,$DT45+1,0,1,1),IF(AND($H45&gt;2.4,Z45&lt;&gt;"e",Z45&lt;&gt;"f"),EB45*2.4/$H45,EB45),IF($F45&lt;OFFSET($BN$9,$DT45+2,0,1,1),IF(AND($H45&gt;2.4,Z45&lt;&gt;"e",Z45&lt;&gt;"f"),EB45*2.4/$H45,EB45),IF($F45&lt;OFFSET($BN$9,$DT45+3,0,1,1),IF(AND($H45&gt;2.4,Z45&lt;&gt;"e",Z45&lt;&gt;"f"),EB45*2.4/$H45,EB45),0)))))*COS(RADIANS($G45)))</f>
        <v>0</v>
      </c>
      <c r="DY45" s="188"/>
      <c r="DZ45" s="188">
        <f ca="1">IF(DU45&gt;$CR45,$CR45,DU45)</f>
        <v>0</v>
      </c>
      <c r="EA45" s="188"/>
      <c r="EB45" s="188">
        <f ca="1">IF(DW45&gt;$CR45,$CR45,DW45)</f>
        <v>0</v>
      </c>
      <c r="EC45" s="435">
        <f ca="1">IF(DV45&gt;$CR45,$CR45,DV45)</f>
        <v>0</v>
      </c>
      <c r="ED45" s="435">
        <f ca="1">EC45*F45</f>
        <v>0</v>
      </c>
      <c r="EE45" s="436">
        <f ca="1">IF(DX45&gt;$CR45,$CR45,DX45)</f>
        <v>0</v>
      </c>
      <c r="EF45" s="437">
        <f ca="1">EE45*F45</f>
        <v>0</v>
      </c>
      <c r="EG45" s="613" t="str">
        <f>IF(D45=BG$12,BG$12,"")</f>
        <v/>
      </c>
      <c r="EH45" s="614" t="str">
        <f>IF(D45=BG$13,BG$13,"")</f>
        <v/>
      </c>
      <c r="EI45" s="611">
        <f>IF(EG45=BG$12,M45,0)</f>
        <v>0</v>
      </c>
      <c r="EJ45" s="451">
        <f>IF(EG45=BG$12,O45,0)</f>
        <v>0</v>
      </c>
      <c r="EK45" s="451">
        <f>IF(EH45=BG$13,M45,0)</f>
        <v>0</v>
      </c>
      <c r="EL45" s="612">
        <f>IF(EH45=BG$13,O45,0)</f>
        <v>0</v>
      </c>
      <c r="EM45" s="426" t="str">
        <f ca="1">IF(AND(Z45&lt;&gt;"t",Z45&lt;&gt;"f"),"",IF(AND(EN45=$BH$13,K45=$BH$12),"NotOpt",IF(K45&lt;&gt;EN45,"Error","")))</f>
        <v/>
      </c>
      <c r="EN45" s="490" t="str">
        <f>IF($BG$28=1,$BH$13,$BH$12)</f>
        <v>120 BU's</v>
      </c>
      <c r="EO45" s="426" t="str">
        <f>K45</f>
        <v xml:space="preserve"> </v>
      </c>
      <c r="ER45" s="439" t="str">
        <f ca="1">IF(H45=0," ",H45)</f>
        <v xml:space="preserve"> </v>
      </c>
      <c r="ES45" s="440" t="str">
        <f ca="1">IF(ER45&lt;&gt;" ",IF(ER45&lt;&gt;ER$7,"Changed",""),"")</f>
        <v/>
      </c>
      <c r="ET45" s="440">
        <f ca="1">IF(ER45&lt;&gt;" ",IF(ER45&lt;&gt;ER$7,1,0),0)</f>
        <v>0</v>
      </c>
      <c r="EU45" s="957" t="str">
        <f ca="1">IF(I45=" "," ",IF(F45&lt;OFFSET($BM$9,CL45-1,0,1,1),1,""))</f>
        <v xml:space="preserve"> </v>
      </c>
      <c r="EW45" s="427"/>
      <c r="EX45"/>
      <c r="EY45"/>
      <c r="EZ45"/>
      <c r="FA45"/>
      <c r="FB45"/>
      <c r="FC45"/>
      <c r="FD45"/>
      <c r="FE45"/>
      <c r="FF45"/>
      <c r="FG45"/>
      <c r="FH45"/>
      <c r="FI45"/>
      <c r="FJ45"/>
      <c r="FK45"/>
      <c r="FL45"/>
      <c r="FM45"/>
      <c r="FN45"/>
      <c r="FO45"/>
    </row>
    <row r="46" spans="1:171" ht="17.100000000000001" customHeight="1">
      <c r="A46" s="2685"/>
      <c r="B46" s="689" t="s">
        <v>246</v>
      </c>
      <c r="C46" s="684" t="str">
        <f>IF(OR(F46=0,I46="",I46=" ")," ",$V46)</f>
        <v xml:space="preserve"> </v>
      </c>
      <c r="D46" s="1033"/>
      <c r="E46" s="1360" t="s">
        <v>8</v>
      </c>
      <c r="F46" s="202"/>
      <c r="G46" s="1416"/>
      <c r="H46" s="199" t="str">
        <f ca="1">IF(OR(F46=0,Z46="E",Z46="f")," ",'Project Demand'!E$45)</f>
        <v xml:space="preserve"> </v>
      </c>
      <c r="I46" s="631" t="str">
        <f>IF($I$6&lt;&gt;$BG$8," ",AB46)</f>
        <v xml:space="preserve"> </v>
      </c>
      <c r="J46" s="44" t="str">
        <f ca="1">IF(OR(I46=" ",I46="")," ",OFFSET($BO$9,CL46-1,0-4,1,1))</f>
        <v xml:space="preserve"> </v>
      </c>
      <c r="K46" s="55" t="str">
        <f>IF(OR(I46=" ",I46="")," ",IF(OR(Z46="e",Z46="h"),"SD",BG$24))</f>
        <v xml:space="preserve"> </v>
      </c>
      <c r="L46" s="49">
        <f ca="1">CW46</f>
        <v>0</v>
      </c>
      <c r="M46" s="49">
        <f ca="1">CY46</f>
        <v>0</v>
      </c>
      <c r="N46" s="50">
        <f t="shared" ca="1" si="28"/>
        <v>0</v>
      </c>
      <c r="O46" s="126">
        <f t="shared" ca="1" si="28"/>
        <v>0</v>
      </c>
      <c r="P46" s="140"/>
      <c r="Q46" s="752" t="str">
        <f ca="1">IF(AND(OR(Z46="t",Z46="f"),K46=$BH$11),"No Floor!  Change Floor Type",IF(OR(I46=" ",I46="")," ",IF(F46&lt;OFFSET($BM$9,CL46-1,0,1,1),"check L(m)",DE46&amp;IF(AND(DP46&gt;=CY46,DR46&gt;=DB46),IF(AND(ED46&gt;=DP46,EF46&gt;=DR46),CONCATENATE(DS46," will provide same result"),CONCATENATE(CO46," will provide same result")),IF((DP46&gt;=CY46),CONCATENATE(CO46," provides same result in WIND"),IF((DR46&gt;=DB46),CONCATENATE(CO46," provides same result in EQ"),""))))))&amp;IF(ISERROR(FIND("pile",I46,1)),"",IF(INT(F46)&lt;&gt;F46,"Pile!  Use Whole Numbers Only",""))</f>
        <v xml:space="preserve"> </v>
      </c>
      <c r="R46" s="52"/>
      <c r="S46" s="1372"/>
      <c r="T46" s="1372"/>
      <c r="U46" s="1377"/>
      <c r="V46" s="52" t="str">
        <f ca="1">IF(AND(B$5=$BF$9,OR(I46=BH$16,I46=BH$17))," ",IF(ISNUMBER(B$44),(CONCATENATE(B$44,".",W46)),(CONCATENATE(B$44,W46))))</f>
        <v>G0</v>
      </c>
      <c r="W46" s="9">
        <f ca="1">W45+X46</f>
        <v>0</v>
      </c>
      <c r="X46" s="9">
        <f>IF(AND(B$5=$BF$9,OR($I46=$BH$16,$I46=$BH$17,$I46=" ",$I46="",$F46=0)),0,IF(OR($I46=" ",$I46="",$F46=0),0,1))</f>
        <v>0</v>
      </c>
      <c r="Y46" s="896"/>
      <c r="Z46" s="52" t="str">
        <f ca="1">IF(I46=" "," ",OFFSET($BM$9,$CL46-1,8,1,1))</f>
        <v xml:space="preserve"> </v>
      </c>
      <c r="AA46" s="51" t="str">
        <f>IF(G46&gt;=45,"WA","")</f>
        <v/>
      </c>
      <c r="AB46" s="1364" t="str">
        <f>IF(F46&lt;&gt;"",IF(OR(D46=$BG$12,D46=$BG$13),IF(E46&lt;&gt;$BG$17,$BF$12,$BF$13),IF(E46&lt;&gt;$BG$17,$BF$12,$BF$13))," ")</f>
        <v xml:space="preserve"> </v>
      </c>
      <c r="AC46" s="1"/>
      <c r="AK46" s="2185"/>
      <c r="AL46" s="2246"/>
      <c r="AM46" s="1863"/>
      <c r="AN46" s="2252"/>
      <c r="AO46" s="2252"/>
      <c r="AP46" s="1244"/>
      <c r="AQ46" s="1863"/>
      <c r="AR46" s="2218"/>
      <c r="AS46" s="2233"/>
      <c r="AT46" s="1164"/>
      <c r="AU46" s="1164"/>
      <c r="AZ46" s="2233"/>
      <c r="BD46" s="637"/>
      <c r="BI46" s="759"/>
      <c r="BJ46" s="897">
        <f t="shared" si="27"/>
        <v>38</v>
      </c>
      <c r="BK46" s="1224"/>
      <c r="BL46" s="1209"/>
      <c r="BM46" s="969">
        <f>Table!J12</f>
        <v>0.8</v>
      </c>
      <c r="BN46" s="455">
        <f t="shared" si="29"/>
        <v>1</v>
      </c>
      <c r="BO46" s="455">
        <f>Table!K12</f>
        <v>58</v>
      </c>
      <c r="BP46" s="925">
        <f>Table!L12</f>
        <v>53</v>
      </c>
      <c r="BR46" s="1225"/>
      <c r="BS46" s="1212"/>
      <c r="BT46" s="1212"/>
      <c r="BU46" s="1226" t="s">
        <v>242</v>
      </c>
      <c r="BV46" s="895"/>
      <c r="BW46" s="603"/>
      <c r="BX46" s="1226" t="str">
        <f>Table!N11</f>
        <v>Double</v>
      </c>
      <c r="CH46" s="764">
        <f>IF(BN46=999,0,(BO47-BO46)/(BN46-BM46))</f>
        <v>5.0000000000000009</v>
      </c>
      <c r="CI46" s="925">
        <f>IF(BN46=999,0,(BP47-BP46)/(BN46-BM46))</f>
        <v>5.0000000000000009</v>
      </c>
      <c r="CJ46" s="759"/>
      <c r="CK46" s="188"/>
      <c r="CL46" s="979">
        <f>VLOOKUP(I46,Prodlink,2,0)</f>
        <v>0</v>
      </c>
      <c r="CN46" s="497">
        <f t="shared" ca="1" si="26"/>
        <v>0</v>
      </c>
      <c r="CO46" s="497">
        <f ca="1">OFFSET($CH$9,CL46-1,-15,1,1)</f>
        <v>0</v>
      </c>
      <c r="CQ46" s="51">
        <v>0</v>
      </c>
      <c r="CR46" s="51">
        <f>IF(K46=$BH$12,$BH$23,IF(K46=$BH$13,$BH$24,10000))</f>
        <v>10000</v>
      </c>
      <c r="CS46" s="51">
        <f ca="1">IF(F46&lt;OFFSET($BM$9,CL46-1,0,1,1),0,IF(F46&lt;OFFSET($BN$9,CL46-1,0,1,1),((F46-OFFSET($BM$9,CL46-1,0,1,1))*OFFSET($CH$9,CL46-1,0,1,1))+OFFSET($BO$9,CL46-1,CQ46,1,1),IF(F46&lt;OFFSET($BN$9,CL46+0,0,1,1),((F46-OFFSET($BM$9,CL46+0,0,1,1))*OFFSET($CH$9,CL46+0,0,1,1))+OFFSET($BO$9,CL46+0,CQ46,1,1),IF(F46&lt;OFFSET($BN$9,CL46+1,0,1,1),((F46-OFFSET($BM$9,CL46+1,0,1,1))*OFFSET($CH$9,CL46+1,0,1,1))+OFFSET($BO$9,CL46+1,CQ46,1,1),IF(F46&lt;OFFSET($BN$9,CL46+2,0,1,1),((F46-OFFSET($BM$9,CL46+2,0,1,1))*OFFSET($CH$9,CL46+2,0,1,1))+OFFSET($BO$9,CL46+2,CQ46,1,1),IF(F46&lt;OFFSET($BN$9,CL46+3,0,1,1),((F46-OFFSET($BM$9,CL46+3,0,1,1))*OFFSET($CH$9,CL46+3,0,1,1))+OFFSET($BO$9,CL46+3,CQ46,1,1),0))))))</f>
        <v>0</v>
      </c>
      <c r="CT46" s="51">
        <f ca="1">IF($F46&lt;OFFSET($BM$9,$CL46-1,0,1,1),0,IF($F46&lt;OFFSET($BN$9,$CL46-1,0,1,1),IF(AND($H46&gt;2.4,Z46&lt;&gt;"e",Z46&lt;&gt;"f"),CX46*2.4/$H46,CX46),IF($F46&lt;OFFSET($BN$9,$CL46+0,0,1,1),IF(AND($H46&gt;2.4,Z46&lt;&gt;"e",Z46&lt;&gt;"f"),CX46*2.4/$H46,CX46),IF($F46&lt;OFFSET($BN$9,$CL46+1,0,1,1),IF(AND($H46&gt;2.4,Z46&lt;&gt;"e",Z46&lt;&gt;"f"),CX46*2.4/$H46,CX46),IF($F46&lt;OFFSET($BN$9,CL46+2,0,1,1),IF(AND($H46&gt;2.4,Z46&lt;&gt;"e",Z46&lt;&gt;"f"),CX46*2.4/$H46,CX46),IF($F46&lt;OFFSET($BN$9,CL46+3,0,1,1),IF(AND($H46&gt;2.4,Z46&lt;&gt;"e",Z46&lt;&gt;"f"),CX46*2.4/$H46,CX46),0)))))*COS(RADIANS($G46)))</f>
        <v>0</v>
      </c>
      <c r="CU46" s="51">
        <f ca="1">IF(F46&lt;OFFSET($BM$9,CL46-1,0,1,1),0,IF(F46&lt;OFFSET($BN$9,CL46-1,0,1,1),((F46-OFFSET($BM$9,CL46-1,0,1,1))*OFFSET($CI$9,CL46-1,0,1,1))+OFFSET($BP$9,CL46-1,CQ46,1,1),IF(F46&lt;OFFSET($BN$9,CL46+0,0,1,1),((F46-OFFSET($BM$9,CL46+0,0,1,1))*OFFSET($CI$9,CL46+0,0,1,1))+OFFSET($BP$9,CL46+0,CQ46,1,1),IF(F46&lt;OFFSET($BN$9,CL46+1,0,1,1),((F46-OFFSET($BM$9,CL46+1,0,1,1))*OFFSET($CI$9,CL46+1,0,1,1))+OFFSET($BP$9,CL46+1,CQ46,1,1),IF(F46&lt;OFFSET($BN$9,CL46+2,0,1,1),((F46-OFFSET($BM$9,CL46+2,0,1,1))*OFFSET($CI$9,CL46+2,0,1,1))+OFFSET($BP$9,CL46+2,CQ46,1,1),IF(F46&lt;OFFSET($BN$9,CL46+3,0,1,1),((F46-OFFSET($BM$9,CL46+3,0,1,1))*OFFSET($CI$9,CL46+3,0,1,1))+OFFSET($BP$9,CL46+3,CQ46,1,1),0))))))</f>
        <v>0</v>
      </c>
      <c r="CV46" s="51">
        <f ca="1">IF($F46&lt;OFFSET($BM$9,$CL46-1,0,1,1),0,IF($F46&lt;OFFSET($BN$9,$CL46-1,0,1,1),IF(AND($H46&gt;2.4,Z46&lt;&gt;"e",Z46&lt;&gt;"f"),CZ46*2.4/$H46,CZ46),IF($F46&lt;OFFSET($BN$9,$CL46+0,0,1,1),IF(AND($H46&gt;2.4,Z46&lt;&gt;"e",Z46&lt;&gt;"f"),CZ46*2.4/$H46,CZ46),IF($F46&lt;OFFSET($BN$9,$CL46+1,0,1,1),IF(AND($H46&gt;2.4,Z46&lt;&gt;"e",Z46&lt;&gt;"f"),CZ46*2.4/$H46,CZ46),IF($F46&lt;OFFSET($BN$9,$CL46+2,0,1,1),IF(AND($H46&gt;2.4,Z46&lt;&gt;"e",Z46&lt;&gt;"f"),CZ46*2.4/$H46,CZ46),IF($F46&lt;OFFSET($BN$9,$CL46+3,0,1,1),IF(AND($H46&gt;2.4,Z46&lt;&gt;"e",Z46&lt;&gt;"f"),CZ46*2.4/$H46,CZ46),0)))))*COS(RADIANS($G46)))</f>
        <v>0</v>
      </c>
      <c r="CW46" s="51">
        <f ca="1">IF(CT46&gt;CR46,CR46,CT46)</f>
        <v>0</v>
      </c>
      <c r="CX46" s="51">
        <f ca="1">IF(CS46&gt;$CR46,$CR46,CS46)</f>
        <v>0</v>
      </c>
      <c r="CY46" s="51">
        <f ca="1">CW46*F46</f>
        <v>0</v>
      </c>
      <c r="CZ46" s="51">
        <f ca="1">IF($CU46&gt;$CR46,$CR46,$CU46)</f>
        <v>0</v>
      </c>
      <c r="DA46" s="51">
        <f ca="1">IF(CV46&gt;CR46,CR46,CV46)</f>
        <v>0</v>
      </c>
      <c r="DB46" s="51">
        <f ca="1">DA46*F46</f>
        <v>0</v>
      </c>
      <c r="DC46" s="993">
        <v>1</v>
      </c>
      <c r="DD46" s="758" t="str">
        <f>IF(OR(D46=BG$12,D46=BG$13),"External",IF(D46=BG$14,"Internal"," "))</f>
        <v xml:space="preserve"> </v>
      </c>
      <c r="DE46" s="51" t="str">
        <f t="shared" ca="1" si="2"/>
        <v/>
      </c>
      <c r="DF46" s="52" t="str">
        <f t="shared" ca="1" si="3"/>
        <v xml:space="preserve"> </v>
      </c>
      <c r="DG46" s="51">
        <f ca="1">IF(F46&lt;OFFSET($BM$9,CN46-1,0,1,1),0,IF(F46&lt;OFFSET($BN$9,CN46-1,0,1,1),((F46-OFFSET($BM$9,CN46-1,0,1,1))*OFFSET($CH$9,CN46-1,0,1,1))+OFFSET($BO$9,CN46-1,CQ46,1,1),IF(F46&lt;OFFSET($BN$9,CN46+0,0,1,1),((F46-OFFSET($BM$9,CN46+0,0,1,1))*OFFSET($CH$9,CN46+0,0,1,1))+OFFSET($BO$9,CN46+0,CQ46,1,1),IF(F46&lt;OFFSET($BN$9,CN46+1,0,1,1),((F46-OFFSET($BM$9,CN46+1,0,1,1))*OFFSET($CH$9,CN46+1,0,1,1))+OFFSET($BO$9,CN46+1,CQ46,1,1),IF(F46&lt;OFFSET($BN$9,CN46+2,0,1,1),((F46-OFFSET($BM$9,CN46+2,0,1,1))*OFFSET($CH$9,CN46+2,0,1,1))+OFFSET($BO$9,CN46+2,CQ46,1,1),IF(F46&lt;OFFSET($BN$9,CN46+3,0,1,1),((F46-OFFSET($BM$9,CN46+3,0,1,1))*OFFSET($CH$9,CN46+3,0,1,1))+OFFSET($BO$9,CN46+3,CQ46,1,1),0))))))</f>
        <v>0</v>
      </c>
      <c r="DH46" s="51">
        <f ca="1">IF($F46&lt;OFFSET($BM$9,$CN46-1,0,1,1),0,IF($F46&lt;OFFSET($BN$9,$CN46-1,0,1,1),IF(AND($H46&gt;2.4,Z46&lt;&gt;"e",Z46&lt;&gt;"f"),DL46*2.4/$H46,DL46),IF($F46&lt;OFFSET($BN$9,$CN46+0,0,1,1),IF(AND($H46&gt;2.4,Z46&lt;&gt;"e",Z46&lt;&gt;"f"),DL46*2.4/$H46,DL46),IF($F46&lt;OFFSET($BN$9,$CN46+1,0,1,1),IF(AND($H46&gt;2.4,Z46&lt;&gt;"e",Z46&lt;&gt;"f"),DL46*2.4/$H46,DL46),IF($F46&lt;OFFSET($BN$9,$CN46+2,0,1,1),IF(AND($H46&gt;2.4,Z46&lt;&gt;"e",Z46&lt;&gt;"f"),DL46*2.4/$H46,DL46),IF($F46&lt;OFFSET($BN$9,$CN46+3,0,1,1),IF(AND($H46&gt;2.4,Z46&lt;&gt;"e",Z46&lt;&gt;"f"),DL46*2.4/$H46,DL46),0)))))*COS(RADIANS($G46)))</f>
        <v>0</v>
      </c>
      <c r="DI46" s="51">
        <f ca="1">IF(F46&lt;OFFSET($BM$9,CN46-1,0,1,1),0,IF(F46&lt;OFFSET($BN$9,CN46-1,0,1,1),((F46-OFFSET($BM$9,CN46-1,0,1,1))*OFFSET($CI$9,CN46-1,0,1,1))+OFFSET($BP$9,CN46-1,CQ46,1,1),IF(F46&lt;OFFSET($BN$9,CN46+0,0,1,1),((F46-OFFSET($BM$9,CN46+0,0,1,1))*OFFSET($CI$9,CN46+0,0,1,1))+OFFSET($BP$9,CN46+0,CQ46,1,1),IF(F46&lt;OFFSET($BN$9,CN46+1,0,1,1),((F46-OFFSET($BM$9,CN46+1,0,1,1))*OFFSET($CI$9,CN46+1,0,1,1))+OFFSET($BP$9,CN46+1,CQ46,1,1),IF(F46&lt;OFFSET($BN$9,CN46+2,0,1,1),((F46-OFFSET($BM$9,CN46+2,0,1,1))*OFFSET($CI$9,CN46+2,0,1,1))+OFFSET($BP$9,CN46+2,CQ46,1,1),IF(F46&lt;OFFSET($BN$9,CN46+3,0,1,1),((F46-OFFSET($BM$9,CN46+3,0,1,1))*OFFSET($CI$9,CN46+3,0,1,1))+OFFSET($BP$9,CN46+3,CQ46,1,1),0))))))</f>
        <v>0</v>
      </c>
      <c r="DJ46" s="51">
        <f ca="1">IF($F46&lt;OFFSET($BM$9,$CN46-1,0,1,1),0,IF($F46&lt;OFFSET($BN$9,$CN46-1,0,1,1),IF(AND($H46&gt;2.4,Z46&lt;&gt;"e",Z46&lt;&gt;"f"),DN46*2.4/$H46,DN46),IF($F46&lt;OFFSET($BN$9,$CN46+0,0,1,1),IF(AND($H46&gt;2.4,Z46&lt;&gt;"e",Z46&lt;&gt;"f"),DN46*2.4/$H46,DN46),IF($F46&lt;OFFSET($BN$9,$CN46+1,0,1,1),IF(AND($H46&gt;2.4,Z46&lt;&gt;"e",Z46&lt;&gt;"f"),DN46*2.4/$H46,DN46),IF($F46&lt;OFFSET($BN$9,$CN46+2,0,1,1),IF(AND($H46&gt;2.4,Z46&lt;&gt;"e",Z46&lt;&gt;"f"),DN46*2.4/$H46,DN46),IF($F46&lt;OFFSET($BN$9,$CN46+3,0,1,1),IF(AND($H46&gt;2.4,Z46&lt;&gt;"e",Z46&lt;&gt;"f"),DN46*2.4/$H46,DN46),0)))))*COS(RADIANS($G46)))</f>
        <v>0</v>
      </c>
      <c r="DK46" s="51"/>
      <c r="DL46" s="51">
        <f ca="1">IF(DG46&gt;$CR46,$CR46,DG46)</f>
        <v>0</v>
      </c>
      <c r="DM46" s="51"/>
      <c r="DN46" s="51">
        <f ca="1">IF(DI46&gt;$CR46,$CR46,DI46)</f>
        <v>0</v>
      </c>
      <c r="DO46" s="435">
        <f ca="1">IF(DH46&gt;$CR46,$CR46,DH46)</f>
        <v>0</v>
      </c>
      <c r="DP46" s="435">
        <f ca="1">DO46*F46</f>
        <v>0</v>
      </c>
      <c r="DQ46" s="436">
        <f ca="1">IF(DJ46&gt;$CR46,$CR46,DJ46)</f>
        <v>0</v>
      </c>
      <c r="DR46" s="437">
        <f ca="1">DQ46*F46</f>
        <v>0</v>
      </c>
      <c r="DS46" s="426">
        <f ca="1">OFFSET($CH$9,CL46-1,-15,1,1)</f>
        <v>0</v>
      </c>
      <c r="DT46" s="426">
        <f ca="1">VLOOKUP(DS46,Prodlink,2,0)</f>
        <v>0</v>
      </c>
      <c r="DU46" s="188">
        <f ca="1">IF(F46&lt;OFFSET($BM$9,DT46-1,0,1,1),0,IF(F46&lt;OFFSET($BN$9,DT46-1,0,1,1),((F46-OFFSET($BM$9,DT46-1,0,1,1))*OFFSET($CH$9,DT46-1,0,1,1))+OFFSET($BO$9,DT46-1,CQ46,1,1),IF(F46&lt;OFFSET($BN$9,DT46+0,0,1,1),((F46-OFFSET($BM$9,DT46+0,0,1,1))*OFFSET($CH$9,DT46+0,0,1,1))+OFFSET($BO$9,DT46+0,CQ46,1,1),IF(F46&lt;OFFSET($BN$9,DT46+1,0,1,1),((F46-OFFSET($BM$9,DT46+1,0,1,1))*OFFSET($CH$9,DT46+1,0,1,1))+OFFSET($BO$9,DT46+1,CQ46,1,1),IF(F46&lt;OFFSET($BN$9,DT46+2,0,1,1),((F46-OFFSET($BM$9,DT46+2,0,1,1))*OFFSET($CH$9,DT46+2,0,1,1))+OFFSET($BO$9,DT46+2,CQ46,1,1),IF(F46&lt;OFFSET($BN$9,DT46+3,0,1,1),((F46-OFFSET($BM$9,DT46+3,0,1,1))*OFFSET($CH$9,DT46+3,0,1,1))+OFFSET($BO$9,DT46+3,CQ46,1,1),0))))))</f>
        <v>0</v>
      </c>
      <c r="DV46" s="51">
        <f ca="1">IF($F46&lt;OFFSET($BM$9,$DT46-1,0,1,1),0,IF($F46&lt;OFFSET($BN$9,$DT46-1,0,1,1),IF(AND($H46&gt;2.4,Z46&lt;&gt;"e",Z46&lt;&gt;"f"),DZ46*2.4/$H46,DZ46),IF($F46&lt;OFFSET($BN$9,$DT46+0,0,1,1),IF(AND($H46&gt;2.4,Z46&lt;&gt;"e",Z46&lt;&gt;"f"),DZ46*2.4/$H46,DZ46),IF($F46&lt;OFFSET($BN$9,$DT46+1,0,1,1),IF(AND($H46&gt;2.4,Z46&lt;&gt;"e",Z46&lt;&gt;"f"),DZ46*2.4/$H46,DZ46),IF($F46&lt;OFFSET($BN$9,$DT46+2,0,1,1),IF(AND($H46&gt;2.4,Z46&lt;&gt;"e",Z46&lt;&gt;"f"),DZ46*2.4/$H46,DZ46),IF($F46&lt;OFFSET($BN$9,$DT46+3,0,1,1),IF(AND($H46&gt;2.4,Z46&lt;&gt;"e",Z46&lt;&gt;"f"),DZ46*2.4/$H46,DZ46),0)))))*COS(RADIANS($G46)))</f>
        <v>0</v>
      </c>
      <c r="DW46" s="188">
        <f ca="1">IF(F46&lt;OFFSET($BM$9,DT46-1,0,1,1),0,IF(F46&lt;OFFSET($BN$9,DT46-1,0,1,1),((F46-OFFSET($BM$9,DT46-1,0,1,1))*OFFSET($CI$9,DT46-1,0,1,1))+OFFSET($BP$9,DT46-1,CQ46,1,1),IF(F46&lt;OFFSET($BN$9,DT46+0,0,1,1),((F46-OFFSET($BM$9,DT46+0,0,1,1))*OFFSET($CI$9,DT46+0,0,1,1))+OFFSET($BP$9,DT46+0,CQ46,1,1),IF(F46&lt;OFFSET($BN$9,DT46+1,0,1,1),((F46-OFFSET($BM$9,DT46+1,0,1,1))*OFFSET($CI$9,DT46+1,0,1,1))+OFFSET($BP$9,DT46+1,CQ46,1,1),IF(F46&lt;OFFSET($BN$9,DT46+2,0,1,1),((F46-OFFSET($BM$9,DT46+2,0,1,1))*OFFSET($CI$9,DT46+2,0,1,1))+OFFSET($BP$9,DT46+2,CQ46,1,1),IF(F46&lt;OFFSET($BN$9,DT46+3,0,1,1),((F46-OFFSET($BM$9,DT46+3,0,1,1))*OFFSET($CI$9,DT46+3,0,1,1))+OFFSET($BP$9,DT46+3,CQ46,1,1),0))))))</f>
        <v>0</v>
      </c>
      <c r="DX46" s="51">
        <f ca="1">IF($F46&lt;OFFSET($BM$9,$DT46-1,0,1,1),0,IF($F46&lt;OFFSET($BN$9,$DT46-1,0,1,1),IF(AND($H46&gt;2.4,Z46&lt;&gt;"e",Z46&lt;&gt;"f"),EB46*2.4/$H46,EB46),IF($F46&lt;OFFSET($BN$9,$DT46+0,0,1,1),IF(AND($H46&gt;2.4,Z46&lt;&gt;"e",Z46&lt;&gt;"f"),EB46*2.4/$H46,EB46),IF($F46&lt;OFFSET($BN$9,$DT46+1,0,1,1),IF(AND($H46&gt;2.4,Z46&lt;&gt;"e",Z46&lt;&gt;"f"),EB46*2.4/$H46,EB46),IF($F46&lt;OFFSET($BN$9,$DT46+2,0,1,1),IF(AND($H46&gt;2.4,Z46&lt;&gt;"e",Z46&lt;&gt;"f"),EB46*2.4/$H46,EB46),IF($F46&lt;OFFSET($BN$9,$DT46+3,0,1,1),IF(AND($H46&gt;2.4,Z46&lt;&gt;"e",Z46&lt;&gt;"f"),EB46*2.4/$H46,EB46),0)))))*COS(RADIANS($G46)))</f>
        <v>0</v>
      </c>
      <c r="DY46" s="188"/>
      <c r="DZ46" s="188">
        <f ca="1">IF(DU46&gt;$CR46,$CR46,DU46)</f>
        <v>0</v>
      </c>
      <c r="EA46" s="188"/>
      <c r="EB46" s="188">
        <f ca="1">IF(DW46&gt;$CR46,$CR46,DW46)</f>
        <v>0</v>
      </c>
      <c r="EC46" s="435">
        <f ca="1">IF(DV46&gt;$CR46,$CR46,DV46)</f>
        <v>0</v>
      </c>
      <c r="ED46" s="435">
        <f ca="1">EC46*F46</f>
        <v>0</v>
      </c>
      <c r="EE46" s="436">
        <f ca="1">IF(DX46&gt;$CR46,$CR46,DX46)</f>
        <v>0</v>
      </c>
      <c r="EF46" s="437">
        <f ca="1">EE46*F46</f>
        <v>0</v>
      </c>
      <c r="EG46" s="613" t="str">
        <f>IF(D46=BG$12,BG$12,"")</f>
        <v/>
      </c>
      <c r="EH46" s="614" t="str">
        <f>IF(D46=BG$13,BG$13,"")</f>
        <v/>
      </c>
      <c r="EI46" s="611">
        <f>IF(EG46=BG$12,M46,0)</f>
        <v>0</v>
      </c>
      <c r="EJ46" s="451">
        <f>IF(EG46=BG$12,O46,0)</f>
        <v>0</v>
      </c>
      <c r="EK46" s="451">
        <f>IF(EH46=BG$13,M46,0)</f>
        <v>0</v>
      </c>
      <c r="EL46" s="612">
        <f>IF(EH46=BG$13,O46,0)</f>
        <v>0</v>
      </c>
      <c r="EM46" s="426" t="str">
        <f ca="1">IF(AND(Z46&lt;&gt;"t",Z46&lt;&gt;"f"),"",IF(AND(EN46=$BH$13,K46=$BH$12),"NotOpt",IF(K46&lt;&gt;EN46,"Error","")))</f>
        <v/>
      </c>
      <c r="EN46" s="490" t="str">
        <f>IF($BG$28=1,$BH$13,$BH$12)</f>
        <v>120 BU's</v>
      </c>
      <c r="EO46" s="426" t="str">
        <f>K46</f>
        <v xml:space="preserve"> </v>
      </c>
      <c r="ER46" s="439" t="str">
        <f ca="1">IF(H46=0," ",H46)</f>
        <v xml:space="preserve"> </v>
      </c>
      <c r="ES46" s="440" t="str">
        <f ca="1">IF(ER46&lt;&gt;" ",IF(ER46&lt;&gt;ER$7,"Changed",""),"")</f>
        <v/>
      </c>
      <c r="ET46" s="440">
        <f ca="1">IF(ER46&lt;&gt;" ",IF(ER46&lt;&gt;ER$7,1,0),0)</f>
        <v>0</v>
      </c>
      <c r="EU46" s="957" t="str">
        <f ca="1">IF(I46=" "," ",IF(F46&lt;OFFSET($BM$9,CL46-1,0,1,1),1,""))</f>
        <v xml:space="preserve"> </v>
      </c>
      <c r="EW46" s="427"/>
      <c r="EX46"/>
      <c r="EY46"/>
      <c r="EZ46"/>
      <c r="FA46"/>
      <c r="FB46"/>
      <c r="FC46"/>
      <c r="FD46"/>
      <c r="FE46"/>
      <c r="FF46"/>
      <c r="FG46"/>
      <c r="FH46"/>
      <c r="FI46"/>
      <c r="FJ46"/>
      <c r="FK46"/>
      <c r="FL46"/>
      <c r="FM46"/>
      <c r="FN46"/>
      <c r="FO46"/>
    </row>
    <row r="47" spans="1:171" ht="17.100000000000001" customHeight="1">
      <c r="A47" s="2685"/>
      <c r="B47" s="689" t="s">
        <v>246</v>
      </c>
      <c r="C47" s="684" t="str">
        <f>IF(OR(F47=0,I47="",I47=" ")," ",$V47)</f>
        <v xml:space="preserve"> </v>
      </c>
      <c r="D47" s="1033"/>
      <c r="E47" s="1360" t="s">
        <v>8</v>
      </c>
      <c r="F47" s="202"/>
      <c r="G47" s="1416"/>
      <c r="H47" s="199" t="str">
        <f ca="1">IF(OR(F47=0,Z47="E",Z47="f")," ",'Project Demand'!E$45)</f>
        <v xml:space="preserve"> </v>
      </c>
      <c r="I47" s="631" t="str">
        <f>IF($I$6&lt;&gt;$BG$8," ",AB47)</f>
        <v xml:space="preserve"> </v>
      </c>
      <c r="J47" s="44" t="str">
        <f ca="1">IF(OR(I47=" ",I47="")," ",OFFSET($BO$9,CL47-1,0-4,1,1))</f>
        <v xml:space="preserve"> </v>
      </c>
      <c r="K47" s="55" t="str">
        <f>IF(OR(I47=" ",I47="")," ",IF(OR(Z47="e",Z47="h"),"SD",BG$24))</f>
        <v xml:space="preserve"> </v>
      </c>
      <c r="L47" s="49">
        <f ca="1">CW47</f>
        <v>0</v>
      </c>
      <c r="M47" s="49">
        <f ca="1">CY47</f>
        <v>0</v>
      </c>
      <c r="N47" s="50">
        <f t="shared" ca="1" si="28"/>
        <v>0</v>
      </c>
      <c r="O47" s="126">
        <f t="shared" ca="1" si="28"/>
        <v>0</v>
      </c>
      <c r="P47" s="140"/>
      <c r="Q47" s="752" t="str">
        <f ca="1">IF(AND(OR(Z47="t",Z47="f"),K47=$BH$11),"No Floor!  Change Floor Type",IF(OR(I47=" ",I47="")," ",IF(F47&lt;OFFSET($BM$9,CL47-1,0,1,1),"check L(m)",DE47&amp;IF(AND(DP47&gt;=CY47,DR47&gt;=DB47),IF(AND(ED47&gt;=DP47,EF47&gt;=DR47),CONCATENATE(DS47," will provide same result"),CONCATENATE(CO47," will provide same result")),IF((DP47&gt;=CY47),CONCATENATE(CO47," provides same result in WIND"),IF((DR47&gt;=DB47),CONCATENATE(CO47," provides same result in EQ"),""))))))&amp;IF(ISERROR(FIND("pile",I47,1)),"",IF(INT(F47)&lt;&gt;F47,"Pile!  Use Whole Numbers Only",""))</f>
        <v xml:space="preserve"> </v>
      </c>
      <c r="R47" s="52"/>
      <c r="S47" s="1372"/>
      <c r="T47" s="1372"/>
      <c r="U47" s="1377"/>
      <c r="V47" s="52" t="str">
        <f ca="1">IF(AND(B$5=$BF$9,OR(I47=BH$16,I47=BH$17))," ",IF(ISNUMBER(B$44),(CONCATENATE(B$44,".",W47)),(CONCATENATE(B$44,W47))))</f>
        <v>G0</v>
      </c>
      <c r="W47" s="9">
        <f ca="1">W46+X47</f>
        <v>0</v>
      </c>
      <c r="X47" s="9">
        <f>IF(AND(B$5=$BF$9,OR($I47=$BH$16,$I47=$BH$17,$I47=" ",$I47="",$F47=0)),0,IF(OR($I47=" ",$I47="",$F47=0),0,1))</f>
        <v>0</v>
      </c>
      <c r="Y47" s="896"/>
      <c r="Z47" s="52" t="str">
        <f ca="1">IF(I47=" "," ",OFFSET($BM$9,$CL47-1,8,1,1))</f>
        <v xml:space="preserve"> </v>
      </c>
      <c r="AA47" s="51" t="str">
        <f>IF(G47&gt;=45,"WA","")</f>
        <v/>
      </c>
      <c r="AB47" s="1364" t="str">
        <f>IF(F47&lt;&gt;"",IF(OR(D47=$BG$12,D47=$BG$13),IF(E47&lt;&gt;$BG$17,$BF$12,$BF$13),IF(E47&lt;&gt;$BG$17,$BF$12,$BF$13))," ")</f>
        <v xml:space="preserve"> </v>
      </c>
      <c r="AC47" s="1"/>
      <c r="AK47" s="2822"/>
      <c r="AL47" s="2824"/>
      <c r="AM47" s="2144"/>
      <c r="AN47" s="2825"/>
      <c r="AO47" s="2825"/>
      <c r="AP47" s="1244"/>
      <c r="AQ47" s="2812"/>
      <c r="AR47" s="2807"/>
      <c r="AS47" s="2796"/>
      <c r="AT47" s="1164"/>
      <c r="AU47" s="1164"/>
      <c r="AZ47" s="2778"/>
      <c r="BD47" s="638"/>
      <c r="BE47" s="430"/>
      <c r="BF47" s="1021"/>
      <c r="BI47" s="759"/>
      <c r="BJ47" s="897">
        <f t="shared" si="27"/>
        <v>39</v>
      </c>
      <c r="BK47" s="1224"/>
      <c r="BL47" s="1209"/>
      <c r="BM47" s="969">
        <f>Table!J13</f>
        <v>1</v>
      </c>
      <c r="BN47" s="455">
        <f t="shared" si="29"/>
        <v>1.2</v>
      </c>
      <c r="BO47" s="455">
        <f>Table!K13</f>
        <v>59</v>
      </c>
      <c r="BP47" s="925">
        <f>Table!L13</f>
        <v>54</v>
      </c>
      <c r="BR47" s="1225"/>
      <c r="BS47" s="1212"/>
      <c r="BT47" s="1212"/>
      <c r="BU47" s="1226" t="s">
        <v>242</v>
      </c>
      <c r="BV47" s="895"/>
      <c r="BW47" s="603"/>
      <c r="BX47" s="1226" t="str">
        <f>Table!N11</f>
        <v>Double</v>
      </c>
      <c r="CH47" s="764">
        <f>IF(BN47=999,0,(BO48-BO47)/(BN47-BM47))</f>
        <v>5.0000000000000009</v>
      </c>
      <c r="CI47" s="925">
        <f>IF(BN47=999,0,(BP48-BP47)/(BN47-BM47))</f>
        <v>5.0000000000000009</v>
      </c>
      <c r="CJ47" s="759"/>
      <c r="CK47" s="188"/>
      <c r="CL47" s="979">
        <f>VLOOKUP(I47,Prodlink,2,0)</f>
        <v>0</v>
      </c>
      <c r="CN47" s="497">
        <f t="shared" ca="1" si="26"/>
        <v>0</v>
      </c>
      <c r="CO47" s="497">
        <f ca="1">OFFSET($CH$9,CL47-1,-15,1,1)</f>
        <v>0</v>
      </c>
      <c r="CQ47" s="51">
        <v>0</v>
      </c>
      <c r="CR47" s="51">
        <f>IF(K47=$BH$12,$BH$23,IF(K47=$BH$13,$BH$24,10000))</f>
        <v>10000</v>
      </c>
      <c r="CS47" s="51">
        <f ca="1">IF(F47&lt;OFFSET($BM$9,CL47-1,0,1,1),0,IF(F47&lt;OFFSET($BN$9,CL47-1,0,1,1),((F47-OFFSET($BM$9,CL47-1,0,1,1))*OFFSET($CH$9,CL47-1,0,1,1))+OFFSET($BO$9,CL47-1,CQ47,1,1),IF(F47&lt;OFFSET($BN$9,CL47+0,0,1,1),((F47-OFFSET($BM$9,CL47+0,0,1,1))*OFFSET($CH$9,CL47+0,0,1,1))+OFFSET($BO$9,CL47+0,CQ47,1,1),IF(F47&lt;OFFSET($BN$9,CL47+1,0,1,1),((F47-OFFSET($BM$9,CL47+1,0,1,1))*OFFSET($CH$9,CL47+1,0,1,1))+OFFSET($BO$9,CL47+1,CQ47,1,1),IF(F47&lt;OFFSET($BN$9,CL47+2,0,1,1),((F47-OFFSET($BM$9,CL47+2,0,1,1))*OFFSET($CH$9,CL47+2,0,1,1))+OFFSET($BO$9,CL47+2,CQ47,1,1),IF(F47&lt;OFFSET($BN$9,CL47+3,0,1,1),((F47-OFFSET($BM$9,CL47+3,0,1,1))*OFFSET($CH$9,CL47+3,0,1,1))+OFFSET($BO$9,CL47+3,CQ47,1,1),0))))))</f>
        <v>0</v>
      </c>
      <c r="CT47" s="51">
        <f ca="1">IF($F47&lt;OFFSET($BM$9,$CL47-1,0,1,1),0,IF($F47&lt;OFFSET($BN$9,$CL47-1,0,1,1),IF(AND($H47&gt;2.4,Z47&lt;&gt;"e",Z47&lt;&gt;"f"),CX47*2.4/$H47,CX47),IF($F47&lt;OFFSET($BN$9,$CL47+0,0,1,1),IF(AND($H47&gt;2.4,Z47&lt;&gt;"e",Z47&lt;&gt;"f"),CX47*2.4/$H47,CX47),IF($F47&lt;OFFSET($BN$9,$CL47+1,0,1,1),IF(AND($H47&gt;2.4,Z47&lt;&gt;"e",Z47&lt;&gt;"f"),CX47*2.4/$H47,CX47),IF($F47&lt;OFFSET($BN$9,CL47+2,0,1,1),IF(AND($H47&gt;2.4,Z47&lt;&gt;"e",Z47&lt;&gt;"f"),CX47*2.4/$H47,CX47),IF($F47&lt;OFFSET($BN$9,CL47+3,0,1,1),IF(AND($H47&gt;2.4,Z47&lt;&gt;"e",Z47&lt;&gt;"f"),CX47*2.4/$H47,CX47),0)))))*COS(RADIANS($G47)))</f>
        <v>0</v>
      </c>
      <c r="CU47" s="51">
        <f ca="1">IF(F47&lt;OFFSET($BM$9,CL47-1,0,1,1),0,IF(F47&lt;OFFSET($BN$9,CL47-1,0,1,1),((F47-OFFSET($BM$9,CL47-1,0,1,1))*OFFSET($CI$9,CL47-1,0,1,1))+OFFSET($BP$9,CL47-1,CQ47,1,1),IF(F47&lt;OFFSET($BN$9,CL47+0,0,1,1),((F47-OFFSET($BM$9,CL47+0,0,1,1))*OFFSET($CI$9,CL47+0,0,1,1))+OFFSET($BP$9,CL47+0,CQ47,1,1),IF(F47&lt;OFFSET($BN$9,CL47+1,0,1,1),((F47-OFFSET($BM$9,CL47+1,0,1,1))*OFFSET($CI$9,CL47+1,0,1,1))+OFFSET($BP$9,CL47+1,CQ47,1,1),IF(F47&lt;OFFSET($BN$9,CL47+2,0,1,1),((F47-OFFSET($BM$9,CL47+2,0,1,1))*OFFSET($CI$9,CL47+2,0,1,1))+OFFSET($BP$9,CL47+2,CQ47,1,1),IF(F47&lt;OFFSET($BN$9,CL47+3,0,1,1),((F47-OFFSET($BM$9,CL47+3,0,1,1))*OFFSET($CI$9,CL47+3,0,1,1))+OFFSET($BP$9,CL47+3,CQ47,1,1),0))))))</f>
        <v>0</v>
      </c>
      <c r="CV47" s="51">
        <f ca="1">IF($F47&lt;OFFSET($BM$9,$CL47-1,0,1,1),0,IF($F47&lt;OFFSET($BN$9,$CL47-1,0,1,1),IF(AND($H47&gt;2.4,Z47&lt;&gt;"e",Z47&lt;&gt;"f"),CZ47*2.4/$H47,CZ47),IF($F47&lt;OFFSET($BN$9,$CL47+0,0,1,1),IF(AND($H47&gt;2.4,Z47&lt;&gt;"e",Z47&lt;&gt;"f"),CZ47*2.4/$H47,CZ47),IF($F47&lt;OFFSET($BN$9,$CL47+1,0,1,1),IF(AND($H47&gt;2.4,Z47&lt;&gt;"e",Z47&lt;&gt;"f"),CZ47*2.4/$H47,CZ47),IF($F47&lt;OFFSET($BN$9,$CL47+2,0,1,1),IF(AND($H47&gt;2.4,Z47&lt;&gt;"e",Z47&lt;&gt;"f"),CZ47*2.4/$H47,CZ47),IF($F47&lt;OFFSET($BN$9,$CL47+3,0,1,1),IF(AND($H47&gt;2.4,Z47&lt;&gt;"e",Z47&lt;&gt;"f"),CZ47*2.4/$H47,CZ47),0)))))*COS(RADIANS($G47)))</f>
        <v>0</v>
      </c>
      <c r="CW47" s="51">
        <f ca="1">IF(CT47&gt;CR47,CR47,CT47)</f>
        <v>0</v>
      </c>
      <c r="CX47" s="51">
        <f ca="1">IF(CS47&gt;$CR47,$CR47,CS47)</f>
        <v>0</v>
      </c>
      <c r="CY47" s="51">
        <f ca="1">CW47*F47</f>
        <v>0</v>
      </c>
      <c r="CZ47" s="51">
        <f ca="1">IF($CU47&gt;$CR47,$CR47,$CU47)</f>
        <v>0</v>
      </c>
      <c r="DA47" s="51">
        <f ca="1">IF(CV47&gt;CR47,CR47,CV47)</f>
        <v>0</v>
      </c>
      <c r="DB47" s="51">
        <f ca="1">DA47*F47</f>
        <v>0</v>
      </c>
      <c r="DC47" s="993">
        <v>1</v>
      </c>
      <c r="DD47" s="758" t="str">
        <f>IF(OR(D47=BG$12,D47=BG$13),"External",IF(D47=BG$14,"Internal"," "))</f>
        <v xml:space="preserve"> </v>
      </c>
      <c r="DE47" s="51" t="str">
        <f t="shared" ca="1" si="2"/>
        <v/>
      </c>
      <c r="DF47" s="52" t="str">
        <f t="shared" ca="1" si="3"/>
        <v xml:space="preserve"> </v>
      </c>
      <c r="DG47" s="51">
        <f ca="1">IF(F47&lt;OFFSET($BM$9,CN47-1,0,1,1),0,IF(F47&lt;OFFSET($BN$9,CN47-1,0,1,1),((F47-OFFSET($BM$9,CN47-1,0,1,1))*OFFSET($CH$9,CN47-1,0,1,1))+OFFSET($BO$9,CN47-1,CQ47,1,1),IF(F47&lt;OFFSET($BN$9,CN47+0,0,1,1),((F47-OFFSET($BM$9,CN47+0,0,1,1))*OFFSET($CH$9,CN47+0,0,1,1))+OFFSET($BO$9,CN47+0,CQ47,1,1),IF(F47&lt;OFFSET($BN$9,CN47+1,0,1,1),((F47-OFFSET($BM$9,CN47+1,0,1,1))*OFFSET($CH$9,CN47+1,0,1,1))+OFFSET($BO$9,CN47+1,CQ47,1,1),IF(F47&lt;OFFSET($BN$9,CN47+2,0,1,1),((F47-OFFSET($BM$9,CN47+2,0,1,1))*OFFSET($CH$9,CN47+2,0,1,1))+OFFSET($BO$9,CN47+2,CQ47,1,1),IF(F47&lt;OFFSET($BN$9,CN47+3,0,1,1),((F47-OFFSET($BM$9,CN47+3,0,1,1))*OFFSET($CH$9,CN47+3,0,1,1))+OFFSET($BO$9,CN47+3,CQ47,1,1),0))))))</f>
        <v>0</v>
      </c>
      <c r="DH47" s="51">
        <f ca="1">IF($F47&lt;OFFSET($BM$9,$CN47-1,0,1,1),0,IF($F47&lt;OFFSET($BN$9,$CN47-1,0,1,1),IF(AND($H47&gt;2.4,Z47&lt;&gt;"e",Z47&lt;&gt;"f"),DL47*2.4/$H47,DL47),IF($F47&lt;OFFSET($BN$9,$CN47+0,0,1,1),IF(AND($H47&gt;2.4,Z47&lt;&gt;"e",Z47&lt;&gt;"f"),DL47*2.4/$H47,DL47),IF($F47&lt;OFFSET($BN$9,$CN47+1,0,1,1),IF(AND($H47&gt;2.4,Z47&lt;&gt;"e",Z47&lt;&gt;"f"),DL47*2.4/$H47,DL47),IF($F47&lt;OFFSET($BN$9,$CN47+2,0,1,1),IF(AND($H47&gt;2.4,Z47&lt;&gt;"e",Z47&lt;&gt;"f"),DL47*2.4/$H47,DL47),IF($F47&lt;OFFSET($BN$9,$CN47+3,0,1,1),IF(AND($H47&gt;2.4,Z47&lt;&gt;"e",Z47&lt;&gt;"f"),DL47*2.4/$H47,DL47),0)))))*COS(RADIANS($G47)))</f>
        <v>0</v>
      </c>
      <c r="DI47" s="51">
        <f ca="1">IF(F47&lt;OFFSET($BM$9,CN47-1,0,1,1),0,IF(F47&lt;OFFSET($BN$9,CN47-1,0,1,1),((F47-OFFSET($BM$9,CN47-1,0,1,1))*OFFSET($CI$9,CN47-1,0,1,1))+OFFSET($BP$9,CN47-1,CQ47,1,1),IF(F47&lt;OFFSET($BN$9,CN47+0,0,1,1),((F47-OFFSET($BM$9,CN47+0,0,1,1))*OFFSET($CI$9,CN47+0,0,1,1))+OFFSET($BP$9,CN47+0,CQ47,1,1),IF(F47&lt;OFFSET($BN$9,CN47+1,0,1,1),((F47-OFFSET($BM$9,CN47+1,0,1,1))*OFFSET($CI$9,CN47+1,0,1,1))+OFFSET($BP$9,CN47+1,CQ47,1,1),IF(F47&lt;OFFSET($BN$9,CN47+2,0,1,1),((F47-OFFSET($BM$9,CN47+2,0,1,1))*OFFSET($CI$9,CN47+2,0,1,1))+OFFSET($BP$9,CN47+2,CQ47,1,1),IF(F47&lt;OFFSET($BN$9,CN47+3,0,1,1),((F47-OFFSET($BM$9,CN47+3,0,1,1))*OFFSET($CI$9,CN47+3,0,1,1))+OFFSET($BP$9,CN47+3,CQ47,1,1),0))))))</f>
        <v>0</v>
      </c>
      <c r="DJ47" s="51">
        <f ca="1">IF($F47&lt;OFFSET($BM$9,$CN47-1,0,1,1),0,IF($F47&lt;OFFSET($BN$9,$CN47-1,0,1,1),IF(AND($H47&gt;2.4,Z47&lt;&gt;"e",Z47&lt;&gt;"f"),DN47*2.4/$H47,DN47),IF($F47&lt;OFFSET($BN$9,$CN47+0,0,1,1),IF(AND($H47&gt;2.4,Z47&lt;&gt;"e",Z47&lt;&gt;"f"),DN47*2.4/$H47,DN47),IF($F47&lt;OFFSET($BN$9,$CN47+1,0,1,1),IF(AND($H47&gt;2.4,Z47&lt;&gt;"e",Z47&lt;&gt;"f"),DN47*2.4/$H47,DN47),IF($F47&lt;OFFSET($BN$9,$CN47+2,0,1,1),IF(AND($H47&gt;2.4,Z47&lt;&gt;"e",Z47&lt;&gt;"f"),DN47*2.4/$H47,DN47),IF($F47&lt;OFFSET($BN$9,$CN47+3,0,1,1),IF(AND($H47&gt;2.4,Z47&lt;&gt;"e",Z47&lt;&gt;"f"),DN47*2.4/$H47,DN47),0)))))*COS(RADIANS($G47)))</f>
        <v>0</v>
      </c>
      <c r="DK47" s="51"/>
      <c r="DL47" s="51">
        <f ca="1">IF(DG47&gt;$CR47,$CR47,DG47)</f>
        <v>0</v>
      </c>
      <c r="DM47" s="51"/>
      <c r="DN47" s="51">
        <f ca="1">IF(DI47&gt;$CR47,$CR47,DI47)</f>
        <v>0</v>
      </c>
      <c r="DO47" s="435">
        <f ca="1">IF(DH47&gt;$CR47,$CR47,DH47)</f>
        <v>0</v>
      </c>
      <c r="DP47" s="435">
        <f ca="1">DO47*F47</f>
        <v>0</v>
      </c>
      <c r="DQ47" s="436">
        <f ca="1">IF(DJ47&gt;$CR47,$CR47,DJ47)</f>
        <v>0</v>
      </c>
      <c r="DR47" s="437">
        <f ca="1">DQ47*F47</f>
        <v>0</v>
      </c>
      <c r="DS47" s="426">
        <f ca="1">OFFSET($CH$9,CL47-1,-15,1,1)</f>
        <v>0</v>
      </c>
      <c r="DT47" s="426">
        <f ca="1">VLOOKUP(DS47,Prodlink,2,0)</f>
        <v>0</v>
      </c>
      <c r="DU47" s="188">
        <f ca="1">IF(F47&lt;OFFSET($BM$9,DT47-1,0,1,1),0,IF(F47&lt;OFFSET($BN$9,DT47-1,0,1,1),((F47-OFFSET($BM$9,DT47-1,0,1,1))*OFFSET($CH$9,DT47-1,0,1,1))+OFFSET($BO$9,DT47-1,CQ47,1,1),IF(F47&lt;OFFSET($BN$9,DT47+0,0,1,1),((F47-OFFSET($BM$9,DT47+0,0,1,1))*OFFSET($CH$9,DT47+0,0,1,1))+OFFSET($BO$9,DT47+0,CQ47,1,1),IF(F47&lt;OFFSET($BN$9,DT47+1,0,1,1),((F47-OFFSET($BM$9,DT47+1,0,1,1))*OFFSET($CH$9,DT47+1,0,1,1))+OFFSET($BO$9,DT47+1,CQ47,1,1),IF(F47&lt;OFFSET($BN$9,DT47+2,0,1,1),((F47-OFFSET($BM$9,DT47+2,0,1,1))*OFFSET($CH$9,DT47+2,0,1,1))+OFFSET($BO$9,DT47+2,CQ47,1,1),IF(F47&lt;OFFSET($BN$9,DT47+3,0,1,1),((F47-OFFSET($BM$9,DT47+3,0,1,1))*OFFSET($CH$9,DT47+3,0,1,1))+OFFSET($BO$9,DT47+3,CQ47,1,1),0))))))</f>
        <v>0</v>
      </c>
      <c r="DV47" s="51">
        <f ca="1">IF($F47&lt;OFFSET($BM$9,$DT47-1,0,1,1),0,IF($F47&lt;OFFSET($BN$9,$DT47-1,0,1,1),IF(AND($H47&gt;2.4,Z47&lt;&gt;"e",Z47&lt;&gt;"f"),DZ47*2.4/$H47,DZ47),IF($F47&lt;OFFSET($BN$9,$DT47+0,0,1,1),IF(AND($H47&gt;2.4,Z47&lt;&gt;"e",Z47&lt;&gt;"f"),DZ47*2.4/$H47,DZ47),IF($F47&lt;OFFSET($BN$9,$DT47+1,0,1,1),IF(AND($H47&gt;2.4,Z47&lt;&gt;"e",Z47&lt;&gt;"f"),DZ47*2.4/$H47,DZ47),IF($F47&lt;OFFSET($BN$9,$DT47+2,0,1,1),IF(AND($H47&gt;2.4,Z47&lt;&gt;"e",Z47&lt;&gt;"f"),DZ47*2.4/$H47,DZ47),IF($F47&lt;OFFSET($BN$9,$DT47+3,0,1,1),IF(AND($H47&gt;2.4,Z47&lt;&gt;"e",Z47&lt;&gt;"f"),DZ47*2.4/$H47,DZ47),0)))))*COS(RADIANS($G47)))</f>
        <v>0</v>
      </c>
      <c r="DW47" s="188">
        <f ca="1">IF(F47&lt;OFFSET($BM$9,DT47-1,0,1,1),0,IF(F47&lt;OFFSET($BN$9,DT47-1,0,1,1),((F47-OFFSET($BM$9,DT47-1,0,1,1))*OFFSET($CI$9,DT47-1,0,1,1))+OFFSET($BP$9,DT47-1,CQ47,1,1),IF(F47&lt;OFFSET($BN$9,DT47+0,0,1,1),((F47-OFFSET($BM$9,DT47+0,0,1,1))*OFFSET($CI$9,DT47+0,0,1,1))+OFFSET($BP$9,DT47+0,CQ47,1,1),IF(F47&lt;OFFSET($BN$9,DT47+1,0,1,1),((F47-OFFSET($BM$9,DT47+1,0,1,1))*OFFSET($CI$9,DT47+1,0,1,1))+OFFSET($BP$9,DT47+1,CQ47,1,1),IF(F47&lt;OFFSET($BN$9,DT47+2,0,1,1),((F47-OFFSET($BM$9,DT47+2,0,1,1))*OFFSET($CI$9,DT47+2,0,1,1))+OFFSET($BP$9,DT47+2,CQ47,1,1),IF(F47&lt;OFFSET($BN$9,DT47+3,0,1,1),((F47-OFFSET($BM$9,DT47+3,0,1,1))*OFFSET($CI$9,DT47+3,0,1,1))+OFFSET($BP$9,DT47+3,CQ47,1,1),0))))))</f>
        <v>0</v>
      </c>
      <c r="DX47" s="51">
        <f ca="1">IF($F47&lt;OFFSET($BM$9,$DT47-1,0,1,1),0,IF($F47&lt;OFFSET($BN$9,$DT47-1,0,1,1),IF(AND($H47&gt;2.4,Z47&lt;&gt;"e",Z47&lt;&gt;"f"),EB47*2.4/$H47,EB47),IF($F47&lt;OFFSET($BN$9,$DT47+0,0,1,1),IF(AND($H47&gt;2.4,Z47&lt;&gt;"e",Z47&lt;&gt;"f"),EB47*2.4/$H47,EB47),IF($F47&lt;OFFSET($BN$9,$DT47+1,0,1,1),IF(AND($H47&gt;2.4,Z47&lt;&gt;"e",Z47&lt;&gt;"f"),EB47*2.4/$H47,EB47),IF($F47&lt;OFFSET($BN$9,$DT47+2,0,1,1),IF(AND($H47&gt;2.4,Z47&lt;&gt;"e",Z47&lt;&gt;"f"),EB47*2.4/$H47,EB47),IF($F47&lt;OFFSET($BN$9,$DT47+3,0,1,1),IF(AND($H47&gt;2.4,Z47&lt;&gt;"e",Z47&lt;&gt;"f"),EB47*2.4/$H47,EB47),0)))))*COS(RADIANS($G47)))</f>
        <v>0</v>
      </c>
      <c r="DY47" s="188"/>
      <c r="DZ47" s="188">
        <f ca="1">IF(DU47&gt;$CR47,$CR47,DU47)</f>
        <v>0</v>
      </c>
      <c r="EA47" s="188"/>
      <c r="EB47" s="188">
        <f ca="1">IF(DW47&gt;$CR47,$CR47,DW47)</f>
        <v>0</v>
      </c>
      <c r="EC47" s="435">
        <f ca="1">IF(DV47&gt;$CR47,$CR47,DV47)</f>
        <v>0</v>
      </c>
      <c r="ED47" s="435">
        <f ca="1">EC47*F47</f>
        <v>0</v>
      </c>
      <c r="EE47" s="436">
        <f ca="1">IF(DX47&gt;$CR47,$CR47,DX47)</f>
        <v>0</v>
      </c>
      <c r="EF47" s="437">
        <f ca="1">EE47*F47</f>
        <v>0</v>
      </c>
      <c r="EG47" s="613" t="str">
        <f>IF(D47=BG$12,BG$12,"")</f>
        <v/>
      </c>
      <c r="EH47" s="614" t="str">
        <f>IF(D47=BG$13,BG$13,"")</f>
        <v/>
      </c>
      <c r="EI47" s="611">
        <f>IF(EG47=BG$12,M47,0)</f>
        <v>0</v>
      </c>
      <c r="EJ47" s="451">
        <f>IF(EG47=BG$12,O47,0)</f>
        <v>0</v>
      </c>
      <c r="EK47" s="451">
        <f>IF(EH47=BG$13,M47,0)</f>
        <v>0</v>
      </c>
      <c r="EL47" s="612">
        <f>IF(EH47=BG$13,O47,0)</f>
        <v>0</v>
      </c>
      <c r="EM47" s="426" t="str">
        <f ca="1">IF(AND(Z47&lt;&gt;"t",Z47&lt;&gt;"f"),"",IF(AND(EN47=$BH$13,K47=$BH$12),"NotOpt",IF(K47&lt;&gt;EN47,"Error","")))</f>
        <v/>
      </c>
      <c r="EN47" s="490" t="str">
        <f>IF($BG$28=1,$BH$13,$BH$12)</f>
        <v>120 BU's</v>
      </c>
      <c r="EO47" s="426" t="str">
        <f>K47</f>
        <v xml:space="preserve"> </v>
      </c>
      <c r="ER47" s="439" t="str">
        <f ca="1">IF(H47=0," ",H47)</f>
        <v xml:space="preserve"> </v>
      </c>
      <c r="ES47" s="440" t="str">
        <f ca="1">IF(ER47&lt;&gt;" ",IF(ER47&lt;&gt;ER$7,"Changed",""),"")</f>
        <v/>
      </c>
      <c r="ET47" s="440">
        <f ca="1">IF(ER47&lt;&gt;" ",IF(ER47&lt;&gt;ER$7,1,0),0)</f>
        <v>0</v>
      </c>
      <c r="EU47" s="957" t="str">
        <f ca="1">IF(I47=" "," ",IF(F47&lt;OFFSET($BM$9,CL47-1,0,1,1),1,""))</f>
        <v xml:space="preserve"> </v>
      </c>
      <c r="EW47" s="427"/>
      <c r="EX47"/>
      <c r="EY47"/>
      <c r="EZ47"/>
      <c r="FA47"/>
      <c r="FB47"/>
      <c r="FC47"/>
      <c r="FD47"/>
      <c r="FE47"/>
      <c r="FF47"/>
      <c r="FG47"/>
      <c r="FH47"/>
      <c r="FI47"/>
      <c r="FJ47"/>
      <c r="FK47"/>
      <c r="FL47"/>
      <c r="FM47"/>
      <c r="FN47"/>
      <c r="FO47"/>
    </row>
    <row r="48" spans="1:171" ht="17.100000000000001" customHeight="1" thickBot="1">
      <c r="A48" s="2685"/>
      <c r="B48" s="689" t="s">
        <v>246</v>
      </c>
      <c r="C48" s="684" t="str">
        <f>IF(OR(F48=0,I48="",I48=" ")," ",$V48)</f>
        <v xml:space="preserve"> </v>
      </c>
      <c r="D48" s="1033"/>
      <c r="E48" s="1360" t="s">
        <v>8</v>
      </c>
      <c r="F48" s="202"/>
      <c r="G48" s="1416"/>
      <c r="H48" s="199" t="str">
        <f ca="1">IF(OR(F48=0,Z48="E",Z48="f")," ",'Project Demand'!E$45)</f>
        <v xml:space="preserve"> </v>
      </c>
      <c r="I48" s="631" t="str">
        <f>IF($I$6&lt;&gt;$BG$8," ",AB48)</f>
        <v xml:space="preserve"> </v>
      </c>
      <c r="J48" s="44" t="str">
        <f ca="1">IF(OR(I48=" ",I48="")," ",OFFSET($BO$9,CL48-1,0-4,1,1))</f>
        <v xml:space="preserve"> </v>
      </c>
      <c r="K48" s="55" t="str">
        <f>IF(OR(I48=" ",I48="")," ",IF(OR(Z48="e",Z48="h"),"SD",BG$24))</f>
        <v xml:space="preserve"> </v>
      </c>
      <c r="L48" s="49">
        <f ca="1">CW48</f>
        <v>0</v>
      </c>
      <c r="M48" s="49">
        <f ca="1">CY48</f>
        <v>0</v>
      </c>
      <c r="N48" s="50">
        <f t="shared" ca="1" si="28"/>
        <v>0</v>
      </c>
      <c r="O48" s="126">
        <f t="shared" ca="1" si="28"/>
        <v>0</v>
      </c>
      <c r="P48" s="140"/>
      <c r="Q48" s="752" t="str">
        <f ca="1">IF(AND(OR(Z48="t",Z48="f"),K48=$BH$11),"No Floor!  Change Floor Type",IF(OR(I48=" ",I48="")," ",IF(F48&lt;OFFSET($BM$9,CL48-1,0,1,1),"check L(m)",DE48&amp;IF(AND(DP48&gt;=CY48,DR48&gt;=DB48),IF(AND(ED48&gt;=DP48,EF48&gt;=DR48),CONCATENATE(DS48," will provide same result"),CONCATENATE(CO48," will provide same result")),IF((DP48&gt;=CY48),CONCATENATE(CO48," provides same result in WIND"),IF((DR48&gt;=DB48),CONCATENATE(CO48," provides same result in EQ"),""))))))&amp;IF(ISERROR(FIND("pile",I48,1)),"",IF(INT(F48)&lt;&gt;F48,"Pile!  Use Whole Numbers Only",""))</f>
        <v xml:space="preserve"> </v>
      </c>
      <c r="R48" s="52"/>
      <c r="S48" s="1372"/>
      <c r="T48" s="1372"/>
      <c r="U48" s="1377"/>
      <c r="V48" s="52" t="str">
        <f ca="1">IF(AND(B$5=$BF$9,OR(I48=BH$16,I48=BH$17))," ",IF(ISNUMBER(B$44),(CONCATENATE(B$44,".",W48)),(CONCATENATE(B$44,W48))))</f>
        <v>G0</v>
      </c>
      <c r="W48" s="9">
        <f ca="1">W47+X48</f>
        <v>0</v>
      </c>
      <c r="X48" s="9">
        <f>IF(AND(B$5=$BF$9,OR($I48=$BH$16,$I48=$BH$17,$I48=" ",$I48="",$F48=0)),0,IF(OR($I48=" ",$I48="",$F48=0),0,1))</f>
        <v>0</v>
      </c>
      <c r="Y48" s="896"/>
      <c r="Z48" s="52" t="str">
        <f ca="1">IF(I48=" "," ",OFFSET($BM$9,$CL48-1,8,1,1))</f>
        <v xml:space="preserve"> </v>
      </c>
      <c r="AA48" s="51" t="str">
        <f>IF(G48&gt;=45,"WA","")</f>
        <v/>
      </c>
      <c r="AB48" s="1364" t="str">
        <f>IF(F48&lt;&gt;"",IF(OR(D48=$BG$12,D48=$BG$13),IF(E48&lt;&gt;$BG$17,$BF$12,$BF$13),IF(E48&lt;&gt;$BG$17,$BF$12,$BF$13))," ")</f>
        <v xml:space="preserve"> </v>
      </c>
      <c r="AC48" s="1"/>
      <c r="AK48" s="63" t="str">
        <f>'Custom Elements'!B9</f>
        <v xml:space="preserve">  </v>
      </c>
      <c r="AL48" s="860" t="str">
        <f>'Custom Elements'!C9</f>
        <v>Custom1</v>
      </c>
      <c r="AM48" s="11">
        <f>'Custom Elements'!D9</f>
        <v>9.9999999999999996E-76</v>
      </c>
      <c r="AN48" s="7">
        <f>'Custom Elements'!E9</f>
        <v>0</v>
      </c>
      <c r="AO48" s="7">
        <f>'Custom Elements'!F9</f>
        <v>0</v>
      </c>
      <c r="AP48" s="762" t="str">
        <f>'Custom Elements'!G9</f>
        <v>B</v>
      </c>
      <c r="AQ48" s="1777" t="str">
        <f>'Custom Elements'!H9</f>
        <v>Single</v>
      </c>
      <c r="AR48" s="1775" t="str">
        <f>'Custom Elements'!I9</f>
        <v>Yes</v>
      </c>
      <c r="AS48" s="442" t="str">
        <f>'Custom Elements'!J9</f>
        <v>Yes</v>
      </c>
      <c r="AT48" s="1150"/>
      <c r="AU48" s="1150"/>
      <c r="AZ48" s="442" t="str">
        <f>IF(AND('Custom Elements'!J9="Yes",'Custom Elements'!I9="Yes"),"T",IF('Custom Elements'!J9="Yes","F",IF('Custom Elements'!I9="Yes","H","E")))</f>
        <v>T</v>
      </c>
      <c r="BD48" s="638"/>
      <c r="BF48" s="1374"/>
      <c r="BI48" s="759"/>
      <c r="BJ48" s="897">
        <f t="shared" si="27"/>
        <v>40</v>
      </c>
      <c r="BK48" s="1223"/>
      <c r="BL48" s="1208"/>
      <c r="BM48" s="1211">
        <f>Table!J14</f>
        <v>1.2</v>
      </c>
      <c r="BN48" s="776">
        <v>999</v>
      </c>
      <c r="BO48" s="776">
        <f>Table!K14</f>
        <v>60</v>
      </c>
      <c r="BP48" s="926">
        <f>Table!L14</f>
        <v>55</v>
      </c>
      <c r="BQ48" s="1183"/>
      <c r="BR48" s="908"/>
      <c r="BS48" s="776"/>
      <c r="BT48" s="776"/>
      <c r="BU48" s="926" t="s">
        <v>242</v>
      </c>
      <c r="BV48" s="433"/>
      <c r="BW48" s="1184"/>
      <c r="BX48" s="926" t="str">
        <f>Table!N11</f>
        <v>Double</v>
      </c>
      <c r="CH48" s="908">
        <f>IF(BN48=999,0,(BO49-BO48)/(BN48-BM48))</f>
        <v>0</v>
      </c>
      <c r="CI48" s="926">
        <f>IF(BN48=999,0,(BP49-BP48)/(BN48-BM48))</f>
        <v>0</v>
      </c>
      <c r="CJ48" s="759"/>
      <c r="CK48" s="188"/>
      <c r="CL48" s="979">
        <f>VLOOKUP(I48,Prodlink,2,0)</f>
        <v>0</v>
      </c>
      <c r="CN48" s="497">
        <f t="shared" ca="1" si="26"/>
        <v>0</v>
      </c>
      <c r="CO48" s="497">
        <f ca="1">OFFSET($CH$9,CL48-1,-15,1,1)</f>
        <v>0</v>
      </c>
      <c r="CQ48" s="51">
        <v>0</v>
      </c>
      <c r="CR48" s="51">
        <f>IF(K48=$BH$12,$BH$23,IF(K48=$BH$13,$BH$24,10000))</f>
        <v>10000</v>
      </c>
      <c r="CS48" s="51">
        <f ca="1">IF(F48&lt;OFFSET($BM$9,CL48-1,0,1,1),0,IF(F48&lt;OFFSET($BN$9,CL48-1,0,1,1),((F48-OFFSET($BM$9,CL48-1,0,1,1))*OFFSET($CH$9,CL48-1,0,1,1))+OFFSET($BO$9,CL48-1,CQ48,1,1),IF(F48&lt;OFFSET($BN$9,CL48+0,0,1,1),((F48-OFFSET($BM$9,CL48+0,0,1,1))*OFFSET($CH$9,CL48+0,0,1,1))+OFFSET($BO$9,CL48+0,CQ48,1,1),IF(F48&lt;OFFSET($BN$9,CL48+1,0,1,1),((F48-OFFSET($BM$9,CL48+1,0,1,1))*OFFSET($CH$9,CL48+1,0,1,1))+OFFSET($BO$9,CL48+1,CQ48,1,1),IF(F48&lt;OFFSET($BN$9,CL48+2,0,1,1),((F48-OFFSET($BM$9,CL48+2,0,1,1))*OFFSET($CH$9,CL48+2,0,1,1))+OFFSET($BO$9,CL48+2,CQ48,1,1),IF(F48&lt;OFFSET($BN$9,CL48+3,0,1,1),((F48-OFFSET($BM$9,CL48+3,0,1,1))*OFFSET($CH$9,CL48+3,0,1,1))+OFFSET($BO$9,CL48+3,CQ48,1,1),0))))))</f>
        <v>0</v>
      </c>
      <c r="CT48" s="51">
        <f ca="1">IF($F48&lt;OFFSET($BM$9,$CL48-1,0,1,1),0,IF($F48&lt;OFFSET($BN$9,$CL48-1,0,1,1),IF(AND($H48&gt;2.4,Z48&lt;&gt;"e",Z48&lt;&gt;"f"),CX48*2.4/$H48,CX48),IF($F48&lt;OFFSET($BN$9,$CL48+0,0,1,1),IF(AND($H48&gt;2.4,Z48&lt;&gt;"e",Z48&lt;&gt;"f"),CX48*2.4/$H48,CX48),IF($F48&lt;OFFSET($BN$9,$CL48+1,0,1,1),IF(AND($H48&gt;2.4,Z48&lt;&gt;"e",Z48&lt;&gt;"f"),CX48*2.4/$H48,CX48),IF($F48&lt;OFFSET($BN$9,CL48+2,0,1,1),IF(AND($H48&gt;2.4,Z48&lt;&gt;"e",Z48&lt;&gt;"f"),CX48*2.4/$H48,CX48),IF($F48&lt;OFFSET($BN$9,CL48+3,0,1,1),IF(AND($H48&gt;2.4,Z48&lt;&gt;"e",Z48&lt;&gt;"f"),CX48*2.4/$H48,CX48),0)))))*COS(RADIANS($G48)))</f>
        <v>0</v>
      </c>
      <c r="CU48" s="51">
        <f ca="1">IF(F48&lt;OFFSET($BM$9,CL48-1,0,1,1),0,IF(F48&lt;OFFSET($BN$9,CL48-1,0,1,1),((F48-OFFSET($BM$9,CL48-1,0,1,1))*OFFSET($CI$9,CL48-1,0,1,1))+OFFSET($BP$9,CL48-1,CQ48,1,1),IF(F48&lt;OFFSET($BN$9,CL48+0,0,1,1),((F48-OFFSET($BM$9,CL48+0,0,1,1))*OFFSET($CI$9,CL48+0,0,1,1))+OFFSET($BP$9,CL48+0,CQ48,1,1),IF(F48&lt;OFFSET($BN$9,CL48+1,0,1,1),((F48-OFFSET($BM$9,CL48+1,0,1,1))*OFFSET($CI$9,CL48+1,0,1,1))+OFFSET($BP$9,CL48+1,CQ48,1,1),IF(F48&lt;OFFSET($BN$9,CL48+2,0,1,1),((F48-OFFSET($BM$9,CL48+2,0,1,1))*OFFSET($CI$9,CL48+2,0,1,1))+OFFSET($BP$9,CL48+2,CQ48,1,1),IF(F48&lt;OFFSET($BN$9,CL48+3,0,1,1),((F48-OFFSET($BM$9,CL48+3,0,1,1))*OFFSET($CI$9,CL48+3,0,1,1))+OFFSET($BP$9,CL48+3,CQ48,1,1),0))))))</f>
        <v>0</v>
      </c>
      <c r="CV48" s="51">
        <f ca="1">IF($F48&lt;OFFSET($BM$9,$CL48-1,0,1,1),0,IF($F48&lt;OFFSET($BN$9,$CL48-1,0,1,1),IF(AND($H48&gt;2.4,Z48&lt;&gt;"e",Z48&lt;&gt;"f"),CZ48*2.4/$H48,CZ48),IF($F48&lt;OFFSET($BN$9,$CL48+0,0,1,1),IF(AND($H48&gt;2.4,Z48&lt;&gt;"e",Z48&lt;&gt;"f"),CZ48*2.4/$H48,CZ48),IF($F48&lt;OFFSET($BN$9,$CL48+1,0,1,1),IF(AND($H48&gt;2.4,Z48&lt;&gt;"e",Z48&lt;&gt;"f"),CZ48*2.4/$H48,CZ48),IF($F48&lt;OFFSET($BN$9,$CL48+2,0,1,1),IF(AND($H48&gt;2.4,Z48&lt;&gt;"e",Z48&lt;&gt;"f"),CZ48*2.4/$H48,CZ48),IF($F48&lt;OFFSET($BN$9,$CL48+3,0,1,1),IF(AND($H48&gt;2.4,Z48&lt;&gt;"e",Z48&lt;&gt;"f"),CZ48*2.4/$H48,CZ48),0)))))*COS(RADIANS($G48)))</f>
        <v>0</v>
      </c>
      <c r="CW48" s="51">
        <f ca="1">IF(CT48&gt;CR48,CR48,CT48)</f>
        <v>0</v>
      </c>
      <c r="CX48" s="51">
        <f ca="1">IF(CS48&gt;$CR48,$CR48,CS48)</f>
        <v>0</v>
      </c>
      <c r="CY48" s="51">
        <f ca="1">CW48*F48</f>
        <v>0</v>
      </c>
      <c r="CZ48" s="51">
        <f ca="1">IF($CU48&gt;$CR48,$CR48,$CU48)</f>
        <v>0</v>
      </c>
      <c r="DA48" s="51">
        <f ca="1">IF(CV48&gt;CR48,CR48,CV48)</f>
        <v>0</v>
      </c>
      <c r="DB48" s="51">
        <f ca="1">DA48*F48</f>
        <v>0</v>
      </c>
      <c r="DC48" s="993">
        <v>1</v>
      </c>
      <c r="DD48" s="758" t="str">
        <f>IF(OR(D48=BG$12,D48=BG$13),"External",IF(D48=BG$14,"Internal"," "))</f>
        <v xml:space="preserve"> </v>
      </c>
      <c r="DE48" s="51" t="str">
        <f t="shared" ca="1" si="2"/>
        <v/>
      </c>
      <c r="DF48" s="52" t="str">
        <f t="shared" ca="1" si="3"/>
        <v xml:space="preserve"> </v>
      </c>
      <c r="DG48" s="51">
        <f ca="1">IF(F48&lt;OFFSET($BM$9,CN48-1,0,1,1),0,IF(F48&lt;OFFSET($BN$9,CN48-1,0,1,1),((F48-OFFSET($BM$9,CN48-1,0,1,1))*OFFSET($CH$9,CN48-1,0,1,1))+OFFSET($BO$9,CN48-1,CQ48,1,1),IF(F48&lt;OFFSET($BN$9,CN48+0,0,1,1),((F48-OFFSET($BM$9,CN48+0,0,1,1))*OFFSET($CH$9,CN48+0,0,1,1))+OFFSET($BO$9,CN48+0,CQ48,1,1),IF(F48&lt;OFFSET($BN$9,CN48+1,0,1,1),((F48-OFFSET($BM$9,CN48+1,0,1,1))*OFFSET($CH$9,CN48+1,0,1,1))+OFFSET($BO$9,CN48+1,CQ48,1,1),IF(F48&lt;OFFSET($BN$9,CN48+2,0,1,1),((F48-OFFSET($BM$9,CN48+2,0,1,1))*OFFSET($CH$9,CN48+2,0,1,1))+OFFSET($BO$9,CN48+2,CQ48,1,1),IF(F48&lt;OFFSET($BN$9,CN48+3,0,1,1),((F48-OFFSET($BM$9,CN48+3,0,1,1))*OFFSET($CH$9,CN48+3,0,1,1))+OFFSET($BO$9,CN48+3,CQ48,1,1),0))))))</f>
        <v>0</v>
      </c>
      <c r="DH48" s="51">
        <f ca="1">IF($F48&lt;OFFSET($BM$9,$CN48-1,0,1,1),0,IF($F48&lt;OFFSET($BN$9,$CN48-1,0,1,1),IF(AND($H48&gt;2.4,Z48&lt;&gt;"e",Z48&lt;&gt;"f"),DL48*2.4/$H48,DL48),IF($F48&lt;OFFSET($BN$9,$CN48+0,0,1,1),IF(AND($H48&gt;2.4,Z48&lt;&gt;"e",Z48&lt;&gt;"f"),DL48*2.4/$H48,DL48),IF($F48&lt;OFFSET($BN$9,$CN48+1,0,1,1),IF(AND($H48&gt;2.4,Z48&lt;&gt;"e",Z48&lt;&gt;"f"),DL48*2.4/$H48,DL48),IF($F48&lt;OFFSET($BN$9,$CN48+2,0,1,1),IF(AND($H48&gt;2.4,Z48&lt;&gt;"e",Z48&lt;&gt;"f"),DL48*2.4/$H48,DL48),IF($F48&lt;OFFSET($BN$9,$CN48+3,0,1,1),IF(AND($H48&gt;2.4,Z48&lt;&gt;"e",Z48&lt;&gt;"f"),DL48*2.4/$H48,DL48),0)))))*COS(RADIANS($G48)))</f>
        <v>0</v>
      </c>
      <c r="DI48" s="51">
        <f ca="1">IF(F48&lt;OFFSET($BM$9,CN48-1,0,1,1),0,IF(F48&lt;OFFSET($BN$9,CN48-1,0,1,1),((F48-OFFSET($BM$9,CN48-1,0,1,1))*OFFSET($CI$9,CN48-1,0,1,1))+OFFSET($BP$9,CN48-1,CQ48,1,1),IF(F48&lt;OFFSET($BN$9,CN48+0,0,1,1),((F48-OFFSET($BM$9,CN48+0,0,1,1))*OFFSET($CI$9,CN48+0,0,1,1))+OFFSET($BP$9,CN48+0,CQ48,1,1),IF(F48&lt;OFFSET($BN$9,CN48+1,0,1,1),((F48-OFFSET($BM$9,CN48+1,0,1,1))*OFFSET($CI$9,CN48+1,0,1,1))+OFFSET($BP$9,CN48+1,CQ48,1,1),IF(F48&lt;OFFSET($BN$9,CN48+2,0,1,1),((F48-OFFSET($BM$9,CN48+2,0,1,1))*OFFSET($CI$9,CN48+2,0,1,1))+OFFSET($BP$9,CN48+2,CQ48,1,1),IF(F48&lt;OFFSET($BN$9,CN48+3,0,1,1),((F48-OFFSET($BM$9,CN48+3,0,1,1))*OFFSET($CI$9,CN48+3,0,1,1))+OFFSET($BP$9,CN48+3,CQ48,1,1),0))))))</f>
        <v>0</v>
      </c>
      <c r="DJ48" s="51">
        <f ca="1">IF($F48&lt;OFFSET($BM$9,$CN48-1,0,1,1),0,IF($F48&lt;OFFSET($BN$9,$CN48-1,0,1,1),IF(AND($H48&gt;2.4,Z48&lt;&gt;"e",Z48&lt;&gt;"f"),DN48*2.4/$H48,DN48),IF($F48&lt;OFFSET($BN$9,$CN48+0,0,1,1),IF(AND($H48&gt;2.4,Z48&lt;&gt;"e",Z48&lt;&gt;"f"),DN48*2.4/$H48,DN48),IF($F48&lt;OFFSET($BN$9,$CN48+1,0,1,1),IF(AND($H48&gt;2.4,Z48&lt;&gt;"e",Z48&lt;&gt;"f"),DN48*2.4/$H48,DN48),IF($F48&lt;OFFSET($BN$9,$CN48+2,0,1,1),IF(AND($H48&gt;2.4,Z48&lt;&gt;"e",Z48&lt;&gt;"f"),DN48*2.4/$H48,DN48),IF($F48&lt;OFFSET($BN$9,$CN48+3,0,1,1),IF(AND($H48&gt;2.4,Z48&lt;&gt;"e",Z48&lt;&gt;"f"),DN48*2.4/$H48,DN48),0)))))*COS(RADIANS($G48)))</f>
        <v>0</v>
      </c>
      <c r="DK48" s="51"/>
      <c r="DL48" s="51">
        <f ca="1">IF(DG48&gt;$CR48,$CR48,DG48)</f>
        <v>0</v>
      </c>
      <c r="DM48" s="51"/>
      <c r="DN48" s="51">
        <f ca="1">IF(DI48&gt;$CR48,$CR48,DI48)</f>
        <v>0</v>
      </c>
      <c r="DO48" s="435">
        <f ca="1">IF(DH48&gt;$CR48,$CR48,DH48)</f>
        <v>0</v>
      </c>
      <c r="DP48" s="435">
        <f ca="1">DO48*F48</f>
        <v>0</v>
      </c>
      <c r="DQ48" s="436">
        <f ca="1">IF(DJ48&gt;$CR48,$CR48,DJ48)</f>
        <v>0</v>
      </c>
      <c r="DR48" s="437">
        <f ca="1">DQ48*F48</f>
        <v>0</v>
      </c>
      <c r="DS48" s="426">
        <f ca="1">OFFSET($CH$9,CL48-1,-15,1,1)</f>
        <v>0</v>
      </c>
      <c r="DT48" s="426">
        <f ca="1">VLOOKUP(DS48,Prodlink,2,0)</f>
        <v>0</v>
      </c>
      <c r="DU48" s="188">
        <f ca="1">IF(F48&lt;OFFSET($BM$9,DT48-1,0,1,1),0,IF(F48&lt;OFFSET($BN$9,DT48-1,0,1,1),((F48-OFFSET($BM$9,DT48-1,0,1,1))*OFFSET($CH$9,DT48-1,0,1,1))+OFFSET($BO$9,DT48-1,CQ48,1,1),IF(F48&lt;OFFSET($BN$9,DT48+0,0,1,1),((F48-OFFSET($BM$9,DT48+0,0,1,1))*OFFSET($CH$9,DT48+0,0,1,1))+OFFSET($BO$9,DT48+0,CQ48,1,1),IF(F48&lt;OFFSET($BN$9,DT48+1,0,1,1),((F48-OFFSET($BM$9,DT48+1,0,1,1))*OFFSET($CH$9,DT48+1,0,1,1))+OFFSET($BO$9,DT48+1,CQ48,1,1),IF(F48&lt;OFFSET($BN$9,DT48+2,0,1,1),((F48-OFFSET($BM$9,DT48+2,0,1,1))*OFFSET($CH$9,DT48+2,0,1,1))+OFFSET($BO$9,DT48+2,CQ48,1,1),IF(F48&lt;OFFSET($BN$9,DT48+3,0,1,1),((F48-OFFSET($BM$9,DT48+3,0,1,1))*OFFSET($CH$9,DT48+3,0,1,1))+OFFSET($BO$9,DT48+3,CQ48,1,1),0))))))</f>
        <v>0</v>
      </c>
      <c r="DV48" s="51">
        <f ca="1">IF($F48&lt;OFFSET($BM$9,$DT48-1,0,1,1),0,IF($F48&lt;OFFSET($BN$9,$DT48-1,0,1,1),IF(AND($H48&gt;2.4,Z48&lt;&gt;"e",Z48&lt;&gt;"f"),DZ48*2.4/$H48,DZ48),IF($F48&lt;OFFSET($BN$9,$DT48+0,0,1,1),IF(AND($H48&gt;2.4,Z48&lt;&gt;"e",Z48&lt;&gt;"f"),DZ48*2.4/$H48,DZ48),IF($F48&lt;OFFSET($BN$9,$DT48+1,0,1,1),IF(AND($H48&gt;2.4,Z48&lt;&gt;"e",Z48&lt;&gt;"f"),DZ48*2.4/$H48,DZ48),IF($F48&lt;OFFSET($BN$9,$DT48+2,0,1,1),IF(AND($H48&gt;2.4,Z48&lt;&gt;"e",Z48&lt;&gt;"f"),DZ48*2.4/$H48,DZ48),IF($F48&lt;OFFSET($BN$9,$DT48+3,0,1,1),IF(AND($H48&gt;2.4,Z48&lt;&gt;"e",Z48&lt;&gt;"f"),DZ48*2.4/$H48,DZ48),0)))))*COS(RADIANS($G48)))</f>
        <v>0</v>
      </c>
      <c r="DW48" s="188">
        <f ca="1">IF(F48&lt;OFFSET($BM$9,DT48-1,0,1,1),0,IF(F48&lt;OFFSET($BN$9,DT48-1,0,1,1),((F48-OFFSET($BM$9,DT48-1,0,1,1))*OFFSET($CI$9,DT48-1,0,1,1))+OFFSET($BP$9,DT48-1,CQ48,1,1),IF(F48&lt;OFFSET($BN$9,DT48+0,0,1,1),((F48-OFFSET($BM$9,DT48+0,0,1,1))*OFFSET($CI$9,DT48+0,0,1,1))+OFFSET($BP$9,DT48+0,CQ48,1,1),IF(F48&lt;OFFSET($BN$9,DT48+1,0,1,1),((F48-OFFSET($BM$9,DT48+1,0,1,1))*OFFSET($CI$9,DT48+1,0,1,1))+OFFSET($BP$9,DT48+1,CQ48,1,1),IF(F48&lt;OFFSET($BN$9,DT48+2,0,1,1),((F48-OFFSET($BM$9,DT48+2,0,1,1))*OFFSET($CI$9,DT48+2,0,1,1))+OFFSET($BP$9,DT48+2,CQ48,1,1),IF(F48&lt;OFFSET($BN$9,DT48+3,0,1,1),((F48-OFFSET($BM$9,DT48+3,0,1,1))*OFFSET($CI$9,DT48+3,0,1,1))+OFFSET($BP$9,DT48+3,CQ48,1,1),0))))))</f>
        <v>0</v>
      </c>
      <c r="DX48" s="51">
        <f ca="1">IF($F48&lt;OFFSET($BM$9,$DT48-1,0,1,1),0,IF($F48&lt;OFFSET($BN$9,$DT48-1,0,1,1),IF(AND($H48&gt;2.4,Z48&lt;&gt;"e",Z48&lt;&gt;"f"),EB48*2.4/$H48,EB48),IF($F48&lt;OFFSET($BN$9,$DT48+0,0,1,1),IF(AND($H48&gt;2.4,Z48&lt;&gt;"e",Z48&lt;&gt;"f"),EB48*2.4/$H48,EB48),IF($F48&lt;OFFSET($BN$9,$DT48+1,0,1,1),IF(AND($H48&gt;2.4,Z48&lt;&gt;"e",Z48&lt;&gt;"f"),EB48*2.4/$H48,EB48),IF($F48&lt;OFFSET($BN$9,$DT48+2,0,1,1),IF(AND($H48&gt;2.4,Z48&lt;&gt;"e",Z48&lt;&gt;"f"),EB48*2.4/$H48,EB48),IF($F48&lt;OFFSET($BN$9,$DT48+3,0,1,1),IF(AND($H48&gt;2.4,Z48&lt;&gt;"e",Z48&lt;&gt;"f"),EB48*2.4/$H48,EB48),0)))))*COS(RADIANS($G48)))</f>
        <v>0</v>
      </c>
      <c r="DY48" s="188"/>
      <c r="DZ48" s="188">
        <f ca="1">IF(DU48&gt;$CR48,$CR48,DU48)</f>
        <v>0</v>
      </c>
      <c r="EA48" s="188"/>
      <c r="EB48" s="188">
        <f ca="1">IF(DW48&gt;$CR48,$CR48,DW48)</f>
        <v>0</v>
      </c>
      <c r="EC48" s="435">
        <f ca="1">IF(DV48&gt;$CR48,$CR48,DV48)</f>
        <v>0</v>
      </c>
      <c r="ED48" s="435">
        <f ca="1">EC48*F48</f>
        <v>0</v>
      </c>
      <c r="EE48" s="436">
        <f ca="1">IF(DX48&gt;$CR48,$CR48,DX48)</f>
        <v>0</v>
      </c>
      <c r="EF48" s="437">
        <f ca="1">EE48*F48</f>
        <v>0</v>
      </c>
      <c r="EG48" s="613" t="str">
        <f>IF(D48=BG$12,BG$12,"")</f>
        <v/>
      </c>
      <c r="EH48" s="614" t="str">
        <f>IF(D48=BG$13,BG$13,"")</f>
        <v/>
      </c>
      <c r="EI48" s="611">
        <f>IF(EG48=BG$12,M48,0)</f>
        <v>0</v>
      </c>
      <c r="EJ48" s="451">
        <f>IF(EG48=BG$12,O48,0)</f>
        <v>0</v>
      </c>
      <c r="EK48" s="451">
        <f>IF(EH48=BG$13,M48,0)</f>
        <v>0</v>
      </c>
      <c r="EL48" s="612">
        <f>IF(EH48=BG$13,O48,0)</f>
        <v>0</v>
      </c>
      <c r="EM48" s="426" t="str">
        <f ca="1">IF(AND(Z48&lt;&gt;"t",Z48&lt;&gt;"f"),"",IF(AND(EN48=$BH$13,K48=$BH$12),"NotOpt",IF(K48&lt;&gt;EN48,"Error","")))</f>
        <v/>
      </c>
      <c r="EN48" s="490" t="str">
        <f>IF($BG$28=1,$BH$13,$BH$12)</f>
        <v>120 BU's</v>
      </c>
      <c r="EO48" s="426" t="str">
        <f>K48</f>
        <v xml:space="preserve"> </v>
      </c>
      <c r="ER48" s="439" t="str">
        <f ca="1">IF(H48=0," ",H48)</f>
        <v xml:space="preserve"> </v>
      </c>
      <c r="ES48" s="440" t="str">
        <f ca="1">IF(ER48&lt;&gt;" ",IF(ER48&lt;&gt;ER$7,"Changed",""),"")</f>
        <v/>
      </c>
      <c r="ET48" s="440">
        <f ca="1">IF(ER48&lt;&gt;" ",IF(ER48&lt;&gt;ER$7,1,0),0)</f>
        <v>0</v>
      </c>
      <c r="EU48" s="957" t="str">
        <f ca="1">IF(I48=" "," ",IF(F48&lt;OFFSET($BM$9,CL48-1,0,1,1),1,""))</f>
        <v xml:space="preserve"> </v>
      </c>
      <c r="EW48" s="427"/>
      <c r="EX48"/>
      <c r="EY48"/>
      <c r="EZ48"/>
      <c r="FA48"/>
      <c r="FB48"/>
      <c r="FC48"/>
      <c r="FD48"/>
      <c r="FE48"/>
      <c r="FF48"/>
      <c r="FG48"/>
      <c r="FH48"/>
      <c r="FI48"/>
      <c r="FJ48"/>
      <c r="FK48"/>
      <c r="FL48"/>
      <c r="FM48"/>
      <c r="FN48"/>
      <c r="FO48"/>
    </row>
    <row r="49" spans="1:171" ht="17.100000000000001" customHeight="1" thickBot="1">
      <c r="A49" s="2685"/>
      <c r="B49" s="2686" t="s">
        <v>8</v>
      </c>
      <c r="C49" s="2687"/>
      <c r="D49" s="1461" t="s">
        <v>8</v>
      </c>
      <c r="E49" s="659"/>
      <c r="F49" s="659"/>
      <c r="G49" s="659"/>
      <c r="H49" s="659"/>
      <c r="I49" s="1462"/>
      <c r="J49" s="1365" t="str">
        <f ca="1">(CONCATENATE(B44,$BE$54))</f>
        <v>G  Line:  Min. Requirement</v>
      </c>
      <c r="K49" s="23"/>
      <c r="L49" s="1019">
        <f ca="1">L$5</f>
        <v>0</v>
      </c>
      <c r="M49" s="48">
        <f ca="1">IF(B44=B38,SUM(M44:M48)+M43,SUM(M44:M48))</f>
        <v>0</v>
      </c>
      <c r="N49" s="1019">
        <f ca="1">N$5</f>
        <v>0</v>
      </c>
      <c r="O49" s="125">
        <f ca="1">IF(B44=B38,SUM(O44:O48)+O43,SUM(O44:O48))</f>
        <v>0</v>
      </c>
      <c r="P49" s="139"/>
      <c r="Q49" s="42" t="str">
        <f ca="1">IF(B44=B50,"",IF(AND(M49&gt;0,L49&gt;M49),"More Required on this line",IF(AND(O49&gt;0,N49&gt;O49),"More Required on this line",IF(AND(M49&gt;0,L49=0,OR(M49&lt;$M$105,M49&lt;$BF$3)),"Achieved &lt; Min Req per Line",IF(AND(O49&gt;0,N49=0,OR(O49&lt;$O$105,O49&lt;$BF$3)),"Achieved &lt; Min Req per Line",IF(AND(L49&gt;0,L49&lt;$BF$3),$BE$59,IF(AND(N49&gt;0,N49&lt;$BF$3),$BE$59,"")))))))</f>
        <v/>
      </c>
      <c r="R49" s="52"/>
      <c r="S49" s="52"/>
      <c r="T49" s="52"/>
      <c r="U49" s="1378"/>
      <c r="V49" s="52"/>
      <c r="W49" s="898"/>
      <c r="X49" s="898"/>
      <c r="Y49" s="896"/>
      <c r="Z49" s="52"/>
      <c r="AA49" s="51"/>
      <c r="AB49" s="1364"/>
      <c r="AC49"/>
      <c r="AK49" s="63" t="str">
        <f>'Custom Elements'!B10</f>
        <v xml:space="preserve">  </v>
      </c>
      <c r="AL49" s="860" t="str">
        <f>'Custom Elements'!C10</f>
        <v>Custom2</v>
      </c>
      <c r="AM49" s="11">
        <f>'Custom Elements'!D10</f>
        <v>9.9999999999999996E-76</v>
      </c>
      <c r="AN49" s="7">
        <f>'Custom Elements'!E10</f>
        <v>0</v>
      </c>
      <c r="AO49" s="7">
        <f>'Custom Elements'!F10</f>
        <v>0</v>
      </c>
      <c r="AP49" s="762" t="str">
        <f>'Custom Elements'!G10</f>
        <v>B</v>
      </c>
      <c r="AQ49" s="1777" t="str">
        <f>'Custom Elements'!H10</f>
        <v>Single</v>
      </c>
      <c r="AR49" s="1775" t="str">
        <f>'Custom Elements'!I10</f>
        <v>Yes</v>
      </c>
      <c r="AS49" s="442" t="str">
        <f>'Custom Elements'!J10</f>
        <v>Yes</v>
      </c>
      <c r="AT49" s="1150"/>
      <c r="AU49" s="1150"/>
      <c r="AZ49" s="442" t="str">
        <f>IF(AND('Custom Elements'!J10="Yes",'Custom Elements'!I10="Yes"),"T",IF('Custom Elements'!J10="Yes","F",IF('Custom Elements'!I10="Yes","H","E")))</f>
        <v>T</v>
      </c>
      <c r="BD49" s="638"/>
      <c r="BF49" s="1363"/>
      <c r="BG49" s="1022"/>
      <c r="BH49" s="1022"/>
      <c r="BI49" s="759"/>
      <c r="BJ49" s="897">
        <f t="shared" si="27"/>
        <v>41</v>
      </c>
      <c r="BX49" s="52"/>
      <c r="CH49" s="970"/>
      <c r="CI49" s="971"/>
      <c r="CJ49" s="759"/>
      <c r="CK49" s="188"/>
      <c r="CL49" s="979"/>
      <c r="CN49" s="497"/>
      <c r="CO49" s="497"/>
      <c r="CQ49" s="51"/>
      <c r="CR49" s="51" t="s">
        <v>8</v>
      </c>
      <c r="CS49" s="51"/>
      <c r="CT49" s="51" t="s">
        <v>8</v>
      </c>
      <c r="CU49" s="51"/>
      <c r="CV49" s="51" t="s">
        <v>8</v>
      </c>
      <c r="CW49" s="51"/>
      <c r="CX49" s="51"/>
      <c r="CY49" s="51"/>
      <c r="CZ49" s="51"/>
      <c r="DD49" s="758"/>
      <c r="DF49" s="52"/>
      <c r="DG49" s="51"/>
      <c r="DH49" s="51"/>
      <c r="DI49" s="51"/>
      <c r="DJ49" s="51"/>
      <c r="DK49" s="51"/>
      <c r="DL49" s="51"/>
      <c r="DM49" s="51"/>
      <c r="DN49" s="51"/>
      <c r="DO49" s="435"/>
      <c r="DP49" s="435"/>
      <c r="DQ49" s="868"/>
      <c r="DR49" s="868"/>
      <c r="DU49" s="188"/>
      <c r="DV49" s="188" t="s">
        <v>8</v>
      </c>
      <c r="DW49" s="188"/>
      <c r="DX49" s="188" t="s">
        <v>8</v>
      </c>
      <c r="DY49" s="188"/>
      <c r="DZ49" s="188"/>
      <c r="EA49" s="188"/>
      <c r="EB49" s="188"/>
      <c r="EC49" s="435"/>
      <c r="ED49" s="435"/>
      <c r="EE49" s="868"/>
      <c r="EF49" s="867"/>
      <c r="EG49" s="613"/>
      <c r="EH49" s="614"/>
      <c r="EI49" s="613"/>
      <c r="EJ49" s="435"/>
      <c r="EK49" s="451"/>
      <c r="EL49" s="612"/>
      <c r="EN49" s="947"/>
      <c r="ER49" s="441"/>
      <c r="ES49" s="440"/>
      <c r="ET49" s="440"/>
      <c r="EU49" s="957"/>
      <c r="EW49" s="427"/>
      <c r="EX49"/>
      <c r="EY49"/>
      <c r="EZ49"/>
      <c r="FA49"/>
      <c r="FB49"/>
      <c r="FC49"/>
      <c r="FD49"/>
      <c r="FE49"/>
      <c r="FF49"/>
      <c r="FG49"/>
      <c r="FH49"/>
      <c r="FI49"/>
      <c r="FJ49"/>
      <c r="FK49"/>
      <c r="FL49"/>
      <c r="FM49"/>
      <c r="FN49"/>
      <c r="FO49"/>
    </row>
    <row r="50" spans="1:171" ht="17.100000000000001" customHeight="1" thickBot="1">
      <c r="A50" s="2685"/>
      <c r="B50" s="1369" t="str">
        <f ca="1">S50</f>
        <v>H</v>
      </c>
      <c r="C50" s="684" t="str">
        <f>IF(OR(F50=0,I50="",I50=" ")," ",$V50)</f>
        <v xml:space="preserve"> </v>
      </c>
      <c r="D50" s="1033"/>
      <c r="E50" s="1360" t="s">
        <v>8</v>
      </c>
      <c r="F50" s="202"/>
      <c r="G50" s="1416"/>
      <c r="H50" s="199" t="str">
        <f ca="1">IF(OR(F50=0,Z50="E",Z50="f")," ",'Project Demand'!E$45)</f>
        <v xml:space="preserve"> </v>
      </c>
      <c r="I50" s="631" t="str">
        <f>IF($I$6&lt;&gt;$BG$8," ",AB50)</f>
        <v xml:space="preserve"> </v>
      </c>
      <c r="J50" s="43" t="str">
        <f ca="1">IF(OR(I50=" ",I50="")," ",OFFSET($BO$9,CL50-1,0-4,1,1))</f>
        <v xml:space="preserve"> </v>
      </c>
      <c r="K50" s="55" t="str">
        <f>IF(OR(I50=" ",I50="")," ",IF(OR(Z50="e",Z50="h"),"SD",BG$24))</f>
        <v xml:space="preserve"> </v>
      </c>
      <c r="L50" s="49">
        <f ca="1">CW50</f>
        <v>0</v>
      </c>
      <c r="M50" s="49">
        <f ca="1">CY50</f>
        <v>0</v>
      </c>
      <c r="N50" s="50">
        <f t="shared" ref="N50:O54" ca="1" si="30">DA50</f>
        <v>0</v>
      </c>
      <c r="O50" s="126">
        <f t="shared" ca="1" si="30"/>
        <v>0</v>
      </c>
      <c r="P50" s="140"/>
      <c r="Q50" s="752" t="str">
        <f ca="1">IF(AND(OR(Z50="t",Z50="f"),K50=$BH$11),"No Floor!  Change Floor Type",IF(OR(I50=" ",I50="")," ",IF(F50&lt;OFFSET($BM$9,CL50-1,0,1,1),"check L(m)",DE50&amp;IF(AND(DP50&gt;=CY50,DR50&gt;=DB50),IF(AND(ED50&gt;=DP50,EF50&gt;=DR50),CONCATENATE(DS50," will provide same result"),CONCATENATE(CO50," will provide same result")),IF((DP50&gt;=CY50),CONCATENATE(CO50," provides same result in WIND"),IF((DR50&gt;=DB50),CONCATENATE(CO50," provides same result in EQ"),""))))))&amp;IF(ISERROR(FIND("pile",I50,1)),"",IF(INT(F50)&lt;&gt;F50,"Pile!  Use Whole Numbers Only",""))</f>
        <v xml:space="preserve"> </v>
      </c>
      <c r="R50" s="52">
        <f ca="1">IF(T44&lt;&gt;2,(COLUMN(INDIRECT(B44&amp;1))+1),U50)</f>
        <v>8</v>
      </c>
      <c r="S50" s="1372" t="str">
        <f ca="1">SUBSTITUTE(ADDRESS(1,R50,4),"1","")</f>
        <v>H</v>
      </c>
      <c r="T50" s="451">
        <f ca="1">IF(AND(ISTEXT(B50),SUBSTITUTE(SUBSTITUTE(SUBSTITUTE(SUBSTITUTE(SUBSTITUTE(SUBSTITUTE(SUBSTITUTE(SUBSTITUTE(SUBSTITUTE(SUBSTITUTE(SUBSTITUTE(SUBSTITUTE(SUBSTITUTE(SUBSTITUTE(SUBSTITUTE(SUBSTITUTE(SUBSTITUTE(SUBSTITUTE(SUBSTITUTE(SUBSTITUTE(SUBSTITUTE(SUBSTITUTE(SUBSTITUTE(SUBSTITUTE(SUBSTITUTE(SUBSTITUTE(LOWER(B50),"a",),"b",),"c",),"d",),"e",),"f",),"g",),"h",),"i",),"j",),"k",),"l",),"m",),"n",),"o",),"p",),"q",),"r",),"s",),"t",),"u",),"v",),"w",),"x",),"y",),"z",)=""),1,2)</f>
        <v>1</v>
      </c>
      <c r="U50" s="1377">
        <v>8</v>
      </c>
      <c r="V50" s="52" t="str">
        <f ca="1">IF(AND(B$5=$BF$9,OR(I50=BH$16,I50=BH$17))," ",IF(ISNUMBER(B$50),(CONCATENATE(B$50,".",W50)),(CONCATENATE(B$50,W50))))</f>
        <v>H0</v>
      </c>
      <c r="W50" s="9">
        <f ca="1">IF(B44=B50,W48+X50,X50)</f>
        <v>0</v>
      </c>
      <c r="X50" s="9">
        <f>IF(AND(B$5=$BF$9,OR($I50=$BH$16,$I50=$BH$17,$I50=" ",$I50="",$F50=0)),0,IF(OR($I50=" ",$I50="",$F50=0),0,1))</f>
        <v>0</v>
      </c>
      <c r="Y50" s="896">
        <f ca="1">IF(AND(M55&gt;0,B50&lt;&gt;B56),1,0)</f>
        <v>0</v>
      </c>
      <c r="Z50" s="52" t="str">
        <f ca="1">IF(I50=" "," ",OFFSET($BM$9,$CL50-1,8,1,1))</f>
        <v xml:space="preserve"> </v>
      </c>
      <c r="AA50" s="51" t="str">
        <f>IF(G50&gt;=45,"WA","")</f>
        <v/>
      </c>
      <c r="AB50" s="1364" t="str">
        <f>IF(F50&lt;&gt;"",IF(OR(D50=$BG$12,D50=$BG$13),IF(E50&lt;&gt;$BG$17,$BF$12,$BF$13),IF(E50&lt;&gt;$BG$17,$BF$12,$BF$13))," ")</f>
        <v xml:space="preserve"> </v>
      </c>
      <c r="AC50" s="1"/>
      <c r="AK50" s="63" t="str">
        <f>'Custom Elements'!B11</f>
        <v xml:space="preserve">  </v>
      </c>
      <c r="AL50" s="860" t="str">
        <f>'Custom Elements'!C11</f>
        <v>Custom3</v>
      </c>
      <c r="AM50" s="11">
        <f>'Custom Elements'!D11</f>
        <v>9.9999999999999996E-76</v>
      </c>
      <c r="AN50" s="7">
        <f>'Custom Elements'!E11</f>
        <v>0</v>
      </c>
      <c r="AO50" s="7">
        <f>'Custom Elements'!F11</f>
        <v>0</v>
      </c>
      <c r="AP50" s="762" t="str">
        <f>'Custom Elements'!G11</f>
        <v>B</v>
      </c>
      <c r="AQ50" s="1777" t="str">
        <f>'Custom Elements'!H11</f>
        <v>Single</v>
      </c>
      <c r="AR50" s="1775" t="str">
        <f>'Custom Elements'!I11</f>
        <v>Yes</v>
      </c>
      <c r="AS50" s="442" t="str">
        <f>'Custom Elements'!J11</f>
        <v>Yes</v>
      </c>
      <c r="AT50" s="1150"/>
      <c r="AU50" s="1150"/>
      <c r="AZ50" s="442" t="str">
        <f>IF(AND('Custom Elements'!J11="Yes",'Custom Elements'!I11="Yes"),"T",IF('Custom Elements'!J11="Yes","F",IF('Custom Elements'!I11="Yes","H","E")))</f>
        <v>T</v>
      </c>
      <c r="BD50" s="638"/>
      <c r="BI50" s="759"/>
      <c r="BJ50" s="897">
        <f t="shared" si="27"/>
        <v>42</v>
      </c>
      <c r="BK50" s="1219" t="str">
        <f>Table!AH71</f>
        <v xml:space="preserve">EPB </v>
      </c>
      <c r="BL50" s="765" t="str">
        <f>Table!C4</f>
        <v>ES-N</v>
      </c>
      <c r="BM50" s="454">
        <f>Table!D4</f>
        <v>0.4</v>
      </c>
      <c r="BN50" s="454">
        <f>BM51</f>
        <v>0.6</v>
      </c>
      <c r="BO50" s="454">
        <f>Table!E4</f>
        <v>66</v>
      </c>
      <c r="BP50" s="924">
        <f>Table!F4</f>
        <v>61</v>
      </c>
      <c r="BQ50" s="920"/>
      <c r="BR50" s="768">
        <f>Table!G4</f>
        <v>0</v>
      </c>
      <c r="BS50" s="454">
        <f>Table!G5</f>
        <v>0</v>
      </c>
      <c r="BT50" s="454" t="str">
        <f>Table!H4</f>
        <v>B</v>
      </c>
      <c r="BU50" s="924" t="s">
        <v>242</v>
      </c>
      <c r="BV50" s="1230" t="str">
        <f>Table!AI73</f>
        <v>ES-N</v>
      </c>
      <c r="BW50" s="1229">
        <f>BJ50</f>
        <v>42</v>
      </c>
      <c r="BX50" s="924" t="str">
        <f>Table!H5</f>
        <v>Single</v>
      </c>
      <c r="CH50" s="768">
        <f>IF(BN50=999,0,(BO51-BO50)/(BN50-BM50))</f>
        <v>15.000000000000004</v>
      </c>
      <c r="CI50" s="924">
        <f>IF(BN50=999,0,(BP51-BP50)/(BN50-BM50))</f>
        <v>0</v>
      </c>
      <c r="CJ50" s="759"/>
      <c r="CK50" s="188"/>
      <c r="CL50" s="979">
        <f>VLOOKUP(I50,Prodlink,2,0)</f>
        <v>0</v>
      </c>
      <c r="CN50" s="497">
        <f t="shared" ca="1" si="26"/>
        <v>0</v>
      </c>
      <c r="CO50" s="497">
        <f ca="1">OFFSET($CH$9,CL50-1,-15,1,1)</f>
        <v>0</v>
      </c>
      <c r="CQ50" s="51">
        <v>0</v>
      </c>
      <c r="CR50" s="51">
        <f>IF(K50=$BH$12,$BH$23,IF(K50=$BH$13,$BH$24,10000))</f>
        <v>10000</v>
      </c>
      <c r="CS50" s="51">
        <f ca="1">IF(F50&lt;OFFSET($BM$9,CL50-1,0,1,1),0,IF(F50&lt;OFFSET($BN$9,CL50-1,0,1,1),((F50-OFFSET($BM$9,CL50-1,0,1,1))*OFFSET($CH$9,CL50-1,0,1,1))+OFFSET($BO$9,CL50-1,CQ50,1,1),IF(F50&lt;OFFSET($BN$9,CL50+0,0,1,1),((F50-OFFSET($BM$9,CL50+0,0,1,1))*OFFSET($CH$9,CL50+0,0,1,1))+OFFSET($BO$9,CL50+0,CQ50,1,1),IF(F50&lt;OFFSET($BN$9,CL50+1,0,1,1),((F50-OFFSET($BM$9,CL50+1,0,1,1))*OFFSET($CH$9,CL50+1,0,1,1))+OFFSET($BO$9,CL50+1,CQ50,1,1),IF(F50&lt;OFFSET($BN$9,CL50+2,0,1,1),((F50-OFFSET($BM$9,CL50+2,0,1,1))*OFFSET($CH$9,CL50+2,0,1,1))+OFFSET($BO$9,CL50+2,CQ50,1,1),IF(F50&lt;OFFSET($BN$9,CL50+3,0,1,1),((F50-OFFSET($BM$9,CL50+3,0,1,1))*OFFSET($CH$9,CL50+3,0,1,1))+OFFSET($BO$9,CL50+3,CQ50,1,1),0))))))</f>
        <v>0</v>
      </c>
      <c r="CT50" s="51">
        <f ca="1">IF($F50&lt;OFFSET($BM$9,$CL50-1,0,1,1),0,IF($F50&lt;OFFSET($BN$9,$CL50-1,0,1,1),IF(AND($H50&gt;2.4,Z50&lt;&gt;"e",Z50&lt;&gt;"f"),CX50*2.4/$H50,CX50),IF($F50&lt;OFFSET($BN$9,$CL50+0,0,1,1),IF(AND($H50&gt;2.4,Z50&lt;&gt;"e",Z50&lt;&gt;"f"),CX50*2.4/$H50,CX50),IF($F50&lt;OFFSET($BN$9,$CL50+1,0,1,1),IF(AND($H50&gt;2.4,Z50&lt;&gt;"e",Z50&lt;&gt;"f"),CX50*2.4/$H50,CX50),IF($F50&lt;OFFSET($BN$9,CL50+2,0,1,1),IF(AND($H50&gt;2.4,Z50&lt;&gt;"e",Z50&lt;&gt;"f"),CX50*2.4/$H50,CX50),IF($F50&lt;OFFSET($BN$9,CL50+3,0,1,1),IF(AND($H50&gt;2.4,Z50&lt;&gt;"e",Z50&lt;&gt;"f"),CX50*2.4/$H50,CX50),0)))))*COS(RADIANS($G50)))</f>
        <v>0</v>
      </c>
      <c r="CU50" s="51">
        <f ca="1">IF(F50&lt;OFFSET($BM$9,CL50-1,0,1,1),0,IF(F50&lt;OFFSET($BN$9,CL50-1,0,1,1),((F50-OFFSET($BM$9,CL50-1,0,1,1))*OFFSET($CI$9,CL50-1,0,1,1))+OFFSET($BP$9,CL50-1,CQ50,1,1),IF(F50&lt;OFFSET($BN$9,CL50+0,0,1,1),((F50-OFFSET($BM$9,CL50+0,0,1,1))*OFFSET($CI$9,CL50+0,0,1,1))+OFFSET($BP$9,CL50+0,CQ50,1,1),IF(F50&lt;OFFSET($BN$9,CL50+1,0,1,1),((F50-OFFSET($BM$9,CL50+1,0,1,1))*OFFSET($CI$9,CL50+1,0,1,1))+OFFSET($BP$9,CL50+1,CQ50,1,1),IF(F50&lt;OFFSET($BN$9,CL50+2,0,1,1),((F50-OFFSET($BM$9,CL50+2,0,1,1))*OFFSET($CI$9,CL50+2,0,1,1))+OFFSET($BP$9,CL50+2,CQ50,1,1),IF(F50&lt;OFFSET($BN$9,CL50+3,0,1,1),((F50-OFFSET($BM$9,CL50+3,0,1,1))*OFFSET($CI$9,CL50+3,0,1,1))+OFFSET($BP$9,CL50+3,CQ50,1,1),0))))))</f>
        <v>0</v>
      </c>
      <c r="CV50" s="51">
        <f ca="1">IF($F50&lt;OFFSET($BM$9,$CL50-1,0,1,1),0,IF($F50&lt;OFFSET($BN$9,$CL50-1,0,1,1),IF(AND($H50&gt;2.4,Z50&lt;&gt;"e",Z50&lt;&gt;"f"),CZ50*2.4/$H50,CZ50),IF($F50&lt;OFFSET($BN$9,$CL50+0,0,1,1),IF(AND($H50&gt;2.4,Z50&lt;&gt;"e",Z50&lt;&gt;"f"),CZ50*2.4/$H50,CZ50),IF($F50&lt;OFFSET($BN$9,$CL50+1,0,1,1),IF(AND($H50&gt;2.4,Z50&lt;&gt;"e",Z50&lt;&gt;"f"),CZ50*2.4/$H50,CZ50),IF($F50&lt;OFFSET($BN$9,$CL50+2,0,1,1),IF(AND($H50&gt;2.4,Z50&lt;&gt;"e",Z50&lt;&gt;"f"),CZ50*2.4/$H50,CZ50),IF($F50&lt;OFFSET($BN$9,$CL50+3,0,1,1),IF(AND($H50&gt;2.4,Z50&lt;&gt;"e",Z50&lt;&gt;"f"),CZ50*2.4/$H50,CZ50),0)))))*COS(RADIANS($G50)))</f>
        <v>0</v>
      </c>
      <c r="CW50" s="51">
        <f ca="1">IF(CT50&gt;CR50,CR50,CT50)</f>
        <v>0</v>
      </c>
      <c r="CX50" s="51">
        <f ca="1">IF(CS50&gt;$CR50,$CR50,CS50)</f>
        <v>0</v>
      </c>
      <c r="CY50" s="51">
        <f ca="1">CW50*F50</f>
        <v>0</v>
      </c>
      <c r="CZ50" s="51">
        <f ca="1">IF($CU50&gt;$CR50,$CR50,$CU50)</f>
        <v>0</v>
      </c>
      <c r="DA50" s="51">
        <f ca="1">IF(CV50&gt;CR50,CR50,CV50)</f>
        <v>0</v>
      </c>
      <c r="DB50" s="51">
        <f ca="1">DA50*F50</f>
        <v>0</v>
      </c>
      <c r="DC50" s="993">
        <v>1</v>
      </c>
      <c r="DD50" s="758" t="str">
        <f>IF(OR(D50=BG$12,D50=BG$13),"External",IF(D50=BG$14,"Internal"," "))</f>
        <v xml:space="preserve"> </v>
      </c>
      <c r="DE50" s="51" t="str">
        <f t="shared" ca="1" si="2"/>
        <v/>
      </c>
      <c r="DF50" s="52" t="str">
        <f t="shared" ca="1" si="3"/>
        <v xml:space="preserve"> </v>
      </c>
      <c r="DG50" s="51">
        <f ca="1">IF(F50&lt;OFFSET($BM$9,CN50-1,0,1,1),0,IF(F50&lt;OFFSET($BN$9,CN50-1,0,1,1),((F50-OFFSET($BM$9,CN50-1,0,1,1))*OFFSET($CH$9,CN50-1,0,1,1))+OFFSET($BO$9,CN50-1,CQ50,1,1),IF(F50&lt;OFFSET($BN$9,CN50+0,0,1,1),((F50-OFFSET($BM$9,CN50+0,0,1,1))*OFFSET($CH$9,CN50+0,0,1,1))+OFFSET($BO$9,CN50+0,CQ50,1,1),IF(F50&lt;OFFSET($BN$9,CN50+1,0,1,1),((F50-OFFSET($BM$9,CN50+1,0,1,1))*OFFSET($CH$9,CN50+1,0,1,1))+OFFSET($BO$9,CN50+1,CQ50,1,1),IF(F50&lt;OFFSET($BN$9,CN50+2,0,1,1),((F50-OFFSET($BM$9,CN50+2,0,1,1))*OFFSET($CH$9,CN50+2,0,1,1))+OFFSET($BO$9,CN50+2,CQ50,1,1),IF(F50&lt;OFFSET($BN$9,CN50+3,0,1,1),((F50-OFFSET($BM$9,CN50+3,0,1,1))*OFFSET($CH$9,CN50+3,0,1,1))+OFFSET($BO$9,CN50+3,CQ50,1,1),0))))))</f>
        <v>0</v>
      </c>
      <c r="DH50" s="51">
        <f ca="1">IF($F50&lt;OFFSET($BM$9,$CN50-1,0,1,1),0,IF($F50&lt;OFFSET($BN$9,$CN50-1,0,1,1),IF(AND($H50&gt;2.4,Z50&lt;&gt;"e",Z50&lt;&gt;"f"),DL50*2.4/$H50,DL50),IF($F50&lt;OFFSET($BN$9,$CN50+0,0,1,1),IF(AND($H50&gt;2.4,Z50&lt;&gt;"e",Z50&lt;&gt;"f"),DL50*2.4/$H50,DL50),IF($F50&lt;OFFSET($BN$9,$CN50+1,0,1,1),IF(AND($H50&gt;2.4,Z50&lt;&gt;"e",Z50&lt;&gt;"f"),DL50*2.4/$H50,DL50),IF($F50&lt;OFFSET($BN$9,$CN50+2,0,1,1),IF(AND($H50&gt;2.4,Z50&lt;&gt;"e",Z50&lt;&gt;"f"),DL50*2.4/$H50,DL50),IF($F50&lt;OFFSET($BN$9,$CN50+3,0,1,1),IF(AND($H50&gt;2.4,Z50&lt;&gt;"e",Z50&lt;&gt;"f"),DL50*2.4/$H50,DL50),0)))))*COS(RADIANS($G50)))</f>
        <v>0</v>
      </c>
      <c r="DI50" s="51">
        <f ca="1">IF(F50&lt;OFFSET($BM$9,CN50-1,0,1,1),0,IF(F50&lt;OFFSET($BN$9,CN50-1,0,1,1),((F50-OFFSET($BM$9,CN50-1,0,1,1))*OFFSET($CI$9,CN50-1,0,1,1))+OFFSET($BP$9,CN50-1,CQ50,1,1),IF(F50&lt;OFFSET($BN$9,CN50+0,0,1,1),((F50-OFFSET($BM$9,CN50+0,0,1,1))*OFFSET($CI$9,CN50+0,0,1,1))+OFFSET($BP$9,CN50+0,CQ50,1,1),IF(F50&lt;OFFSET($BN$9,CN50+1,0,1,1),((F50-OFFSET($BM$9,CN50+1,0,1,1))*OFFSET($CI$9,CN50+1,0,1,1))+OFFSET($BP$9,CN50+1,CQ50,1,1),IF(F50&lt;OFFSET($BN$9,CN50+2,0,1,1),((F50-OFFSET($BM$9,CN50+2,0,1,1))*OFFSET($CI$9,CN50+2,0,1,1))+OFFSET($BP$9,CN50+2,CQ50,1,1),IF(F50&lt;OFFSET($BN$9,CN50+3,0,1,1),((F50-OFFSET($BM$9,CN50+3,0,1,1))*OFFSET($CI$9,CN50+3,0,1,1))+OFFSET($BP$9,CN50+3,CQ50,1,1),0))))))</f>
        <v>0</v>
      </c>
      <c r="DJ50" s="51">
        <f ca="1">IF($F50&lt;OFFSET($BM$9,$CN50-1,0,1,1),0,IF($F50&lt;OFFSET($BN$9,$CN50-1,0,1,1),IF(AND($H50&gt;2.4,Z50&lt;&gt;"e",Z50&lt;&gt;"f"),DN50*2.4/$H50,DN50),IF($F50&lt;OFFSET($BN$9,$CN50+0,0,1,1),IF(AND($H50&gt;2.4,Z50&lt;&gt;"e",Z50&lt;&gt;"f"),DN50*2.4/$H50,DN50),IF($F50&lt;OFFSET($BN$9,$CN50+1,0,1,1),IF(AND($H50&gt;2.4,Z50&lt;&gt;"e",Z50&lt;&gt;"f"),DN50*2.4/$H50,DN50),IF($F50&lt;OFFSET($BN$9,$CN50+2,0,1,1),IF(AND($H50&gt;2.4,Z50&lt;&gt;"e",Z50&lt;&gt;"f"),DN50*2.4/$H50,DN50),IF($F50&lt;OFFSET($BN$9,$CN50+3,0,1,1),IF(AND($H50&gt;2.4,Z50&lt;&gt;"e",Z50&lt;&gt;"f"),DN50*2.4/$H50,DN50),0)))))*COS(RADIANS($G50)))</f>
        <v>0</v>
      </c>
      <c r="DK50" s="51"/>
      <c r="DL50" s="51">
        <f ca="1">IF(DG50&gt;$CR50,$CR50,DG50)</f>
        <v>0</v>
      </c>
      <c r="DM50" s="51"/>
      <c r="DN50" s="51">
        <f ca="1">IF(DI50&gt;$CR50,$CR50,DI50)</f>
        <v>0</v>
      </c>
      <c r="DO50" s="435">
        <f ca="1">IF(DH50&gt;$CR50,$CR50,DH50)</f>
        <v>0</v>
      </c>
      <c r="DP50" s="435">
        <f ca="1">DO50*F50</f>
        <v>0</v>
      </c>
      <c r="DQ50" s="436">
        <f ca="1">IF(DJ50&gt;$CR50,$CR50,DJ50)</f>
        <v>0</v>
      </c>
      <c r="DR50" s="437">
        <f ca="1">DQ50*F50</f>
        <v>0</v>
      </c>
      <c r="DS50" s="426">
        <f ca="1">OFFSET($CH$9,CL50-1,-15,1,1)</f>
        <v>0</v>
      </c>
      <c r="DT50" s="426">
        <f ca="1">VLOOKUP(DS50,Prodlink,2,0)</f>
        <v>0</v>
      </c>
      <c r="DU50" s="188">
        <f ca="1">IF(F50&lt;OFFSET($BM$9,DT50-1,0,1,1),0,IF(F50&lt;OFFSET($BN$9,DT50-1,0,1,1),((F50-OFFSET($BM$9,DT50-1,0,1,1))*OFFSET($CH$9,DT50-1,0,1,1))+OFFSET($BO$9,DT50-1,CQ50,1,1),IF(F50&lt;OFFSET($BN$9,DT50+0,0,1,1),((F50-OFFSET($BM$9,DT50+0,0,1,1))*OFFSET($CH$9,DT50+0,0,1,1))+OFFSET($BO$9,DT50+0,CQ50,1,1),IF(F50&lt;OFFSET($BN$9,DT50+1,0,1,1),((F50-OFFSET($BM$9,DT50+1,0,1,1))*OFFSET($CH$9,DT50+1,0,1,1))+OFFSET($BO$9,DT50+1,CQ50,1,1),IF(F50&lt;OFFSET($BN$9,DT50+2,0,1,1),((F50-OFFSET($BM$9,DT50+2,0,1,1))*OFFSET($CH$9,DT50+2,0,1,1))+OFFSET($BO$9,DT50+2,CQ50,1,1),IF(F50&lt;OFFSET($BN$9,DT50+3,0,1,1),((F50-OFFSET($BM$9,DT50+3,0,1,1))*OFFSET($CH$9,DT50+3,0,1,1))+OFFSET($BO$9,DT50+3,CQ50,1,1),0))))))</f>
        <v>0</v>
      </c>
      <c r="DV50" s="51">
        <f ca="1">IF($F50&lt;OFFSET($BM$9,$DT50-1,0,1,1),0,IF($F50&lt;OFFSET($BN$9,$DT50-1,0,1,1),IF(AND($H50&gt;2.4,Z50&lt;&gt;"e",Z50&lt;&gt;"f"),DZ50*2.4/$H50,DZ50),IF($F50&lt;OFFSET($BN$9,$DT50+0,0,1,1),IF(AND($H50&gt;2.4,Z50&lt;&gt;"e",Z50&lt;&gt;"f"),DZ50*2.4/$H50,DZ50),IF($F50&lt;OFFSET($BN$9,$DT50+1,0,1,1),IF(AND($H50&gt;2.4,Z50&lt;&gt;"e",Z50&lt;&gt;"f"),DZ50*2.4/$H50,DZ50),IF($F50&lt;OFFSET($BN$9,$DT50+2,0,1,1),IF(AND($H50&gt;2.4,Z50&lt;&gt;"e",Z50&lt;&gt;"f"),DZ50*2.4/$H50,DZ50),IF($F50&lt;OFFSET($BN$9,$DT50+3,0,1,1),IF(AND($H50&gt;2.4,Z50&lt;&gt;"e",Z50&lt;&gt;"f"),DZ50*2.4/$H50,DZ50),0)))))*COS(RADIANS($G50)))</f>
        <v>0</v>
      </c>
      <c r="DW50" s="188">
        <f ca="1">IF(F50&lt;OFFSET($BM$9,DT50-1,0,1,1),0,IF(F50&lt;OFFSET($BN$9,DT50-1,0,1,1),((F50-OFFSET($BM$9,DT50-1,0,1,1))*OFFSET($CI$9,DT50-1,0,1,1))+OFFSET($BP$9,DT50-1,CQ50,1,1),IF(F50&lt;OFFSET($BN$9,DT50+0,0,1,1),((F50-OFFSET($BM$9,DT50+0,0,1,1))*OFFSET($CI$9,DT50+0,0,1,1))+OFFSET($BP$9,DT50+0,CQ50,1,1),IF(F50&lt;OFFSET($BN$9,DT50+1,0,1,1),((F50-OFFSET($BM$9,DT50+1,0,1,1))*OFFSET($CI$9,DT50+1,0,1,1))+OFFSET($BP$9,DT50+1,CQ50,1,1),IF(F50&lt;OFFSET($BN$9,DT50+2,0,1,1),((F50-OFFSET($BM$9,DT50+2,0,1,1))*OFFSET($CI$9,DT50+2,0,1,1))+OFFSET($BP$9,DT50+2,CQ50,1,1),IF(F50&lt;OFFSET($BN$9,DT50+3,0,1,1),((F50-OFFSET($BM$9,DT50+3,0,1,1))*OFFSET($CI$9,DT50+3,0,1,1))+OFFSET($BP$9,DT50+3,CQ50,1,1),0))))))</f>
        <v>0</v>
      </c>
      <c r="DX50" s="51">
        <f ca="1">IF($F50&lt;OFFSET($BM$9,$DT50-1,0,1,1),0,IF($F50&lt;OFFSET($BN$9,$DT50-1,0,1,1),IF(AND($H50&gt;2.4,Z50&lt;&gt;"e",Z50&lt;&gt;"f"),EB50*2.4/$H50,EB50),IF($F50&lt;OFFSET($BN$9,$DT50+0,0,1,1),IF(AND($H50&gt;2.4,Z50&lt;&gt;"e",Z50&lt;&gt;"f"),EB50*2.4/$H50,EB50),IF($F50&lt;OFFSET($BN$9,$DT50+1,0,1,1),IF(AND($H50&gt;2.4,Z50&lt;&gt;"e",Z50&lt;&gt;"f"),EB50*2.4/$H50,EB50),IF($F50&lt;OFFSET($BN$9,$DT50+2,0,1,1),IF(AND($H50&gt;2.4,Z50&lt;&gt;"e",Z50&lt;&gt;"f"),EB50*2.4/$H50,EB50),IF($F50&lt;OFFSET($BN$9,$DT50+3,0,1,1),IF(AND($H50&gt;2.4,Z50&lt;&gt;"e",Z50&lt;&gt;"f"),EB50*2.4/$H50,EB50),0)))))*COS(RADIANS($G50)))</f>
        <v>0</v>
      </c>
      <c r="DY50" s="188"/>
      <c r="DZ50" s="188">
        <f ca="1">IF(DU50&gt;$CR50,$CR50,DU50)</f>
        <v>0</v>
      </c>
      <c r="EA50" s="188"/>
      <c r="EB50" s="188">
        <f ca="1">IF(DW50&gt;$CR50,$CR50,DW50)</f>
        <v>0</v>
      </c>
      <c r="EC50" s="435">
        <f ca="1">IF(DV50&gt;$CR50,$CR50,DV50)</f>
        <v>0</v>
      </c>
      <c r="ED50" s="435">
        <f ca="1">EC50*F50</f>
        <v>0</v>
      </c>
      <c r="EE50" s="436">
        <f ca="1">IF(DX50&gt;$CR50,$CR50,DX50)</f>
        <v>0</v>
      </c>
      <c r="EF50" s="437">
        <f ca="1">EE50*F50</f>
        <v>0</v>
      </c>
      <c r="EG50" s="613" t="str">
        <f>IF(D50=BG$12,BG$12,"")</f>
        <v/>
      </c>
      <c r="EH50" s="614" t="str">
        <f>IF(D50=BG$13,BG$13,"")</f>
        <v/>
      </c>
      <c r="EI50" s="611">
        <f>IF(EG50=BG$12,M50,0)</f>
        <v>0</v>
      </c>
      <c r="EJ50" s="451">
        <f>IF(EG50=BG$12,O50,0)</f>
        <v>0</v>
      </c>
      <c r="EK50" s="451">
        <f>IF(EH50=BG$13,M50,0)</f>
        <v>0</v>
      </c>
      <c r="EL50" s="612">
        <f>IF(EH50=BG$13,O50,0)</f>
        <v>0</v>
      </c>
      <c r="EM50" s="426" t="str">
        <f ca="1">IF(AND(Z50&lt;&gt;"t",Z50&lt;&gt;"f"),"",IF(AND(EN50=$BH$13,K50=$BH$12),"NotOpt",IF(K50&lt;&gt;EN50,"Error","")))</f>
        <v/>
      </c>
      <c r="EN50" s="490" t="str">
        <f>IF($BG$28=1,$BH$13,$BH$12)</f>
        <v>120 BU's</v>
      </c>
      <c r="EO50" s="426" t="str">
        <f>K50</f>
        <v xml:space="preserve"> </v>
      </c>
      <c r="ER50" s="439" t="str">
        <f ca="1">IF(H50=0," ",H50)</f>
        <v xml:space="preserve"> </v>
      </c>
      <c r="ES50" s="440" t="str">
        <f ca="1">IF(ER50&lt;&gt;" ",IF(ER50&lt;&gt;ER$7,"Changed",""),"")</f>
        <v/>
      </c>
      <c r="ET50" s="440">
        <f ca="1">IF(ER50&lt;&gt;" ",IF(ER50&lt;&gt;ER$7,1,0),0)</f>
        <v>0</v>
      </c>
      <c r="EU50" s="957" t="str">
        <f ca="1">IF(I50=" "," ",IF(F50&lt;OFFSET($BM$9,CL50-1,0,1,1),1,""))</f>
        <v xml:space="preserve"> </v>
      </c>
      <c r="EW50" s="427"/>
      <c r="EX50"/>
      <c r="EY50"/>
      <c r="EZ50"/>
      <c r="FA50"/>
      <c r="FB50"/>
      <c r="FC50"/>
      <c r="FD50"/>
      <c r="FE50"/>
      <c r="FF50"/>
      <c r="FG50"/>
      <c r="FH50"/>
      <c r="FI50"/>
      <c r="FJ50"/>
      <c r="FK50"/>
      <c r="FL50"/>
      <c r="FM50"/>
      <c r="FN50"/>
      <c r="FO50"/>
    </row>
    <row r="51" spans="1:171" ht="17.100000000000001" customHeight="1">
      <c r="A51" s="2685"/>
      <c r="B51" s="689" t="s">
        <v>246</v>
      </c>
      <c r="C51" s="684" t="str">
        <f>IF(OR(F51=0,I51="",I51=" ")," ",$V51)</f>
        <v xml:space="preserve"> </v>
      </c>
      <c r="D51" s="1033"/>
      <c r="E51" s="1360" t="s">
        <v>8</v>
      </c>
      <c r="F51" s="202"/>
      <c r="G51" s="1416"/>
      <c r="H51" s="199" t="str">
        <f ca="1">IF(OR(F51=0,Z51="E",Z51="f")," ",'Project Demand'!E$45)</f>
        <v xml:space="preserve"> </v>
      </c>
      <c r="I51" s="631" t="str">
        <f>IF($I$6&lt;&gt;$BG$8," ",AB51)</f>
        <v xml:space="preserve"> </v>
      </c>
      <c r="J51" s="44" t="str">
        <f ca="1">IF(OR(I51=" ",I51="")," ",OFFSET($BO$9,CL51-1,0-4,1,1))</f>
        <v xml:space="preserve"> </v>
      </c>
      <c r="K51" s="55" t="str">
        <f>IF(OR(I51=" ",I51="")," ",IF(OR(Z51="e",Z51="h"),"SD",BG$24))</f>
        <v xml:space="preserve"> </v>
      </c>
      <c r="L51" s="49">
        <f ca="1">CW51</f>
        <v>0</v>
      </c>
      <c r="M51" s="49">
        <f ca="1">CY51</f>
        <v>0</v>
      </c>
      <c r="N51" s="50">
        <f t="shared" ca="1" si="30"/>
        <v>0</v>
      </c>
      <c r="O51" s="126">
        <f t="shared" ca="1" si="30"/>
        <v>0</v>
      </c>
      <c r="P51" s="140"/>
      <c r="Q51" s="752" t="str">
        <f ca="1">IF(AND(OR(Z51="t",Z51="f"),K51=$BH$11),"No Floor!  Change Floor Type",IF(OR(I51=" ",I51="")," ",IF(F51&lt;OFFSET($BM$9,CL51-1,0,1,1),"check L(m)",DE51&amp;IF(AND(DP51&gt;=CY51,DR51&gt;=DB51),IF(AND(ED51&gt;=DP51,EF51&gt;=DR51),CONCATENATE(DS51," will provide same result"),CONCATENATE(CO51," will provide same result")),IF((DP51&gt;=CY51),CONCATENATE(CO51," provides same result in WIND"),IF((DR51&gt;=DB51),CONCATENATE(CO51," provides same result in EQ"),""))))))&amp;IF(ISERROR(FIND("pile",I51,1)),"",IF(INT(F51)&lt;&gt;F51,"Pile!  Use Whole Numbers Only",""))</f>
        <v xml:space="preserve"> </v>
      </c>
      <c r="R51" s="52"/>
      <c r="S51" s="1372"/>
      <c r="T51" s="1372"/>
      <c r="U51" s="1377"/>
      <c r="V51" s="52" t="str">
        <f ca="1">IF(AND(B$5=$BF$9,OR(I51=BH$16,I51=BH$17))," ",IF(ISNUMBER(B$50),(CONCATENATE(B$50,".",W51)),(CONCATENATE(B$50,W51))))</f>
        <v>H0</v>
      </c>
      <c r="W51" s="9">
        <f ca="1">W50+X51</f>
        <v>0</v>
      </c>
      <c r="X51" s="9">
        <f>IF(AND(B$5=$BF$9,OR($I51=$BH$16,$I51=$BH$17,$I51=" ",$I51="",$F51=0)),0,IF(OR($I51=" ",$I51="",$F51=0),0,1))</f>
        <v>0</v>
      </c>
      <c r="Y51" s="896"/>
      <c r="Z51" s="52" t="str">
        <f ca="1">IF(I51=" "," ",OFFSET($BM$9,$CL51-1,8,1,1))</f>
        <v xml:space="preserve"> </v>
      </c>
      <c r="AA51" s="51" t="str">
        <f>IF(G51&gt;=45,"WA","")</f>
        <v/>
      </c>
      <c r="AB51" s="1364" t="str">
        <f>IF(F51&lt;&gt;"",IF(OR(D51=$BG$12,D51=$BG$13),IF(E51&lt;&gt;$BG$17,$BF$12,$BF$13),IF(E51&lt;&gt;$BG$17,$BF$12,$BF$13))," ")</f>
        <v xml:space="preserve"> </v>
      </c>
      <c r="AC51" s="1"/>
      <c r="AK51" s="63" t="str">
        <f>'Custom Elements'!B12</f>
        <v xml:space="preserve">  </v>
      </c>
      <c r="AL51" s="860" t="str">
        <f>'Custom Elements'!C12</f>
        <v>Custom4</v>
      </c>
      <c r="AM51" s="11">
        <f>'Custom Elements'!D12</f>
        <v>9.9999999999999996E-76</v>
      </c>
      <c r="AN51" s="7">
        <f>'Custom Elements'!E12</f>
        <v>0</v>
      </c>
      <c r="AO51" s="7">
        <f>'Custom Elements'!F12</f>
        <v>0</v>
      </c>
      <c r="AP51" s="762" t="str">
        <f>'Custom Elements'!G12</f>
        <v>B</v>
      </c>
      <c r="AQ51" s="1777" t="str">
        <f>'Custom Elements'!H12</f>
        <v>Single</v>
      </c>
      <c r="AR51" s="1775" t="str">
        <f>'Custom Elements'!I12</f>
        <v>Yes</v>
      </c>
      <c r="AS51" s="442" t="str">
        <f>'Custom Elements'!J12</f>
        <v>Yes</v>
      </c>
      <c r="AT51" s="1150"/>
      <c r="AU51" s="1150"/>
      <c r="AZ51" s="442" t="str">
        <f>IF(AND('Custom Elements'!J12="Yes",'Custom Elements'!I12="Yes"),"T",IF('Custom Elements'!J12="Yes","F",IF('Custom Elements'!I12="Yes","H","E")))</f>
        <v>T</v>
      </c>
      <c r="BD51" s="638"/>
      <c r="BI51" s="759"/>
      <c r="BJ51" s="897">
        <f t="shared" si="27"/>
        <v>43</v>
      </c>
      <c r="BK51" s="1220"/>
      <c r="BL51" s="766"/>
      <c r="BM51" s="455">
        <f>Table!D5</f>
        <v>0.6</v>
      </c>
      <c r="BN51" s="455">
        <f>BM52</f>
        <v>0.8</v>
      </c>
      <c r="BO51" s="455">
        <f>Table!E5</f>
        <v>69</v>
      </c>
      <c r="BP51" s="925">
        <f>Table!F5</f>
        <v>61</v>
      </c>
      <c r="BR51" s="764"/>
      <c r="BS51" s="455"/>
      <c r="BT51" s="455"/>
      <c r="BU51" s="925" t="s">
        <v>242</v>
      </c>
      <c r="BV51" s="895"/>
      <c r="BW51" s="912"/>
      <c r="BX51" s="925" t="str">
        <f>Table!H5</f>
        <v>Single</v>
      </c>
      <c r="CH51" s="764">
        <f>IF(BN51=999,0,(BO52-BO51)/(BN51-BM51))</f>
        <v>14.999999999999995</v>
      </c>
      <c r="CI51" s="925">
        <f>IF(BN51=999,0,(BP52-BP51)/(BN51-BM51))</f>
        <v>0</v>
      </c>
      <c r="CJ51" s="759"/>
      <c r="CK51" s="188"/>
      <c r="CL51" s="979">
        <f>VLOOKUP(I51,Prodlink,2,0)</f>
        <v>0</v>
      </c>
      <c r="CN51" s="497">
        <f t="shared" ca="1" si="26"/>
        <v>0</v>
      </c>
      <c r="CO51" s="497">
        <f ca="1">OFFSET($CH$9,CL51-1,-15,1,1)</f>
        <v>0</v>
      </c>
      <c r="CQ51" s="51">
        <v>0</v>
      </c>
      <c r="CR51" s="51">
        <f>IF(K51=$BH$12,$BH$23,IF(K51=$BH$13,$BH$24,10000))</f>
        <v>10000</v>
      </c>
      <c r="CS51" s="51">
        <f ca="1">IF(F51&lt;OFFSET($BM$9,CL51-1,0,1,1),0,IF(F51&lt;OFFSET($BN$9,CL51-1,0,1,1),((F51-OFFSET($BM$9,CL51-1,0,1,1))*OFFSET($CH$9,CL51-1,0,1,1))+OFFSET($BO$9,CL51-1,CQ51,1,1),IF(F51&lt;OFFSET($BN$9,CL51+0,0,1,1),((F51-OFFSET($BM$9,CL51+0,0,1,1))*OFFSET($CH$9,CL51+0,0,1,1))+OFFSET($BO$9,CL51+0,CQ51,1,1),IF(F51&lt;OFFSET($BN$9,CL51+1,0,1,1),((F51-OFFSET($BM$9,CL51+1,0,1,1))*OFFSET($CH$9,CL51+1,0,1,1))+OFFSET($BO$9,CL51+1,CQ51,1,1),IF(F51&lt;OFFSET($BN$9,CL51+2,0,1,1),((F51-OFFSET($BM$9,CL51+2,0,1,1))*OFFSET($CH$9,CL51+2,0,1,1))+OFFSET($BO$9,CL51+2,CQ51,1,1),IF(F51&lt;OFFSET($BN$9,CL51+3,0,1,1),((F51-OFFSET($BM$9,CL51+3,0,1,1))*OFFSET($CH$9,CL51+3,0,1,1))+OFFSET($BO$9,CL51+3,CQ51,1,1),0))))))</f>
        <v>0</v>
      </c>
      <c r="CT51" s="51">
        <f ca="1">IF($F51&lt;OFFSET($BM$9,$CL51-1,0,1,1),0,IF($F51&lt;OFFSET($BN$9,$CL51-1,0,1,1),IF(AND($H51&gt;2.4,Z51&lt;&gt;"e",Z51&lt;&gt;"f"),CX51*2.4/$H51,CX51),IF($F51&lt;OFFSET($BN$9,$CL51+0,0,1,1),IF(AND($H51&gt;2.4,Z51&lt;&gt;"e",Z51&lt;&gt;"f"),CX51*2.4/$H51,CX51),IF($F51&lt;OFFSET($BN$9,$CL51+1,0,1,1),IF(AND($H51&gt;2.4,Z51&lt;&gt;"e",Z51&lt;&gt;"f"),CX51*2.4/$H51,CX51),IF($F51&lt;OFFSET($BN$9,CL51+2,0,1,1),IF(AND($H51&gt;2.4,Z51&lt;&gt;"e",Z51&lt;&gt;"f"),CX51*2.4/$H51,CX51),IF($F51&lt;OFFSET($BN$9,CL51+3,0,1,1),IF(AND($H51&gt;2.4,Z51&lt;&gt;"e",Z51&lt;&gt;"f"),CX51*2.4/$H51,CX51),0)))))*COS(RADIANS($G51)))</f>
        <v>0</v>
      </c>
      <c r="CU51" s="51">
        <f ca="1">IF(F51&lt;OFFSET($BM$9,CL51-1,0,1,1),0,IF(F51&lt;OFFSET($BN$9,CL51-1,0,1,1),((F51-OFFSET($BM$9,CL51-1,0,1,1))*OFFSET($CI$9,CL51-1,0,1,1))+OFFSET($BP$9,CL51-1,CQ51,1,1),IF(F51&lt;OFFSET($BN$9,CL51+0,0,1,1),((F51-OFFSET($BM$9,CL51+0,0,1,1))*OFFSET($CI$9,CL51+0,0,1,1))+OFFSET($BP$9,CL51+0,CQ51,1,1),IF(F51&lt;OFFSET($BN$9,CL51+1,0,1,1),((F51-OFFSET($BM$9,CL51+1,0,1,1))*OFFSET($CI$9,CL51+1,0,1,1))+OFFSET($BP$9,CL51+1,CQ51,1,1),IF(F51&lt;OFFSET($BN$9,CL51+2,0,1,1),((F51-OFFSET($BM$9,CL51+2,0,1,1))*OFFSET($CI$9,CL51+2,0,1,1))+OFFSET($BP$9,CL51+2,CQ51,1,1),IF(F51&lt;OFFSET($BN$9,CL51+3,0,1,1),((F51-OFFSET($BM$9,CL51+3,0,1,1))*OFFSET($CI$9,CL51+3,0,1,1))+OFFSET($BP$9,CL51+3,CQ51,1,1),0))))))</f>
        <v>0</v>
      </c>
      <c r="CV51" s="51">
        <f ca="1">IF($F51&lt;OFFSET($BM$9,$CL51-1,0,1,1),0,IF($F51&lt;OFFSET($BN$9,$CL51-1,0,1,1),IF(AND($H51&gt;2.4,Z51&lt;&gt;"e",Z51&lt;&gt;"f"),CZ51*2.4/$H51,CZ51),IF($F51&lt;OFFSET($BN$9,$CL51+0,0,1,1),IF(AND($H51&gt;2.4,Z51&lt;&gt;"e",Z51&lt;&gt;"f"),CZ51*2.4/$H51,CZ51),IF($F51&lt;OFFSET($BN$9,$CL51+1,0,1,1),IF(AND($H51&gt;2.4,Z51&lt;&gt;"e",Z51&lt;&gt;"f"),CZ51*2.4/$H51,CZ51),IF($F51&lt;OFFSET($BN$9,$CL51+2,0,1,1),IF(AND($H51&gt;2.4,Z51&lt;&gt;"e",Z51&lt;&gt;"f"),CZ51*2.4/$H51,CZ51),IF($F51&lt;OFFSET($BN$9,$CL51+3,0,1,1),IF(AND($H51&gt;2.4,Z51&lt;&gt;"e",Z51&lt;&gt;"f"),CZ51*2.4/$H51,CZ51),0)))))*COS(RADIANS($G51)))</f>
        <v>0</v>
      </c>
      <c r="CW51" s="51">
        <f ca="1">IF(CT51&gt;CR51,CR51,CT51)</f>
        <v>0</v>
      </c>
      <c r="CX51" s="51">
        <f ca="1">IF(CS51&gt;$CR51,$CR51,CS51)</f>
        <v>0</v>
      </c>
      <c r="CY51" s="51">
        <f ca="1">CW51*F51</f>
        <v>0</v>
      </c>
      <c r="CZ51" s="51">
        <f ca="1">IF($CU51&gt;$CR51,$CR51,$CU51)</f>
        <v>0</v>
      </c>
      <c r="DA51" s="51">
        <f ca="1">IF(CV51&gt;CR51,CR51,CV51)</f>
        <v>0</v>
      </c>
      <c r="DB51" s="51">
        <f ca="1">DA51*F51</f>
        <v>0</v>
      </c>
      <c r="DC51" s="993">
        <v>1</v>
      </c>
      <c r="DD51" s="758" t="str">
        <f>IF(OR(D51=BG$12,D51=BG$13),"External",IF(D51=BG$14,"Internal"," "))</f>
        <v xml:space="preserve"> </v>
      </c>
      <c r="DE51" s="51" t="str">
        <f t="shared" ca="1" si="2"/>
        <v/>
      </c>
      <c r="DF51" s="52" t="str">
        <f t="shared" ca="1" si="3"/>
        <v xml:space="preserve"> </v>
      </c>
      <c r="DG51" s="51">
        <f ca="1">IF(F51&lt;OFFSET($BM$9,CN51-1,0,1,1),0,IF(F51&lt;OFFSET($BN$9,CN51-1,0,1,1),((F51-OFFSET($BM$9,CN51-1,0,1,1))*OFFSET($CH$9,CN51-1,0,1,1))+OFFSET($BO$9,CN51-1,CQ51,1,1),IF(F51&lt;OFFSET($BN$9,CN51+0,0,1,1),((F51-OFFSET($BM$9,CN51+0,0,1,1))*OFFSET($CH$9,CN51+0,0,1,1))+OFFSET($BO$9,CN51+0,CQ51,1,1),IF(F51&lt;OFFSET($BN$9,CN51+1,0,1,1),((F51-OFFSET($BM$9,CN51+1,0,1,1))*OFFSET($CH$9,CN51+1,0,1,1))+OFFSET($BO$9,CN51+1,CQ51,1,1),IF(F51&lt;OFFSET($BN$9,CN51+2,0,1,1),((F51-OFFSET($BM$9,CN51+2,0,1,1))*OFFSET($CH$9,CN51+2,0,1,1))+OFFSET($BO$9,CN51+2,CQ51,1,1),IF(F51&lt;OFFSET($BN$9,CN51+3,0,1,1),((F51-OFFSET($BM$9,CN51+3,0,1,1))*OFFSET($CH$9,CN51+3,0,1,1))+OFFSET($BO$9,CN51+3,CQ51,1,1),0))))))</f>
        <v>0</v>
      </c>
      <c r="DH51" s="51">
        <f ca="1">IF($F51&lt;OFFSET($BM$9,$CN51-1,0,1,1),0,IF($F51&lt;OFFSET($BN$9,$CN51-1,0,1,1),IF(AND($H51&gt;2.4,Z51&lt;&gt;"e",Z51&lt;&gt;"f"),DL51*2.4/$H51,DL51),IF($F51&lt;OFFSET($BN$9,$CN51+0,0,1,1),IF(AND($H51&gt;2.4,Z51&lt;&gt;"e",Z51&lt;&gt;"f"),DL51*2.4/$H51,DL51),IF($F51&lt;OFFSET($BN$9,$CN51+1,0,1,1),IF(AND($H51&gt;2.4,Z51&lt;&gt;"e",Z51&lt;&gt;"f"),DL51*2.4/$H51,DL51),IF($F51&lt;OFFSET($BN$9,$CN51+2,0,1,1),IF(AND($H51&gt;2.4,Z51&lt;&gt;"e",Z51&lt;&gt;"f"),DL51*2.4/$H51,DL51),IF($F51&lt;OFFSET($BN$9,$CN51+3,0,1,1),IF(AND($H51&gt;2.4,Z51&lt;&gt;"e",Z51&lt;&gt;"f"),DL51*2.4/$H51,DL51),0)))))*COS(RADIANS($G51)))</f>
        <v>0</v>
      </c>
      <c r="DI51" s="51">
        <f ca="1">IF(F51&lt;OFFSET($BM$9,CN51-1,0,1,1),0,IF(F51&lt;OFFSET($BN$9,CN51-1,0,1,1),((F51-OFFSET($BM$9,CN51-1,0,1,1))*OFFSET($CI$9,CN51-1,0,1,1))+OFFSET($BP$9,CN51-1,CQ51,1,1),IF(F51&lt;OFFSET($BN$9,CN51+0,0,1,1),((F51-OFFSET($BM$9,CN51+0,0,1,1))*OFFSET($CI$9,CN51+0,0,1,1))+OFFSET($BP$9,CN51+0,CQ51,1,1),IF(F51&lt;OFFSET($BN$9,CN51+1,0,1,1),((F51-OFFSET($BM$9,CN51+1,0,1,1))*OFFSET($CI$9,CN51+1,0,1,1))+OFFSET($BP$9,CN51+1,CQ51,1,1),IF(F51&lt;OFFSET($BN$9,CN51+2,0,1,1),((F51-OFFSET($BM$9,CN51+2,0,1,1))*OFFSET($CI$9,CN51+2,0,1,1))+OFFSET($BP$9,CN51+2,CQ51,1,1),IF(F51&lt;OFFSET($BN$9,CN51+3,0,1,1),((F51-OFFSET($BM$9,CN51+3,0,1,1))*OFFSET($CI$9,CN51+3,0,1,1))+OFFSET($BP$9,CN51+3,CQ51,1,1),0))))))</f>
        <v>0</v>
      </c>
      <c r="DJ51" s="51">
        <f ca="1">IF($F51&lt;OFFSET($BM$9,$CN51-1,0,1,1),0,IF($F51&lt;OFFSET($BN$9,$CN51-1,0,1,1),IF(AND($H51&gt;2.4,Z51&lt;&gt;"e",Z51&lt;&gt;"f"),DN51*2.4/$H51,DN51),IF($F51&lt;OFFSET($BN$9,$CN51+0,0,1,1),IF(AND($H51&gt;2.4,Z51&lt;&gt;"e",Z51&lt;&gt;"f"),DN51*2.4/$H51,DN51),IF($F51&lt;OFFSET($BN$9,$CN51+1,0,1,1),IF(AND($H51&gt;2.4,Z51&lt;&gt;"e",Z51&lt;&gt;"f"),DN51*2.4/$H51,DN51),IF($F51&lt;OFFSET($BN$9,$CN51+2,0,1,1),IF(AND($H51&gt;2.4,Z51&lt;&gt;"e",Z51&lt;&gt;"f"),DN51*2.4/$H51,DN51),IF($F51&lt;OFFSET($BN$9,$CN51+3,0,1,1),IF(AND($H51&gt;2.4,Z51&lt;&gt;"e",Z51&lt;&gt;"f"),DN51*2.4/$H51,DN51),0)))))*COS(RADIANS($G51)))</f>
        <v>0</v>
      </c>
      <c r="DK51" s="51"/>
      <c r="DL51" s="51">
        <f ca="1">IF(DG51&gt;$CR51,$CR51,DG51)</f>
        <v>0</v>
      </c>
      <c r="DM51" s="51"/>
      <c r="DN51" s="51">
        <f ca="1">IF(DI51&gt;$CR51,$CR51,DI51)</f>
        <v>0</v>
      </c>
      <c r="DO51" s="435">
        <f ca="1">IF(DH51&gt;$CR51,$CR51,DH51)</f>
        <v>0</v>
      </c>
      <c r="DP51" s="435">
        <f ca="1">DO51*F51</f>
        <v>0</v>
      </c>
      <c r="DQ51" s="436">
        <f ca="1">IF(DJ51&gt;$CR51,$CR51,DJ51)</f>
        <v>0</v>
      </c>
      <c r="DR51" s="437">
        <f ca="1">DQ51*F51</f>
        <v>0</v>
      </c>
      <c r="DS51" s="426">
        <f ca="1">OFFSET($CH$9,CL51-1,-15,1,1)</f>
        <v>0</v>
      </c>
      <c r="DT51" s="426">
        <f ca="1">VLOOKUP(DS51,Prodlink,2,0)</f>
        <v>0</v>
      </c>
      <c r="DU51" s="188">
        <f ca="1">IF(F51&lt;OFFSET($BM$9,DT51-1,0,1,1),0,IF(F51&lt;OFFSET($BN$9,DT51-1,0,1,1),((F51-OFFSET($BM$9,DT51-1,0,1,1))*OFFSET($CH$9,DT51-1,0,1,1))+OFFSET($BO$9,DT51-1,CQ51,1,1),IF(F51&lt;OFFSET($BN$9,DT51+0,0,1,1),((F51-OFFSET($BM$9,DT51+0,0,1,1))*OFFSET($CH$9,DT51+0,0,1,1))+OFFSET($BO$9,DT51+0,CQ51,1,1),IF(F51&lt;OFFSET($BN$9,DT51+1,0,1,1),((F51-OFFSET($BM$9,DT51+1,0,1,1))*OFFSET($CH$9,DT51+1,0,1,1))+OFFSET($BO$9,DT51+1,CQ51,1,1),IF(F51&lt;OFFSET($BN$9,DT51+2,0,1,1),((F51-OFFSET($BM$9,DT51+2,0,1,1))*OFFSET($CH$9,DT51+2,0,1,1))+OFFSET($BO$9,DT51+2,CQ51,1,1),IF(F51&lt;OFFSET($BN$9,DT51+3,0,1,1),((F51-OFFSET($BM$9,DT51+3,0,1,1))*OFFSET($CH$9,DT51+3,0,1,1))+OFFSET($BO$9,DT51+3,CQ51,1,1),0))))))</f>
        <v>0</v>
      </c>
      <c r="DV51" s="51">
        <f ca="1">IF($F51&lt;OFFSET($BM$9,$DT51-1,0,1,1),0,IF($F51&lt;OFFSET($BN$9,$DT51-1,0,1,1),IF(AND($H51&gt;2.4,Z51&lt;&gt;"e",Z51&lt;&gt;"f"),DZ51*2.4/$H51,DZ51),IF($F51&lt;OFFSET($BN$9,$DT51+0,0,1,1),IF(AND($H51&gt;2.4,Z51&lt;&gt;"e",Z51&lt;&gt;"f"),DZ51*2.4/$H51,DZ51),IF($F51&lt;OFFSET($BN$9,$DT51+1,0,1,1),IF(AND($H51&gt;2.4,Z51&lt;&gt;"e",Z51&lt;&gt;"f"),DZ51*2.4/$H51,DZ51),IF($F51&lt;OFFSET($BN$9,$DT51+2,0,1,1),IF(AND($H51&gt;2.4,Z51&lt;&gt;"e",Z51&lt;&gt;"f"),DZ51*2.4/$H51,DZ51),IF($F51&lt;OFFSET($BN$9,$DT51+3,0,1,1),IF(AND($H51&gt;2.4,Z51&lt;&gt;"e",Z51&lt;&gt;"f"),DZ51*2.4/$H51,DZ51),0)))))*COS(RADIANS($G51)))</f>
        <v>0</v>
      </c>
      <c r="DW51" s="188">
        <f ca="1">IF(F51&lt;OFFSET($BM$9,DT51-1,0,1,1),0,IF(F51&lt;OFFSET($BN$9,DT51-1,0,1,1),((F51-OFFSET($BM$9,DT51-1,0,1,1))*OFFSET($CI$9,DT51-1,0,1,1))+OFFSET($BP$9,DT51-1,CQ51,1,1),IF(F51&lt;OFFSET($BN$9,DT51+0,0,1,1),((F51-OFFSET($BM$9,DT51+0,0,1,1))*OFFSET($CI$9,DT51+0,0,1,1))+OFFSET($BP$9,DT51+0,CQ51,1,1),IF(F51&lt;OFFSET($BN$9,DT51+1,0,1,1),((F51-OFFSET($BM$9,DT51+1,0,1,1))*OFFSET($CI$9,DT51+1,0,1,1))+OFFSET($BP$9,DT51+1,CQ51,1,1),IF(F51&lt;OFFSET($BN$9,DT51+2,0,1,1),((F51-OFFSET($BM$9,DT51+2,0,1,1))*OFFSET($CI$9,DT51+2,0,1,1))+OFFSET($BP$9,DT51+2,CQ51,1,1),IF(F51&lt;OFFSET($BN$9,DT51+3,0,1,1),((F51-OFFSET($BM$9,DT51+3,0,1,1))*OFFSET($CI$9,DT51+3,0,1,1))+OFFSET($BP$9,DT51+3,CQ51,1,1),0))))))</f>
        <v>0</v>
      </c>
      <c r="DX51" s="51">
        <f ca="1">IF($F51&lt;OFFSET($BM$9,$DT51-1,0,1,1),0,IF($F51&lt;OFFSET($BN$9,$DT51-1,0,1,1),IF(AND($H51&gt;2.4,Z51&lt;&gt;"e",Z51&lt;&gt;"f"),EB51*2.4/$H51,EB51),IF($F51&lt;OFFSET($BN$9,$DT51+0,0,1,1),IF(AND($H51&gt;2.4,Z51&lt;&gt;"e",Z51&lt;&gt;"f"),EB51*2.4/$H51,EB51),IF($F51&lt;OFFSET($BN$9,$DT51+1,0,1,1),IF(AND($H51&gt;2.4,Z51&lt;&gt;"e",Z51&lt;&gt;"f"),EB51*2.4/$H51,EB51),IF($F51&lt;OFFSET($BN$9,$DT51+2,0,1,1),IF(AND($H51&gt;2.4,Z51&lt;&gt;"e",Z51&lt;&gt;"f"),EB51*2.4/$H51,EB51),IF($F51&lt;OFFSET($BN$9,$DT51+3,0,1,1),IF(AND($H51&gt;2.4,Z51&lt;&gt;"e",Z51&lt;&gt;"f"),EB51*2.4/$H51,EB51),0)))))*COS(RADIANS($G51)))</f>
        <v>0</v>
      </c>
      <c r="DY51" s="188"/>
      <c r="DZ51" s="188">
        <f ca="1">IF(DU51&gt;$CR51,$CR51,DU51)</f>
        <v>0</v>
      </c>
      <c r="EA51" s="188"/>
      <c r="EB51" s="188">
        <f ca="1">IF(DW51&gt;$CR51,$CR51,DW51)</f>
        <v>0</v>
      </c>
      <c r="EC51" s="435">
        <f ca="1">IF(DV51&gt;$CR51,$CR51,DV51)</f>
        <v>0</v>
      </c>
      <c r="ED51" s="435">
        <f ca="1">EC51*F51</f>
        <v>0</v>
      </c>
      <c r="EE51" s="436">
        <f ca="1">IF(DX51&gt;$CR51,$CR51,DX51)</f>
        <v>0</v>
      </c>
      <c r="EF51" s="437">
        <f ca="1">EE51*F51</f>
        <v>0</v>
      </c>
      <c r="EG51" s="613" t="str">
        <f>IF(D51=BG$12,BG$12,"")</f>
        <v/>
      </c>
      <c r="EH51" s="614" t="str">
        <f>IF(D51=BG$13,BG$13,"")</f>
        <v/>
      </c>
      <c r="EI51" s="611">
        <f>IF(EG51=BG$12,M51,0)</f>
        <v>0</v>
      </c>
      <c r="EJ51" s="451">
        <f>IF(EG51=BG$12,O51,0)</f>
        <v>0</v>
      </c>
      <c r="EK51" s="451">
        <f>IF(EH51=BG$13,M51,0)</f>
        <v>0</v>
      </c>
      <c r="EL51" s="612">
        <f>IF(EH51=BG$13,O51,0)</f>
        <v>0</v>
      </c>
      <c r="EM51" s="426" t="str">
        <f ca="1">IF(AND(Z51&lt;&gt;"t",Z51&lt;&gt;"f"),"",IF(AND(EN51=$BH$13,K51=$BH$12),"NotOpt",IF(K51&lt;&gt;EN51,"Error","")))</f>
        <v/>
      </c>
      <c r="EN51" s="490" t="str">
        <f>IF($BG$28=1,$BH$13,$BH$12)</f>
        <v>120 BU's</v>
      </c>
      <c r="EO51" s="426" t="str">
        <f>K51</f>
        <v xml:space="preserve"> </v>
      </c>
      <c r="ER51" s="439" t="str">
        <f ca="1">IF(H51=0," ",H51)</f>
        <v xml:space="preserve"> </v>
      </c>
      <c r="ES51" s="440" t="str">
        <f ca="1">IF(ER51&lt;&gt;" ",IF(ER51&lt;&gt;ER$7,"Changed",""),"")</f>
        <v/>
      </c>
      <c r="ET51" s="440">
        <f ca="1">IF(ER51&lt;&gt;" ",IF(ER51&lt;&gt;ER$7,1,0),0)</f>
        <v>0</v>
      </c>
      <c r="EU51" s="957" t="str">
        <f ca="1">IF(I51=" "," ",IF(F51&lt;OFFSET($BM$9,CL51-1,0,1,1),1,""))</f>
        <v xml:space="preserve"> </v>
      </c>
      <c r="EW51" s="427"/>
      <c r="EX51"/>
      <c r="EY51"/>
      <c r="EZ51"/>
      <c r="FA51"/>
      <c r="FB51"/>
      <c r="FC51"/>
      <c r="FD51"/>
      <c r="FE51"/>
      <c r="FF51"/>
      <c r="FG51"/>
      <c r="FH51"/>
      <c r="FI51"/>
      <c r="FJ51"/>
      <c r="FK51"/>
      <c r="FL51"/>
      <c r="FM51"/>
      <c r="FN51"/>
      <c r="FO51"/>
    </row>
    <row r="52" spans="1:171" ht="17.100000000000001" customHeight="1">
      <c r="A52" s="2685"/>
      <c r="B52" s="689" t="s">
        <v>246</v>
      </c>
      <c r="C52" s="684" t="str">
        <f>IF(OR(F52=0,I52="",I52=" ")," ",$V52)</f>
        <v xml:space="preserve"> </v>
      </c>
      <c r="D52" s="1033"/>
      <c r="E52" s="1360" t="s">
        <v>8</v>
      </c>
      <c r="F52" s="202"/>
      <c r="G52" s="1416"/>
      <c r="H52" s="199" t="str">
        <f ca="1">IF(OR(F52=0,Z52="E",Z52="f")," ",'Project Demand'!E$45)</f>
        <v xml:space="preserve"> </v>
      </c>
      <c r="I52" s="631" t="str">
        <f>IF($I$6&lt;&gt;$BG$8," ",AB52)</f>
        <v xml:space="preserve"> </v>
      </c>
      <c r="J52" s="44" t="str">
        <f ca="1">IF(OR(I52=" ",I52="")," ",OFFSET($BO$9,CL52-1,0-4,1,1))</f>
        <v xml:space="preserve"> </v>
      </c>
      <c r="K52" s="55" t="str">
        <f>IF(OR(I52=" ",I52="")," ",IF(OR(Z52="e",Z52="h"),"SD",BG$24))</f>
        <v xml:space="preserve"> </v>
      </c>
      <c r="L52" s="49">
        <f ca="1">CW52</f>
        <v>0</v>
      </c>
      <c r="M52" s="49">
        <f ca="1">CY52</f>
        <v>0</v>
      </c>
      <c r="N52" s="50">
        <f t="shared" ca="1" si="30"/>
        <v>0</v>
      </c>
      <c r="O52" s="126">
        <f t="shared" ca="1" si="30"/>
        <v>0</v>
      </c>
      <c r="P52" s="140"/>
      <c r="Q52" s="752" t="str">
        <f ca="1">IF(AND(OR(Z52="t",Z52="f"),K52=$BH$11),"No Floor!  Change Floor Type",IF(OR(I52=" ",I52="")," ",IF(F52&lt;OFFSET($BM$9,CL52-1,0,1,1),"check L(m)",DE52&amp;IF(AND(DP52&gt;=CY52,DR52&gt;=DB52),IF(AND(ED52&gt;=DP52,EF52&gt;=DR52),CONCATENATE(DS52," will provide same result"),CONCATENATE(CO52," will provide same result")),IF((DP52&gt;=CY52),CONCATENATE(CO52," provides same result in WIND"),IF((DR52&gt;=DB52),CONCATENATE(CO52," provides same result in EQ"),""))))))&amp;IF(ISERROR(FIND("pile",I52,1)),"",IF(INT(F52)&lt;&gt;F52,"Pile!  Use Whole Numbers Only",""))</f>
        <v xml:space="preserve"> </v>
      </c>
      <c r="R52" s="52"/>
      <c r="S52" s="1372"/>
      <c r="T52" s="1372"/>
      <c r="U52" s="1377"/>
      <c r="V52" s="52" t="str">
        <f ca="1">IF(AND(B$5=$BF$9,OR(I52=BH$16,I52=BH$17))," ",IF(ISNUMBER(B$50),(CONCATENATE(B$50,".",W52)),(CONCATENATE(B$50,W52))))</f>
        <v>H0</v>
      </c>
      <c r="W52" s="9">
        <f ca="1">W51+X52</f>
        <v>0</v>
      </c>
      <c r="X52" s="9">
        <f>IF(AND(B$5=$BF$9,OR($I52=$BH$16,$I52=$BH$17,$I52=" ",$I52="",$F52=0)),0,IF(OR($I52=" ",$I52="",$F52=0),0,1))</f>
        <v>0</v>
      </c>
      <c r="Y52" s="896"/>
      <c r="Z52" s="52" t="str">
        <f ca="1">IF(I52=" "," ",OFFSET($BM$9,$CL52-1,8,1,1))</f>
        <v xml:space="preserve"> </v>
      </c>
      <c r="AA52" s="51" t="str">
        <f>IF(G52&gt;=45,"WA","")</f>
        <v/>
      </c>
      <c r="AB52" s="1364" t="str">
        <f>IF(F52&lt;&gt;"",IF(OR(D52=$BG$12,D52=$BG$13),IF(E52&lt;&gt;$BG$17,$BF$12,$BF$13),IF(E52&lt;&gt;$BG$17,$BF$12,$BF$13))," ")</f>
        <v xml:space="preserve"> </v>
      </c>
      <c r="AC52" s="1"/>
      <c r="AK52" s="63" t="str">
        <f>'Custom Elements'!B13</f>
        <v xml:space="preserve">  </v>
      </c>
      <c r="AL52" s="860" t="str">
        <f>'Custom Elements'!C13</f>
        <v>Custom5</v>
      </c>
      <c r="AM52" s="11">
        <f>'Custom Elements'!D13</f>
        <v>9.9999999999999996E-76</v>
      </c>
      <c r="AN52" s="7">
        <f>'Custom Elements'!E13</f>
        <v>0</v>
      </c>
      <c r="AO52" s="7">
        <f>'Custom Elements'!F13</f>
        <v>0</v>
      </c>
      <c r="AP52" s="762" t="str">
        <f>'Custom Elements'!G13</f>
        <v>B</v>
      </c>
      <c r="AQ52" s="1777" t="str">
        <f>'Custom Elements'!H13</f>
        <v>Single</v>
      </c>
      <c r="AR52" s="1775" t="str">
        <f>'Custom Elements'!I13</f>
        <v>Yes</v>
      </c>
      <c r="AS52" s="442" t="str">
        <f>'Custom Elements'!J13</f>
        <v>Yes</v>
      </c>
      <c r="AT52" s="1150"/>
      <c r="AU52" s="1150"/>
      <c r="AZ52" s="442" t="str">
        <f>IF(AND('Custom Elements'!J13="Yes",'Custom Elements'!I13="Yes"),"T",IF('Custom Elements'!J13="Yes","F",IF('Custom Elements'!I13="Yes","H","E")))</f>
        <v>T</v>
      </c>
      <c r="BD52" s="638"/>
      <c r="BI52" s="759"/>
      <c r="BJ52" s="897">
        <f t="shared" si="27"/>
        <v>44</v>
      </c>
      <c r="BK52" s="1220"/>
      <c r="BL52" s="766"/>
      <c r="BM52" s="455">
        <f>Table!D6</f>
        <v>0.8</v>
      </c>
      <c r="BN52" s="455">
        <f>BM53</f>
        <v>1.2</v>
      </c>
      <c r="BO52" s="455">
        <f>Table!E6</f>
        <v>72</v>
      </c>
      <c r="BP52" s="925">
        <f>Table!F6</f>
        <v>61</v>
      </c>
      <c r="BR52" s="764"/>
      <c r="BS52" s="455"/>
      <c r="BT52" s="455"/>
      <c r="BU52" s="925" t="s">
        <v>242</v>
      </c>
      <c r="BV52" s="895"/>
      <c r="BW52" s="912"/>
      <c r="BX52" s="925" t="str">
        <f>Table!H5</f>
        <v>Single</v>
      </c>
      <c r="CH52" s="764">
        <f>IF(BN52=999,0,(BO53-BO52)/(BN52-BM52))</f>
        <v>0</v>
      </c>
      <c r="CI52" s="925">
        <f>IF(BN52=999,0,(BP53-BP52)/(BN52-BM52))</f>
        <v>7.5000000000000018</v>
      </c>
      <c r="CJ52" s="759"/>
      <c r="CK52" s="188"/>
      <c r="CL52" s="979">
        <f>VLOOKUP(I52,Prodlink,2,0)</f>
        <v>0</v>
      </c>
      <c r="CN52" s="497">
        <f t="shared" ca="1" si="26"/>
        <v>0</v>
      </c>
      <c r="CO52" s="497">
        <f ca="1">OFFSET($CH$9,CL52-1,-15,1,1)</f>
        <v>0</v>
      </c>
      <c r="CQ52" s="51">
        <v>0</v>
      </c>
      <c r="CR52" s="51">
        <f>IF(K52=$BH$12,$BH$23,IF(K52=$BH$13,$BH$24,10000))</f>
        <v>10000</v>
      </c>
      <c r="CS52" s="51">
        <f ca="1">IF(F52&lt;OFFSET($BM$9,CL52-1,0,1,1),0,IF(F52&lt;OFFSET($BN$9,CL52-1,0,1,1),((F52-OFFSET($BM$9,CL52-1,0,1,1))*OFFSET($CH$9,CL52-1,0,1,1))+OFFSET($BO$9,CL52-1,CQ52,1,1),IF(F52&lt;OFFSET($BN$9,CL52+0,0,1,1),((F52-OFFSET($BM$9,CL52+0,0,1,1))*OFFSET($CH$9,CL52+0,0,1,1))+OFFSET($BO$9,CL52+0,CQ52,1,1),IF(F52&lt;OFFSET($BN$9,CL52+1,0,1,1),((F52-OFFSET($BM$9,CL52+1,0,1,1))*OFFSET($CH$9,CL52+1,0,1,1))+OFFSET($BO$9,CL52+1,CQ52,1,1),IF(F52&lt;OFFSET($BN$9,CL52+2,0,1,1),((F52-OFFSET($BM$9,CL52+2,0,1,1))*OFFSET($CH$9,CL52+2,0,1,1))+OFFSET($BO$9,CL52+2,CQ52,1,1),IF(F52&lt;OFFSET($BN$9,CL52+3,0,1,1),((F52-OFFSET($BM$9,CL52+3,0,1,1))*OFFSET($CH$9,CL52+3,0,1,1))+OFFSET($BO$9,CL52+3,CQ52,1,1),0))))))</f>
        <v>0</v>
      </c>
      <c r="CT52" s="51">
        <f ca="1">IF($F52&lt;OFFSET($BM$9,$CL52-1,0,1,1),0,IF($F52&lt;OFFSET($BN$9,$CL52-1,0,1,1),IF(AND($H52&gt;2.4,Z52&lt;&gt;"e",Z52&lt;&gt;"f"),CX52*2.4/$H52,CX52),IF($F52&lt;OFFSET($BN$9,$CL52+0,0,1,1),IF(AND($H52&gt;2.4,Z52&lt;&gt;"e",Z52&lt;&gt;"f"),CX52*2.4/$H52,CX52),IF($F52&lt;OFFSET($BN$9,$CL52+1,0,1,1),IF(AND($H52&gt;2.4,Z52&lt;&gt;"e",Z52&lt;&gt;"f"),CX52*2.4/$H52,CX52),IF($F52&lt;OFFSET($BN$9,CL52+2,0,1,1),IF(AND($H52&gt;2.4,Z52&lt;&gt;"e",Z52&lt;&gt;"f"),CX52*2.4/$H52,CX52),IF($F52&lt;OFFSET($BN$9,CL52+3,0,1,1),IF(AND($H52&gt;2.4,Z52&lt;&gt;"e",Z52&lt;&gt;"f"),CX52*2.4/$H52,CX52),0)))))*COS(RADIANS($G52)))</f>
        <v>0</v>
      </c>
      <c r="CU52" s="51">
        <f ca="1">IF(F52&lt;OFFSET($BM$9,CL52-1,0,1,1),0,IF(F52&lt;OFFSET($BN$9,CL52-1,0,1,1),((F52-OFFSET($BM$9,CL52-1,0,1,1))*OFFSET($CI$9,CL52-1,0,1,1))+OFFSET($BP$9,CL52-1,CQ52,1,1),IF(F52&lt;OFFSET($BN$9,CL52+0,0,1,1),((F52-OFFSET($BM$9,CL52+0,0,1,1))*OFFSET($CI$9,CL52+0,0,1,1))+OFFSET($BP$9,CL52+0,CQ52,1,1),IF(F52&lt;OFFSET($BN$9,CL52+1,0,1,1),((F52-OFFSET($BM$9,CL52+1,0,1,1))*OFFSET($CI$9,CL52+1,0,1,1))+OFFSET($BP$9,CL52+1,CQ52,1,1),IF(F52&lt;OFFSET($BN$9,CL52+2,0,1,1),((F52-OFFSET($BM$9,CL52+2,0,1,1))*OFFSET($CI$9,CL52+2,0,1,1))+OFFSET($BP$9,CL52+2,CQ52,1,1),IF(F52&lt;OFFSET($BN$9,CL52+3,0,1,1),((F52-OFFSET($BM$9,CL52+3,0,1,1))*OFFSET($CI$9,CL52+3,0,1,1))+OFFSET($BP$9,CL52+3,CQ52,1,1),0))))))</f>
        <v>0</v>
      </c>
      <c r="CV52" s="51">
        <f ca="1">IF($F52&lt;OFFSET($BM$9,$CL52-1,0,1,1),0,IF($F52&lt;OFFSET($BN$9,$CL52-1,0,1,1),IF(AND($H52&gt;2.4,Z52&lt;&gt;"e",Z52&lt;&gt;"f"),CZ52*2.4/$H52,CZ52),IF($F52&lt;OFFSET($BN$9,$CL52+0,0,1,1),IF(AND($H52&gt;2.4,Z52&lt;&gt;"e",Z52&lt;&gt;"f"),CZ52*2.4/$H52,CZ52),IF($F52&lt;OFFSET($BN$9,$CL52+1,0,1,1),IF(AND($H52&gt;2.4,Z52&lt;&gt;"e",Z52&lt;&gt;"f"),CZ52*2.4/$H52,CZ52),IF($F52&lt;OFFSET($BN$9,$CL52+2,0,1,1),IF(AND($H52&gt;2.4,Z52&lt;&gt;"e",Z52&lt;&gt;"f"),CZ52*2.4/$H52,CZ52),IF($F52&lt;OFFSET($BN$9,$CL52+3,0,1,1),IF(AND($H52&gt;2.4,Z52&lt;&gt;"e",Z52&lt;&gt;"f"),CZ52*2.4/$H52,CZ52),0)))))*COS(RADIANS($G52)))</f>
        <v>0</v>
      </c>
      <c r="CW52" s="51">
        <f ca="1">IF(CT52&gt;CR52,CR52,CT52)</f>
        <v>0</v>
      </c>
      <c r="CX52" s="51">
        <f ca="1">IF(CS52&gt;$CR52,$CR52,CS52)</f>
        <v>0</v>
      </c>
      <c r="CY52" s="51">
        <f ca="1">CW52*F52</f>
        <v>0</v>
      </c>
      <c r="CZ52" s="51">
        <f ca="1">IF($CU52&gt;$CR52,$CR52,$CU52)</f>
        <v>0</v>
      </c>
      <c r="DA52" s="51">
        <f ca="1">IF(CV52&gt;CR52,CR52,CV52)</f>
        <v>0</v>
      </c>
      <c r="DB52" s="51">
        <f ca="1">DA52*F52</f>
        <v>0</v>
      </c>
      <c r="DC52" s="993">
        <v>1</v>
      </c>
      <c r="DD52" s="758" t="str">
        <f>IF(OR(D52=BG$12,D52=BG$13),"External",IF(D52=BG$14,"Internal"," "))</f>
        <v xml:space="preserve"> </v>
      </c>
      <c r="DE52" s="51" t="str">
        <f t="shared" ca="1" si="2"/>
        <v/>
      </c>
      <c r="DF52" s="52" t="str">
        <f t="shared" ca="1" si="3"/>
        <v xml:space="preserve"> </v>
      </c>
      <c r="DG52" s="51">
        <f ca="1">IF(F52&lt;OFFSET($BM$9,CN52-1,0,1,1),0,IF(F52&lt;OFFSET($BN$9,CN52-1,0,1,1),((F52-OFFSET($BM$9,CN52-1,0,1,1))*OFFSET($CH$9,CN52-1,0,1,1))+OFFSET($BO$9,CN52-1,CQ52,1,1),IF(F52&lt;OFFSET($BN$9,CN52+0,0,1,1),((F52-OFFSET($BM$9,CN52+0,0,1,1))*OFFSET($CH$9,CN52+0,0,1,1))+OFFSET($BO$9,CN52+0,CQ52,1,1),IF(F52&lt;OFFSET($BN$9,CN52+1,0,1,1),((F52-OFFSET($BM$9,CN52+1,0,1,1))*OFFSET($CH$9,CN52+1,0,1,1))+OFFSET($BO$9,CN52+1,CQ52,1,1),IF(F52&lt;OFFSET($BN$9,CN52+2,0,1,1),((F52-OFFSET($BM$9,CN52+2,0,1,1))*OFFSET($CH$9,CN52+2,0,1,1))+OFFSET($BO$9,CN52+2,CQ52,1,1),IF(F52&lt;OFFSET($BN$9,CN52+3,0,1,1),((F52-OFFSET($BM$9,CN52+3,0,1,1))*OFFSET($CH$9,CN52+3,0,1,1))+OFFSET($BO$9,CN52+3,CQ52,1,1),0))))))</f>
        <v>0</v>
      </c>
      <c r="DH52" s="51">
        <f ca="1">IF($F52&lt;OFFSET($BM$9,$CN52-1,0,1,1),0,IF($F52&lt;OFFSET($BN$9,$CN52-1,0,1,1),IF(AND($H52&gt;2.4,Z52&lt;&gt;"e",Z52&lt;&gt;"f"),DL52*2.4/$H52,DL52),IF($F52&lt;OFFSET($BN$9,$CN52+0,0,1,1),IF(AND($H52&gt;2.4,Z52&lt;&gt;"e",Z52&lt;&gt;"f"),DL52*2.4/$H52,DL52),IF($F52&lt;OFFSET($BN$9,$CN52+1,0,1,1),IF(AND($H52&gt;2.4,Z52&lt;&gt;"e",Z52&lt;&gt;"f"),DL52*2.4/$H52,DL52),IF($F52&lt;OFFSET($BN$9,$CN52+2,0,1,1),IF(AND($H52&gt;2.4,Z52&lt;&gt;"e",Z52&lt;&gt;"f"),DL52*2.4/$H52,DL52),IF($F52&lt;OFFSET($BN$9,$CN52+3,0,1,1),IF(AND($H52&gt;2.4,Z52&lt;&gt;"e",Z52&lt;&gt;"f"),DL52*2.4/$H52,DL52),0)))))*COS(RADIANS($G52)))</f>
        <v>0</v>
      </c>
      <c r="DI52" s="51">
        <f ca="1">IF(F52&lt;OFFSET($BM$9,CN52-1,0,1,1),0,IF(F52&lt;OFFSET($BN$9,CN52-1,0,1,1),((F52-OFFSET($BM$9,CN52-1,0,1,1))*OFFSET($CI$9,CN52-1,0,1,1))+OFFSET($BP$9,CN52-1,CQ52,1,1),IF(F52&lt;OFFSET($BN$9,CN52+0,0,1,1),((F52-OFFSET($BM$9,CN52+0,0,1,1))*OFFSET($CI$9,CN52+0,0,1,1))+OFFSET($BP$9,CN52+0,CQ52,1,1),IF(F52&lt;OFFSET($BN$9,CN52+1,0,1,1),((F52-OFFSET($BM$9,CN52+1,0,1,1))*OFFSET($CI$9,CN52+1,0,1,1))+OFFSET($BP$9,CN52+1,CQ52,1,1),IF(F52&lt;OFFSET($BN$9,CN52+2,0,1,1),((F52-OFFSET($BM$9,CN52+2,0,1,1))*OFFSET($CI$9,CN52+2,0,1,1))+OFFSET($BP$9,CN52+2,CQ52,1,1),IF(F52&lt;OFFSET($BN$9,CN52+3,0,1,1),((F52-OFFSET($BM$9,CN52+3,0,1,1))*OFFSET($CI$9,CN52+3,0,1,1))+OFFSET($BP$9,CN52+3,CQ52,1,1),0))))))</f>
        <v>0</v>
      </c>
      <c r="DJ52" s="51">
        <f ca="1">IF($F52&lt;OFFSET($BM$9,$CN52-1,0,1,1),0,IF($F52&lt;OFFSET($BN$9,$CN52-1,0,1,1),IF(AND($H52&gt;2.4,Z52&lt;&gt;"e",Z52&lt;&gt;"f"),DN52*2.4/$H52,DN52),IF($F52&lt;OFFSET($BN$9,$CN52+0,0,1,1),IF(AND($H52&gt;2.4,Z52&lt;&gt;"e",Z52&lt;&gt;"f"),DN52*2.4/$H52,DN52),IF($F52&lt;OFFSET($BN$9,$CN52+1,0,1,1),IF(AND($H52&gt;2.4,Z52&lt;&gt;"e",Z52&lt;&gt;"f"),DN52*2.4/$H52,DN52),IF($F52&lt;OFFSET($BN$9,$CN52+2,0,1,1),IF(AND($H52&gt;2.4,Z52&lt;&gt;"e",Z52&lt;&gt;"f"),DN52*2.4/$H52,DN52),IF($F52&lt;OFFSET($BN$9,$CN52+3,0,1,1),IF(AND($H52&gt;2.4,Z52&lt;&gt;"e",Z52&lt;&gt;"f"),DN52*2.4/$H52,DN52),0)))))*COS(RADIANS($G52)))</f>
        <v>0</v>
      </c>
      <c r="DK52" s="51"/>
      <c r="DL52" s="51">
        <f ca="1">IF(DG52&gt;$CR52,$CR52,DG52)</f>
        <v>0</v>
      </c>
      <c r="DM52" s="51"/>
      <c r="DN52" s="51">
        <f ca="1">IF(DI52&gt;$CR52,$CR52,DI52)</f>
        <v>0</v>
      </c>
      <c r="DO52" s="435">
        <f ca="1">IF(DH52&gt;$CR52,$CR52,DH52)</f>
        <v>0</v>
      </c>
      <c r="DP52" s="435">
        <f ca="1">DO52*F52</f>
        <v>0</v>
      </c>
      <c r="DQ52" s="436">
        <f ca="1">IF(DJ52&gt;$CR52,$CR52,DJ52)</f>
        <v>0</v>
      </c>
      <c r="DR52" s="437">
        <f ca="1">DQ52*F52</f>
        <v>0</v>
      </c>
      <c r="DS52" s="426">
        <f ca="1">OFFSET($CH$9,CL52-1,-15,1,1)</f>
        <v>0</v>
      </c>
      <c r="DT52" s="426">
        <f ca="1">VLOOKUP(DS52,Prodlink,2,0)</f>
        <v>0</v>
      </c>
      <c r="DU52" s="188">
        <f ca="1">IF(F52&lt;OFFSET($BM$9,DT52-1,0,1,1),0,IF(F52&lt;OFFSET($BN$9,DT52-1,0,1,1),((F52-OFFSET($BM$9,DT52-1,0,1,1))*OFFSET($CH$9,DT52-1,0,1,1))+OFFSET($BO$9,DT52-1,CQ52,1,1),IF(F52&lt;OFFSET($BN$9,DT52+0,0,1,1),((F52-OFFSET($BM$9,DT52+0,0,1,1))*OFFSET($CH$9,DT52+0,0,1,1))+OFFSET($BO$9,DT52+0,CQ52,1,1),IF(F52&lt;OFFSET($BN$9,DT52+1,0,1,1),((F52-OFFSET($BM$9,DT52+1,0,1,1))*OFFSET($CH$9,DT52+1,0,1,1))+OFFSET($BO$9,DT52+1,CQ52,1,1),IF(F52&lt;OFFSET($BN$9,DT52+2,0,1,1),((F52-OFFSET($BM$9,DT52+2,0,1,1))*OFFSET($CH$9,DT52+2,0,1,1))+OFFSET($BO$9,DT52+2,CQ52,1,1),IF(F52&lt;OFFSET($BN$9,DT52+3,0,1,1),((F52-OFFSET($BM$9,DT52+3,0,1,1))*OFFSET($CH$9,DT52+3,0,1,1))+OFFSET($BO$9,DT52+3,CQ52,1,1),0))))))</f>
        <v>0</v>
      </c>
      <c r="DV52" s="51">
        <f ca="1">IF($F52&lt;OFFSET($BM$9,$DT52-1,0,1,1),0,IF($F52&lt;OFFSET($BN$9,$DT52-1,0,1,1),IF(AND($H52&gt;2.4,Z52&lt;&gt;"e",Z52&lt;&gt;"f"),DZ52*2.4/$H52,DZ52),IF($F52&lt;OFFSET($BN$9,$DT52+0,0,1,1),IF(AND($H52&gt;2.4,Z52&lt;&gt;"e",Z52&lt;&gt;"f"),DZ52*2.4/$H52,DZ52),IF($F52&lt;OFFSET($BN$9,$DT52+1,0,1,1),IF(AND($H52&gt;2.4,Z52&lt;&gt;"e",Z52&lt;&gt;"f"),DZ52*2.4/$H52,DZ52),IF($F52&lt;OFFSET($BN$9,$DT52+2,0,1,1),IF(AND($H52&gt;2.4,Z52&lt;&gt;"e",Z52&lt;&gt;"f"),DZ52*2.4/$H52,DZ52),IF($F52&lt;OFFSET($BN$9,$DT52+3,0,1,1),IF(AND($H52&gt;2.4,Z52&lt;&gt;"e",Z52&lt;&gt;"f"),DZ52*2.4/$H52,DZ52),0)))))*COS(RADIANS($G52)))</f>
        <v>0</v>
      </c>
      <c r="DW52" s="188">
        <f ca="1">IF(F52&lt;OFFSET($BM$9,DT52-1,0,1,1),0,IF(F52&lt;OFFSET($BN$9,DT52-1,0,1,1),((F52-OFFSET($BM$9,DT52-1,0,1,1))*OFFSET($CI$9,DT52-1,0,1,1))+OFFSET($BP$9,DT52-1,CQ52,1,1),IF(F52&lt;OFFSET($BN$9,DT52+0,0,1,1),((F52-OFFSET($BM$9,DT52+0,0,1,1))*OFFSET($CI$9,DT52+0,0,1,1))+OFFSET($BP$9,DT52+0,CQ52,1,1),IF(F52&lt;OFFSET($BN$9,DT52+1,0,1,1),((F52-OFFSET($BM$9,DT52+1,0,1,1))*OFFSET($CI$9,DT52+1,0,1,1))+OFFSET($BP$9,DT52+1,CQ52,1,1),IF(F52&lt;OFFSET($BN$9,DT52+2,0,1,1),((F52-OFFSET($BM$9,DT52+2,0,1,1))*OFFSET($CI$9,DT52+2,0,1,1))+OFFSET($BP$9,DT52+2,CQ52,1,1),IF(F52&lt;OFFSET($BN$9,DT52+3,0,1,1),((F52-OFFSET($BM$9,DT52+3,0,1,1))*OFFSET($CI$9,DT52+3,0,1,1))+OFFSET($BP$9,DT52+3,CQ52,1,1),0))))))</f>
        <v>0</v>
      </c>
      <c r="DX52" s="51">
        <f ca="1">IF($F52&lt;OFFSET($BM$9,$DT52-1,0,1,1),0,IF($F52&lt;OFFSET($BN$9,$DT52-1,0,1,1),IF(AND($H52&gt;2.4,Z52&lt;&gt;"e",Z52&lt;&gt;"f"),EB52*2.4/$H52,EB52),IF($F52&lt;OFFSET($BN$9,$DT52+0,0,1,1),IF(AND($H52&gt;2.4,Z52&lt;&gt;"e",Z52&lt;&gt;"f"),EB52*2.4/$H52,EB52),IF($F52&lt;OFFSET($BN$9,$DT52+1,0,1,1),IF(AND($H52&gt;2.4,Z52&lt;&gt;"e",Z52&lt;&gt;"f"),EB52*2.4/$H52,EB52),IF($F52&lt;OFFSET($BN$9,$DT52+2,0,1,1),IF(AND($H52&gt;2.4,Z52&lt;&gt;"e",Z52&lt;&gt;"f"),EB52*2.4/$H52,EB52),IF($F52&lt;OFFSET($BN$9,$DT52+3,0,1,1),IF(AND($H52&gt;2.4,Z52&lt;&gt;"e",Z52&lt;&gt;"f"),EB52*2.4/$H52,EB52),0)))))*COS(RADIANS($G52)))</f>
        <v>0</v>
      </c>
      <c r="DY52" s="188"/>
      <c r="DZ52" s="188">
        <f ca="1">IF(DU52&gt;$CR52,$CR52,DU52)</f>
        <v>0</v>
      </c>
      <c r="EA52" s="188"/>
      <c r="EB52" s="188">
        <f ca="1">IF(DW52&gt;$CR52,$CR52,DW52)</f>
        <v>0</v>
      </c>
      <c r="EC52" s="435">
        <f ca="1">IF(DV52&gt;$CR52,$CR52,DV52)</f>
        <v>0</v>
      </c>
      <c r="ED52" s="435">
        <f ca="1">EC52*F52</f>
        <v>0</v>
      </c>
      <c r="EE52" s="436">
        <f ca="1">IF(DX52&gt;$CR52,$CR52,DX52)</f>
        <v>0</v>
      </c>
      <c r="EF52" s="437">
        <f ca="1">EE52*F52</f>
        <v>0</v>
      </c>
      <c r="EG52" s="613" t="str">
        <f>IF(D52=BG$12,BG$12,"")</f>
        <v/>
      </c>
      <c r="EH52" s="614" t="str">
        <f>IF(D52=BG$13,BG$13,"")</f>
        <v/>
      </c>
      <c r="EI52" s="611">
        <f>IF(EG52=BG$12,M52,0)</f>
        <v>0</v>
      </c>
      <c r="EJ52" s="451">
        <f>IF(EG52=BG$12,O52,0)</f>
        <v>0</v>
      </c>
      <c r="EK52" s="451">
        <f>IF(EH52=BG$13,M52,0)</f>
        <v>0</v>
      </c>
      <c r="EL52" s="612">
        <f>IF(EH52=BG$13,O52,0)</f>
        <v>0</v>
      </c>
      <c r="EM52" s="426" t="str">
        <f ca="1">IF(AND(Z52&lt;&gt;"t",Z52&lt;&gt;"f"),"",IF(AND(EN52=$BH$13,K52=$BH$12),"NotOpt",IF(K52&lt;&gt;EN52,"Error","")))</f>
        <v/>
      </c>
      <c r="EN52" s="490" t="str">
        <f>IF($BG$28=1,$BH$13,$BH$12)</f>
        <v>120 BU's</v>
      </c>
      <c r="EO52" s="426" t="str">
        <f>K52</f>
        <v xml:space="preserve"> </v>
      </c>
      <c r="ER52" s="439" t="str">
        <f ca="1">IF(H52=0," ",H52)</f>
        <v xml:space="preserve"> </v>
      </c>
      <c r="ES52" s="440" t="str">
        <f ca="1">IF(ER52&lt;&gt;" ",IF(ER52&lt;&gt;ER$7,"Changed",""),"")</f>
        <v/>
      </c>
      <c r="ET52" s="440">
        <f ca="1">IF(ER52&lt;&gt;" ",IF(ER52&lt;&gt;ER$7,1,0),0)</f>
        <v>0</v>
      </c>
      <c r="EU52" s="957" t="str">
        <f ca="1">IF(I52=" "," ",IF(F52&lt;OFFSET($BM$9,CL52-1,0,1,1),1,""))</f>
        <v xml:space="preserve"> </v>
      </c>
      <c r="EW52" s="427"/>
      <c r="EX52"/>
      <c r="EY52"/>
      <c r="EZ52"/>
      <c r="FA52"/>
      <c r="FB52"/>
      <c r="FC52"/>
      <c r="FD52"/>
      <c r="FE52"/>
      <c r="FF52"/>
      <c r="FG52"/>
      <c r="FH52"/>
      <c r="FI52"/>
      <c r="FJ52"/>
      <c r="FK52"/>
      <c r="FL52"/>
      <c r="FM52"/>
      <c r="FN52"/>
      <c r="FO52"/>
    </row>
    <row r="53" spans="1:171" ht="17.100000000000001" customHeight="1">
      <c r="A53" s="2685"/>
      <c r="B53" s="689" t="s">
        <v>246</v>
      </c>
      <c r="C53" s="684" t="str">
        <f>IF(OR(F53=0,I53="",I53=" ")," ",$V53)</f>
        <v xml:space="preserve"> </v>
      </c>
      <c r="D53" s="1033"/>
      <c r="E53" s="1360" t="s">
        <v>8</v>
      </c>
      <c r="F53" s="202"/>
      <c r="G53" s="1416"/>
      <c r="H53" s="199" t="str">
        <f ca="1">IF(OR(F53=0,Z53="E",Z53="f")," ",'Project Demand'!E$45)</f>
        <v xml:space="preserve"> </v>
      </c>
      <c r="I53" s="631" t="str">
        <f>IF($I$6&lt;&gt;$BG$8," ",AB53)</f>
        <v xml:space="preserve"> </v>
      </c>
      <c r="J53" s="44" t="str">
        <f ca="1">IF(OR(I53=" ",I53="")," ",OFFSET($BO$9,CL53-1,0-4,1,1))</f>
        <v xml:space="preserve"> </v>
      </c>
      <c r="K53" s="55" t="str">
        <f>IF(OR(I53=" ",I53="")," ",IF(OR(Z53="e",Z53="h"),"SD",BG$24))</f>
        <v xml:space="preserve"> </v>
      </c>
      <c r="L53" s="49">
        <f ca="1">CW53</f>
        <v>0</v>
      </c>
      <c r="M53" s="49">
        <f ca="1">CY53</f>
        <v>0</v>
      </c>
      <c r="N53" s="50">
        <f t="shared" ca="1" si="30"/>
        <v>0</v>
      </c>
      <c r="O53" s="126">
        <f t="shared" ca="1" si="30"/>
        <v>0</v>
      </c>
      <c r="P53" s="140"/>
      <c r="Q53" s="752" t="str">
        <f ca="1">IF(AND(OR(Z53="t",Z53="f"),K53=$BH$11),"No Floor!  Change Floor Type",IF(OR(I53=" ",I53="")," ",IF(F53&lt;OFFSET($BM$9,CL53-1,0,1,1),"check L(m)",DE53&amp;IF(AND(DP53&gt;=CY53,DR53&gt;=DB53),IF(AND(ED53&gt;=DP53,EF53&gt;=DR53),CONCATENATE(DS53," will provide same result"),CONCATENATE(CO53," will provide same result")),IF((DP53&gt;=CY53),CONCATENATE(CO53," provides same result in WIND"),IF((DR53&gt;=DB53),CONCATENATE(CO53," provides same result in EQ"),""))))))&amp;IF(ISERROR(FIND("pile",I53,1)),"",IF(INT(F53)&lt;&gt;F53,"Pile!  Use Whole Numbers Only",""))</f>
        <v xml:space="preserve"> </v>
      </c>
      <c r="R53" s="52"/>
      <c r="S53" s="1372"/>
      <c r="T53" s="1372"/>
      <c r="U53" s="1377"/>
      <c r="V53" s="52" t="str">
        <f ca="1">IF(AND(B$5=$BF$9,OR(I53=BH$16,I53=BH$17))," ",IF(ISNUMBER(B$50),(CONCATENATE(B$50,".",W53)),(CONCATENATE(B$50,W53))))</f>
        <v>H0</v>
      </c>
      <c r="W53" s="9">
        <f ca="1">W52+X53</f>
        <v>0</v>
      </c>
      <c r="X53" s="9">
        <f>IF(AND(B$5=$BF$9,OR($I53=$BH$16,$I53=$BH$17,$I53=" ",$I53="",$F53=0)),0,IF(OR($I53=" ",$I53="",$F53=0),0,1))</f>
        <v>0</v>
      </c>
      <c r="Y53" s="896"/>
      <c r="Z53" s="52" t="str">
        <f ca="1">IF(I53=" "," ",OFFSET($BM$9,$CL53-1,8,1,1))</f>
        <v xml:space="preserve"> </v>
      </c>
      <c r="AA53" s="51" t="str">
        <f>IF(G53&gt;=45,"WA","")</f>
        <v/>
      </c>
      <c r="AB53" s="1364" t="str">
        <f>IF(F53&lt;&gt;"",IF(OR(D53=$BG$12,D53=$BG$13),IF(E53&lt;&gt;$BG$17,$BF$12,$BF$13),IF(E53&lt;&gt;$BG$17,$BF$12,$BF$13))," ")</f>
        <v xml:space="preserve"> </v>
      </c>
      <c r="AC53" s="1"/>
      <c r="AK53" s="63" t="str">
        <f>'Custom Elements'!B14</f>
        <v xml:space="preserve">  </v>
      </c>
      <c r="AL53" s="860" t="str">
        <f>'Custom Elements'!C14</f>
        <v>Custom6</v>
      </c>
      <c r="AM53" s="11">
        <f>'Custom Elements'!D14</f>
        <v>9.9999999999999996E-76</v>
      </c>
      <c r="AN53" s="7">
        <f>'Custom Elements'!E14</f>
        <v>0</v>
      </c>
      <c r="AO53" s="7">
        <f>'Custom Elements'!F14</f>
        <v>0</v>
      </c>
      <c r="AP53" s="762" t="str">
        <f>'Custom Elements'!G14</f>
        <v>B</v>
      </c>
      <c r="AQ53" s="1777" t="str">
        <f>'Custom Elements'!H14</f>
        <v>Single</v>
      </c>
      <c r="AR53" s="1775" t="str">
        <f>'Custom Elements'!I14</f>
        <v>Yes</v>
      </c>
      <c r="AS53" s="442" t="str">
        <f>'Custom Elements'!J14</f>
        <v>Yes</v>
      </c>
      <c r="AT53" s="1150"/>
      <c r="AU53" s="1150"/>
      <c r="AZ53" s="442" t="str">
        <f>IF(AND('Custom Elements'!J14="Yes",'Custom Elements'!I14="Yes"),"T",IF('Custom Elements'!J14="Yes","F",IF('Custom Elements'!I14="Yes","H","E")))</f>
        <v>T</v>
      </c>
      <c r="BD53" s="638"/>
      <c r="BI53" s="759"/>
      <c r="BJ53" s="897">
        <f t="shared" si="27"/>
        <v>45</v>
      </c>
      <c r="BK53" s="1220"/>
      <c r="BL53" s="766"/>
      <c r="BM53" s="455">
        <f>Table!D7</f>
        <v>1.2</v>
      </c>
      <c r="BN53" s="455">
        <f>BM54</f>
        <v>1.8</v>
      </c>
      <c r="BO53" s="455">
        <f>Table!E7</f>
        <v>72</v>
      </c>
      <c r="BP53" s="925">
        <f>Table!F7</f>
        <v>64</v>
      </c>
      <c r="BR53" s="764"/>
      <c r="BS53" s="455"/>
      <c r="BT53" s="455"/>
      <c r="BU53" s="925" t="s">
        <v>242</v>
      </c>
      <c r="BV53" s="913"/>
      <c r="BW53" s="912"/>
      <c r="BX53" s="925" t="str">
        <f>Table!H5</f>
        <v>Single</v>
      </c>
      <c r="CH53" s="764">
        <f>IF(BN53=999,0,(BO54-BO53)/(BN53-BM53))</f>
        <v>18.333333333333332</v>
      </c>
      <c r="CI53" s="925">
        <f>IF(BN53=999,0,(BP54-BP53)/(BN53-BM53))</f>
        <v>0</v>
      </c>
      <c r="CJ53" s="759"/>
      <c r="CK53" s="188"/>
      <c r="CL53" s="979">
        <f>VLOOKUP(I53,Prodlink,2,0)</f>
        <v>0</v>
      </c>
      <c r="CN53" s="497">
        <f t="shared" ca="1" si="26"/>
        <v>0</v>
      </c>
      <c r="CO53" s="497">
        <f ca="1">OFFSET($CH$9,CL53-1,-15,1,1)</f>
        <v>0</v>
      </c>
      <c r="CQ53" s="51">
        <v>0</v>
      </c>
      <c r="CR53" s="51">
        <f>IF(K53=$BH$12,$BH$23,IF(K53=$BH$13,$BH$24,10000))</f>
        <v>10000</v>
      </c>
      <c r="CS53" s="51">
        <f ca="1">IF(F53&lt;OFFSET($BM$9,CL53-1,0,1,1),0,IF(F53&lt;OFFSET($BN$9,CL53-1,0,1,1),((F53-OFFSET($BM$9,CL53-1,0,1,1))*OFFSET($CH$9,CL53-1,0,1,1))+OFFSET($BO$9,CL53-1,CQ53,1,1),IF(F53&lt;OFFSET($BN$9,CL53+0,0,1,1),((F53-OFFSET($BM$9,CL53+0,0,1,1))*OFFSET($CH$9,CL53+0,0,1,1))+OFFSET($BO$9,CL53+0,CQ53,1,1),IF(F53&lt;OFFSET($BN$9,CL53+1,0,1,1),((F53-OFFSET($BM$9,CL53+1,0,1,1))*OFFSET($CH$9,CL53+1,0,1,1))+OFFSET($BO$9,CL53+1,CQ53,1,1),IF(F53&lt;OFFSET($BN$9,CL53+2,0,1,1),((F53-OFFSET($BM$9,CL53+2,0,1,1))*OFFSET($CH$9,CL53+2,0,1,1))+OFFSET($BO$9,CL53+2,CQ53,1,1),IF(F53&lt;OFFSET($BN$9,CL53+3,0,1,1),((F53-OFFSET($BM$9,CL53+3,0,1,1))*OFFSET($CH$9,CL53+3,0,1,1))+OFFSET($BO$9,CL53+3,CQ53,1,1),0))))))</f>
        <v>0</v>
      </c>
      <c r="CT53" s="51">
        <f ca="1">IF($F53&lt;OFFSET($BM$9,$CL53-1,0,1,1),0,IF($F53&lt;OFFSET($BN$9,$CL53-1,0,1,1),IF(AND($H53&gt;2.4,Z53&lt;&gt;"e",Z53&lt;&gt;"f"),CX53*2.4/$H53,CX53),IF($F53&lt;OFFSET($BN$9,$CL53+0,0,1,1),IF(AND($H53&gt;2.4,Z53&lt;&gt;"e",Z53&lt;&gt;"f"),CX53*2.4/$H53,CX53),IF($F53&lt;OFFSET($BN$9,$CL53+1,0,1,1),IF(AND($H53&gt;2.4,Z53&lt;&gt;"e",Z53&lt;&gt;"f"),CX53*2.4/$H53,CX53),IF($F53&lt;OFFSET($BN$9,CL53+2,0,1,1),IF(AND($H53&gt;2.4,Z53&lt;&gt;"e",Z53&lt;&gt;"f"),CX53*2.4/$H53,CX53),IF($F53&lt;OFFSET($BN$9,CL53+3,0,1,1),IF(AND($H53&gt;2.4,Z53&lt;&gt;"e",Z53&lt;&gt;"f"),CX53*2.4/$H53,CX53),0)))))*COS(RADIANS($G53)))</f>
        <v>0</v>
      </c>
      <c r="CU53" s="51">
        <f ca="1">IF(F53&lt;OFFSET($BM$9,CL53-1,0,1,1),0,IF(F53&lt;OFFSET($BN$9,CL53-1,0,1,1),((F53-OFFSET($BM$9,CL53-1,0,1,1))*OFFSET($CI$9,CL53-1,0,1,1))+OFFSET($BP$9,CL53-1,CQ53,1,1),IF(F53&lt;OFFSET($BN$9,CL53+0,0,1,1),((F53-OFFSET($BM$9,CL53+0,0,1,1))*OFFSET($CI$9,CL53+0,0,1,1))+OFFSET($BP$9,CL53+0,CQ53,1,1),IF(F53&lt;OFFSET($BN$9,CL53+1,0,1,1),((F53-OFFSET($BM$9,CL53+1,0,1,1))*OFFSET($CI$9,CL53+1,0,1,1))+OFFSET($BP$9,CL53+1,CQ53,1,1),IF(F53&lt;OFFSET($BN$9,CL53+2,0,1,1),((F53-OFFSET($BM$9,CL53+2,0,1,1))*OFFSET($CI$9,CL53+2,0,1,1))+OFFSET($BP$9,CL53+2,CQ53,1,1),IF(F53&lt;OFFSET($BN$9,CL53+3,0,1,1),((F53-OFFSET($BM$9,CL53+3,0,1,1))*OFFSET($CI$9,CL53+3,0,1,1))+OFFSET($BP$9,CL53+3,CQ53,1,1),0))))))</f>
        <v>0</v>
      </c>
      <c r="CV53" s="51">
        <f ca="1">IF($F53&lt;OFFSET($BM$9,$CL53-1,0,1,1),0,IF($F53&lt;OFFSET($BN$9,$CL53-1,0,1,1),IF(AND($H53&gt;2.4,Z53&lt;&gt;"e",Z53&lt;&gt;"f"),CZ53*2.4/$H53,CZ53),IF($F53&lt;OFFSET($BN$9,$CL53+0,0,1,1),IF(AND($H53&gt;2.4,Z53&lt;&gt;"e",Z53&lt;&gt;"f"),CZ53*2.4/$H53,CZ53),IF($F53&lt;OFFSET($BN$9,$CL53+1,0,1,1),IF(AND($H53&gt;2.4,Z53&lt;&gt;"e",Z53&lt;&gt;"f"),CZ53*2.4/$H53,CZ53),IF($F53&lt;OFFSET($BN$9,$CL53+2,0,1,1),IF(AND($H53&gt;2.4,Z53&lt;&gt;"e",Z53&lt;&gt;"f"),CZ53*2.4/$H53,CZ53),IF($F53&lt;OFFSET($BN$9,$CL53+3,0,1,1),IF(AND($H53&gt;2.4,Z53&lt;&gt;"e",Z53&lt;&gt;"f"),CZ53*2.4/$H53,CZ53),0)))))*COS(RADIANS($G53)))</f>
        <v>0</v>
      </c>
      <c r="CW53" s="51">
        <f ca="1">IF(CT53&gt;CR53,CR53,CT53)</f>
        <v>0</v>
      </c>
      <c r="CX53" s="51">
        <f ca="1">IF(CS53&gt;$CR53,$CR53,CS53)</f>
        <v>0</v>
      </c>
      <c r="CY53" s="51">
        <f ca="1">CW53*F53</f>
        <v>0</v>
      </c>
      <c r="CZ53" s="51">
        <f ca="1">IF($CU53&gt;$CR53,$CR53,$CU53)</f>
        <v>0</v>
      </c>
      <c r="DA53" s="51">
        <f ca="1">IF(CV53&gt;CR53,CR53,CV53)</f>
        <v>0</v>
      </c>
      <c r="DB53" s="51">
        <f ca="1">DA53*F53</f>
        <v>0</v>
      </c>
      <c r="DC53" s="993">
        <v>1</v>
      </c>
      <c r="DD53" s="758" t="str">
        <f>IF(OR(D53=BG$12,D53=BG$13),"External",IF(D53=BG$14,"Internal"," "))</f>
        <v xml:space="preserve"> </v>
      </c>
      <c r="DE53" s="51" t="str">
        <f t="shared" ca="1" si="2"/>
        <v/>
      </c>
      <c r="DF53" s="52" t="str">
        <f t="shared" ca="1" si="3"/>
        <v xml:space="preserve"> </v>
      </c>
      <c r="DG53" s="51">
        <f ca="1">IF(F53&lt;OFFSET($BM$9,CN53-1,0,1,1),0,IF(F53&lt;OFFSET($BN$9,CN53-1,0,1,1),((F53-OFFSET($BM$9,CN53-1,0,1,1))*OFFSET($CH$9,CN53-1,0,1,1))+OFFSET($BO$9,CN53-1,CQ53,1,1),IF(F53&lt;OFFSET($BN$9,CN53+0,0,1,1),((F53-OFFSET($BM$9,CN53+0,0,1,1))*OFFSET($CH$9,CN53+0,0,1,1))+OFFSET($BO$9,CN53+0,CQ53,1,1),IF(F53&lt;OFFSET($BN$9,CN53+1,0,1,1),((F53-OFFSET($BM$9,CN53+1,0,1,1))*OFFSET($CH$9,CN53+1,0,1,1))+OFFSET($BO$9,CN53+1,CQ53,1,1),IF(F53&lt;OFFSET($BN$9,CN53+2,0,1,1),((F53-OFFSET($BM$9,CN53+2,0,1,1))*OFFSET($CH$9,CN53+2,0,1,1))+OFFSET($BO$9,CN53+2,CQ53,1,1),IF(F53&lt;OFFSET($BN$9,CN53+3,0,1,1),((F53-OFFSET($BM$9,CN53+3,0,1,1))*OFFSET($CH$9,CN53+3,0,1,1))+OFFSET($BO$9,CN53+3,CQ53,1,1),0))))))</f>
        <v>0</v>
      </c>
      <c r="DH53" s="51">
        <f ca="1">IF($F53&lt;OFFSET($BM$9,$CN53-1,0,1,1),0,IF($F53&lt;OFFSET($BN$9,$CN53-1,0,1,1),IF(AND($H53&gt;2.4,Z53&lt;&gt;"e",Z53&lt;&gt;"f"),DL53*2.4/$H53,DL53),IF($F53&lt;OFFSET($BN$9,$CN53+0,0,1,1),IF(AND($H53&gt;2.4,Z53&lt;&gt;"e",Z53&lt;&gt;"f"),DL53*2.4/$H53,DL53),IF($F53&lt;OFFSET($BN$9,$CN53+1,0,1,1),IF(AND($H53&gt;2.4,Z53&lt;&gt;"e",Z53&lt;&gt;"f"),DL53*2.4/$H53,DL53),IF($F53&lt;OFFSET($BN$9,$CN53+2,0,1,1),IF(AND($H53&gt;2.4,Z53&lt;&gt;"e",Z53&lt;&gt;"f"),DL53*2.4/$H53,DL53),IF($F53&lt;OFFSET($BN$9,$CN53+3,0,1,1),IF(AND($H53&gt;2.4,Z53&lt;&gt;"e",Z53&lt;&gt;"f"),DL53*2.4/$H53,DL53),0)))))*COS(RADIANS($G53)))</f>
        <v>0</v>
      </c>
      <c r="DI53" s="51">
        <f ca="1">IF(F53&lt;OFFSET($BM$9,CN53-1,0,1,1),0,IF(F53&lt;OFFSET($BN$9,CN53-1,0,1,1),((F53-OFFSET($BM$9,CN53-1,0,1,1))*OFFSET($CI$9,CN53-1,0,1,1))+OFFSET($BP$9,CN53-1,CQ53,1,1),IF(F53&lt;OFFSET($BN$9,CN53+0,0,1,1),((F53-OFFSET($BM$9,CN53+0,0,1,1))*OFFSET($CI$9,CN53+0,0,1,1))+OFFSET($BP$9,CN53+0,CQ53,1,1),IF(F53&lt;OFFSET($BN$9,CN53+1,0,1,1),((F53-OFFSET($BM$9,CN53+1,0,1,1))*OFFSET($CI$9,CN53+1,0,1,1))+OFFSET($BP$9,CN53+1,CQ53,1,1),IF(F53&lt;OFFSET($BN$9,CN53+2,0,1,1),((F53-OFFSET($BM$9,CN53+2,0,1,1))*OFFSET($CI$9,CN53+2,0,1,1))+OFFSET($BP$9,CN53+2,CQ53,1,1),IF(F53&lt;OFFSET($BN$9,CN53+3,0,1,1),((F53-OFFSET($BM$9,CN53+3,0,1,1))*OFFSET($CI$9,CN53+3,0,1,1))+OFFSET($BP$9,CN53+3,CQ53,1,1),0))))))</f>
        <v>0</v>
      </c>
      <c r="DJ53" s="51">
        <f ca="1">IF($F53&lt;OFFSET($BM$9,$CN53-1,0,1,1),0,IF($F53&lt;OFFSET($BN$9,$CN53-1,0,1,1),IF(AND($H53&gt;2.4,Z53&lt;&gt;"e",Z53&lt;&gt;"f"),DN53*2.4/$H53,DN53),IF($F53&lt;OFFSET($BN$9,$CN53+0,0,1,1),IF(AND($H53&gt;2.4,Z53&lt;&gt;"e",Z53&lt;&gt;"f"),DN53*2.4/$H53,DN53),IF($F53&lt;OFFSET($BN$9,$CN53+1,0,1,1),IF(AND($H53&gt;2.4,Z53&lt;&gt;"e",Z53&lt;&gt;"f"),DN53*2.4/$H53,DN53),IF($F53&lt;OFFSET($BN$9,$CN53+2,0,1,1),IF(AND($H53&gt;2.4,Z53&lt;&gt;"e",Z53&lt;&gt;"f"),DN53*2.4/$H53,DN53),IF($F53&lt;OFFSET($BN$9,$CN53+3,0,1,1),IF(AND($H53&gt;2.4,Z53&lt;&gt;"e",Z53&lt;&gt;"f"),DN53*2.4/$H53,DN53),0)))))*COS(RADIANS($G53)))</f>
        <v>0</v>
      </c>
      <c r="DK53" s="51"/>
      <c r="DL53" s="51">
        <f ca="1">IF(DG53&gt;$CR53,$CR53,DG53)</f>
        <v>0</v>
      </c>
      <c r="DM53" s="51"/>
      <c r="DN53" s="51">
        <f ca="1">IF(DI53&gt;$CR53,$CR53,DI53)</f>
        <v>0</v>
      </c>
      <c r="DO53" s="435">
        <f ca="1">IF(DH53&gt;$CR53,$CR53,DH53)</f>
        <v>0</v>
      </c>
      <c r="DP53" s="435">
        <f ca="1">DO53*F53</f>
        <v>0</v>
      </c>
      <c r="DQ53" s="436">
        <f ca="1">IF(DJ53&gt;$CR53,$CR53,DJ53)</f>
        <v>0</v>
      </c>
      <c r="DR53" s="437">
        <f ca="1">DQ53*F53</f>
        <v>0</v>
      </c>
      <c r="DS53" s="426">
        <f ca="1">OFFSET($CH$9,CL53-1,-15,1,1)</f>
        <v>0</v>
      </c>
      <c r="DT53" s="426">
        <f ca="1">VLOOKUP(DS53,Prodlink,2,0)</f>
        <v>0</v>
      </c>
      <c r="DU53" s="188">
        <f ca="1">IF(F53&lt;OFFSET($BM$9,DT53-1,0,1,1),0,IF(F53&lt;OFFSET($BN$9,DT53-1,0,1,1),((F53-OFFSET($BM$9,DT53-1,0,1,1))*OFFSET($CH$9,DT53-1,0,1,1))+OFFSET($BO$9,DT53-1,CQ53,1,1),IF(F53&lt;OFFSET($BN$9,DT53+0,0,1,1),((F53-OFFSET($BM$9,DT53+0,0,1,1))*OFFSET($CH$9,DT53+0,0,1,1))+OFFSET($BO$9,DT53+0,CQ53,1,1),IF(F53&lt;OFFSET($BN$9,DT53+1,0,1,1),((F53-OFFSET($BM$9,DT53+1,0,1,1))*OFFSET($CH$9,DT53+1,0,1,1))+OFFSET($BO$9,DT53+1,CQ53,1,1),IF(F53&lt;OFFSET($BN$9,DT53+2,0,1,1),((F53-OFFSET($BM$9,DT53+2,0,1,1))*OFFSET($CH$9,DT53+2,0,1,1))+OFFSET($BO$9,DT53+2,CQ53,1,1),IF(F53&lt;OFFSET($BN$9,DT53+3,0,1,1),((F53-OFFSET($BM$9,DT53+3,0,1,1))*OFFSET($CH$9,DT53+3,0,1,1))+OFFSET($BO$9,DT53+3,CQ53,1,1),0))))))</f>
        <v>0</v>
      </c>
      <c r="DV53" s="51">
        <f ca="1">IF($F53&lt;OFFSET($BM$9,$DT53-1,0,1,1),0,IF($F53&lt;OFFSET($BN$9,$DT53-1,0,1,1),IF(AND($H53&gt;2.4,Z53&lt;&gt;"e",Z53&lt;&gt;"f"),DZ53*2.4/$H53,DZ53),IF($F53&lt;OFFSET($BN$9,$DT53+0,0,1,1),IF(AND($H53&gt;2.4,Z53&lt;&gt;"e",Z53&lt;&gt;"f"),DZ53*2.4/$H53,DZ53),IF($F53&lt;OFFSET($BN$9,$DT53+1,0,1,1),IF(AND($H53&gt;2.4,Z53&lt;&gt;"e",Z53&lt;&gt;"f"),DZ53*2.4/$H53,DZ53),IF($F53&lt;OFFSET($BN$9,$DT53+2,0,1,1),IF(AND($H53&gt;2.4,Z53&lt;&gt;"e",Z53&lt;&gt;"f"),DZ53*2.4/$H53,DZ53),IF($F53&lt;OFFSET($BN$9,$DT53+3,0,1,1),IF(AND($H53&gt;2.4,Z53&lt;&gt;"e",Z53&lt;&gt;"f"),DZ53*2.4/$H53,DZ53),0)))))*COS(RADIANS($G53)))</f>
        <v>0</v>
      </c>
      <c r="DW53" s="188">
        <f ca="1">IF(F53&lt;OFFSET($BM$9,DT53-1,0,1,1),0,IF(F53&lt;OFFSET($BN$9,DT53-1,0,1,1),((F53-OFFSET($BM$9,DT53-1,0,1,1))*OFFSET($CI$9,DT53-1,0,1,1))+OFFSET($BP$9,DT53-1,CQ53,1,1),IF(F53&lt;OFFSET($BN$9,DT53+0,0,1,1),((F53-OFFSET($BM$9,DT53+0,0,1,1))*OFFSET($CI$9,DT53+0,0,1,1))+OFFSET($BP$9,DT53+0,CQ53,1,1),IF(F53&lt;OFFSET($BN$9,DT53+1,0,1,1),((F53-OFFSET($BM$9,DT53+1,0,1,1))*OFFSET($CI$9,DT53+1,0,1,1))+OFFSET($BP$9,DT53+1,CQ53,1,1),IF(F53&lt;OFFSET($BN$9,DT53+2,0,1,1),((F53-OFFSET($BM$9,DT53+2,0,1,1))*OFFSET($CI$9,DT53+2,0,1,1))+OFFSET($BP$9,DT53+2,CQ53,1,1),IF(F53&lt;OFFSET($BN$9,DT53+3,0,1,1),((F53-OFFSET($BM$9,DT53+3,0,1,1))*OFFSET($CI$9,DT53+3,0,1,1))+OFFSET($BP$9,DT53+3,CQ53,1,1),0))))))</f>
        <v>0</v>
      </c>
      <c r="DX53" s="51">
        <f ca="1">IF($F53&lt;OFFSET($BM$9,$DT53-1,0,1,1),0,IF($F53&lt;OFFSET($BN$9,$DT53-1,0,1,1),IF(AND($H53&gt;2.4,Z53&lt;&gt;"e",Z53&lt;&gt;"f"),EB53*2.4/$H53,EB53),IF($F53&lt;OFFSET($BN$9,$DT53+0,0,1,1),IF(AND($H53&gt;2.4,Z53&lt;&gt;"e",Z53&lt;&gt;"f"),EB53*2.4/$H53,EB53),IF($F53&lt;OFFSET($BN$9,$DT53+1,0,1,1),IF(AND($H53&gt;2.4,Z53&lt;&gt;"e",Z53&lt;&gt;"f"),EB53*2.4/$H53,EB53),IF($F53&lt;OFFSET($BN$9,$DT53+2,0,1,1),IF(AND($H53&gt;2.4,Z53&lt;&gt;"e",Z53&lt;&gt;"f"),EB53*2.4/$H53,EB53),IF($F53&lt;OFFSET($BN$9,$DT53+3,0,1,1),IF(AND($H53&gt;2.4,Z53&lt;&gt;"e",Z53&lt;&gt;"f"),EB53*2.4/$H53,EB53),0)))))*COS(RADIANS($G53)))</f>
        <v>0</v>
      </c>
      <c r="DY53" s="188"/>
      <c r="DZ53" s="188">
        <f ca="1">IF(DU53&gt;$CR53,$CR53,DU53)</f>
        <v>0</v>
      </c>
      <c r="EA53" s="188"/>
      <c r="EB53" s="188">
        <f ca="1">IF(DW53&gt;$CR53,$CR53,DW53)</f>
        <v>0</v>
      </c>
      <c r="EC53" s="435">
        <f ca="1">IF(DV53&gt;$CR53,$CR53,DV53)</f>
        <v>0</v>
      </c>
      <c r="ED53" s="435">
        <f ca="1">EC53*F53</f>
        <v>0</v>
      </c>
      <c r="EE53" s="436">
        <f ca="1">IF(DX53&gt;$CR53,$CR53,DX53)</f>
        <v>0</v>
      </c>
      <c r="EF53" s="437">
        <f ca="1">EE53*F53</f>
        <v>0</v>
      </c>
      <c r="EG53" s="613" t="str">
        <f>IF(D53=BG$12,BG$12,"")</f>
        <v/>
      </c>
      <c r="EH53" s="614" t="str">
        <f>IF(D53=BG$13,BG$13,"")</f>
        <v/>
      </c>
      <c r="EI53" s="611">
        <f>IF(EG53=BG$12,M53,0)</f>
        <v>0</v>
      </c>
      <c r="EJ53" s="451">
        <f>IF(EG53=BG$12,O53,0)</f>
        <v>0</v>
      </c>
      <c r="EK53" s="451">
        <f>IF(EH53=BG$13,M53,0)</f>
        <v>0</v>
      </c>
      <c r="EL53" s="612">
        <f>IF(EH53=BG$13,O53,0)</f>
        <v>0</v>
      </c>
      <c r="EM53" s="426" t="str">
        <f ca="1">IF(AND(Z53&lt;&gt;"t",Z53&lt;&gt;"f"),"",IF(AND(EN53=$BH$13,K53=$BH$12),"NotOpt",IF(K53&lt;&gt;EN53,"Error","")))</f>
        <v/>
      </c>
      <c r="EN53" s="490" t="str">
        <f>IF($BG$28=1,$BH$13,$BH$12)</f>
        <v>120 BU's</v>
      </c>
      <c r="EO53" s="426" t="str">
        <f>K53</f>
        <v xml:space="preserve"> </v>
      </c>
      <c r="ER53" s="439" t="str">
        <f ca="1">IF(H53=0," ",H53)</f>
        <v xml:space="preserve"> </v>
      </c>
      <c r="ES53" s="440" t="str">
        <f ca="1">IF(ER53&lt;&gt;" ",IF(ER53&lt;&gt;ER$7,"Changed",""),"")</f>
        <v/>
      </c>
      <c r="ET53" s="440">
        <f ca="1">IF(ER53&lt;&gt;" ",IF(ER53&lt;&gt;ER$7,1,0),0)</f>
        <v>0</v>
      </c>
      <c r="EU53" s="957" t="str">
        <f ca="1">IF(I53=" "," ",IF(F53&lt;OFFSET($BM$9,CL53-1,0,1,1),1,""))</f>
        <v xml:space="preserve"> </v>
      </c>
      <c r="EW53" s="427"/>
      <c r="EX53"/>
      <c r="EY53"/>
      <c r="EZ53"/>
      <c r="FA53"/>
      <c r="FB53"/>
      <c r="FC53"/>
      <c r="FD53"/>
      <c r="FE53"/>
      <c r="FF53"/>
      <c r="FG53"/>
      <c r="FH53"/>
      <c r="FI53"/>
      <c r="FJ53"/>
      <c r="FK53"/>
      <c r="FL53"/>
      <c r="FM53"/>
      <c r="FN53"/>
      <c r="FO53"/>
    </row>
    <row r="54" spans="1:171" ht="17.100000000000001" customHeight="1" thickBot="1">
      <c r="A54" s="2685"/>
      <c r="B54" s="689" t="s">
        <v>246</v>
      </c>
      <c r="C54" s="684" t="str">
        <f>IF(OR(F54=0,I54="",I54=" ")," ",$V54)</f>
        <v xml:space="preserve"> </v>
      </c>
      <c r="D54" s="1033"/>
      <c r="E54" s="1360" t="s">
        <v>8</v>
      </c>
      <c r="F54" s="202"/>
      <c r="G54" s="1416"/>
      <c r="H54" s="199" t="str">
        <f ca="1">IF(OR(F54=0,Z54="E",Z54="f")," ",'Project Demand'!E$45)</f>
        <v xml:space="preserve"> </v>
      </c>
      <c r="I54" s="631" t="str">
        <f>IF($I$6&lt;&gt;$BG$8," ",AB54)</f>
        <v xml:space="preserve"> </v>
      </c>
      <c r="J54" s="44" t="str">
        <f ca="1">IF(OR(I54=" ",I54="")," ",OFFSET($BO$9,CL54-1,0-4,1,1))</f>
        <v xml:space="preserve"> </v>
      </c>
      <c r="K54" s="55" t="str">
        <f>IF(OR(I54=" ",I54="")," ",IF(OR(Z54="e",Z54="h"),"SD",BG$24))</f>
        <v xml:space="preserve"> </v>
      </c>
      <c r="L54" s="49">
        <f ca="1">CW54</f>
        <v>0</v>
      </c>
      <c r="M54" s="49">
        <f ca="1">CY54</f>
        <v>0</v>
      </c>
      <c r="N54" s="50">
        <f t="shared" ca="1" si="30"/>
        <v>0</v>
      </c>
      <c r="O54" s="126">
        <f t="shared" ca="1" si="30"/>
        <v>0</v>
      </c>
      <c r="P54" s="140"/>
      <c r="Q54" s="752" t="str">
        <f ca="1">IF(AND(OR(Z54="t",Z54="f"),K54=$BH$11),"No Floor!  Change Floor Type",IF(OR(I54=" ",I54="")," ",IF(F54&lt;OFFSET($BM$9,CL54-1,0,1,1),"check L(m)",DE54&amp;IF(AND(DP54&gt;=CY54,DR54&gt;=DB54),IF(AND(ED54&gt;=DP54,EF54&gt;=DR54),CONCATENATE(DS54," will provide same result"),CONCATENATE(CO54," will provide same result")),IF((DP54&gt;=CY54),CONCATENATE(CO54," provides same result in WIND"),IF((DR54&gt;=DB54),CONCATENATE(CO54," provides same result in EQ"),""))))))&amp;IF(ISERROR(FIND("pile",I54,1)),"",IF(INT(F54)&lt;&gt;F54,"Pile!  Use Whole Numbers Only",""))</f>
        <v xml:space="preserve"> </v>
      </c>
      <c r="R54" s="52"/>
      <c r="S54" s="1372"/>
      <c r="T54" s="1372"/>
      <c r="U54" s="1377"/>
      <c r="V54" s="52" t="str">
        <f ca="1">IF(AND(B$5=$BF$9,OR(I54=BH$16,I54=BH$17))," ",IF(ISNUMBER(B$50),(CONCATENATE(B$50,".",W54)),(CONCATENATE(B$50,W54))))</f>
        <v>H0</v>
      </c>
      <c r="W54" s="9">
        <f ca="1">W53+X54</f>
        <v>0</v>
      </c>
      <c r="X54" s="9">
        <f>IF(AND(B$5=$BF$9,OR($I54=$BH$16,$I54=$BH$17,$I54=" ",$I54="",$F54=0)),0,IF(OR($I54=" ",$I54="",$F54=0),0,1))</f>
        <v>0</v>
      </c>
      <c r="Y54" s="896"/>
      <c r="Z54" s="52" t="str">
        <f ca="1">IF(I54=" "," ",OFFSET($BM$9,$CL54-1,8,1,1))</f>
        <v xml:space="preserve"> </v>
      </c>
      <c r="AA54" s="51" t="str">
        <f>IF(G54&gt;=45,"WA","")</f>
        <v/>
      </c>
      <c r="AB54" s="1364" t="str">
        <f>IF(F54&lt;&gt;"",IF(OR(D54=$BG$12,D54=$BG$13),IF(E54&lt;&gt;$BG$17,$BF$12,$BF$13),IF(E54&lt;&gt;$BG$17,$BF$12,$BF$13))," ")</f>
        <v xml:space="preserve"> </v>
      </c>
      <c r="AC54" s="1"/>
      <c r="AK54" s="63" t="str">
        <f>'Custom Elements'!B15</f>
        <v xml:space="preserve">  </v>
      </c>
      <c r="AL54" s="860" t="str">
        <f>'Custom Elements'!C15</f>
        <v>Custom7</v>
      </c>
      <c r="AM54" s="11">
        <f>'Custom Elements'!D15</f>
        <v>9.9999999999999996E-76</v>
      </c>
      <c r="AN54" s="7">
        <f>'Custom Elements'!E15</f>
        <v>0</v>
      </c>
      <c r="AO54" s="7">
        <f>'Custom Elements'!F15</f>
        <v>0</v>
      </c>
      <c r="AP54" s="762" t="str">
        <f>'Custom Elements'!G15</f>
        <v>B</v>
      </c>
      <c r="AQ54" s="1777" t="str">
        <f>'Custom Elements'!H15</f>
        <v>Single</v>
      </c>
      <c r="AR54" s="1775" t="str">
        <f>'Custom Elements'!I15</f>
        <v>Yes</v>
      </c>
      <c r="AS54" s="442" t="str">
        <f>'Custom Elements'!J15</f>
        <v>Yes</v>
      </c>
      <c r="AT54" s="1150"/>
      <c r="AU54" s="1150"/>
      <c r="AZ54" s="442" t="str">
        <f>IF(AND('Custom Elements'!J15="Yes",'Custom Elements'!I15="Yes"),"T",IF('Custom Elements'!J15="Yes","F",IF('Custom Elements'!I15="Yes","H","E")))</f>
        <v>T</v>
      </c>
      <c r="BD54" s="638"/>
      <c r="BE54" s="2714" t="s">
        <v>956</v>
      </c>
      <c r="BF54" s="2714"/>
      <c r="BG54" s="2714"/>
      <c r="BH54" s="2714"/>
      <c r="BI54" s="759"/>
      <c r="BJ54" s="897">
        <f t="shared" si="27"/>
        <v>46</v>
      </c>
      <c r="BK54" s="1221"/>
      <c r="BL54" s="767"/>
      <c r="BM54" s="776">
        <f>Table!D8</f>
        <v>1.8</v>
      </c>
      <c r="BN54" s="776">
        <v>999</v>
      </c>
      <c r="BO54" s="776">
        <f>Table!E8</f>
        <v>83</v>
      </c>
      <c r="BP54" s="926">
        <f>Table!F8</f>
        <v>64</v>
      </c>
      <c r="BQ54" s="1183"/>
      <c r="BR54" s="908"/>
      <c r="BS54" s="776"/>
      <c r="BT54" s="776"/>
      <c r="BU54" s="926" t="s">
        <v>242</v>
      </c>
      <c r="BV54" s="433"/>
      <c r="BW54" s="914"/>
      <c r="BX54" s="926" t="str">
        <f>Table!H5</f>
        <v>Single</v>
      </c>
      <c r="CH54" s="908">
        <f>IF(BN54=999,0,(BO55-BO54)/(BN54-BM54))</f>
        <v>0</v>
      </c>
      <c r="CI54" s="926">
        <f>IF(BN54=999,0,(BP55-BP54)/(BN54-BM54))</f>
        <v>0</v>
      </c>
      <c r="CJ54" s="759"/>
      <c r="CK54" s="188"/>
      <c r="CL54" s="979">
        <f>VLOOKUP(I54,Prodlink,2,0)</f>
        <v>0</v>
      </c>
      <c r="CN54" s="497">
        <f t="shared" ca="1" si="26"/>
        <v>0</v>
      </c>
      <c r="CO54" s="497">
        <f ca="1">OFFSET($CH$9,CL54-1,-15,1,1)</f>
        <v>0</v>
      </c>
      <c r="CQ54" s="51">
        <v>0</v>
      </c>
      <c r="CR54" s="51">
        <f>IF(K54=$BH$12,$BH$23,IF(K54=$BH$13,$BH$24,10000))</f>
        <v>10000</v>
      </c>
      <c r="CS54" s="51">
        <f ca="1">IF(F54&lt;OFFSET($BM$9,CL54-1,0,1,1),0,IF(F54&lt;OFFSET($BN$9,CL54-1,0,1,1),((F54-OFFSET($BM$9,CL54-1,0,1,1))*OFFSET($CH$9,CL54-1,0,1,1))+OFFSET($BO$9,CL54-1,CQ54,1,1),IF(F54&lt;OFFSET($BN$9,CL54+0,0,1,1),((F54-OFFSET($BM$9,CL54+0,0,1,1))*OFFSET($CH$9,CL54+0,0,1,1))+OFFSET($BO$9,CL54+0,CQ54,1,1),IF(F54&lt;OFFSET($BN$9,CL54+1,0,1,1),((F54-OFFSET($BM$9,CL54+1,0,1,1))*OFFSET($CH$9,CL54+1,0,1,1))+OFFSET($BO$9,CL54+1,CQ54,1,1),IF(F54&lt;OFFSET($BN$9,CL54+2,0,1,1),((F54-OFFSET($BM$9,CL54+2,0,1,1))*OFFSET($CH$9,CL54+2,0,1,1))+OFFSET($BO$9,CL54+2,CQ54,1,1),IF(F54&lt;OFFSET($BN$9,CL54+3,0,1,1),((F54-OFFSET($BM$9,CL54+3,0,1,1))*OFFSET($CH$9,CL54+3,0,1,1))+OFFSET($BO$9,CL54+3,CQ54,1,1),0))))))</f>
        <v>0</v>
      </c>
      <c r="CT54" s="51">
        <f ca="1">IF($F54&lt;OFFSET($BM$9,$CL54-1,0,1,1),0,IF($F54&lt;OFFSET($BN$9,$CL54-1,0,1,1),IF(AND($H54&gt;2.4,Z54&lt;&gt;"e",Z54&lt;&gt;"f"),CX54*2.4/$H54,CX54),IF($F54&lt;OFFSET($BN$9,$CL54+0,0,1,1),IF(AND($H54&gt;2.4,Z54&lt;&gt;"e",Z54&lt;&gt;"f"),CX54*2.4/$H54,CX54),IF($F54&lt;OFFSET($BN$9,$CL54+1,0,1,1),IF(AND($H54&gt;2.4,Z54&lt;&gt;"e",Z54&lt;&gt;"f"),CX54*2.4/$H54,CX54),IF($F54&lt;OFFSET($BN$9,CL54+2,0,1,1),IF(AND($H54&gt;2.4,Z54&lt;&gt;"e",Z54&lt;&gt;"f"),CX54*2.4/$H54,CX54),IF($F54&lt;OFFSET($BN$9,CL54+3,0,1,1),IF(AND($H54&gt;2.4,Z54&lt;&gt;"e",Z54&lt;&gt;"f"),CX54*2.4/$H54,CX54),0)))))*COS(RADIANS($G54)))</f>
        <v>0</v>
      </c>
      <c r="CU54" s="51">
        <f ca="1">IF(F54&lt;OFFSET($BM$9,CL54-1,0,1,1),0,IF(F54&lt;OFFSET($BN$9,CL54-1,0,1,1),((F54-OFFSET($BM$9,CL54-1,0,1,1))*OFFSET($CI$9,CL54-1,0,1,1))+OFFSET($BP$9,CL54-1,CQ54,1,1),IF(F54&lt;OFFSET($BN$9,CL54+0,0,1,1),((F54-OFFSET($BM$9,CL54+0,0,1,1))*OFFSET($CI$9,CL54+0,0,1,1))+OFFSET($BP$9,CL54+0,CQ54,1,1),IF(F54&lt;OFFSET($BN$9,CL54+1,0,1,1),((F54-OFFSET($BM$9,CL54+1,0,1,1))*OFFSET($CI$9,CL54+1,0,1,1))+OFFSET($BP$9,CL54+1,CQ54,1,1),IF(F54&lt;OFFSET($BN$9,CL54+2,0,1,1),((F54-OFFSET($BM$9,CL54+2,0,1,1))*OFFSET($CI$9,CL54+2,0,1,1))+OFFSET($BP$9,CL54+2,CQ54,1,1),IF(F54&lt;OFFSET($BN$9,CL54+3,0,1,1),((F54-OFFSET($BM$9,CL54+3,0,1,1))*OFFSET($CI$9,CL54+3,0,1,1))+OFFSET($BP$9,CL54+3,CQ54,1,1),0))))))</f>
        <v>0</v>
      </c>
      <c r="CV54" s="51">
        <f ca="1">IF($F54&lt;OFFSET($BM$9,$CL54-1,0,1,1),0,IF($F54&lt;OFFSET($BN$9,$CL54-1,0,1,1),IF(AND($H54&gt;2.4,Z54&lt;&gt;"e",Z54&lt;&gt;"f"),CZ54*2.4/$H54,CZ54),IF($F54&lt;OFFSET($BN$9,$CL54+0,0,1,1),IF(AND($H54&gt;2.4,Z54&lt;&gt;"e",Z54&lt;&gt;"f"),CZ54*2.4/$H54,CZ54),IF($F54&lt;OFFSET($BN$9,$CL54+1,0,1,1),IF(AND($H54&gt;2.4,Z54&lt;&gt;"e",Z54&lt;&gt;"f"),CZ54*2.4/$H54,CZ54),IF($F54&lt;OFFSET($BN$9,$CL54+2,0,1,1),IF(AND($H54&gt;2.4,Z54&lt;&gt;"e",Z54&lt;&gt;"f"),CZ54*2.4/$H54,CZ54),IF($F54&lt;OFFSET($BN$9,$CL54+3,0,1,1),IF(AND($H54&gt;2.4,Z54&lt;&gt;"e",Z54&lt;&gt;"f"),CZ54*2.4/$H54,CZ54),0)))))*COS(RADIANS($G54)))</f>
        <v>0</v>
      </c>
      <c r="CW54" s="51">
        <f ca="1">IF(CT54&gt;CR54,CR54,CT54)</f>
        <v>0</v>
      </c>
      <c r="CX54" s="51">
        <f ca="1">IF(CS54&gt;$CR54,$CR54,CS54)</f>
        <v>0</v>
      </c>
      <c r="CY54" s="51">
        <f ca="1">CW54*F54</f>
        <v>0</v>
      </c>
      <c r="CZ54" s="51">
        <f ca="1">IF($CU54&gt;$CR54,$CR54,$CU54)</f>
        <v>0</v>
      </c>
      <c r="DA54" s="51">
        <f ca="1">IF(CV54&gt;CR54,CR54,CV54)</f>
        <v>0</v>
      </c>
      <c r="DB54" s="51">
        <f ca="1">DA54*F54</f>
        <v>0</v>
      </c>
      <c r="DC54" s="993">
        <v>1</v>
      </c>
      <c r="DD54" s="758" t="str">
        <f>IF(OR(D54=BG$12,D54=BG$13),"External",IF(D54=BG$14,"Internal"," "))</f>
        <v xml:space="preserve"> </v>
      </c>
      <c r="DE54" s="51" t="str">
        <f t="shared" ca="1" si="2"/>
        <v/>
      </c>
      <c r="DF54" s="52" t="str">
        <f t="shared" ca="1" si="3"/>
        <v xml:space="preserve"> </v>
      </c>
      <c r="DG54" s="51">
        <f ca="1">IF(F54&lt;OFFSET($BM$9,CN54-1,0,1,1),0,IF(F54&lt;OFFSET($BN$9,CN54-1,0,1,1),((F54-OFFSET($BM$9,CN54-1,0,1,1))*OFFSET($CH$9,CN54-1,0,1,1))+OFFSET($BO$9,CN54-1,CQ54,1,1),IF(F54&lt;OFFSET($BN$9,CN54+0,0,1,1),((F54-OFFSET($BM$9,CN54+0,0,1,1))*OFFSET($CH$9,CN54+0,0,1,1))+OFFSET($BO$9,CN54+0,CQ54,1,1),IF(F54&lt;OFFSET($BN$9,CN54+1,0,1,1),((F54-OFFSET($BM$9,CN54+1,0,1,1))*OFFSET($CH$9,CN54+1,0,1,1))+OFFSET($BO$9,CN54+1,CQ54,1,1),IF(F54&lt;OFFSET($BN$9,CN54+2,0,1,1),((F54-OFFSET($BM$9,CN54+2,0,1,1))*OFFSET($CH$9,CN54+2,0,1,1))+OFFSET($BO$9,CN54+2,CQ54,1,1),IF(F54&lt;OFFSET($BN$9,CN54+3,0,1,1),((F54-OFFSET($BM$9,CN54+3,0,1,1))*OFFSET($CH$9,CN54+3,0,1,1))+OFFSET($BO$9,CN54+3,CQ54,1,1),0))))))</f>
        <v>0</v>
      </c>
      <c r="DH54" s="51">
        <f ca="1">IF($F54&lt;OFFSET($BM$9,$CN54-1,0,1,1),0,IF($F54&lt;OFFSET($BN$9,$CN54-1,0,1,1),IF(AND($H54&gt;2.4,Z54&lt;&gt;"e",Z54&lt;&gt;"f"),DL54*2.4/$H54,DL54),IF($F54&lt;OFFSET($BN$9,$CN54+0,0,1,1),IF(AND($H54&gt;2.4,Z54&lt;&gt;"e",Z54&lt;&gt;"f"),DL54*2.4/$H54,DL54),IF($F54&lt;OFFSET($BN$9,$CN54+1,0,1,1),IF(AND($H54&gt;2.4,Z54&lt;&gt;"e",Z54&lt;&gt;"f"),DL54*2.4/$H54,DL54),IF($F54&lt;OFFSET($BN$9,$CN54+2,0,1,1),IF(AND($H54&gt;2.4,Z54&lt;&gt;"e",Z54&lt;&gt;"f"),DL54*2.4/$H54,DL54),IF($F54&lt;OFFSET($BN$9,$CN54+3,0,1,1),IF(AND($H54&gt;2.4,Z54&lt;&gt;"e",Z54&lt;&gt;"f"),DL54*2.4/$H54,DL54),0)))))*COS(RADIANS($G54)))</f>
        <v>0</v>
      </c>
      <c r="DI54" s="51">
        <f ca="1">IF(F54&lt;OFFSET($BM$9,CN54-1,0,1,1),0,IF(F54&lt;OFFSET($BN$9,CN54-1,0,1,1),((F54-OFFSET($BM$9,CN54-1,0,1,1))*OFFSET($CI$9,CN54-1,0,1,1))+OFFSET($BP$9,CN54-1,CQ54,1,1),IF(F54&lt;OFFSET($BN$9,CN54+0,0,1,1),((F54-OFFSET($BM$9,CN54+0,0,1,1))*OFFSET($CI$9,CN54+0,0,1,1))+OFFSET($BP$9,CN54+0,CQ54,1,1),IF(F54&lt;OFFSET($BN$9,CN54+1,0,1,1),((F54-OFFSET($BM$9,CN54+1,0,1,1))*OFFSET($CI$9,CN54+1,0,1,1))+OFFSET($BP$9,CN54+1,CQ54,1,1),IF(F54&lt;OFFSET($BN$9,CN54+2,0,1,1),((F54-OFFSET($BM$9,CN54+2,0,1,1))*OFFSET($CI$9,CN54+2,0,1,1))+OFFSET($BP$9,CN54+2,CQ54,1,1),IF(F54&lt;OFFSET($BN$9,CN54+3,0,1,1),((F54-OFFSET($BM$9,CN54+3,0,1,1))*OFFSET($CI$9,CN54+3,0,1,1))+OFFSET($BP$9,CN54+3,CQ54,1,1),0))))))</f>
        <v>0</v>
      </c>
      <c r="DJ54" s="51">
        <f ca="1">IF($F54&lt;OFFSET($BM$9,$CN54-1,0,1,1),0,IF($F54&lt;OFFSET($BN$9,$CN54-1,0,1,1),IF(AND($H54&gt;2.4,Z54&lt;&gt;"e",Z54&lt;&gt;"f"),DN54*2.4/$H54,DN54),IF($F54&lt;OFFSET($BN$9,$CN54+0,0,1,1),IF(AND($H54&gt;2.4,Z54&lt;&gt;"e",Z54&lt;&gt;"f"),DN54*2.4/$H54,DN54),IF($F54&lt;OFFSET($BN$9,$CN54+1,0,1,1),IF(AND($H54&gt;2.4,Z54&lt;&gt;"e",Z54&lt;&gt;"f"),DN54*2.4/$H54,DN54),IF($F54&lt;OFFSET($BN$9,$CN54+2,0,1,1),IF(AND($H54&gt;2.4,Z54&lt;&gt;"e",Z54&lt;&gt;"f"),DN54*2.4/$H54,DN54),IF($F54&lt;OFFSET($BN$9,$CN54+3,0,1,1),IF(AND($H54&gt;2.4,Z54&lt;&gt;"e",Z54&lt;&gt;"f"),DN54*2.4/$H54,DN54),0)))))*COS(RADIANS($G54)))</f>
        <v>0</v>
      </c>
      <c r="DK54" s="51"/>
      <c r="DL54" s="51">
        <f ca="1">IF(DG54&gt;$CR54,$CR54,DG54)</f>
        <v>0</v>
      </c>
      <c r="DM54" s="51"/>
      <c r="DN54" s="51">
        <f ca="1">IF(DI54&gt;$CR54,$CR54,DI54)</f>
        <v>0</v>
      </c>
      <c r="DO54" s="435">
        <f ca="1">IF(DH54&gt;$CR54,$CR54,DH54)</f>
        <v>0</v>
      </c>
      <c r="DP54" s="435">
        <f ca="1">DO54*F54</f>
        <v>0</v>
      </c>
      <c r="DQ54" s="436">
        <f ca="1">IF(DJ54&gt;$CR54,$CR54,DJ54)</f>
        <v>0</v>
      </c>
      <c r="DR54" s="437">
        <f ca="1">DQ54*F54</f>
        <v>0</v>
      </c>
      <c r="DS54" s="426">
        <f ca="1">OFFSET($CH$9,CL54-1,-15,1,1)</f>
        <v>0</v>
      </c>
      <c r="DT54" s="426">
        <f ca="1">VLOOKUP(DS54,Prodlink,2,0)</f>
        <v>0</v>
      </c>
      <c r="DU54" s="188">
        <f ca="1">IF(F54&lt;OFFSET($BM$9,DT54-1,0,1,1),0,IF(F54&lt;OFFSET($BN$9,DT54-1,0,1,1),((F54-OFFSET($BM$9,DT54-1,0,1,1))*OFFSET($CH$9,DT54-1,0,1,1))+OFFSET($BO$9,DT54-1,CQ54,1,1),IF(F54&lt;OFFSET($BN$9,DT54+0,0,1,1),((F54-OFFSET($BM$9,DT54+0,0,1,1))*OFFSET($CH$9,DT54+0,0,1,1))+OFFSET($BO$9,DT54+0,CQ54,1,1),IF(F54&lt;OFFSET($BN$9,DT54+1,0,1,1),((F54-OFFSET($BM$9,DT54+1,0,1,1))*OFFSET($CH$9,DT54+1,0,1,1))+OFFSET($BO$9,DT54+1,CQ54,1,1),IF(F54&lt;OFFSET($BN$9,DT54+2,0,1,1),((F54-OFFSET($BM$9,DT54+2,0,1,1))*OFFSET($CH$9,DT54+2,0,1,1))+OFFSET($BO$9,DT54+2,CQ54,1,1),IF(F54&lt;OFFSET($BN$9,DT54+3,0,1,1),((F54-OFFSET($BM$9,DT54+3,0,1,1))*OFFSET($CH$9,DT54+3,0,1,1))+OFFSET($BO$9,DT54+3,CQ54,1,1),0))))))</f>
        <v>0</v>
      </c>
      <c r="DV54" s="51">
        <f ca="1">IF($F54&lt;OFFSET($BM$9,$DT54-1,0,1,1),0,IF($F54&lt;OFFSET($BN$9,$DT54-1,0,1,1),IF(AND($H54&gt;2.4,Z54&lt;&gt;"e",Z54&lt;&gt;"f"),DZ54*2.4/$H54,DZ54),IF($F54&lt;OFFSET($BN$9,$DT54+0,0,1,1),IF(AND($H54&gt;2.4,Z54&lt;&gt;"e",Z54&lt;&gt;"f"),DZ54*2.4/$H54,DZ54),IF($F54&lt;OFFSET($BN$9,$DT54+1,0,1,1),IF(AND($H54&gt;2.4,Z54&lt;&gt;"e",Z54&lt;&gt;"f"),DZ54*2.4/$H54,DZ54),IF($F54&lt;OFFSET($BN$9,$DT54+2,0,1,1),IF(AND($H54&gt;2.4,Z54&lt;&gt;"e",Z54&lt;&gt;"f"),DZ54*2.4/$H54,DZ54),IF($F54&lt;OFFSET($BN$9,$DT54+3,0,1,1),IF(AND($H54&gt;2.4,Z54&lt;&gt;"e",Z54&lt;&gt;"f"),DZ54*2.4/$H54,DZ54),0)))))*COS(RADIANS($G54)))</f>
        <v>0</v>
      </c>
      <c r="DW54" s="188">
        <f ca="1">IF(F54&lt;OFFSET($BM$9,DT54-1,0,1,1),0,IF(F54&lt;OFFSET($BN$9,DT54-1,0,1,1),((F54-OFFSET($BM$9,DT54-1,0,1,1))*OFFSET($CI$9,DT54-1,0,1,1))+OFFSET($BP$9,DT54-1,CQ54,1,1),IF(F54&lt;OFFSET($BN$9,DT54+0,0,1,1),((F54-OFFSET($BM$9,DT54+0,0,1,1))*OFFSET($CI$9,DT54+0,0,1,1))+OFFSET($BP$9,DT54+0,CQ54,1,1),IF(F54&lt;OFFSET($BN$9,DT54+1,0,1,1),((F54-OFFSET($BM$9,DT54+1,0,1,1))*OFFSET($CI$9,DT54+1,0,1,1))+OFFSET($BP$9,DT54+1,CQ54,1,1),IF(F54&lt;OFFSET($BN$9,DT54+2,0,1,1),((F54-OFFSET($BM$9,DT54+2,0,1,1))*OFFSET($CI$9,DT54+2,0,1,1))+OFFSET($BP$9,DT54+2,CQ54,1,1),IF(F54&lt;OFFSET($BN$9,DT54+3,0,1,1),((F54-OFFSET($BM$9,DT54+3,0,1,1))*OFFSET($CI$9,DT54+3,0,1,1))+OFFSET($BP$9,DT54+3,CQ54,1,1),0))))))</f>
        <v>0</v>
      </c>
      <c r="DX54" s="51">
        <f ca="1">IF($F54&lt;OFFSET($BM$9,$DT54-1,0,1,1),0,IF($F54&lt;OFFSET($BN$9,$DT54-1,0,1,1),IF(AND($H54&gt;2.4,Z54&lt;&gt;"e",Z54&lt;&gt;"f"),EB54*2.4/$H54,EB54),IF($F54&lt;OFFSET($BN$9,$DT54+0,0,1,1),IF(AND($H54&gt;2.4,Z54&lt;&gt;"e",Z54&lt;&gt;"f"),EB54*2.4/$H54,EB54),IF($F54&lt;OFFSET($BN$9,$DT54+1,0,1,1),IF(AND($H54&gt;2.4,Z54&lt;&gt;"e",Z54&lt;&gt;"f"),EB54*2.4/$H54,EB54),IF($F54&lt;OFFSET($BN$9,$DT54+2,0,1,1),IF(AND($H54&gt;2.4,Z54&lt;&gt;"e",Z54&lt;&gt;"f"),EB54*2.4/$H54,EB54),IF($F54&lt;OFFSET($BN$9,$DT54+3,0,1,1),IF(AND($H54&gt;2.4,Z54&lt;&gt;"e",Z54&lt;&gt;"f"),EB54*2.4/$H54,EB54),0)))))*COS(RADIANS($G54)))</f>
        <v>0</v>
      </c>
      <c r="DY54" s="188"/>
      <c r="DZ54" s="188">
        <f ca="1">IF(DU54&gt;$CR54,$CR54,DU54)</f>
        <v>0</v>
      </c>
      <c r="EA54" s="188"/>
      <c r="EB54" s="188">
        <f ca="1">IF(DW54&gt;$CR54,$CR54,DW54)</f>
        <v>0</v>
      </c>
      <c r="EC54" s="435">
        <f ca="1">IF(DV54&gt;$CR54,$CR54,DV54)</f>
        <v>0</v>
      </c>
      <c r="ED54" s="435">
        <f ca="1">EC54*F54</f>
        <v>0</v>
      </c>
      <c r="EE54" s="436">
        <f ca="1">IF(DX54&gt;$CR54,$CR54,DX54)</f>
        <v>0</v>
      </c>
      <c r="EF54" s="437">
        <f ca="1">EE54*F54</f>
        <v>0</v>
      </c>
      <c r="EG54" s="613" t="str">
        <f>IF(D54=BG$12,BG$12,"")</f>
        <v/>
      </c>
      <c r="EH54" s="614" t="str">
        <f>IF(D54=BG$13,BG$13,"")</f>
        <v/>
      </c>
      <c r="EI54" s="611">
        <f>IF(EG54=BG$12,M54,0)</f>
        <v>0</v>
      </c>
      <c r="EJ54" s="451">
        <f>IF(EG54=BG$12,O54,0)</f>
        <v>0</v>
      </c>
      <c r="EK54" s="451">
        <f>IF(EH54=BG$13,M54,0)</f>
        <v>0</v>
      </c>
      <c r="EL54" s="612">
        <f>IF(EH54=BG$13,O54,0)</f>
        <v>0</v>
      </c>
      <c r="EM54" s="426" t="str">
        <f ca="1">IF(AND(Z54&lt;&gt;"t",Z54&lt;&gt;"f"),"",IF(AND(EN54=$BH$13,K54=$BH$12),"NotOpt",IF(K54&lt;&gt;EN54,"Error","")))</f>
        <v/>
      </c>
      <c r="EN54" s="490" t="str">
        <f>IF($BG$28=1,$BH$13,$BH$12)</f>
        <v>120 BU's</v>
      </c>
      <c r="EO54" s="426" t="str">
        <f>K54</f>
        <v xml:space="preserve"> </v>
      </c>
      <c r="ER54" s="439" t="str">
        <f ca="1">IF(H54=0," ",H54)</f>
        <v xml:space="preserve"> </v>
      </c>
      <c r="ES54" s="440" t="str">
        <f ca="1">IF(ER54&lt;&gt;" ",IF(ER54&lt;&gt;ER$7,"Changed",""),"")</f>
        <v/>
      </c>
      <c r="ET54" s="440">
        <f ca="1">IF(ER54&lt;&gt;" ",IF(ER54&lt;&gt;ER$7,1,0),0)</f>
        <v>0</v>
      </c>
      <c r="EU54" s="957" t="str">
        <f ca="1">IF(I54=" "," ",IF(F54&lt;OFFSET($BM$9,CL54-1,0,1,1),1,""))</f>
        <v xml:space="preserve"> </v>
      </c>
      <c r="EW54" s="427"/>
      <c r="EX54"/>
      <c r="EY54"/>
      <c r="EZ54"/>
      <c r="FA54"/>
      <c r="FB54"/>
      <c r="FC54"/>
      <c r="FD54"/>
      <c r="FE54"/>
      <c r="FF54"/>
      <c r="FG54"/>
      <c r="FH54"/>
      <c r="FI54"/>
      <c r="FJ54"/>
      <c r="FK54"/>
      <c r="FL54"/>
      <c r="FM54"/>
      <c r="FN54"/>
      <c r="FO54"/>
    </row>
    <row r="55" spans="1:171" ht="17.100000000000001" customHeight="1" thickBot="1">
      <c r="A55" s="2685"/>
      <c r="B55" s="2686" t="s">
        <v>8</v>
      </c>
      <c r="C55" s="2687"/>
      <c r="D55" s="1461" t="s">
        <v>8</v>
      </c>
      <c r="E55" s="659"/>
      <c r="F55" s="659"/>
      <c r="G55" s="659"/>
      <c r="H55" s="659"/>
      <c r="I55" s="1462"/>
      <c r="J55" s="1365" t="str">
        <f ca="1">(CONCATENATE(B50,$BE$54))</f>
        <v>H  Line:  Min. Requirement</v>
      </c>
      <c r="K55" s="23"/>
      <c r="L55" s="1019">
        <f ca="1">L$5</f>
        <v>0</v>
      </c>
      <c r="M55" s="48">
        <f ca="1">IF(B50=B44,SUM(M50:M54)+M49,SUM(M50:M54))</f>
        <v>0</v>
      </c>
      <c r="N55" s="1019">
        <f ca="1">N$5</f>
        <v>0</v>
      </c>
      <c r="O55" s="125">
        <f ca="1">IF(B50=B44,SUM(O50:O54)+O49,SUM(O50:O54))</f>
        <v>0</v>
      </c>
      <c r="P55" s="139"/>
      <c r="Q55" s="42" t="str">
        <f ca="1">IF(B50=B56,"",IF(AND(M55&gt;0,L55=L$5,OR(M55&lt;$M$105,M55&lt;$BF$3)),"Achieved &lt; Min Req per Line",IF(AND(O55&gt;0,N55=N$5,OR(O55&lt;$O$105,O55&lt;$BF$3)),"Achieved &lt; Min Req per Line",IF(AND(M55&gt;0,L55&gt;M55),"More Required on this line",IF(AND(O55&gt;0,N55&gt;O55),"More Required on this line",IF(AND(L55&gt;0,L55&lt;$BF$3),$BE$59,IF(AND(N55&gt;0,N55&lt;$BF$3),$BE$59,"")))))))</f>
        <v/>
      </c>
      <c r="R55" s="52"/>
      <c r="S55" s="52"/>
      <c r="T55" s="52"/>
      <c r="U55" s="1378"/>
      <c r="V55" s="52"/>
      <c r="W55" s="898"/>
      <c r="X55" s="898"/>
      <c r="Y55" s="896"/>
      <c r="Z55" s="52"/>
      <c r="AA55" s="51"/>
      <c r="AB55" s="1364"/>
      <c r="AK55" s="63" t="str">
        <f>'Custom Elements'!B16</f>
        <v xml:space="preserve">  </v>
      </c>
      <c r="AL55" s="860" t="str">
        <f>'Custom Elements'!C16</f>
        <v>Custom8</v>
      </c>
      <c r="AM55" s="11">
        <f>'Custom Elements'!D16</f>
        <v>9.9999999999999996E-76</v>
      </c>
      <c r="AN55" s="7">
        <f>'Custom Elements'!E16</f>
        <v>0</v>
      </c>
      <c r="AO55" s="7">
        <f>'Custom Elements'!F16</f>
        <v>0</v>
      </c>
      <c r="AP55" s="762" t="str">
        <f>'Custom Elements'!G16</f>
        <v>B</v>
      </c>
      <c r="AQ55" s="1777" t="str">
        <f>'Custom Elements'!H16</f>
        <v>Single</v>
      </c>
      <c r="AR55" s="1775" t="str">
        <f>'Custom Elements'!I16</f>
        <v>Yes</v>
      </c>
      <c r="AS55" s="442" t="str">
        <f>'Custom Elements'!J16</f>
        <v>Yes</v>
      </c>
      <c r="AT55" s="1150"/>
      <c r="AU55" s="1150"/>
      <c r="AZ55" s="442" t="str">
        <f>IF(AND('Custom Elements'!J16="Yes",'Custom Elements'!I16="Yes"),"T",IF('Custom Elements'!J16="Yes","F",IF('Custom Elements'!I16="Yes","H","E")))</f>
        <v>T</v>
      </c>
      <c r="BD55" s="638"/>
      <c r="BE55" s="1020"/>
      <c r="BF55" s="1020"/>
      <c r="BG55" s="1020"/>
      <c r="BH55" s="479"/>
      <c r="BI55" s="759"/>
      <c r="BJ55" s="897">
        <f t="shared" si="27"/>
        <v>47</v>
      </c>
      <c r="BK55" s="1213"/>
      <c r="BL55" s="1214"/>
      <c r="BM55" s="1215"/>
      <c r="BN55" s="1215"/>
      <c r="BO55" s="1215"/>
      <c r="BP55" s="1215"/>
      <c r="BQ55" s="1216"/>
      <c r="BR55" s="1215"/>
      <c r="BS55" s="1215"/>
      <c r="BT55" s="1215"/>
      <c r="BU55" s="1215"/>
      <c r="BV55" s="1216"/>
      <c r="BW55" s="1217"/>
      <c r="BX55" s="1215"/>
      <c r="BY55" s="1216"/>
      <c r="BZ55" s="1216"/>
      <c r="CA55" s="1216"/>
      <c r="CB55" s="1216"/>
      <c r="CC55" s="1216"/>
      <c r="CD55" s="1216"/>
      <c r="CE55" s="1216"/>
      <c r="CF55" s="1216"/>
      <c r="CG55" s="1216"/>
      <c r="CH55" s="1215"/>
      <c r="CI55" s="1218"/>
      <c r="CJ55" s="759"/>
      <c r="CK55" s="188"/>
      <c r="CL55" s="979"/>
      <c r="CN55" s="497"/>
      <c r="CO55" s="497"/>
      <c r="CQ55" s="51"/>
      <c r="CR55" s="51" t="s">
        <v>8</v>
      </c>
      <c r="CS55" s="51"/>
      <c r="CT55" s="51" t="s">
        <v>8</v>
      </c>
      <c r="CU55" s="51"/>
      <c r="CV55" s="51" t="s">
        <v>8</v>
      </c>
      <c r="CW55" s="51"/>
      <c r="CX55" s="51"/>
      <c r="CY55" s="51"/>
      <c r="CZ55" s="51"/>
      <c r="DD55" s="758"/>
      <c r="DF55" s="52"/>
      <c r="DG55" s="51"/>
      <c r="DH55" s="51"/>
      <c r="DI55" s="51"/>
      <c r="DJ55" s="51"/>
      <c r="DK55" s="51"/>
      <c r="DL55" s="51"/>
      <c r="DM55" s="51"/>
      <c r="DN55" s="51"/>
      <c r="DO55" s="435"/>
      <c r="DP55" s="435"/>
      <c r="DQ55" s="868"/>
      <c r="DR55" s="868"/>
      <c r="DU55" s="188"/>
      <c r="DV55" s="188" t="s">
        <v>8</v>
      </c>
      <c r="DW55" s="188"/>
      <c r="DX55" s="188" t="s">
        <v>8</v>
      </c>
      <c r="DY55" s="188"/>
      <c r="DZ55" s="188"/>
      <c r="EA55" s="188"/>
      <c r="EB55" s="188"/>
      <c r="EC55" s="435"/>
      <c r="ED55" s="435"/>
      <c r="EE55" s="868"/>
      <c r="EF55" s="867"/>
      <c r="EG55" s="613"/>
      <c r="EH55" s="614"/>
      <c r="EI55" s="613"/>
      <c r="EJ55" s="435"/>
      <c r="EK55" s="451"/>
      <c r="EL55" s="612"/>
      <c r="EN55" s="947"/>
      <c r="ER55" s="441"/>
      <c r="ES55" s="440"/>
      <c r="ET55" s="440"/>
      <c r="EU55" s="957"/>
      <c r="EW55" s="427"/>
      <c r="EX55"/>
      <c r="EY55"/>
      <c r="EZ55"/>
      <c r="FA55"/>
      <c r="FB55"/>
      <c r="FC55"/>
      <c r="FD55"/>
      <c r="FE55"/>
      <c r="FF55"/>
      <c r="FG55"/>
      <c r="FH55"/>
      <c r="FI55"/>
      <c r="FJ55"/>
      <c r="FK55"/>
      <c r="FL55"/>
      <c r="FM55"/>
      <c r="FN55"/>
      <c r="FO55"/>
    </row>
    <row r="56" spans="1:171" ht="17.100000000000001" customHeight="1" thickBot="1">
      <c r="A56" s="2685"/>
      <c r="B56" s="1369" t="str">
        <f ca="1">S56</f>
        <v>I</v>
      </c>
      <c r="C56" s="684" t="str">
        <f>IF(OR(F56=0,I56="",I56=" ")," ",$V56)</f>
        <v xml:space="preserve"> </v>
      </c>
      <c r="D56" s="1033"/>
      <c r="E56" s="1360" t="s">
        <v>8</v>
      </c>
      <c r="F56" s="202"/>
      <c r="G56" s="1416"/>
      <c r="H56" s="199" t="str">
        <f ca="1">IF(OR(F56=0,Z56="E",Z56="f")," ",'Project Demand'!E$45)</f>
        <v xml:space="preserve"> </v>
      </c>
      <c r="I56" s="631" t="str">
        <f>IF($I$6&lt;&gt;$BG$8," ",AB56)</f>
        <v xml:space="preserve"> </v>
      </c>
      <c r="J56" s="43" t="str">
        <f ca="1">IF(OR(I56=" ",I56="")," ",OFFSET($BO$9,CL56-1,0-4,1,1))</f>
        <v xml:space="preserve"> </v>
      </c>
      <c r="K56" s="55" t="str">
        <f>IF(OR(I56=" ",I56="")," ",IF(OR(Z56="e",Z56="h"),"SD",BG$24))</f>
        <v xml:space="preserve"> </v>
      </c>
      <c r="L56" s="49">
        <f ca="1">CW56</f>
        <v>0</v>
      </c>
      <c r="M56" s="49">
        <f ca="1">CY56</f>
        <v>0</v>
      </c>
      <c r="N56" s="50">
        <f t="shared" ref="N56:O60" ca="1" si="31">DA56</f>
        <v>0</v>
      </c>
      <c r="O56" s="126">
        <f t="shared" ca="1" si="31"/>
        <v>0</v>
      </c>
      <c r="P56" s="140"/>
      <c r="Q56" s="752" t="str">
        <f ca="1">IF(AND(OR(Z56="t",Z56="f"),K56=$BH$11),"No Floor!  Change Floor Type",IF(OR(I56=" ",I56="")," ",IF(F56&lt;OFFSET($BM$9,CL56-1,0,1,1),"check L(m)",DE56&amp;IF(AND(DP56&gt;=CY56,DR56&gt;=DB56),IF(AND(ED56&gt;=DP56,EF56&gt;=DR56),CONCATENATE(DS56," will provide same result"),CONCATENATE(CO56," will provide same result")),IF((DP56&gt;=CY56),CONCATENATE(CO56," provides same result in WIND"),IF((DR56&gt;=DB56),CONCATENATE(CO56," provides same result in EQ"),""))))))&amp;IF(ISERROR(FIND("pile",I56,1)),"",IF(INT(F56)&lt;&gt;F56,"Pile!  Use Whole Numbers Only",""))</f>
        <v xml:space="preserve"> </v>
      </c>
      <c r="R56" s="52">
        <f ca="1">IF(T50&lt;&gt;2,(COLUMN(INDIRECT(B50&amp;1))+1),U56)</f>
        <v>9</v>
      </c>
      <c r="S56" s="1372" t="str">
        <f ca="1">SUBSTITUTE(ADDRESS(1,R56,4),"1","")</f>
        <v>I</v>
      </c>
      <c r="T56" s="451">
        <f ca="1">IF(AND(ISTEXT(B56),SUBSTITUTE(SUBSTITUTE(SUBSTITUTE(SUBSTITUTE(SUBSTITUTE(SUBSTITUTE(SUBSTITUTE(SUBSTITUTE(SUBSTITUTE(SUBSTITUTE(SUBSTITUTE(SUBSTITUTE(SUBSTITUTE(SUBSTITUTE(SUBSTITUTE(SUBSTITUTE(SUBSTITUTE(SUBSTITUTE(SUBSTITUTE(SUBSTITUTE(SUBSTITUTE(SUBSTITUTE(SUBSTITUTE(SUBSTITUTE(SUBSTITUTE(SUBSTITUTE(LOWER(B56),"a",),"b",),"c",),"d",),"e",),"f",),"g",),"h",),"i",),"j",),"k",),"l",),"m",),"n",),"o",),"p",),"q",),"r",),"s",),"t",),"u",),"v",),"w",),"x",),"y",),"z",)=""),1,2)</f>
        <v>1</v>
      </c>
      <c r="U56" s="1377">
        <v>9</v>
      </c>
      <c r="V56" s="52" t="str">
        <f ca="1">IF(AND(B$5=$BF$9,OR(I56=BH$16,I56=BH$17))," ",IF(ISNUMBER(B$56),(CONCATENATE(B$56,".",W56)),(CONCATENATE(B$56,W56))))</f>
        <v>I0</v>
      </c>
      <c r="W56" s="9">
        <f ca="1">IF(B50=B56,W54+X56,X56)</f>
        <v>0</v>
      </c>
      <c r="X56" s="9">
        <f>IF(AND(B$5=$BF$9,OR($I56=$BH$16,$I56=$BH$17,$I56=" ",$I56="",$F56=0)),0,IF(OR($I56=" ",$I56="",$F56=0),0,1))</f>
        <v>0</v>
      </c>
      <c r="Y56" s="896">
        <f ca="1">IF(AND(M61&gt;0,B56&lt;&gt;B62),1,0)</f>
        <v>0</v>
      </c>
      <c r="Z56" s="52" t="str">
        <f ca="1">IF(I56=" "," ",OFFSET($BM$9,$CL56-1,8,1,1))</f>
        <v xml:space="preserve"> </v>
      </c>
      <c r="AA56" s="51" t="str">
        <f>IF(G56&gt;=45,"WA","")</f>
        <v/>
      </c>
      <c r="AB56" s="1364" t="str">
        <f>IF(F56&lt;&gt;"",IF(OR(D56=$BG$12,D56=$BG$13),IF(E56&lt;&gt;$BG$17,$BF$12,$BF$13),IF(E56&lt;&gt;$BG$17,$BF$12,$BF$13))," ")</f>
        <v xml:space="preserve"> </v>
      </c>
      <c r="AC56" s="1"/>
      <c r="AK56" s="63" t="str">
        <f>'Custom Elements'!B17</f>
        <v xml:space="preserve">  </v>
      </c>
      <c r="AL56" s="860" t="str">
        <f>'Custom Elements'!C17</f>
        <v>Custom9</v>
      </c>
      <c r="AM56" s="11">
        <f>'Custom Elements'!D17</f>
        <v>9.9999999999999996E-76</v>
      </c>
      <c r="AN56" s="7">
        <f>'Custom Elements'!E17</f>
        <v>0</v>
      </c>
      <c r="AO56" s="7">
        <f>'Custom Elements'!F17</f>
        <v>0</v>
      </c>
      <c r="AP56" s="762" t="str">
        <f>'Custom Elements'!G17</f>
        <v>B</v>
      </c>
      <c r="AQ56" s="1777" t="str">
        <f>'Custom Elements'!H17</f>
        <v>Single</v>
      </c>
      <c r="AR56" s="1775" t="str">
        <f>'Custom Elements'!I17</f>
        <v>Yes</v>
      </c>
      <c r="AS56" s="442" t="str">
        <f>'Custom Elements'!J17</f>
        <v>Yes</v>
      </c>
      <c r="AT56" s="1150"/>
      <c r="AU56" s="1150"/>
      <c r="AZ56" s="442" t="str">
        <f>IF(AND('Custom Elements'!J17="Yes",'Custom Elements'!I17="Yes"),"T",IF('Custom Elements'!J17="Yes","F",IF('Custom Elements'!I17="Yes","H","E")))</f>
        <v>T</v>
      </c>
      <c r="BD56" s="638"/>
      <c r="BE56" s="1020"/>
      <c r="BF56" s="1020"/>
      <c r="BG56" s="1020"/>
      <c r="BH56" s="479"/>
      <c r="BI56" s="759"/>
      <c r="BJ56" s="897">
        <f t="shared" si="27"/>
        <v>48</v>
      </c>
      <c r="BK56" s="768" t="str">
        <f>BK50</f>
        <v xml:space="preserve">EPB </v>
      </c>
      <c r="BL56" s="765" t="str">
        <f>Table!C10</f>
        <v>ESSN</v>
      </c>
      <c r="BM56" s="454">
        <f>Table!D10</f>
        <v>0.4</v>
      </c>
      <c r="BN56" s="454">
        <f>BM57</f>
        <v>0.6</v>
      </c>
      <c r="BO56" s="454">
        <f>Table!E10</f>
        <v>79</v>
      </c>
      <c r="BP56" s="924">
        <f>Table!F10</f>
        <v>74</v>
      </c>
      <c r="BQ56" s="920"/>
      <c r="BR56" s="768" t="str">
        <f>Table!G10</f>
        <v>ES-N</v>
      </c>
      <c r="BS56" s="454" t="str">
        <f>Table!G11</f>
        <v>ES-N</v>
      </c>
      <c r="BT56" s="454" t="str">
        <f>Table!H10</f>
        <v>I</v>
      </c>
      <c r="BU56" s="924" t="s">
        <v>242</v>
      </c>
      <c r="BV56" s="1230" t="str">
        <f>Table!AI78</f>
        <v>ESSN</v>
      </c>
      <c r="BW56" s="1229">
        <f>BJ56</f>
        <v>48</v>
      </c>
      <c r="BX56" s="924" t="str">
        <f>Table!H11</f>
        <v>Double</v>
      </c>
      <c r="CH56" s="768">
        <f>IF(BN56=999,0,(BO57-BO56)/(BN56-BM56))</f>
        <v>55.000000000000014</v>
      </c>
      <c r="CI56" s="924">
        <f>IF(BN56=999,0,(BP57-BP56)/(BN56-BM56))</f>
        <v>45.000000000000007</v>
      </c>
      <c r="CJ56" s="759"/>
      <c r="CK56" s="188"/>
      <c r="CL56" s="979">
        <f>VLOOKUP(I56,Prodlink,2,0)</f>
        <v>0</v>
      </c>
      <c r="CN56" s="497">
        <f t="shared" ca="1" si="26"/>
        <v>0</v>
      </c>
      <c r="CO56" s="497">
        <f ca="1">OFFSET($CH$9,CL56-1,-15,1,1)</f>
        <v>0</v>
      </c>
      <c r="CQ56" s="51">
        <v>0</v>
      </c>
      <c r="CR56" s="51">
        <f>IF(K56=$BH$12,$BH$23,IF(K56=$BH$13,$BH$24,10000))</f>
        <v>10000</v>
      </c>
      <c r="CS56" s="51">
        <f ca="1">IF(F56&lt;OFFSET($BM$9,CL56-1,0,1,1),0,IF(F56&lt;OFFSET($BN$9,CL56-1,0,1,1),((F56-OFFSET($BM$9,CL56-1,0,1,1))*OFFSET($CH$9,CL56-1,0,1,1))+OFFSET($BO$9,CL56-1,CQ56,1,1),IF(F56&lt;OFFSET($BN$9,CL56+0,0,1,1),((F56-OFFSET($BM$9,CL56+0,0,1,1))*OFFSET($CH$9,CL56+0,0,1,1))+OFFSET($BO$9,CL56+0,CQ56,1,1),IF(F56&lt;OFFSET($BN$9,CL56+1,0,1,1),((F56-OFFSET($BM$9,CL56+1,0,1,1))*OFFSET($CH$9,CL56+1,0,1,1))+OFFSET($BO$9,CL56+1,CQ56,1,1),IF(F56&lt;OFFSET($BN$9,CL56+2,0,1,1),((F56-OFFSET($BM$9,CL56+2,0,1,1))*OFFSET($CH$9,CL56+2,0,1,1))+OFFSET($BO$9,CL56+2,CQ56,1,1),IF(F56&lt;OFFSET($BN$9,CL56+3,0,1,1),((F56-OFFSET($BM$9,CL56+3,0,1,1))*OFFSET($CH$9,CL56+3,0,1,1))+OFFSET($BO$9,CL56+3,CQ56,1,1),0))))))</f>
        <v>0</v>
      </c>
      <c r="CT56" s="51">
        <f ca="1">IF($F56&lt;OFFSET($BM$9,$CL56-1,0,1,1),0,IF($F56&lt;OFFSET($BN$9,$CL56-1,0,1,1),IF(AND($H56&gt;2.4,Z56&lt;&gt;"e",Z56&lt;&gt;"f"),CX56*2.4/$H56,CX56),IF($F56&lt;OFFSET($BN$9,$CL56+0,0,1,1),IF(AND($H56&gt;2.4,Z56&lt;&gt;"e",Z56&lt;&gt;"f"),CX56*2.4/$H56,CX56),IF($F56&lt;OFFSET($BN$9,$CL56+1,0,1,1),IF(AND($H56&gt;2.4,Z56&lt;&gt;"e",Z56&lt;&gt;"f"),CX56*2.4/$H56,CX56),IF($F56&lt;OFFSET($BN$9,CL56+2,0,1,1),IF(AND($H56&gt;2.4,Z56&lt;&gt;"e",Z56&lt;&gt;"f"),CX56*2.4/$H56,CX56),IF($F56&lt;OFFSET($BN$9,CL56+3,0,1,1),IF(AND($H56&gt;2.4,Z56&lt;&gt;"e",Z56&lt;&gt;"f"),CX56*2.4/$H56,CX56),0)))))*COS(RADIANS($G56)))</f>
        <v>0</v>
      </c>
      <c r="CU56" s="51">
        <f ca="1">IF(F56&lt;OFFSET($BM$9,CL56-1,0,1,1),0,IF(F56&lt;OFFSET($BN$9,CL56-1,0,1,1),((F56-OFFSET($BM$9,CL56-1,0,1,1))*OFFSET($CI$9,CL56-1,0,1,1))+OFFSET($BP$9,CL56-1,CQ56,1,1),IF(F56&lt;OFFSET($BN$9,CL56+0,0,1,1),((F56-OFFSET($BM$9,CL56+0,0,1,1))*OFFSET($CI$9,CL56+0,0,1,1))+OFFSET($BP$9,CL56+0,CQ56,1,1),IF(F56&lt;OFFSET($BN$9,CL56+1,0,1,1),((F56-OFFSET($BM$9,CL56+1,0,1,1))*OFFSET($CI$9,CL56+1,0,1,1))+OFFSET($BP$9,CL56+1,CQ56,1,1),IF(F56&lt;OFFSET($BN$9,CL56+2,0,1,1),((F56-OFFSET($BM$9,CL56+2,0,1,1))*OFFSET($CI$9,CL56+2,0,1,1))+OFFSET($BP$9,CL56+2,CQ56,1,1),IF(F56&lt;OFFSET($BN$9,CL56+3,0,1,1),((F56-OFFSET($BM$9,CL56+3,0,1,1))*OFFSET($CI$9,CL56+3,0,1,1))+OFFSET($BP$9,CL56+3,CQ56,1,1),0))))))</f>
        <v>0</v>
      </c>
      <c r="CV56" s="51">
        <f ca="1">IF($F56&lt;OFFSET($BM$9,$CL56-1,0,1,1),0,IF($F56&lt;OFFSET($BN$9,$CL56-1,0,1,1),IF(AND($H56&gt;2.4,Z56&lt;&gt;"e",Z56&lt;&gt;"f"),CZ56*2.4/$H56,CZ56),IF($F56&lt;OFFSET($BN$9,$CL56+0,0,1,1),IF(AND($H56&gt;2.4,Z56&lt;&gt;"e",Z56&lt;&gt;"f"),CZ56*2.4/$H56,CZ56),IF($F56&lt;OFFSET($BN$9,$CL56+1,0,1,1),IF(AND($H56&gt;2.4,Z56&lt;&gt;"e",Z56&lt;&gt;"f"),CZ56*2.4/$H56,CZ56),IF($F56&lt;OFFSET($BN$9,$CL56+2,0,1,1),IF(AND($H56&gt;2.4,Z56&lt;&gt;"e",Z56&lt;&gt;"f"),CZ56*2.4/$H56,CZ56),IF($F56&lt;OFFSET($BN$9,$CL56+3,0,1,1),IF(AND($H56&gt;2.4,Z56&lt;&gt;"e",Z56&lt;&gt;"f"),CZ56*2.4/$H56,CZ56),0)))))*COS(RADIANS($G56)))</f>
        <v>0</v>
      </c>
      <c r="CW56" s="51">
        <f ca="1">IF(CT56&gt;CR56,CR56,CT56)</f>
        <v>0</v>
      </c>
      <c r="CX56" s="51">
        <f ca="1">IF(CS56&gt;$CR56,$CR56,CS56)</f>
        <v>0</v>
      </c>
      <c r="CY56" s="51">
        <f ca="1">CW56*F56</f>
        <v>0</v>
      </c>
      <c r="CZ56" s="51">
        <f ca="1">IF($CU56&gt;$CR56,$CR56,$CU56)</f>
        <v>0</v>
      </c>
      <c r="DA56" s="51">
        <f ca="1">IF(CV56&gt;CR56,CR56,CV56)</f>
        <v>0</v>
      </c>
      <c r="DB56" s="51">
        <f ca="1">DA56*F56</f>
        <v>0</v>
      </c>
      <c r="DC56" s="993">
        <v>1</v>
      </c>
      <c r="DD56" s="758" t="str">
        <f>IF(OR(D56=BG$12,D56=BG$13),"External",IF(D56=BG$14,"Internal"," "))</f>
        <v xml:space="preserve"> </v>
      </c>
      <c r="DE56" s="51" t="str">
        <f t="shared" ca="1" si="2"/>
        <v/>
      </c>
      <c r="DF56" s="52" t="str">
        <f t="shared" ca="1" si="3"/>
        <v xml:space="preserve"> </v>
      </c>
      <c r="DG56" s="51">
        <f ca="1">IF(F56&lt;OFFSET($BM$9,CN56-1,0,1,1),0,IF(F56&lt;OFFSET($BN$9,CN56-1,0,1,1),((F56-OFFSET($BM$9,CN56-1,0,1,1))*OFFSET($CH$9,CN56-1,0,1,1))+OFFSET($BO$9,CN56-1,CQ56,1,1),IF(F56&lt;OFFSET($BN$9,CN56+0,0,1,1),((F56-OFFSET($BM$9,CN56+0,0,1,1))*OFFSET($CH$9,CN56+0,0,1,1))+OFFSET($BO$9,CN56+0,CQ56,1,1),IF(F56&lt;OFFSET($BN$9,CN56+1,0,1,1),((F56-OFFSET($BM$9,CN56+1,0,1,1))*OFFSET($CH$9,CN56+1,0,1,1))+OFFSET($BO$9,CN56+1,CQ56,1,1),IF(F56&lt;OFFSET($BN$9,CN56+2,0,1,1),((F56-OFFSET($BM$9,CN56+2,0,1,1))*OFFSET($CH$9,CN56+2,0,1,1))+OFFSET($BO$9,CN56+2,CQ56,1,1),IF(F56&lt;OFFSET($BN$9,CN56+3,0,1,1),((F56-OFFSET($BM$9,CN56+3,0,1,1))*OFFSET($CH$9,CN56+3,0,1,1))+OFFSET($BO$9,CN56+3,CQ56,1,1),0))))))</f>
        <v>0</v>
      </c>
      <c r="DH56" s="51">
        <f ca="1">IF($F56&lt;OFFSET($BM$9,$CN56-1,0,1,1),0,IF($F56&lt;OFFSET($BN$9,$CN56-1,0,1,1),IF(AND($H56&gt;2.4,Z56&lt;&gt;"e",Z56&lt;&gt;"f"),DL56*2.4/$H56,DL56),IF($F56&lt;OFFSET($BN$9,$CN56+0,0,1,1),IF(AND($H56&gt;2.4,Z56&lt;&gt;"e",Z56&lt;&gt;"f"),DL56*2.4/$H56,DL56),IF($F56&lt;OFFSET($BN$9,$CN56+1,0,1,1),IF(AND($H56&gt;2.4,Z56&lt;&gt;"e",Z56&lt;&gt;"f"),DL56*2.4/$H56,DL56),IF($F56&lt;OFFSET($BN$9,$CN56+2,0,1,1),IF(AND($H56&gt;2.4,Z56&lt;&gt;"e",Z56&lt;&gt;"f"),DL56*2.4/$H56,DL56),IF($F56&lt;OFFSET($BN$9,$CN56+3,0,1,1),IF(AND($H56&gt;2.4,Z56&lt;&gt;"e",Z56&lt;&gt;"f"),DL56*2.4/$H56,DL56),0)))))*COS(RADIANS($G56)))</f>
        <v>0</v>
      </c>
      <c r="DI56" s="51">
        <f ca="1">IF(F56&lt;OFFSET($BM$9,CN56-1,0,1,1),0,IF(F56&lt;OFFSET($BN$9,CN56-1,0,1,1),((F56-OFFSET($BM$9,CN56-1,0,1,1))*OFFSET($CI$9,CN56-1,0,1,1))+OFFSET($BP$9,CN56-1,CQ56,1,1),IF(F56&lt;OFFSET($BN$9,CN56+0,0,1,1),((F56-OFFSET($BM$9,CN56+0,0,1,1))*OFFSET($CI$9,CN56+0,0,1,1))+OFFSET($BP$9,CN56+0,CQ56,1,1),IF(F56&lt;OFFSET($BN$9,CN56+1,0,1,1),((F56-OFFSET($BM$9,CN56+1,0,1,1))*OFFSET($CI$9,CN56+1,0,1,1))+OFFSET($BP$9,CN56+1,CQ56,1,1),IF(F56&lt;OFFSET($BN$9,CN56+2,0,1,1),((F56-OFFSET($BM$9,CN56+2,0,1,1))*OFFSET($CI$9,CN56+2,0,1,1))+OFFSET($BP$9,CN56+2,CQ56,1,1),IF(F56&lt;OFFSET($BN$9,CN56+3,0,1,1),((F56-OFFSET($BM$9,CN56+3,0,1,1))*OFFSET($CI$9,CN56+3,0,1,1))+OFFSET($BP$9,CN56+3,CQ56,1,1),0))))))</f>
        <v>0</v>
      </c>
      <c r="DJ56" s="51">
        <f ca="1">IF($F56&lt;OFFSET($BM$9,$CN56-1,0,1,1),0,IF($F56&lt;OFFSET($BN$9,$CN56-1,0,1,1),IF(AND($H56&gt;2.4,Z56&lt;&gt;"e",Z56&lt;&gt;"f"),DN56*2.4/$H56,DN56),IF($F56&lt;OFFSET($BN$9,$CN56+0,0,1,1),IF(AND($H56&gt;2.4,Z56&lt;&gt;"e",Z56&lt;&gt;"f"),DN56*2.4/$H56,DN56),IF($F56&lt;OFFSET($BN$9,$CN56+1,0,1,1),IF(AND($H56&gt;2.4,Z56&lt;&gt;"e",Z56&lt;&gt;"f"),DN56*2.4/$H56,DN56),IF($F56&lt;OFFSET($BN$9,$CN56+2,0,1,1),IF(AND($H56&gt;2.4,Z56&lt;&gt;"e",Z56&lt;&gt;"f"),DN56*2.4/$H56,DN56),IF($F56&lt;OFFSET($BN$9,$CN56+3,0,1,1),IF(AND($H56&gt;2.4,Z56&lt;&gt;"e",Z56&lt;&gt;"f"),DN56*2.4/$H56,DN56),0)))))*COS(RADIANS($G56)))</f>
        <v>0</v>
      </c>
      <c r="DK56" s="51"/>
      <c r="DL56" s="51">
        <f ca="1">IF(DG56&gt;$CR56,$CR56,DG56)</f>
        <v>0</v>
      </c>
      <c r="DM56" s="51"/>
      <c r="DN56" s="51">
        <f ca="1">IF(DI56&gt;$CR56,$CR56,DI56)</f>
        <v>0</v>
      </c>
      <c r="DO56" s="435">
        <f ca="1">IF(DH56&gt;$CR56,$CR56,DH56)</f>
        <v>0</v>
      </c>
      <c r="DP56" s="435">
        <f ca="1">DO56*F56</f>
        <v>0</v>
      </c>
      <c r="DQ56" s="436">
        <f ca="1">IF(DJ56&gt;$CR56,$CR56,DJ56)</f>
        <v>0</v>
      </c>
      <c r="DR56" s="437">
        <f ca="1">DQ56*F56</f>
        <v>0</v>
      </c>
      <c r="DS56" s="426">
        <f ca="1">OFFSET($CH$9,CL56-1,-15,1,1)</f>
        <v>0</v>
      </c>
      <c r="DT56" s="426">
        <f ca="1">VLOOKUP(DS56,Prodlink,2,0)</f>
        <v>0</v>
      </c>
      <c r="DU56" s="188">
        <f ca="1">IF(F56&lt;OFFSET($BM$9,DT56-1,0,1,1),0,IF(F56&lt;OFFSET($BN$9,DT56-1,0,1,1),((F56-OFFSET($BM$9,DT56-1,0,1,1))*OFFSET($CH$9,DT56-1,0,1,1))+OFFSET($BO$9,DT56-1,CQ56,1,1),IF(F56&lt;OFFSET($BN$9,DT56+0,0,1,1),((F56-OFFSET($BM$9,DT56+0,0,1,1))*OFFSET($CH$9,DT56+0,0,1,1))+OFFSET($BO$9,DT56+0,CQ56,1,1),IF(F56&lt;OFFSET($BN$9,DT56+1,0,1,1),((F56-OFFSET($BM$9,DT56+1,0,1,1))*OFFSET($CH$9,DT56+1,0,1,1))+OFFSET($BO$9,DT56+1,CQ56,1,1),IF(F56&lt;OFFSET($BN$9,DT56+2,0,1,1),((F56-OFFSET($BM$9,DT56+2,0,1,1))*OFFSET($CH$9,DT56+2,0,1,1))+OFFSET($BO$9,DT56+2,CQ56,1,1),IF(F56&lt;OFFSET($BN$9,DT56+3,0,1,1),((F56-OFFSET($BM$9,DT56+3,0,1,1))*OFFSET($CH$9,DT56+3,0,1,1))+OFFSET($BO$9,DT56+3,CQ56,1,1),0))))))</f>
        <v>0</v>
      </c>
      <c r="DV56" s="51">
        <f ca="1">IF($F56&lt;OFFSET($BM$9,$DT56-1,0,1,1),0,IF($F56&lt;OFFSET($BN$9,$DT56-1,0,1,1),IF(AND($H56&gt;2.4,Z56&lt;&gt;"e",Z56&lt;&gt;"f"),DZ56*2.4/$H56,DZ56),IF($F56&lt;OFFSET($BN$9,$DT56+0,0,1,1),IF(AND($H56&gt;2.4,Z56&lt;&gt;"e",Z56&lt;&gt;"f"),DZ56*2.4/$H56,DZ56),IF($F56&lt;OFFSET($BN$9,$DT56+1,0,1,1),IF(AND($H56&gt;2.4,Z56&lt;&gt;"e",Z56&lt;&gt;"f"),DZ56*2.4/$H56,DZ56),IF($F56&lt;OFFSET($BN$9,$DT56+2,0,1,1),IF(AND($H56&gt;2.4,Z56&lt;&gt;"e",Z56&lt;&gt;"f"),DZ56*2.4/$H56,DZ56),IF($F56&lt;OFFSET($BN$9,$DT56+3,0,1,1),IF(AND($H56&gt;2.4,Z56&lt;&gt;"e",Z56&lt;&gt;"f"),DZ56*2.4/$H56,DZ56),0)))))*COS(RADIANS($G56)))</f>
        <v>0</v>
      </c>
      <c r="DW56" s="188">
        <f ca="1">IF(F56&lt;OFFSET($BM$9,DT56-1,0,1,1),0,IF(F56&lt;OFFSET($BN$9,DT56-1,0,1,1),((F56-OFFSET($BM$9,DT56-1,0,1,1))*OFFSET($CI$9,DT56-1,0,1,1))+OFFSET($BP$9,DT56-1,CQ56,1,1),IF(F56&lt;OFFSET($BN$9,DT56+0,0,1,1),((F56-OFFSET($BM$9,DT56+0,0,1,1))*OFFSET($CI$9,DT56+0,0,1,1))+OFFSET($BP$9,DT56+0,CQ56,1,1),IF(F56&lt;OFFSET($BN$9,DT56+1,0,1,1),((F56-OFFSET($BM$9,DT56+1,0,1,1))*OFFSET($CI$9,DT56+1,0,1,1))+OFFSET($BP$9,DT56+1,CQ56,1,1),IF(F56&lt;OFFSET($BN$9,DT56+2,0,1,1),((F56-OFFSET($BM$9,DT56+2,0,1,1))*OFFSET($CI$9,DT56+2,0,1,1))+OFFSET($BP$9,DT56+2,CQ56,1,1),IF(F56&lt;OFFSET($BN$9,DT56+3,0,1,1),((F56-OFFSET($BM$9,DT56+3,0,1,1))*OFFSET($CI$9,DT56+3,0,1,1))+OFFSET($BP$9,DT56+3,CQ56,1,1),0))))))</f>
        <v>0</v>
      </c>
      <c r="DX56" s="51">
        <f ca="1">IF($F56&lt;OFFSET($BM$9,$DT56-1,0,1,1),0,IF($F56&lt;OFFSET($BN$9,$DT56-1,0,1,1),IF(AND($H56&gt;2.4,Z56&lt;&gt;"e",Z56&lt;&gt;"f"),EB56*2.4/$H56,EB56),IF($F56&lt;OFFSET($BN$9,$DT56+0,0,1,1),IF(AND($H56&gt;2.4,Z56&lt;&gt;"e",Z56&lt;&gt;"f"),EB56*2.4/$H56,EB56),IF($F56&lt;OFFSET($BN$9,$DT56+1,0,1,1),IF(AND($H56&gt;2.4,Z56&lt;&gt;"e",Z56&lt;&gt;"f"),EB56*2.4/$H56,EB56),IF($F56&lt;OFFSET($BN$9,$DT56+2,0,1,1),IF(AND($H56&gt;2.4,Z56&lt;&gt;"e",Z56&lt;&gt;"f"),EB56*2.4/$H56,EB56),IF($F56&lt;OFFSET($BN$9,$DT56+3,0,1,1),IF(AND($H56&gt;2.4,Z56&lt;&gt;"e",Z56&lt;&gt;"f"),EB56*2.4/$H56,EB56),0)))))*COS(RADIANS($G56)))</f>
        <v>0</v>
      </c>
      <c r="DY56" s="188"/>
      <c r="DZ56" s="188">
        <f ca="1">IF(DU56&gt;$CR56,$CR56,DU56)</f>
        <v>0</v>
      </c>
      <c r="EA56" s="188"/>
      <c r="EB56" s="188">
        <f ca="1">IF(DW56&gt;$CR56,$CR56,DW56)</f>
        <v>0</v>
      </c>
      <c r="EC56" s="435">
        <f ca="1">IF(DV56&gt;$CR56,$CR56,DV56)</f>
        <v>0</v>
      </c>
      <c r="ED56" s="435">
        <f ca="1">EC56*F56</f>
        <v>0</v>
      </c>
      <c r="EE56" s="436">
        <f ca="1">IF(DX56&gt;$CR56,$CR56,DX56)</f>
        <v>0</v>
      </c>
      <c r="EF56" s="437">
        <f ca="1">EE56*F56</f>
        <v>0</v>
      </c>
      <c r="EG56" s="613" t="str">
        <f>IF(D56=BG$12,BG$12,"")</f>
        <v/>
      </c>
      <c r="EH56" s="614" t="str">
        <f>IF(D56=BG$13,BG$13,"")</f>
        <v/>
      </c>
      <c r="EI56" s="611">
        <f>IF(EG56=BG$12,M56,0)</f>
        <v>0</v>
      </c>
      <c r="EJ56" s="451">
        <f>IF(EG56=BG$12,O56,0)</f>
        <v>0</v>
      </c>
      <c r="EK56" s="451">
        <f>IF(EH56=BG$13,M56,0)</f>
        <v>0</v>
      </c>
      <c r="EL56" s="612">
        <f>IF(EH56=BG$13,O56,0)</f>
        <v>0</v>
      </c>
      <c r="EM56" s="426" t="str">
        <f ca="1">IF(AND(Z56&lt;&gt;"t",Z56&lt;&gt;"f"),"",IF(AND(EN56=$BH$13,K56=$BH$12),"NotOpt",IF(K56&lt;&gt;EN56,"Error","")))</f>
        <v/>
      </c>
      <c r="EN56" s="490" t="str">
        <f>IF($BG$28=1,$BH$13,$BH$12)</f>
        <v>120 BU's</v>
      </c>
      <c r="EO56" s="426" t="str">
        <f>K56</f>
        <v xml:space="preserve"> </v>
      </c>
      <c r="ER56" s="439" t="str">
        <f ca="1">IF(H56=0," ",H56)</f>
        <v xml:space="preserve"> </v>
      </c>
      <c r="ES56" s="440" t="str">
        <f ca="1">IF(ER56&lt;&gt;" ",IF(ER56&lt;&gt;ER$7,"Changed",""),"")</f>
        <v/>
      </c>
      <c r="ET56" s="440">
        <f ca="1">IF(ER56&lt;&gt;" ",IF(ER56&lt;&gt;ER$7,1,0),0)</f>
        <v>0</v>
      </c>
      <c r="EU56" s="957" t="str">
        <f ca="1">IF(I56=" "," ",IF(F56&lt;OFFSET($BM$9,CL56-1,0,1,1),1,""))</f>
        <v xml:space="preserve"> </v>
      </c>
      <c r="EW56" s="427"/>
      <c r="EX56"/>
      <c r="EY56"/>
      <c r="EZ56"/>
      <c r="FA56"/>
      <c r="FB56"/>
      <c r="FC56"/>
      <c r="FD56"/>
      <c r="FE56"/>
      <c r="FF56"/>
      <c r="FG56"/>
      <c r="FH56"/>
      <c r="FI56"/>
      <c r="FJ56"/>
      <c r="FK56"/>
      <c r="FL56"/>
      <c r="FM56"/>
      <c r="FN56"/>
      <c r="FO56"/>
    </row>
    <row r="57" spans="1:171" ht="17.100000000000001" customHeight="1">
      <c r="A57" s="2685"/>
      <c r="B57" s="689" t="s">
        <v>246</v>
      </c>
      <c r="C57" s="684" t="str">
        <f>IF(OR(F57=0,I57="",I57=" ")," ",$V57)</f>
        <v xml:space="preserve"> </v>
      </c>
      <c r="D57" s="1033"/>
      <c r="E57" s="1360" t="s">
        <v>8</v>
      </c>
      <c r="F57" s="202"/>
      <c r="G57" s="1416"/>
      <c r="H57" s="199" t="str">
        <f ca="1">IF(OR(F57=0,Z57="E",Z57="f")," ",'Project Demand'!E$45)</f>
        <v xml:space="preserve"> </v>
      </c>
      <c r="I57" s="631" t="str">
        <f>IF($I$6&lt;&gt;$BG$8," ",AB57)</f>
        <v xml:space="preserve"> </v>
      </c>
      <c r="J57" s="44" t="str">
        <f ca="1">IF(OR(I57=" ",I57="")," ",OFFSET($BO$9,CL57-1,0-4,1,1))</f>
        <v xml:space="preserve"> </v>
      </c>
      <c r="K57" s="55" t="str">
        <f>IF(OR(I57=" ",I57="")," ",IF(OR(Z57="e",Z57="h"),"SD",BG$24))</f>
        <v xml:space="preserve"> </v>
      </c>
      <c r="L57" s="49">
        <f ca="1">CW57</f>
        <v>0</v>
      </c>
      <c r="M57" s="49">
        <f ca="1">CY57</f>
        <v>0</v>
      </c>
      <c r="N57" s="50">
        <f t="shared" ca="1" si="31"/>
        <v>0</v>
      </c>
      <c r="O57" s="126">
        <f t="shared" ca="1" si="31"/>
        <v>0</v>
      </c>
      <c r="P57" s="140"/>
      <c r="Q57" s="752" t="str">
        <f ca="1">IF(AND(OR(Z57="t",Z57="f"),K57=$BH$11),"No Floor!  Change Floor Type",IF(OR(I57=" ",I57="")," ",IF(F57&lt;OFFSET($BM$9,CL57-1,0,1,1),"check L(m)",DE57&amp;IF(AND(DP57&gt;=CY57,DR57&gt;=DB57),IF(AND(ED57&gt;=DP57,EF57&gt;=DR57),CONCATENATE(DS57," will provide same result"),CONCATENATE(CO57," will provide same result")),IF((DP57&gt;=CY57),CONCATENATE(CO57," provides same result in WIND"),IF((DR57&gt;=DB57),CONCATENATE(CO57," provides same result in EQ"),""))))))&amp;IF(ISERROR(FIND("pile",I57,1)),"",IF(INT(F57)&lt;&gt;F57,"Pile!  Use Whole Numbers Only",""))</f>
        <v xml:space="preserve"> </v>
      </c>
      <c r="R57" s="52"/>
      <c r="S57" s="1372"/>
      <c r="T57" s="1372"/>
      <c r="U57" s="1377"/>
      <c r="V57" s="52" t="str">
        <f ca="1">IF(AND(B$5=$BF$9,OR(I57=BH$16,I57=BH$17))," ",IF(ISNUMBER(B$56),(CONCATENATE(B$56,".",W57)),(CONCATENATE(B$56,W57))))</f>
        <v>I0</v>
      </c>
      <c r="W57" s="9">
        <f ca="1">W56+X57</f>
        <v>0</v>
      </c>
      <c r="X57" s="9">
        <f>IF(AND(B$5=$BF$9,OR($I57=$BH$16,$I57=$BH$17,$I57=" ",$I57="",$F57=0)),0,IF(OR($I57=" ",$I57="",$F57=0),0,1))</f>
        <v>0</v>
      </c>
      <c r="Y57" s="896"/>
      <c r="Z57" s="52" t="str">
        <f ca="1">IF(I57=" "," ",OFFSET($BM$9,$CL57-1,8,1,1))</f>
        <v xml:space="preserve"> </v>
      </c>
      <c r="AA57" s="51" t="str">
        <f>IF(G57&gt;=45,"WA","")</f>
        <v/>
      </c>
      <c r="AB57" s="1364" t="str">
        <f>IF(F57&lt;&gt;"",IF(OR(D57=$BG$12,D57=$BG$13),IF(E57&lt;&gt;$BG$17,$BF$12,$BF$13),IF(E57&lt;&gt;$BG$17,$BF$12,$BF$13))," ")</f>
        <v xml:space="preserve"> </v>
      </c>
      <c r="AC57" s="1"/>
      <c r="AK57" s="63" t="str">
        <f>'Custom Elements'!B18</f>
        <v xml:space="preserve">  </v>
      </c>
      <c r="AL57" s="860" t="str">
        <f>'Custom Elements'!C18</f>
        <v>Custom10</v>
      </c>
      <c r="AM57" s="11">
        <f>'Custom Elements'!D18</f>
        <v>9.9999999999999996E-76</v>
      </c>
      <c r="AN57" s="7">
        <f>'Custom Elements'!E18</f>
        <v>0</v>
      </c>
      <c r="AO57" s="7">
        <f>'Custom Elements'!F18</f>
        <v>0</v>
      </c>
      <c r="AP57" s="762" t="str">
        <f>'Custom Elements'!G18</f>
        <v>B</v>
      </c>
      <c r="AQ57" s="1777" t="str">
        <f>'Custom Elements'!H18</f>
        <v>Single</v>
      </c>
      <c r="AR57" s="1775" t="str">
        <f>'Custom Elements'!I18</f>
        <v>Yes</v>
      </c>
      <c r="AS57" s="442" t="str">
        <f>'Custom Elements'!J18</f>
        <v>Yes</v>
      </c>
      <c r="AT57" s="1598"/>
      <c r="AU57" s="1155"/>
      <c r="AZ57" s="442" t="str">
        <f>IF(AND('Custom Elements'!J18="Yes",'Custom Elements'!I18="Yes"),"T",IF('Custom Elements'!J18="Yes","F",IF('Custom Elements'!I18="Yes","H","E")))</f>
        <v>T</v>
      </c>
      <c r="BD57" s="638"/>
      <c r="BE57" s="2715" t="s">
        <v>822</v>
      </c>
      <c r="BF57" s="2716"/>
      <c r="BG57" s="2716"/>
      <c r="BH57" s="479"/>
      <c r="BI57" s="759"/>
      <c r="BJ57" s="897">
        <f t="shared" si="27"/>
        <v>49</v>
      </c>
      <c r="BK57" s="764"/>
      <c r="BL57" s="766"/>
      <c r="BM57" s="455">
        <f>Table!D11</f>
        <v>0.6</v>
      </c>
      <c r="BN57" s="455">
        <f>BM58</f>
        <v>0.8</v>
      </c>
      <c r="BO57" s="455">
        <f>Table!E11</f>
        <v>90</v>
      </c>
      <c r="BP57" s="925">
        <f>Table!F11</f>
        <v>83</v>
      </c>
      <c r="BR57" s="764"/>
      <c r="BS57" s="455"/>
      <c r="BT57" s="455"/>
      <c r="BU57" s="925" t="s">
        <v>242</v>
      </c>
      <c r="BV57" s="895"/>
      <c r="BW57" s="912"/>
      <c r="BX57" s="925" t="str">
        <f>Table!H11</f>
        <v>Double</v>
      </c>
      <c r="CH57" s="764">
        <f>IF(BN57=999,0,(BO58-BO57)/(BN57-BM57))</f>
        <v>14.999999999999995</v>
      </c>
      <c r="CI57" s="925">
        <f>IF(BN57=999,0,(BP58-BP57)/(BN57-BM57))</f>
        <v>0</v>
      </c>
      <c r="CJ57" s="759"/>
      <c r="CK57" s="188"/>
      <c r="CL57" s="979">
        <f>VLOOKUP(I57,Prodlink,2,0)</f>
        <v>0</v>
      </c>
      <c r="CN57" s="497">
        <f t="shared" ca="1" si="26"/>
        <v>0</v>
      </c>
      <c r="CO57" s="497">
        <f ca="1">OFFSET($CH$9,CL57-1,-15,1,1)</f>
        <v>0</v>
      </c>
      <c r="CQ57" s="51">
        <v>0</v>
      </c>
      <c r="CR57" s="51">
        <f>IF(K57=$BH$12,$BH$23,IF(K57=$BH$13,$BH$24,10000))</f>
        <v>10000</v>
      </c>
      <c r="CS57" s="51">
        <f ca="1">IF(F57&lt;OFFSET($BM$9,CL57-1,0,1,1),0,IF(F57&lt;OFFSET($BN$9,CL57-1,0,1,1),((F57-OFFSET($BM$9,CL57-1,0,1,1))*OFFSET($CH$9,CL57-1,0,1,1))+OFFSET($BO$9,CL57-1,CQ57,1,1),IF(F57&lt;OFFSET($BN$9,CL57+0,0,1,1),((F57-OFFSET($BM$9,CL57+0,0,1,1))*OFFSET($CH$9,CL57+0,0,1,1))+OFFSET($BO$9,CL57+0,CQ57,1,1),IF(F57&lt;OFFSET($BN$9,CL57+1,0,1,1),((F57-OFFSET($BM$9,CL57+1,0,1,1))*OFFSET($CH$9,CL57+1,0,1,1))+OFFSET($BO$9,CL57+1,CQ57,1,1),IF(F57&lt;OFFSET($BN$9,CL57+2,0,1,1),((F57-OFFSET($BM$9,CL57+2,0,1,1))*OFFSET($CH$9,CL57+2,0,1,1))+OFFSET($BO$9,CL57+2,CQ57,1,1),IF(F57&lt;OFFSET($BN$9,CL57+3,0,1,1),((F57-OFFSET($BM$9,CL57+3,0,1,1))*OFFSET($CH$9,CL57+3,0,1,1))+OFFSET($BO$9,CL57+3,CQ57,1,1),0))))))</f>
        <v>0</v>
      </c>
      <c r="CT57" s="51">
        <f ca="1">IF($F57&lt;OFFSET($BM$9,$CL57-1,0,1,1),0,IF($F57&lt;OFFSET($BN$9,$CL57-1,0,1,1),IF(AND($H57&gt;2.4,Z57&lt;&gt;"e",Z57&lt;&gt;"f"),CX57*2.4/$H57,CX57),IF($F57&lt;OFFSET($BN$9,$CL57+0,0,1,1),IF(AND($H57&gt;2.4,Z57&lt;&gt;"e",Z57&lt;&gt;"f"),CX57*2.4/$H57,CX57),IF($F57&lt;OFFSET($BN$9,$CL57+1,0,1,1),IF(AND($H57&gt;2.4,Z57&lt;&gt;"e",Z57&lt;&gt;"f"),CX57*2.4/$H57,CX57),IF($F57&lt;OFFSET($BN$9,CL57+2,0,1,1),IF(AND($H57&gt;2.4,Z57&lt;&gt;"e",Z57&lt;&gt;"f"),CX57*2.4/$H57,CX57),IF($F57&lt;OFFSET($BN$9,CL57+3,0,1,1),IF(AND($H57&gt;2.4,Z57&lt;&gt;"e",Z57&lt;&gt;"f"),CX57*2.4/$H57,CX57),0)))))*COS(RADIANS($G57)))</f>
        <v>0</v>
      </c>
      <c r="CU57" s="51">
        <f ca="1">IF(F57&lt;OFFSET($BM$9,CL57-1,0,1,1),0,IF(F57&lt;OFFSET($BN$9,CL57-1,0,1,1),((F57-OFFSET($BM$9,CL57-1,0,1,1))*OFFSET($CI$9,CL57-1,0,1,1))+OFFSET($BP$9,CL57-1,CQ57,1,1),IF(F57&lt;OFFSET($BN$9,CL57+0,0,1,1),((F57-OFFSET($BM$9,CL57+0,0,1,1))*OFFSET($CI$9,CL57+0,0,1,1))+OFFSET($BP$9,CL57+0,CQ57,1,1),IF(F57&lt;OFFSET($BN$9,CL57+1,0,1,1),((F57-OFFSET($BM$9,CL57+1,0,1,1))*OFFSET($CI$9,CL57+1,0,1,1))+OFFSET($BP$9,CL57+1,CQ57,1,1),IF(F57&lt;OFFSET($BN$9,CL57+2,0,1,1),((F57-OFFSET($BM$9,CL57+2,0,1,1))*OFFSET($CI$9,CL57+2,0,1,1))+OFFSET($BP$9,CL57+2,CQ57,1,1),IF(F57&lt;OFFSET($BN$9,CL57+3,0,1,1),((F57-OFFSET($BM$9,CL57+3,0,1,1))*OFFSET($CI$9,CL57+3,0,1,1))+OFFSET($BP$9,CL57+3,CQ57,1,1),0))))))</f>
        <v>0</v>
      </c>
      <c r="CV57" s="51">
        <f ca="1">IF($F57&lt;OFFSET($BM$9,$CL57-1,0,1,1),0,IF($F57&lt;OFFSET($BN$9,$CL57-1,0,1,1),IF(AND($H57&gt;2.4,Z57&lt;&gt;"e",Z57&lt;&gt;"f"),CZ57*2.4/$H57,CZ57),IF($F57&lt;OFFSET($BN$9,$CL57+0,0,1,1),IF(AND($H57&gt;2.4,Z57&lt;&gt;"e",Z57&lt;&gt;"f"),CZ57*2.4/$H57,CZ57),IF($F57&lt;OFFSET($BN$9,$CL57+1,0,1,1),IF(AND($H57&gt;2.4,Z57&lt;&gt;"e",Z57&lt;&gt;"f"),CZ57*2.4/$H57,CZ57),IF($F57&lt;OFFSET($BN$9,$CL57+2,0,1,1),IF(AND($H57&gt;2.4,Z57&lt;&gt;"e",Z57&lt;&gt;"f"),CZ57*2.4/$H57,CZ57),IF($F57&lt;OFFSET($BN$9,$CL57+3,0,1,1),IF(AND($H57&gt;2.4,Z57&lt;&gt;"e",Z57&lt;&gt;"f"),CZ57*2.4/$H57,CZ57),0)))))*COS(RADIANS($G57)))</f>
        <v>0</v>
      </c>
      <c r="CW57" s="51">
        <f ca="1">IF(CT57&gt;CR57,CR57,CT57)</f>
        <v>0</v>
      </c>
      <c r="CX57" s="51">
        <f ca="1">IF(CS57&gt;$CR57,$CR57,CS57)</f>
        <v>0</v>
      </c>
      <c r="CY57" s="51">
        <f ca="1">CW57*F57</f>
        <v>0</v>
      </c>
      <c r="CZ57" s="51">
        <f ca="1">IF($CU57&gt;$CR57,$CR57,$CU57)</f>
        <v>0</v>
      </c>
      <c r="DA57" s="51">
        <f ca="1">IF(CV57&gt;CR57,CR57,CV57)</f>
        <v>0</v>
      </c>
      <c r="DB57" s="51">
        <f ca="1">DA57*F57</f>
        <v>0</v>
      </c>
      <c r="DC57" s="993">
        <v>1</v>
      </c>
      <c r="DD57" s="758" t="str">
        <f>IF(OR(D57=BG$12,D57=BG$13),"External",IF(D57=BG$14,"Internal"," "))</f>
        <v xml:space="preserve"> </v>
      </c>
      <c r="DE57" s="51" t="str">
        <f t="shared" ca="1" si="2"/>
        <v/>
      </c>
      <c r="DF57" s="52" t="str">
        <f t="shared" ca="1" si="3"/>
        <v xml:space="preserve"> </v>
      </c>
      <c r="DG57" s="51">
        <f ca="1">IF(F57&lt;OFFSET($BM$9,CN57-1,0,1,1),0,IF(F57&lt;OFFSET($BN$9,CN57-1,0,1,1),((F57-OFFSET($BM$9,CN57-1,0,1,1))*OFFSET($CH$9,CN57-1,0,1,1))+OFFSET($BO$9,CN57-1,CQ57,1,1),IF(F57&lt;OFFSET($BN$9,CN57+0,0,1,1),((F57-OFFSET($BM$9,CN57+0,0,1,1))*OFFSET($CH$9,CN57+0,0,1,1))+OFFSET($BO$9,CN57+0,CQ57,1,1),IF(F57&lt;OFFSET($BN$9,CN57+1,0,1,1),((F57-OFFSET($BM$9,CN57+1,0,1,1))*OFFSET($CH$9,CN57+1,0,1,1))+OFFSET($BO$9,CN57+1,CQ57,1,1),IF(F57&lt;OFFSET($BN$9,CN57+2,0,1,1),((F57-OFFSET($BM$9,CN57+2,0,1,1))*OFFSET($CH$9,CN57+2,0,1,1))+OFFSET($BO$9,CN57+2,CQ57,1,1),IF(F57&lt;OFFSET($BN$9,CN57+3,0,1,1),((F57-OFFSET($BM$9,CN57+3,0,1,1))*OFFSET($CH$9,CN57+3,0,1,1))+OFFSET($BO$9,CN57+3,CQ57,1,1),0))))))</f>
        <v>0</v>
      </c>
      <c r="DH57" s="51">
        <f ca="1">IF($F57&lt;OFFSET($BM$9,$CN57-1,0,1,1),0,IF($F57&lt;OFFSET($BN$9,$CN57-1,0,1,1),IF(AND($H57&gt;2.4,Z57&lt;&gt;"e",Z57&lt;&gt;"f"),DL57*2.4/$H57,DL57),IF($F57&lt;OFFSET($BN$9,$CN57+0,0,1,1),IF(AND($H57&gt;2.4,Z57&lt;&gt;"e",Z57&lt;&gt;"f"),DL57*2.4/$H57,DL57),IF($F57&lt;OFFSET($BN$9,$CN57+1,0,1,1),IF(AND($H57&gt;2.4,Z57&lt;&gt;"e",Z57&lt;&gt;"f"),DL57*2.4/$H57,DL57),IF($F57&lt;OFFSET($BN$9,$CN57+2,0,1,1),IF(AND($H57&gt;2.4,Z57&lt;&gt;"e",Z57&lt;&gt;"f"),DL57*2.4/$H57,DL57),IF($F57&lt;OFFSET($BN$9,$CN57+3,0,1,1),IF(AND($H57&gt;2.4,Z57&lt;&gt;"e",Z57&lt;&gt;"f"),DL57*2.4/$H57,DL57),0)))))*COS(RADIANS($G57)))</f>
        <v>0</v>
      </c>
      <c r="DI57" s="51">
        <f ca="1">IF(F57&lt;OFFSET($BM$9,CN57-1,0,1,1),0,IF(F57&lt;OFFSET($BN$9,CN57-1,0,1,1),((F57-OFFSET($BM$9,CN57-1,0,1,1))*OFFSET($CI$9,CN57-1,0,1,1))+OFFSET($BP$9,CN57-1,CQ57,1,1),IF(F57&lt;OFFSET($BN$9,CN57+0,0,1,1),((F57-OFFSET($BM$9,CN57+0,0,1,1))*OFFSET($CI$9,CN57+0,0,1,1))+OFFSET($BP$9,CN57+0,CQ57,1,1),IF(F57&lt;OFFSET($BN$9,CN57+1,0,1,1),((F57-OFFSET($BM$9,CN57+1,0,1,1))*OFFSET($CI$9,CN57+1,0,1,1))+OFFSET($BP$9,CN57+1,CQ57,1,1),IF(F57&lt;OFFSET($BN$9,CN57+2,0,1,1),((F57-OFFSET($BM$9,CN57+2,0,1,1))*OFFSET($CI$9,CN57+2,0,1,1))+OFFSET($BP$9,CN57+2,CQ57,1,1),IF(F57&lt;OFFSET($BN$9,CN57+3,0,1,1),((F57-OFFSET($BM$9,CN57+3,0,1,1))*OFFSET($CI$9,CN57+3,0,1,1))+OFFSET($BP$9,CN57+3,CQ57,1,1),0))))))</f>
        <v>0</v>
      </c>
      <c r="DJ57" s="51">
        <f ca="1">IF($F57&lt;OFFSET($BM$9,$CN57-1,0,1,1),0,IF($F57&lt;OFFSET($BN$9,$CN57-1,0,1,1),IF(AND($H57&gt;2.4,Z57&lt;&gt;"e",Z57&lt;&gt;"f"),DN57*2.4/$H57,DN57),IF($F57&lt;OFFSET($BN$9,$CN57+0,0,1,1),IF(AND($H57&gt;2.4,Z57&lt;&gt;"e",Z57&lt;&gt;"f"),DN57*2.4/$H57,DN57),IF($F57&lt;OFFSET($BN$9,$CN57+1,0,1,1),IF(AND($H57&gt;2.4,Z57&lt;&gt;"e",Z57&lt;&gt;"f"),DN57*2.4/$H57,DN57),IF($F57&lt;OFFSET($BN$9,$CN57+2,0,1,1),IF(AND($H57&gt;2.4,Z57&lt;&gt;"e",Z57&lt;&gt;"f"),DN57*2.4/$H57,DN57),IF($F57&lt;OFFSET($BN$9,$CN57+3,0,1,1),IF(AND($H57&gt;2.4,Z57&lt;&gt;"e",Z57&lt;&gt;"f"),DN57*2.4/$H57,DN57),0)))))*COS(RADIANS($G57)))</f>
        <v>0</v>
      </c>
      <c r="DK57" s="51"/>
      <c r="DL57" s="51">
        <f ca="1">IF(DG57&gt;$CR57,$CR57,DG57)</f>
        <v>0</v>
      </c>
      <c r="DM57" s="51"/>
      <c r="DN57" s="51">
        <f ca="1">IF(DI57&gt;$CR57,$CR57,DI57)</f>
        <v>0</v>
      </c>
      <c r="DO57" s="435">
        <f ca="1">IF(DH57&gt;$CR57,$CR57,DH57)</f>
        <v>0</v>
      </c>
      <c r="DP57" s="435">
        <f ca="1">DO57*F57</f>
        <v>0</v>
      </c>
      <c r="DQ57" s="436">
        <f ca="1">IF(DJ57&gt;$CR57,$CR57,DJ57)</f>
        <v>0</v>
      </c>
      <c r="DR57" s="437">
        <f ca="1">DQ57*F57</f>
        <v>0</v>
      </c>
      <c r="DS57" s="426">
        <f ca="1">OFFSET($CH$9,CL57-1,-15,1,1)</f>
        <v>0</v>
      </c>
      <c r="DT57" s="426">
        <f ca="1">VLOOKUP(DS57,Prodlink,2,0)</f>
        <v>0</v>
      </c>
      <c r="DU57" s="188">
        <f ca="1">IF(F57&lt;OFFSET($BM$9,DT57-1,0,1,1),0,IF(F57&lt;OFFSET($BN$9,DT57-1,0,1,1),((F57-OFFSET($BM$9,DT57-1,0,1,1))*OFFSET($CH$9,DT57-1,0,1,1))+OFFSET($BO$9,DT57-1,CQ57,1,1),IF(F57&lt;OFFSET($BN$9,DT57+0,0,1,1),((F57-OFFSET($BM$9,DT57+0,0,1,1))*OFFSET($CH$9,DT57+0,0,1,1))+OFFSET($BO$9,DT57+0,CQ57,1,1),IF(F57&lt;OFFSET($BN$9,DT57+1,0,1,1),((F57-OFFSET($BM$9,DT57+1,0,1,1))*OFFSET($CH$9,DT57+1,0,1,1))+OFFSET($BO$9,DT57+1,CQ57,1,1),IF(F57&lt;OFFSET($BN$9,DT57+2,0,1,1),((F57-OFFSET($BM$9,DT57+2,0,1,1))*OFFSET($CH$9,DT57+2,0,1,1))+OFFSET($BO$9,DT57+2,CQ57,1,1),IF(F57&lt;OFFSET($BN$9,DT57+3,0,1,1),((F57-OFFSET($BM$9,DT57+3,0,1,1))*OFFSET($CH$9,DT57+3,0,1,1))+OFFSET($BO$9,DT57+3,CQ57,1,1),0))))))</f>
        <v>0</v>
      </c>
      <c r="DV57" s="51">
        <f ca="1">IF($F57&lt;OFFSET($BM$9,$DT57-1,0,1,1),0,IF($F57&lt;OFFSET($BN$9,$DT57-1,0,1,1),IF(AND($H57&gt;2.4,Z57&lt;&gt;"e",Z57&lt;&gt;"f"),DZ57*2.4/$H57,DZ57),IF($F57&lt;OFFSET($BN$9,$DT57+0,0,1,1),IF(AND($H57&gt;2.4,Z57&lt;&gt;"e",Z57&lt;&gt;"f"),DZ57*2.4/$H57,DZ57),IF($F57&lt;OFFSET($BN$9,$DT57+1,0,1,1),IF(AND($H57&gt;2.4,Z57&lt;&gt;"e",Z57&lt;&gt;"f"),DZ57*2.4/$H57,DZ57),IF($F57&lt;OFFSET($BN$9,$DT57+2,0,1,1),IF(AND($H57&gt;2.4,Z57&lt;&gt;"e",Z57&lt;&gt;"f"),DZ57*2.4/$H57,DZ57),IF($F57&lt;OFFSET($BN$9,$DT57+3,0,1,1),IF(AND($H57&gt;2.4,Z57&lt;&gt;"e",Z57&lt;&gt;"f"),DZ57*2.4/$H57,DZ57),0)))))*COS(RADIANS($G57)))</f>
        <v>0</v>
      </c>
      <c r="DW57" s="188">
        <f ca="1">IF(F57&lt;OFFSET($BM$9,DT57-1,0,1,1),0,IF(F57&lt;OFFSET($BN$9,DT57-1,0,1,1),((F57-OFFSET($BM$9,DT57-1,0,1,1))*OFFSET($CI$9,DT57-1,0,1,1))+OFFSET($BP$9,DT57-1,CQ57,1,1),IF(F57&lt;OFFSET($BN$9,DT57+0,0,1,1),((F57-OFFSET($BM$9,DT57+0,0,1,1))*OFFSET($CI$9,DT57+0,0,1,1))+OFFSET($BP$9,DT57+0,CQ57,1,1),IF(F57&lt;OFFSET($BN$9,DT57+1,0,1,1),((F57-OFFSET($BM$9,DT57+1,0,1,1))*OFFSET($CI$9,DT57+1,0,1,1))+OFFSET($BP$9,DT57+1,CQ57,1,1),IF(F57&lt;OFFSET($BN$9,DT57+2,0,1,1),((F57-OFFSET($BM$9,DT57+2,0,1,1))*OFFSET($CI$9,DT57+2,0,1,1))+OFFSET($BP$9,DT57+2,CQ57,1,1),IF(F57&lt;OFFSET($BN$9,DT57+3,0,1,1),((F57-OFFSET($BM$9,DT57+3,0,1,1))*OFFSET($CI$9,DT57+3,0,1,1))+OFFSET($BP$9,DT57+3,CQ57,1,1),0))))))</f>
        <v>0</v>
      </c>
      <c r="DX57" s="51">
        <f ca="1">IF($F57&lt;OFFSET($BM$9,$DT57-1,0,1,1),0,IF($F57&lt;OFFSET($BN$9,$DT57-1,0,1,1),IF(AND($H57&gt;2.4,Z57&lt;&gt;"e",Z57&lt;&gt;"f"),EB57*2.4/$H57,EB57),IF($F57&lt;OFFSET($BN$9,$DT57+0,0,1,1),IF(AND($H57&gt;2.4,Z57&lt;&gt;"e",Z57&lt;&gt;"f"),EB57*2.4/$H57,EB57),IF($F57&lt;OFFSET($BN$9,$DT57+1,0,1,1),IF(AND($H57&gt;2.4,Z57&lt;&gt;"e",Z57&lt;&gt;"f"),EB57*2.4/$H57,EB57),IF($F57&lt;OFFSET($BN$9,$DT57+2,0,1,1),IF(AND($H57&gt;2.4,Z57&lt;&gt;"e",Z57&lt;&gt;"f"),EB57*2.4/$H57,EB57),IF($F57&lt;OFFSET($BN$9,$DT57+3,0,1,1),IF(AND($H57&gt;2.4,Z57&lt;&gt;"e",Z57&lt;&gt;"f"),EB57*2.4/$H57,EB57),0)))))*COS(RADIANS($G57)))</f>
        <v>0</v>
      </c>
      <c r="DY57" s="188"/>
      <c r="DZ57" s="188">
        <f ca="1">IF(DU57&gt;$CR57,$CR57,DU57)</f>
        <v>0</v>
      </c>
      <c r="EA57" s="188"/>
      <c r="EB57" s="188">
        <f ca="1">IF(DW57&gt;$CR57,$CR57,DW57)</f>
        <v>0</v>
      </c>
      <c r="EC57" s="435">
        <f ca="1">IF(DV57&gt;$CR57,$CR57,DV57)</f>
        <v>0</v>
      </c>
      <c r="ED57" s="435">
        <f ca="1">EC57*F57</f>
        <v>0</v>
      </c>
      <c r="EE57" s="436">
        <f ca="1">IF(DX57&gt;$CR57,$CR57,DX57)</f>
        <v>0</v>
      </c>
      <c r="EF57" s="437">
        <f ca="1">EE57*F57</f>
        <v>0</v>
      </c>
      <c r="EG57" s="613" t="str">
        <f>IF(D57=BG$12,BG$12,"")</f>
        <v/>
      </c>
      <c r="EH57" s="614" t="str">
        <f>IF(D57=BG$13,BG$13,"")</f>
        <v/>
      </c>
      <c r="EI57" s="611">
        <f>IF(EG57=BG$12,M57,0)</f>
        <v>0</v>
      </c>
      <c r="EJ57" s="451">
        <f>IF(EG57=BG$12,O57,0)</f>
        <v>0</v>
      </c>
      <c r="EK57" s="451">
        <f>IF(EH57=BG$13,M57,0)</f>
        <v>0</v>
      </c>
      <c r="EL57" s="612">
        <f>IF(EH57=BG$13,O57,0)</f>
        <v>0</v>
      </c>
      <c r="EM57" s="426" t="str">
        <f ca="1">IF(AND(Z57&lt;&gt;"t",Z57&lt;&gt;"f"),"",IF(AND(EN57=$BH$13,K57=$BH$12),"NotOpt",IF(K57&lt;&gt;EN57,"Error","")))</f>
        <v/>
      </c>
      <c r="EN57" s="490" t="str">
        <f>IF($BG$28=1,$BH$13,$BH$12)</f>
        <v>120 BU's</v>
      </c>
      <c r="EO57" s="426" t="str">
        <f>K57</f>
        <v xml:space="preserve"> </v>
      </c>
      <c r="ER57" s="439" t="str">
        <f ca="1">IF(H57=0," ",H57)</f>
        <v xml:space="preserve"> </v>
      </c>
      <c r="ES57" s="440" t="str">
        <f ca="1">IF(ER57&lt;&gt;" ",IF(ER57&lt;&gt;ER$7,"Changed",""),"")</f>
        <v/>
      </c>
      <c r="ET57" s="440">
        <f ca="1">IF(ER57&lt;&gt;" ",IF(ER57&lt;&gt;ER$7,1,0),0)</f>
        <v>0</v>
      </c>
      <c r="EU57" s="957" t="str">
        <f ca="1">IF(I57=" "," ",IF(F57&lt;OFFSET($BM$9,CL57-1,0,1,1),1,""))</f>
        <v xml:space="preserve"> </v>
      </c>
      <c r="EW57" s="427"/>
      <c r="EX57"/>
      <c r="EY57"/>
      <c r="EZ57"/>
      <c r="FA57"/>
      <c r="FB57"/>
      <c r="FC57"/>
      <c r="FD57"/>
      <c r="FE57"/>
      <c r="FF57"/>
      <c r="FG57"/>
      <c r="FH57"/>
      <c r="FI57"/>
      <c r="FJ57"/>
      <c r="FK57"/>
      <c r="FL57"/>
      <c r="FM57"/>
      <c r="FN57"/>
      <c r="FO57"/>
    </row>
    <row r="58" spans="1:171" ht="17.100000000000001" customHeight="1">
      <c r="A58" s="2685"/>
      <c r="B58" s="689" t="s">
        <v>246</v>
      </c>
      <c r="C58" s="684" t="str">
        <f>IF(OR(F58=0,I58="",I58=" ")," ",$V58)</f>
        <v xml:space="preserve"> </v>
      </c>
      <c r="D58" s="1033"/>
      <c r="E58" s="1360" t="s">
        <v>8</v>
      </c>
      <c r="F58" s="202"/>
      <c r="G58" s="1416"/>
      <c r="H58" s="199" t="str">
        <f ca="1">IF(OR(F58=0,Z58="E",Z58="f")," ",'Project Demand'!E$45)</f>
        <v xml:space="preserve"> </v>
      </c>
      <c r="I58" s="631" t="str">
        <f>IF($I$6&lt;&gt;$BG$8," ",AB58)</f>
        <v xml:space="preserve"> </v>
      </c>
      <c r="J58" s="44" t="str">
        <f ca="1">IF(OR(I58=" ",I58="")," ",OFFSET($BO$9,CL58-1,0-4,1,1))</f>
        <v xml:space="preserve"> </v>
      </c>
      <c r="K58" s="55" t="str">
        <f>IF(OR(I58=" ",I58="")," ",IF(OR(Z58="e",Z58="h"),"SD",BG$24))</f>
        <v xml:space="preserve"> </v>
      </c>
      <c r="L58" s="49">
        <f ca="1">CW58</f>
        <v>0</v>
      </c>
      <c r="M58" s="49">
        <f ca="1">CY58</f>
        <v>0</v>
      </c>
      <c r="N58" s="50">
        <f t="shared" ca="1" si="31"/>
        <v>0</v>
      </c>
      <c r="O58" s="126">
        <f t="shared" ca="1" si="31"/>
        <v>0</v>
      </c>
      <c r="P58" s="140"/>
      <c r="Q58" s="752" t="str">
        <f ca="1">IF(AND(OR(Z58="t",Z58="f"),K58=$BH$11),"No Floor!  Change Floor Type",IF(OR(I58=" ",I58="")," ",IF(F58&lt;OFFSET($BM$9,CL58-1,0,1,1),"check L(m)",DE58&amp;IF(AND(DP58&gt;=CY58,DR58&gt;=DB58),IF(AND(ED58&gt;=DP58,EF58&gt;=DR58),CONCATENATE(DS58," will provide same result"),CONCATENATE(CO58," will provide same result")),IF((DP58&gt;=CY58),CONCATENATE(CO58," provides same result in WIND"),IF((DR58&gt;=DB58),CONCATENATE(CO58," provides same result in EQ"),""))))))&amp;IF(ISERROR(FIND("pile",I58,1)),"",IF(INT(F58)&lt;&gt;F58,"Pile!  Use Whole Numbers Only",""))</f>
        <v xml:space="preserve"> </v>
      </c>
      <c r="R58" s="52"/>
      <c r="S58" s="1372"/>
      <c r="T58" s="1372"/>
      <c r="U58" s="1377"/>
      <c r="V58" s="52" t="str">
        <f ca="1">IF(AND(B$5=$BF$9,OR(I58=BH$16,I58=BH$17))," ",IF(ISNUMBER(B$56),(CONCATENATE(B$56,".",W58)),(CONCATENATE(B$56,W58))))</f>
        <v>I0</v>
      </c>
      <c r="W58" s="9">
        <f ca="1">W57+X58</f>
        <v>0</v>
      </c>
      <c r="X58" s="9">
        <f>IF(AND(B$5=$BF$9,OR($I58=$BH$16,$I58=$BH$17,$I58=" ",$I58="",$F58=0)),0,IF(OR($I58=" ",$I58="",$F58=0),0,1))</f>
        <v>0</v>
      </c>
      <c r="Y58" s="896"/>
      <c r="Z58" s="52" t="str">
        <f ca="1">IF(I58=" "," ",OFFSET($BM$9,$CL58-1,8,1,1))</f>
        <v xml:space="preserve"> </v>
      </c>
      <c r="AA58" s="51" t="str">
        <f>IF(G58&gt;=45,"WA","")</f>
        <v/>
      </c>
      <c r="AB58" s="1364" t="str">
        <f>IF(F58&lt;&gt;"",IF(OR(D58=$BG$12,D58=$BG$13),IF(E58&lt;&gt;$BG$17,$BF$12,$BF$13),IF(E58&lt;&gt;$BG$17,$BF$12,$BF$13))," ")</f>
        <v xml:space="preserve"> </v>
      </c>
      <c r="AC58" s="1"/>
      <c r="AK58" s="63" t="str">
        <f>'Custom Elements'!B19</f>
        <v xml:space="preserve">  </v>
      </c>
      <c r="AL58" s="860" t="str">
        <f>'Custom Elements'!C19</f>
        <v>Custom11</v>
      </c>
      <c r="AM58" s="11">
        <f>'Custom Elements'!D19</f>
        <v>9.9999999999999996E-76</v>
      </c>
      <c r="AN58" s="7">
        <f>'Custom Elements'!E19</f>
        <v>0</v>
      </c>
      <c r="AO58" s="7">
        <f>'Custom Elements'!F19</f>
        <v>0</v>
      </c>
      <c r="AP58" s="762" t="str">
        <f>'Custom Elements'!G19</f>
        <v>B</v>
      </c>
      <c r="AQ58" s="1777" t="str">
        <f>'Custom Elements'!H19</f>
        <v>Single</v>
      </c>
      <c r="AR58" s="1775" t="str">
        <f>'Custom Elements'!I19</f>
        <v>Yes</v>
      </c>
      <c r="AS58" s="442" t="str">
        <f>'Custom Elements'!J19</f>
        <v>Yes</v>
      </c>
      <c r="AT58" s="1598"/>
      <c r="AU58" s="1155"/>
      <c r="AZ58" s="442" t="str">
        <f>IF(AND('Custom Elements'!J19="Yes",'Custom Elements'!I19="Yes"),"T",IF('Custom Elements'!J19="Yes","F",IF('Custom Elements'!I19="Yes","H","E")))</f>
        <v>T</v>
      </c>
      <c r="BD58" s="638"/>
      <c r="BE58" s="2715" t="s">
        <v>827</v>
      </c>
      <c r="BF58" s="2716"/>
      <c r="BG58" s="2716"/>
      <c r="BH58" s="479"/>
      <c r="BI58" s="759"/>
      <c r="BJ58" s="897">
        <f t="shared" si="27"/>
        <v>50</v>
      </c>
      <c r="BK58" s="764"/>
      <c r="BL58" s="766"/>
      <c r="BM58" s="455">
        <f>Table!D12</f>
        <v>0.8</v>
      </c>
      <c r="BN58" s="455">
        <f>BM59</f>
        <v>0.9</v>
      </c>
      <c r="BO58" s="455">
        <f>Table!E12</f>
        <v>93</v>
      </c>
      <c r="BP58" s="925">
        <f>Table!F12</f>
        <v>83</v>
      </c>
      <c r="BR58" s="764"/>
      <c r="BS58" s="455"/>
      <c r="BT58" s="455"/>
      <c r="BU58" s="925" t="s">
        <v>242</v>
      </c>
      <c r="BV58" s="895"/>
      <c r="BW58" s="912"/>
      <c r="BX58" s="925" t="str">
        <f>Table!H11</f>
        <v>Double</v>
      </c>
      <c r="CH58" s="764">
        <f>IF(BN58=999,0,(BO59-BO58)/(BN58-BM58))</f>
        <v>50.000000000000014</v>
      </c>
      <c r="CI58" s="925">
        <f>IF(BN58=999,0,(BP59-BP58)/(BN58-BM58))</f>
        <v>50.000000000000014</v>
      </c>
      <c r="CJ58" s="759"/>
      <c r="CK58" s="188"/>
      <c r="CL58" s="979">
        <f>VLOOKUP(I58,Prodlink,2,0)</f>
        <v>0</v>
      </c>
      <c r="CN58" s="497">
        <f t="shared" ca="1" si="26"/>
        <v>0</v>
      </c>
      <c r="CO58" s="497">
        <f ca="1">OFFSET($CH$9,CL58-1,-15,1,1)</f>
        <v>0</v>
      </c>
      <c r="CQ58" s="51">
        <v>0</v>
      </c>
      <c r="CR58" s="51">
        <f>IF(K58=$BH$12,$BH$23,IF(K58=$BH$13,$BH$24,10000))</f>
        <v>10000</v>
      </c>
      <c r="CS58" s="51">
        <f ca="1">IF(F58&lt;OFFSET($BM$9,CL58-1,0,1,1),0,IF(F58&lt;OFFSET($BN$9,CL58-1,0,1,1),((F58-OFFSET($BM$9,CL58-1,0,1,1))*OFFSET($CH$9,CL58-1,0,1,1))+OFFSET($BO$9,CL58-1,CQ58,1,1),IF(F58&lt;OFFSET($BN$9,CL58+0,0,1,1),((F58-OFFSET($BM$9,CL58+0,0,1,1))*OFFSET($CH$9,CL58+0,0,1,1))+OFFSET($BO$9,CL58+0,CQ58,1,1),IF(F58&lt;OFFSET($BN$9,CL58+1,0,1,1),((F58-OFFSET($BM$9,CL58+1,0,1,1))*OFFSET($CH$9,CL58+1,0,1,1))+OFFSET($BO$9,CL58+1,CQ58,1,1),IF(F58&lt;OFFSET($BN$9,CL58+2,0,1,1),((F58-OFFSET($BM$9,CL58+2,0,1,1))*OFFSET($CH$9,CL58+2,0,1,1))+OFFSET($BO$9,CL58+2,CQ58,1,1),IF(F58&lt;OFFSET($BN$9,CL58+3,0,1,1),((F58-OFFSET($BM$9,CL58+3,0,1,1))*OFFSET($CH$9,CL58+3,0,1,1))+OFFSET($BO$9,CL58+3,CQ58,1,1),0))))))</f>
        <v>0</v>
      </c>
      <c r="CT58" s="51">
        <f ca="1">IF($F58&lt;OFFSET($BM$9,$CL58-1,0,1,1),0,IF($F58&lt;OFFSET($BN$9,$CL58-1,0,1,1),IF(AND($H58&gt;2.4,Z58&lt;&gt;"e",Z58&lt;&gt;"f"),CX58*2.4/$H58,CX58),IF($F58&lt;OFFSET($BN$9,$CL58+0,0,1,1),IF(AND($H58&gt;2.4,Z58&lt;&gt;"e",Z58&lt;&gt;"f"),CX58*2.4/$H58,CX58),IF($F58&lt;OFFSET($BN$9,$CL58+1,0,1,1),IF(AND($H58&gt;2.4,Z58&lt;&gt;"e",Z58&lt;&gt;"f"),CX58*2.4/$H58,CX58),IF($F58&lt;OFFSET($BN$9,CL58+2,0,1,1),IF(AND($H58&gt;2.4,Z58&lt;&gt;"e",Z58&lt;&gt;"f"),CX58*2.4/$H58,CX58),IF($F58&lt;OFFSET($BN$9,CL58+3,0,1,1),IF(AND($H58&gt;2.4,Z58&lt;&gt;"e",Z58&lt;&gt;"f"),CX58*2.4/$H58,CX58),0)))))*COS(RADIANS($G58)))</f>
        <v>0</v>
      </c>
      <c r="CU58" s="51">
        <f ca="1">IF(F58&lt;OFFSET($BM$9,CL58-1,0,1,1),0,IF(F58&lt;OFFSET($BN$9,CL58-1,0,1,1),((F58-OFFSET($BM$9,CL58-1,0,1,1))*OFFSET($CI$9,CL58-1,0,1,1))+OFFSET($BP$9,CL58-1,CQ58,1,1),IF(F58&lt;OFFSET($BN$9,CL58+0,0,1,1),((F58-OFFSET($BM$9,CL58+0,0,1,1))*OFFSET($CI$9,CL58+0,0,1,1))+OFFSET($BP$9,CL58+0,CQ58,1,1),IF(F58&lt;OFFSET($BN$9,CL58+1,0,1,1),((F58-OFFSET($BM$9,CL58+1,0,1,1))*OFFSET($CI$9,CL58+1,0,1,1))+OFFSET($BP$9,CL58+1,CQ58,1,1),IF(F58&lt;OFFSET($BN$9,CL58+2,0,1,1),((F58-OFFSET($BM$9,CL58+2,0,1,1))*OFFSET($CI$9,CL58+2,0,1,1))+OFFSET($BP$9,CL58+2,CQ58,1,1),IF(F58&lt;OFFSET($BN$9,CL58+3,0,1,1),((F58-OFFSET($BM$9,CL58+3,0,1,1))*OFFSET($CI$9,CL58+3,0,1,1))+OFFSET($BP$9,CL58+3,CQ58,1,1),0))))))</f>
        <v>0</v>
      </c>
      <c r="CV58" s="51">
        <f ca="1">IF($F58&lt;OFFSET($BM$9,$CL58-1,0,1,1),0,IF($F58&lt;OFFSET($BN$9,$CL58-1,0,1,1),IF(AND($H58&gt;2.4,Z58&lt;&gt;"e",Z58&lt;&gt;"f"),CZ58*2.4/$H58,CZ58),IF($F58&lt;OFFSET($BN$9,$CL58+0,0,1,1),IF(AND($H58&gt;2.4,Z58&lt;&gt;"e",Z58&lt;&gt;"f"),CZ58*2.4/$H58,CZ58),IF($F58&lt;OFFSET($BN$9,$CL58+1,0,1,1),IF(AND($H58&gt;2.4,Z58&lt;&gt;"e",Z58&lt;&gt;"f"),CZ58*2.4/$H58,CZ58),IF($F58&lt;OFFSET($BN$9,$CL58+2,0,1,1),IF(AND($H58&gt;2.4,Z58&lt;&gt;"e",Z58&lt;&gt;"f"),CZ58*2.4/$H58,CZ58),IF($F58&lt;OFFSET($BN$9,$CL58+3,0,1,1),IF(AND($H58&gt;2.4,Z58&lt;&gt;"e",Z58&lt;&gt;"f"),CZ58*2.4/$H58,CZ58),0)))))*COS(RADIANS($G58)))</f>
        <v>0</v>
      </c>
      <c r="CW58" s="51">
        <f ca="1">IF(CT58&gt;CR58,CR58,CT58)</f>
        <v>0</v>
      </c>
      <c r="CX58" s="51">
        <f ca="1">IF(CS58&gt;$CR58,$CR58,CS58)</f>
        <v>0</v>
      </c>
      <c r="CY58" s="51">
        <f ca="1">CW58*F58</f>
        <v>0</v>
      </c>
      <c r="CZ58" s="51">
        <f ca="1">IF($CU58&gt;$CR58,$CR58,$CU58)</f>
        <v>0</v>
      </c>
      <c r="DA58" s="51">
        <f ca="1">IF(CV58&gt;CR58,CR58,CV58)</f>
        <v>0</v>
      </c>
      <c r="DB58" s="51">
        <f ca="1">DA58*F58</f>
        <v>0</v>
      </c>
      <c r="DC58" s="993">
        <v>1</v>
      </c>
      <c r="DD58" s="758" t="str">
        <f>IF(OR(D58=BG$12,D58=BG$13),"External",IF(D58=BG$14,"Internal"," "))</f>
        <v xml:space="preserve"> </v>
      </c>
      <c r="DE58" s="51" t="str">
        <f t="shared" ca="1" si="2"/>
        <v/>
      </c>
      <c r="DF58" s="52" t="str">
        <f t="shared" ca="1" si="3"/>
        <v xml:space="preserve"> </v>
      </c>
      <c r="DG58" s="51">
        <f ca="1">IF(F58&lt;OFFSET($BM$9,CN58-1,0,1,1),0,IF(F58&lt;OFFSET($BN$9,CN58-1,0,1,1),((F58-OFFSET($BM$9,CN58-1,0,1,1))*OFFSET($CH$9,CN58-1,0,1,1))+OFFSET($BO$9,CN58-1,CQ58,1,1),IF(F58&lt;OFFSET($BN$9,CN58+0,0,1,1),((F58-OFFSET($BM$9,CN58+0,0,1,1))*OFFSET($CH$9,CN58+0,0,1,1))+OFFSET($BO$9,CN58+0,CQ58,1,1),IF(F58&lt;OFFSET($BN$9,CN58+1,0,1,1),((F58-OFFSET($BM$9,CN58+1,0,1,1))*OFFSET($CH$9,CN58+1,0,1,1))+OFFSET($BO$9,CN58+1,CQ58,1,1),IF(F58&lt;OFFSET($BN$9,CN58+2,0,1,1),((F58-OFFSET($BM$9,CN58+2,0,1,1))*OFFSET($CH$9,CN58+2,0,1,1))+OFFSET($BO$9,CN58+2,CQ58,1,1),IF(F58&lt;OFFSET($BN$9,CN58+3,0,1,1),((F58-OFFSET($BM$9,CN58+3,0,1,1))*OFFSET($CH$9,CN58+3,0,1,1))+OFFSET($BO$9,CN58+3,CQ58,1,1),0))))))</f>
        <v>0</v>
      </c>
      <c r="DH58" s="51">
        <f ca="1">IF($F58&lt;OFFSET($BM$9,$CN58-1,0,1,1),0,IF($F58&lt;OFFSET($BN$9,$CN58-1,0,1,1),IF(AND($H58&gt;2.4,Z58&lt;&gt;"e",Z58&lt;&gt;"f"),DL58*2.4/$H58,DL58),IF($F58&lt;OFFSET($BN$9,$CN58+0,0,1,1),IF(AND($H58&gt;2.4,Z58&lt;&gt;"e",Z58&lt;&gt;"f"),DL58*2.4/$H58,DL58),IF($F58&lt;OFFSET($BN$9,$CN58+1,0,1,1),IF(AND($H58&gt;2.4,Z58&lt;&gt;"e",Z58&lt;&gt;"f"),DL58*2.4/$H58,DL58),IF($F58&lt;OFFSET($BN$9,$CN58+2,0,1,1),IF(AND($H58&gt;2.4,Z58&lt;&gt;"e",Z58&lt;&gt;"f"),DL58*2.4/$H58,DL58),IF($F58&lt;OFFSET($BN$9,$CN58+3,0,1,1),IF(AND($H58&gt;2.4,Z58&lt;&gt;"e",Z58&lt;&gt;"f"),DL58*2.4/$H58,DL58),0)))))*COS(RADIANS($G58)))</f>
        <v>0</v>
      </c>
      <c r="DI58" s="51">
        <f ca="1">IF(F58&lt;OFFSET($BM$9,CN58-1,0,1,1),0,IF(F58&lt;OFFSET($BN$9,CN58-1,0,1,1),((F58-OFFSET($BM$9,CN58-1,0,1,1))*OFFSET($CI$9,CN58-1,0,1,1))+OFFSET($BP$9,CN58-1,CQ58,1,1),IF(F58&lt;OFFSET($BN$9,CN58+0,0,1,1),((F58-OFFSET($BM$9,CN58+0,0,1,1))*OFFSET($CI$9,CN58+0,0,1,1))+OFFSET($BP$9,CN58+0,CQ58,1,1),IF(F58&lt;OFFSET($BN$9,CN58+1,0,1,1),((F58-OFFSET($BM$9,CN58+1,0,1,1))*OFFSET($CI$9,CN58+1,0,1,1))+OFFSET($BP$9,CN58+1,CQ58,1,1),IF(F58&lt;OFFSET($BN$9,CN58+2,0,1,1),((F58-OFFSET($BM$9,CN58+2,0,1,1))*OFFSET($CI$9,CN58+2,0,1,1))+OFFSET($BP$9,CN58+2,CQ58,1,1),IF(F58&lt;OFFSET($BN$9,CN58+3,0,1,1),((F58-OFFSET($BM$9,CN58+3,0,1,1))*OFFSET($CI$9,CN58+3,0,1,1))+OFFSET($BP$9,CN58+3,CQ58,1,1),0))))))</f>
        <v>0</v>
      </c>
      <c r="DJ58" s="51">
        <f ca="1">IF($F58&lt;OFFSET($BM$9,$CN58-1,0,1,1),0,IF($F58&lt;OFFSET($BN$9,$CN58-1,0,1,1),IF(AND($H58&gt;2.4,Z58&lt;&gt;"e",Z58&lt;&gt;"f"),DN58*2.4/$H58,DN58),IF($F58&lt;OFFSET($BN$9,$CN58+0,0,1,1),IF(AND($H58&gt;2.4,Z58&lt;&gt;"e",Z58&lt;&gt;"f"),DN58*2.4/$H58,DN58),IF($F58&lt;OFFSET($BN$9,$CN58+1,0,1,1),IF(AND($H58&gt;2.4,Z58&lt;&gt;"e",Z58&lt;&gt;"f"),DN58*2.4/$H58,DN58),IF($F58&lt;OFFSET($BN$9,$CN58+2,0,1,1),IF(AND($H58&gt;2.4,Z58&lt;&gt;"e",Z58&lt;&gt;"f"),DN58*2.4/$H58,DN58),IF($F58&lt;OFFSET($BN$9,$CN58+3,0,1,1),IF(AND($H58&gt;2.4,Z58&lt;&gt;"e",Z58&lt;&gt;"f"),DN58*2.4/$H58,DN58),0)))))*COS(RADIANS($G58)))</f>
        <v>0</v>
      </c>
      <c r="DK58" s="51"/>
      <c r="DL58" s="51">
        <f ca="1">IF(DG58&gt;$CR58,$CR58,DG58)</f>
        <v>0</v>
      </c>
      <c r="DM58" s="51"/>
      <c r="DN58" s="51">
        <f ca="1">IF(DI58&gt;$CR58,$CR58,DI58)</f>
        <v>0</v>
      </c>
      <c r="DO58" s="435">
        <f ca="1">IF(DH58&gt;$CR58,$CR58,DH58)</f>
        <v>0</v>
      </c>
      <c r="DP58" s="435">
        <f ca="1">DO58*F58</f>
        <v>0</v>
      </c>
      <c r="DQ58" s="436">
        <f ca="1">IF(DJ58&gt;$CR58,$CR58,DJ58)</f>
        <v>0</v>
      </c>
      <c r="DR58" s="437">
        <f ca="1">DQ58*F58</f>
        <v>0</v>
      </c>
      <c r="DS58" s="426">
        <f ca="1">OFFSET($CH$9,CL58-1,-15,1,1)</f>
        <v>0</v>
      </c>
      <c r="DT58" s="426">
        <f ca="1">VLOOKUP(DS58,Prodlink,2,0)</f>
        <v>0</v>
      </c>
      <c r="DU58" s="188">
        <f ca="1">IF(F58&lt;OFFSET($BM$9,DT58-1,0,1,1),0,IF(F58&lt;OFFSET($BN$9,DT58-1,0,1,1),((F58-OFFSET($BM$9,DT58-1,0,1,1))*OFFSET($CH$9,DT58-1,0,1,1))+OFFSET($BO$9,DT58-1,CQ58,1,1),IF(F58&lt;OFFSET($BN$9,DT58+0,0,1,1),((F58-OFFSET($BM$9,DT58+0,0,1,1))*OFFSET($CH$9,DT58+0,0,1,1))+OFFSET($BO$9,DT58+0,CQ58,1,1),IF(F58&lt;OFFSET($BN$9,DT58+1,0,1,1),((F58-OFFSET($BM$9,DT58+1,0,1,1))*OFFSET($CH$9,DT58+1,0,1,1))+OFFSET($BO$9,DT58+1,CQ58,1,1),IF(F58&lt;OFFSET($BN$9,DT58+2,0,1,1),((F58-OFFSET($BM$9,DT58+2,0,1,1))*OFFSET($CH$9,DT58+2,0,1,1))+OFFSET($BO$9,DT58+2,CQ58,1,1),IF(F58&lt;OFFSET($BN$9,DT58+3,0,1,1),((F58-OFFSET($BM$9,DT58+3,0,1,1))*OFFSET($CH$9,DT58+3,0,1,1))+OFFSET($BO$9,DT58+3,CQ58,1,1),0))))))</f>
        <v>0</v>
      </c>
      <c r="DV58" s="51">
        <f ca="1">IF($F58&lt;OFFSET($BM$9,$DT58-1,0,1,1),0,IF($F58&lt;OFFSET($BN$9,$DT58-1,0,1,1),IF(AND($H58&gt;2.4,Z58&lt;&gt;"e",Z58&lt;&gt;"f"),DZ58*2.4/$H58,DZ58),IF($F58&lt;OFFSET($BN$9,$DT58+0,0,1,1),IF(AND($H58&gt;2.4,Z58&lt;&gt;"e",Z58&lt;&gt;"f"),DZ58*2.4/$H58,DZ58),IF($F58&lt;OFFSET($BN$9,$DT58+1,0,1,1),IF(AND($H58&gt;2.4,Z58&lt;&gt;"e",Z58&lt;&gt;"f"),DZ58*2.4/$H58,DZ58),IF($F58&lt;OFFSET($BN$9,$DT58+2,0,1,1),IF(AND($H58&gt;2.4,Z58&lt;&gt;"e",Z58&lt;&gt;"f"),DZ58*2.4/$H58,DZ58),IF($F58&lt;OFFSET($BN$9,$DT58+3,0,1,1),IF(AND($H58&gt;2.4,Z58&lt;&gt;"e",Z58&lt;&gt;"f"),DZ58*2.4/$H58,DZ58),0)))))*COS(RADIANS($G58)))</f>
        <v>0</v>
      </c>
      <c r="DW58" s="188">
        <f ca="1">IF(F58&lt;OFFSET($BM$9,DT58-1,0,1,1),0,IF(F58&lt;OFFSET($BN$9,DT58-1,0,1,1),((F58-OFFSET($BM$9,DT58-1,0,1,1))*OFFSET($CI$9,DT58-1,0,1,1))+OFFSET($BP$9,DT58-1,CQ58,1,1),IF(F58&lt;OFFSET($BN$9,DT58+0,0,1,1),((F58-OFFSET($BM$9,DT58+0,0,1,1))*OFFSET($CI$9,DT58+0,0,1,1))+OFFSET($BP$9,DT58+0,CQ58,1,1),IF(F58&lt;OFFSET($BN$9,DT58+1,0,1,1),((F58-OFFSET($BM$9,DT58+1,0,1,1))*OFFSET($CI$9,DT58+1,0,1,1))+OFFSET($BP$9,DT58+1,CQ58,1,1),IF(F58&lt;OFFSET($BN$9,DT58+2,0,1,1),((F58-OFFSET($BM$9,DT58+2,0,1,1))*OFFSET($CI$9,DT58+2,0,1,1))+OFFSET($BP$9,DT58+2,CQ58,1,1),IF(F58&lt;OFFSET($BN$9,DT58+3,0,1,1),((F58-OFFSET($BM$9,DT58+3,0,1,1))*OFFSET($CI$9,DT58+3,0,1,1))+OFFSET($BP$9,DT58+3,CQ58,1,1),0))))))</f>
        <v>0</v>
      </c>
      <c r="DX58" s="51">
        <f ca="1">IF($F58&lt;OFFSET($BM$9,$DT58-1,0,1,1),0,IF($F58&lt;OFFSET($BN$9,$DT58-1,0,1,1),IF(AND($H58&gt;2.4,Z58&lt;&gt;"e",Z58&lt;&gt;"f"),EB58*2.4/$H58,EB58),IF($F58&lt;OFFSET($BN$9,$DT58+0,0,1,1),IF(AND($H58&gt;2.4,Z58&lt;&gt;"e",Z58&lt;&gt;"f"),EB58*2.4/$H58,EB58),IF($F58&lt;OFFSET($BN$9,$DT58+1,0,1,1),IF(AND($H58&gt;2.4,Z58&lt;&gt;"e",Z58&lt;&gt;"f"),EB58*2.4/$H58,EB58),IF($F58&lt;OFFSET($BN$9,$DT58+2,0,1,1),IF(AND($H58&gt;2.4,Z58&lt;&gt;"e",Z58&lt;&gt;"f"),EB58*2.4/$H58,EB58),IF($F58&lt;OFFSET($BN$9,$DT58+3,0,1,1),IF(AND($H58&gt;2.4,Z58&lt;&gt;"e",Z58&lt;&gt;"f"),EB58*2.4/$H58,EB58),0)))))*COS(RADIANS($G58)))</f>
        <v>0</v>
      </c>
      <c r="DY58" s="188"/>
      <c r="DZ58" s="188">
        <f ca="1">IF(DU58&gt;$CR58,$CR58,DU58)</f>
        <v>0</v>
      </c>
      <c r="EA58" s="188"/>
      <c r="EB58" s="188">
        <f ca="1">IF(DW58&gt;$CR58,$CR58,DW58)</f>
        <v>0</v>
      </c>
      <c r="EC58" s="435">
        <f ca="1">IF(DV58&gt;$CR58,$CR58,DV58)</f>
        <v>0</v>
      </c>
      <c r="ED58" s="435">
        <f ca="1">EC58*F58</f>
        <v>0</v>
      </c>
      <c r="EE58" s="436">
        <f ca="1">IF(DX58&gt;$CR58,$CR58,DX58)</f>
        <v>0</v>
      </c>
      <c r="EF58" s="437">
        <f ca="1">EE58*F58</f>
        <v>0</v>
      </c>
      <c r="EG58" s="613" t="str">
        <f>IF(D58=BG$12,BG$12,"")</f>
        <v/>
      </c>
      <c r="EH58" s="614" t="str">
        <f>IF(D58=BG$13,BG$13,"")</f>
        <v/>
      </c>
      <c r="EI58" s="611">
        <f>IF(EG58=BG$12,M58,0)</f>
        <v>0</v>
      </c>
      <c r="EJ58" s="451">
        <f>IF(EG58=BG$12,O58,0)</f>
        <v>0</v>
      </c>
      <c r="EK58" s="451">
        <f>IF(EH58=BG$13,M58,0)</f>
        <v>0</v>
      </c>
      <c r="EL58" s="612">
        <f>IF(EH58=BG$13,O58,0)</f>
        <v>0</v>
      </c>
      <c r="EM58" s="426" t="str">
        <f ca="1">IF(AND(Z58&lt;&gt;"t",Z58&lt;&gt;"f"),"",IF(AND(EN58=$BH$13,K58=$BH$12),"NotOpt",IF(K58&lt;&gt;EN58,"Error","")))</f>
        <v/>
      </c>
      <c r="EN58" s="490" t="str">
        <f>IF($BG$28=1,$BH$13,$BH$12)</f>
        <v>120 BU's</v>
      </c>
      <c r="EO58" s="426" t="str">
        <f>K58</f>
        <v xml:space="preserve"> </v>
      </c>
      <c r="ER58" s="439" t="str">
        <f ca="1">IF(H58=0," ",H58)</f>
        <v xml:space="preserve"> </v>
      </c>
      <c r="ES58" s="440" t="str">
        <f ca="1">IF(ER58&lt;&gt;" ",IF(ER58&lt;&gt;ER$7,"Changed",""),"")</f>
        <v/>
      </c>
      <c r="ET58" s="440">
        <f ca="1">IF(ER58&lt;&gt;" ",IF(ER58&lt;&gt;ER$7,1,0),0)</f>
        <v>0</v>
      </c>
      <c r="EU58" s="957" t="str">
        <f ca="1">IF(I58=" "," ",IF(F58&lt;OFFSET($BM$9,CL58-1,0,1,1),1,""))</f>
        <v xml:space="preserve"> </v>
      </c>
      <c r="EW58" s="427"/>
      <c r="EX58"/>
      <c r="EY58"/>
      <c r="EZ58"/>
      <c r="FA58"/>
      <c r="FB58"/>
      <c r="FC58"/>
      <c r="FD58"/>
      <c r="FE58"/>
      <c r="FF58"/>
      <c r="FG58"/>
      <c r="FH58"/>
      <c r="FI58"/>
      <c r="FJ58"/>
      <c r="FK58"/>
      <c r="FL58"/>
      <c r="FM58"/>
      <c r="FN58"/>
      <c r="FO58"/>
    </row>
    <row r="59" spans="1:171" ht="17.100000000000001" customHeight="1">
      <c r="A59" s="2685"/>
      <c r="B59" s="689" t="s">
        <v>246</v>
      </c>
      <c r="C59" s="684" t="str">
        <f>IF(OR(F59=0,I59="",I59=" ")," ",$V59)</f>
        <v xml:space="preserve"> </v>
      </c>
      <c r="D59" s="1033"/>
      <c r="E59" s="1360" t="s">
        <v>8</v>
      </c>
      <c r="F59" s="202"/>
      <c r="G59" s="1416"/>
      <c r="H59" s="199" t="str">
        <f ca="1">IF(OR(F59=0,Z59="E",Z59="f")," ",'Project Demand'!E$45)</f>
        <v xml:space="preserve"> </v>
      </c>
      <c r="I59" s="631" t="str">
        <f>IF($I$6&lt;&gt;$BG$8," ",AB59)</f>
        <v xml:space="preserve"> </v>
      </c>
      <c r="J59" s="44" t="str">
        <f ca="1">IF(OR(I59=" ",I59="")," ",OFFSET($BO$9,CL59-1,0-4,1,1))</f>
        <v xml:space="preserve"> </v>
      </c>
      <c r="K59" s="55" t="str">
        <f>IF(OR(I59=" ",I59="")," ",IF(OR(Z59="e",Z59="h"),"SD",BG$24))</f>
        <v xml:space="preserve"> </v>
      </c>
      <c r="L59" s="49">
        <f ca="1">CW59</f>
        <v>0</v>
      </c>
      <c r="M59" s="49">
        <f ca="1">CY59</f>
        <v>0</v>
      </c>
      <c r="N59" s="50">
        <f t="shared" ca="1" si="31"/>
        <v>0</v>
      </c>
      <c r="O59" s="126">
        <f t="shared" ca="1" si="31"/>
        <v>0</v>
      </c>
      <c r="P59" s="140"/>
      <c r="Q59" s="752" t="str">
        <f ca="1">IF(AND(OR(Z59="t",Z59="f"),K59=$BH$11),"No Floor!  Change Floor Type",IF(OR(I59=" ",I59="")," ",IF(F59&lt;OFFSET($BM$9,CL59-1,0,1,1),"check L(m)",DE59&amp;IF(AND(DP59&gt;=CY59,DR59&gt;=DB59),IF(AND(ED59&gt;=DP59,EF59&gt;=DR59),CONCATENATE(DS59," will provide same result"),CONCATENATE(CO59," will provide same result")),IF((DP59&gt;=CY59),CONCATENATE(CO59," provides same result in WIND"),IF((DR59&gt;=DB59),CONCATENATE(CO59," provides same result in EQ"),""))))))&amp;IF(ISERROR(FIND("pile",I59,1)),"",IF(INT(F59)&lt;&gt;F59,"Pile!  Use Whole Numbers Only",""))</f>
        <v xml:space="preserve"> </v>
      </c>
      <c r="R59" s="52"/>
      <c r="S59" s="1372"/>
      <c r="T59" s="1372"/>
      <c r="U59" s="1377"/>
      <c r="V59" s="52" t="str">
        <f ca="1">IF(AND(B$5=$BF$9,OR(I59=BH$16,I59=BH$17))," ",IF(ISNUMBER(B$56),(CONCATENATE(B$56,".",W59)),(CONCATENATE(B$56,W59))))</f>
        <v>I0</v>
      </c>
      <c r="W59" s="9">
        <f ca="1">W58+X59</f>
        <v>0</v>
      </c>
      <c r="X59" s="9">
        <f>IF(AND(B$5=$BF$9,OR($I59=$BH$16,$I59=$BH$17,$I59=" ",$I59="",$F59=0)),0,IF(OR($I59=" ",$I59="",$F59=0),0,1))</f>
        <v>0</v>
      </c>
      <c r="Y59" s="896"/>
      <c r="Z59" s="52" t="str">
        <f ca="1">IF(I59=" "," ",OFFSET($BM$9,$CL59-1,8,1,1))</f>
        <v xml:space="preserve"> </v>
      </c>
      <c r="AA59" s="51" t="str">
        <f>IF(G59&gt;=45,"WA","")</f>
        <v/>
      </c>
      <c r="AB59" s="1364" t="str">
        <f>IF(F59&lt;&gt;"",IF(OR(D59=$BG$12,D59=$BG$13),IF(E59&lt;&gt;$BG$17,$BF$12,$BF$13),IF(E59&lt;&gt;$BG$17,$BF$12,$BF$13))," ")</f>
        <v xml:space="preserve"> </v>
      </c>
      <c r="AC59" s="1"/>
      <c r="AK59" s="63" t="str">
        <f>'Custom Elements'!B20</f>
        <v xml:space="preserve">  </v>
      </c>
      <c r="AL59" s="860" t="str">
        <f>'Custom Elements'!C20</f>
        <v>Custom12</v>
      </c>
      <c r="AM59" s="11">
        <f>'Custom Elements'!D20</f>
        <v>9.9999999999999996E-76</v>
      </c>
      <c r="AN59" s="7">
        <f>'Custom Elements'!E20</f>
        <v>0</v>
      </c>
      <c r="AO59" s="7">
        <f>'Custom Elements'!F20</f>
        <v>0</v>
      </c>
      <c r="AP59" s="762" t="str">
        <f>'Custom Elements'!G20</f>
        <v>B</v>
      </c>
      <c r="AQ59" s="1777" t="str">
        <f>'Custom Elements'!H20</f>
        <v>Single</v>
      </c>
      <c r="AR59" s="1775" t="str">
        <f>'Custom Elements'!I20</f>
        <v>Yes</v>
      </c>
      <c r="AS59" s="442" t="str">
        <f>'Custom Elements'!J20</f>
        <v>Yes</v>
      </c>
      <c r="AT59" s="1598"/>
      <c r="AU59" s="1155"/>
      <c r="AZ59" s="442" t="str">
        <f>IF(AND('Custom Elements'!J20="Yes",'Custom Elements'!I20="Yes"),"T",IF('Custom Elements'!J20="Yes","F",IF('Custom Elements'!I20="Yes","H","E")))</f>
        <v>T</v>
      </c>
      <c r="BD59" s="638"/>
      <c r="BE59" s="2717" t="str">
        <f>IF($BE$3=1,BE57,BE58)</f>
        <v>"Min Bu's entered &lt; 100"</v>
      </c>
      <c r="BF59" s="2718"/>
      <c r="BG59" s="2718"/>
      <c r="BH59" s="479"/>
      <c r="BI59" s="759"/>
      <c r="BJ59" s="897">
        <f t="shared" si="27"/>
        <v>51</v>
      </c>
      <c r="BK59" s="764"/>
      <c r="BL59" s="766"/>
      <c r="BM59" s="455">
        <f>Table!D13</f>
        <v>0.9</v>
      </c>
      <c r="BN59" s="455">
        <f>BM60</f>
        <v>1.2</v>
      </c>
      <c r="BO59" s="455">
        <f>Table!E13</f>
        <v>98</v>
      </c>
      <c r="BP59" s="925">
        <f>Table!F13</f>
        <v>88</v>
      </c>
      <c r="BR59" s="764"/>
      <c r="BS59" s="455"/>
      <c r="BT59" s="455"/>
      <c r="BU59" s="925" t="s">
        <v>242</v>
      </c>
      <c r="BV59" s="895"/>
      <c r="BW59" s="912"/>
      <c r="BX59" s="925" t="str">
        <f>Table!H11</f>
        <v>Double</v>
      </c>
      <c r="CH59" s="764">
        <f>IF(BN59=999,0,(BO60-BO59)/(BN59-BM59))</f>
        <v>0</v>
      </c>
      <c r="CI59" s="925">
        <f>IF(BN59=999,0,(BP60-BP59)/(BN59-BM59))</f>
        <v>0</v>
      </c>
      <c r="CJ59" s="759"/>
      <c r="CK59" s="188"/>
      <c r="CL59" s="979">
        <f>VLOOKUP(I59,Prodlink,2,0)</f>
        <v>0</v>
      </c>
      <c r="CN59" s="497">
        <f t="shared" ca="1" si="26"/>
        <v>0</v>
      </c>
      <c r="CO59" s="497">
        <f ca="1">OFFSET($CH$9,CL59-1,-15,1,1)</f>
        <v>0</v>
      </c>
      <c r="CQ59" s="51">
        <v>0</v>
      </c>
      <c r="CR59" s="51">
        <f>IF(K59=$BH$12,$BH$23,IF(K59=$BH$13,$BH$24,10000))</f>
        <v>10000</v>
      </c>
      <c r="CS59" s="51">
        <f ca="1">IF(F59&lt;OFFSET($BM$9,CL59-1,0,1,1),0,IF(F59&lt;OFFSET($BN$9,CL59-1,0,1,1),((F59-OFFSET($BM$9,CL59-1,0,1,1))*OFFSET($CH$9,CL59-1,0,1,1))+OFFSET($BO$9,CL59-1,CQ59,1,1),IF(F59&lt;OFFSET($BN$9,CL59+0,0,1,1),((F59-OFFSET($BM$9,CL59+0,0,1,1))*OFFSET($CH$9,CL59+0,0,1,1))+OFFSET($BO$9,CL59+0,CQ59,1,1),IF(F59&lt;OFFSET($BN$9,CL59+1,0,1,1),((F59-OFFSET($BM$9,CL59+1,0,1,1))*OFFSET($CH$9,CL59+1,0,1,1))+OFFSET($BO$9,CL59+1,CQ59,1,1),IF(F59&lt;OFFSET($BN$9,CL59+2,0,1,1),((F59-OFFSET($BM$9,CL59+2,0,1,1))*OFFSET($CH$9,CL59+2,0,1,1))+OFFSET($BO$9,CL59+2,CQ59,1,1),IF(F59&lt;OFFSET($BN$9,CL59+3,0,1,1),((F59-OFFSET($BM$9,CL59+3,0,1,1))*OFFSET($CH$9,CL59+3,0,1,1))+OFFSET($BO$9,CL59+3,CQ59,1,1),0))))))</f>
        <v>0</v>
      </c>
      <c r="CT59" s="51">
        <f ca="1">IF($F59&lt;OFFSET($BM$9,$CL59-1,0,1,1),0,IF($F59&lt;OFFSET($BN$9,$CL59-1,0,1,1),IF(AND($H59&gt;2.4,Z59&lt;&gt;"e",Z59&lt;&gt;"f"),CX59*2.4/$H59,CX59),IF($F59&lt;OFFSET($BN$9,$CL59+0,0,1,1),IF(AND($H59&gt;2.4,Z59&lt;&gt;"e",Z59&lt;&gt;"f"),CX59*2.4/$H59,CX59),IF($F59&lt;OFFSET($BN$9,$CL59+1,0,1,1),IF(AND($H59&gt;2.4,Z59&lt;&gt;"e",Z59&lt;&gt;"f"),CX59*2.4/$H59,CX59),IF($F59&lt;OFFSET($BN$9,CL59+2,0,1,1),IF(AND($H59&gt;2.4,Z59&lt;&gt;"e",Z59&lt;&gt;"f"),CX59*2.4/$H59,CX59),IF($F59&lt;OFFSET($BN$9,CL59+3,0,1,1),IF(AND($H59&gt;2.4,Z59&lt;&gt;"e",Z59&lt;&gt;"f"),CX59*2.4/$H59,CX59),0)))))*COS(RADIANS($G59)))</f>
        <v>0</v>
      </c>
      <c r="CU59" s="51">
        <f ca="1">IF(F59&lt;OFFSET($BM$9,CL59-1,0,1,1),0,IF(F59&lt;OFFSET($BN$9,CL59-1,0,1,1),((F59-OFFSET($BM$9,CL59-1,0,1,1))*OFFSET($CI$9,CL59-1,0,1,1))+OFFSET($BP$9,CL59-1,CQ59,1,1),IF(F59&lt;OFFSET($BN$9,CL59+0,0,1,1),((F59-OFFSET($BM$9,CL59+0,0,1,1))*OFFSET($CI$9,CL59+0,0,1,1))+OFFSET($BP$9,CL59+0,CQ59,1,1),IF(F59&lt;OFFSET($BN$9,CL59+1,0,1,1),((F59-OFFSET($BM$9,CL59+1,0,1,1))*OFFSET($CI$9,CL59+1,0,1,1))+OFFSET($BP$9,CL59+1,CQ59,1,1),IF(F59&lt;OFFSET($BN$9,CL59+2,0,1,1),((F59-OFFSET($BM$9,CL59+2,0,1,1))*OFFSET($CI$9,CL59+2,0,1,1))+OFFSET($BP$9,CL59+2,CQ59,1,1),IF(F59&lt;OFFSET($BN$9,CL59+3,0,1,1),((F59-OFFSET($BM$9,CL59+3,0,1,1))*OFFSET($CI$9,CL59+3,0,1,1))+OFFSET($BP$9,CL59+3,CQ59,1,1),0))))))</f>
        <v>0</v>
      </c>
      <c r="CV59" s="51">
        <f ca="1">IF($F59&lt;OFFSET($BM$9,$CL59-1,0,1,1),0,IF($F59&lt;OFFSET($BN$9,$CL59-1,0,1,1),IF(AND($H59&gt;2.4,Z59&lt;&gt;"e",Z59&lt;&gt;"f"),CZ59*2.4/$H59,CZ59),IF($F59&lt;OFFSET($BN$9,$CL59+0,0,1,1),IF(AND($H59&gt;2.4,Z59&lt;&gt;"e",Z59&lt;&gt;"f"),CZ59*2.4/$H59,CZ59),IF($F59&lt;OFFSET($BN$9,$CL59+1,0,1,1),IF(AND($H59&gt;2.4,Z59&lt;&gt;"e",Z59&lt;&gt;"f"),CZ59*2.4/$H59,CZ59),IF($F59&lt;OFFSET($BN$9,$CL59+2,0,1,1),IF(AND($H59&gt;2.4,Z59&lt;&gt;"e",Z59&lt;&gt;"f"),CZ59*2.4/$H59,CZ59),IF($F59&lt;OFFSET($BN$9,$CL59+3,0,1,1),IF(AND($H59&gt;2.4,Z59&lt;&gt;"e",Z59&lt;&gt;"f"),CZ59*2.4/$H59,CZ59),0)))))*COS(RADIANS($G59)))</f>
        <v>0</v>
      </c>
      <c r="CW59" s="51">
        <f ca="1">IF(CT59&gt;CR59,CR59,CT59)</f>
        <v>0</v>
      </c>
      <c r="CX59" s="51">
        <f ca="1">IF(CS59&gt;$CR59,$CR59,CS59)</f>
        <v>0</v>
      </c>
      <c r="CY59" s="51">
        <f ca="1">CW59*F59</f>
        <v>0</v>
      </c>
      <c r="CZ59" s="51">
        <f ca="1">IF($CU59&gt;$CR59,$CR59,$CU59)</f>
        <v>0</v>
      </c>
      <c r="DA59" s="51">
        <f ca="1">IF(CV59&gt;CR59,CR59,CV59)</f>
        <v>0</v>
      </c>
      <c r="DB59" s="51">
        <f ca="1">DA59*F59</f>
        <v>0</v>
      </c>
      <c r="DC59" s="993">
        <v>1</v>
      </c>
      <c r="DD59" s="758" t="str">
        <f>IF(OR(D59=BG$12,D59=BG$13),"External",IF(D59=BG$14,"Internal"," "))</f>
        <v xml:space="preserve"> </v>
      </c>
      <c r="DE59" s="51" t="str">
        <f t="shared" ca="1" si="2"/>
        <v/>
      </c>
      <c r="DF59" s="52" t="str">
        <f t="shared" ca="1" si="3"/>
        <v xml:space="preserve"> </v>
      </c>
      <c r="DG59" s="51">
        <f ca="1">IF(F59&lt;OFFSET($BM$9,CN59-1,0,1,1),0,IF(F59&lt;OFFSET($BN$9,CN59-1,0,1,1),((F59-OFFSET($BM$9,CN59-1,0,1,1))*OFFSET($CH$9,CN59-1,0,1,1))+OFFSET($BO$9,CN59-1,CQ59,1,1),IF(F59&lt;OFFSET($BN$9,CN59+0,0,1,1),((F59-OFFSET($BM$9,CN59+0,0,1,1))*OFFSET($CH$9,CN59+0,0,1,1))+OFFSET($BO$9,CN59+0,CQ59,1,1),IF(F59&lt;OFFSET($BN$9,CN59+1,0,1,1),((F59-OFFSET($BM$9,CN59+1,0,1,1))*OFFSET($CH$9,CN59+1,0,1,1))+OFFSET($BO$9,CN59+1,CQ59,1,1),IF(F59&lt;OFFSET($BN$9,CN59+2,0,1,1),((F59-OFFSET($BM$9,CN59+2,0,1,1))*OFFSET($CH$9,CN59+2,0,1,1))+OFFSET($BO$9,CN59+2,CQ59,1,1),IF(F59&lt;OFFSET($BN$9,CN59+3,0,1,1),((F59-OFFSET($BM$9,CN59+3,0,1,1))*OFFSET($CH$9,CN59+3,0,1,1))+OFFSET($BO$9,CN59+3,CQ59,1,1),0))))))</f>
        <v>0</v>
      </c>
      <c r="DH59" s="51">
        <f ca="1">IF($F59&lt;OFFSET($BM$9,$CN59-1,0,1,1),0,IF($F59&lt;OFFSET($BN$9,$CN59-1,0,1,1),IF(AND($H59&gt;2.4,Z59&lt;&gt;"e",Z59&lt;&gt;"f"),DL59*2.4/$H59,DL59),IF($F59&lt;OFFSET($BN$9,$CN59+0,0,1,1),IF(AND($H59&gt;2.4,Z59&lt;&gt;"e",Z59&lt;&gt;"f"),DL59*2.4/$H59,DL59),IF($F59&lt;OFFSET($BN$9,$CN59+1,0,1,1),IF(AND($H59&gt;2.4,Z59&lt;&gt;"e",Z59&lt;&gt;"f"),DL59*2.4/$H59,DL59),IF($F59&lt;OFFSET($BN$9,$CN59+2,0,1,1),IF(AND($H59&gt;2.4,Z59&lt;&gt;"e",Z59&lt;&gt;"f"),DL59*2.4/$H59,DL59),IF($F59&lt;OFFSET($BN$9,$CN59+3,0,1,1),IF(AND($H59&gt;2.4,Z59&lt;&gt;"e",Z59&lt;&gt;"f"),DL59*2.4/$H59,DL59),0)))))*COS(RADIANS($G59)))</f>
        <v>0</v>
      </c>
      <c r="DI59" s="51">
        <f ca="1">IF(F59&lt;OFFSET($BM$9,CN59-1,0,1,1),0,IF(F59&lt;OFFSET($BN$9,CN59-1,0,1,1),((F59-OFFSET($BM$9,CN59-1,0,1,1))*OFFSET($CI$9,CN59-1,0,1,1))+OFFSET($BP$9,CN59-1,CQ59,1,1),IF(F59&lt;OFFSET($BN$9,CN59+0,0,1,1),((F59-OFFSET($BM$9,CN59+0,0,1,1))*OFFSET($CI$9,CN59+0,0,1,1))+OFFSET($BP$9,CN59+0,CQ59,1,1),IF(F59&lt;OFFSET($BN$9,CN59+1,0,1,1),((F59-OFFSET($BM$9,CN59+1,0,1,1))*OFFSET($CI$9,CN59+1,0,1,1))+OFFSET($BP$9,CN59+1,CQ59,1,1),IF(F59&lt;OFFSET($BN$9,CN59+2,0,1,1),((F59-OFFSET($BM$9,CN59+2,0,1,1))*OFFSET($CI$9,CN59+2,0,1,1))+OFFSET($BP$9,CN59+2,CQ59,1,1),IF(F59&lt;OFFSET($BN$9,CN59+3,0,1,1),((F59-OFFSET($BM$9,CN59+3,0,1,1))*OFFSET($CI$9,CN59+3,0,1,1))+OFFSET($BP$9,CN59+3,CQ59,1,1),0))))))</f>
        <v>0</v>
      </c>
      <c r="DJ59" s="51">
        <f ca="1">IF($F59&lt;OFFSET($BM$9,$CN59-1,0,1,1),0,IF($F59&lt;OFFSET($BN$9,$CN59-1,0,1,1),IF(AND($H59&gt;2.4,Z59&lt;&gt;"e",Z59&lt;&gt;"f"),DN59*2.4/$H59,DN59),IF($F59&lt;OFFSET($BN$9,$CN59+0,0,1,1),IF(AND($H59&gt;2.4,Z59&lt;&gt;"e",Z59&lt;&gt;"f"),DN59*2.4/$H59,DN59),IF($F59&lt;OFFSET($BN$9,$CN59+1,0,1,1),IF(AND($H59&gt;2.4,Z59&lt;&gt;"e",Z59&lt;&gt;"f"),DN59*2.4/$H59,DN59),IF($F59&lt;OFFSET($BN$9,$CN59+2,0,1,1),IF(AND($H59&gt;2.4,Z59&lt;&gt;"e",Z59&lt;&gt;"f"),DN59*2.4/$H59,DN59),IF($F59&lt;OFFSET($BN$9,$CN59+3,0,1,1),IF(AND($H59&gt;2.4,Z59&lt;&gt;"e",Z59&lt;&gt;"f"),DN59*2.4/$H59,DN59),0)))))*COS(RADIANS($G59)))</f>
        <v>0</v>
      </c>
      <c r="DK59" s="51"/>
      <c r="DL59" s="51">
        <f ca="1">IF(DG59&gt;$CR59,$CR59,DG59)</f>
        <v>0</v>
      </c>
      <c r="DM59" s="51"/>
      <c r="DN59" s="51">
        <f ca="1">IF(DI59&gt;$CR59,$CR59,DI59)</f>
        <v>0</v>
      </c>
      <c r="DO59" s="435">
        <f ca="1">IF(DH59&gt;$CR59,$CR59,DH59)</f>
        <v>0</v>
      </c>
      <c r="DP59" s="435">
        <f ca="1">DO59*F59</f>
        <v>0</v>
      </c>
      <c r="DQ59" s="436">
        <f ca="1">IF(DJ59&gt;$CR59,$CR59,DJ59)</f>
        <v>0</v>
      </c>
      <c r="DR59" s="437">
        <f ca="1">DQ59*F59</f>
        <v>0</v>
      </c>
      <c r="DS59" s="426">
        <f ca="1">OFFSET($CH$9,CL59-1,-15,1,1)</f>
        <v>0</v>
      </c>
      <c r="DT59" s="426">
        <f ca="1">VLOOKUP(DS59,Prodlink,2,0)</f>
        <v>0</v>
      </c>
      <c r="DU59" s="188">
        <f ca="1">IF(F59&lt;OFFSET($BM$9,DT59-1,0,1,1),0,IF(F59&lt;OFFSET($BN$9,DT59-1,0,1,1),((F59-OFFSET($BM$9,DT59-1,0,1,1))*OFFSET($CH$9,DT59-1,0,1,1))+OFFSET($BO$9,DT59-1,CQ59,1,1),IF(F59&lt;OFFSET($BN$9,DT59+0,0,1,1),((F59-OFFSET($BM$9,DT59+0,0,1,1))*OFFSET($CH$9,DT59+0,0,1,1))+OFFSET($BO$9,DT59+0,CQ59,1,1),IF(F59&lt;OFFSET($BN$9,DT59+1,0,1,1),((F59-OFFSET($BM$9,DT59+1,0,1,1))*OFFSET($CH$9,DT59+1,0,1,1))+OFFSET($BO$9,DT59+1,CQ59,1,1),IF(F59&lt;OFFSET($BN$9,DT59+2,0,1,1),((F59-OFFSET($BM$9,DT59+2,0,1,1))*OFFSET($CH$9,DT59+2,0,1,1))+OFFSET($BO$9,DT59+2,CQ59,1,1),IF(F59&lt;OFFSET($BN$9,DT59+3,0,1,1),((F59-OFFSET($BM$9,DT59+3,0,1,1))*OFFSET($CH$9,DT59+3,0,1,1))+OFFSET($BO$9,DT59+3,CQ59,1,1),0))))))</f>
        <v>0</v>
      </c>
      <c r="DV59" s="51">
        <f ca="1">IF($F59&lt;OFFSET($BM$9,$DT59-1,0,1,1),0,IF($F59&lt;OFFSET($BN$9,$DT59-1,0,1,1),IF(AND($H59&gt;2.4,Z59&lt;&gt;"e",Z59&lt;&gt;"f"),DZ59*2.4/$H59,DZ59),IF($F59&lt;OFFSET($BN$9,$DT59+0,0,1,1),IF(AND($H59&gt;2.4,Z59&lt;&gt;"e",Z59&lt;&gt;"f"),DZ59*2.4/$H59,DZ59),IF($F59&lt;OFFSET($BN$9,$DT59+1,0,1,1),IF(AND($H59&gt;2.4,Z59&lt;&gt;"e",Z59&lt;&gt;"f"),DZ59*2.4/$H59,DZ59),IF($F59&lt;OFFSET($BN$9,$DT59+2,0,1,1),IF(AND($H59&gt;2.4,Z59&lt;&gt;"e",Z59&lt;&gt;"f"),DZ59*2.4/$H59,DZ59),IF($F59&lt;OFFSET($BN$9,$DT59+3,0,1,1),IF(AND($H59&gt;2.4,Z59&lt;&gt;"e",Z59&lt;&gt;"f"),DZ59*2.4/$H59,DZ59),0)))))*COS(RADIANS($G59)))</f>
        <v>0</v>
      </c>
      <c r="DW59" s="188">
        <f ca="1">IF(F59&lt;OFFSET($BM$9,DT59-1,0,1,1),0,IF(F59&lt;OFFSET($BN$9,DT59-1,0,1,1),((F59-OFFSET($BM$9,DT59-1,0,1,1))*OFFSET($CI$9,DT59-1,0,1,1))+OFFSET($BP$9,DT59-1,CQ59,1,1),IF(F59&lt;OFFSET($BN$9,DT59+0,0,1,1),((F59-OFFSET($BM$9,DT59+0,0,1,1))*OFFSET($CI$9,DT59+0,0,1,1))+OFFSET($BP$9,DT59+0,CQ59,1,1),IF(F59&lt;OFFSET($BN$9,DT59+1,0,1,1),((F59-OFFSET($BM$9,DT59+1,0,1,1))*OFFSET($CI$9,DT59+1,0,1,1))+OFFSET($BP$9,DT59+1,CQ59,1,1),IF(F59&lt;OFFSET($BN$9,DT59+2,0,1,1),((F59-OFFSET($BM$9,DT59+2,0,1,1))*OFFSET($CI$9,DT59+2,0,1,1))+OFFSET($BP$9,DT59+2,CQ59,1,1),IF(F59&lt;OFFSET($BN$9,DT59+3,0,1,1),((F59-OFFSET($BM$9,DT59+3,0,1,1))*OFFSET($CI$9,DT59+3,0,1,1))+OFFSET($BP$9,DT59+3,CQ59,1,1),0))))))</f>
        <v>0</v>
      </c>
      <c r="DX59" s="51">
        <f ca="1">IF($F59&lt;OFFSET($BM$9,$DT59-1,0,1,1),0,IF($F59&lt;OFFSET($BN$9,$DT59-1,0,1,1),IF(AND($H59&gt;2.4,Z59&lt;&gt;"e",Z59&lt;&gt;"f"),EB59*2.4/$H59,EB59),IF($F59&lt;OFFSET($BN$9,$DT59+0,0,1,1),IF(AND($H59&gt;2.4,Z59&lt;&gt;"e",Z59&lt;&gt;"f"),EB59*2.4/$H59,EB59),IF($F59&lt;OFFSET($BN$9,$DT59+1,0,1,1),IF(AND($H59&gt;2.4,Z59&lt;&gt;"e",Z59&lt;&gt;"f"),EB59*2.4/$H59,EB59),IF($F59&lt;OFFSET($BN$9,$DT59+2,0,1,1),IF(AND($H59&gt;2.4,Z59&lt;&gt;"e",Z59&lt;&gt;"f"),EB59*2.4/$H59,EB59),IF($F59&lt;OFFSET($BN$9,$DT59+3,0,1,1),IF(AND($H59&gt;2.4,Z59&lt;&gt;"e",Z59&lt;&gt;"f"),EB59*2.4/$H59,EB59),0)))))*COS(RADIANS($G59)))</f>
        <v>0</v>
      </c>
      <c r="DY59" s="188"/>
      <c r="DZ59" s="188">
        <f ca="1">IF(DU59&gt;$CR59,$CR59,DU59)</f>
        <v>0</v>
      </c>
      <c r="EA59" s="188"/>
      <c r="EB59" s="188">
        <f ca="1">IF(DW59&gt;$CR59,$CR59,DW59)</f>
        <v>0</v>
      </c>
      <c r="EC59" s="435">
        <f ca="1">IF(DV59&gt;$CR59,$CR59,DV59)</f>
        <v>0</v>
      </c>
      <c r="ED59" s="435">
        <f ca="1">EC59*F59</f>
        <v>0</v>
      </c>
      <c r="EE59" s="436">
        <f ca="1">IF(DX59&gt;$CR59,$CR59,DX59)</f>
        <v>0</v>
      </c>
      <c r="EF59" s="437">
        <f ca="1">EE59*F59</f>
        <v>0</v>
      </c>
      <c r="EG59" s="613" t="str">
        <f>IF(D59=BG$12,BG$12,"")</f>
        <v/>
      </c>
      <c r="EH59" s="614" t="str">
        <f>IF(D59=BG$13,BG$13,"")</f>
        <v/>
      </c>
      <c r="EI59" s="611">
        <f>IF(EG59=BG$12,M59,0)</f>
        <v>0</v>
      </c>
      <c r="EJ59" s="451">
        <f>IF(EG59=BG$12,O59,0)</f>
        <v>0</v>
      </c>
      <c r="EK59" s="451">
        <f>IF(EH59=BG$13,M59,0)</f>
        <v>0</v>
      </c>
      <c r="EL59" s="612">
        <f>IF(EH59=BG$13,O59,0)</f>
        <v>0</v>
      </c>
      <c r="EM59" s="426" t="str">
        <f ca="1">IF(AND(Z59&lt;&gt;"t",Z59&lt;&gt;"f"),"",IF(AND(EN59=$BH$13,K59=$BH$12),"NotOpt",IF(K59&lt;&gt;EN59,"Error","")))</f>
        <v/>
      </c>
      <c r="EN59" s="490" t="str">
        <f>IF($BG$28=1,$BH$13,$BH$12)</f>
        <v>120 BU's</v>
      </c>
      <c r="EO59" s="426" t="str">
        <f>K59</f>
        <v xml:space="preserve"> </v>
      </c>
      <c r="ER59" s="439" t="str">
        <f ca="1">IF(H59=0," ",H59)</f>
        <v xml:space="preserve"> </v>
      </c>
      <c r="ES59" s="440" t="str">
        <f ca="1">IF(ER59&lt;&gt;" ",IF(ER59&lt;&gt;ER$7,"Changed",""),"")</f>
        <v/>
      </c>
      <c r="ET59" s="440">
        <f ca="1">IF(ER59&lt;&gt;" ",IF(ER59&lt;&gt;ER$7,1,0),0)</f>
        <v>0</v>
      </c>
      <c r="EU59" s="957" t="str">
        <f ca="1">IF(I59=" "," ",IF(F59&lt;OFFSET($BM$9,CL59-1,0,1,1),1,""))</f>
        <v xml:space="preserve"> </v>
      </c>
      <c r="EW59" s="427"/>
      <c r="EX59"/>
      <c r="EY59"/>
      <c r="EZ59"/>
      <c r="FA59"/>
      <c r="FB59"/>
      <c r="FC59"/>
      <c r="FD59"/>
      <c r="FE59"/>
      <c r="FF59"/>
      <c r="FG59"/>
      <c r="FH59"/>
      <c r="FI59"/>
      <c r="FJ59"/>
      <c r="FK59"/>
      <c r="FL59"/>
      <c r="FM59"/>
      <c r="FN59"/>
      <c r="FO59"/>
    </row>
    <row r="60" spans="1:171" ht="17.100000000000001" customHeight="1" thickBot="1">
      <c r="A60" s="2685"/>
      <c r="B60" s="689" t="s">
        <v>246</v>
      </c>
      <c r="C60" s="684" t="str">
        <f>IF(OR(F60=0,I60="",I60=" ")," ",$V60)</f>
        <v xml:space="preserve"> </v>
      </c>
      <c r="D60" s="1033"/>
      <c r="E60" s="1360" t="s">
        <v>8</v>
      </c>
      <c r="F60" s="202"/>
      <c r="G60" s="1416"/>
      <c r="H60" s="199" t="str">
        <f ca="1">IF(OR(F60=0,Z60="E",Z60="f")," ",'Project Demand'!E$45)</f>
        <v xml:space="preserve"> </v>
      </c>
      <c r="I60" s="631" t="str">
        <f>IF($I$6&lt;&gt;$BG$8," ",AB60)</f>
        <v xml:space="preserve"> </v>
      </c>
      <c r="J60" s="44" t="str">
        <f ca="1">IF(OR(I60=" ",I60="")," ",OFFSET($BO$9,CL60-1,0-4,1,1))</f>
        <v xml:space="preserve"> </v>
      </c>
      <c r="K60" s="55" t="str">
        <f>IF(OR(I60=" ",I60="")," ",IF(OR(Z60="e",Z60="h"),"SD",BG$24))</f>
        <v xml:space="preserve"> </v>
      </c>
      <c r="L60" s="49">
        <f ca="1">CW60</f>
        <v>0</v>
      </c>
      <c r="M60" s="49">
        <f ca="1">CY60</f>
        <v>0</v>
      </c>
      <c r="N60" s="50">
        <f t="shared" ca="1" si="31"/>
        <v>0</v>
      </c>
      <c r="O60" s="126">
        <f t="shared" ca="1" si="31"/>
        <v>0</v>
      </c>
      <c r="P60" s="140"/>
      <c r="Q60" s="752" t="str">
        <f ca="1">IF(AND(OR(Z60="t",Z60="f"),K60=$BH$11),"No Floor!  Change Floor Type",IF(OR(I60=" ",I60="")," ",IF(F60&lt;OFFSET($BM$9,CL60-1,0,1,1),"check L(m)",DE60&amp;IF(AND(DP60&gt;=CY60,DR60&gt;=DB60),IF(AND(ED60&gt;=DP60,EF60&gt;=DR60),CONCATENATE(DS60," will provide same result"),CONCATENATE(CO60," will provide same result")),IF((DP60&gt;=CY60),CONCATENATE(CO60," provides same result in WIND"),IF((DR60&gt;=DB60),CONCATENATE(CO60," provides same result in EQ"),""))))))&amp;IF(ISERROR(FIND("pile",I60,1)),"",IF(INT(F60)&lt;&gt;F60,"Pile!  Use Whole Numbers Only",""))</f>
        <v xml:space="preserve"> </v>
      </c>
      <c r="R60" s="52"/>
      <c r="S60" s="1372"/>
      <c r="T60" s="1372"/>
      <c r="U60" s="1377"/>
      <c r="V60" s="52" t="str">
        <f ca="1">IF(AND(B$5=$BF$9,OR(I60=BH$16,I60=BH$17))," ",IF(ISNUMBER(B$56),(CONCATENATE(B$56,".",W60)),(CONCATENATE(B$56,W60))))</f>
        <v>I0</v>
      </c>
      <c r="W60" s="9">
        <f ca="1">W59+X60</f>
        <v>0</v>
      </c>
      <c r="X60" s="9">
        <f>IF(AND(B$5=$BF$9,OR($I60=$BH$16,$I60=$BH$17,$I60=" ",$I60="",$F60=0)),0,IF(OR($I60=" ",$I60="",$F60=0),0,1))</f>
        <v>0</v>
      </c>
      <c r="Y60" s="896"/>
      <c r="Z60" s="52" t="str">
        <f ca="1">IF(I60=" "," ",OFFSET($BM$9,$CL60-1,8,1,1))</f>
        <v xml:space="preserve"> </v>
      </c>
      <c r="AA60" s="51" t="str">
        <f>IF(G60&gt;=45,"WA","")</f>
        <v/>
      </c>
      <c r="AB60" s="1364" t="str">
        <f>IF(F60&lt;&gt;"",IF(OR(D60=$BG$12,D60=$BG$13),IF(E60&lt;&gt;$BG$17,$BF$12,$BF$13),IF(E60&lt;&gt;$BG$17,$BF$12,$BF$13))," ")</f>
        <v xml:space="preserve"> </v>
      </c>
      <c r="AC60" s="1"/>
      <c r="AK60" s="63" t="str">
        <f>'Custom Elements'!B21</f>
        <v xml:space="preserve">  </v>
      </c>
      <c r="AL60" s="860" t="str">
        <f>'Custom Elements'!C21</f>
        <v>Custom13</v>
      </c>
      <c r="AM60" s="11">
        <f>'Custom Elements'!D21</f>
        <v>9.9999999999999996E-76</v>
      </c>
      <c r="AN60" s="7">
        <f>'Custom Elements'!E21</f>
        <v>0</v>
      </c>
      <c r="AO60" s="7">
        <f>'Custom Elements'!F21</f>
        <v>0</v>
      </c>
      <c r="AP60" s="762" t="str">
        <f>'Custom Elements'!G21</f>
        <v>B</v>
      </c>
      <c r="AQ60" s="1777" t="str">
        <f>'Custom Elements'!H21</f>
        <v>Single</v>
      </c>
      <c r="AR60" s="1775" t="str">
        <f>'Custom Elements'!I21</f>
        <v>Yes</v>
      </c>
      <c r="AS60" s="442" t="str">
        <f>'Custom Elements'!J21</f>
        <v>Yes</v>
      </c>
      <c r="AT60" s="1598"/>
      <c r="AU60" s="1155"/>
      <c r="AZ60" s="442" t="str">
        <f>IF(AND('Custom Elements'!J21="Yes",'Custom Elements'!I21="Yes"),"T",IF('Custom Elements'!J21="Yes","F",IF('Custom Elements'!I21="Yes","H","E")))</f>
        <v>T</v>
      </c>
      <c r="BD60" s="638"/>
      <c r="BE60" s="1020"/>
      <c r="BF60" s="1020"/>
      <c r="BG60" s="1020"/>
      <c r="BH60" s="479"/>
      <c r="BI60" s="759"/>
      <c r="BJ60" s="897">
        <f t="shared" si="27"/>
        <v>52</v>
      </c>
      <c r="BK60" s="908"/>
      <c r="BL60" s="767"/>
      <c r="BM60" s="776">
        <f>Table!D14</f>
        <v>1.2</v>
      </c>
      <c r="BN60" s="776">
        <v>999</v>
      </c>
      <c r="BO60" s="776">
        <f>Table!E14</f>
        <v>98</v>
      </c>
      <c r="BP60" s="926">
        <f>Table!F14</f>
        <v>88</v>
      </c>
      <c r="BQ60" s="1183"/>
      <c r="BR60" s="908"/>
      <c r="BS60" s="776"/>
      <c r="BT60" s="776"/>
      <c r="BU60" s="926" t="s">
        <v>242</v>
      </c>
      <c r="BV60" s="433"/>
      <c r="BW60" s="914"/>
      <c r="BX60" s="926" t="str">
        <f>Table!H11</f>
        <v>Double</v>
      </c>
      <c r="CH60" s="908">
        <f>IF(BN60=999,0,(BO61-BO60)/(BN60-BM60))</f>
        <v>0</v>
      </c>
      <c r="CI60" s="926">
        <f>IF(BN60=999,0,(BP61-BP60)/(BN60-BM60))</f>
        <v>0</v>
      </c>
      <c r="CJ60" s="759"/>
      <c r="CK60" s="188"/>
      <c r="CL60" s="979">
        <f>VLOOKUP(I60,Prodlink,2,0)</f>
        <v>0</v>
      </c>
      <c r="CN60" s="497">
        <f t="shared" ca="1" si="26"/>
        <v>0</v>
      </c>
      <c r="CO60" s="497">
        <f ca="1">OFFSET($CH$9,CL60-1,-15,1,1)</f>
        <v>0</v>
      </c>
      <c r="CQ60" s="51">
        <v>0</v>
      </c>
      <c r="CR60" s="51">
        <f>IF(K60=$BH$12,$BH$23,IF(K60=$BH$13,$BH$24,10000))</f>
        <v>10000</v>
      </c>
      <c r="CS60" s="51">
        <f ca="1">IF(F60&lt;OFFSET($BM$9,CL60-1,0,1,1),0,IF(F60&lt;OFFSET($BN$9,CL60-1,0,1,1),((F60-OFFSET($BM$9,CL60-1,0,1,1))*OFFSET($CH$9,CL60-1,0,1,1))+OFFSET($BO$9,CL60-1,CQ60,1,1),IF(F60&lt;OFFSET($BN$9,CL60+0,0,1,1),((F60-OFFSET($BM$9,CL60+0,0,1,1))*OFFSET($CH$9,CL60+0,0,1,1))+OFFSET($BO$9,CL60+0,CQ60,1,1),IF(F60&lt;OFFSET($BN$9,CL60+1,0,1,1),((F60-OFFSET($BM$9,CL60+1,0,1,1))*OFFSET($CH$9,CL60+1,0,1,1))+OFFSET($BO$9,CL60+1,CQ60,1,1),IF(F60&lt;OFFSET($BN$9,CL60+2,0,1,1),((F60-OFFSET($BM$9,CL60+2,0,1,1))*OFFSET($CH$9,CL60+2,0,1,1))+OFFSET($BO$9,CL60+2,CQ60,1,1),IF(F60&lt;OFFSET($BN$9,CL60+3,0,1,1),((F60-OFFSET($BM$9,CL60+3,0,1,1))*OFFSET($CH$9,CL60+3,0,1,1))+OFFSET($BO$9,CL60+3,CQ60,1,1),0))))))</f>
        <v>0</v>
      </c>
      <c r="CT60" s="51">
        <f ca="1">IF($F60&lt;OFFSET($BM$9,$CL60-1,0,1,1),0,IF($F60&lt;OFFSET($BN$9,$CL60-1,0,1,1),IF(AND($H60&gt;2.4,Z60&lt;&gt;"e",Z60&lt;&gt;"f"),CX60*2.4/$H60,CX60),IF($F60&lt;OFFSET($BN$9,$CL60+0,0,1,1),IF(AND($H60&gt;2.4,Z60&lt;&gt;"e",Z60&lt;&gt;"f"),CX60*2.4/$H60,CX60),IF($F60&lt;OFFSET($BN$9,$CL60+1,0,1,1),IF(AND($H60&gt;2.4,Z60&lt;&gt;"e",Z60&lt;&gt;"f"),CX60*2.4/$H60,CX60),IF($F60&lt;OFFSET($BN$9,CL60+2,0,1,1),IF(AND($H60&gt;2.4,Z60&lt;&gt;"e",Z60&lt;&gt;"f"),CX60*2.4/$H60,CX60),IF($F60&lt;OFFSET($BN$9,CL60+3,0,1,1),IF(AND($H60&gt;2.4,Z60&lt;&gt;"e",Z60&lt;&gt;"f"),CX60*2.4/$H60,CX60),0)))))*COS(RADIANS($G60)))</f>
        <v>0</v>
      </c>
      <c r="CU60" s="51">
        <f ca="1">IF(F60&lt;OFFSET($BM$9,CL60-1,0,1,1),0,IF(F60&lt;OFFSET($BN$9,CL60-1,0,1,1),((F60-OFFSET($BM$9,CL60-1,0,1,1))*OFFSET($CI$9,CL60-1,0,1,1))+OFFSET($BP$9,CL60-1,CQ60,1,1),IF(F60&lt;OFFSET($BN$9,CL60+0,0,1,1),((F60-OFFSET($BM$9,CL60+0,0,1,1))*OFFSET($CI$9,CL60+0,0,1,1))+OFFSET($BP$9,CL60+0,CQ60,1,1),IF(F60&lt;OFFSET($BN$9,CL60+1,0,1,1),((F60-OFFSET($BM$9,CL60+1,0,1,1))*OFFSET($CI$9,CL60+1,0,1,1))+OFFSET($BP$9,CL60+1,CQ60,1,1),IF(F60&lt;OFFSET($BN$9,CL60+2,0,1,1),((F60-OFFSET($BM$9,CL60+2,0,1,1))*OFFSET($CI$9,CL60+2,0,1,1))+OFFSET($BP$9,CL60+2,CQ60,1,1),IF(F60&lt;OFFSET($BN$9,CL60+3,0,1,1),((F60-OFFSET($BM$9,CL60+3,0,1,1))*OFFSET($CI$9,CL60+3,0,1,1))+OFFSET($BP$9,CL60+3,CQ60,1,1),0))))))</f>
        <v>0</v>
      </c>
      <c r="CV60" s="51">
        <f ca="1">IF($F60&lt;OFFSET($BM$9,$CL60-1,0,1,1),0,IF($F60&lt;OFFSET($BN$9,$CL60-1,0,1,1),IF(AND($H60&gt;2.4,Z60&lt;&gt;"e",Z60&lt;&gt;"f"),CZ60*2.4/$H60,CZ60),IF($F60&lt;OFFSET($BN$9,$CL60+0,0,1,1),IF(AND($H60&gt;2.4,Z60&lt;&gt;"e",Z60&lt;&gt;"f"),CZ60*2.4/$H60,CZ60),IF($F60&lt;OFFSET($BN$9,$CL60+1,0,1,1),IF(AND($H60&gt;2.4,Z60&lt;&gt;"e",Z60&lt;&gt;"f"),CZ60*2.4/$H60,CZ60),IF($F60&lt;OFFSET($BN$9,$CL60+2,0,1,1),IF(AND($H60&gt;2.4,Z60&lt;&gt;"e",Z60&lt;&gt;"f"),CZ60*2.4/$H60,CZ60),IF($F60&lt;OFFSET($BN$9,$CL60+3,0,1,1),IF(AND($H60&gt;2.4,Z60&lt;&gt;"e",Z60&lt;&gt;"f"),CZ60*2.4/$H60,CZ60),0)))))*COS(RADIANS($G60)))</f>
        <v>0</v>
      </c>
      <c r="CW60" s="51">
        <f ca="1">IF(CT60&gt;CR60,CR60,CT60)</f>
        <v>0</v>
      </c>
      <c r="CX60" s="51">
        <f ca="1">IF(CS60&gt;$CR60,$CR60,CS60)</f>
        <v>0</v>
      </c>
      <c r="CY60" s="51">
        <f ca="1">CW60*F60</f>
        <v>0</v>
      </c>
      <c r="CZ60" s="51">
        <f ca="1">IF($CU60&gt;$CR60,$CR60,$CU60)</f>
        <v>0</v>
      </c>
      <c r="DA60" s="51">
        <f ca="1">IF(CV60&gt;CR60,CR60,CV60)</f>
        <v>0</v>
      </c>
      <c r="DB60" s="51">
        <f ca="1">DA60*F60</f>
        <v>0</v>
      </c>
      <c r="DC60" s="993">
        <v>1</v>
      </c>
      <c r="DD60" s="758" t="str">
        <f>IF(OR(D60=BG$12,D60=BG$13),"External",IF(D60=BG$14,"Internal"," "))</f>
        <v xml:space="preserve"> </v>
      </c>
      <c r="DE60" s="51" t="str">
        <f t="shared" ca="1" si="2"/>
        <v/>
      </c>
      <c r="DF60" s="52" t="str">
        <f t="shared" ca="1" si="3"/>
        <v xml:space="preserve"> </v>
      </c>
      <c r="DG60" s="51">
        <f ca="1">IF(F60&lt;OFFSET($BM$9,CN60-1,0,1,1),0,IF(F60&lt;OFFSET($BN$9,CN60-1,0,1,1),((F60-OFFSET($BM$9,CN60-1,0,1,1))*OFFSET($CH$9,CN60-1,0,1,1))+OFFSET($BO$9,CN60-1,CQ60,1,1),IF(F60&lt;OFFSET($BN$9,CN60+0,0,1,1),((F60-OFFSET($BM$9,CN60+0,0,1,1))*OFFSET($CH$9,CN60+0,0,1,1))+OFFSET($BO$9,CN60+0,CQ60,1,1),IF(F60&lt;OFFSET($BN$9,CN60+1,0,1,1),((F60-OFFSET($BM$9,CN60+1,0,1,1))*OFFSET($CH$9,CN60+1,0,1,1))+OFFSET($BO$9,CN60+1,CQ60,1,1),IF(F60&lt;OFFSET($BN$9,CN60+2,0,1,1),((F60-OFFSET($BM$9,CN60+2,0,1,1))*OFFSET($CH$9,CN60+2,0,1,1))+OFFSET($BO$9,CN60+2,CQ60,1,1),IF(F60&lt;OFFSET($BN$9,CN60+3,0,1,1),((F60-OFFSET($BM$9,CN60+3,0,1,1))*OFFSET($CH$9,CN60+3,0,1,1))+OFFSET($BO$9,CN60+3,CQ60,1,1),0))))))</f>
        <v>0</v>
      </c>
      <c r="DH60" s="51">
        <f ca="1">IF($F60&lt;OFFSET($BM$9,$CN60-1,0,1,1),0,IF($F60&lt;OFFSET($BN$9,$CN60-1,0,1,1),IF(AND($H60&gt;2.4,Z60&lt;&gt;"e",Z60&lt;&gt;"f"),DL60*2.4/$H60,DL60),IF($F60&lt;OFFSET($BN$9,$CN60+0,0,1,1),IF(AND($H60&gt;2.4,Z60&lt;&gt;"e",Z60&lt;&gt;"f"),DL60*2.4/$H60,DL60),IF($F60&lt;OFFSET($BN$9,$CN60+1,0,1,1),IF(AND($H60&gt;2.4,Z60&lt;&gt;"e",Z60&lt;&gt;"f"),DL60*2.4/$H60,DL60),IF($F60&lt;OFFSET($BN$9,$CN60+2,0,1,1),IF(AND($H60&gt;2.4,Z60&lt;&gt;"e",Z60&lt;&gt;"f"),DL60*2.4/$H60,DL60),IF($F60&lt;OFFSET($BN$9,$CN60+3,0,1,1),IF(AND($H60&gt;2.4,Z60&lt;&gt;"e",Z60&lt;&gt;"f"),DL60*2.4/$H60,DL60),0)))))*COS(RADIANS($G60)))</f>
        <v>0</v>
      </c>
      <c r="DI60" s="51">
        <f ca="1">IF(F60&lt;OFFSET($BM$9,CN60-1,0,1,1),0,IF(F60&lt;OFFSET($BN$9,CN60-1,0,1,1),((F60-OFFSET($BM$9,CN60-1,0,1,1))*OFFSET($CI$9,CN60-1,0,1,1))+OFFSET($BP$9,CN60-1,CQ60,1,1),IF(F60&lt;OFFSET($BN$9,CN60+0,0,1,1),((F60-OFFSET($BM$9,CN60+0,0,1,1))*OFFSET($CI$9,CN60+0,0,1,1))+OFFSET($BP$9,CN60+0,CQ60,1,1),IF(F60&lt;OFFSET($BN$9,CN60+1,0,1,1),((F60-OFFSET($BM$9,CN60+1,0,1,1))*OFFSET($CI$9,CN60+1,0,1,1))+OFFSET($BP$9,CN60+1,CQ60,1,1),IF(F60&lt;OFFSET($BN$9,CN60+2,0,1,1),((F60-OFFSET($BM$9,CN60+2,0,1,1))*OFFSET($CI$9,CN60+2,0,1,1))+OFFSET($BP$9,CN60+2,CQ60,1,1),IF(F60&lt;OFFSET($BN$9,CN60+3,0,1,1),((F60-OFFSET($BM$9,CN60+3,0,1,1))*OFFSET($CI$9,CN60+3,0,1,1))+OFFSET($BP$9,CN60+3,CQ60,1,1),0))))))</f>
        <v>0</v>
      </c>
      <c r="DJ60" s="51">
        <f ca="1">IF($F60&lt;OFFSET($BM$9,$CN60-1,0,1,1),0,IF($F60&lt;OFFSET($BN$9,$CN60-1,0,1,1),IF(AND($H60&gt;2.4,Z60&lt;&gt;"e",Z60&lt;&gt;"f"),DN60*2.4/$H60,DN60),IF($F60&lt;OFFSET($BN$9,$CN60+0,0,1,1),IF(AND($H60&gt;2.4,Z60&lt;&gt;"e",Z60&lt;&gt;"f"),DN60*2.4/$H60,DN60),IF($F60&lt;OFFSET($BN$9,$CN60+1,0,1,1),IF(AND($H60&gt;2.4,Z60&lt;&gt;"e",Z60&lt;&gt;"f"),DN60*2.4/$H60,DN60),IF($F60&lt;OFFSET($BN$9,$CN60+2,0,1,1),IF(AND($H60&gt;2.4,Z60&lt;&gt;"e",Z60&lt;&gt;"f"),DN60*2.4/$H60,DN60),IF($F60&lt;OFFSET($BN$9,$CN60+3,0,1,1),IF(AND($H60&gt;2.4,Z60&lt;&gt;"e",Z60&lt;&gt;"f"),DN60*2.4/$H60,DN60),0)))))*COS(RADIANS($G60)))</f>
        <v>0</v>
      </c>
      <c r="DK60" s="51"/>
      <c r="DL60" s="51">
        <f ca="1">IF(DG60&gt;$CR60,$CR60,DG60)</f>
        <v>0</v>
      </c>
      <c r="DM60" s="51"/>
      <c r="DN60" s="51">
        <f ca="1">IF(DI60&gt;$CR60,$CR60,DI60)</f>
        <v>0</v>
      </c>
      <c r="DO60" s="435">
        <f ca="1">IF(DH60&gt;$CR60,$CR60,DH60)</f>
        <v>0</v>
      </c>
      <c r="DP60" s="435">
        <f ca="1">DO60*F60</f>
        <v>0</v>
      </c>
      <c r="DQ60" s="436">
        <f ca="1">IF(DJ60&gt;$CR60,$CR60,DJ60)</f>
        <v>0</v>
      </c>
      <c r="DR60" s="437">
        <f ca="1">DQ60*F60</f>
        <v>0</v>
      </c>
      <c r="DS60" s="426">
        <f ca="1">OFFSET($CH$9,CL60-1,-15,1,1)</f>
        <v>0</v>
      </c>
      <c r="DT60" s="426">
        <f ca="1">VLOOKUP(DS60,Prodlink,2,0)</f>
        <v>0</v>
      </c>
      <c r="DU60" s="188">
        <f ca="1">IF(F60&lt;OFFSET($BM$9,DT60-1,0,1,1),0,IF(F60&lt;OFFSET($BN$9,DT60-1,0,1,1),((F60-OFFSET($BM$9,DT60-1,0,1,1))*OFFSET($CH$9,DT60-1,0,1,1))+OFFSET($BO$9,DT60-1,CQ60,1,1),IF(F60&lt;OFFSET($BN$9,DT60+0,0,1,1),((F60-OFFSET($BM$9,DT60+0,0,1,1))*OFFSET($CH$9,DT60+0,0,1,1))+OFFSET($BO$9,DT60+0,CQ60,1,1),IF(F60&lt;OFFSET($BN$9,DT60+1,0,1,1),((F60-OFFSET($BM$9,DT60+1,0,1,1))*OFFSET($CH$9,DT60+1,0,1,1))+OFFSET($BO$9,DT60+1,CQ60,1,1),IF(F60&lt;OFFSET($BN$9,DT60+2,0,1,1),((F60-OFFSET($BM$9,DT60+2,0,1,1))*OFFSET($CH$9,DT60+2,0,1,1))+OFFSET($BO$9,DT60+2,CQ60,1,1),IF(F60&lt;OFFSET($BN$9,DT60+3,0,1,1),((F60-OFFSET($BM$9,DT60+3,0,1,1))*OFFSET($CH$9,DT60+3,0,1,1))+OFFSET($BO$9,DT60+3,CQ60,1,1),0))))))</f>
        <v>0</v>
      </c>
      <c r="DV60" s="51">
        <f ca="1">IF($F60&lt;OFFSET($BM$9,$DT60-1,0,1,1),0,IF($F60&lt;OFFSET($BN$9,$DT60-1,0,1,1),IF(AND($H60&gt;2.4,Z60&lt;&gt;"e",Z60&lt;&gt;"f"),DZ60*2.4/$H60,DZ60),IF($F60&lt;OFFSET($BN$9,$DT60+0,0,1,1),IF(AND($H60&gt;2.4,Z60&lt;&gt;"e",Z60&lt;&gt;"f"),DZ60*2.4/$H60,DZ60),IF($F60&lt;OFFSET($BN$9,$DT60+1,0,1,1),IF(AND($H60&gt;2.4,Z60&lt;&gt;"e",Z60&lt;&gt;"f"),DZ60*2.4/$H60,DZ60),IF($F60&lt;OFFSET($BN$9,$DT60+2,0,1,1),IF(AND($H60&gt;2.4,Z60&lt;&gt;"e",Z60&lt;&gt;"f"),DZ60*2.4/$H60,DZ60),IF($F60&lt;OFFSET($BN$9,$DT60+3,0,1,1),IF(AND($H60&gt;2.4,Z60&lt;&gt;"e",Z60&lt;&gt;"f"),DZ60*2.4/$H60,DZ60),0)))))*COS(RADIANS($G60)))</f>
        <v>0</v>
      </c>
      <c r="DW60" s="188">
        <f ca="1">IF(F60&lt;OFFSET($BM$9,DT60-1,0,1,1),0,IF(F60&lt;OFFSET($BN$9,DT60-1,0,1,1),((F60-OFFSET($BM$9,DT60-1,0,1,1))*OFFSET($CI$9,DT60-1,0,1,1))+OFFSET($BP$9,DT60-1,CQ60,1,1),IF(F60&lt;OFFSET($BN$9,DT60+0,0,1,1),((F60-OFFSET($BM$9,DT60+0,0,1,1))*OFFSET($CI$9,DT60+0,0,1,1))+OFFSET($BP$9,DT60+0,CQ60,1,1),IF(F60&lt;OFFSET($BN$9,DT60+1,0,1,1),((F60-OFFSET($BM$9,DT60+1,0,1,1))*OFFSET($CI$9,DT60+1,0,1,1))+OFFSET($BP$9,DT60+1,CQ60,1,1),IF(F60&lt;OFFSET($BN$9,DT60+2,0,1,1),((F60-OFFSET($BM$9,DT60+2,0,1,1))*OFFSET($CI$9,DT60+2,0,1,1))+OFFSET($BP$9,DT60+2,CQ60,1,1),IF(F60&lt;OFFSET($BN$9,DT60+3,0,1,1),((F60-OFFSET($BM$9,DT60+3,0,1,1))*OFFSET($CI$9,DT60+3,0,1,1))+OFFSET($BP$9,DT60+3,CQ60,1,1),0))))))</f>
        <v>0</v>
      </c>
      <c r="DX60" s="51">
        <f ca="1">IF($F60&lt;OFFSET($BM$9,$DT60-1,0,1,1),0,IF($F60&lt;OFFSET($BN$9,$DT60-1,0,1,1),IF(AND($H60&gt;2.4,Z60&lt;&gt;"e",Z60&lt;&gt;"f"),EB60*2.4/$H60,EB60),IF($F60&lt;OFFSET($BN$9,$DT60+0,0,1,1),IF(AND($H60&gt;2.4,Z60&lt;&gt;"e",Z60&lt;&gt;"f"),EB60*2.4/$H60,EB60),IF($F60&lt;OFFSET($BN$9,$DT60+1,0,1,1),IF(AND($H60&gt;2.4,Z60&lt;&gt;"e",Z60&lt;&gt;"f"),EB60*2.4/$H60,EB60),IF($F60&lt;OFFSET($BN$9,$DT60+2,0,1,1),IF(AND($H60&gt;2.4,Z60&lt;&gt;"e",Z60&lt;&gt;"f"),EB60*2.4/$H60,EB60),IF($F60&lt;OFFSET($BN$9,$DT60+3,0,1,1),IF(AND($H60&gt;2.4,Z60&lt;&gt;"e",Z60&lt;&gt;"f"),EB60*2.4/$H60,EB60),0)))))*COS(RADIANS($G60)))</f>
        <v>0</v>
      </c>
      <c r="DY60" s="188"/>
      <c r="DZ60" s="188">
        <f ca="1">IF(DU60&gt;$CR60,$CR60,DU60)</f>
        <v>0</v>
      </c>
      <c r="EA60" s="188"/>
      <c r="EB60" s="188">
        <f ca="1">IF(DW60&gt;$CR60,$CR60,DW60)</f>
        <v>0</v>
      </c>
      <c r="EC60" s="435">
        <f ca="1">IF(DV60&gt;$CR60,$CR60,DV60)</f>
        <v>0</v>
      </c>
      <c r="ED60" s="435">
        <f ca="1">EC60*F60</f>
        <v>0</v>
      </c>
      <c r="EE60" s="436">
        <f ca="1">IF(DX60&gt;$CR60,$CR60,DX60)</f>
        <v>0</v>
      </c>
      <c r="EF60" s="437">
        <f ca="1">EE60*F60</f>
        <v>0</v>
      </c>
      <c r="EG60" s="613" t="str">
        <f>IF(D60=BG$12,BG$12,"")</f>
        <v/>
      </c>
      <c r="EH60" s="614" t="str">
        <f>IF(D60=BG$13,BG$13,"")</f>
        <v/>
      </c>
      <c r="EI60" s="611">
        <f>IF(EG60=BG$12,M60,0)</f>
        <v>0</v>
      </c>
      <c r="EJ60" s="451">
        <f>IF(EG60=BG$12,O60,0)</f>
        <v>0</v>
      </c>
      <c r="EK60" s="451">
        <f>IF(EH60=BG$13,M60,0)</f>
        <v>0</v>
      </c>
      <c r="EL60" s="612">
        <f>IF(EH60=BG$13,O60,0)</f>
        <v>0</v>
      </c>
      <c r="EM60" s="426" t="str">
        <f ca="1">IF(AND(Z60&lt;&gt;"t",Z60&lt;&gt;"f"),"",IF(AND(EN60=$BH$13,K60=$BH$12),"NotOpt",IF(K60&lt;&gt;EN60,"Error","")))</f>
        <v/>
      </c>
      <c r="EN60" s="490" t="str">
        <f>IF($BG$28=1,$BH$13,$BH$12)</f>
        <v>120 BU's</v>
      </c>
      <c r="EO60" s="426" t="str">
        <f>K60</f>
        <v xml:space="preserve"> </v>
      </c>
      <c r="ER60" s="439" t="str">
        <f ca="1">IF(H60=0," ",H60)</f>
        <v xml:space="preserve"> </v>
      </c>
      <c r="ES60" s="440" t="str">
        <f ca="1">IF(ER60&lt;&gt;" ",IF(ER60&lt;&gt;ER$7,"Changed",""),"")</f>
        <v/>
      </c>
      <c r="ET60" s="440">
        <f ca="1">IF(ER60&lt;&gt;" ",IF(ER60&lt;&gt;ER$7,1,0),0)</f>
        <v>0</v>
      </c>
      <c r="EU60" s="957" t="str">
        <f ca="1">IF(I60=" "," ",IF(F60&lt;OFFSET($BM$9,CL60-1,0,1,1),1,""))</f>
        <v xml:space="preserve"> </v>
      </c>
      <c r="EW60" s="427"/>
      <c r="EX60"/>
      <c r="EY60"/>
      <c r="EZ60"/>
      <c r="FA60"/>
      <c r="FB60"/>
      <c r="FC60"/>
      <c r="FD60"/>
      <c r="FE60"/>
      <c r="FF60"/>
      <c r="FG60"/>
      <c r="FH60"/>
      <c r="FI60"/>
      <c r="FJ60"/>
      <c r="FK60"/>
      <c r="FL60"/>
      <c r="FM60"/>
      <c r="FN60"/>
      <c r="FO60"/>
    </row>
    <row r="61" spans="1:171" ht="17.100000000000001" customHeight="1" thickBot="1">
      <c r="A61" s="2685"/>
      <c r="B61" s="2686" t="s">
        <v>8</v>
      </c>
      <c r="C61" s="2687"/>
      <c r="D61" s="1461" t="s">
        <v>8</v>
      </c>
      <c r="E61" s="659"/>
      <c r="F61" s="659"/>
      <c r="G61" s="659"/>
      <c r="H61" s="659"/>
      <c r="I61" s="1462"/>
      <c r="J61" s="1365" t="str">
        <f ca="1">(CONCATENATE(B56,$BE$54))</f>
        <v>I  Line:  Min. Requirement</v>
      </c>
      <c r="K61" s="23"/>
      <c r="L61" s="1019">
        <f ca="1">L$5</f>
        <v>0</v>
      </c>
      <c r="M61" s="48">
        <f ca="1">IF(B56=B50,SUM(M56:M60)+M55,SUM(M56:M60))</f>
        <v>0</v>
      </c>
      <c r="N61" s="1019">
        <f ca="1">N$5</f>
        <v>0</v>
      </c>
      <c r="O61" s="125">
        <f ca="1">IF(B56=B50,SUM(O56:O60)+O55,SUM(O56:O60))</f>
        <v>0</v>
      </c>
      <c r="P61" s="139"/>
      <c r="Q61" s="42" t="str">
        <f ca="1">IF(B56=B62,"",IF(AND(M61&gt;0,L61=L$5,OR(M61&lt;$M$105,M61&lt;$BF$3)),"Achieved &lt; Min Req per Line",IF(AND(O61&gt;0,N61=N$5,OR(O61&lt;$O$105,O61&lt;$BF$3)),"Achieved &lt; Min Req per Line",IF(AND(M61&gt;0,L61&gt;M61),"More Required on this line",IF(AND(O61&gt;0,N61&gt;O61),"More Required on this line",IF(AND(L61&gt;0,L61&lt;$BF$3),$BE$59,IF(AND(N61&gt;0,N61&lt;$BF$3),$BE$59,"")))))))</f>
        <v/>
      </c>
      <c r="R61" s="52"/>
      <c r="S61" s="52"/>
      <c r="T61" s="52"/>
      <c r="U61" s="1378"/>
      <c r="V61" s="52"/>
      <c r="W61" s="9"/>
      <c r="X61" s="9"/>
      <c r="Y61" s="896"/>
      <c r="Z61" s="52"/>
      <c r="AA61" s="51"/>
      <c r="AB61" s="1364"/>
      <c r="AC61"/>
      <c r="AK61" s="63" t="str">
        <f>'Custom Elements'!B22</f>
        <v xml:space="preserve">  </v>
      </c>
      <c r="AL61" s="860" t="str">
        <f>'Custom Elements'!C22</f>
        <v>Custom14</v>
      </c>
      <c r="AM61" s="11">
        <f>'Custom Elements'!D22</f>
        <v>9.9999999999999996E-76</v>
      </c>
      <c r="AN61" s="7">
        <f>'Custom Elements'!E22</f>
        <v>0</v>
      </c>
      <c r="AO61" s="7">
        <f>'Custom Elements'!F22</f>
        <v>0</v>
      </c>
      <c r="AP61" s="762" t="str">
        <f>'Custom Elements'!G22</f>
        <v>B</v>
      </c>
      <c r="AQ61" s="1777" t="str">
        <f>'Custom Elements'!H22</f>
        <v>Single</v>
      </c>
      <c r="AR61" s="1775" t="str">
        <f>'Custom Elements'!I22</f>
        <v>Yes</v>
      </c>
      <c r="AS61" s="442" t="str">
        <f>'Custom Elements'!J22</f>
        <v>Yes</v>
      </c>
      <c r="AT61" s="1598"/>
      <c r="AU61" s="1155"/>
      <c r="AZ61" s="442" t="str">
        <f>IF(AND('Custom Elements'!J22="Yes",'Custom Elements'!I22="Yes"),"T",IF('Custom Elements'!J22="Yes","F",IF('Custom Elements'!I22="Yes","H","E")))</f>
        <v>T</v>
      </c>
      <c r="BD61" s="641"/>
      <c r="BE61" s="2715" t="s">
        <v>861</v>
      </c>
      <c r="BF61" s="2716"/>
      <c r="BG61" s="2838"/>
      <c r="BH61" s="479"/>
      <c r="BI61" s="759"/>
      <c r="BJ61" s="897">
        <f t="shared" si="27"/>
        <v>53</v>
      </c>
      <c r="BK61" s="1231"/>
      <c r="BL61" s="1232"/>
      <c r="BM61" s="1205"/>
      <c r="BN61" s="1205"/>
      <c r="BO61" s="1205"/>
      <c r="BP61" s="1205"/>
      <c r="BQ61" s="1233"/>
      <c r="BR61" s="1205"/>
      <c r="BS61" s="1205"/>
      <c r="BT61" s="1205"/>
      <c r="BU61" s="1206"/>
      <c r="BV61" s="1227">
        <v>0</v>
      </c>
      <c r="BW61" s="1228">
        <v>0</v>
      </c>
      <c r="BX61" s="1206"/>
      <c r="CH61" s="970"/>
      <c r="CI61" s="971"/>
      <c r="CJ61" s="759"/>
      <c r="CK61" s="188"/>
      <c r="CL61" s="979"/>
      <c r="CN61" s="497"/>
      <c r="CO61" s="497"/>
      <c r="CQ61" s="51"/>
      <c r="CR61" s="51" t="s">
        <v>8</v>
      </c>
      <c r="CS61" s="51"/>
      <c r="CT61" s="51" t="s">
        <v>8</v>
      </c>
      <c r="CU61" s="51"/>
      <c r="CV61" s="51" t="s">
        <v>8</v>
      </c>
      <c r="CW61" s="51"/>
      <c r="CX61" s="51"/>
      <c r="CY61" s="51"/>
      <c r="CZ61" s="51"/>
      <c r="DD61" s="758"/>
      <c r="DF61" s="52"/>
      <c r="DG61" s="51"/>
      <c r="DH61" s="51"/>
      <c r="DI61" s="51"/>
      <c r="DJ61" s="51"/>
      <c r="DK61" s="51"/>
      <c r="DL61" s="51"/>
      <c r="DM61" s="51"/>
      <c r="DN61" s="51"/>
      <c r="DO61" s="435"/>
      <c r="DP61" s="435"/>
      <c r="DQ61" s="868"/>
      <c r="DR61" s="868"/>
      <c r="DU61" s="188"/>
      <c r="DV61" s="188" t="s">
        <v>8</v>
      </c>
      <c r="DW61" s="188"/>
      <c r="DX61" s="188" t="s">
        <v>8</v>
      </c>
      <c r="DY61" s="188"/>
      <c r="DZ61" s="188"/>
      <c r="EA61" s="188"/>
      <c r="EB61" s="188"/>
      <c r="EC61" s="435"/>
      <c r="ED61" s="435"/>
      <c r="EE61" s="868"/>
      <c r="EF61" s="867"/>
      <c r="EG61" s="613"/>
      <c r="EH61" s="614"/>
      <c r="EI61" s="613"/>
      <c r="EJ61" s="435"/>
      <c r="EK61" s="451"/>
      <c r="EL61" s="612"/>
      <c r="EN61" s="947"/>
      <c r="ER61" s="441"/>
      <c r="ES61" s="440"/>
      <c r="ET61" s="440"/>
      <c r="EU61" s="957"/>
      <c r="EW61" s="427"/>
      <c r="EX61"/>
      <c r="EY61"/>
      <c r="EZ61"/>
      <c r="FA61"/>
      <c r="FB61"/>
      <c r="FC61"/>
      <c r="FD61"/>
      <c r="FE61"/>
      <c r="FF61"/>
      <c r="FG61"/>
      <c r="FH61"/>
      <c r="FI61"/>
      <c r="FJ61"/>
      <c r="FK61"/>
      <c r="FL61"/>
      <c r="FM61"/>
      <c r="FN61"/>
      <c r="FO61"/>
    </row>
    <row r="62" spans="1:171" ht="17.100000000000001" customHeight="1" thickBot="1">
      <c r="A62" s="2685"/>
      <c r="B62" s="1369" t="str">
        <f ca="1">S62</f>
        <v>J</v>
      </c>
      <c r="C62" s="684" t="str">
        <f>IF(OR(F62=0,I62="",I62=" ")," ",$V62)</f>
        <v xml:space="preserve"> </v>
      </c>
      <c r="D62" s="1033"/>
      <c r="E62" s="1360" t="s">
        <v>8</v>
      </c>
      <c r="F62" s="202"/>
      <c r="G62" s="1416"/>
      <c r="H62" s="199" t="str">
        <f ca="1">IF(OR(F62=0,Z62="E",Z62="f")," ",'Project Demand'!E$45)</f>
        <v xml:space="preserve"> </v>
      </c>
      <c r="I62" s="631" t="str">
        <f>IF($I$6&lt;&gt;$BG$8," ",AB62)</f>
        <v xml:space="preserve"> </v>
      </c>
      <c r="J62" s="43" t="str">
        <f ca="1">IF(OR(I62=" ",I62="")," ",OFFSET($BO$9,CL62-1,0-4,1,1))</f>
        <v xml:space="preserve"> </v>
      </c>
      <c r="K62" s="55" t="str">
        <f>IF(OR(I62=" ",I62="")," ",IF(OR(Z62="e",Z62="h"),"SD",BG$24))</f>
        <v xml:space="preserve"> </v>
      </c>
      <c r="L62" s="49">
        <f ca="1">CW62</f>
        <v>0</v>
      </c>
      <c r="M62" s="49">
        <f ca="1">CY62</f>
        <v>0</v>
      </c>
      <c r="N62" s="50">
        <f t="shared" ref="N62:O66" ca="1" si="32">DA62</f>
        <v>0</v>
      </c>
      <c r="O62" s="126">
        <f t="shared" ca="1" si="32"/>
        <v>0</v>
      </c>
      <c r="P62" s="140"/>
      <c r="Q62" s="752" t="str">
        <f ca="1">IF(AND(OR(Z62="t",Z62="f"),K62=$BH$11),"No Floor!  Change Floor Type",IF(OR(I62=" ",I62="")," ",IF(F62&lt;OFFSET($BM$9,CL62-1,0,1,1),"check L(m)",DE62&amp;IF(AND(DP62&gt;=CY62,DR62&gt;=DB62),IF(AND(ED62&gt;=DP62,EF62&gt;=DR62),CONCATENATE(DS62," will provide same result"),CONCATENATE(CO62," will provide same result")),IF((DP62&gt;=CY62),CONCATENATE(CO62," provides same result in WIND"),IF((DR62&gt;=DB62),CONCATENATE(CO62," provides same result in EQ"),""))))))&amp;IF(ISERROR(FIND("pile",I62,1)),"",IF(INT(F62)&lt;&gt;F62,"Pile!  Use Whole Numbers Only",""))</f>
        <v xml:space="preserve"> </v>
      </c>
      <c r="R62" s="52">
        <f ca="1">IF(T56&lt;&gt;2,(COLUMN(INDIRECT(B56&amp;1))+1),U62)</f>
        <v>10</v>
      </c>
      <c r="S62" s="1372" t="str">
        <f ca="1">SUBSTITUTE(ADDRESS(1,R62,4),"1","")</f>
        <v>J</v>
      </c>
      <c r="T62" s="451">
        <f ca="1">IF(AND(ISTEXT(B62),SUBSTITUTE(SUBSTITUTE(SUBSTITUTE(SUBSTITUTE(SUBSTITUTE(SUBSTITUTE(SUBSTITUTE(SUBSTITUTE(SUBSTITUTE(SUBSTITUTE(SUBSTITUTE(SUBSTITUTE(SUBSTITUTE(SUBSTITUTE(SUBSTITUTE(SUBSTITUTE(SUBSTITUTE(SUBSTITUTE(SUBSTITUTE(SUBSTITUTE(SUBSTITUTE(SUBSTITUTE(SUBSTITUTE(SUBSTITUTE(SUBSTITUTE(SUBSTITUTE(LOWER(B62),"a",),"b",),"c",),"d",),"e",),"f",),"g",),"h",),"i",),"j",),"k",),"l",),"m",),"n",),"o",),"p",),"q",),"r",),"s",),"t",),"u",),"v",),"w",),"x",),"y",),"z",)=""),1,2)</f>
        <v>1</v>
      </c>
      <c r="U62" s="1377">
        <v>10</v>
      </c>
      <c r="V62" s="52" t="str">
        <f ca="1">IF(AND(B$5=$BF$9,OR(I62=BH$16,I62=BH$17))," ",IF(ISNUMBER(B$62),(CONCATENATE(B$62,".",W62)),(CONCATENATE(B$62,W62))))</f>
        <v>J0</v>
      </c>
      <c r="W62" s="9">
        <f ca="1">IF(B56=B62,W60+X62,X62)</f>
        <v>0</v>
      </c>
      <c r="X62" s="9">
        <f>IF(AND(B$5=$BF$9,OR($I62=$BH$16,$I62=$BH$17,$I62=" ",$I62="",$F62=0)),0,IF(OR($I62=" ",$I62="",$F62=0),0,1))</f>
        <v>0</v>
      </c>
      <c r="Y62" s="896">
        <f ca="1">IF(AND(M67&gt;0,B62&lt;&gt;B68),1,0)</f>
        <v>0</v>
      </c>
      <c r="Z62" s="52" t="str">
        <f ca="1">IF(I62=" "," ",OFFSET($BM$9,$CL62-1,8,1,1))</f>
        <v xml:space="preserve"> </v>
      </c>
      <c r="AA62" s="51" t="str">
        <f>IF(G62&gt;=45,"WA","")</f>
        <v/>
      </c>
      <c r="AB62" s="1364" t="str">
        <f>IF(F62&lt;&gt;"",IF(OR(D62=$BG$12,D62=$BG$13),IF(E62&lt;&gt;$BG$17,$BF$12,$BF$13),IF(E62&lt;&gt;$BG$17,$BF$12,$BF$13))," ")</f>
        <v xml:space="preserve"> </v>
      </c>
      <c r="AC62" s="1"/>
      <c r="AK62" s="63" t="str">
        <f>'Custom Elements'!B23</f>
        <v xml:space="preserve">  </v>
      </c>
      <c r="AL62" s="860" t="str">
        <f>'Custom Elements'!C23</f>
        <v>Custom15</v>
      </c>
      <c r="AM62" s="11">
        <f>'Custom Elements'!D23</f>
        <v>9.9999999999999996E-76</v>
      </c>
      <c r="AN62" s="7">
        <f>'Custom Elements'!E23</f>
        <v>0</v>
      </c>
      <c r="AO62" s="7">
        <f>'Custom Elements'!F23</f>
        <v>0</v>
      </c>
      <c r="AP62" s="762" t="str">
        <f>'Custom Elements'!G23</f>
        <v>B</v>
      </c>
      <c r="AQ62" s="1777" t="str">
        <f>'Custom Elements'!H23</f>
        <v>Single</v>
      </c>
      <c r="AR62" s="1775" t="str">
        <f>'Custom Elements'!I23</f>
        <v>Yes</v>
      </c>
      <c r="AS62" s="442" t="str">
        <f>'Custom Elements'!J23</f>
        <v>Yes</v>
      </c>
      <c r="AT62" s="1598"/>
      <c r="AU62" s="1155"/>
      <c r="AZ62" s="442" t="str">
        <f>IF(AND('Custom Elements'!J23="Yes",'Custom Elements'!I23="Yes"),"T",IF('Custom Elements'!J23="Yes","F",IF('Custom Elements'!I23="Yes","H","E")))</f>
        <v>T</v>
      </c>
      <c r="BD62" s="641"/>
      <c r="BE62" s="2715" t="s">
        <v>905</v>
      </c>
      <c r="BF62" s="2716"/>
      <c r="BG62" s="2838"/>
      <c r="BH62" s="479"/>
      <c r="BI62" s="759"/>
      <c r="BJ62" s="897">
        <f t="shared" si="27"/>
        <v>54</v>
      </c>
      <c r="BK62" s="768" t="str">
        <f>BK56</f>
        <v xml:space="preserve">EPB </v>
      </c>
      <c r="BL62" s="765" t="str">
        <f>Table!O4</f>
        <v>ES-H</v>
      </c>
      <c r="BM62" s="454">
        <f>Table!P4</f>
        <v>0.4</v>
      </c>
      <c r="BN62" s="454">
        <f>BM63</f>
        <v>0.6</v>
      </c>
      <c r="BO62" s="454">
        <f>Table!Q4</f>
        <v>75</v>
      </c>
      <c r="BP62" s="924">
        <f>Table!R4</f>
        <v>75</v>
      </c>
      <c r="BQ62" s="920"/>
      <c r="BR62" s="768" t="str">
        <f>Table!S4</f>
        <v>ES-N</v>
      </c>
      <c r="BS62" s="454" t="str">
        <f>Table!S5</f>
        <v>ES-N</v>
      </c>
      <c r="BT62" s="454" t="str">
        <f>Table!T4</f>
        <v>B</v>
      </c>
      <c r="BU62" s="924" t="s">
        <v>242</v>
      </c>
      <c r="BV62" s="1230" t="str">
        <f>Table!AI74</f>
        <v>ES-H</v>
      </c>
      <c r="BW62" s="1229">
        <f>BJ62</f>
        <v>54</v>
      </c>
      <c r="BX62" s="924" t="str">
        <f>Table!T5</f>
        <v>Single</v>
      </c>
      <c r="CH62" s="768">
        <f>IF(BN62=999,0,(BO63-BO62)/(BN62-BM62))</f>
        <v>100.00000000000003</v>
      </c>
      <c r="CI62" s="924">
        <f>IF(BN62=999,0,(BP63-BP62)/(BN62-BM62))</f>
        <v>25.000000000000007</v>
      </c>
      <c r="CJ62" s="759"/>
      <c r="CK62" s="188"/>
      <c r="CL62" s="979">
        <f>VLOOKUP(I62,Prodlink,2,0)</f>
        <v>0</v>
      </c>
      <c r="CN62" s="497">
        <f t="shared" ca="1" si="26"/>
        <v>0</v>
      </c>
      <c r="CO62" s="497">
        <f ca="1">OFFSET($CH$9,CL62-1,-15,1,1)</f>
        <v>0</v>
      </c>
      <c r="CQ62" s="51">
        <v>0</v>
      </c>
      <c r="CR62" s="51">
        <f>IF(K62=$BH$12,$BH$23,IF(K62=$BH$13,$BH$24,10000))</f>
        <v>10000</v>
      </c>
      <c r="CS62" s="51">
        <f ca="1">IF(F62&lt;OFFSET($BM$9,CL62-1,0,1,1),0,IF(F62&lt;OFFSET($BN$9,CL62-1,0,1,1),((F62-OFFSET($BM$9,CL62-1,0,1,1))*OFFSET($CH$9,CL62-1,0,1,1))+OFFSET($BO$9,CL62-1,CQ62,1,1),IF(F62&lt;OFFSET($BN$9,CL62+0,0,1,1),((F62-OFFSET($BM$9,CL62+0,0,1,1))*OFFSET($CH$9,CL62+0,0,1,1))+OFFSET($BO$9,CL62+0,CQ62,1,1),IF(F62&lt;OFFSET($BN$9,CL62+1,0,1,1),((F62-OFFSET($BM$9,CL62+1,0,1,1))*OFFSET($CH$9,CL62+1,0,1,1))+OFFSET($BO$9,CL62+1,CQ62,1,1),IF(F62&lt;OFFSET($BN$9,CL62+2,0,1,1),((F62-OFFSET($BM$9,CL62+2,0,1,1))*OFFSET($CH$9,CL62+2,0,1,1))+OFFSET($BO$9,CL62+2,CQ62,1,1),IF(F62&lt;OFFSET($BN$9,CL62+3,0,1,1),((F62-OFFSET($BM$9,CL62+3,0,1,1))*OFFSET($CH$9,CL62+3,0,1,1))+OFFSET($BO$9,CL62+3,CQ62,1,1),0))))))</f>
        <v>0</v>
      </c>
      <c r="CT62" s="51">
        <f ca="1">IF($F62&lt;OFFSET($BM$9,$CL62-1,0,1,1),0,IF($F62&lt;OFFSET($BN$9,$CL62-1,0,1,1),IF(AND($H62&gt;2.4,Z62&lt;&gt;"e",Z62&lt;&gt;"f"),CX62*2.4/$H62,CX62),IF($F62&lt;OFFSET($BN$9,$CL62+0,0,1,1),IF(AND($H62&gt;2.4,Z62&lt;&gt;"e",Z62&lt;&gt;"f"),CX62*2.4/$H62,CX62),IF($F62&lt;OFFSET($BN$9,$CL62+1,0,1,1),IF(AND($H62&gt;2.4,Z62&lt;&gt;"e",Z62&lt;&gt;"f"),CX62*2.4/$H62,CX62),IF($F62&lt;OFFSET($BN$9,CL62+2,0,1,1),IF(AND($H62&gt;2.4,Z62&lt;&gt;"e",Z62&lt;&gt;"f"),CX62*2.4/$H62,CX62),IF($F62&lt;OFFSET($BN$9,CL62+3,0,1,1),IF(AND($H62&gt;2.4,Z62&lt;&gt;"e",Z62&lt;&gt;"f"),CX62*2.4/$H62,CX62),0)))))*COS(RADIANS($G62)))</f>
        <v>0</v>
      </c>
      <c r="CU62" s="51">
        <f ca="1">IF(F62&lt;OFFSET($BM$9,CL62-1,0,1,1),0,IF(F62&lt;OFFSET($BN$9,CL62-1,0,1,1),((F62-OFFSET($BM$9,CL62-1,0,1,1))*OFFSET($CI$9,CL62-1,0,1,1))+OFFSET($BP$9,CL62-1,CQ62,1,1),IF(F62&lt;OFFSET($BN$9,CL62+0,0,1,1),((F62-OFFSET($BM$9,CL62+0,0,1,1))*OFFSET($CI$9,CL62+0,0,1,1))+OFFSET($BP$9,CL62+0,CQ62,1,1),IF(F62&lt;OFFSET($BN$9,CL62+1,0,1,1),((F62-OFFSET($BM$9,CL62+1,0,1,1))*OFFSET($CI$9,CL62+1,0,1,1))+OFFSET($BP$9,CL62+1,CQ62,1,1),IF(F62&lt;OFFSET($BN$9,CL62+2,0,1,1),((F62-OFFSET($BM$9,CL62+2,0,1,1))*OFFSET($CI$9,CL62+2,0,1,1))+OFFSET($BP$9,CL62+2,CQ62,1,1),IF(F62&lt;OFFSET($BN$9,CL62+3,0,1,1),((F62-OFFSET($BM$9,CL62+3,0,1,1))*OFFSET($CI$9,CL62+3,0,1,1))+OFFSET($BP$9,CL62+3,CQ62,1,1),0))))))</f>
        <v>0</v>
      </c>
      <c r="CV62" s="51">
        <f ca="1">IF($F62&lt;OFFSET($BM$9,$CL62-1,0,1,1),0,IF($F62&lt;OFFSET($BN$9,$CL62-1,0,1,1),IF(AND($H62&gt;2.4,Z62&lt;&gt;"e",Z62&lt;&gt;"f"),CZ62*2.4/$H62,CZ62),IF($F62&lt;OFFSET($BN$9,$CL62+0,0,1,1),IF(AND($H62&gt;2.4,Z62&lt;&gt;"e",Z62&lt;&gt;"f"),CZ62*2.4/$H62,CZ62),IF($F62&lt;OFFSET($BN$9,$CL62+1,0,1,1),IF(AND($H62&gt;2.4,Z62&lt;&gt;"e",Z62&lt;&gt;"f"),CZ62*2.4/$H62,CZ62),IF($F62&lt;OFFSET($BN$9,$CL62+2,0,1,1),IF(AND($H62&gt;2.4,Z62&lt;&gt;"e",Z62&lt;&gt;"f"),CZ62*2.4/$H62,CZ62),IF($F62&lt;OFFSET($BN$9,$CL62+3,0,1,1),IF(AND($H62&gt;2.4,Z62&lt;&gt;"e",Z62&lt;&gt;"f"),CZ62*2.4/$H62,CZ62),0)))))*COS(RADIANS($G62)))</f>
        <v>0</v>
      </c>
      <c r="CW62" s="51">
        <f ca="1">IF(CT62&gt;CR62,CR62,CT62)</f>
        <v>0</v>
      </c>
      <c r="CX62" s="51">
        <f ca="1">IF(CS62&gt;$CR62,$CR62,CS62)</f>
        <v>0</v>
      </c>
      <c r="CY62" s="51">
        <f ca="1">CW62*F62</f>
        <v>0</v>
      </c>
      <c r="CZ62" s="51">
        <f ca="1">IF($CU62&gt;$CR62,$CR62,$CU62)</f>
        <v>0</v>
      </c>
      <c r="DA62" s="51">
        <f ca="1">IF(CV62&gt;CR62,CR62,CV62)</f>
        <v>0</v>
      </c>
      <c r="DB62" s="51">
        <f ca="1">DA62*F62</f>
        <v>0</v>
      </c>
      <c r="DC62" s="993">
        <v>1</v>
      </c>
      <c r="DD62" s="758" t="str">
        <f>IF(OR(D62=BG$12,D62=BG$13),"External",IF(D62=BG$14,"Internal"," "))</f>
        <v xml:space="preserve"> </v>
      </c>
      <c r="DE62" s="51" t="str">
        <f t="shared" ca="1" si="2"/>
        <v/>
      </c>
      <c r="DF62" s="52" t="str">
        <f t="shared" ca="1" si="3"/>
        <v xml:space="preserve"> </v>
      </c>
      <c r="DG62" s="51">
        <f ca="1">IF(F62&lt;OFFSET($BM$9,CN62-1,0,1,1),0,IF(F62&lt;OFFSET($BN$9,CN62-1,0,1,1),((F62-OFFSET($BM$9,CN62-1,0,1,1))*OFFSET($CH$9,CN62-1,0,1,1))+OFFSET($BO$9,CN62-1,CQ62,1,1),IF(F62&lt;OFFSET($BN$9,CN62+0,0,1,1),((F62-OFFSET($BM$9,CN62+0,0,1,1))*OFFSET($CH$9,CN62+0,0,1,1))+OFFSET($BO$9,CN62+0,CQ62,1,1),IF(F62&lt;OFFSET($BN$9,CN62+1,0,1,1),((F62-OFFSET($BM$9,CN62+1,0,1,1))*OFFSET($CH$9,CN62+1,0,1,1))+OFFSET($BO$9,CN62+1,CQ62,1,1),IF(F62&lt;OFFSET($BN$9,CN62+2,0,1,1),((F62-OFFSET($BM$9,CN62+2,0,1,1))*OFFSET($CH$9,CN62+2,0,1,1))+OFFSET($BO$9,CN62+2,CQ62,1,1),IF(F62&lt;OFFSET($BN$9,CN62+3,0,1,1),((F62-OFFSET($BM$9,CN62+3,0,1,1))*OFFSET($CH$9,CN62+3,0,1,1))+OFFSET($BO$9,CN62+3,CQ62,1,1),0))))))</f>
        <v>0</v>
      </c>
      <c r="DH62" s="51">
        <f ca="1">IF($F62&lt;OFFSET($BM$9,$CN62-1,0,1,1),0,IF($F62&lt;OFFSET($BN$9,$CN62-1,0,1,1),IF(AND($H62&gt;2.4,Z62&lt;&gt;"e",Z62&lt;&gt;"f"),DL62*2.4/$H62,DL62),IF($F62&lt;OFFSET($BN$9,$CN62+0,0,1,1),IF(AND($H62&gt;2.4,Z62&lt;&gt;"e",Z62&lt;&gt;"f"),DL62*2.4/$H62,DL62),IF($F62&lt;OFFSET($BN$9,$CN62+1,0,1,1),IF(AND($H62&gt;2.4,Z62&lt;&gt;"e",Z62&lt;&gt;"f"),DL62*2.4/$H62,DL62),IF($F62&lt;OFFSET($BN$9,$CN62+2,0,1,1),IF(AND($H62&gt;2.4,Z62&lt;&gt;"e",Z62&lt;&gt;"f"),DL62*2.4/$H62,DL62),IF($F62&lt;OFFSET($BN$9,$CN62+3,0,1,1),IF(AND($H62&gt;2.4,Z62&lt;&gt;"e",Z62&lt;&gt;"f"),DL62*2.4/$H62,DL62),0)))))*COS(RADIANS($G62)))</f>
        <v>0</v>
      </c>
      <c r="DI62" s="51">
        <f ca="1">IF(F62&lt;OFFSET($BM$9,CN62-1,0,1,1),0,IF(F62&lt;OFFSET($BN$9,CN62-1,0,1,1),((F62-OFFSET($BM$9,CN62-1,0,1,1))*OFFSET($CI$9,CN62-1,0,1,1))+OFFSET($BP$9,CN62-1,CQ62,1,1),IF(F62&lt;OFFSET($BN$9,CN62+0,0,1,1),((F62-OFFSET($BM$9,CN62+0,0,1,1))*OFFSET($CI$9,CN62+0,0,1,1))+OFFSET($BP$9,CN62+0,CQ62,1,1),IF(F62&lt;OFFSET($BN$9,CN62+1,0,1,1),((F62-OFFSET($BM$9,CN62+1,0,1,1))*OFFSET($CI$9,CN62+1,0,1,1))+OFFSET($BP$9,CN62+1,CQ62,1,1),IF(F62&lt;OFFSET($BN$9,CN62+2,0,1,1),((F62-OFFSET($BM$9,CN62+2,0,1,1))*OFFSET($CI$9,CN62+2,0,1,1))+OFFSET($BP$9,CN62+2,CQ62,1,1),IF(F62&lt;OFFSET($BN$9,CN62+3,0,1,1),((F62-OFFSET($BM$9,CN62+3,0,1,1))*OFFSET($CI$9,CN62+3,0,1,1))+OFFSET($BP$9,CN62+3,CQ62,1,1),0))))))</f>
        <v>0</v>
      </c>
      <c r="DJ62" s="51">
        <f ca="1">IF($F62&lt;OFFSET($BM$9,$CN62-1,0,1,1),0,IF($F62&lt;OFFSET($BN$9,$CN62-1,0,1,1),IF(AND($H62&gt;2.4,Z62&lt;&gt;"e",Z62&lt;&gt;"f"),DN62*2.4/$H62,DN62),IF($F62&lt;OFFSET($BN$9,$CN62+0,0,1,1),IF(AND($H62&gt;2.4,Z62&lt;&gt;"e",Z62&lt;&gt;"f"),DN62*2.4/$H62,DN62),IF($F62&lt;OFFSET($BN$9,$CN62+1,0,1,1),IF(AND($H62&gt;2.4,Z62&lt;&gt;"e",Z62&lt;&gt;"f"),DN62*2.4/$H62,DN62),IF($F62&lt;OFFSET($BN$9,$CN62+2,0,1,1),IF(AND($H62&gt;2.4,Z62&lt;&gt;"e",Z62&lt;&gt;"f"),DN62*2.4/$H62,DN62),IF($F62&lt;OFFSET($BN$9,$CN62+3,0,1,1),IF(AND($H62&gt;2.4,Z62&lt;&gt;"e",Z62&lt;&gt;"f"),DN62*2.4/$H62,DN62),0)))))*COS(RADIANS($G62)))</f>
        <v>0</v>
      </c>
      <c r="DK62" s="51"/>
      <c r="DL62" s="51">
        <f ca="1">IF(DG62&gt;$CR62,$CR62,DG62)</f>
        <v>0</v>
      </c>
      <c r="DM62" s="51"/>
      <c r="DN62" s="51">
        <f ca="1">IF(DI62&gt;$CR62,$CR62,DI62)</f>
        <v>0</v>
      </c>
      <c r="DO62" s="435">
        <f ca="1">IF(DH62&gt;$CR62,$CR62,DH62)</f>
        <v>0</v>
      </c>
      <c r="DP62" s="435">
        <f ca="1">DO62*F62</f>
        <v>0</v>
      </c>
      <c r="DQ62" s="436">
        <f ca="1">IF(DJ62&gt;$CR62,$CR62,DJ62)</f>
        <v>0</v>
      </c>
      <c r="DR62" s="437">
        <f ca="1">DQ62*F62</f>
        <v>0</v>
      </c>
      <c r="DS62" s="426">
        <f ca="1">OFFSET($CH$9,CL62-1,-15,1,1)</f>
        <v>0</v>
      </c>
      <c r="DT62" s="426">
        <f ca="1">VLOOKUP(DS62,Prodlink,2,0)</f>
        <v>0</v>
      </c>
      <c r="DU62" s="188">
        <f ca="1">IF(F62&lt;OFFSET($BM$9,DT62-1,0,1,1),0,IF(F62&lt;OFFSET($BN$9,DT62-1,0,1,1),((F62-OFFSET($BM$9,DT62-1,0,1,1))*OFFSET($CH$9,DT62-1,0,1,1))+OFFSET($BO$9,DT62-1,CQ62,1,1),IF(F62&lt;OFFSET($BN$9,DT62+0,0,1,1),((F62-OFFSET($BM$9,DT62+0,0,1,1))*OFFSET($CH$9,DT62+0,0,1,1))+OFFSET($BO$9,DT62+0,CQ62,1,1),IF(F62&lt;OFFSET($BN$9,DT62+1,0,1,1),((F62-OFFSET($BM$9,DT62+1,0,1,1))*OFFSET($CH$9,DT62+1,0,1,1))+OFFSET($BO$9,DT62+1,CQ62,1,1),IF(F62&lt;OFFSET($BN$9,DT62+2,0,1,1),((F62-OFFSET($BM$9,DT62+2,0,1,1))*OFFSET($CH$9,DT62+2,0,1,1))+OFFSET($BO$9,DT62+2,CQ62,1,1),IF(F62&lt;OFFSET($BN$9,DT62+3,0,1,1),((F62-OFFSET($BM$9,DT62+3,0,1,1))*OFFSET($CH$9,DT62+3,0,1,1))+OFFSET($BO$9,DT62+3,CQ62,1,1),0))))))</f>
        <v>0</v>
      </c>
      <c r="DV62" s="51">
        <f ca="1">IF($F62&lt;OFFSET($BM$9,$DT62-1,0,1,1),0,IF($F62&lt;OFFSET($BN$9,$DT62-1,0,1,1),IF(AND($H62&gt;2.4,Z62&lt;&gt;"e",Z62&lt;&gt;"f"),DZ62*2.4/$H62,DZ62),IF($F62&lt;OFFSET($BN$9,$DT62+0,0,1,1),IF(AND($H62&gt;2.4,Z62&lt;&gt;"e",Z62&lt;&gt;"f"),DZ62*2.4/$H62,DZ62),IF($F62&lt;OFFSET($BN$9,$DT62+1,0,1,1),IF(AND($H62&gt;2.4,Z62&lt;&gt;"e",Z62&lt;&gt;"f"),DZ62*2.4/$H62,DZ62),IF($F62&lt;OFFSET($BN$9,$DT62+2,0,1,1),IF(AND($H62&gt;2.4,Z62&lt;&gt;"e",Z62&lt;&gt;"f"),DZ62*2.4/$H62,DZ62),IF($F62&lt;OFFSET($BN$9,$DT62+3,0,1,1),IF(AND($H62&gt;2.4,Z62&lt;&gt;"e",Z62&lt;&gt;"f"),DZ62*2.4/$H62,DZ62),0)))))*COS(RADIANS($G62)))</f>
        <v>0</v>
      </c>
      <c r="DW62" s="188">
        <f ca="1">IF(F62&lt;OFFSET($BM$9,DT62-1,0,1,1),0,IF(F62&lt;OFFSET($BN$9,DT62-1,0,1,1),((F62-OFFSET($BM$9,DT62-1,0,1,1))*OFFSET($CI$9,DT62-1,0,1,1))+OFFSET($BP$9,DT62-1,CQ62,1,1),IF(F62&lt;OFFSET($BN$9,DT62+0,0,1,1),((F62-OFFSET($BM$9,DT62+0,0,1,1))*OFFSET($CI$9,DT62+0,0,1,1))+OFFSET($BP$9,DT62+0,CQ62,1,1),IF(F62&lt;OFFSET($BN$9,DT62+1,0,1,1),((F62-OFFSET($BM$9,DT62+1,0,1,1))*OFFSET($CI$9,DT62+1,0,1,1))+OFFSET($BP$9,DT62+1,CQ62,1,1),IF(F62&lt;OFFSET($BN$9,DT62+2,0,1,1),((F62-OFFSET($BM$9,DT62+2,0,1,1))*OFFSET($CI$9,DT62+2,0,1,1))+OFFSET($BP$9,DT62+2,CQ62,1,1),IF(F62&lt;OFFSET($BN$9,DT62+3,0,1,1),((F62-OFFSET($BM$9,DT62+3,0,1,1))*OFFSET($CI$9,DT62+3,0,1,1))+OFFSET($BP$9,DT62+3,CQ62,1,1),0))))))</f>
        <v>0</v>
      </c>
      <c r="DX62" s="51">
        <f ca="1">IF($F62&lt;OFFSET($BM$9,$DT62-1,0,1,1),0,IF($F62&lt;OFFSET($BN$9,$DT62-1,0,1,1),IF(AND($H62&gt;2.4,Z62&lt;&gt;"e",Z62&lt;&gt;"f"),EB62*2.4/$H62,EB62),IF($F62&lt;OFFSET($BN$9,$DT62+0,0,1,1),IF(AND($H62&gt;2.4,Z62&lt;&gt;"e",Z62&lt;&gt;"f"),EB62*2.4/$H62,EB62),IF($F62&lt;OFFSET($BN$9,$DT62+1,0,1,1),IF(AND($H62&gt;2.4,Z62&lt;&gt;"e",Z62&lt;&gt;"f"),EB62*2.4/$H62,EB62),IF($F62&lt;OFFSET($BN$9,$DT62+2,0,1,1),IF(AND($H62&gt;2.4,Z62&lt;&gt;"e",Z62&lt;&gt;"f"),EB62*2.4/$H62,EB62),IF($F62&lt;OFFSET($BN$9,$DT62+3,0,1,1),IF(AND($H62&gt;2.4,Z62&lt;&gt;"e",Z62&lt;&gt;"f"),EB62*2.4/$H62,EB62),0)))))*COS(RADIANS($G62)))</f>
        <v>0</v>
      </c>
      <c r="DY62" s="188"/>
      <c r="DZ62" s="188">
        <f ca="1">IF(DU62&gt;$CR62,$CR62,DU62)</f>
        <v>0</v>
      </c>
      <c r="EA62" s="188"/>
      <c r="EB62" s="188">
        <f ca="1">IF(DW62&gt;$CR62,$CR62,DW62)</f>
        <v>0</v>
      </c>
      <c r="EC62" s="435">
        <f ca="1">IF(DV62&gt;$CR62,$CR62,DV62)</f>
        <v>0</v>
      </c>
      <c r="ED62" s="435">
        <f ca="1">EC62*F62</f>
        <v>0</v>
      </c>
      <c r="EE62" s="436">
        <f ca="1">IF(DX62&gt;$CR62,$CR62,DX62)</f>
        <v>0</v>
      </c>
      <c r="EF62" s="437">
        <f ca="1">EE62*F62</f>
        <v>0</v>
      </c>
      <c r="EG62" s="613" t="str">
        <f>IF(D62=BG$12,BG$12,"")</f>
        <v/>
      </c>
      <c r="EH62" s="614" t="str">
        <f>IF(D62=BG$13,BG$13,"")</f>
        <v/>
      </c>
      <c r="EI62" s="611">
        <f>IF(EG62=BG$12,M62,0)</f>
        <v>0</v>
      </c>
      <c r="EJ62" s="451">
        <f>IF(EG62=BG$12,O62,0)</f>
        <v>0</v>
      </c>
      <c r="EK62" s="451">
        <f>IF(EH62=BG$13,M62,0)</f>
        <v>0</v>
      </c>
      <c r="EL62" s="612">
        <f>IF(EH62=BG$13,O62,0)</f>
        <v>0</v>
      </c>
      <c r="EM62" s="426" t="str">
        <f ca="1">IF(AND(Z62&lt;&gt;"t",Z62&lt;&gt;"f"),"",IF(AND(EN62=$BH$13,K62=$BH$12),"NotOpt",IF(K62&lt;&gt;EN62,"Error","")))</f>
        <v/>
      </c>
      <c r="EN62" s="490" t="str">
        <f>IF($BG$28=1,$BH$13,$BH$12)</f>
        <v>120 BU's</v>
      </c>
      <c r="EO62" s="426" t="str">
        <f>K62</f>
        <v xml:space="preserve"> </v>
      </c>
      <c r="ER62" s="439" t="str">
        <f ca="1">IF(H62=0," ",H62)</f>
        <v xml:space="preserve"> </v>
      </c>
      <c r="ES62" s="440" t="str">
        <f ca="1">IF(ER62&lt;&gt;" ",IF(ER62&lt;&gt;ER$7,"Changed",""),"")</f>
        <v/>
      </c>
      <c r="ET62" s="440">
        <f ca="1">IF(ER62&lt;&gt;" ",IF(ER62&lt;&gt;ER$7,1,0),0)</f>
        <v>0</v>
      </c>
      <c r="EU62" s="957" t="str">
        <f ca="1">IF(I62=" "," ",IF(F62&lt;OFFSET($BM$9,CL62-1,0,1,1),1,""))</f>
        <v xml:space="preserve"> </v>
      </c>
      <c r="EW62" s="427"/>
      <c r="EX62"/>
      <c r="EY62"/>
      <c r="EZ62"/>
      <c r="FA62"/>
      <c r="FB62"/>
      <c r="FC62"/>
      <c r="FD62"/>
      <c r="FE62"/>
      <c r="FF62"/>
      <c r="FG62"/>
      <c r="FH62"/>
      <c r="FI62"/>
      <c r="FJ62"/>
      <c r="FK62"/>
      <c r="FL62"/>
      <c r="FM62"/>
      <c r="FN62"/>
      <c r="FO62"/>
    </row>
    <row r="63" spans="1:171" ht="17.100000000000001" customHeight="1" thickBot="1">
      <c r="A63" s="2685"/>
      <c r="B63" s="689" t="s">
        <v>246</v>
      </c>
      <c r="C63" s="684" t="str">
        <f>IF(OR(F63=0,I63="",I63=" ")," ",$V63)</f>
        <v xml:space="preserve"> </v>
      </c>
      <c r="D63" s="1033"/>
      <c r="E63" s="1360" t="s">
        <v>8</v>
      </c>
      <c r="F63" s="202"/>
      <c r="G63" s="1416"/>
      <c r="H63" s="199" t="str">
        <f ca="1">IF(OR(F63=0,Z63="E",Z63="f")," ",'Project Demand'!E$45)</f>
        <v xml:space="preserve"> </v>
      </c>
      <c r="I63" s="631" t="str">
        <f>IF($I$6&lt;&gt;$BG$8," ",AB63)</f>
        <v xml:space="preserve"> </v>
      </c>
      <c r="J63" s="44" t="str">
        <f ca="1">IF(OR(I63=" ",I63="")," ",OFFSET($BO$9,CL63-1,0-4,1,1))</f>
        <v xml:space="preserve"> </v>
      </c>
      <c r="K63" s="55" t="str">
        <f>IF(OR(I63=" ",I63="")," ",IF(OR(Z63="e",Z63="h"),"SD",BG$24))</f>
        <v xml:space="preserve"> </v>
      </c>
      <c r="L63" s="49">
        <f ca="1">CW63</f>
        <v>0</v>
      </c>
      <c r="M63" s="49">
        <f ca="1">CY63</f>
        <v>0</v>
      </c>
      <c r="N63" s="50">
        <f t="shared" ca="1" si="32"/>
        <v>0</v>
      </c>
      <c r="O63" s="126">
        <f t="shared" ca="1" si="32"/>
        <v>0</v>
      </c>
      <c r="P63" s="140"/>
      <c r="Q63" s="752" t="str">
        <f ca="1">IF(AND(OR(Z63="t",Z63="f"),K63=$BH$11),"No Floor!  Change Floor Type",IF(OR(I63=" ",I63="")," ",IF(F63&lt;OFFSET($BM$9,CL63-1,0,1,1),"check L(m)",DE63&amp;IF(AND(DP63&gt;=CY63,DR63&gt;=DB63),IF(AND(ED63&gt;=DP63,EF63&gt;=DR63),CONCATENATE(DS63," will provide same result"),CONCATENATE(CO63," will provide same result")),IF((DP63&gt;=CY63),CONCATENATE(CO63," provides same result in WIND"),IF((DR63&gt;=DB63),CONCATENATE(CO63," provides same result in EQ"),""))))))&amp;IF(ISERROR(FIND("pile",I63,1)),"",IF(INT(F63)&lt;&gt;F63,"Pile!  Use Whole Numbers Only",""))</f>
        <v xml:space="preserve"> </v>
      </c>
      <c r="R63" s="52"/>
      <c r="S63" s="1372"/>
      <c r="T63" s="1372"/>
      <c r="U63" s="1377"/>
      <c r="V63" s="52" t="str">
        <f ca="1">IF(AND(B$5=$BF$9,OR(I63=BH$16,I63=BH$17))," ",IF(ISNUMBER(B$62),(CONCATENATE(B$62,".",W63)),(CONCATENATE(B$62,W63))))</f>
        <v>J0</v>
      </c>
      <c r="W63" s="9">
        <f ca="1">W62+X63</f>
        <v>0</v>
      </c>
      <c r="X63" s="9">
        <f>IF(AND(B$5=$BF$9,OR($I63=$BH$16,$I63=$BH$17,$I63=" ",$I63="",$F63=0)),0,IF(OR($I63=" ",$I63="",$F63=0),0,1))</f>
        <v>0</v>
      </c>
      <c r="Y63" s="896"/>
      <c r="Z63" s="52" t="str">
        <f ca="1">IF(I63=" "," ",OFFSET($BM$9,$CL63-1,8,1,1))</f>
        <v xml:space="preserve"> </v>
      </c>
      <c r="AA63" s="51" t="str">
        <f>IF(G63&gt;=45,"WA","")</f>
        <v/>
      </c>
      <c r="AB63" s="1364" t="str">
        <f>IF(F63&lt;&gt;"",IF(OR(D63=$BG$12,D63=$BG$13),IF(E63&lt;&gt;$BG$17,$BF$12,$BF$13),IF(E63&lt;&gt;$BG$17,$BF$12,$BF$13))," ")</f>
        <v xml:space="preserve"> </v>
      </c>
      <c r="AC63" s="1"/>
      <c r="AK63" s="63" t="str">
        <f>'Custom Elements'!B24</f>
        <v xml:space="preserve">  </v>
      </c>
      <c r="AL63" s="860" t="str">
        <f>'Custom Elements'!C24</f>
        <v>Custom16</v>
      </c>
      <c r="AM63" s="11">
        <f>'Custom Elements'!D24</f>
        <v>9.9999999999999996E-76</v>
      </c>
      <c r="AN63" s="7">
        <f>'Custom Elements'!E24</f>
        <v>0</v>
      </c>
      <c r="AO63" s="7">
        <f>'Custom Elements'!F24</f>
        <v>0</v>
      </c>
      <c r="AP63" s="762" t="str">
        <f>'Custom Elements'!G24</f>
        <v>B</v>
      </c>
      <c r="AQ63" s="1777" t="str">
        <f>'Custom Elements'!H24</f>
        <v>Single</v>
      </c>
      <c r="AR63" s="1775" t="str">
        <f>'Custom Elements'!I24</f>
        <v>Yes</v>
      </c>
      <c r="AS63" s="442" t="str">
        <f>'Custom Elements'!J24</f>
        <v>Yes</v>
      </c>
      <c r="AT63" s="1598"/>
      <c r="AU63" s="1155"/>
      <c r="AZ63" s="442" t="str">
        <f>IF(AND('Custom Elements'!J24="Yes",'Custom Elements'!I24="Yes"),"T",IF('Custom Elements'!J24="Yes","F",IF('Custom Elements'!I24="Yes","H","E")))</f>
        <v>T</v>
      </c>
      <c r="BD63" s="641"/>
      <c r="BE63" s="1020"/>
      <c r="BF63" s="1020"/>
      <c r="BG63" s="1020"/>
      <c r="BH63" s="479"/>
      <c r="BI63" s="759"/>
      <c r="BJ63" s="897">
        <f t="shared" si="27"/>
        <v>55</v>
      </c>
      <c r="BK63" s="764"/>
      <c r="BL63" s="766"/>
      <c r="BM63" s="455">
        <f>Table!P5</f>
        <v>0.6</v>
      </c>
      <c r="BN63" s="455">
        <f>BM64</f>
        <v>0.8</v>
      </c>
      <c r="BO63" s="455">
        <f>Table!Q5</f>
        <v>95</v>
      </c>
      <c r="BP63" s="925">
        <f>Table!R5</f>
        <v>80</v>
      </c>
      <c r="BR63" s="764"/>
      <c r="BS63" s="455"/>
      <c r="BT63" s="455"/>
      <c r="BU63" s="925" t="s">
        <v>242</v>
      </c>
      <c r="BV63" s="895"/>
      <c r="BW63" s="912"/>
      <c r="BX63" s="925" t="str">
        <f>Table!T5</f>
        <v>Single</v>
      </c>
      <c r="CH63" s="764">
        <f>IF(BN63=999,0,(BO64-BO63)/(BN63-BM63))</f>
        <v>0</v>
      </c>
      <c r="CI63" s="925">
        <f>IF(BN63=999,0,(BP64-BP63)/(BN63-BM63))</f>
        <v>14.999999999999995</v>
      </c>
      <c r="CJ63" s="759"/>
      <c r="CK63" s="188"/>
      <c r="CL63" s="979">
        <f>VLOOKUP(I63,Prodlink,2,0)</f>
        <v>0</v>
      </c>
      <c r="CN63" s="497">
        <f t="shared" ca="1" si="26"/>
        <v>0</v>
      </c>
      <c r="CO63" s="497">
        <f ca="1">OFFSET($CH$9,CL63-1,-15,1,1)</f>
        <v>0</v>
      </c>
      <c r="CQ63" s="51">
        <v>0</v>
      </c>
      <c r="CR63" s="51">
        <f>IF(K63=$BH$12,$BH$23,IF(K63=$BH$13,$BH$24,10000))</f>
        <v>10000</v>
      </c>
      <c r="CS63" s="51">
        <f ca="1">IF(F63&lt;OFFSET($BM$9,CL63-1,0,1,1),0,IF(F63&lt;OFFSET($BN$9,CL63-1,0,1,1),((F63-OFFSET($BM$9,CL63-1,0,1,1))*OFFSET($CH$9,CL63-1,0,1,1))+OFFSET($BO$9,CL63-1,CQ63,1,1),IF(F63&lt;OFFSET($BN$9,CL63+0,0,1,1),((F63-OFFSET($BM$9,CL63+0,0,1,1))*OFFSET($CH$9,CL63+0,0,1,1))+OFFSET($BO$9,CL63+0,CQ63,1,1),IF(F63&lt;OFFSET($BN$9,CL63+1,0,1,1),((F63-OFFSET($BM$9,CL63+1,0,1,1))*OFFSET($CH$9,CL63+1,0,1,1))+OFFSET($BO$9,CL63+1,CQ63,1,1),IF(F63&lt;OFFSET($BN$9,CL63+2,0,1,1),((F63-OFFSET($BM$9,CL63+2,0,1,1))*OFFSET($CH$9,CL63+2,0,1,1))+OFFSET($BO$9,CL63+2,CQ63,1,1),IF(F63&lt;OFFSET($BN$9,CL63+3,0,1,1),((F63-OFFSET($BM$9,CL63+3,0,1,1))*OFFSET($CH$9,CL63+3,0,1,1))+OFFSET($BO$9,CL63+3,CQ63,1,1),0))))))</f>
        <v>0</v>
      </c>
      <c r="CT63" s="51">
        <f ca="1">IF($F63&lt;OFFSET($BM$9,$CL63-1,0,1,1),0,IF($F63&lt;OFFSET($BN$9,$CL63-1,0,1,1),IF(AND($H63&gt;2.4,Z63&lt;&gt;"e",Z63&lt;&gt;"f"),CX63*2.4/$H63,CX63),IF($F63&lt;OFFSET($BN$9,$CL63+0,0,1,1),IF(AND($H63&gt;2.4,Z63&lt;&gt;"e",Z63&lt;&gt;"f"),CX63*2.4/$H63,CX63),IF($F63&lt;OFFSET($BN$9,$CL63+1,0,1,1),IF(AND($H63&gt;2.4,Z63&lt;&gt;"e",Z63&lt;&gt;"f"),CX63*2.4/$H63,CX63),IF($F63&lt;OFFSET($BN$9,CL63+2,0,1,1),IF(AND($H63&gt;2.4,Z63&lt;&gt;"e",Z63&lt;&gt;"f"),CX63*2.4/$H63,CX63),IF($F63&lt;OFFSET($BN$9,CL63+3,0,1,1),IF(AND($H63&gt;2.4,Z63&lt;&gt;"e",Z63&lt;&gt;"f"),CX63*2.4/$H63,CX63),0)))))*COS(RADIANS($G63)))</f>
        <v>0</v>
      </c>
      <c r="CU63" s="51">
        <f ca="1">IF(F63&lt;OFFSET($BM$9,CL63-1,0,1,1),0,IF(F63&lt;OFFSET($BN$9,CL63-1,0,1,1),((F63-OFFSET($BM$9,CL63-1,0,1,1))*OFFSET($CI$9,CL63-1,0,1,1))+OFFSET($BP$9,CL63-1,CQ63,1,1),IF(F63&lt;OFFSET($BN$9,CL63+0,0,1,1),((F63-OFFSET($BM$9,CL63+0,0,1,1))*OFFSET($CI$9,CL63+0,0,1,1))+OFFSET($BP$9,CL63+0,CQ63,1,1),IF(F63&lt;OFFSET($BN$9,CL63+1,0,1,1),((F63-OFFSET($BM$9,CL63+1,0,1,1))*OFFSET($CI$9,CL63+1,0,1,1))+OFFSET($BP$9,CL63+1,CQ63,1,1),IF(F63&lt;OFFSET($BN$9,CL63+2,0,1,1),((F63-OFFSET($BM$9,CL63+2,0,1,1))*OFFSET($CI$9,CL63+2,0,1,1))+OFFSET($BP$9,CL63+2,CQ63,1,1),IF(F63&lt;OFFSET($BN$9,CL63+3,0,1,1),((F63-OFFSET($BM$9,CL63+3,0,1,1))*OFFSET($CI$9,CL63+3,0,1,1))+OFFSET($BP$9,CL63+3,CQ63,1,1),0))))))</f>
        <v>0</v>
      </c>
      <c r="CV63" s="51">
        <f ca="1">IF($F63&lt;OFFSET($BM$9,$CL63-1,0,1,1),0,IF($F63&lt;OFFSET($BN$9,$CL63-1,0,1,1),IF(AND($H63&gt;2.4,Z63&lt;&gt;"e",Z63&lt;&gt;"f"),CZ63*2.4/$H63,CZ63),IF($F63&lt;OFFSET($BN$9,$CL63+0,0,1,1),IF(AND($H63&gt;2.4,Z63&lt;&gt;"e",Z63&lt;&gt;"f"),CZ63*2.4/$H63,CZ63),IF($F63&lt;OFFSET($BN$9,$CL63+1,0,1,1),IF(AND($H63&gt;2.4,Z63&lt;&gt;"e",Z63&lt;&gt;"f"),CZ63*2.4/$H63,CZ63),IF($F63&lt;OFFSET($BN$9,$CL63+2,0,1,1),IF(AND($H63&gt;2.4,Z63&lt;&gt;"e",Z63&lt;&gt;"f"),CZ63*2.4/$H63,CZ63),IF($F63&lt;OFFSET($BN$9,$CL63+3,0,1,1),IF(AND($H63&gt;2.4,Z63&lt;&gt;"e",Z63&lt;&gt;"f"),CZ63*2.4/$H63,CZ63),0)))))*COS(RADIANS($G63)))</f>
        <v>0</v>
      </c>
      <c r="CW63" s="51">
        <f ca="1">IF(CT63&gt;CR63,CR63,CT63)</f>
        <v>0</v>
      </c>
      <c r="CX63" s="51">
        <f ca="1">IF(CS63&gt;$CR63,$CR63,CS63)</f>
        <v>0</v>
      </c>
      <c r="CY63" s="51">
        <f ca="1">CW63*F63</f>
        <v>0</v>
      </c>
      <c r="CZ63" s="51">
        <f ca="1">IF($CU63&gt;$CR63,$CR63,$CU63)</f>
        <v>0</v>
      </c>
      <c r="DA63" s="51">
        <f ca="1">IF(CV63&gt;CR63,CR63,CV63)</f>
        <v>0</v>
      </c>
      <c r="DB63" s="51">
        <f ca="1">DA63*F63</f>
        <v>0</v>
      </c>
      <c r="DC63" s="993">
        <v>1</v>
      </c>
      <c r="DD63" s="758" t="str">
        <f>IF(OR(D63=BG$12,D63=BG$13),"External",IF(D63=BG$14,"Internal"," "))</f>
        <v xml:space="preserve"> </v>
      </c>
      <c r="DE63" s="51" t="str">
        <f t="shared" ca="1" si="2"/>
        <v/>
      </c>
      <c r="DF63" s="52" t="str">
        <f t="shared" ca="1" si="3"/>
        <v xml:space="preserve"> </v>
      </c>
      <c r="DG63" s="51">
        <f ca="1">IF(F63&lt;OFFSET($BM$9,CN63-1,0,1,1),0,IF(F63&lt;OFFSET($BN$9,CN63-1,0,1,1),((F63-OFFSET($BM$9,CN63-1,0,1,1))*OFFSET($CH$9,CN63-1,0,1,1))+OFFSET($BO$9,CN63-1,CQ63,1,1),IF(F63&lt;OFFSET($BN$9,CN63+0,0,1,1),((F63-OFFSET($BM$9,CN63+0,0,1,1))*OFFSET($CH$9,CN63+0,0,1,1))+OFFSET($BO$9,CN63+0,CQ63,1,1),IF(F63&lt;OFFSET($BN$9,CN63+1,0,1,1),((F63-OFFSET($BM$9,CN63+1,0,1,1))*OFFSET($CH$9,CN63+1,0,1,1))+OFFSET($BO$9,CN63+1,CQ63,1,1),IF(F63&lt;OFFSET($BN$9,CN63+2,0,1,1),((F63-OFFSET($BM$9,CN63+2,0,1,1))*OFFSET($CH$9,CN63+2,0,1,1))+OFFSET($BO$9,CN63+2,CQ63,1,1),IF(F63&lt;OFFSET($BN$9,CN63+3,0,1,1),((F63-OFFSET($BM$9,CN63+3,0,1,1))*OFFSET($CH$9,CN63+3,0,1,1))+OFFSET($BO$9,CN63+3,CQ63,1,1),0))))))</f>
        <v>0</v>
      </c>
      <c r="DH63" s="51">
        <f ca="1">IF($F63&lt;OFFSET($BM$9,$CN63-1,0,1,1),0,IF($F63&lt;OFFSET($BN$9,$CN63-1,0,1,1),IF(AND($H63&gt;2.4,Z63&lt;&gt;"e",Z63&lt;&gt;"f"),DL63*2.4/$H63,DL63),IF($F63&lt;OFFSET($BN$9,$CN63+0,0,1,1),IF(AND($H63&gt;2.4,Z63&lt;&gt;"e",Z63&lt;&gt;"f"),DL63*2.4/$H63,DL63),IF($F63&lt;OFFSET($BN$9,$CN63+1,0,1,1),IF(AND($H63&gt;2.4,Z63&lt;&gt;"e",Z63&lt;&gt;"f"),DL63*2.4/$H63,DL63),IF($F63&lt;OFFSET($BN$9,$CN63+2,0,1,1),IF(AND($H63&gt;2.4,Z63&lt;&gt;"e",Z63&lt;&gt;"f"),DL63*2.4/$H63,DL63),IF($F63&lt;OFFSET($BN$9,$CN63+3,0,1,1),IF(AND($H63&gt;2.4,Z63&lt;&gt;"e",Z63&lt;&gt;"f"),DL63*2.4/$H63,DL63),0)))))*COS(RADIANS($G63)))</f>
        <v>0</v>
      </c>
      <c r="DI63" s="51">
        <f ca="1">IF(F63&lt;OFFSET($BM$9,CN63-1,0,1,1),0,IF(F63&lt;OFFSET($BN$9,CN63-1,0,1,1),((F63-OFFSET($BM$9,CN63-1,0,1,1))*OFFSET($CI$9,CN63-1,0,1,1))+OFFSET($BP$9,CN63-1,CQ63,1,1),IF(F63&lt;OFFSET($BN$9,CN63+0,0,1,1),((F63-OFFSET($BM$9,CN63+0,0,1,1))*OFFSET($CI$9,CN63+0,0,1,1))+OFFSET($BP$9,CN63+0,CQ63,1,1),IF(F63&lt;OFFSET($BN$9,CN63+1,0,1,1),((F63-OFFSET($BM$9,CN63+1,0,1,1))*OFFSET($CI$9,CN63+1,0,1,1))+OFFSET($BP$9,CN63+1,CQ63,1,1),IF(F63&lt;OFFSET($BN$9,CN63+2,0,1,1),((F63-OFFSET($BM$9,CN63+2,0,1,1))*OFFSET($CI$9,CN63+2,0,1,1))+OFFSET($BP$9,CN63+2,CQ63,1,1),IF(F63&lt;OFFSET($BN$9,CN63+3,0,1,1),((F63-OFFSET($BM$9,CN63+3,0,1,1))*OFFSET($CI$9,CN63+3,0,1,1))+OFFSET($BP$9,CN63+3,CQ63,1,1),0))))))</f>
        <v>0</v>
      </c>
      <c r="DJ63" s="51">
        <f ca="1">IF($F63&lt;OFFSET($BM$9,$CN63-1,0,1,1),0,IF($F63&lt;OFFSET($BN$9,$CN63-1,0,1,1),IF(AND($H63&gt;2.4,Z63&lt;&gt;"e",Z63&lt;&gt;"f"),DN63*2.4/$H63,DN63),IF($F63&lt;OFFSET($BN$9,$CN63+0,0,1,1),IF(AND($H63&gt;2.4,Z63&lt;&gt;"e",Z63&lt;&gt;"f"),DN63*2.4/$H63,DN63),IF($F63&lt;OFFSET($BN$9,$CN63+1,0,1,1),IF(AND($H63&gt;2.4,Z63&lt;&gt;"e",Z63&lt;&gt;"f"),DN63*2.4/$H63,DN63),IF($F63&lt;OFFSET($BN$9,$CN63+2,0,1,1),IF(AND($H63&gt;2.4,Z63&lt;&gt;"e",Z63&lt;&gt;"f"),DN63*2.4/$H63,DN63),IF($F63&lt;OFFSET($BN$9,$CN63+3,0,1,1),IF(AND($H63&gt;2.4,Z63&lt;&gt;"e",Z63&lt;&gt;"f"),DN63*2.4/$H63,DN63),0)))))*COS(RADIANS($G63)))</f>
        <v>0</v>
      </c>
      <c r="DK63" s="51"/>
      <c r="DL63" s="51">
        <f ca="1">IF(DG63&gt;$CR63,$CR63,DG63)</f>
        <v>0</v>
      </c>
      <c r="DM63" s="51"/>
      <c r="DN63" s="51">
        <f ca="1">IF(DI63&gt;$CR63,$CR63,DI63)</f>
        <v>0</v>
      </c>
      <c r="DO63" s="435">
        <f ca="1">IF(DH63&gt;$CR63,$CR63,DH63)</f>
        <v>0</v>
      </c>
      <c r="DP63" s="435">
        <f ca="1">DO63*F63</f>
        <v>0</v>
      </c>
      <c r="DQ63" s="436">
        <f ca="1">IF(DJ63&gt;$CR63,$CR63,DJ63)</f>
        <v>0</v>
      </c>
      <c r="DR63" s="437">
        <f ca="1">DQ63*F63</f>
        <v>0</v>
      </c>
      <c r="DS63" s="426">
        <f ca="1">OFFSET($CH$9,CL63-1,-15,1,1)</f>
        <v>0</v>
      </c>
      <c r="DT63" s="426">
        <f ca="1">VLOOKUP(DS63,Prodlink,2,0)</f>
        <v>0</v>
      </c>
      <c r="DU63" s="188">
        <f ca="1">IF(F63&lt;OFFSET($BM$9,DT63-1,0,1,1),0,IF(F63&lt;OFFSET($BN$9,DT63-1,0,1,1),((F63-OFFSET($BM$9,DT63-1,0,1,1))*OFFSET($CH$9,DT63-1,0,1,1))+OFFSET($BO$9,DT63-1,CQ63,1,1),IF(F63&lt;OFFSET($BN$9,DT63+0,0,1,1),((F63-OFFSET($BM$9,DT63+0,0,1,1))*OFFSET($CH$9,DT63+0,0,1,1))+OFFSET($BO$9,DT63+0,CQ63,1,1),IF(F63&lt;OFFSET($BN$9,DT63+1,0,1,1),((F63-OFFSET($BM$9,DT63+1,0,1,1))*OFFSET($CH$9,DT63+1,0,1,1))+OFFSET($BO$9,DT63+1,CQ63,1,1),IF(F63&lt;OFFSET($BN$9,DT63+2,0,1,1),((F63-OFFSET($BM$9,DT63+2,0,1,1))*OFFSET($CH$9,DT63+2,0,1,1))+OFFSET($BO$9,DT63+2,CQ63,1,1),IF(F63&lt;OFFSET($BN$9,DT63+3,0,1,1),((F63-OFFSET($BM$9,DT63+3,0,1,1))*OFFSET($CH$9,DT63+3,0,1,1))+OFFSET($BO$9,DT63+3,CQ63,1,1),0))))))</f>
        <v>0</v>
      </c>
      <c r="DV63" s="51">
        <f ca="1">IF($F63&lt;OFFSET($BM$9,$DT63-1,0,1,1),0,IF($F63&lt;OFFSET($BN$9,$DT63-1,0,1,1),IF(AND($H63&gt;2.4,Z63&lt;&gt;"e",Z63&lt;&gt;"f"),DZ63*2.4/$H63,DZ63),IF($F63&lt;OFFSET($BN$9,$DT63+0,0,1,1),IF(AND($H63&gt;2.4,Z63&lt;&gt;"e",Z63&lt;&gt;"f"),DZ63*2.4/$H63,DZ63),IF($F63&lt;OFFSET($BN$9,$DT63+1,0,1,1),IF(AND($H63&gt;2.4,Z63&lt;&gt;"e",Z63&lt;&gt;"f"),DZ63*2.4/$H63,DZ63),IF($F63&lt;OFFSET($BN$9,$DT63+2,0,1,1),IF(AND($H63&gt;2.4,Z63&lt;&gt;"e",Z63&lt;&gt;"f"),DZ63*2.4/$H63,DZ63),IF($F63&lt;OFFSET($BN$9,$DT63+3,0,1,1),IF(AND($H63&gt;2.4,Z63&lt;&gt;"e",Z63&lt;&gt;"f"),DZ63*2.4/$H63,DZ63),0)))))*COS(RADIANS($G63)))</f>
        <v>0</v>
      </c>
      <c r="DW63" s="188">
        <f ca="1">IF(F63&lt;OFFSET($BM$9,DT63-1,0,1,1),0,IF(F63&lt;OFFSET($BN$9,DT63-1,0,1,1),((F63-OFFSET($BM$9,DT63-1,0,1,1))*OFFSET($CI$9,DT63-1,0,1,1))+OFFSET($BP$9,DT63-1,CQ63,1,1),IF(F63&lt;OFFSET($BN$9,DT63+0,0,1,1),((F63-OFFSET($BM$9,DT63+0,0,1,1))*OFFSET($CI$9,DT63+0,0,1,1))+OFFSET($BP$9,DT63+0,CQ63,1,1),IF(F63&lt;OFFSET($BN$9,DT63+1,0,1,1),((F63-OFFSET($BM$9,DT63+1,0,1,1))*OFFSET($CI$9,DT63+1,0,1,1))+OFFSET($BP$9,DT63+1,CQ63,1,1),IF(F63&lt;OFFSET($BN$9,DT63+2,0,1,1),((F63-OFFSET($BM$9,DT63+2,0,1,1))*OFFSET($CI$9,DT63+2,0,1,1))+OFFSET($BP$9,DT63+2,CQ63,1,1),IF(F63&lt;OFFSET($BN$9,DT63+3,0,1,1),((F63-OFFSET($BM$9,DT63+3,0,1,1))*OFFSET($CI$9,DT63+3,0,1,1))+OFFSET($BP$9,DT63+3,CQ63,1,1),0))))))</f>
        <v>0</v>
      </c>
      <c r="DX63" s="51">
        <f ca="1">IF($F63&lt;OFFSET($BM$9,$DT63-1,0,1,1),0,IF($F63&lt;OFFSET($BN$9,$DT63-1,0,1,1),IF(AND($H63&gt;2.4,Z63&lt;&gt;"e",Z63&lt;&gt;"f"),EB63*2.4/$H63,EB63),IF($F63&lt;OFFSET($BN$9,$DT63+0,0,1,1),IF(AND($H63&gt;2.4,Z63&lt;&gt;"e",Z63&lt;&gt;"f"),EB63*2.4/$H63,EB63),IF($F63&lt;OFFSET($BN$9,$DT63+1,0,1,1),IF(AND($H63&gt;2.4,Z63&lt;&gt;"e",Z63&lt;&gt;"f"),EB63*2.4/$H63,EB63),IF($F63&lt;OFFSET($BN$9,$DT63+2,0,1,1),IF(AND($H63&gt;2.4,Z63&lt;&gt;"e",Z63&lt;&gt;"f"),EB63*2.4/$H63,EB63),IF($F63&lt;OFFSET($BN$9,$DT63+3,0,1,1),IF(AND($H63&gt;2.4,Z63&lt;&gt;"e",Z63&lt;&gt;"f"),EB63*2.4/$H63,EB63),0)))))*COS(RADIANS($G63)))</f>
        <v>0</v>
      </c>
      <c r="DY63" s="188"/>
      <c r="DZ63" s="188">
        <f ca="1">IF(DU63&gt;$CR63,$CR63,DU63)</f>
        <v>0</v>
      </c>
      <c r="EA63" s="188"/>
      <c r="EB63" s="188">
        <f ca="1">IF(DW63&gt;$CR63,$CR63,DW63)</f>
        <v>0</v>
      </c>
      <c r="EC63" s="435">
        <f ca="1">IF(DV63&gt;$CR63,$CR63,DV63)</f>
        <v>0</v>
      </c>
      <c r="ED63" s="435">
        <f ca="1">EC63*F63</f>
        <v>0</v>
      </c>
      <c r="EE63" s="436">
        <f ca="1">IF(DX63&gt;$CR63,$CR63,DX63)</f>
        <v>0</v>
      </c>
      <c r="EF63" s="437">
        <f ca="1">EE63*F63</f>
        <v>0</v>
      </c>
      <c r="EG63" s="613" t="str">
        <f>IF(D63=BG$12,BG$12,"")</f>
        <v/>
      </c>
      <c r="EH63" s="614" t="str">
        <f>IF(D63=BG$13,BG$13,"")</f>
        <v/>
      </c>
      <c r="EI63" s="611">
        <f>IF(EG63=BG$12,M63,0)</f>
        <v>0</v>
      </c>
      <c r="EJ63" s="451">
        <f>IF(EG63=BG$12,O63,0)</f>
        <v>0</v>
      </c>
      <c r="EK63" s="451">
        <f>IF(EH63=BG$13,M63,0)</f>
        <v>0</v>
      </c>
      <c r="EL63" s="612">
        <f>IF(EH63=BG$13,O63,0)</f>
        <v>0</v>
      </c>
      <c r="EM63" s="426" t="str">
        <f ca="1">IF(AND(Z63&lt;&gt;"t",Z63&lt;&gt;"f"),"",IF(AND(EN63=$BH$13,K63=$BH$12),"NotOpt",IF(K63&lt;&gt;EN63,"Error","")))</f>
        <v/>
      </c>
      <c r="EN63" s="490" t="str">
        <f>IF($BG$28=1,$BH$13,$BH$12)</f>
        <v>120 BU's</v>
      </c>
      <c r="EO63" s="426" t="str">
        <f>K63</f>
        <v xml:space="preserve"> </v>
      </c>
      <c r="ER63" s="439" t="str">
        <f ca="1">IF(H63=0," ",H63)</f>
        <v xml:space="preserve"> </v>
      </c>
      <c r="ES63" s="440" t="str">
        <f ca="1">IF(ER63&lt;&gt;" ",IF(ER63&lt;&gt;ER$7,"Changed",""),"")</f>
        <v/>
      </c>
      <c r="ET63" s="440">
        <f ca="1">IF(ER63&lt;&gt;" ",IF(ER63&lt;&gt;ER$7,1,0),0)</f>
        <v>0</v>
      </c>
      <c r="EU63" s="957" t="str">
        <f ca="1">IF(I63=" "," ",IF(F63&lt;OFFSET($BM$9,CL63-1,0,1,1),1,""))</f>
        <v xml:space="preserve"> </v>
      </c>
      <c r="EW63" s="427"/>
      <c r="EX63"/>
      <c r="EY63"/>
      <c r="EZ63"/>
      <c r="FA63"/>
      <c r="FB63"/>
      <c r="FC63"/>
      <c r="FD63"/>
      <c r="FE63"/>
      <c r="FF63"/>
      <c r="FG63"/>
      <c r="FH63"/>
      <c r="FI63"/>
      <c r="FJ63"/>
      <c r="FK63"/>
      <c r="FL63"/>
      <c r="FM63"/>
      <c r="FN63"/>
      <c r="FO63"/>
    </row>
    <row r="64" spans="1:171" ht="17.100000000000001" customHeight="1">
      <c r="A64" s="2685"/>
      <c r="B64" s="689" t="s">
        <v>246</v>
      </c>
      <c r="C64" s="684" t="str">
        <f>IF(OR(F64=0,I64="",I64=" ")," ",$V64)</f>
        <v xml:space="preserve"> </v>
      </c>
      <c r="D64" s="1033"/>
      <c r="E64" s="1360" t="s">
        <v>8</v>
      </c>
      <c r="F64" s="202"/>
      <c r="G64" s="1416"/>
      <c r="H64" s="199" t="str">
        <f ca="1">IF(OR(F64=0,Z64="E",Z64="f")," ",'Project Demand'!E$45)</f>
        <v xml:space="preserve"> </v>
      </c>
      <c r="I64" s="631" t="str">
        <f>IF($I$6&lt;&gt;$BG$8," ",AB64)</f>
        <v xml:space="preserve"> </v>
      </c>
      <c r="J64" s="44" t="str">
        <f ca="1">IF(OR(I64=" ",I64="")," ",OFFSET($BO$9,CL64-1,0-4,1,1))</f>
        <v xml:space="preserve"> </v>
      </c>
      <c r="K64" s="55" t="str">
        <f>IF(OR(I64=" ",I64="")," ",IF(OR(Z64="e",Z64="h"),"SD",BG$24))</f>
        <v xml:space="preserve"> </v>
      </c>
      <c r="L64" s="49">
        <f ca="1">CW64</f>
        <v>0</v>
      </c>
      <c r="M64" s="49">
        <f ca="1">CY64</f>
        <v>0</v>
      </c>
      <c r="N64" s="50">
        <f t="shared" ca="1" si="32"/>
        <v>0</v>
      </c>
      <c r="O64" s="126">
        <f t="shared" ca="1" si="32"/>
        <v>0</v>
      </c>
      <c r="P64" s="140"/>
      <c r="Q64" s="752" t="str">
        <f ca="1">IF(AND(OR(Z64="t",Z64="f"),K64=$BH$11),"No Floor!  Change Floor Type",IF(OR(I64=" ",I64="")," ",IF(F64&lt;OFFSET($BM$9,CL64-1,0,1,1),"check L(m)",DE64&amp;IF(AND(DP64&gt;=CY64,DR64&gt;=DB64),IF(AND(ED64&gt;=DP64,EF64&gt;=DR64),CONCATENATE(DS64," will provide same result"),CONCATENATE(CO64," will provide same result")),IF((DP64&gt;=CY64),CONCATENATE(CO64," provides same result in WIND"),IF((DR64&gt;=DB64),CONCATENATE(CO64," provides same result in EQ"),""))))))&amp;IF(ISERROR(FIND("pile",I64,1)),"",IF(INT(F64)&lt;&gt;F64,"Pile!  Use Whole Numbers Only",""))</f>
        <v xml:space="preserve"> </v>
      </c>
      <c r="R64" s="52"/>
      <c r="S64" s="1372"/>
      <c r="T64" s="1372"/>
      <c r="U64" s="1377"/>
      <c r="V64" s="52" t="str">
        <f ca="1">IF(AND(B$5=$BF$9,OR(I64=BH$16,I64=BH$17))," ",IF(ISNUMBER(B$62),(CONCATENATE(B$62,".",W64)),(CONCATENATE(B$62,W64))))</f>
        <v>J0</v>
      </c>
      <c r="W64" s="9">
        <f ca="1">W63+X64</f>
        <v>0</v>
      </c>
      <c r="X64" s="9">
        <f>IF(AND(B$5=$BF$9,OR($I64=$BH$16,$I64=$BH$17,$I64=" ",$I64="",$F64=0)),0,IF(OR($I64=" ",$I64="",$F64=0),0,1))</f>
        <v>0</v>
      </c>
      <c r="Y64" s="896"/>
      <c r="Z64" s="52" t="str">
        <f ca="1">IF(I64=" "," ",OFFSET($BM$9,$CL64-1,8,1,1))</f>
        <v xml:space="preserve"> </v>
      </c>
      <c r="AA64" s="51" t="str">
        <f>IF(G64&gt;=45,"WA","")</f>
        <v/>
      </c>
      <c r="AB64" s="1364" t="str">
        <f>IF(F64&lt;&gt;"",IF(OR(D64=$BG$12,D64=$BG$13),IF(E64&lt;&gt;$BG$17,$BF$12,$BF$13),IF(E64&lt;&gt;$BG$17,$BF$12,$BF$13))," ")</f>
        <v xml:space="preserve"> </v>
      </c>
      <c r="AC64" s="1"/>
      <c r="AK64" s="63" t="str">
        <f>'Custom Elements'!B25</f>
        <v xml:space="preserve">  </v>
      </c>
      <c r="AL64" s="860" t="str">
        <f>'Custom Elements'!C25</f>
        <v>Custom17</v>
      </c>
      <c r="AM64" s="11">
        <f>'Custom Elements'!D25</f>
        <v>9.9999999999999996E-76</v>
      </c>
      <c r="AN64" s="7">
        <f>'Custom Elements'!E25</f>
        <v>0</v>
      </c>
      <c r="AO64" s="7">
        <f>'Custom Elements'!F25</f>
        <v>0</v>
      </c>
      <c r="AP64" s="762" t="str">
        <f>'Custom Elements'!G25</f>
        <v>B</v>
      </c>
      <c r="AQ64" s="1777" t="str">
        <f>'Custom Elements'!H25</f>
        <v>Single</v>
      </c>
      <c r="AR64" s="1775" t="str">
        <f>'Custom Elements'!I25</f>
        <v>Yes</v>
      </c>
      <c r="AS64" s="442" t="str">
        <f>'Custom Elements'!J25</f>
        <v>Yes</v>
      </c>
      <c r="AT64" s="1598"/>
      <c r="AU64" s="1155"/>
      <c r="AZ64" s="442" t="str">
        <f>IF(AND('Custom Elements'!J25="Yes",'Custom Elements'!I25="Yes"),"T",IF('Custom Elements'!J25="Yes","F",IF('Custom Elements'!I25="Yes","H","E")))</f>
        <v>T</v>
      </c>
      <c r="BD64" s="641"/>
      <c r="BE64" s="1023" t="s">
        <v>906</v>
      </c>
      <c r="BF64" s="1024"/>
      <c r="BG64" s="1025"/>
      <c r="BH64" s="479"/>
      <c r="BI64" s="759"/>
      <c r="BJ64" s="897">
        <f t="shared" si="27"/>
        <v>56</v>
      </c>
      <c r="BK64" s="764"/>
      <c r="BL64" s="766"/>
      <c r="BM64" s="455">
        <f>Table!P6</f>
        <v>0.8</v>
      </c>
      <c r="BN64" s="455">
        <f>BM65</f>
        <v>1.2</v>
      </c>
      <c r="BO64" s="455">
        <f>Table!Q6</f>
        <v>95</v>
      </c>
      <c r="BP64" s="925">
        <f>Table!R6</f>
        <v>83</v>
      </c>
      <c r="BR64" s="764"/>
      <c r="BS64" s="455"/>
      <c r="BT64" s="455"/>
      <c r="BU64" s="925" t="s">
        <v>242</v>
      </c>
      <c r="BV64" s="895"/>
      <c r="BW64" s="912"/>
      <c r="BX64" s="925" t="str">
        <f>Table!T5</f>
        <v>Single</v>
      </c>
      <c r="CH64" s="764">
        <f>IF(BN64=999,0,(BO65-BO64)/(BN64-BM64))</f>
        <v>0</v>
      </c>
      <c r="CI64" s="925">
        <f>IF(BN64=999,0,(BP65-BP64)/(BN64-BM64))</f>
        <v>2.5000000000000004</v>
      </c>
      <c r="CJ64" s="759"/>
      <c r="CK64" s="188"/>
      <c r="CL64" s="979">
        <f>VLOOKUP(I64,Prodlink,2,0)</f>
        <v>0</v>
      </c>
      <c r="CN64" s="497">
        <f t="shared" ca="1" si="26"/>
        <v>0</v>
      </c>
      <c r="CO64" s="497">
        <f ca="1">OFFSET($CH$9,CL64-1,-15,1,1)</f>
        <v>0</v>
      </c>
      <c r="CQ64" s="51">
        <v>0</v>
      </c>
      <c r="CR64" s="51">
        <f>IF(K64=$BH$12,$BH$23,IF(K64=$BH$13,$BH$24,10000))</f>
        <v>10000</v>
      </c>
      <c r="CS64" s="51">
        <f ca="1">IF(F64&lt;OFFSET($BM$9,CL64-1,0,1,1),0,IF(F64&lt;OFFSET($BN$9,CL64-1,0,1,1),((F64-OFFSET($BM$9,CL64-1,0,1,1))*OFFSET($CH$9,CL64-1,0,1,1))+OFFSET($BO$9,CL64-1,CQ64,1,1),IF(F64&lt;OFFSET($BN$9,CL64+0,0,1,1),((F64-OFFSET($BM$9,CL64+0,0,1,1))*OFFSET($CH$9,CL64+0,0,1,1))+OFFSET($BO$9,CL64+0,CQ64,1,1),IF(F64&lt;OFFSET($BN$9,CL64+1,0,1,1),((F64-OFFSET($BM$9,CL64+1,0,1,1))*OFFSET($CH$9,CL64+1,0,1,1))+OFFSET($BO$9,CL64+1,CQ64,1,1),IF(F64&lt;OFFSET($BN$9,CL64+2,0,1,1),((F64-OFFSET($BM$9,CL64+2,0,1,1))*OFFSET($CH$9,CL64+2,0,1,1))+OFFSET($BO$9,CL64+2,CQ64,1,1),IF(F64&lt;OFFSET($BN$9,CL64+3,0,1,1),((F64-OFFSET($BM$9,CL64+3,0,1,1))*OFFSET($CH$9,CL64+3,0,1,1))+OFFSET($BO$9,CL64+3,CQ64,1,1),0))))))</f>
        <v>0</v>
      </c>
      <c r="CT64" s="51">
        <f ca="1">IF($F64&lt;OFFSET($BM$9,$CL64-1,0,1,1),0,IF($F64&lt;OFFSET($BN$9,$CL64-1,0,1,1),IF(AND($H64&gt;2.4,Z64&lt;&gt;"e",Z64&lt;&gt;"f"),CX64*2.4/$H64,CX64),IF($F64&lt;OFFSET($BN$9,$CL64+0,0,1,1),IF(AND($H64&gt;2.4,Z64&lt;&gt;"e",Z64&lt;&gt;"f"),CX64*2.4/$H64,CX64),IF($F64&lt;OFFSET($BN$9,$CL64+1,0,1,1),IF(AND($H64&gt;2.4,Z64&lt;&gt;"e",Z64&lt;&gt;"f"),CX64*2.4/$H64,CX64),IF($F64&lt;OFFSET($BN$9,CL64+2,0,1,1),IF(AND($H64&gt;2.4,Z64&lt;&gt;"e",Z64&lt;&gt;"f"),CX64*2.4/$H64,CX64),IF($F64&lt;OFFSET($BN$9,CL64+3,0,1,1),IF(AND($H64&gt;2.4,Z64&lt;&gt;"e",Z64&lt;&gt;"f"),CX64*2.4/$H64,CX64),0)))))*COS(RADIANS($G64)))</f>
        <v>0</v>
      </c>
      <c r="CU64" s="51">
        <f ca="1">IF(F64&lt;OFFSET($BM$9,CL64-1,0,1,1),0,IF(F64&lt;OFFSET($BN$9,CL64-1,0,1,1),((F64-OFFSET($BM$9,CL64-1,0,1,1))*OFFSET($CI$9,CL64-1,0,1,1))+OFFSET($BP$9,CL64-1,CQ64,1,1),IF(F64&lt;OFFSET($BN$9,CL64+0,0,1,1),((F64-OFFSET($BM$9,CL64+0,0,1,1))*OFFSET($CI$9,CL64+0,0,1,1))+OFFSET($BP$9,CL64+0,CQ64,1,1),IF(F64&lt;OFFSET($BN$9,CL64+1,0,1,1),((F64-OFFSET($BM$9,CL64+1,0,1,1))*OFFSET($CI$9,CL64+1,0,1,1))+OFFSET($BP$9,CL64+1,CQ64,1,1),IF(F64&lt;OFFSET($BN$9,CL64+2,0,1,1),((F64-OFFSET($BM$9,CL64+2,0,1,1))*OFFSET($CI$9,CL64+2,0,1,1))+OFFSET($BP$9,CL64+2,CQ64,1,1),IF(F64&lt;OFFSET($BN$9,CL64+3,0,1,1),((F64-OFFSET($BM$9,CL64+3,0,1,1))*OFFSET($CI$9,CL64+3,0,1,1))+OFFSET($BP$9,CL64+3,CQ64,1,1),0))))))</f>
        <v>0</v>
      </c>
      <c r="CV64" s="51">
        <f ca="1">IF($F64&lt;OFFSET($BM$9,$CL64-1,0,1,1),0,IF($F64&lt;OFFSET($BN$9,$CL64-1,0,1,1),IF(AND($H64&gt;2.4,Z64&lt;&gt;"e",Z64&lt;&gt;"f"),CZ64*2.4/$H64,CZ64),IF($F64&lt;OFFSET($BN$9,$CL64+0,0,1,1),IF(AND($H64&gt;2.4,Z64&lt;&gt;"e",Z64&lt;&gt;"f"),CZ64*2.4/$H64,CZ64),IF($F64&lt;OFFSET($BN$9,$CL64+1,0,1,1),IF(AND($H64&gt;2.4,Z64&lt;&gt;"e",Z64&lt;&gt;"f"),CZ64*2.4/$H64,CZ64),IF($F64&lt;OFFSET($BN$9,$CL64+2,0,1,1),IF(AND($H64&gt;2.4,Z64&lt;&gt;"e",Z64&lt;&gt;"f"),CZ64*2.4/$H64,CZ64),IF($F64&lt;OFFSET($BN$9,$CL64+3,0,1,1),IF(AND($H64&gt;2.4,Z64&lt;&gt;"e",Z64&lt;&gt;"f"),CZ64*2.4/$H64,CZ64),0)))))*COS(RADIANS($G64)))</f>
        <v>0</v>
      </c>
      <c r="CW64" s="51">
        <f ca="1">IF(CT64&gt;CR64,CR64,CT64)</f>
        <v>0</v>
      </c>
      <c r="CX64" s="51">
        <f ca="1">IF(CS64&gt;$CR64,$CR64,CS64)</f>
        <v>0</v>
      </c>
      <c r="CY64" s="51">
        <f ca="1">CW64*F64</f>
        <v>0</v>
      </c>
      <c r="CZ64" s="51">
        <f ca="1">IF($CU64&gt;$CR64,$CR64,$CU64)</f>
        <v>0</v>
      </c>
      <c r="DA64" s="51">
        <f ca="1">IF(CV64&gt;CR64,CR64,CV64)</f>
        <v>0</v>
      </c>
      <c r="DB64" s="51">
        <f ca="1">DA64*F64</f>
        <v>0</v>
      </c>
      <c r="DC64" s="993">
        <v>1</v>
      </c>
      <c r="DD64" s="758" t="str">
        <f>IF(OR(D64=BG$12,D64=BG$13),"External",IF(D64=BG$14,"Internal"," "))</f>
        <v xml:space="preserve"> </v>
      </c>
      <c r="DE64" s="51" t="str">
        <f t="shared" ca="1" si="2"/>
        <v/>
      </c>
      <c r="DF64" s="52" t="str">
        <f t="shared" ca="1" si="3"/>
        <v xml:space="preserve"> </v>
      </c>
      <c r="DG64" s="51">
        <f ca="1">IF(F64&lt;OFFSET($BM$9,CN64-1,0,1,1),0,IF(F64&lt;OFFSET($BN$9,CN64-1,0,1,1),((F64-OFFSET($BM$9,CN64-1,0,1,1))*OFFSET($CH$9,CN64-1,0,1,1))+OFFSET($BO$9,CN64-1,CQ64,1,1),IF(F64&lt;OFFSET($BN$9,CN64+0,0,1,1),((F64-OFFSET($BM$9,CN64+0,0,1,1))*OFFSET($CH$9,CN64+0,0,1,1))+OFFSET($BO$9,CN64+0,CQ64,1,1),IF(F64&lt;OFFSET($BN$9,CN64+1,0,1,1),((F64-OFFSET($BM$9,CN64+1,0,1,1))*OFFSET($CH$9,CN64+1,0,1,1))+OFFSET($BO$9,CN64+1,CQ64,1,1),IF(F64&lt;OFFSET($BN$9,CN64+2,0,1,1),((F64-OFFSET($BM$9,CN64+2,0,1,1))*OFFSET($CH$9,CN64+2,0,1,1))+OFFSET($BO$9,CN64+2,CQ64,1,1),IF(F64&lt;OFFSET($BN$9,CN64+3,0,1,1),((F64-OFFSET($BM$9,CN64+3,0,1,1))*OFFSET($CH$9,CN64+3,0,1,1))+OFFSET($BO$9,CN64+3,CQ64,1,1),0))))))</f>
        <v>0</v>
      </c>
      <c r="DH64" s="51">
        <f ca="1">IF($F64&lt;OFFSET($BM$9,$CN64-1,0,1,1),0,IF($F64&lt;OFFSET($BN$9,$CN64-1,0,1,1),IF(AND($H64&gt;2.4,Z64&lt;&gt;"e",Z64&lt;&gt;"f"),DL64*2.4/$H64,DL64),IF($F64&lt;OFFSET($BN$9,$CN64+0,0,1,1),IF(AND($H64&gt;2.4,Z64&lt;&gt;"e",Z64&lt;&gt;"f"),DL64*2.4/$H64,DL64),IF($F64&lt;OFFSET($BN$9,$CN64+1,0,1,1),IF(AND($H64&gt;2.4,Z64&lt;&gt;"e",Z64&lt;&gt;"f"),DL64*2.4/$H64,DL64),IF($F64&lt;OFFSET($BN$9,$CN64+2,0,1,1),IF(AND($H64&gt;2.4,Z64&lt;&gt;"e",Z64&lt;&gt;"f"),DL64*2.4/$H64,DL64),IF($F64&lt;OFFSET($BN$9,$CN64+3,0,1,1),IF(AND($H64&gt;2.4,Z64&lt;&gt;"e",Z64&lt;&gt;"f"),DL64*2.4/$H64,DL64),0)))))*COS(RADIANS($G64)))</f>
        <v>0</v>
      </c>
      <c r="DI64" s="51">
        <f ca="1">IF(F64&lt;OFFSET($BM$9,CN64-1,0,1,1),0,IF(F64&lt;OFFSET($BN$9,CN64-1,0,1,1),((F64-OFFSET($BM$9,CN64-1,0,1,1))*OFFSET($CI$9,CN64-1,0,1,1))+OFFSET($BP$9,CN64-1,CQ64,1,1),IF(F64&lt;OFFSET($BN$9,CN64+0,0,1,1),((F64-OFFSET($BM$9,CN64+0,0,1,1))*OFFSET($CI$9,CN64+0,0,1,1))+OFFSET($BP$9,CN64+0,CQ64,1,1),IF(F64&lt;OFFSET($BN$9,CN64+1,0,1,1),((F64-OFFSET($BM$9,CN64+1,0,1,1))*OFFSET($CI$9,CN64+1,0,1,1))+OFFSET($BP$9,CN64+1,CQ64,1,1),IF(F64&lt;OFFSET($BN$9,CN64+2,0,1,1),((F64-OFFSET($BM$9,CN64+2,0,1,1))*OFFSET($CI$9,CN64+2,0,1,1))+OFFSET($BP$9,CN64+2,CQ64,1,1),IF(F64&lt;OFFSET($BN$9,CN64+3,0,1,1),((F64-OFFSET($BM$9,CN64+3,0,1,1))*OFFSET($CI$9,CN64+3,0,1,1))+OFFSET($BP$9,CN64+3,CQ64,1,1),0))))))</f>
        <v>0</v>
      </c>
      <c r="DJ64" s="51">
        <f ca="1">IF($F64&lt;OFFSET($BM$9,$CN64-1,0,1,1),0,IF($F64&lt;OFFSET($BN$9,$CN64-1,0,1,1),IF(AND($H64&gt;2.4,Z64&lt;&gt;"e",Z64&lt;&gt;"f"),DN64*2.4/$H64,DN64),IF($F64&lt;OFFSET($BN$9,$CN64+0,0,1,1),IF(AND($H64&gt;2.4,Z64&lt;&gt;"e",Z64&lt;&gt;"f"),DN64*2.4/$H64,DN64),IF($F64&lt;OFFSET($BN$9,$CN64+1,0,1,1),IF(AND($H64&gt;2.4,Z64&lt;&gt;"e",Z64&lt;&gt;"f"),DN64*2.4/$H64,DN64),IF($F64&lt;OFFSET($BN$9,$CN64+2,0,1,1),IF(AND($H64&gt;2.4,Z64&lt;&gt;"e",Z64&lt;&gt;"f"),DN64*2.4/$H64,DN64),IF($F64&lt;OFFSET($BN$9,$CN64+3,0,1,1),IF(AND($H64&gt;2.4,Z64&lt;&gt;"e",Z64&lt;&gt;"f"),DN64*2.4/$H64,DN64),0)))))*COS(RADIANS($G64)))</f>
        <v>0</v>
      </c>
      <c r="DK64" s="51"/>
      <c r="DL64" s="51">
        <f ca="1">IF(DG64&gt;$CR64,$CR64,DG64)</f>
        <v>0</v>
      </c>
      <c r="DM64" s="51"/>
      <c r="DN64" s="51">
        <f ca="1">IF(DI64&gt;$CR64,$CR64,DI64)</f>
        <v>0</v>
      </c>
      <c r="DO64" s="435">
        <f ca="1">IF(DH64&gt;$CR64,$CR64,DH64)</f>
        <v>0</v>
      </c>
      <c r="DP64" s="435">
        <f ca="1">DO64*F64</f>
        <v>0</v>
      </c>
      <c r="DQ64" s="436">
        <f ca="1">IF(DJ64&gt;$CR64,$CR64,DJ64)</f>
        <v>0</v>
      </c>
      <c r="DR64" s="437">
        <f ca="1">DQ64*F64</f>
        <v>0</v>
      </c>
      <c r="DS64" s="426">
        <f ca="1">OFFSET($CH$9,CL64-1,-15,1,1)</f>
        <v>0</v>
      </c>
      <c r="DT64" s="426">
        <f ca="1">VLOOKUP(DS64,Prodlink,2,0)</f>
        <v>0</v>
      </c>
      <c r="DU64" s="188">
        <f ca="1">IF(F64&lt;OFFSET($BM$9,DT64-1,0,1,1),0,IF(F64&lt;OFFSET($BN$9,DT64-1,0,1,1),((F64-OFFSET($BM$9,DT64-1,0,1,1))*OFFSET($CH$9,DT64-1,0,1,1))+OFFSET($BO$9,DT64-1,CQ64,1,1),IF(F64&lt;OFFSET($BN$9,DT64+0,0,1,1),((F64-OFFSET($BM$9,DT64+0,0,1,1))*OFFSET($CH$9,DT64+0,0,1,1))+OFFSET($BO$9,DT64+0,CQ64,1,1),IF(F64&lt;OFFSET($BN$9,DT64+1,0,1,1),((F64-OFFSET($BM$9,DT64+1,0,1,1))*OFFSET($CH$9,DT64+1,0,1,1))+OFFSET($BO$9,DT64+1,CQ64,1,1),IF(F64&lt;OFFSET($BN$9,DT64+2,0,1,1),((F64-OFFSET($BM$9,DT64+2,0,1,1))*OFFSET($CH$9,DT64+2,0,1,1))+OFFSET($BO$9,DT64+2,CQ64,1,1),IF(F64&lt;OFFSET($BN$9,DT64+3,0,1,1),((F64-OFFSET($BM$9,DT64+3,0,1,1))*OFFSET($CH$9,DT64+3,0,1,1))+OFFSET($BO$9,DT64+3,CQ64,1,1),0))))))</f>
        <v>0</v>
      </c>
      <c r="DV64" s="51">
        <f ca="1">IF($F64&lt;OFFSET($BM$9,$DT64-1,0,1,1),0,IF($F64&lt;OFFSET($BN$9,$DT64-1,0,1,1),IF(AND($H64&gt;2.4,Z64&lt;&gt;"e",Z64&lt;&gt;"f"),DZ64*2.4/$H64,DZ64),IF($F64&lt;OFFSET($BN$9,$DT64+0,0,1,1),IF(AND($H64&gt;2.4,Z64&lt;&gt;"e",Z64&lt;&gt;"f"),DZ64*2.4/$H64,DZ64),IF($F64&lt;OFFSET($BN$9,$DT64+1,0,1,1),IF(AND($H64&gt;2.4,Z64&lt;&gt;"e",Z64&lt;&gt;"f"),DZ64*2.4/$H64,DZ64),IF($F64&lt;OFFSET($BN$9,$DT64+2,0,1,1),IF(AND($H64&gt;2.4,Z64&lt;&gt;"e",Z64&lt;&gt;"f"),DZ64*2.4/$H64,DZ64),IF($F64&lt;OFFSET($BN$9,$DT64+3,0,1,1),IF(AND($H64&gt;2.4,Z64&lt;&gt;"e",Z64&lt;&gt;"f"),DZ64*2.4/$H64,DZ64),0)))))*COS(RADIANS($G64)))</f>
        <v>0</v>
      </c>
      <c r="DW64" s="188">
        <f ca="1">IF(F64&lt;OFFSET($BM$9,DT64-1,0,1,1),0,IF(F64&lt;OFFSET($BN$9,DT64-1,0,1,1),((F64-OFFSET($BM$9,DT64-1,0,1,1))*OFFSET($CI$9,DT64-1,0,1,1))+OFFSET($BP$9,DT64-1,CQ64,1,1),IF(F64&lt;OFFSET($BN$9,DT64+0,0,1,1),((F64-OFFSET($BM$9,DT64+0,0,1,1))*OFFSET($CI$9,DT64+0,0,1,1))+OFFSET($BP$9,DT64+0,CQ64,1,1),IF(F64&lt;OFFSET($BN$9,DT64+1,0,1,1),((F64-OFFSET($BM$9,DT64+1,0,1,1))*OFFSET($CI$9,DT64+1,0,1,1))+OFFSET($BP$9,DT64+1,CQ64,1,1),IF(F64&lt;OFFSET($BN$9,DT64+2,0,1,1),((F64-OFFSET($BM$9,DT64+2,0,1,1))*OFFSET($CI$9,DT64+2,0,1,1))+OFFSET($BP$9,DT64+2,CQ64,1,1),IF(F64&lt;OFFSET($BN$9,DT64+3,0,1,1),((F64-OFFSET($BM$9,DT64+3,0,1,1))*OFFSET($CI$9,DT64+3,0,1,1))+OFFSET($BP$9,DT64+3,CQ64,1,1),0))))))</f>
        <v>0</v>
      </c>
      <c r="DX64" s="51">
        <f ca="1">IF($F64&lt;OFFSET($BM$9,$DT64-1,0,1,1),0,IF($F64&lt;OFFSET($BN$9,$DT64-1,0,1,1),IF(AND($H64&gt;2.4,Z64&lt;&gt;"e",Z64&lt;&gt;"f"),EB64*2.4/$H64,EB64),IF($F64&lt;OFFSET($BN$9,$DT64+0,0,1,1),IF(AND($H64&gt;2.4,Z64&lt;&gt;"e",Z64&lt;&gt;"f"),EB64*2.4/$H64,EB64),IF($F64&lt;OFFSET($BN$9,$DT64+1,0,1,1),IF(AND($H64&gt;2.4,Z64&lt;&gt;"e",Z64&lt;&gt;"f"),EB64*2.4/$H64,EB64),IF($F64&lt;OFFSET($BN$9,$DT64+2,0,1,1),IF(AND($H64&gt;2.4,Z64&lt;&gt;"e",Z64&lt;&gt;"f"),EB64*2.4/$H64,EB64),IF($F64&lt;OFFSET($BN$9,$DT64+3,0,1,1),IF(AND($H64&gt;2.4,Z64&lt;&gt;"e",Z64&lt;&gt;"f"),EB64*2.4/$H64,EB64),0)))))*COS(RADIANS($G64)))</f>
        <v>0</v>
      </c>
      <c r="DY64" s="188"/>
      <c r="DZ64" s="188">
        <f ca="1">IF(DU64&gt;$CR64,$CR64,DU64)</f>
        <v>0</v>
      </c>
      <c r="EA64" s="188"/>
      <c r="EB64" s="188">
        <f ca="1">IF(DW64&gt;$CR64,$CR64,DW64)</f>
        <v>0</v>
      </c>
      <c r="EC64" s="435">
        <f ca="1">IF(DV64&gt;$CR64,$CR64,DV64)</f>
        <v>0</v>
      </c>
      <c r="ED64" s="435">
        <f ca="1">EC64*F64</f>
        <v>0</v>
      </c>
      <c r="EE64" s="436">
        <f ca="1">IF(DX64&gt;$CR64,$CR64,DX64)</f>
        <v>0</v>
      </c>
      <c r="EF64" s="437">
        <f ca="1">EE64*F64</f>
        <v>0</v>
      </c>
      <c r="EG64" s="613" t="str">
        <f>IF(D64=BG$12,BG$12,"")</f>
        <v/>
      </c>
      <c r="EH64" s="614" t="str">
        <f>IF(D64=BG$13,BG$13,"")</f>
        <v/>
      </c>
      <c r="EI64" s="611">
        <f>IF(EG64=BG$12,M64,0)</f>
        <v>0</v>
      </c>
      <c r="EJ64" s="451">
        <f>IF(EG64=BG$12,O64,0)</f>
        <v>0</v>
      </c>
      <c r="EK64" s="451">
        <f>IF(EH64=BG$13,M64,0)</f>
        <v>0</v>
      </c>
      <c r="EL64" s="612">
        <f>IF(EH64=BG$13,O64,0)</f>
        <v>0</v>
      </c>
      <c r="EM64" s="426" t="str">
        <f ca="1">IF(AND(Z64&lt;&gt;"t",Z64&lt;&gt;"f"),"",IF(AND(EN64=$BH$13,K64=$BH$12),"NotOpt",IF(K64&lt;&gt;EN64,"Error","")))</f>
        <v/>
      </c>
      <c r="EN64" s="490" t="str">
        <f>IF($BG$28=1,$BH$13,$BH$12)</f>
        <v>120 BU's</v>
      </c>
      <c r="EO64" s="426" t="str">
        <f>K64</f>
        <v xml:space="preserve"> </v>
      </c>
      <c r="ER64" s="439" t="str">
        <f ca="1">IF(H64=0," ",H64)</f>
        <v xml:space="preserve"> </v>
      </c>
      <c r="ES64" s="440" t="str">
        <f ca="1">IF(ER64&lt;&gt;" ",IF(ER64&lt;&gt;ER$7,"Changed",""),"")</f>
        <v/>
      </c>
      <c r="ET64" s="440">
        <f ca="1">IF(ER64&lt;&gt;" ",IF(ER64&lt;&gt;ER$7,1,0),0)</f>
        <v>0</v>
      </c>
      <c r="EU64" s="957" t="str">
        <f ca="1">IF(I64=" "," ",IF(F64&lt;OFFSET($BM$9,CL64-1,0,1,1),1,""))</f>
        <v xml:space="preserve"> </v>
      </c>
      <c r="EW64" s="427"/>
      <c r="EX64"/>
      <c r="EY64"/>
      <c r="EZ64"/>
      <c r="FA64"/>
      <c r="FB64"/>
      <c r="FC64"/>
      <c r="FD64"/>
      <c r="FE64"/>
      <c r="FF64"/>
      <c r="FG64"/>
      <c r="FH64"/>
      <c r="FI64"/>
      <c r="FJ64"/>
      <c r="FK64"/>
      <c r="FL64"/>
      <c r="FM64"/>
      <c r="FN64"/>
      <c r="FO64"/>
    </row>
    <row r="65" spans="1:171" ht="17.100000000000001" customHeight="1">
      <c r="A65" s="2685"/>
      <c r="B65" s="689" t="s">
        <v>246</v>
      </c>
      <c r="C65" s="684" t="str">
        <f>IF(OR(F65=0,I65="",I65=" ")," ",$V65)</f>
        <v xml:space="preserve"> </v>
      </c>
      <c r="D65" s="1033"/>
      <c r="E65" s="1360" t="s">
        <v>8</v>
      </c>
      <c r="F65" s="202"/>
      <c r="G65" s="1416"/>
      <c r="H65" s="199" t="str">
        <f ca="1">IF(OR(F65=0,Z65="E",Z65="f")," ",'Project Demand'!E$45)</f>
        <v xml:space="preserve"> </v>
      </c>
      <c r="I65" s="631" t="str">
        <f>IF($I$6&lt;&gt;$BG$8," ",AB65)</f>
        <v xml:space="preserve"> </v>
      </c>
      <c r="J65" s="44" t="str">
        <f ca="1">IF(OR(I65=" ",I65="")," ",OFFSET($BO$9,CL65-1,0-4,1,1))</f>
        <v xml:space="preserve"> </v>
      </c>
      <c r="K65" s="55" t="str">
        <f>IF(OR(I65=" ",I65="")," ",IF(OR(Z65="e",Z65="h"),"SD",BG$24))</f>
        <v xml:space="preserve"> </v>
      </c>
      <c r="L65" s="49">
        <f ca="1">CW65</f>
        <v>0</v>
      </c>
      <c r="M65" s="49">
        <f ca="1">CY65</f>
        <v>0</v>
      </c>
      <c r="N65" s="50">
        <f t="shared" ca="1" si="32"/>
        <v>0</v>
      </c>
      <c r="O65" s="126">
        <f t="shared" ca="1" si="32"/>
        <v>0</v>
      </c>
      <c r="P65" s="140"/>
      <c r="Q65" s="752" t="str">
        <f ca="1">IF(AND(OR(Z65="t",Z65="f"),K65=$BH$11),"No Floor!  Change Floor Type",IF(OR(I65=" ",I65="")," ",IF(F65&lt;OFFSET($BM$9,CL65-1,0,1,1),"check L(m)",DE65&amp;IF(AND(DP65&gt;=CY65,DR65&gt;=DB65),IF(AND(ED65&gt;=DP65,EF65&gt;=DR65),CONCATENATE(DS65," will provide same result"),CONCATENATE(CO65," will provide same result")),IF((DP65&gt;=CY65),CONCATENATE(CO65," provides same result in WIND"),IF((DR65&gt;=DB65),CONCATENATE(CO65," provides same result in EQ"),""))))))&amp;IF(ISERROR(FIND("pile",I65,1)),"",IF(INT(F65)&lt;&gt;F65,"Pile!  Use Whole Numbers Only",""))</f>
        <v xml:space="preserve"> </v>
      </c>
      <c r="R65" s="52"/>
      <c r="S65" s="1372"/>
      <c r="T65" s="1372"/>
      <c r="U65" s="1377"/>
      <c r="V65" s="52" t="str">
        <f ca="1">IF(AND(B$5=$BF$9,OR(I65=BH$16,I65=BH$17))," ",IF(ISNUMBER(B$62),(CONCATENATE(B$62,".",W65)),(CONCATENATE(B$62,W65))))</f>
        <v>J0</v>
      </c>
      <c r="W65" s="9">
        <f ca="1">W64+X65</f>
        <v>0</v>
      </c>
      <c r="X65" s="9">
        <f>IF(AND(B$5=$BF$9,OR($I65=$BH$16,$I65=$BH$17,$I65=" ",$I65="",$F65=0)),0,IF(OR($I65=" ",$I65="",$F65=0),0,1))</f>
        <v>0</v>
      </c>
      <c r="Y65" s="896"/>
      <c r="Z65" s="52" t="str">
        <f ca="1">IF(I65=" "," ",OFFSET($BM$9,$CL65-1,8,1,1))</f>
        <v xml:space="preserve"> </v>
      </c>
      <c r="AA65" s="51" t="str">
        <f>IF(G65&gt;=45,"WA","")</f>
        <v/>
      </c>
      <c r="AB65" s="1364" t="str">
        <f>IF(F65&lt;&gt;"",IF(OR(D65=$BG$12,D65=$BG$13),IF(E65&lt;&gt;$BG$17,$BF$12,$BF$13),IF(E65&lt;&gt;$BG$17,$BF$12,$BF$13))," ")</f>
        <v xml:space="preserve"> </v>
      </c>
      <c r="AC65" s="1"/>
      <c r="AK65" s="63" t="str">
        <f>'Custom Elements'!B26</f>
        <v xml:space="preserve">  </v>
      </c>
      <c r="AL65" s="860" t="str">
        <f>'Custom Elements'!C26</f>
        <v>Custom18</v>
      </c>
      <c r="AM65" s="11">
        <f>'Custom Elements'!D26</f>
        <v>9.9999999999999996E-76</v>
      </c>
      <c r="AN65" s="7">
        <f>'Custom Elements'!E26</f>
        <v>0</v>
      </c>
      <c r="AO65" s="7">
        <f>'Custom Elements'!F26</f>
        <v>0</v>
      </c>
      <c r="AP65" s="762" t="str">
        <f>'Custom Elements'!G26</f>
        <v>B</v>
      </c>
      <c r="AQ65" s="1777" t="str">
        <f>'Custom Elements'!H26</f>
        <v>Single</v>
      </c>
      <c r="AR65" s="1775" t="str">
        <f>'Custom Elements'!I26</f>
        <v>Yes</v>
      </c>
      <c r="AS65" s="442" t="str">
        <f>'Custom Elements'!J26</f>
        <v>Yes</v>
      </c>
      <c r="AT65" s="1598"/>
      <c r="AU65" s="1155"/>
      <c r="AZ65" s="442" t="str">
        <f>IF(AND('Custom Elements'!J26="Yes",'Custom Elements'!I26="Yes"),"T",IF('Custom Elements'!J26="Yes","F",IF('Custom Elements'!I26="Yes","H","E")))</f>
        <v>T</v>
      </c>
      <c r="BD65" s="641"/>
      <c r="BE65" s="1026" t="s">
        <v>904</v>
      </c>
      <c r="BF65" s="640"/>
      <c r="BG65" s="1027"/>
      <c r="BH65" s="479"/>
      <c r="BI65" s="759"/>
      <c r="BJ65" s="897">
        <f t="shared" si="27"/>
        <v>57</v>
      </c>
      <c r="BK65" s="764"/>
      <c r="BL65" s="766"/>
      <c r="BM65" s="455">
        <f>Table!P7</f>
        <v>1.2</v>
      </c>
      <c r="BN65" s="455">
        <f>BM66</f>
        <v>1.8</v>
      </c>
      <c r="BO65" s="455">
        <f>Table!Q7</f>
        <v>95</v>
      </c>
      <c r="BP65" s="925">
        <f>Table!R7</f>
        <v>84</v>
      </c>
      <c r="BR65" s="764"/>
      <c r="BS65" s="455"/>
      <c r="BT65" s="455"/>
      <c r="BU65" s="925" t="s">
        <v>242</v>
      </c>
      <c r="BV65" s="895"/>
      <c r="BW65" s="912"/>
      <c r="BX65" s="925" t="str">
        <f>Table!T5</f>
        <v>Single</v>
      </c>
      <c r="CH65" s="764">
        <f>IF(BN65=999,0,(BO66-BO65)/(BN65-BM65))</f>
        <v>24.999999999999996</v>
      </c>
      <c r="CI65" s="925">
        <f>IF(BN65=999,0,(BP66-BP65)/(BN65-BM65))</f>
        <v>0</v>
      </c>
      <c r="CJ65" s="759"/>
      <c r="CK65" s="188"/>
      <c r="CL65" s="979">
        <f>VLOOKUP(I65,Prodlink,2,0)</f>
        <v>0</v>
      </c>
      <c r="CN65" s="497">
        <f t="shared" ca="1" si="26"/>
        <v>0</v>
      </c>
      <c r="CO65" s="497">
        <f ca="1">OFFSET($CH$9,CL65-1,-15,1,1)</f>
        <v>0</v>
      </c>
      <c r="CQ65" s="51">
        <v>0</v>
      </c>
      <c r="CR65" s="51">
        <f>IF(K65=$BH$12,$BH$23,IF(K65=$BH$13,$BH$24,10000))</f>
        <v>10000</v>
      </c>
      <c r="CS65" s="51">
        <f ca="1">IF(F65&lt;OFFSET($BM$9,CL65-1,0,1,1),0,IF(F65&lt;OFFSET($BN$9,CL65-1,0,1,1),((F65-OFFSET($BM$9,CL65-1,0,1,1))*OFFSET($CH$9,CL65-1,0,1,1))+OFFSET($BO$9,CL65-1,CQ65,1,1),IF(F65&lt;OFFSET($BN$9,CL65+0,0,1,1),((F65-OFFSET($BM$9,CL65+0,0,1,1))*OFFSET($CH$9,CL65+0,0,1,1))+OFFSET($BO$9,CL65+0,CQ65,1,1),IF(F65&lt;OFFSET($BN$9,CL65+1,0,1,1),((F65-OFFSET($BM$9,CL65+1,0,1,1))*OFFSET($CH$9,CL65+1,0,1,1))+OFFSET($BO$9,CL65+1,CQ65,1,1),IF(F65&lt;OFFSET($BN$9,CL65+2,0,1,1),((F65-OFFSET($BM$9,CL65+2,0,1,1))*OFFSET($CH$9,CL65+2,0,1,1))+OFFSET($BO$9,CL65+2,CQ65,1,1),IF(F65&lt;OFFSET($BN$9,CL65+3,0,1,1),((F65-OFFSET($BM$9,CL65+3,0,1,1))*OFFSET($CH$9,CL65+3,0,1,1))+OFFSET($BO$9,CL65+3,CQ65,1,1),0))))))</f>
        <v>0</v>
      </c>
      <c r="CT65" s="51">
        <f ca="1">IF($F65&lt;OFFSET($BM$9,$CL65-1,0,1,1),0,IF($F65&lt;OFFSET($BN$9,$CL65-1,0,1,1),IF(AND($H65&gt;2.4,Z65&lt;&gt;"e",Z65&lt;&gt;"f"),CX65*2.4/$H65,CX65),IF($F65&lt;OFFSET($BN$9,$CL65+0,0,1,1),IF(AND($H65&gt;2.4,Z65&lt;&gt;"e",Z65&lt;&gt;"f"),CX65*2.4/$H65,CX65),IF($F65&lt;OFFSET($BN$9,$CL65+1,0,1,1),IF(AND($H65&gt;2.4,Z65&lt;&gt;"e",Z65&lt;&gt;"f"),CX65*2.4/$H65,CX65),IF($F65&lt;OFFSET($BN$9,CL65+2,0,1,1),IF(AND($H65&gt;2.4,Z65&lt;&gt;"e",Z65&lt;&gt;"f"),CX65*2.4/$H65,CX65),IF($F65&lt;OFFSET($BN$9,CL65+3,0,1,1),IF(AND($H65&gt;2.4,Z65&lt;&gt;"e",Z65&lt;&gt;"f"),CX65*2.4/$H65,CX65),0)))))*COS(RADIANS($G65)))</f>
        <v>0</v>
      </c>
      <c r="CU65" s="51">
        <f ca="1">IF(F65&lt;OFFSET($BM$9,CL65-1,0,1,1),0,IF(F65&lt;OFFSET($BN$9,CL65-1,0,1,1),((F65-OFFSET($BM$9,CL65-1,0,1,1))*OFFSET($CI$9,CL65-1,0,1,1))+OFFSET($BP$9,CL65-1,CQ65,1,1),IF(F65&lt;OFFSET($BN$9,CL65+0,0,1,1),((F65-OFFSET($BM$9,CL65+0,0,1,1))*OFFSET($CI$9,CL65+0,0,1,1))+OFFSET($BP$9,CL65+0,CQ65,1,1),IF(F65&lt;OFFSET($BN$9,CL65+1,0,1,1),((F65-OFFSET($BM$9,CL65+1,0,1,1))*OFFSET($CI$9,CL65+1,0,1,1))+OFFSET($BP$9,CL65+1,CQ65,1,1),IF(F65&lt;OFFSET($BN$9,CL65+2,0,1,1),((F65-OFFSET($BM$9,CL65+2,0,1,1))*OFFSET($CI$9,CL65+2,0,1,1))+OFFSET($BP$9,CL65+2,CQ65,1,1),IF(F65&lt;OFFSET($BN$9,CL65+3,0,1,1),((F65-OFFSET($BM$9,CL65+3,0,1,1))*OFFSET($CI$9,CL65+3,0,1,1))+OFFSET($BP$9,CL65+3,CQ65,1,1),0))))))</f>
        <v>0</v>
      </c>
      <c r="CV65" s="51">
        <f ca="1">IF($F65&lt;OFFSET($BM$9,$CL65-1,0,1,1),0,IF($F65&lt;OFFSET($BN$9,$CL65-1,0,1,1),IF(AND($H65&gt;2.4,Z65&lt;&gt;"e",Z65&lt;&gt;"f"),CZ65*2.4/$H65,CZ65),IF($F65&lt;OFFSET($BN$9,$CL65+0,0,1,1),IF(AND($H65&gt;2.4,Z65&lt;&gt;"e",Z65&lt;&gt;"f"),CZ65*2.4/$H65,CZ65),IF($F65&lt;OFFSET($BN$9,$CL65+1,0,1,1),IF(AND($H65&gt;2.4,Z65&lt;&gt;"e",Z65&lt;&gt;"f"),CZ65*2.4/$H65,CZ65),IF($F65&lt;OFFSET($BN$9,$CL65+2,0,1,1),IF(AND($H65&gt;2.4,Z65&lt;&gt;"e",Z65&lt;&gt;"f"),CZ65*2.4/$H65,CZ65),IF($F65&lt;OFFSET($BN$9,$CL65+3,0,1,1),IF(AND($H65&gt;2.4,Z65&lt;&gt;"e",Z65&lt;&gt;"f"),CZ65*2.4/$H65,CZ65),0)))))*COS(RADIANS($G65)))</f>
        <v>0</v>
      </c>
      <c r="CW65" s="51">
        <f ca="1">IF(CT65&gt;CR65,CR65,CT65)</f>
        <v>0</v>
      </c>
      <c r="CX65" s="51">
        <f ca="1">IF(CS65&gt;$CR65,$CR65,CS65)</f>
        <v>0</v>
      </c>
      <c r="CY65" s="51">
        <f ca="1">CW65*F65</f>
        <v>0</v>
      </c>
      <c r="CZ65" s="51">
        <f ca="1">IF($CU65&gt;$CR65,$CR65,$CU65)</f>
        <v>0</v>
      </c>
      <c r="DA65" s="51">
        <f ca="1">IF(CV65&gt;CR65,CR65,CV65)</f>
        <v>0</v>
      </c>
      <c r="DB65" s="51">
        <f ca="1">DA65*F65</f>
        <v>0</v>
      </c>
      <c r="DC65" s="993">
        <v>1</v>
      </c>
      <c r="DD65" s="758" t="str">
        <f>IF(OR(D65=BG$12,D65=BG$13),"External",IF(D65=BG$14,"Internal"," "))</f>
        <v xml:space="preserve"> </v>
      </c>
      <c r="DE65" s="51" t="str">
        <f t="shared" ca="1" si="2"/>
        <v/>
      </c>
      <c r="DF65" s="52" t="str">
        <f t="shared" ca="1" si="3"/>
        <v xml:space="preserve"> </v>
      </c>
      <c r="DG65" s="51">
        <f ca="1">IF(F65&lt;OFFSET($BM$9,CN65-1,0,1,1),0,IF(F65&lt;OFFSET($BN$9,CN65-1,0,1,1),((F65-OFFSET($BM$9,CN65-1,0,1,1))*OFFSET($CH$9,CN65-1,0,1,1))+OFFSET($BO$9,CN65-1,CQ65,1,1),IF(F65&lt;OFFSET($BN$9,CN65+0,0,1,1),((F65-OFFSET($BM$9,CN65+0,0,1,1))*OFFSET($CH$9,CN65+0,0,1,1))+OFFSET($BO$9,CN65+0,CQ65,1,1),IF(F65&lt;OFFSET($BN$9,CN65+1,0,1,1),((F65-OFFSET($BM$9,CN65+1,0,1,1))*OFFSET($CH$9,CN65+1,0,1,1))+OFFSET($BO$9,CN65+1,CQ65,1,1),IF(F65&lt;OFFSET($BN$9,CN65+2,0,1,1),((F65-OFFSET($BM$9,CN65+2,0,1,1))*OFFSET($CH$9,CN65+2,0,1,1))+OFFSET($BO$9,CN65+2,CQ65,1,1),IF(F65&lt;OFFSET($BN$9,CN65+3,0,1,1),((F65-OFFSET($BM$9,CN65+3,0,1,1))*OFFSET($CH$9,CN65+3,0,1,1))+OFFSET($BO$9,CN65+3,CQ65,1,1),0))))))</f>
        <v>0</v>
      </c>
      <c r="DH65" s="51">
        <f ca="1">IF($F65&lt;OFFSET($BM$9,$CN65-1,0,1,1),0,IF($F65&lt;OFFSET($BN$9,$CN65-1,0,1,1),IF(AND($H65&gt;2.4,Z65&lt;&gt;"e",Z65&lt;&gt;"f"),DL65*2.4/$H65,DL65),IF($F65&lt;OFFSET($BN$9,$CN65+0,0,1,1),IF(AND($H65&gt;2.4,Z65&lt;&gt;"e",Z65&lt;&gt;"f"),DL65*2.4/$H65,DL65),IF($F65&lt;OFFSET($BN$9,$CN65+1,0,1,1),IF(AND($H65&gt;2.4,Z65&lt;&gt;"e",Z65&lt;&gt;"f"),DL65*2.4/$H65,DL65),IF($F65&lt;OFFSET($BN$9,$CN65+2,0,1,1),IF(AND($H65&gt;2.4,Z65&lt;&gt;"e",Z65&lt;&gt;"f"),DL65*2.4/$H65,DL65),IF($F65&lt;OFFSET($BN$9,$CN65+3,0,1,1),IF(AND($H65&gt;2.4,Z65&lt;&gt;"e",Z65&lt;&gt;"f"),DL65*2.4/$H65,DL65),0)))))*COS(RADIANS($G65)))</f>
        <v>0</v>
      </c>
      <c r="DI65" s="51">
        <f ca="1">IF(F65&lt;OFFSET($BM$9,CN65-1,0,1,1),0,IF(F65&lt;OFFSET($BN$9,CN65-1,0,1,1),((F65-OFFSET($BM$9,CN65-1,0,1,1))*OFFSET($CI$9,CN65-1,0,1,1))+OFFSET($BP$9,CN65-1,CQ65,1,1),IF(F65&lt;OFFSET($BN$9,CN65+0,0,1,1),((F65-OFFSET($BM$9,CN65+0,0,1,1))*OFFSET($CI$9,CN65+0,0,1,1))+OFFSET($BP$9,CN65+0,CQ65,1,1),IF(F65&lt;OFFSET($BN$9,CN65+1,0,1,1),((F65-OFFSET($BM$9,CN65+1,0,1,1))*OFFSET($CI$9,CN65+1,0,1,1))+OFFSET($BP$9,CN65+1,CQ65,1,1),IF(F65&lt;OFFSET($BN$9,CN65+2,0,1,1),((F65-OFFSET($BM$9,CN65+2,0,1,1))*OFFSET($CI$9,CN65+2,0,1,1))+OFFSET($BP$9,CN65+2,CQ65,1,1),IF(F65&lt;OFFSET($BN$9,CN65+3,0,1,1),((F65-OFFSET($BM$9,CN65+3,0,1,1))*OFFSET($CI$9,CN65+3,0,1,1))+OFFSET($BP$9,CN65+3,CQ65,1,1),0))))))</f>
        <v>0</v>
      </c>
      <c r="DJ65" s="51">
        <f ca="1">IF($F65&lt;OFFSET($BM$9,$CN65-1,0,1,1),0,IF($F65&lt;OFFSET($BN$9,$CN65-1,0,1,1),IF(AND($H65&gt;2.4,Z65&lt;&gt;"e",Z65&lt;&gt;"f"),DN65*2.4/$H65,DN65),IF($F65&lt;OFFSET($BN$9,$CN65+0,0,1,1),IF(AND($H65&gt;2.4,Z65&lt;&gt;"e",Z65&lt;&gt;"f"),DN65*2.4/$H65,DN65),IF($F65&lt;OFFSET($BN$9,$CN65+1,0,1,1),IF(AND($H65&gt;2.4,Z65&lt;&gt;"e",Z65&lt;&gt;"f"),DN65*2.4/$H65,DN65),IF($F65&lt;OFFSET($BN$9,$CN65+2,0,1,1),IF(AND($H65&gt;2.4,Z65&lt;&gt;"e",Z65&lt;&gt;"f"),DN65*2.4/$H65,DN65),IF($F65&lt;OFFSET($BN$9,$CN65+3,0,1,1),IF(AND($H65&gt;2.4,Z65&lt;&gt;"e",Z65&lt;&gt;"f"),DN65*2.4/$H65,DN65),0)))))*COS(RADIANS($G65)))</f>
        <v>0</v>
      </c>
      <c r="DK65" s="51"/>
      <c r="DL65" s="51">
        <f ca="1">IF(DG65&gt;$CR65,$CR65,DG65)</f>
        <v>0</v>
      </c>
      <c r="DM65" s="51"/>
      <c r="DN65" s="51">
        <f ca="1">IF(DI65&gt;$CR65,$CR65,DI65)</f>
        <v>0</v>
      </c>
      <c r="DO65" s="435">
        <f ca="1">IF(DH65&gt;$CR65,$CR65,DH65)</f>
        <v>0</v>
      </c>
      <c r="DP65" s="435">
        <f ca="1">DO65*F65</f>
        <v>0</v>
      </c>
      <c r="DQ65" s="436">
        <f ca="1">IF(DJ65&gt;$CR65,$CR65,DJ65)</f>
        <v>0</v>
      </c>
      <c r="DR65" s="437">
        <f ca="1">DQ65*F65</f>
        <v>0</v>
      </c>
      <c r="DS65" s="426">
        <f ca="1">OFFSET($CH$9,CL65-1,-15,1,1)</f>
        <v>0</v>
      </c>
      <c r="DT65" s="426">
        <f ca="1">VLOOKUP(DS65,Prodlink,2,0)</f>
        <v>0</v>
      </c>
      <c r="DU65" s="188">
        <f ca="1">IF(F65&lt;OFFSET($BM$9,DT65-1,0,1,1),0,IF(F65&lt;OFFSET($BN$9,DT65-1,0,1,1),((F65-OFFSET($BM$9,DT65-1,0,1,1))*OFFSET($CH$9,DT65-1,0,1,1))+OFFSET($BO$9,DT65-1,CQ65,1,1),IF(F65&lt;OFFSET($BN$9,DT65+0,0,1,1),((F65-OFFSET($BM$9,DT65+0,0,1,1))*OFFSET($CH$9,DT65+0,0,1,1))+OFFSET($BO$9,DT65+0,CQ65,1,1),IF(F65&lt;OFFSET($BN$9,DT65+1,0,1,1),((F65-OFFSET($BM$9,DT65+1,0,1,1))*OFFSET($CH$9,DT65+1,0,1,1))+OFFSET($BO$9,DT65+1,CQ65,1,1),IF(F65&lt;OFFSET($BN$9,DT65+2,0,1,1),((F65-OFFSET($BM$9,DT65+2,0,1,1))*OFFSET($CH$9,DT65+2,0,1,1))+OFFSET($BO$9,DT65+2,CQ65,1,1),IF(F65&lt;OFFSET($BN$9,DT65+3,0,1,1),((F65-OFFSET($BM$9,DT65+3,0,1,1))*OFFSET($CH$9,DT65+3,0,1,1))+OFFSET($BO$9,DT65+3,CQ65,1,1),0))))))</f>
        <v>0</v>
      </c>
      <c r="DV65" s="51">
        <f ca="1">IF($F65&lt;OFFSET($BM$9,$DT65-1,0,1,1),0,IF($F65&lt;OFFSET($BN$9,$DT65-1,0,1,1),IF(AND($H65&gt;2.4,Z65&lt;&gt;"e",Z65&lt;&gt;"f"),DZ65*2.4/$H65,DZ65),IF($F65&lt;OFFSET($BN$9,$DT65+0,0,1,1),IF(AND($H65&gt;2.4,Z65&lt;&gt;"e",Z65&lt;&gt;"f"),DZ65*2.4/$H65,DZ65),IF($F65&lt;OFFSET($BN$9,$DT65+1,0,1,1),IF(AND($H65&gt;2.4,Z65&lt;&gt;"e",Z65&lt;&gt;"f"),DZ65*2.4/$H65,DZ65),IF($F65&lt;OFFSET($BN$9,$DT65+2,0,1,1),IF(AND($H65&gt;2.4,Z65&lt;&gt;"e",Z65&lt;&gt;"f"),DZ65*2.4/$H65,DZ65),IF($F65&lt;OFFSET($BN$9,$DT65+3,0,1,1),IF(AND($H65&gt;2.4,Z65&lt;&gt;"e",Z65&lt;&gt;"f"),DZ65*2.4/$H65,DZ65),0)))))*COS(RADIANS($G65)))</f>
        <v>0</v>
      </c>
      <c r="DW65" s="188">
        <f ca="1">IF(F65&lt;OFFSET($BM$9,DT65-1,0,1,1),0,IF(F65&lt;OFFSET($BN$9,DT65-1,0,1,1),((F65-OFFSET($BM$9,DT65-1,0,1,1))*OFFSET($CI$9,DT65-1,0,1,1))+OFFSET($BP$9,DT65-1,CQ65,1,1),IF(F65&lt;OFFSET($BN$9,DT65+0,0,1,1),((F65-OFFSET($BM$9,DT65+0,0,1,1))*OFFSET($CI$9,DT65+0,0,1,1))+OFFSET($BP$9,DT65+0,CQ65,1,1),IF(F65&lt;OFFSET($BN$9,DT65+1,0,1,1),((F65-OFFSET($BM$9,DT65+1,0,1,1))*OFFSET($CI$9,DT65+1,0,1,1))+OFFSET($BP$9,DT65+1,CQ65,1,1),IF(F65&lt;OFFSET($BN$9,DT65+2,0,1,1),((F65-OFFSET($BM$9,DT65+2,0,1,1))*OFFSET($CI$9,DT65+2,0,1,1))+OFFSET($BP$9,DT65+2,CQ65,1,1),IF(F65&lt;OFFSET($BN$9,DT65+3,0,1,1),((F65-OFFSET($BM$9,DT65+3,0,1,1))*OFFSET($CI$9,DT65+3,0,1,1))+OFFSET($BP$9,DT65+3,CQ65,1,1),0))))))</f>
        <v>0</v>
      </c>
      <c r="DX65" s="51">
        <f ca="1">IF($F65&lt;OFFSET($BM$9,$DT65-1,0,1,1),0,IF($F65&lt;OFFSET($BN$9,$DT65-1,0,1,1),IF(AND($H65&gt;2.4,Z65&lt;&gt;"e",Z65&lt;&gt;"f"),EB65*2.4/$H65,EB65),IF($F65&lt;OFFSET($BN$9,$DT65+0,0,1,1),IF(AND($H65&gt;2.4,Z65&lt;&gt;"e",Z65&lt;&gt;"f"),EB65*2.4/$H65,EB65),IF($F65&lt;OFFSET($BN$9,$DT65+1,0,1,1),IF(AND($H65&gt;2.4,Z65&lt;&gt;"e",Z65&lt;&gt;"f"),EB65*2.4/$H65,EB65),IF($F65&lt;OFFSET($BN$9,$DT65+2,0,1,1),IF(AND($H65&gt;2.4,Z65&lt;&gt;"e",Z65&lt;&gt;"f"),EB65*2.4/$H65,EB65),IF($F65&lt;OFFSET($BN$9,$DT65+3,0,1,1),IF(AND($H65&gt;2.4,Z65&lt;&gt;"e",Z65&lt;&gt;"f"),EB65*2.4/$H65,EB65),0)))))*COS(RADIANS($G65)))</f>
        <v>0</v>
      </c>
      <c r="DY65" s="188"/>
      <c r="DZ65" s="188">
        <f ca="1">IF(DU65&gt;$CR65,$CR65,DU65)</f>
        <v>0</v>
      </c>
      <c r="EA65" s="188"/>
      <c r="EB65" s="188">
        <f ca="1">IF(DW65&gt;$CR65,$CR65,DW65)</f>
        <v>0</v>
      </c>
      <c r="EC65" s="435">
        <f ca="1">IF(DV65&gt;$CR65,$CR65,DV65)</f>
        <v>0</v>
      </c>
      <c r="ED65" s="435">
        <f ca="1">EC65*F65</f>
        <v>0</v>
      </c>
      <c r="EE65" s="436">
        <f ca="1">IF(DX65&gt;$CR65,$CR65,DX65)</f>
        <v>0</v>
      </c>
      <c r="EF65" s="437">
        <f ca="1">EE65*F65</f>
        <v>0</v>
      </c>
      <c r="EG65" s="613" t="str">
        <f>IF(D65=BG$12,BG$12,"")</f>
        <v/>
      </c>
      <c r="EH65" s="614" t="str">
        <f>IF(D65=BG$13,BG$13,"")</f>
        <v/>
      </c>
      <c r="EI65" s="611">
        <f>IF(EG65=BG$12,M65,0)</f>
        <v>0</v>
      </c>
      <c r="EJ65" s="451">
        <f>IF(EG65=BG$12,O65,0)</f>
        <v>0</v>
      </c>
      <c r="EK65" s="451">
        <f>IF(EH65=BG$13,M65,0)</f>
        <v>0</v>
      </c>
      <c r="EL65" s="612">
        <f>IF(EH65=BG$13,O65,0)</f>
        <v>0</v>
      </c>
      <c r="EM65" s="426" t="str">
        <f ca="1">IF(AND(Z65&lt;&gt;"t",Z65&lt;&gt;"f"),"",IF(AND(EN65=$BH$13,K65=$BH$12),"NotOpt",IF(K65&lt;&gt;EN65,"Error","")))</f>
        <v/>
      </c>
      <c r="EN65" s="490" t="str">
        <f>IF($BG$28=1,$BH$13,$BH$12)</f>
        <v>120 BU's</v>
      </c>
      <c r="EO65" s="426" t="str">
        <f>K65</f>
        <v xml:space="preserve"> </v>
      </c>
      <c r="ER65" s="439" t="str">
        <f ca="1">IF(H65=0," ",H65)</f>
        <v xml:space="preserve"> </v>
      </c>
      <c r="ES65" s="440" t="str">
        <f ca="1">IF(ER65&lt;&gt;" ",IF(ER65&lt;&gt;ER$7,"Changed",""),"")</f>
        <v/>
      </c>
      <c r="ET65" s="440">
        <f ca="1">IF(ER65&lt;&gt;" ",IF(ER65&lt;&gt;ER$7,1,0),0)</f>
        <v>0</v>
      </c>
      <c r="EU65" s="957" t="str">
        <f ca="1">IF(I65=" "," ",IF(F65&lt;OFFSET($BM$9,CL65-1,0,1,1),1,""))</f>
        <v xml:space="preserve"> </v>
      </c>
      <c r="EW65" s="427"/>
      <c r="EX65"/>
      <c r="EY65"/>
      <c r="EZ65"/>
      <c r="FA65"/>
      <c r="FB65"/>
      <c r="FC65"/>
      <c r="FD65"/>
      <c r="FE65"/>
      <c r="FF65"/>
      <c r="FG65"/>
      <c r="FH65"/>
      <c r="FI65"/>
      <c r="FJ65"/>
      <c r="FK65"/>
      <c r="FL65"/>
      <c r="FM65"/>
      <c r="FN65"/>
      <c r="FO65"/>
    </row>
    <row r="66" spans="1:171" ht="17.100000000000001" customHeight="1" thickBot="1">
      <c r="A66" s="2685"/>
      <c r="B66" s="689" t="s">
        <v>246</v>
      </c>
      <c r="C66" s="684" t="str">
        <f>IF(OR(F66=0,I66="",I66=" ")," ",$V66)</f>
        <v xml:space="preserve"> </v>
      </c>
      <c r="D66" s="1033"/>
      <c r="E66" s="1360" t="s">
        <v>8</v>
      </c>
      <c r="F66" s="202"/>
      <c r="G66" s="1416"/>
      <c r="H66" s="199" t="str">
        <f ca="1">IF(OR(F66=0,Z66="E",Z66="f")," ",'Project Demand'!E$45)</f>
        <v xml:space="preserve"> </v>
      </c>
      <c r="I66" s="631" t="str">
        <f>IF($I$6&lt;&gt;$BG$8," ",AB66)</f>
        <v xml:space="preserve"> </v>
      </c>
      <c r="J66" s="44" t="str">
        <f ca="1">IF(OR(I66=" ",I66="")," ",OFFSET($BO$9,CL66-1,0-4,1,1))</f>
        <v xml:space="preserve"> </v>
      </c>
      <c r="K66" s="55" t="str">
        <f>IF(OR(I66=" ",I66="")," ",IF(OR(Z66="e",Z66="h"),"SD",BG$24))</f>
        <v xml:space="preserve"> </v>
      </c>
      <c r="L66" s="49">
        <f ca="1">CW66</f>
        <v>0</v>
      </c>
      <c r="M66" s="49">
        <f ca="1">CY66</f>
        <v>0</v>
      </c>
      <c r="N66" s="50">
        <f t="shared" ca="1" si="32"/>
        <v>0</v>
      </c>
      <c r="O66" s="126">
        <f t="shared" ca="1" si="32"/>
        <v>0</v>
      </c>
      <c r="P66" s="140"/>
      <c r="Q66" s="752" t="str">
        <f ca="1">IF(AND(OR(Z66="t",Z66="f"),K66=$BH$11),"No Floor!  Change Floor Type",IF(OR(I66=" ",I66="")," ",IF(F66&lt;OFFSET($BM$9,CL66-1,0,1,1),"check L(m)",DE66&amp;IF(AND(DP66&gt;=CY66,DR66&gt;=DB66),IF(AND(ED66&gt;=DP66,EF66&gt;=DR66),CONCATENATE(DS66," will provide same result"),CONCATENATE(CO66," will provide same result")),IF((DP66&gt;=CY66),CONCATENATE(CO66," provides same result in WIND"),IF((DR66&gt;=DB66),CONCATENATE(CO66," provides same result in EQ"),""))))))&amp;IF(ISERROR(FIND("pile",I66,1)),"",IF(INT(F66)&lt;&gt;F66,"Pile!  Use Whole Numbers Only",""))</f>
        <v xml:space="preserve"> </v>
      </c>
      <c r="R66" s="52"/>
      <c r="S66" s="1372"/>
      <c r="T66" s="1372"/>
      <c r="U66" s="1377"/>
      <c r="V66" s="52" t="str">
        <f ca="1">IF(AND(B$5=$BF$9,OR(I66=BH$16,I66=BH$17))," ",IF(ISNUMBER(B$62),(CONCATENATE(B$62,".",W66)),(CONCATENATE(B$62,W66))))</f>
        <v>J0</v>
      </c>
      <c r="W66" s="9">
        <f ca="1">W65+X66</f>
        <v>0</v>
      </c>
      <c r="X66" s="9">
        <f>IF(AND(B$5=$BF$9,OR($I66=$BH$16,$I66=$BH$17,$I66=" ",$I66="",$F66=0)),0,IF(OR($I66=" ",$I66="",$F66=0),0,1))</f>
        <v>0</v>
      </c>
      <c r="Y66" s="896"/>
      <c r="Z66" s="52" t="str">
        <f ca="1">IF(I66=" "," ",OFFSET($BM$9,$CL66-1,8,1,1))</f>
        <v xml:space="preserve"> </v>
      </c>
      <c r="AA66" s="51" t="str">
        <f>IF(G66&gt;=45,"WA","")</f>
        <v/>
      </c>
      <c r="AB66" s="1364" t="str">
        <f>IF(F66&lt;&gt;"",IF(OR(D66=$BG$12,D66=$BG$13),IF(E66&lt;&gt;$BG$17,$BF$12,$BF$13),IF(E66&lt;&gt;$BG$17,$BF$12,$BF$13))," ")</f>
        <v xml:space="preserve"> </v>
      </c>
      <c r="AC66" s="1"/>
      <c r="AK66" s="63" t="str">
        <f>'Custom Elements'!B27</f>
        <v xml:space="preserve">  </v>
      </c>
      <c r="AL66" s="860" t="str">
        <f>'Custom Elements'!C27</f>
        <v>Custom19</v>
      </c>
      <c r="AM66" s="11">
        <f>'Custom Elements'!D27</f>
        <v>9.9999999999999996E-76</v>
      </c>
      <c r="AN66" s="7">
        <f>'Custom Elements'!E27</f>
        <v>0</v>
      </c>
      <c r="AO66" s="7">
        <f>'Custom Elements'!F27</f>
        <v>0</v>
      </c>
      <c r="AP66" s="762" t="str">
        <f>'Custom Elements'!G27</f>
        <v>B</v>
      </c>
      <c r="AQ66" s="1777" t="str">
        <f>'Custom Elements'!H27</f>
        <v>Single</v>
      </c>
      <c r="AR66" s="1775" t="str">
        <f>'Custom Elements'!I27</f>
        <v>Yes</v>
      </c>
      <c r="AS66" s="442" t="str">
        <f>'Custom Elements'!J27</f>
        <v>Yes</v>
      </c>
      <c r="AT66" s="1598"/>
      <c r="AU66" s="1155"/>
      <c r="AZ66" s="442" t="str">
        <f>IF(AND('Custom Elements'!J27="Yes",'Custom Elements'!I27="Yes"),"T",IF('Custom Elements'!J27="Yes","F",IF('Custom Elements'!I27="Yes","H","E")))</f>
        <v>T</v>
      </c>
      <c r="BD66" s="641"/>
      <c r="BE66" s="2715" t="s">
        <v>862</v>
      </c>
      <c r="BF66" s="2716"/>
      <c r="BG66" s="2838"/>
      <c r="BH66" s="479"/>
      <c r="BI66" s="759"/>
      <c r="BJ66" s="897">
        <f t="shared" si="27"/>
        <v>58</v>
      </c>
      <c r="BK66" s="908"/>
      <c r="BL66" s="767"/>
      <c r="BM66" s="776">
        <f>Table!P8</f>
        <v>1.8</v>
      </c>
      <c r="BN66" s="776">
        <v>999</v>
      </c>
      <c r="BO66" s="776">
        <f>Table!Q8</f>
        <v>110</v>
      </c>
      <c r="BP66" s="926">
        <f>Table!R8</f>
        <v>84</v>
      </c>
      <c r="BQ66" s="1183"/>
      <c r="BR66" s="908"/>
      <c r="BS66" s="776"/>
      <c r="BT66" s="776"/>
      <c r="BU66" s="926" t="s">
        <v>242</v>
      </c>
      <c r="BV66" s="433"/>
      <c r="BW66" s="914"/>
      <c r="BX66" s="926" t="str">
        <f>Table!T5</f>
        <v>Single</v>
      </c>
      <c r="CH66" s="908">
        <f>IF(BN66=999,0,(BO67-BO66)/(BN66-BM66))</f>
        <v>0</v>
      </c>
      <c r="CI66" s="926">
        <f>IF(BN66=999,0,(BP67-BP66)/(BN66-BM66))</f>
        <v>0</v>
      </c>
      <c r="CJ66" s="759"/>
      <c r="CK66" s="188"/>
      <c r="CL66" s="979">
        <f>VLOOKUP(I66,Prodlink,2,0)</f>
        <v>0</v>
      </c>
      <c r="CN66" s="497">
        <f t="shared" ca="1" si="26"/>
        <v>0</v>
      </c>
      <c r="CO66" s="497">
        <f ca="1">OFFSET($CH$9,CL66-1,-15,1,1)</f>
        <v>0</v>
      </c>
      <c r="CQ66" s="51">
        <v>0</v>
      </c>
      <c r="CR66" s="51">
        <f>IF(K66=$BH$12,$BH$23,IF(K66=$BH$13,$BH$24,10000))</f>
        <v>10000</v>
      </c>
      <c r="CS66" s="51">
        <f ca="1">IF(F66&lt;OFFSET($BM$9,CL66-1,0,1,1),0,IF(F66&lt;OFFSET($BN$9,CL66-1,0,1,1),((F66-OFFSET($BM$9,CL66-1,0,1,1))*OFFSET($CH$9,CL66-1,0,1,1))+OFFSET($BO$9,CL66-1,CQ66,1,1),IF(F66&lt;OFFSET($BN$9,CL66+0,0,1,1),((F66-OFFSET($BM$9,CL66+0,0,1,1))*OFFSET($CH$9,CL66+0,0,1,1))+OFFSET($BO$9,CL66+0,CQ66,1,1),IF(F66&lt;OFFSET($BN$9,CL66+1,0,1,1),((F66-OFFSET($BM$9,CL66+1,0,1,1))*OFFSET($CH$9,CL66+1,0,1,1))+OFFSET($BO$9,CL66+1,CQ66,1,1),IF(F66&lt;OFFSET($BN$9,CL66+2,0,1,1),((F66-OFFSET($BM$9,CL66+2,0,1,1))*OFFSET($CH$9,CL66+2,0,1,1))+OFFSET($BO$9,CL66+2,CQ66,1,1),IF(F66&lt;OFFSET($BN$9,CL66+3,0,1,1),((F66-OFFSET($BM$9,CL66+3,0,1,1))*OFFSET($CH$9,CL66+3,0,1,1))+OFFSET($BO$9,CL66+3,CQ66,1,1),0))))))</f>
        <v>0</v>
      </c>
      <c r="CT66" s="51">
        <f ca="1">IF($F66&lt;OFFSET($BM$9,$CL66-1,0,1,1),0,IF($F66&lt;OFFSET($BN$9,$CL66-1,0,1,1),IF(AND($H66&gt;2.4,Z66&lt;&gt;"e",Z66&lt;&gt;"f"),CX66*2.4/$H66,CX66),IF($F66&lt;OFFSET($BN$9,$CL66+0,0,1,1),IF(AND($H66&gt;2.4,Z66&lt;&gt;"e",Z66&lt;&gt;"f"),CX66*2.4/$H66,CX66),IF($F66&lt;OFFSET($BN$9,$CL66+1,0,1,1),IF(AND($H66&gt;2.4,Z66&lt;&gt;"e",Z66&lt;&gt;"f"),CX66*2.4/$H66,CX66),IF($F66&lt;OFFSET($BN$9,CL66+2,0,1,1),IF(AND($H66&gt;2.4,Z66&lt;&gt;"e",Z66&lt;&gt;"f"),CX66*2.4/$H66,CX66),IF($F66&lt;OFFSET($BN$9,CL66+3,0,1,1),IF(AND($H66&gt;2.4,Z66&lt;&gt;"e",Z66&lt;&gt;"f"),CX66*2.4/$H66,CX66),0)))))*COS(RADIANS($G66)))</f>
        <v>0</v>
      </c>
      <c r="CU66" s="51">
        <f ca="1">IF(F66&lt;OFFSET($BM$9,CL66-1,0,1,1),0,IF(F66&lt;OFFSET($BN$9,CL66-1,0,1,1),((F66-OFFSET($BM$9,CL66-1,0,1,1))*OFFSET($CI$9,CL66-1,0,1,1))+OFFSET($BP$9,CL66-1,CQ66,1,1),IF(F66&lt;OFFSET($BN$9,CL66+0,0,1,1),((F66-OFFSET($BM$9,CL66+0,0,1,1))*OFFSET($CI$9,CL66+0,0,1,1))+OFFSET($BP$9,CL66+0,CQ66,1,1),IF(F66&lt;OFFSET($BN$9,CL66+1,0,1,1),((F66-OFFSET($BM$9,CL66+1,0,1,1))*OFFSET($CI$9,CL66+1,0,1,1))+OFFSET($BP$9,CL66+1,CQ66,1,1),IF(F66&lt;OFFSET($BN$9,CL66+2,0,1,1),((F66-OFFSET($BM$9,CL66+2,0,1,1))*OFFSET($CI$9,CL66+2,0,1,1))+OFFSET($BP$9,CL66+2,CQ66,1,1),IF(F66&lt;OFFSET($BN$9,CL66+3,0,1,1),((F66-OFFSET($BM$9,CL66+3,0,1,1))*OFFSET($CI$9,CL66+3,0,1,1))+OFFSET($BP$9,CL66+3,CQ66,1,1),0))))))</f>
        <v>0</v>
      </c>
      <c r="CV66" s="51">
        <f ca="1">IF($F66&lt;OFFSET($BM$9,$CL66-1,0,1,1),0,IF($F66&lt;OFFSET($BN$9,$CL66-1,0,1,1),IF(AND($H66&gt;2.4,Z66&lt;&gt;"e",Z66&lt;&gt;"f"),CZ66*2.4/$H66,CZ66),IF($F66&lt;OFFSET($BN$9,$CL66+0,0,1,1),IF(AND($H66&gt;2.4,Z66&lt;&gt;"e",Z66&lt;&gt;"f"),CZ66*2.4/$H66,CZ66),IF($F66&lt;OFFSET($BN$9,$CL66+1,0,1,1),IF(AND($H66&gt;2.4,Z66&lt;&gt;"e",Z66&lt;&gt;"f"),CZ66*2.4/$H66,CZ66),IF($F66&lt;OFFSET($BN$9,$CL66+2,0,1,1),IF(AND($H66&gt;2.4,Z66&lt;&gt;"e",Z66&lt;&gt;"f"),CZ66*2.4/$H66,CZ66),IF($F66&lt;OFFSET($BN$9,$CL66+3,0,1,1),IF(AND($H66&gt;2.4,Z66&lt;&gt;"e",Z66&lt;&gt;"f"),CZ66*2.4/$H66,CZ66),0)))))*COS(RADIANS($G66)))</f>
        <v>0</v>
      </c>
      <c r="CW66" s="51">
        <f ca="1">IF(CT66&gt;CR66,CR66,CT66)</f>
        <v>0</v>
      </c>
      <c r="CX66" s="51">
        <f ca="1">IF(CS66&gt;$CR66,$CR66,CS66)</f>
        <v>0</v>
      </c>
      <c r="CY66" s="51">
        <f ca="1">CW66*F66</f>
        <v>0</v>
      </c>
      <c r="CZ66" s="51">
        <f ca="1">IF($CU66&gt;$CR66,$CR66,$CU66)</f>
        <v>0</v>
      </c>
      <c r="DA66" s="51">
        <f ca="1">IF(CV66&gt;CR66,CR66,CV66)</f>
        <v>0</v>
      </c>
      <c r="DB66" s="51">
        <f ca="1">DA66*F66</f>
        <v>0</v>
      </c>
      <c r="DC66" s="993">
        <v>1</v>
      </c>
      <c r="DD66" s="758" t="str">
        <f>IF(OR(D66=BG$12,D66=BG$13),"External",IF(D66=BG$14,"Internal"," "))</f>
        <v xml:space="preserve"> </v>
      </c>
      <c r="DE66" s="51" t="str">
        <f t="shared" ca="1" si="2"/>
        <v/>
      </c>
      <c r="DF66" s="52" t="str">
        <f t="shared" ca="1" si="3"/>
        <v xml:space="preserve"> </v>
      </c>
      <c r="DG66" s="51">
        <f ca="1">IF(F66&lt;OFFSET($BM$9,CN66-1,0,1,1),0,IF(F66&lt;OFFSET($BN$9,CN66-1,0,1,1),((F66-OFFSET($BM$9,CN66-1,0,1,1))*OFFSET($CH$9,CN66-1,0,1,1))+OFFSET($BO$9,CN66-1,CQ66,1,1),IF(F66&lt;OFFSET($BN$9,CN66+0,0,1,1),((F66-OFFSET($BM$9,CN66+0,0,1,1))*OFFSET($CH$9,CN66+0,0,1,1))+OFFSET($BO$9,CN66+0,CQ66,1,1),IF(F66&lt;OFFSET($BN$9,CN66+1,0,1,1),((F66-OFFSET($BM$9,CN66+1,0,1,1))*OFFSET($CH$9,CN66+1,0,1,1))+OFFSET($BO$9,CN66+1,CQ66,1,1),IF(F66&lt;OFFSET($BN$9,CN66+2,0,1,1),((F66-OFFSET($BM$9,CN66+2,0,1,1))*OFFSET($CH$9,CN66+2,0,1,1))+OFFSET($BO$9,CN66+2,CQ66,1,1),IF(F66&lt;OFFSET($BN$9,CN66+3,0,1,1),((F66-OFFSET($BM$9,CN66+3,0,1,1))*OFFSET($CH$9,CN66+3,0,1,1))+OFFSET($BO$9,CN66+3,CQ66,1,1),0))))))</f>
        <v>0</v>
      </c>
      <c r="DH66" s="51">
        <f ca="1">IF($F66&lt;OFFSET($BM$9,$CN66-1,0,1,1),0,IF($F66&lt;OFFSET($BN$9,$CN66-1,0,1,1),IF(AND($H66&gt;2.4,Z66&lt;&gt;"e",Z66&lt;&gt;"f"),DL66*2.4/$H66,DL66),IF($F66&lt;OFFSET($BN$9,$CN66+0,0,1,1),IF(AND($H66&gt;2.4,Z66&lt;&gt;"e",Z66&lt;&gt;"f"),DL66*2.4/$H66,DL66),IF($F66&lt;OFFSET($BN$9,$CN66+1,0,1,1),IF(AND($H66&gt;2.4,Z66&lt;&gt;"e",Z66&lt;&gt;"f"),DL66*2.4/$H66,DL66),IF($F66&lt;OFFSET($BN$9,$CN66+2,0,1,1),IF(AND($H66&gt;2.4,Z66&lt;&gt;"e",Z66&lt;&gt;"f"),DL66*2.4/$H66,DL66),IF($F66&lt;OFFSET($BN$9,$CN66+3,0,1,1),IF(AND($H66&gt;2.4,Z66&lt;&gt;"e",Z66&lt;&gt;"f"),DL66*2.4/$H66,DL66),0)))))*COS(RADIANS($G66)))</f>
        <v>0</v>
      </c>
      <c r="DI66" s="51">
        <f ca="1">IF(F66&lt;OFFSET($BM$9,CN66-1,0,1,1),0,IF(F66&lt;OFFSET($BN$9,CN66-1,0,1,1),((F66-OFFSET($BM$9,CN66-1,0,1,1))*OFFSET($CI$9,CN66-1,0,1,1))+OFFSET($BP$9,CN66-1,CQ66,1,1),IF(F66&lt;OFFSET($BN$9,CN66+0,0,1,1),((F66-OFFSET($BM$9,CN66+0,0,1,1))*OFFSET($CI$9,CN66+0,0,1,1))+OFFSET($BP$9,CN66+0,CQ66,1,1),IF(F66&lt;OFFSET($BN$9,CN66+1,0,1,1),((F66-OFFSET($BM$9,CN66+1,0,1,1))*OFFSET($CI$9,CN66+1,0,1,1))+OFFSET($BP$9,CN66+1,CQ66,1,1),IF(F66&lt;OFFSET($BN$9,CN66+2,0,1,1),((F66-OFFSET($BM$9,CN66+2,0,1,1))*OFFSET($CI$9,CN66+2,0,1,1))+OFFSET($BP$9,CN66+2,CQ66,1,1),IF(F66&lt;OFFSET($BN$9,CN66+3,0,1,1),((F66-OFFSET($BM$9,CN66+3,0,1,1))*OFFSET($CI$9,CN66+3,0,1,1))+OFFSET($BP$9,CN66+3,CQ66,1,1),0))))))</f>
        <v>0</v>
      </c>
      <c r="DJ66" s="51">
        <f ca="1">IF($F66&lt;OFFSET($BM$9,$CN66-1,0,1,1),0,IF($F66&lt;OFFSET($BN$9,$CN66-1,0,1,1),IF(AND($H66&gt;2.4,Z66&lt;&gt;"e",Z66&lt;&gt;"f"),DN66*2.4/$H66,DN66),IF($F66&lt;OFFSET($BN$9,$CN66+0,0,1,1),IF(AND($H66&gt;2.4,Z66&lt;&gt;"e",Z66&lt;&gt;"f"),DN66*2.4/$H66,DN66),IF($F66&lt;OFFSET($BN$9,$CN66+1,0,1,1),IF(AND($H66&gt;2.4,Z66&lt;&gt;"e",Z66&lt;&gt;"f"),DN66*2.4/$H66,DN66),IF($F66&lt;OFFSET($BN$9,$CN66+2,0,1,1),IF(AND($H66&gt;2.4,Z66&lt;&gt;"e",Z66&lt;&gt;"f"),DN66*2.4/$H66,DN66),IF($F66&lt;OFFSET($BN$9,$CN66+3,0,1,1),IF(AND($H66&gt;2.4,Z66&lt;&gt;"e",Z66&lt;&gt;"f"),DN66*2.4/$H66,DN66),0)))))*COS(RADIANS($G66)))</f>
        <v>0</v>
      </c>
      <c r="DK66" s="51"/>
      <c r="DL66" s="51">
        <f ca="1">IF(DG66&gt;$CR66,$CR66,DG66)</f>
        <v>0</v>
      </c>
      <c r="DM66" s="51"/>
      <c r="DN66" s="51">
        <f ca="1">IF(DI66&gt;$CR66,$CR66,DI66)</f>
        <v>0</v>
      </c>
      <c r="DO66" s="435">
        <f ca="1">IF(DH66&gt;$CR66,$CR66,DH66)</f>
        <v>0</v>
      </c>
      <c r="DP66" s="435">
        <f ca="1">DO66*F66</f>
        <v>0</v>
      </c>
      <c r="DQ66" s="436">
        <f ca="1">IF(DJ66&gt;$CR66,$CR66,DJ66)</f>
        <v>0</v>
      </c>
      <c r="DR66" s="437">
        <f ca="1">DQ66*F66</f>
        <v>0</v>
      </c>
      <c r="DS66" s="426">
        <f ca="1">OFFSET($CH$9,CL66-1,-15,1,1)</f>
        <v>0</v>
      </c>
      <c r="DT66" s="426">
        <f ca="1">VLOOKUP(DS66,Prodlink,2,0)</f>
        <v>0</v>
      </c>
      <c r="DU66" s="188">
        <f ca="1">IF(F66&lt;OFFSET($BM$9,DT66-1,0,1,1),0,IF(F66&lt;OFFSET($BN$9,DT66-1,0,1,1),((F66-OFFSET($BM$9,DT66-1,0,1,1))*OFFSET($CH$9,DT66-1,0,1,1))+OFFSET($BO$9,DT66-1,CQ66,1,1),IF(F66&lt;OFFSET($BN$9,DT66+0,0,1,1),((F66-OFFSET($BM$9,DT66+0,0,1,1))*OFFSET($CH$9,DT66+0,0,1,1))+OFFSET($BO$9,DT66+0,CQ66,1,1),IF(F66&lt;OFFSET($BN$9,DT66+1,0,1,1),((F66-OFFSET($BM$9,DT66+1,0,1,1))*OFFSET($CH$9,DT66+1,0,1,1))+OFFSET($BO$9,DT66+1,CQ66,1,1),IF(F66&lt;OFFSET($BN$9,DT66+2,0,1,1),((F66-OFFSET($BM$9,DT66+2,0,1,1))*OFFSET($CH$9,DT66+2,0,1,1))+OFFSET($BO$9,DT66+2,CQ66,1,1),IF(F66&lt;OFFSET($BN$9,DT66+3,0,1,1),((F66-OFFSET($BM$9,DT66+3,0,1,1))*OFFSET($CH$9,DT66+3,0,1,1))+OFFSET($BO$9,DT66+3,CQ66,1,1),0))))))</f>
        <v>0</v>
      </c>
      <c r="DV66" s="51">
        <f ca="1">IF($F66&lt;OFFSET($BM$9,$DT66-1,0,1,1),0,IF($F66&lt;OFFSET($BN$9,$DT66-1,0,1,1),IF(AND($H66&gt;2.4,Z66&lt;&gt;"e",Z66&lt;&gt;"f"),DZ66*2.4/$H66,DZ66),IF($F66&lt;OFFSET($BN$9,$DT66+0,0,1,1),IF(AND($H66&gt;2.4,Z66&lt;&gt;"e",Z66&lt;&gt;"f"),DZ66*2.4/$H66,DZ66),IF($F66&lt;OFFSET($BN$9,$DT66+1,0,1,1),IF(AND($H66&gt;2.4,Z66&lt;&gt;"e",Z66&lt;&gt;"f"),DZ66*2.4/$H66,DZ66),IF($F66&lt;OFFSET($BN$9,$DT66+2,0,1,1),IF(AND($H66&gt;2.4,Z66&lt;&gt;"e",Z66&lt;&gt;"f"),DZ66*2.4/$H66,DZ66),IF($F66&lt;OFFSET($BN$9,$DT66+3,0,1,1),IF(AND($H66&gt;2.4,Z66&lt;&gt;"e",Z66&lt;&gt;"f"),DZ66*2.4/$H66,DZ66),0)))))*COS(RADIANS($G66)))</f>
        <v>0</v>
      </c>
      <c r="DW66" s="188">
        <f ca="1">IF(F66&lt;OFFSET($BM$9,DT66-1,0,1,1),0,IF(F66&lt;OFFSET($BN$9,DT66-1,0,1,1),((F66-OFFSET($BM$9,DT66-1,0,1,1))*OFFSET($CI$9,DT66-1,0,1,1))+OFFSET($BP$9,DT66-1,CQ66,1,1),IF(F66&lt;OFFSET($BN$9,DT66+0,0,1,1),((F66-OFFSET($BM$9,DT66+0,0,1,1))*OFFSET($CI$9,DT66+0,0,1,1))+OFFSET($BP$9,DT66+0,CQ66,1,1),IF(F66&lt;OFFSET($BN$9,DT66+1,0,1,1),((F66-OFFSET($BM$9,DT66+1,0,1,1))*OFFSET($CI$9,DT66+1,0,1,1))+OFFSET($BP$9,DT66+1,CQ66,1,1),IF(F66&lt;OFFSET($BN$9,DT66+2,0,1,1),((F66-OFFSET($BM$9,DT66+2,0,1,1))*OFFSET($CI$9,DT66+2,0,1,1))+OFFSET($BP$9,DT66+2,CQ66,1,1),IF(F66&lt;OFFSET($BN$9,DT66+3,0,1,1),((F66-OFFSET($BM$9,DT66+3,0,1,1))*OFFSET($CI$9,DT66+3,0,1,1))+OFFSET($BP$9,DT66+3,CQ66,1,1),0))))))</f>
        <v>0</v>
      </c>
      <c r="DX66" s="51">
        <f ca="1">IF($F66&lt;OFFSET($BM$9,$DT66-1,0,1,1),0,IF($F66&lt;OFFSET($BN$9,$DT66-1,0,1,1),IF(AND($H66&gt;2.4,Z66&lt;&gt;"e",Z66&lt;&gt;"f"),EB66*2.4/$H66,EB66),IF($F66&lt;OFFSET($BN$9,$DT66+0,0,1,1),IF(AND($H66&gt;2.4,Z66&lt;&gt;"e",Z66&lt;&gt;"f"),EB66*2.4/$H66,EB66),IF($F66&lt;OFFSET($BN$9,$DT66+1,0,1,1),IF(AND($H66&gt;2.4,Z66&lt;&gt;"e",Z66&lt;&gt;"f"),EB66*2.4/$H66,EB66),IF($F66&lt;OFFSET($BN$9,$DT66+2,0,1,1),IF(AND($H66&gt;2.4,Z66&lt;&gt;"e",Z66&lt;&gt;"f"),EB66*2.4/$H66,EB66),IF($F66&lt;OFFSET($BN$9,$DT66+3,0,1,1),IF(AND($H66&gt;2.4,Z66&lt;&gt;"e",Z66&lt;&gt;"f"),EB66*2.4/$H66,EB66),0)))))*COS(RADIANS($G66)))</f>
        <v>0</v>
      </c>
      <c r="DY66" s="188"/>
      <c r="DZ66" s="188">
        <f ca="1">IF(DU66&gt;$CR66,$CR66,DU66)</f>
        <v>0</v>
      </c>
      <c r="EA66" s="188"/>
      <c r="EB66" s="188">
        <f ca="1">IF(DW66&gt;$CR66,$CR66,DW66)</f>
        <v>0</v>
      </c>
      <c r="EC66" s="435">
        <f ca="1">IF(DV66&gt;$CR66,$CR66,DV66)</f>
        <v>0</v>
      </c>
      <c r="ED66" s="435">
        <f ca="1">EC66*F66</f>
        <v>0</v>
      </c>
      <c r="EE66" s="436">
        <f ca="1">IF(DX66&gt;$CR66,$CR66,DX66)</f>
        <v>0</v>
      </c>
      <c r="EF66" s="437">
        <f ca="1">EE66*F66</f>
        <v>0</v>
      </c>
      <c r="EG66" s="613" t="str">
        <f>IF(D66=BG$12,BG$12,"")</f>
        <v/>
      </c>
      <c r="EH66" s="614" t="str">
        <f>IF(D66=BG$13,BG$13,"")</f>
        <v/>
      </c>
      <c r="EI66" s="611">
        <f>IF(EG66=BG$12,M66,0)</f>
        <v>0</v>
      </c>
      <c r="EJ66" s="451">
        <f>IF(EG66=BG$12,O66,0)</f>
        <v>0</v>
      </c>
      <c r="EK66" s="451">
        <f>IF(EH66=BG$13,M66,0)</f>
        <v>0</v>
      </c>
      <c r="EL66" s="612">
        <f>IF(EH66=BG$13,O66,0)</f>
        <v>0</v>
      </c>
      <c r="EM66" s="426" t="str">
        <f ca="1">IF(AND(Z66&lt;&gt;"t",Z66&lt;&gt;"f"),"",IF(AND(EN66=$BH$13,K66=$BH$12),"NotOpt",IF(K66&lt;&gt;EN66,"Error","")))</f>
        <v/>
      </c>
      <c r="EN66" s="490" t="str">
        <f>IF($BG$28=1,$BH$13,$BH$12)</f>
        <v>120 BU's</v>
      </c>
      <c r="EO66" s="426" t="str">
        <f>K66</f>
        <v xml:space="preserve"> </v>
      </c>
      <c r="ER66" s="439" t="str">
        <f ca="1">IF(H66=0," ",H66)</f>
        <v xml:space="preserve"> </v>
      </c>
      <c r="ES66" s="440" t="str">
        <f ca="1">IF(ER66&lt;&gt;" ",IF(ER66&lt;&gt;ER$7,"Changed",""),"")</f>
        <v/>
      </c>
      <c r="ET66" s="440">
        <f ca="1">IF(ER66&lt;&gt;" ",IF(ER66&lt;&gt;ER$7,1,0),0)</f>
        <v>0</v>
      </c>
      <c r="EU66" s="957" t="str">
        <f ca="1">IF(I66=" "," ",IF(F66&lt;OFFSET($BM$9,CL66-1,0,1,1),1,""))</f>
        <v xml:space="preserve"> </v>
      </c>
      <c r="EW66" s="427"/>
      <c r="EX66"/>
      <c r="EY66"/>
      <c r="EZ66"/>
      <c r="FA66"/>
      <c r="FB66"/>
      <c r="FC66"/>
      <c r="FD66"/>
      <c r="FE66"/>
      <c r="FF66"/>
      <c r="FG66"/>
      <c r="FH66"/>
      <c r="FI66"/>
      <c r="FJ66"/>
      <c r="FK66"/>
      <c r="FL66"/>
      <c r="FM66"/>
      <c r="FN66"/>
      <c r="FO66"/>
    </row>
    <row r="67" spans="1:171" ht="17.100000000000001" customHeight="1" thickBot="1">
      <c r="A67" s="2685"/>
      <c r="B67" s="2686" t="s">
        <v>8</v>
      </c>
      <c r="C67" s="2687"/>
      <c r="D67" s="1461" t="s">
        <v>8</v>
      </c>
      <c r="E67" s="659"/>
      <c r="F67" s="659"/>
      <c r="G67" s="659"/>
      <c r="H67" s="659"/>
      <c r="I67" s="1462"/>
      <c r="J67" s="1365" t="str">
        <f ca="1">(CONCATENATE(B62,$BE$54))</f>
        <v>J  Line:  Min. Requirement</v>
      </c>
      <c r="K67" s="23"/>
      <c r="L67" s="1019">
        <f ca="1">L$5</f>
        <v>0</v>
      </c>
      <c r="M67" s="48">
        <f ca="1">IF(B62=B56,SUM(M62:M66)+M61,SUM(M62:M66))</f>
        <v>0</v>
      </c>
      <c r="N67" s="1019">
        <f ca="1">N$5</f>
        <v>0</v>
      </c>
      <c r="O67" s="125">
        <f ca="1">IF(B62=B56,SUM(O62:O66)+O61,SUM(O62:O66))</f>
        <v>0</v>
      </c>
      <c r="P67" s="139"/>
      <c r="Q67" s="42" t="str">
        <f ca="1">IF(B62=B68,"",IF(AND(M67&gt;0,L67=L$5,OR(M67&lt;$M$105,M67&lt;$BF$3)),"Achieved &lt; Min Req per Line",IF(AND(O67&gt;0,N67=N$5,OR(O67&lt;$O$105,O67&lt;$BF$3)),"Achieved &lt; Min Req per Line",IF(AND(M67&gt;0,L67&gt;M67),"More Required on this line",IF(AND(O67&gt;0,N67&gt;O67),"More Required on this line",IF(AND(L67&gt;0,L67&lt;$BF$3),$BE$59,IF(AND(N67&gt;0,N67&lt;$BF$3),$BE$59,"")))))))</f>
        <v/>
      </c>
      <c r="R67" s="52"/>
      <c r="S67" s="52"/>
      <c r="T67" s="52"/>
      <c r="U67" s="1378"/>
      <c r="V67" s="52"/>
      <c r="W67" s="9"/>
      <c r="X67" s="9"/>
      <c r="Y67" s="896"/>
      <c r="Z67" s="52"/>
      <c r="AA67" s="51"/>
      <c r="AB67" s="1364"/>
      <c r="AC67" s="1"/>
      <c r="AK67" s="200" t="str">
        <f>'Custom Elements'!B28</f>
        <v xml:space="preserve"> </v>
      </c>
      <c r="AL67" s="861" t="str">
        <f>'Custom Elements'!C28</f>
        <v>Custom20</v>
      </c>
      <c r="AM67" s="117">
        <f>'Custom Elements'!D28</f>
        <v>9.9999999999999996E-76</v>
      </c>
      <c r="AN67" s="62">
        <f>'Custom Elements'!E28</f>
        <v>0</v>
      </c>
      <c r="AO67" s="62">
        <f>'Custom Elements'!F28</f>
        <v>0</v>
      </c>
      <c r="AP67" s="762" t="str">
        <f>'Custom Elements'!G28</f>
        <v>B</v>
      </c>
      <c r="AQ67" s="1778" t="str">
        <f>'Custom Elements'!H28</f>
        <v>Single</v>
      </c>
      <c r="AR67" s="1776" t="str">
        <f>'Custom Elements'!I28</f>
        <v>Yes</v>
      </c>
      <c r="AS67" s="443" t="str">
        <f>'Custom Elements'!J28</f>
        <v>Yes</v>
      </c>
      <c r="AT67" s="1598"/>
      <c r="AU67" s="1155"/>
      <c r="AZ67" s="442" t="str">
        <f>IF(AND('Custom Elements'!J28="Yes",'Custom Elements'!I28="Yes"),"T",IF('Custom Elements'!J28="Yes","F",IF('Custom Elements'!I28="Yes","H","E")))</f>
        <v>T</v>
      </c>
      <c r="BD67" s="641"/>
      <c r="BE67" s="1362" t="s">
        <v>1053</v>
      </c>
      <c r="BF67" s="1020"/>
      <c r="BG67" s="1020"/>
      <c r="BH67" s="479"/>
      <c r="BI67" s="759"/>
      <c r="BJ67" s="897">
        <f t="shared" si="27"/>
        <v>59</v>
      </c>
      <c r="BK67" s="1231"/>
      <c r="BL67" s="1234"/>
      <c r="BM67" s="1205"/>
      <c r="BN67" s="1205"/>
      <c r="BO67" s="1205"/>
      <c r="BP67" s="1205"/>
      <c r="BQ67" s="1233"/>
      <c r="BR67" s="1205"/>
      <c r="BS67" s="1205"/>
      <c r="BT67" s="1205"/>
      <c r="BU67" s="1205"/>
      <c r="BV67" s="1233"/>
      <c r="BW67" s="1235"/>
      <c r="BX67" s="1205"/>
      <c r="CH67" s="970"/>
      <c r="CI67" s="971"/>
      <c r="CJ67" s="759"/>
      <c r="CK67" s="188"/>
      <c r="CL67" s="979"/>
      <c r="CN67" s="497"/>
      <c r="CO67" s="497"/>
      <c r="CQ67" s="51"/>
      <c r="CR67" s="51" t="s">
        <v>8</v>
      </c>
      <c r="CS67" s="51"/>
      <c r="CT67" s="51" t="s">
        <v>8</v>
      </c>
      <c r="CU67" s="51"/>
      <c r="CV67" s="51" t="s">
        <v>8</v>
      </c>
      <c r="CW67" s="51"/>
      <c r="CX67" s="51"/>
      <c r="CY67" s="51"/>
      <c r="CZ67" s="51"/>
      <c r="DD67" s="758"/>
      <c r="DF67" s="52"/>
      <c r="DG67" s="51"/>
      <c r="DH67" s="51"/>
      <c r="DI67" s="51"/>
      <c r="DJ67" s="51"/>
      <c r="DK67" s="51"/>
      <c r="DL67" s="51"/>
      <c r="DM67" s="51"/>
      <c r="DN67" s="51"/>
      <c r="DO67" s="435"/>
      <c r="DP67" s="435"/>
      <c r="DQ67" s="868"/>
      <c r="DR67" s="868"/>
      <c r="DU67" s="188"/>
      <c r="DV67" s="188" t="s">
        <v>8</v>
      </c>
      <c r="DW67" s="188"/>
      <c r="DX67" s="188" t="s">
        <v>8</v>
      </c>
      <c r="DY67" s="188"/>
      <c r="DZ67" s="188"/>
      <c r="EA67" s="188"/>
      <c r="EB67" s="188"/>
      <c r="EC67" s="435"/>
      <c r="ED67" s="435"/>
      <c r="EE67" s="868"/>
      <c r="EF67" s="867"/>
      <c r="EG67" s="613"/>
      <c r="EH67" s="614"/>
      <c r="EI67" s="613"/>
      <c r="EJ67" s="435"/>
      <c r="EK67" s="451"/>
      <c r="EL67" s="612"/>
      <c r="EN67" s="947"/>
      <c r="ER67" s="441"/>
      <c r="ES67" s="440"/>
      <c r="ET67" s="440"/>
      <c r="EU67" s="957"/>
      <c r="EW67" s="427"/>
      <c r="EX67"/>
      <c r="EY67"/>
      <c r="EZ67"/>
      <c r="FA67"/>
      <c r="FB67"/>
      <c r="FC67"/>
      <c r="FD67"/>
      <c r="FE67"/>
      <c r="FF67"/>
      <c r="FG67"/>
      <c r="FH67"/>
      <c r="FI67"/>
      <c r="FJ67"/>
      <c r="FK67"/>
      <c r="FL67"/>
      <c r="FM67"/>
      <c r="FN67"/>
      <c r="FO67"/>
    </row>
    <row r="68" spans="1:171" ht="17.100000000000001" hidden="1" customHeight="1" thickBot="1">
      <c r="A68" s="2685"/>
      <c r="B68" s="1369" t="str">
        <f ca="1">S68</f>
        <v>K</v>
      </c>
      <c r="C68" s="684" t="str">
        <f>IF(OR(F68=0,I68="",I68=" ")," ",$V68)</f>
        <v xml:space="preserve"> </v>
      </c>
      <c r="D68" s="1033"/>
      <c r="E68" s="1360" t="s">
        <v>8</v>
      </c>
      <c r="F68" s="202"/>
      <c r="G68" s="1416"/>
      <c r="H68" s="199" t="str">
        <f ca="1">IF(OR(F68=0,Z68="E",Z68="f")," ",'Project Demand'!E$45)</f>
        <v xml:space="preserve"> </v>
      </c>
      <c r="I68" s="631" t="str">
        <f>IF($I$6&lt;&gt;$BG$8," ",AB68)</f>
        <v xml:space="preserve"> </v>
      </c>
      <c r="J68" s="43" t="str">
        <f ca="1">IF(OR(I68=" ",I68="")," ",OFFSET($BO$9,CL68-1,0-4,1,1))</f>
        <v xml:space="preserve"> </v>
      </c>
      <c r="K68" s="55" t="str">
        <f>IF(OR(I68=" ",I68="")," ",IF(OR(Z68="e",Z68="h"),"SD",BG$24))</f>
        <v xml:space="preserve"> </v>
      </c>
      <c r="L68" s="49">
        <f ca="1">CW68</f>
        <v>0</v>
      </c>
      <c r="M68" s="49">
        <f ca="1">CY68</f>
        <v>0</v>
      </c>
      <c r="N68" s="50">
        <f t="shared" ref="N68:O72" ca="1" si="33">DA68</f>
        <v>0</v>
      </c>
      <c r="O68" s="126">
        <f t="shared" ca="1" si="33"/>
        <v>0</v>
      </c>
      <c r="P68" s="140"/>
      <c r="Q68" s="752" t="str">
        <f ca="1">IF(OR(I68=" ",I68="")," ",IF(F68&lt;OFFSET($BM$9,CL68-1,0,1,1),"check L(m)",IF(DE68&lt;&gt;"",DE68,IF(AND(DP68&gt;=CY68,DR68&gt;=DB68),IF(AND(ED68&gt;=DP68,EF68&gt;=DR68),CONCATENATE(DS68," provides same results"),CONCATENATE(CO68," provides same results")),IF((DP68&gt;=CY68),CONCATENATE(CO68," provides same result in WIND"),IF((DR68&gt;=DB68),CONCATENATE(CO68," provides same result in EQ",""),""))))))</f>
        <v xml:space="preserve"> </v>
      </c>
      <c r="R68" s="52">
        <f ca="1">IF(T62&lt;&gt;2,(COLUMN(INDIRECT(B62&amp;1))+1),U68)</f>
        <v>11</v>
      </c>
      <c r="S68" s="1372" t="str">
        <f ca="1">SUBSTITUTE(ADDRESS(1,R68,4),"1","")</f>
        <v>K</v>
      </c>
      <c r="T68" s="451">
        <f ca="1">IF(AND(ISTEXT(B68),SUBSTITUTE(SUBSTITUTE(SUBSTITUTE(SUBSTITUTE(SUBSTITUTE(SUBSTITUTE(SUBSTITUTE(SUBSTITUTE(SUBSTITUTE(SUBSTITUTE(SUBSTITUTE(SUBSTITUTE(SUBSTITUTE(SUBSTITUTE(SUBSTITUTE(SUBSTITUTE(SUBSTITUTE(SUBSTITUTE(SUBSTITUTE(SUBSTITUTE(SUBSTITUTE(SUBSTITUTE(SUBSTITUTE(SUBSTITUTE(SUBSTITUTE(SUBSTITUTE(LOWER(B68),"a",),"b",),"c",),"d",),"e",),"f",),"g",),"h",),"i",),"j",),"k",),"l",),"m",),"n",),"o",),"p",),"q",),"r",),"s",),"t",),"u",),"v",),"w",),"x",),"y",),"z",)=""),1,2)</f>
        <v>1</v>
      </c>
      <c r="U68" s="1377">
        <v>11</v>
      </c>
      <c r="V68" s="52" t="str">
        <f ca="1">IF(AND(B$5=$BF$9,OR(I68=BH$16,I68=BH$17))," ",IF(ISNUMBER(B$68),(CONCATENATE(B$68,".",W68)),(CONCATENATE(B$68,W68))))</f>
        <v>K0</v>
      </c>
      <c r="W68" s="9">
        <f ca="1">IF(B62=B68,W66+X68,X68)</f>
        <v>0</v>
      </c>
      <c r="X68" s="9">
        <f>IF(AND(B$5=$BF$9,OR($I68=$BH$16,$I68=$BH$17,$I68=" ",$I68="",$F68=0)),0,IF(OR($I68=" ",$I68="",$F68=0),0,1))</f>
        <v>0</v>
      </c>
      <c r="Y68" s="896">
        <f ca="1">IF(AND(M73&gt;0,B68&lt;&gt;B74),1,0)</f>
        <v>0</v>
      </c>
      <c r="Z68" s="52" t="str">
        <f ca="1">IF(I68=" "," ",OFFSET($BM$9,$CL68-1,8,1,1))</f>
        <v xml:space="preserve"> </v>
      </c>
      <c r="AA68" s="51" t="str">
        <f>IF(G68&gt;=45,"WA","")</f>
        <v/>
      </c>
      <c r="AB68" s="1364" t="str">
        <f>IF(F68&lt;&gt;"",IF(OR(D68=$BG$12,D68=$BG$13),IF(E68&lt;&gt;$BG$17,$BF$12,$BF$13),IF(E68&lt;&gt;$BG$17,$BF$12,$BF$13))," ")</f>
        <v xml:space="preserve"> </v>
      </c>
      <c r="AC68" s="1"/>
      <c r="BD68" s="641"/>
      <c r="BE68" s="2714" t="s">
        <v>903</v>
      </c>
      <c r="BF68" s="2714"/>
      <c r="BG68" s="2714"/>
      <c r="BH68" s="2714"/>
      <c r="BI68" s="759"/>
      <c r="BJ68" s="897">
        <f t="shared" si="27"/>
        <v>60</v>
      </c>
      <c r="BK68" s="768" t="str">
        <f>BK62</f>
        <v xml:space="preserve">EPB </v>
      </c>
      <c r="BL68" s="765" t="str">
        <f>Table!O10</f>
        <v>ESSH</v>
      </c>
      <c r="BM68" s="454">
        <f>Table!P10</f>
        <v>0.4</v>
      </c>
      <c r="BN68" s="454">
        <f>BM69</f>
        <v>0.6</v>
      </c>
      <c r="BO68" s="454">
        <f>Table!Q10</f>
        <v>95</v>
      </c>
      <c r="BP68" s="924">
        <f>Table!R10</f>
        <v>109</v>
      </c>
      <c r="BQ68" s="920"/>
      <c r="BR68" s="768" t="str">
        <f>Table!S10</f>
        <v>ES-H</v>
      </c>
      <c r="BS68" s="454" t="str">
        <f>Table!S11</f>
        <v>EM-H</v>
      </c>
      <c r="BT68" s="454" t="str">
        <f>Table!T10</f>
        <v>I</v>
      </c>
      <c r="BU68" s="924" t="s">
        <v>242</v>
      </c>
      <c r="BV68" s="1230" t="str">
        <f>Table!AI79</f>
        <v>ESSH</v>
      </c>
      <c r="BW68" s="1229">
        <f>BJ68</f>
        <v>60</v>
      </c>
      <c r="BX68" s="924" t="str">
        <f>Table!T11</f>
        <v>Double</v>
      </c>
      <c r="CH68" s="768">
        <f>IF(BN68=999,0,(BO69-BO68)/(BN68-BM68))</f>
        <v>150.00000000000003</v>
      </c>
      <c r="CI68" s="924">
        <f>IF(BN68=999,0,(BP69-BP68)/(BN68-BM68))</f>
        <v>80.000000000000014</v>
      </c>
      <c r="CJ68" s="759"/>
      <c r="CK68" s="188"/>
      <c r="CL68" s="979">
        <f>VLOOKUP(I68,Prodlink,2,0)</f>
        <v>0</v>
      </c>
      <c r="CN68" s="497">
        <f ca="1">VLOOKUP(CO68,Prodlink,2,0)</f>
        <v>0</v>
      </c>
      <c r="CO68" s="497">
        <f ca="1">OFFSET($CH$9,CL68-1,-15,1,1)</f>
        <v>0</v>
      </c>
      <c r="CQ68" s="51">
        <v>0</v>
      </c>
      <c r="CR68" s="51">
        <f>IF(K68=$BH$12,$BH$23,IF(K68=$BH$13,$BH$24,10000))</f>
        <v>10000</v>
      </c>
      <c r="CS68" s="51">
        <f ca="1">IF(F68&lt;OFFSET($BM$9,CL68-1,0,1,1),0,IF(F68&lt;OFFSET($BN$9,CL68-1,0,1,1),((F68-OFFSET($BM$9,CL68-1,0,1,1))*OFFSET($CH$9,CL68-1,0,1,1))+OFFSET($BO$9,CL68-1,CQ68,1,1),IF(F68&lt;OFFSET($BN$9,CL68+0,0,1,1),((F68-OFFSET($BM$9,CL68+0,0,1,1))*OFFSET($CH$9,CL68+0,0,1,1))+OFFSET($BO$9,CL68+0,CQ68,1,1),IF(F68&lt;OFFSET($BN$9,CL68+1,0,1,1),((F68-OFFSET($BM$9,CL68+1,0,1,1))*OFFSET($CH$9,CL68+1,0,1,1))+OFFSET($BO$9,CL68+1,CQ68,1,1),IF(F68&lt;OFFSET($BN$9,CL68+2,0,1,1),((F68-OFFSET($BM$9,CL68+2,0,1,1))*OFFSET($CH$9,CL68+2,0,1,1))+OFFSET($BO$9,CL68+2,CQ68,1,1),IF(F68&lt;OFFSET($BN$9,CL68+3,0,1,1),((F68-OFFSET($BM$9,CL68+3,0,1,1))*OFFSET($CH$9,CL68+3,0,1,1))+OFFSET($BO$9,CL68+3,CQ68,1,1),0))))))</f>
        <v>0</v>
      </c>
      <c r="CT68" s="51">
        <f ca="1">IF($F68&lt;OFFSET($BM$9,$CL68-1,0,1,1),0,IF($F68&lt;OFFSET($BN$9,$CL68-1,0,1,1),IF(AND($H68&gt;2.4,Z68&lt;&gt;"e",Z68&lt;&gt;"f"),CX68*2.4/$H68,CX68),IF($F68&lt;OFFSET($BN$9,$CL68+0,0,1,1),IF(AND($H68&gt;2.4,Z68&lt;&gt;"e",Z68&lt;&gt;"f"),CX68*2.4/$H68,CX68),IF($F68&lt;OFFSET($BN$9,$CL68+1,0,1,1),IF(AND($H68&gt;2.4,Z68&lt;&gt;"e",Z68&lt;&gt;"f"),CX68*2.4/$H68,CX68),IF($F68&lt;OFFSET($BN$9,CL68+2,0,1,1),IF(AND($H68&gt;2.4,Z68&lt;&gt;"e",Z68&lt;&gt;"f"),CX68*2.4/$H68,CX68),IF($F68&lt;OFFSET($BN$9,CL68+3,0,1,1),IF(AND($H68&gt;2.4,Z68&lt;&gt;"e",Z68&lt;&gt;"f"),CX68*2.4/$H68,CX68),0)))))*COS(RADIANS($G68)))</f>
        <v>0</v>
      </c>
      <c r="CU68" s="51">
        <f ca="1">IF(F68&lt;OFFSET($BM$9,CL68-1,0,1,1),0,IF(F68&lt;OFFSET($BN$9,CL68-1,0,1,1),((F68-OFFSET($BM$9,CL68-1,0,1,1))*OFFSET($CI$9,CL68-1,0,1,1))+OFFSET($BP$9,CL68-1,CQ68,1,1),IF(F68&lt;OFFSET($BN$9,CL68+0,0,1,1),((F68-OFFSET($BM$9,CL68+0,0,1,1))*OFFSET($CI$9,CL68+0,0,1,1))+OFFSET($BP$9,CL68+0,CQ68,1,1),IF(F68&lt;OFFSET($BN$9,CL68+1,0,1,1),((F68-OFFSET($BM$9,CL68+1,0,1,1))*OFFSET($CI$9,CL68+1,0,1,1))+OFFSET($BP$9,CL68+1,CQ68,1,1),IF(F68&lt;OFFSET($BN$9,CL68+2,0,1,1),((F68-OFFSET($BM$9,CL68+2,0,1,1))*OFFSET($CI$9,CL68+2,0,1,1))+OFFSET($BP$9,CL68+2,CQ68,1,1),IF(F68&lt;OFFSET($BN$9,CL68+3,0,1,1),((F68-OFFSET($BM$9,CL68+3,0,1,1))*OFFSET($CI$9,CL68+3,0,1,1))+OFFSET($BP$9,CL68+3,CQ68,1,1),0))))))</f>
        <v>0</v>
      </c>
      <c r="CV68" s="51">
        <f ca="1">IF($F68&lt;OFFSET($BM$9,$CL68-1,0,1,1),0,IF($F68&lt;OFFSET($BN$9,$CL68-1,0,1,1),IF(AND($H68&gt;2.4,Z68&lt;&gt;"e",Z68&lt;&gt;"f"),CZ68*2.4/$H68,CZ68),IF($F68&lt;OFFSET($BN$9,$CL68+0,0,1,1),IF(AND($H68&gt;2.4,Z68&lt;&gt;"e",Z68&lt;&gt;"f"),CZ68*2.4/$H68,CZ68),IF($F68&lt;OFFSET($BN$9,$CL68+1,0,1,1),IF(AND($H68&gt;2.4,Z68&lt;&gt;"e",Z68&lt;&gt;"f"),CZ68*2.4/$H68,CZ68),IF($F68&lt;OFFSET($BN$9,$CL68+2,0,1,1),IF(AND($H68&gt;2.4,Z68&lt;&gt;"e",Z68&lt;&gt;"f"),CZ68*2.4/$H68,CZ68),IF($F68&lt;OFFSET($BN$9,$CL68+3,0,1,1),IF(AND($H68&gt;2.4,Z68&lt;&gt;"e",Z68&lt;&gt;"f"),CZ68*2.4/$H68,CZ68),0)))))*COS(RADIANS($G68)))</f>
        <v>0</v>
      </c>
      <c r="CW68" s="51">
        <f ca="1">IF(CT68&gt;CR68,CR68,CT68)</f>
        <v>0</v>
      </c>
      <c r="CX68" s="51">
        <f ca="1">IF(CS68&gt;$CR68,$CR68,CS68)</f>
        <v>0</v>
      </c>
      <c r="CY68" s="51">
        <f ca="1">CW68*F68</f>
        <v>0</v>
      </c>
      <c r="CZ68" s="51">
        <f ca="1">IF($CU68&gt;$CR68,$CR68,$CU68)</f>
        <v>0</v>
      </c>
      <c r="DA68" s="51">
        <f ca="1">IF(CV68&gt;CR68,CR68,CV68)</f>
        <v>0</v>
      </c>
      <c r="DB68" s="51">
        <f ca="1">DA68*F68</f>
        <v>0</v>
      </c>
      <c r="DC68" s="993">
        <v>1</v>
      </c>
      <c r="DD68" s="758" t="str">
        <f>IF(OR(D68=BG$12,D68=BG$13),"External",IF(D68=BG$14,"Internal"," "))</f>
        <v xml:space="preserve"> </v>
      </c>
      <c r="DE68" s="51" t="str">
        <f t="shared" ca="1" si="2"/>
        <v/>
      </c>
      <c r="DF68" s="52" t="str">
        <f t="shared" ca="1" si="3"/>
        <v xml:space="preserve"> </v>
      </c>
      <c r="DG68" s="51">
        <f ca="1">IF(F68&lt;OFFSET($BM$9,CN68-1,0,1,1),0,IF(F68&lt;OFFSET($BN$9,CN68-1,0,1,1),((F68-OFFSET($BM$9,CN68-1,0,1,1))*OFFSET($CH$9,CN68-1,0,1,1))+OFFSET($BO$9,CN68-1,CQ68,1,1),IF(F68&lt;OFFSET($BN$9,CN68+0,0,1,1),((F68-OFFSET($BM$9,CN68+0,0,1,1))*OFFSET($CH$9,CN68+0,0,1,1))+OFFSET($BO$9,CN68+0,CQ68,1,1),IF(F68&lt;OFFSET($BN$9,CN68+1,0,1,1),((F68-OFFSET($BM$9,CN68+1,0,1,1))*OFFSET($CH$9,CN68+1,0,1,1))+OFFSET($BO$9,CN68+1,CQ68,1,1),IF(F68&lt;OFFSET($BN$9,CN68+2,0,1,1),((F68-OFFSET($BM$9,CN68+2,0,1,1))*OFFSET($CH$9,CN68+2,0,1,1))+OFFSET($BO$9,CN68+2,CQ68,1,1),IF(F68&lt;OFFSET($BN$9,CN68+3,0,1,1),((F68-OFFSET($BM$9,CN68+3,0,1,1))*OFFSET($CH$9,CN68+3,0,1,1))+OFFSET($BO$9,CN68+3,CQ68,1,1),0))))))</f>
        <v>0</v>
      </c>
      <c r="DH68" s="51">
        <f ca="1">IF($F68&lt;OFFSET($BM$9,$CN68-1,0,1,1),0,IF($F68&lt;OFFSET($BN$9,$CN68-1,0,1,1),IF(AND($H68&gt;2.4,Z68&lt;&gt;"e",Z68&lt;&gt;"f"),DL68*2.4/$H68,DL68),IF($F68&lt;OFFSET($BN$9,$CN68+0,0,1,1),IF(AND($H68&gt;2.4,Z68&lt;&gt;"e",Z68&lt;&gt;"f"),DL68*2.4/$H68,DL68),IF($F68&lt;OFFSET($BN$9,$CN68+1,0,1,1),IF(AND($H68&gt;2.4,Z68&lt;&gt;"e",Z68&lt;&gt;"f"),DL68*2.4/$H68,DL68),IF($F68&lt;OFFSET($BN$9,$CN68+2,0,1,1),IF(AND($H68&gt;2.4,Z68&lt;&gt;"e",Z68&lt;&gt;"f"),DL68*2.4/$H68,DL68),IF($F68&lt;OFFSET($BN$9,$CN68+3,0,1,1),IF(AND($H68&gt;2.4,Z68&lt;&gt;"e",Z68&lt;&gt;"f"),DL68*2.4/$H68,DL68),0)))))*COS(RADIANS($G68)))</f>
        <v>0</v>
      </c>
      <c r="DI68" s="51">
        <f ca="1">IF(F68&lt;OFFSET($BM$9,CN68-1,0,1,1),0,IF(F68&lt;OFFSET($BN$9,CN68-1,0,1,1),((F68-OFFSET($BM$9,CN68-1,0,1,1))*OFFSET($CI$9,CN68-1,0,1,1))+OFFSET($BP$9,CN68-1,CQ68,1,1),IF(F68&lt;OFFSET($BN$9,CN68+0,0,1,1),((F68-OFFSET($BM$9,CN68+0,0,1,1))*OFFSET($CI$9,CN68+0,0,1,1))+OFFSET($BP$9,CN68+0,CQ68,1,1),IF(F68&lt;OFFSET($BN$9,CN68+1,0,1,1),((F68-OFFSET($BM$9,CN68+1,0,1,1))*OFFSET($CI$9,CN68+1,0,1,1))+OFFSET($BP$9,CN68+1,CQ68,1,1),IF(F68&lt;OFFSET($BN$9,CN68+2,0,1,1),((F68-OFFSET($BM$9,CN68+2,0,1,1))*OFFSET($CI$9,CN68+2,0,1,1))+OFFSET($BP$9,CN68+2,CQ68,1,1),IF(F68&lt;OFFSET($BN$9,CN68+3,0,1,1),((F68-OFFSET($BM$9,CN68+3,0,1,1))*OFFSET($CI$9,CN68+3,0,1,1))+OFFSET($BP$9,CN68+3,CQ68,1,1),0))))))</f>
        <v>0</v>
      </c>
      <c r="DJ68" s="51">
        <f ca="1">IF($F68&lt;OFFSET($BM$9,$CN68-1,0,1,1),0,IF($F68&lt;OFFSET($BN$9,$CN68-1,0,1,1),IF(AND($H68&gt;2.4,Z68&lt;&gt;"e",Z68&lt;&gt;"f"),DN68*2.4/$H68,DN68),IF($F68&lt;OFFSET($BN$9,$CN68+0,0,1,1),IF(AND($H68&gt;2.4,Z68&lt;&gt;"e",Z68&lt;&gt;"f"),DN68*2.4/$H68,DN68),IF($F68&lt;OFFSET($BN$9,$CN68+1,0,1,1),IF(AND($H68&gt;2.4,Z68&lt;&gt;"e",Z68&lt;&gt;"f"),DN68*2.4/$H68,DN68),IF($F68&lt;OFFSET($BN$9,$CN68+2,0,1,1),IF(AND($H68&gt;2.4,Z68&lt;&gt;"e",Z68&lt;&gt;"f"),DN68*2.4/$H68,DN68),IF($F68&lt;OFFSET($BN$9,$CN68+3,0,1,1),IF(AND($H68&gt;2.4,Z68&lt;&gt;"e",Z68&lt;&gt;"f"),DN68*2.4/$H68,DN68),0)))))*COS(RADIANS($G68)))</f>
        <v>0</v>
      </c>
      <c r="DK68" s="51"/>
      <c r="DL68" s="51">
        <f ca="1">IF(DG68&gt;$CR68,$CR68,DG68)</f>
        <v>0</v>
      </c>
      <c r="DM68" s="51"/>
      <c r="DN68" s="51">
        <f ca="1">IF(DI68&gt;$CR68,$CR68,DI68)</f>
        <v>0</v>
      </c>
      <c r="DO68" s="435">
        <f ca="1">IF(DH68&gt;$CR68,$CR68,DH68)</f>
        <v>0</v>
      </c>
      <c r="DP68" s="435">
        <f ca="1">DO68*F68</f>
        <v>0</v>
      </c>
      <c r="DQ68" s="436">
        <f ca="1">IF(DJ68&gt;$CR68,$CR68,DJ68)</f>
        <v>0</v>
      </c>
      <c r="DR68" s="437">
        <f ca="1">DQ68*F68</f>
        <v>0</v>
      </c>
      <c r="DS68" s="426">
        <f ca="1">OFFSET($CH$9,CL68-1,-15,1,1)</f>
        <v>0</v>
      </c>
      <c r="DT68" s="426">
        <f ca="1">VLOOKUP(DS68,Prodlink,2,0)</f>
        <v>0</v>
      </c>
      <c r="DU68" s="188">
        <f ca="1">IF(F68&lt;OFFSET($BM$9,DT68-1,0,1,1),0,IF(F68&lt;OFFSET($BN$9,DT68-1,0,1,1),((F68-OFFSET($BM$9,DT68-1,0,1,1))*OFFSET($CH$9,DT68-1,0,1,1))+OFFSET($BO$9,DT68-1,CQ68,1,1),IF(F68&lt;OFFSET($BN$9,DT68+0,0,1,1),((F68-OFFSET($BM$9,DT68+0,0,1,1))*OFFSET($CH$9,DT68+0,0,1,1))+OFFSET($BO$9,DT68+0,CQ68,1,1),IF(F68&lt;OFFSET($BN$9,DT68+1,0,1,1),((F68-OFFSET($BM$9,DT68+1,0,1,1))*OFFSET($CH$9,DT68+1,0,1,1))+OFFSET($BO$9,DT68+1,CQ68,1,1),IF(F68&lt;OFFSET($BN$9,DT68+2,0,1,1),((F68-OFFSET($BM$9,DT68+2,0,1,1))*OFFSET($CH$9,DT68+2,0,1,1))+OFFSET($BO$9,DT68+2,CQ68,1,1),IF(F68&lt;OFFSET($BN$9,DT68+3,0,1,1),((F68-OFFSET($BM$9,DT68+3,0,1,1))*OFFSET($CH$9,DT68+3,0,1,1))+OFFSET($BO$9,DT68+3,CQ68,1,1),0))))))</f>
        <v>0</v>
      </c>
      <c r="DV68" s="51">
        <f ca="1">IF($F68&lt;OFFSET($BM$9,$DT68-1,0,1,1),0,IF($F68&lt;OFFSET($BN$9,$DT68-1,0,1,1),IF(AND($H68&gt;2.4,Z68&lt;&gt;"e",Z68&lt;&gt;"f"),DZ68*2.4/$H68,DZ68),IF($F68&lt;OFFSET($BN$9,$DT68+0,0,1,1),IF(AND($H68&gt;2.4,Z68&lt;&gt;"e",Z68&lt;&gt;"f"),DZ68*2.4/$H68,DZ68),IF($F68&lt;OFFSET($BN$9,$DT68+1,0,1,1),IF(AND($H68&gt;2.4,Z68&lt;&gt;"e",Z68&lt;&gt;"f"),DZ68*2.4/$H68,DZ68),IF($F68&lt;OFFSET($BN$9,$DT68+2,0,1,1),IF(AND($H68&gt;2.4,Z68&lt;&gt;"e",Z68&lt;&gt;"f"),DZ68*2.4/$H68,DZ68),IF($F68&lt;OFFSET($BN$9,$DT68+3,0,1,1),IF(AND($H68&gt;2.4,Z68&lt;&gt;"e",Z68&lt;&gt;"f"),DZ68*2.4/$H68,DZ68),0)))))*COS(RADIANS($G68)))</f>
        <v>0</v>
      </c>
      <c r="DW68" s="188">
        <f ca="1">IF(F68&lt;OFFSET($BM$9,DT68-1,0,1,1),0,IF(F68&lt;OFFSET($BN$9,DT68-1,0,1,1),((F68-OFFSET($BM$9,DT68-1,0,1,1))*OFFSET($CI$9,DT68-1,0,1,1))+OFFSET($BP$9,DT68-1,CQ68,1,1),IF(F68&lt;OFFSET($BN$9,DT68+0,0,1,1),((F68-OFFSET($BM$9,DT68+0,0,1,1))*OFFSET($CI$9,DT68+0,0,1,1))+OFFSET($BP$9,DT68+0,CQ68,1,1),IF(F68&lt;OFFSET($BN$9,DT68+1,0,1,1),((F68-OFFSET($BM$9,DT68+1,0,1,1))*OFFSET($CI$9,DT68+1,0,1,1))+OFFSET($BP$9,DT68+1,CQ68,1,1),IF(F68&lt;OFFSET($BN$9,DT68+2,0,1,1),((F68-OFFSET($BM$9,DT68+2,0,1,1))*OFFSET($CI$9,DT68+2,0,1,1))+OFFSET($BP$9,DT68+2,CQ68,1,1),IF(F68&lt;OFFSET($BN$9,DT68+3,0,1,1),((F68-OFFSET($BM$9,DT68+3,0,1,1))*OFFSET($CI$9,DT68+3,0,1,1))+OFFSET($BP$9,DT68+3,CQ68,1,1),0))))))</f>
        <v>0</v>
      </c>
      <c r="DX68" s="51">
        <f ca="1">IF($F68&lt;OFFSET($BM$9,$DT68-1,0,1,1),0,IF($F68&lt;OFFSET($BN$9,$DT68-1,0,1,1),IF(AND($H68&gt;2.4,Z68&lt;&gt;"e",Z68&lt;&gt;"f"),EB68*2.4/$H68,EB68),IF($F68&lt;OFFSET($BN$9,$DT68+0,0,1,1),IF(AND($H68&gt;2.4,Z68&lt;&gt;"e",Z68&lt;&gt;"f"),EB68*2.4/$H68,EB68),IF($F68&lt;OFFSET($BN$9,$DT68+1,0,1,1),IF(AND($H68&gt;2.4,Z68&lt;&gt;"e",Z68&lt;&gt;"f"),EB68*2.4/$H68,EB68),IF($F68&lt;OFFSET($BN$9,$DT68+2,0,1,1),IF(AND($H68&gt;2.4,Z68&lt;&gt;"e",Z68&lt;&gt;"f"),EB68*2.4/$H68,EB68),IF($F68&lt;OFFSET($BN$9,$DT68+3,0,1,1),IF(AND($H68&gt;2.4,Z68&lt;&gt;"e",Z68&lt;&gt;"f"),EB68*2.4/$H68,EB68),0)))))*COS(RADIANS($G68)))</f>
        <v>0</v>
      </c>
      <c r="DY68" s="188"/>
      <c r="DZ68" s="188">
        <f ca="1">IF(DU68&gt;$CR68,$CR68,DU68)</f>
        <v>0</v>
      </c>
      <c r="EA68" s="188"/>
      <c r="EB68" s="188">
        <f ca="1">IF(DW68&gt;$CR68,$CR68,DW68)</f>
        <v>0</v>
      </c>
      <c r="EC68" s="435">
        <f ca="1">IF(DV68&gt;$CR68,$CR68,DV68)</f>
        <v>0</v>
      </c>
      <c r="ED68" s="435">
        <f ca="1">EC68*F68</f>
        <v>0</v>
      </c>
      <c r="EE68" s="436">
        <f ca="1">IF(DX68&gt;$CR68,$CR68,DX68)</f>
        <v>0</v>
      </c>
      <c r="EF68" s="437">
        <f ca="1">EE68*F68</f>
        <v>0</v>
      </c>
      <c r="EG68" s="613" t="str">
        <f>IF(D68=BG$12,BG$12,"")</f>
        <v/>
      </c>
      <c r="EH68" s="614" t="str">
        <f>IF(D68=BG$13,BG$13,"")</f>
        <v/>
      </c>
      <c r="EI68" s="611">
        <f>IF(EG68=BG$12,M68,0)</f>
        <v>0</v>
      </c>
      <c r="EJ68" s="451">
        <f>IF(EG68=BG$12,O68,0)</f>
        <v>0</v>
      </c>
      <c r="EK68" s="451">
        <f>IF(EH68=BG$13,M68,0)</f>
        <v>0</v>
      </c>
      <c r="EL68" s="612">
        <f>IF(EH68=BG$13,O68,0)</f>
        <v>0</v>
      </c>
      <c r="EM68" s="426" t="str">
        <f ca="1">IF(AND(Z68&lt;&gt;"t",Z68&lt;&gt;"f"),"",IF(AND(EN68=$BH$13,K68=$BH$12),"NotOpt",IF(K68&lt;&gt;EN68,"Error","")))</f>
        <v/>
      </c>
      <c r="EN68" s="490" t="str">
        <f>IF($BG$28=1,$BH$13,$BH$12)</f>
        <v>120 BU's</v>
      </c>
      <c r="EO68" s="426" t="str">
        <f>K68</f>
        <v xml:space="preserve"> </v>
      </c>
      <c r="ER68" s="439" t="str">
        <f ca="1">IF(H68=0," ",H68)</f>
        <v xml:space="preserve"> </v>
      </c>
      <c r="ES68" s="440" t="str">
        <f ca="1">IF(ER68&lt;&gt;" ",IF(ER68&lt;&gt;ER$7,"Changed",""),"")</f>
        <v/>
      </c>
      <c r="ET68" s="440">
        <f ca="1">IF(ER68&lt;&gt;" ",IF(ER68&lt;&gt;ER$7,1,0),0)</f>
        <v>0</v>
      </c>
      <c r="EU68" s="957" t="str">
        <f ca="1">IF(I68=" "," ",IF(F68&lt;OFFSET($BM$9,CL68-1,0,1,1),1,""))</f>
        <v xml:space="preserve"> </v>
      </c>
      <c r="EW68" s="427"/>
      <c r="EX68"/>
      <c r="EY68"/>
      <c r="EZ68"/>
      <c r="FA68"/>
      <c r="FB68"/>
      <c r="FC68"/>
      <c r="FD68"/>
      <c r="FE68"/>
      <c r="FF68"/>
      <c r="FG68"/>
      <c r="FH68"/>
      <c r="FI68"/>
      <c r="FJ68"/>
      <c r="FK68"/>
      <c r="FL68"/>
      <c r="FM68"/>
      <c r="FN68"/>
      <c r="FO68"/>
    </row>
    <row r="69" spans="1:171" ht="17.100000000000001" hidden="1" customHeight="1">
      <c r="A69" s="2685"/>
      <c r="B69" s="689" t="s">
        <v>246</v>
      </c>
      <c r="C69" s="684" t="str">
        <f>IF(OR(F69=0,I69="",I69=" ")," ",$V69)</f>
        <v xml:space="preserve"> </v>
      </c>
      <c r="D69" s="1033"/>
      <c r="E69" s="1360" t="s">
        <v>8</v>
      </c>
      <c r="F69" s="202"/>
      <c r="G69" s="1416"/>
      <c r="H69" s="199" t="str">
        <f ca="1">IF(OR(F69=0,Z69="E",Z69="f")," ",'Project Demand'!E$45)</f>
        <v xml:space="preserve"> </v>
      </c>
      <c r="I69" s="631" t="str">
        <f>IF($I$6&lt;&gt;$BG$8," ",AB69)</f>
        <v xml:space="preserve"> </v>
      </c>
      <c r="J69" s="44" t="str">
        <f ca="1">IF(OR(I69=" ",I69="")," ",OFFSET($BO$9,CL69-1,0-4,1,1))</f>
        <v xml:space="preserve"> </v>
      </c>
      <c r="K69" s="55" t="str">
        <f>IF(OR(I69=" ",I69="")," ",IF(OR(Z69="e",Z69="h"),"SD",BG$24))</f>
        <v xml:space="preserve"> </v>
      </c>
      <c r="L69" s="49">
        <f ca="1">CW69</f>
        <v>0</v>
      </c>
      <c r="M69" s="49">
        <f ca="1">CY69</f>
        <v>0</v>
      </c>
      <c r="N69" s="50">
        <f t="shared" ca="1" si="33"/>
        <v>0</v>
      </c>
      <c r="O69" s="126">
        <f t="shared" ca="1" si="33"/>
        <v>0</v>
      </c>
      <c r="P69" s="140"/>
      <c r="Q69" s="752" t="str">
        <f ca="1">IF(OR(I69=" ",I69="")," ",IF(F69&lt;OFFSET($BM$9,CL69-1,0,1,1),"check L(m)",IF(DE69&lt;&gt;"",DE69,IF(AND(DP69&gt;=CY69,DR69&gt;=DB69),IF(AND(ED69&gt;=DP69,EF69&gt;=DR69),CONCATENATE(DS69," provides same results"),CONCATENATE(CO69," provides same results")),IF((DP69&gt;=CY69),CONCATENATE(CO69," provides same result in WIND"),IF((DR69&gt;=DB69),CONCATENATE(CO69," provides same result in EQ",""),""))))))</f>
        <v xml:space="preserve"> </v>
      </c>
      <c r="R69" s="52"/>
      <c r="S69" s="1372"/>
      <c r="T69" s="1372"/>
      <c r="U69" s="1377"/>
      <c r="V69" s="52" t="str">
        <f ca="1">IF(AND(B$5=$BF$9,OR(I69=BH$16,I69=BH$17))," ",IF(ISNUMBER(B$68),(CONCATENATE(B$68,".",W69)),(CONCATENATE(B$68,W69))))</f>
        <v>K0</v>
      </c>
      <c r="W69" s="9">
        <f ca="1">W68+X69</f>
        <v>0</v>
      </c>
      <c r="X69" s="9">
        <f>IF(AND(B$5=$BF$9,OR($I69=$BH$16,$I69=$BH$17,$I69=" ",$I69="",$F69=0)),0,IF(OR($I69=" ",$I69="",$F69=0),0,1))</f>
        <v>0</v>
      </c>
      <c r="Y69" s="896"/>
      <c r="Z69" s="52" t="str">
        <f ca="1">IF(I69=" "," ",OFFSET($BM$9,$CL69-1,8,1,1))</f>
        <v xml:space="preserve"> </v>
      </c>
      <c r="AA69" s="51" t="str">
        <f>IF(G69&gt;=45,"WA","")</f>
        <v/>
      </c>
      <c r="AB69" s="1364" t="str">
        <f>IF(F69&lt;&gt;"",IF(OR(D69=$BG$12,D69=$BG$13),IF(E69&lt;&gt;$BG$17,$BF$12,$BF$13),IF(E69&lt;&gt;$BG$17,$BF$12,$BF$13))," ")</f>
        <v xml:space="preserve"> </v>
      </c>
      <c r="AC69" s="1"/>
      <c r="BD69" s="641"/>
      <c r="BI69" s="759"/>
      <c r="BJ69" s="897">
        <f t="shared" si="27"/>
        <v>61</v>
      </c>
      <c r="BK69" s="764"/>
      <c r="BL69" s="766"/>
      <c r="BM69" s="455">
        <f>Table!P11</f>
        <v>0.6</v>
      </c>
      <c r="BN69" s="455">
        <f>BM70</f>
        <v>0.8</v>
      </c>
      <c r="BO69" s="455">
        <f>Table!Q11</f>
        <v>125</v>
      </c>
      <c r="BP69" s="925">
        <f>Table!R11</f>
        <v>125</v>
      </c>
      <c r="BR69" s="764"/>
      <c r="BS69" s="455"/>
      <c r="BT69" s="455"/>
      <c r="BU69" s="925" t="s">
        <v>242</v>
      </c>
      <c r="BV69" s="895"/>
      <c r="BW69" s="912"/>
      <c r="BX69" s="925" t="str">
        <f>Table!T11</f>
        <v>Double</v>
      </c>
      <c r="CH69" s="764">
        <f>IF(BN69=999,0,(BO70-BO69)/(BN69-BM69))</f>
        <v>49.999999999999986</v>
      </c>
      <c r="CI69" s="925">
        <f>IF(BN69=999,0,(BP70-BP69)/(BN69-BM69))</f>
        <v>0</v>
      </c>
      <c r="CJ69" s="759"/>
      <c r="CK69" s="188"/>
      <c r="CL69" s="979">
        <f>VLOOKUP(I69,Prodlink,2,0)</f>
        <v>0</v>
      </c>
      <c r="CN69" s="497">
        <f ca="1">VLOOKUP(CO69,Prodlink,2,0)</f>
        <v>0</v>
      </c>
      <c r="CO69" s="497">
        <f ca="1">OFFSET($CH$9,CL69-1,-15,1,1)</f>
        <v>0</v>
      </c>
      <c r="CQ69" s="51">
        <v>0</v>
      </c>
      <c r="CR69" s="51">
        <f>IF(K69=$BH$12,$BH$23,IF(K69=$BH$13,$BH$24,10000))</f>
        <v>10000</v>
      </c>
      <c r="CS69" s="51">
        <f ca="1">IF(F69&lt;OFFSET($BM$9,CL69-1,0,1,1),0,IF(F69&lt;OFFSET($BN$9,CL69-1,0,1,1),((F69-OFFSET($BM$9,CL69-1,0,1,1))*OFFSET($CH$9,CL69-1,0,1,1))+OFFSET($BO$9,CL69-1,CQ69,1,1),IF(F69&lt;OFFSET($BN$9,CL69+0,0,1,1),((F69-OFFSET($BM$9,CL69+0,0,1,1))*OFFSET($CH$9,CL69+0,0,1,1))+OFFSET($BO$9,CL69+0,CQ69,1,1),IF(F69&lt;OFFSET($BN$9,CL69+1,0,1,1),((F69-OFFSET($BM$9,CL69+1,0,1,1))*OFFSET($CH$9,CL69+1,0,1,1))+OFFSET($BO$9,CL69+1,CQ69,1,1),IF(F69&lt;OFFSET($BN$9,CL69+2,0,1,1),((F69-OFFSET($BM$9,CL69+2,0,1,1))*OFFSET($CH$9,CL69+2,0,1,1))+OFFSET($BO$9,CL69+2,CQ69,1,1),IF(F69&lt;OFFSET($BN$9,CL69+3,0,1,1),((F69-OFFSET($BM$9,CL69+3,0,1,1))*OFFSET($CH$9,CL69+3,0,1,1))+OFFSET($BO$9,CL69+3,CQ69,1,1),0))))))</f>
        <v>0</v>
      </c>
      <c r="CT69" s="51">
        <f ca="1">IF($F69&lt;OFFSET($BM$9,$CL69-1,0,1,1),0,IF($F69&lt;OFFSET($BN$9,$CL69-1,0,1,1),IF(AND($H69&gt;2.4,Z69&lt;&gt;"e",Z69&lt;&gt;"f"),CX69*2.4/$H69,CX69),IF($F69&lt;OFFSET($BN$9,$CL69+0,0,1,1),IF(AND($H69&gt;2.4,Z69&lt;&gt;"e",Z69&lt;&gt;"f"),CX69*2.4/$H69,CX69),IF($F69&lt;OFFSET($BN$9,$CL69+1,0,1,1),IF(AND($H69&gt;2.4,Z69&lt;&gt;"e",Z69&lt;&gt;"f"),CX69*2.4/$H69,CX69),IF($F69&lt;OFFSET($BN$9,CL69+2,0,1,1),IF(AND($H69&gt;2.4,Z69&lt;&gt;"e",Z69&lt;&gt;"f"),CX69*2.4/$H69,CX69),IF($F69&lt;OFFSET($BN$9,CL69+3,0,1,1),IF(AND($H69&gt;2.4,Z69&lt;&gt;"e",Z69&lt;&gt;"f"),CX69*2.4/$H69,CX69),0)))))*COS(RADIANS($G69)))</f>
        <v>0</v>
      </c>
      <c r="CU69" s="51">
        <f ca="1">IF(F69&lt;OFFSET($BM$9,CL69-1,0,1,1),0,IF(F69&lt;OFFSET($BN$9,CL69-1,0,1,1),((F69-OFFSET($BM$9,CL69-1,0,1,1))*OFFSET($CI$9,CL69-1,0,1,1))+OFFSET($BP$9,CL69-1,CQ69,1,1),IF(F69&lt;OFFSET($BN$9,CL69+0,0,1,1),((F69-OFFSET($BM$9,CL69+0,0,1,1))*OFFSET($CI$9,CL69+0,0,1,1))+OFFSET($BP$9,CL69+0,CQ69,1,1),IF(F69&lt;OFFSET($BN$9,CL69+1,0,1,1),((F69-OFFSET($BM$9,CL69+1,0,1,1))*OFFSET($CI$9,CL69+1,0,1,1))+OFFSET($BP$9,CL69+1,CQ69,1,1),IF(F69&lt;OFFSET($BN$9,CL69+2,0,1,1),((F69-OFFSET($BM$9,CL69+2,0,1,1))*OFFSET($CI$9,CL69+2,0,1,1))+OFFSET($BP$9,CL69+2,CQ69,1,1),IF(F69&lt;OFFSET($BN$9,CL69+3,0,1,1),((F69-OFFSET($BM$9,CL69+3,0,1,1))*OFFSET($CI$9,CL69+3,0,1,1))+OFFSET($BP$9,CL69+3,CQ69,1,1),0))))))</f>
        <v>0</v>
      </c>
      <c r="CV69" s="51">
        <f ca="1">IF($F69&lt;OFFSET($BM$9,$CL69-1,0,1,1),0,IF($F69&lt;OFFSET($BN$9,$CL69-1,0,1,1),IF(AND($H69&gt;2.4,Z69&lt;&gt;"e",Z69&lt;&gt;"f"),CZ69*2.4/$H69,CZ69),IF($F69&lt;OFFSET($BN$9,$CL69+0,0,1,1),IF(AND($H69&gt;2.4,Z69&lt;&gt;"e",Z69&lt;&gt;"f"),CZ69*2.4/$H69,CZ69),IF($F69&lt;OFFSET($BN$9,$CL69+1,0,1,1),IF(AND($H69&gt;2.4,Z69&lt;&gt;"e",Z69&lt;&gt;"f"),CZ69*2.4/$H69,CZ69),IF($F69&lt;OFFSET($BN$9,$CL69+2,0,1,1),IF(AND($H69&gt;2.4,Z69&lt;&gt;"e",Z69&lt;&gt;"f"),CZ69*2.4/$H69,CZ69),IF($F69&lt;OFFSET($BN$9,$CL69+3,0,1,1),IF(AND($H69&gt;2.4,Z69&lt;&gt;"e",Z69&lt;&gt;"f"),CZ69*2.4/$H69,CZ69),0)))))*COS(RADIANS($G69)))</f>
        <v>0</v>
      </c>
      <c r="CW69" s="51">
        <f ca="1">IF(CT69&gt;CR69,CR69,CT69)</f>
        <v>0</v>
      </c>
      <c r="CX69" s="51">
        <f ca="1">IF(CS69&gt;$CR69,$CR69,CS69)</f>
        <v>0</v>
      </c>
      <c r="CY69" s="51">
        <f ca="1">CW69*F69</f>
        <v>0</v>
      </c>
      <c r="CZ69" s="51">
        <f ca="1">IF($CU69&gt;$CR69,$CR69,$CU69)</f>
        <v>0</v>
      </c>
      <c r="DA69" s="51">
        <f ca="1">IF(CV69&gt;CR69,CR69,CV69)</f>
        <v>0</v>
      </c>
      <c r="DB69" s="51">
        <f ca="1">DA69*F69</f>
        <v>0</v>
      </c>
      <c r="DC69" s="993">
        <v>1</v>
      </c>
      <c r="DD69" s="758" t="str">
        <f>IF(OR(D69=BG$12,D69=BG$13),"External",IF(D69=BG$14,"Internal"," "))</f>
        <v xml:space="preserve"> </v>
      </c>
      <c r="DE69" s="51" t="str">
        <f t="shared" ca="1" si="2"/>
        <v/>
      </c>
      <c r="DF69" s="52" t="str">
        <f t="shared" ca="1" si="3"/>
        <v xml:space="preserve"> </v>
      </c>
      <c r="DG69" s="51">
        <f ca="1">IF(F69&lt;OFFSET($BM$9,CN69-1,0,1,1),0,IF(F69&lt;OFFSET($BN$9,CN69-1,0,1,1),((F69-OFFSET($BM$9,CN69-1,0,1,1))*OFFSET($CH$9,CN69-1,0,1,1))+OFFSET($BO$9,CN69-1,CQ69,1,1),IF(F69&lt;OFFSET($BN$9,CN69+0,0,1,1),((F69-OFFSET($BM$9,CN69+0,0,1,1))*OFFSET($CH$9,CN69+0,0,1,1))+OFFSET($BO$9,CN69+0,CQ69,1,1),IF(F69&lt;OFFSET($BN$9,CN69+1,0,1,1),((F69-OFFSET($BM$9,CN69+1,0,1,1))*OFFSET($CH$9,CN69+1,0,1,1))+OFFSET($BO$9,CN69+1,CQ69,1,1),IF(F69&lt;OFFSET($BN$9,CN69+2,0,1,1),((F69-OFFSET($BM$9,CN69+2,0,1,1))*OFFSET($CH$9,CN69+2,0,1,1))+OFFSET($BO$9,CN69+2,CQ69,1,1),IF(F69&lt;OFFSET($BN$9,CN69+3,0,1,1),((F69-OFFSET($BM$9,CN69+3,0,1,1))*OFFSET($CH$9,CN69+3,0,1,1))+OFFSET($BO$9,CN69+3,CQ69,1,1),0))))))</f>
        <v>0</v>
      </c>
      <c r="DH69" s="51">
        <f ca="1">IF($F69&lt;OFFSET($BM$9,$CN69-1,0,1,1),0,IF($F69&lt;OFFSET($BN$9,$CN69-1,0,1,1),IF(AND($H69&gt;2.4,Z69&lt;&gt;"e",Z69&lt;&gt;"f"),DL69*2.4/$H69,DL69),IF($F69&lt;OFFSET($BN$9,$CN69+0,0,1,1),IF(AND($H69&gt;2.4,Z69&lt;&gt;"e",Z69&lt;&gt;"f"),DL69*2.4/$H69,DL69),IF($F69&lt;OFFSET($BN$9,$CN69+1,0,1,1),IF(AND($H69&gt;2.4,Z69&lt;&gt;"e",Z69&lt;&gt;"f"),DL69*2.4/$H69,DL69),IF($F69&lt;OFFSET($BN$9,$CN69+2,0,1,1),IF(AND($H69&gt;2.4,Z69&lt;&gt;"e",Z69&lt;&gt;"f"),DL69*2.4/$H69,DL69),IF($F69&lt;OFFSET($BN$9,$CN69+3,0,1,1),IF(AND($H69&gt;2.4,Z69&lt;&gt;"e",Z69&lt;&gt;"f"),DL69*2.4/$H69,DL69),0)))))*COS(RADIANS($G69)))</f>
        <v>0</v>
      </c>
      <c r="DI69" s="51">
        <f ca="1">IF(F69&lt;OFFSET($BM$9,CN69-1,0,1,1),0,IF(F69&lt;OFFSET($BN$9,CN69-1,0,1,1),((F69-OFFSET($BM$9,CN69-1,0,1,1))*OFFSET($CI$9,CN69-1,0,1,1))+OFFSET($BP$9,CN69-1,CQ69,1,1),IF(F69&lt;OFFSET($BN$9,CN69+0,0,1,1),((F69-OFFSET($BM$9,CN69+0,0,1,1))*OFFSET($CI$9,CN69+0,0,1,1))+OFFSET($BP$9,CN69+0,CQ69,1,1),IF(F69&lt;OFFSET($BN$9,CN69+1,0,1,1),((F69-OFFSET($BM$9,CN69+1,0,1,1))*OFFSET($CI$9,CN69+1,0,1,1))+OFFSET($BP$9,CN69+1,CQ69,1,1),IF(F69&lt;OFFSET($BN$9,CN69+2,0,1,1),((F69-OFFSET($BM$9,CN69+2,0,1,1))*OFFSET($CI$9,CN69+2,0,1,1))+OFFSET($BP$9,CN69+2,CQ69,1,1),IF(F69&lt;OFFSET($BN$9,CN69+3,0,1,1),((F69-OFFSET($BM$9,CN69+3,0,1,1))*OFFSET($CI$9,CN69+3,0,1,1))+OFFSET($BP$9,CN69+3,CQ69,1,1),0))))))</f>
        <v>0</v>
      </c>
      <c r="DJ69" s="51">
        <f ca="1">IF($F69&lt;OFFSET($BM$9,$CN69-1,0,1,1),0,IF($F69&lt;OFFSET($BN$9,$CN69-1,0,1,1),IF(AND($H69&gt;2.4,Z69&lt;&gt;"e",Z69&lt;&gt;"f"),DN69*2.4/$H69,DN69),IF($F69&lt;OFFSET($BN$9,$CN69+0,0,1,1),IF(AND($H69&gt;2.4,Z69&lt;&gt;"e",Z69&lt;&gt;"f"),DN69*2.4/$H69,DN69),IF($F69&lt;OFFSET($BN$9,$CN69+1,0,1,1),IF(AND($H69&gt;2.4,Z69&lt;&gt;"e",Z69&lt;&gt;"f"),DN69*2.4/$H69,DN69),IF($F69&lt;OFFSET($BN$9,$CN69+2,0,1,1),IF(AND($H69&gt;2.4,Z69&lt;&gt;"e",Z69&lt;&gt;"f"),DN69*2.4/$H69,DN69),IF($F69&lt;OFFSET($BN$9,$CN69+3,0,1,1),IF(AND($H69&gt;2.4,Z69&lt;&gt;"e",Z69&lt;&gt;"f"),DN69*2.4/$H69,DN69),0)))))*COS(RADIANS($G69)))</f>
        <v>0</v>
      </c>
      <c r="DK69" s="51"/>
      <c r="DL69" s="51">
        <f ca="1">IF(DG69&gt;$CR69,$CR69,DG69)</f>
        <v>0</v>
      </c>
      <c r="DM69" s="51"/>
      <c r="DN69" s="51">
        <f ca="1">IF(DI69&gt;$CR69,$CR69,DI69)</f>
        <v>0</v>
      </c>
      <c r="DO69" s="435">
        <f ca="1">IF(DH69&gt;$CR69,$CR69,DH69)</f>
        <v>0</v>
      </c>
      <c r="DP69" s="435">
        <f ca="1">DO69*F69</f>
        <v>0</v>
      </c>
      <c r="DQ69" s="436">
        <f ca="1">IF(DJ69&gt;$CR69,$CR69,DJ69)</f>
        <v>0</v>
      </c>
      <c r="DR69" s="437">
        <f ca="1">DQ69*F69</f>
        <v>0</v>
      </c>
      <c r="DS69" s="426">
        <f ca="1">OFFSET($CH$9,CL69-1,-15,1,1)</f>
        <v>0</v>
      </c>
      <c r="DT69" s="426">
        <f ca="1">VLOOKUP(DS69,Prodlink,2,0)</f>
        <v>0</v>
      </c>
      <c r="DU69" s="188">
        <f ca="1">IF(F69&lt;OFFSET($BM$9,DT69-1,0,1,1),0,IF(F69&lt;OFFSET($BN$9,DT69-1,0,1,1),((F69-OFFSET($BM$9,DT69-1,0,1,1))*OFFSET($CH$9,DT69-1,0,1,1))+OFFSET($BO$9,DT69-1,CQ69,1,1),IF(F69&lt;OFFSET($BN$9,DT69+0,0,1,1),((F69-OFFSET($BM$9,DT69+0,0,1,1))*OFFSET($CH$9,DT69+0,0,1,1))+OFFSET($BO$9,DT69+0,CQ69,1,1),IF(F69&lt;OFFSET($BN$9,DT69+1,0,1,1),((F69-OFFSET($BM$9,DT69+1,0,1,1))*OFFSET($CH$9,DT69+1,0,1,1))+OFFSET($BO$9,DT69+1,CQ69,1,1),IF(F69&lt;OFFSET($BN$9,DT69+2,0,1,1),((F69-OFFSET($BM$9,DT69+2,0,1,1))*OFFSET($CH$9,DT69+2,0,1,1))+OFFSET($BO$9,DT69+2,CQ69,1,1),IF(F69&lt;OFFSET($BN$9,DT69+3,0,1,1),((F69-OFFSET($BM$9,DT69+3,0,1,1))*OFFSET($CH$9,DT69+3,0,1,1))+OFFSET($BO$9,DT69+3,CQ69,1,1),0))))))</f>
        <v>0</v>
      </c>
      <c r="DV69" s="51">
        <f ca="1">IF($F69&lt;OFFSET($BM$9,$DT69-1,0,1,1),0,IF($F69&lt;OFFSET($BN$9,$DT69-1,0,1,1),IF(AND($H69&gt;2.4,Z69&lt;&gt;"e",Z69&lt;&gt;"f"),DZ69*2.4/$H69,DZ69),IF($F69&lt;OFFSET($BN$9,$DT69+0,0,1,1),IF(AND($H69&gt;2.4,Z69&lt;&gt;"e",Z69&lt;&gt;"f"),DZ69*2.4/$H69,DZ69),IF($F69&lt;OFFSET($BN$9,$DT69+1,0,1,1),IF(AND($H69&gt;2.4,Z69&lt;&gt;"e",Z69&lt;&gt;"f"),DZ69*2.4/$H69,DZ69),IF($F69&lt;OFFSET($BN$9,$DT69+2,0,1,1),IF(AND($H69&gt;2.4,Z69&lt;&gt;"e",Z69&lt;&gt;"f"),DZ69*2.4/$H69,DZ69),IF($F69&lt;OFFSET($BN$9,$DT69+3,0,1,1),IF(AND($H69&gt;2.4,Z69&lt;&gt;"e",Z69&lt;&gt;"f"),DZ69*2.4/$H69,DZ69),0)))))*COS(RADIANS($G69)))</f>
        <v>0</v>
      </c>
      <c r="DW69" s="188">
        <f ca="1">IF(F69&lt;OFFSET($BM$9,DT69-1,0,1,1),0,IF(F69&lt;OFFSET($BN$9,DT69-1,0,1,1),((F69-OFFSET($BM$9,DT69-1,0,1,1))*OFFSET($CI$9,DT69-1,0,1,1))+OFFSET($BP$9,DT69-1,CQ69,1,1),IF(F69&lt;OFFSET($BN$9,DT69+0,0,1,1),((F69-OFFSET($BM$9,DT69+0,0,1,1))*OFFSET($CI$9,DT69+0,0,1,1))+OFFSET($BP$9,DT69+0,CQ69,1,1),IF(F69&lt;OFFSET($BN$9,DT69+1,0,1,1),((F69-OFFSET($BM$9,DT69+1,0,1,1))*OFFSET($CI$9,DT69+1,0,1,1))+OFFSET($BP$9,DT69+1,CQ69,1,1),IF(F69&lt;OFFSET($BN$9,DT69+2,0,1,1),((F69-OFFSET($BM$9,DT69+2,0,1,1))*OFFSET($CI$9,DT69+2,0,1,1))+OFFSET($BP$9,DT69+2,CQ69,1,1),IF(F69&lt;OFFSET($BN$9,DT69+3,0,1,1),((F69-OFFSET($BM$9,DT69+3,0,1,1))*OFFSET($CI$9,DT69+3,0,1,1))+OFFSET($BP$9,DT69+3,CQ69,1,1),0))))))</f>
        <v>0</v>
      </c>
      <c r="DX69" s="51">
        <f ca="1">IF($F69&lt;OFFSET($BM$9,$DT69-1,0,1,1),0,IF($F69&lt;OFFSET($BN$9,$DT69-1,0,1,1),IF(AND($H69&gt;2.4,Z69&lt;&gt;"e",Z69&lt;&gt;"f"),EB69*2.4/$H69,EB69),IF($F69&lt;OFFSET($BN$9,$DT69+0,0,1,1),IF(AND($H69&gt;2.4,Z69&lt;&gt;"e",Z69&lt;&gt;"f"),EB69*2.4/$H69,EB69),IF($F69&lt;OFFSET($BN$9,$DT69+1,0,1,1),IF(AND($H69&gt;2.4,Z69&lt;&gt;"e",Z69&lt;&gt;"f"),EB69*2.4/$H69,EB69),IF($F69&lt;OFFSET($BN$9,$DT69+2,0,1,1),IF(AND($H69&gt;2.4,Z69&lt;&gt;"e",Z69&lt;&gt;"f"),EB69*2.4/$H69,EB69),IF($F69&lt;OFFSET($BN$9,$DT69+3,0,1,1),IF(AND($H69&gt;2.4,Z69&lt;&gt;"e",Z69&lt;&gt;"f"),EB69*2.4/$H69,EB69),0)))))*COS(RADIANS($G69)))</f>
        <v>0</v>
      </c>
      <c r="DY69" s="188"/>
      <c r="DZ69" s="188">
        <f ca="1">IF(DU69&gt;$CR69,$CR69,DU69)</f>
        <v>0</v>
      </c>
      <c r="EA69" s="188"/>
      <c r="EB69" s="188">
        <f ca="1">IF(DW69&gt;$CR69,$CR69,DW69)</f>
        <v>0</v>
      </c>
      <c r="EC69" s="435">
        <f ca="1">IF(DV69&gt;$CR69,$CR69,DV69)</f>
        <v>0</v>
      </c>
      <c r="ED69" s="435">
        <f ca="1">EC69*F69</f>
        <v>0</v>
      </c>
      <c r="EE69" s="436">
        <f ca="1">IF(DX69&gt;$CR69,$CR69,DX69)</f>
        <v>0</v>
      </c>
      <c r="EF69" s="437">
        <f ca="1">EE69*F69</f>
        <v>0</v>
      </c>
      <c r="EG69" s="613" t="str">
        <f>IF(D69=BG$12,BG$12,"")</f>
        <v/>
      </c>
      <c r="EH69" s="614" t="str">
        <f>IF(D69=BG$13,BG$13,"")</f>
        <v/>
      </c>
      <c r="EI69" s="611">
        <f>IF(EG69=BG$12,M69,0)</f>
        <v>0</v>
      </c>
      <c r="EJ69" s="451">
        <f>IF(EG69=BG$12,O69,0)</f>
        <v>0</v>
      </c>
      <c r="EK69" s="451">
        <f>IF(EH69=BG$13,M69,0)</f>
        <v>0</v>
      </c>
      <c r="EL69" s="612">
        <f>IF(EH69=BG$13,O69,0)</f>
        <v>0</v>
      </c>
      <c r="EM69" s="426" t="str">
        <f ca="1">IF(AND(Z69&lt;&gt;"t",Z69&lt;&gt;"f"),"",IF(AND(EN69=$BH$13,K69=$BH$12),"NotOpt",IF(K69&lt;&gt;EN69,"Error","")))</f>
        <v/>
      </c>
      <c r="EN69" s="490" t="str">
        <f>IF($BG$28=1,$BH$13,$BH$12)</f>
        <v>120 BU's</v>
      </c>
      <c r="EO69" s="426" t="str">
        <f>K69</f>
        <v xml:space="preserve"> </v>
      </c>
      <c r="ER69" s="439" t="str">
        <f ca="1">IF(H69=0," ",H69)</f>
        <v xml:space="preserve"> </v>
      </c>
      <c r="ES69" s="440" t="str">
        <f ca="1">IF(ER69&lt;&gt;" ",IF(ER69&lt;&gt;ER$7,"Changed",""),"")</f>
        <v/>
      </c>
      <c r="ET69" s="440">
        <f ca="1">IF(ER69&lt;&gt;" ",IF(ER69&lt;&gt;ER$7,1,0),0)</f>
        <v>0</v>
      </c>
      <c r="EU69" s="957" t="str">
        <f ca="1">IF(I69=" "," ",IF(F69&lt;OFFSET($BM$9,CL69-1,0,1,1),1,""))</f>
        <v xml:space="preserve"> </v>
      </c>
      <c r="EW69" s="427"/>
      <c r="EX69"/>
      <c r="EY69"/>
      <c r="EZ69"/>
      <c r="FA69"/>
      <c r="FB69"/>
      <c r="FC69"/>
      <c r="FD69"/>
      <c r="FE69"/>
      <c r="FF69"/>
      <c r="FG69"/>
      <c r="FH69"/>
      <c r="FI69"/>
      <c r="FJ69"/>
      <c r="FK69"/>
      <c r="FL69"/>
      <c r="FM69"/>
      <c r="FN69"/>
      <c r="FO69"/>
    </row>
    <row r="70" spans="1:171" ht="17.100000000000001" hidden="1" customHeight="1">
      <c r="A70" s="2685"/>
      <c r="B70" s="689" t="s">
        <v>246</v>
      </c>
      <c r="C70" s="684" t="str">
        <f>IF(OR(F70=0,I70="",I70=" ")," ",$V70)</f>
        <v xml:space="preserve"> </v>
      </c>
      <c r="D70" s="1033"/>
      <c r="E70" s="1360" t="s">
        <v>8</v>
      </c>
      <c r="F70" s="202"/>
      <c r="G70" s="1416"/>
      <c r="H70" s="199" t="str">
        <f ca="1">IF(OR(F70=0,Z70="E",Z70="f")," ",'Project Demand'!E$45)</f>
        <v xml:space="preserve"> </v>
      </c>
      <c r="I70" s="631" t="str">
        <f>IF($I$6&lt;&gt;$BG$8," ",AB70)</f>
        <v xml:space="preserve"> </v>
      </c>
      <c r="J70" s="44" t="str">
        <f ca="1">IF(OR(I70=" ",I70="")," ",OFFSET($BO$9,CL70-1,0-4,1,1))</f>
        <v xml:space="preserve"> </v>
      </c>
      <c r="K70" s="55" t="str">
        <f>IF(OR(I70=" ",I70="")," ",IF(OR(Z70="e",Z70="h"),"SD",BG$24))</f>
        <v xml:space="preserve"> </v>
      </c>
      <c r="L70" s="49">
        <f ca="1">CW70</f>
        <v>0</v>
      </c>
      <c r="M70" s="49">
        <f ca="1">CY70</f>
        <v>0</v>
      </c>
      <c r="N70" s="50">
        <f t="shared" ca="1" si="33"/>
        <v>0</v>
      </c>
      <c r="O70" s="126">
        <f t="shared" ca="1" si="33"/>
        <v>0</v>
      </c>
      <c r="P70" s="140"/>
      <c r="Q70" s="752" t="str">
        <f ca="1">IF(OR(I70=" ",I70="")," ",IF(F70&lt;OFFSET($BM$9,CL70-1,0,1,1),"check L(m)",IF(DE70&lt;&gt;"",DE70,IF(AND(DP70&gt;=CY70,DR70&gt;=DB70),IF(AND(ED70&gt;=DP70,EF70&gt;=DR70),CONCATENATE(DS70," provides same results"),CONCATENATE(CO70," provides same results")),IF((DP70&gt;=CY70),CONCATENATE(CO70," provides same result in WIND"),IF((DR70&gt;=DB70),CONCATENATE(CO70," provides same result in EQ",""),""))))))</f>
        <v xml:space="preserve"> </v>
      </c>
      <c r="R70" s="52"/>
      <c r="S70" s="1372"/>
      <c r="T70" s="1372"/>
      <c r="U70" s="1377"/>
      <c r="V70" s="52" t="str">
        <f ca="1">IF(AND(B$5=$BF$9,OR(I70=BH$16,I70=BH$17))," ",IF(ISNUMBER(B$68),(CONCATENATE(B$68,".",W70)),(CONCATENATE(B$68,W70))))</f>
        <v>K0</v>
      </c>
      <c r="W70" s="9">
        <f ca="1">W69+X70</f>
        <v>0</v>
      </c>
      <c r="X70" s="9">
        <f>IF(AND(B$5=$BF$9,OR($I70=$BH$16,$I70=$BH$17,$I70=" ",$I70="",$F70=0)),0,IF(OR($I70=" ",$I70="",$F70=0),0,1))</f>
        <v>0</v>
      </c>
      <c r="Y70" s="896"/>
      <c r="Z70" s="52" t="str">
        <f ca="1">IF(I70=" "," ",OFFSET($BM$9,$CL70-1,8,1,1))</f>
        <v xml:space="preserve"> </v>
      </c>
      <c r="AA70" s="51" t="str">
        <f>IF(G70&gt;=45,"WA","")</f>
        <v/>
      </c>
      <c r="AB70" s="1364" t="str">
        <f>IF(F70&lt;&gt;"",IF(OR(D70=$BG$12,D70=$BG$13),IF(E70&lt;&gt;$BG$17,$BF$12,$BF$13),IF(E70&lt;&gt;$BG$17,$BF$12,$BF$13))," ")</f>
        <v xml:space="preserve"> </v>
      </c>
      <c r="AC70" s="1"/>
      <c r="BD70" s="641"/>
      <c r="BI70" s="759"/>
      <c r="BJ70" s="897">
        <f t="shared" si="27"/>
        <v>62</v>
      </c>
      <c r="BK70" s="764"/>
      <c r="BL70" s="766"/>
      <c r="BM70" s="455">
        <f>Table!P12</f>
        <v>0.8</v>
      </c>
      <c r="BN70" s="455">
        <f>BM71</f>
        <v>1</v>
      </c>
      <c r="BO70" s="455">
        <f>Table!Q12</f>
        <v>135</v>
      </c>
      <c r="BP70" s="925">
        <f>Table!R12</f>
        <v>125</v>
      </c>
      <c r="BR70" s="764"/>
      <c r="BS70" s="455"/>
      <c r="BT70" s="455"/>
      <c r="BU70" s="925" t="s">
        <v>242</v>
      </c>
      <c r="BV70" s="895"/>
      <c r="BW70" s="912"/>
      <c r="BX70" s="925" t="str">
        <f>Table!T11</f>
        <v>Double</v>
      </c>
      <c r="CH70" s="764">
        <f>IF(BN70=999,0,(BO71-BO70)/(BN70-BM70))</f>
        <v>25.000000000000007</v>
      </c>
      <c r="CI70" s="925">
        <f>IF(BN70=999,0,(BP71-BP70)/(BN70-BM70))</f>
        <v>25.000000000000007</v>
      </c>
      <c r="CJ70" s="759"/>
      <c r="CK70" s="188"/>
      <c r="CL70" s="979">
        <f>VLOOKUP(I70,Prodlink,2,0)</f>
        <v>0</v>
      </c>
      <c r="CN70" s="497">
        <f ca="1">VLOOKUP(CO70,Prodlink,2,0)</f>
        <v>0</v>
      </c>
      <c r="CO70" s="497">
        <f ca="1">OFFSET($CH$9,CL70-1,-15,1,1)</f>
        <v>0</v>
      </c>
      <c r="CQ70" s="51">
        <v>0</v>
      </c>
      <c r="CR70" s="51">
        <f>IF(K70=$BH$12,$BH$23,IF(K70=$BH$13,$BH$24,10000))</f>
        <v>10000</v>
      </c>
      <c r="CS70" s="51">
        <f ca="1">IF(F70&lt;OFFSET($BM$9,CL70-1,0,1,1),0,IF(F70&lt;OFFSET($BN$9,CL70-1,0,1,1),((F70-OFFSET($BM$9,CL70-1,0,1,1))*OFFSET($CH$9,CL70-1,0,1,1))+OFFSET($BO$9,CL70-1,CQ70,1,1),IF(F70&lt;OFFSET($BN$9,CL70+0,0,1,1),((F70-OFFSET($BM$9,CL70+0,0,1,1))*OFFSET($CH$9,CL70+0,0,1,1))+OFFSET($BO$9,CL70+0,CQ70,1,1),IF(F70&lt;OFFSET($BN$9,CL70+1,0,1,1),((F70-OFFSET($BM$9,CL70+1,0,1,1))*OFFSET($CH$9,CL70+1,0,1,1))+OFFSET($BO$9,CL70+1,CQ70,1,1),IF(F70&lt;OFFSET($BN$9,CL70+2,0,1,1),((F70-OFFSET($BM$9,CL70+2,0,1,1))*OFFSET($CH$9,CL70+2,0,1,1))+OFFSET($BO$9,CL70+2,CQ70,1,1),IF(F70&lt;OFFSET($BN$9,CL70+3,0,1,1),((F70-OFFSET($BM$9,CL70+3,0,1,1))*OFFSET($CH$9,CL70+3,0,1,1))+OFFSET($BO$9,CL70+3,CQ70,1,1),0))))))</f>
        <v>0</v>
      </c>
      <c r="CT70" s="51">
        <f ca="1">IF($F70&lt;OFFSET($BM$9,$CL70-1,0,1,1),0,IF($F70&lt;OFFSET($BN$9,$CL70-1,0,1,1),IF(AND($H70&gt;2.4,Z70&lt;&gt;"e",Z70&lt;&gt;"f"),CX70*2.4/$H70,CX70),IF($F70&lt;OFFSET($BN$9,$CL70+0,0,1,1),IF(AND($H70&gt;2.4,Z70&lt;&gt;"e",Z70&lt;&gt;"f"),CX70*2.4/$H70,CX70),IF($F70&lt;OFFSET($BN$9,$CL70+1,0,1,1),IF(AND($H70&gt;2.4,Z70&lt;&gt;"e",Z70&lt;&gt;"f"),CX70*2.4/$H70,CX70),IF($F70&lt;OFFSET($BN$9,CL70+2,0,1,1),IF(AND($H70&gt;2.4,Z70&lt;&gt;"e",Z70&lt;&gt;"f"),CX70*2.4/$H70,CX70),IF($F70&lt;OFFSET($BN$9,CL70+3,0,1,1),IF(AND($H70&gt;2.4,Z70&lt;&gt;"e",Z70&lt;&gt;"f"),CX70*2.4/$H70,CX70),0)))))*COS(RADIANS($G70)))</f>
        <v>0</v>
      </c>
      <c r="CU70" s="51">
        <f ca="1">IF(F70&lt;OFFSET($BM$9,CL70-1,0,1,1),0,IF(F70&lt;OFFSET($BN$9,CL70-1,0,1,1),((F70-OFFSET($BM$9,CL70-1,0,1,1))*OFFSET($CI$9,CL70-1,0,1,1))+OFFSET($BP$9,CL70-1,CQ70,1,1),IF(F70&lt;OFFSET($BN$9,CL70+0,0,1,1),((F70-OFFSET($BM$9,CL70+0,0,1,1))*OFFSET($CI$9,CL70+0,0,1,1))+OFFSET($BP$9,CL70+0,CQ70,1,1),IF(F70&lt;OFFSET($BN$9,CL70+1,0,1,1),((F70-OFFSET($BM$9,CL70+1,0,1,1))*OFFSET($CI$9,CL70+1,0,1,1))+OFFSET($BP$9,CL70+1,CQ70,1,1),IF(F70&lt;OFFSET($BN$9,CL70+2,0,1,1),((F70-OFFSET($BM$9,CL70+2,0,1,1))*OFFSET($CI$9,CL70+2,0,1,1))+OFFSET($BP$9,CL70+2,CQ70,1,1),IF(F70&lt;OFFSET($BN$9,CL70+3,0,1,1),((F70-OFFSET($BM$9,CL70+3,0,1,1))*OFFSET($CI$9,CL70+3,0,1,1))+OFFSET($BP$9,CL70+3,CQ70,1,1),0))))))</f>
        <v>0</v>
      </c>
      <c r="CV70" s="51">
        <f ca="1">IF($F70&lt;OFFSET($BM$9,$CL70-1,0,1,1),0,IF($F70&lt;OFFSET($BN$9,$CL70-1,0,1,1),IF(AND($H70&gt;2.4,Z70&lt;&gt;"e",Z70&lt;&gt;"f"),CZ70*2.4/$H70,CZ70),IF($F70&lt;OFFSET($BN$9,$CL70+0,0,1,1),IF(AND($H70&gt;2.4,Z70&lt;&gt;"e",Z70&lt;&gt;"f"),CZ70*2.4/$H70,CZ70),IF($F70&lt;OFFSET($BN$9,$CL70+1,0,1,1),IF(AND($H70&gt;2.4,Z70&lt;&gt;"e",Z70&lt;&gt;"f"),CZ70*2.4/$H70,CZ70),IF($F70&lt;OFFSET($BN$9,$CL70+2,0,1,1),IF(AND($H70&gt;2.4,Z70&lt;&gt;"e",Z70&lt;&gt;"f"),CZ70*2.4/$H70,CZ70),IF($F70&lt;OFFSET($BN$9,$CL70+3,0,1,1),IF(AND($H70&gt;2.4,Z70&lt;&gt;"e",Z70&lt;&gt;"f"),CZ70*2.4/$H70,CZ70),0)))))*COS(RADIANS($G70)))</f>
        <v>0</v>
      </c>
      <c r="CW70" s="51">
        <f ca="1">IF(CT70&gt;CR70,CR70,CT70)</f>
        <v>0</v>
      </c>
      <c r="CX70" s="51">
        <f ca="1">IF(CS70&gt;$CR70,$CR70,CS70)</f>
        <v>0</v>
      </c>
      <c r="CY70" s="51">
        <f ca="1">CW70*F70</f>
        <v>0</v>
      </c>
      <c r="CZ70" s="51">
        <f ca="1">IF($CU70&gt;$CR70,$CR70,$CU70)</f>
        <v>0</v>
      </c>
      <c r="DA70" s="51">
        <f ca="1">IF(CV70&gt;CR70,CR70,CV70)</f>
        <v>0</v>
      </c>
      <c r="DB70" s="51">
        <f ca="1">DA70*F70</f>
        <v>0</v>
      </c>
      <c r="DC70" s="993">
        <v>1</v>
      </c>
      <c r="DD70" s="758" t="str">
        <f>IF(OR(D70=BG$12,D70=BG$13),"External",IF(D70=BG$14,"Internal"," "))</f>
        <v xml:space="preserve"> </v>
      </c>
      <c r="DE70" s="51" t="str">
        <f t="shared" ca="1" si="2"/>
        <v/>
      </c>
      <c r="DF70" s="52" t="str">
        <f t="shared" ca="1" si="3"/>
        <v xml:space="preserve"> </v>
      </c>
      <c r="DG70" s="51">
        <f ca="1">IF(F70&lt;OFFSET($BM$9,CN70-1,0,1,1),0,IF(F70&lt;OFFSET($BN$9,CN70-1,0,1,1),((F70-OFFSET($BM$9,CN70-1,0,1,1))*OFFSET($CH$9,CN70-1,0,1,1))+OFFSET($BO$9,CN70-1,CQ70,1,1),IF(F70&lt;OFFSET($BN$9,CN70+0,0,1,1),((F70-OFFSET($BM$9,CN70+0,0,1,1))*OFFSET($CH$9,CN70+0,0,1,1))+OFFSET($BO$9,CN70+0,CQ70,1,1),IF(F70&lt;OFFSET($BN$9,CN70+1,0,1,1),((F70-OFFSET($BM$9,CN70+1,0,1,1))*OFFSET($CH$9,CN70+1,0,1,1))+OFFSET($BO$9,CN70+1,CQ70,1,1),IF(F70&lt;OFFSET($BN$9,CN70+2,0,1,1),((F70-OFFSET($BM$9,CN70+2,0,1,1))*OFFSET($CH$9,CN70+2,0,1,1))+OFFSET($BO$9,CN70+2,CQ70,1,1),IF(F70&lt;OFFSET($BN$9,CN70+3,0,1,1),((F70-OFFSET($BM$9,CN70+3,0,1,1))*OFFSET($CH$9,CN70+3,0,1,1))+OFFSET($BO$9,CN70+3,CQ70,1,1),0))))))</f>
        <v>0</v>
      </c>
      <c r="DH70" s="51">
        <f ca="1">IF($F70&lt;OFFSET($BM$9,$CN70-1,0,1,1),0,IF($F70&lt;OFFSET($BN$9,$CN70-1,0,1,1),IF(AND($H70&gt;2.4,Z70&lt;&gt;"e",Z70&lt;&gt;"f"),DL70*2.4/$H70,DL70),IF($F70&lt;OFFSET($BN$9,$CN70+0,0,1,1),IF(AND($H70&gt;2.4,Z70&lt;&gt;"e",Z70&lt;&gt;"f"),DL70*2.4/$H70,DL70),IF($F70&lt;OFFSET($BN$9,$CN70+1,0,1,1),IF(AND($H70&gt;2.4,Z70&lt;&gt;"e",Z70&lt;&gt;"f"),DL70*2.4/$H70,DL70),IF($F70&lt;OFFSET($BN$9,$CN70+2,0,1,1),IF(AND($H70&gt;2.4,Z70&lt;&gt;"e",Z70&lt;&gt;"f"),DL70*2.4/$H70,DL70),IF($F70&lt;OFFSET($BN$9,$CN70+3,0,1,1),IF(AND($H70&gt;2.4,Z70&lt;&gt;"e",Z70&lt;&gt;"f"),DL70*2.4/$H70,DL70),0)))))*COS(RADIANS($G70)))</f>
        <v>0</v>
      </c>
      <c r="DI70" s="51">
        <f ca="1">IF(F70&lt;OFFSET($BM$9,CN70-1,0,1,1),0,IF(F70&lt;OFFSET($BN$9,CN70-1,0,1,1),((F70-OFFSET($BM$9,CN70-1,0,1,1))*OFFSET($CI$9,CN70-1,0,1,1))+OFFSET($BP$9,CN70-1,CQ70,1,1),IF(F70&lt;OFFSET($BN$9,CN70+0,0,1,1),((F70-OFFSET($BM$9,CN70+0,0,1,1))*OFFSET($CI$9,CN70+0,0,1,1))+OFFSET($BP$9,CN70+0,CQ70,1,1),IF(F70&lt;OFFSET($BN$9,CN70+1,0,1,1),((F70-OFFSET($BM$9,CN70+1,0,1,1))*OFFSET($CI$9,CN70+1,0,1,1))+OFFSET($BP$9,CN70+1,CQ70,1,1),IF(F70&lt;OFFSET($BN$9,CN70+2,0,1,1),((F70-OFFSET($BM$9,CN70+2,0,1,1))*OFFSET($CI$9,CN70+2,0,1,1))+OFFSET($BP$9,CN70+2,CQ70,1,1),IF(F70&lt;OFFSET($BN$9,CN70+3,0,1,1),((F70-OFFSET($BM$9,CN70+3,0,1,1))*OFFSET($CI$9,CN70+3,0,1,1))+OFFSET($BP$9,CN70+3,CQ70,1,1),0))))))</f>
        <v>0</v>
      </c>
      <c r="DJ70" s="51">
        <f ca="1">IF($F70&lt;OFFSET($BM$9,$CN70-1,0,1,1),0,IF($F70&lt;OFFSET($BN$9,$CN70-1,0,1,1),IF(AND($H70&gt;2.4,Z70&lt;&gt;"e",Z70&lt;&gt;"f"),DN70*2.4/$H70,DN70),IF($F70&lt;OFFSET($BN$9,$CN70+0,0,1,1),IF(AND($H70&gt;2.4,Z70&lt;&gt;"e",Z70&lt;&gt;"f"),DN70*2.4/$H70,DN70),IF($F70&lt;OFFSET($BN$9,$CN70+1,0,1,1),IF(AND($H70&gt;2.4,Z70&lt;&gt;"e",Z70&lt;&gt;"f"),DN70*2.4/$H70,DN70),IF($F70&lt;OFFSET($BN$9,$CN70+2,0,1,1),IF(AND($H70&gt;2.4,Z70&lt;&gt;"e",Z70&lt;&gt;"f"),DN70*2.4/$H70,DN70),IF($F70&lt;OFFSET($BN$9,$CN70+3,0,1,1),IF(AND($H70&gt;2.4,Z70&lt;&gt;"e",Z70&lt;&gt;"f"),DN70*2.4/$H70,DN70),0)))))*COS(RADIANS($G70)))</f>
        <v>0</v>
      </c>
      <c r="DK70" s="51"/>
      <c r="DL70" s="51">
        <f ca="1">IF(DG70&gt;$CR70,$CR70,DG70)</f>
        <v>0</v>
      </c>
      <c r="DM70" s="51"/>
      <c r="DN70" s="51">
        <f ca="1">IF(DI70&gt;$CR70,$CR70,DI70)</f>
        <v>0</v>
      </c>
      <c r="DO70" s="435">
        <f ca="1">IF(DH70&gt;$CR70,$CR70,DH70)</f>
        <v>0</v>
      </c>
      <c r="DP70" s="435">
        <f ca="1">DO70*F70</f>
        <v>0</v>
      </c>
      <c r="DQ70" s="436">
        <f ca="1">IF(DJ70&gt;$CR70,$CR70,DJ70)</f>
        <v>0</v>
      </c>
      <c r="DR70" s="437">
        <f ca="1">DQ70*F70</f>
        <v>0</v>
      </c>
      <c r="DS70" s="426">
        <f ca="1">OFFSET($CH$9,CL70-1,-15,1,1)</f>
        <v>0</v>
      </c>
      <c r="DT70" s="426">
        <f ca="1">VLOOKUP(DS70,Prodlink,2,0)</f>
        <v>0</v>
      </c>
      <c r="DU70" s="188">
        <f ca="1">IF(F70&lt;OFFSET($BM$9,DT70-1,0,1,1),0,IF(F70&lt;OFFSET($BN$9,DT70-1,0,1,1),((F70-OFFSET($BM$9,DT70-1,0,1,1))*OFFSET($CH$9,DT70-1,0,1,1))+OFFSET($BO$9,DT70-1,CQ70,1,1),IF(F70&lt;OFFSET($BN$9,DT70+0,0,1,1),((F70-OFFSET($BM$9,DT70+0,0,1,1))*OFFSET($CH$9,DT70+0,0,1,1))+OFFSET($BO$9,DT70+0,CQ70,1,1),IF(F70&lt;OFFSET($BN$9,DT70+1,0,1,1),((F70-OFFSET($BM$9,DT70+1,0,1,1))*OFFSET($CH$9,DT70+1,0,1,1))+OFFSET($BO$9,DT70+1,CQ70,1,1),IF(F70&lt;OFFSET($BN$9,DT70+2,0,1,1),((F70-OFFSET($BM$9,DT70+2,0,1,1))*OFFSET($CH$9,DT70+2,0,1,1))+OFFSET($BO$9,DT70+2,CQ70,1,1),IF(F70&lt;OFFSET($BN$9,DT70+3,0,1,1),((F70-OFFSET($BM$9,DT70+3,0,1,1))*OFFSET($CH$9,DT70+3,0,1,1))+OFFSET($BO$9,DT70+3,CQ70,1,1),0))))))</f>
        <v>0</v>
      </c>
      <c r="DV70" s="51">
        <f ca="1">IF($F70&lt;OFFSET($BM$9,$DT70-1,0,1,1),0,IF($F70&lt;OFFSET($BN$9,$DT70-1,0,1,1),IF(AND($H70&gt;2.4,Z70&lt;&gt;"e",Z70&lt;&gt;"f"),DZ70*2.4/$H70,DZ70),IF($F70&lt;OFFSET($BN$9,$DT70+0,0,1,1),IF(AND($H70&gt;2.4,Z70&lt;&gt;"e",Z70&lt;&gt;"f"),DZ70*2.4/$H70,DZ70),IF($F70&lt;OFFSET($BN$9,$DT70+1,0,1,1),IF(AND($H70&gt;2.4,Z70&lt;&gt;"e",Z70&lt;&gt;"f"),DZ70*2.4/$H70,DZ70),IF($F70&lt;OFFSET($BN$9,$DT70+2,0,1,1),IF(AND($H70&gt;2.4,Z70&lt;&gt;"e",Z70&lt;&gt;"f"),DZ70*2.4/$H70,DZ70),IF($F70&lt;OFFSET($BN$9,$DT70+3,0,1,1),IF(AND($H70&gt;2.4,Z70&lt;&gt;"e",Z70&lt;&gt;"f"),DZ70*2.4/$H70,DZ70),0)))))*COS(RADIANS($G70)))</f>
        <v>0</v>
      </c>
      <c r="DW70" s="188">
        <f ca="1">IF(F70&lt;OFFSET($BM$9,DT70-1,0,1,1),0,IF(F70&lt;OFFSET($BN$9,DT70-1,0,1,1),((F70-OFFSET($BM$9,DT70-1,0,1,1))*OFFSET($CI$9,DT70-1,0,1,1))+OFFSET($BP$9,DT70-1,CQ70,1,1),IF(F70&lt;OFFSET($BN$9,DT70+0,0,1,1),((F70-OFFSET($BM$9,DT70+0,0,1,1))*OFFSET($CI$9,DT70+0,0,1,1))+OFFSET($BP$9,DT70+0,CQ70,1,1),IF(F70&lt;OFFSET($BN$9,DT70+1,0,1,1),((F70-OFFSET($BM$9,DT70+1,0,1,1))*OFFSET($CI$9,DT70+1,0,1,1))+OFFSET($BP$9,DT70+1,CQ70,1,1),IF(F70&lt;OFFSET($BN$9,DT70+2,0,1,1),((F70-OFFSET($BM$9,DT70+2,0,1,1))*OFFSET($CI$9,DT70+2,0,1,1))+OFFSET($BP$9,DT70+2,CQ70,1,1),IF(F70&lt;OFFSET($BN$9,DT70+3,0,1,1),((F70-OFFSET($BM$9,DT70+3,0,1,1))*OFFSET($CI$9,DT70+3,0,1,1))+OFFSET($BP$9,DT70+3,CQ70,1,1),0))))))</f>
        <v>0</v>
      </c>
      <c r="DX70" s="51">
        <f ca="1">IF($F70&lt;OFFSET($BM$9,$DT70-1,0,1,1),0,IF($F70&lt;OFFSET($BN$9,$DT70-1,0,1,1),IF(AND($H70&gt;2.4,Z70&lt;&gt;"e",Z70&lt;&gt;"f"),EB70*2.4/$H70,EB70),IF($F70&lt;OFFSET($BN$9,$DT70+0,0,1,1),IF(AND($H70&gt;2.4,Z70&lt;&gt;"e",Z70&lt;&gt;"f"),EB70*2.4/$H70,EB70),IF($F70&lt;OFFSET($BN$9,$DT70+1,0,1,1),IF(AND($H70&gt;2.4,Z70&lt;&gt;"e",Z70&lt;&gt;"f"),EB70*2.4/$H70,EB70),IF($F70&lt;OFFSET($BN$9,$DT70+2,0,1,1),IF(AND($H70&gt;2.4,Z70&lt;&gt;"e",Z70&lt;&gt;"f"),EB70*2.4/$H70,EB70),IF($F70&lt;OFFSET($BN$9,$DT70+3,0,1,1),IF(AND($H70&gt;2.4,Z70&lt;&gt;"e",Z70&lt;&gt;"f"),EB70*2.4/$H70,EB70),0)))))*COS(RADIANS($G70)))</f>
        <v>0</v>
      </c>
      <c r="DY70" s="188"/>
      <c r="DZ70" s="188">
        <f ca="1">IF(DU70&gt;$CR70,$CR70,DU70)</f>
        <v>0</v>
      </c>
      <c r="EA70" s="188"/>
      <c r="EB70" s="188">
        <f ca="1">IF(DW70&gt;$CR70,$CR70,DW70)</f>
        <v>0</v>
      </c>
      <c r="EC70" s="435">
        <f ca="1">IF(DV70&gt;$CR70,$CR70,DV70)</f>
        <v>0</v>
      </c>
      <c r="ED70" s="435">
        <f ca="1">EC70*F70</f>
        <v>0</v>
      </c>
      <c r="EE70" s="436">
        <f ca="1">IF(DX70&gt;$CR70,$CR70,DX70)</f>
        <v>0</v>
      </c>
      <c r="EF70" s="437">
        <f ca="1">EE70*F70</f>
        <v>0</v>
      </c>
      <c r="EG70" s="613" t="str">
        <f>IF(D70=BG$12,BG$12,"")</f>
        <v/>
      </c>
      <c r="EH70" s="614" t="str">
        <f>IF(D70=BG$13,BG$13,"")</f>
        <v/>
      </c>
      <c r="EI70" s="611">
        <f>IF(EG70=BG$12,M70,0)</f>
        <v>0</v>
      </c>
      <c r="EJ70" s="451">
        <f>IF(EG70=BG$12,O70,0)</f>
        <v>0</v>
      </c>
      <c r="EK70" s="451">
        <f>IF(EH70=BG$13,M70,0)</f>
        <v>0</v>
      </c>
      <c r="EL70" s="612">
        <f>IF(EH70=BG$13,O70,0)</f>
        <v>0</v>
      </c>
      <c r="EM70" s="426" t="str">
        <f ca="1">IF(AND(Z70&lt;&gt;"t",Z70&lt;&gt;"f"),"",IF(AND(EN70=$BH$13,K70=$BH$12),"NotOpt",IF(K70&lt;&gt;EN70,"Error","")))</f>
        <v/>
      </c>
      <c r="EN70" s="490" t="str">
        <f>IF($BG$28=1,$BH$13,$BH$12)</f>
        <v>120 BU's</v>
      </c>
      <c r="EO70" s="426" t="str">
        <f>K70</f>
        <v xml:space="preserve"> </v>
      </c>
      <c r="ER70" s="439" t="str">
        <f ca="1">IF(H70=0," ",H70)</f>
        <v xml:space="preserve"> </v>
      </c>
      <c r="ES70" s="440" t="str">
        <f ca="1">IF(ER70&lt;&gt;" ",IF(ER70&lt;&gt;ER$7,"Changed",""),"")</f>
        <v/>
      </c>
      <c r="ET70" s="440">
        <f ca="1">IF(ER70&lt;&gt;" ",IF(ER70&lt;&gt;ER$7,1,0),0)</f>
        <v>0</v>
      </c>
      <c r="EU70" s="957" t="str">
        <f ca="1">IF(I70=" "," ",IF(F70&lt;OFFSET($BM$9,CL70-1,0,1,1),1,""))</f>
        <v xml:space="preserve"> </v>
      </c>
      <c r="EW70" s="427"/>
      <c r="EX70"/>
      <c r="EY70"/>
      <c r="EZ70"/>
      <c r="FA70"/>
      <c r="FB70"/>
      <c r="FC70"/>
      <c r="FD70"/>
      <c r="FE70"/>
      <c r="FF70"/>
      <c r="FG70"/>
      <c r="FH70"/>
      <c r="FI70"/>
      <c r="FJ70"/>
      <c r="FK70"/>
      <c r="FL70"/>
      <c r="FM70"/>
      <c r="FN70"/>
      <c r="FO70"/>
    </row>
    <row r="71" spans="1:171" ht="17.100000000000001" hidden="1" customHeight="1">
      <c r="A71" s="2685"/>
      <c r="B71" s="689" t="s">
        <v>246</v>
      </c>
      <c r="C71" s="684" t="str">
        <f>IF(OR(F71=0,I71="",I71=" ")," ",$V71)</f>
        <v xml:space="preserve"> </v>
      </c>
      <c r="D71" s="1033"/>
      <c r="E71" s="1360" t="s">
        <v>8</v>
      </c>
      <c r="F71" s="202"/>
      <c r="G71" s="1416"/>
      <c r="H71" s="199" t="str">
        <f ca="1">IF(OR(F71=0,Z71="E",Z71="f")," ",'Project Demand'!E$45)</f>
        <v xml:space="preserve"> </v>
      </c>
      <c r="I71" s="631" t="str">
        <f>IF($I$6&lt;&gt;$BG$8," ",AB71)</f>
        <v xml:space="preserve"> </v>
      </c>
      <c r="J71" s="44" t="str">
        <f ca="1">IF(OR(I71=" ",I71="")," ",OFFSET($BO$9,CL71-1,0-4,1,1))</f>
        <v xml:space="preserve"> </v>
      </c>
      <c r="K71" s="55" t="str">
        <f>IF(OR(I71=" ",I71="")," ",IF(OR(Z71="e",Z71="h"),"SD",BG$24))</f>
        <v xml:space="preserve"> </v>
      </c>
      <c r="L71" s="49">
        <f ca="1">CW71</f>
        <v>0</v>
      </c>
      <c r="M71" s="49">
        <f ca="1">CY71</f>
        <v>0</v>
      </c>
      <c r="N71" s="50">
        <f t="shared" ca="1" si="33"/>
        <v>0</v>
      </c>
      <c r="O71" s="126">
        <f t="shared" ca="1" si="33"/>
        <v>0</v>
      </c>
      <c r="P71" s="140"/>
      <c r="Q71" s="752" t="str">
        <f ca="1">IF(OR(I71=" ",I71="")," ",IF(F71&lt;OFFSET($BM$9,CL71-1,0,1,1),"check L(m)",IF(DE71&lt;&gt;"",DE71,IF(AND(DP71&gt;=CY71,DR71&gt;=DB71),IF(AND(ED71&gt;=DP71,EF71&gt;=DR71),CONCATENATE(DS71," provides same results"),CONCATENATE(CO71," provides same results")),IF((DP71&gt;=CY71),CONCATENATE(CO71," provides same result in WIND"),IF((DR71&gt;=DB71),CONCATENATE(CO71," provides same result in EQ",""),""))))))</f>
        <v xml:space="preserve"> </v>
      </c>
      <c r="R71" s="52"/>
      <c r="S71" s="1372"/>
      <c r="T71" s="1372"/>
      <c r="U71" s="1377"/>
      <c r="V71" s="52" t="str">
        <f ca="1">IF(AND(B$5=$BF$9,OR(I71=BH$16,I71=BH$17))," ",IF(ISNUMBER(B$68),(CONCATENATE(B$68,".",W71)),(CONCATENATE(B$68,W71))))</f>
        <v>K0</v>
      </c>
      <c r="W71" s="9">
        <f ca="1">W70+X71</f>
        <v>0</v>
      </c>
      <c r="X71" s="9">
        <f>IF(AND(B$5=$BF$9,OR($I71=$BH$16,$I71=$BH$17,$I71=" ",$I71="",$F71=0)),0,IF(OR($I71=" ",$I71="",$F71=0),0,1))</f>
        <v>0</v>
      </c>
      <c r="Y71" s="896"/>
      <c r="Z71" s="52" t="str">
        <f ca="1">IF(I71=" "," ",OFFSET($BM$9,$CL71-1,8,1,1))</f>
        <v xml:space="preserve"> </v>
      </c>
      <c r="AA71" s="51" t="str">
        <f>IF(G71&gt;=45,"WA","")</f>
        <v/>
      </c>
      <c r="AB71" s="1364" t="str">
        <f>IF(F71&lt;&gt;"",IF(OR(D71=$BG$12,D71=$BG$13),IF(E71&lt;&gt;$BG$17,$BF$12,$BF$13),IF(E71&lt;&gt;$BG$17,$BF$12,$BF$13))," ")</f>
        <v xml:space="preserve"> </v>
      </c>
      <c r="AC71" s="1"/>
      <c r="BD71" s="652"/>
      <c r="BI71" s="759"/>
      <c r="BJ71" s="897">
        <f t="shared" si="27"/>
        <v>63</v>
      </c>
      <c r="BK71" s="764"/>
      <c r="BL71" s="766"/>
      <c r="BM71" s="455">
        <f>Table!P13</f>
        <v>1</v>
      </c>
      <c r="BN71" s="455">
        <f>BM72</f>
        <v>1.2</v>
      </c>
      <c r="BO71" s="455">
        <f>Table!Q13</f>
        <v>140</v>
      </c>
      <c r="BP71" s="925">
        <f>Table!R13</f>
        <v>130</v>
      </c>
      <c r="BR71" s="764"/>
      <c r="BS71" s="455"/>
      <c r="BT71" s="455"/>
      <c r="BU71" s="925" t="s">
        <v>242</v>
      </c>
      <c r="BV71" s="895"/>
      <c r="BW71" s="912"/>
      <c r="BX71" s="925" t="str">
        <f>Table!T11</f>
        <v>Double</v>
      </c>
      <c r="CH71" s="764">
        <f>IF(BN71=999,0,(BO72-BO71)/(BN71-BM71))</f>
        <v>50.000000000000014</v>
      </c>
      <c r="CI71" s="925">
        <f>IF(BN71=999,0,(BP72-BP71)/(BN71-BM71))</f>
        <v>25.000000000000007</v>
      </c>
      <c r="CJ71" s="759"/>
      <c r="CK71" s="188"/>
      <c r="CL71" s="979">
        <f>VLOOKUP(I71,Prodlink,2,0)</f>
        <v>0</v>
      </c>
      <c r="CN71" s="497">
        <f ca="1">VLOOKUP(CO71,Prodlink,2,0)</f>
        <v>0</v>
      </c>
      <c r="CO71" s="497">
        <f ca="1">OFFSET($CH$9,CL71-1,-15,1,1)</f>
        <v>0</v>
      </c>
      <c r="CQ71" s="51">
        <v>0</v>
      </c>
      <c r="CR71" s="51">
        <f>IF(K71=$BH$12,$BH$23,IF(K71=$BH$13,$BH$24,10000))</f>
        <v>10000</v>
      </c>
      <c r="CS71" s="51">
        <f ca="1">IF(F71&lt;OFFSET($BM$9,CL71-1,0,1,1),0,IF(F71&lt;OFFSET($BN$9,CL71-1,0,1,1),((F71-OFFSET($BM$9,CL71-1,0,1,1))*OFFSET($CH$9,CL71-1,0,1,1))+OFFSET($BO$9,CL71-1,CQ71,1,1),IF(F71&lt;OFFSET($BN$9,CL71+0,0,1,1),((F71-OFFSET($BM$9,CL71+0,0,1,1))*OFFSET($CH$9,CL71+0,0,1,1))+OFFSET($BO$9,CL71+0,CQ71,1,1),IF(F71&lt;OFFSET($BN$9,CL71+1,0,1,1),((F71-OFFSET($BM$9,CL71+1,0,1,1))*OFFSET($CH$9,CL71+1,0,1,1))+OFFSET($BO$9,CL71+1,CQ71,1,1),IF(F71&lt;OFFSET($BN$9,CL71+2,0,1,1),((F71-OFFSET($BM$9,CL71+2,0,1,1))*OFFSET($CH$9,CL71+2,0,1,1))+OFFSET($BO$9,CL71+2,CQ71,1,1),IF(F71&lt;OFFSET($BN$9,CL71+3,0,1,1),((F71-OFFSET($BM$9,CL71+3,0,1,1))*OFFSET($CH$9,CL71+3,0,1,1))+OFFSET($BO$9,CL71+3,CQ71,1,1),0))))))</f>
        <v>0</v>
      </c>
      <c r="CT71" s="51">
        <f ca="1">IF($F71&lt;OFFSET($BM$9,$CL71-1,0,1,1),0,IF($F71&lt;OFFSET($BN$9,$CL71-1,0,1,1),IF(AND($H71&gt;2.4,Z71&lt;&gt;"e",Z71&lt;&gt;"f"),CX71*2.4/$H71,CX71),IF($F71&lt;OFFSET($BN$9,$CL71+0,0,1,1),IF(AND($H71&gt;2.4,Z71&lt;&gt;"e",Z71&lt;&gt;"f"),CX71*2.4/$H71,CX71),IF($F71&lt;OFFSET($BN$9,$CL71+1,0,1,1),IF(AND($H71&gt;2.4,Z71&lt;&gt;"e",Z71&lt;&gt;"f"),CX71*2.4/$H71,CX71),IF($F71&lt;OFFSET($BN$9,CL71+2,0,1,1),IF(AND($H71&gt;2.4,Z71&lt;&gt;"e",Z71&lt;&gt;"f"),CX71*2.4/$H71,CX71),IF($F71&lt;OFFSET($BN$9,CL71+3,0,1,1),IF(AND($H71&gt;2.4,Z71&lt;&gt;"e",Z71&lt;&gt;"f"),CX71*2.4/$H71,CX71),0)))))*COS(RADIANS($G71)))</f>
        <v>0</v>
      </c>
      <c r="CU71" s="51">
        <f ca="1">IF(F71&lt;OFFSET($BM$9,CL71-1,0,1,1),0,IF(F71&lt;OFFSET($BN$9,CL71-1,0,1,1),((F71-OFFSET($BM$9,CL71-1,0,1,1))*OFFSET($CI$9,CL71-1,0,1,1))+OFFSET($BP$9,CL71-1,CQ71,1,1),IF(F71&lt;OFFSET($BN$9,CL71+0,0,1,1),((F71-OFFSET($BM$9,CL71+0,0,1,1))*OFFSET($CI$9,CL71+0,0,1,1))+OFFSET($BP$9,CL71+0,CQ71,1,1),IF(F71&lt;OFFSET($BN$9,CL71+1,0,1,1),((F71-OFFSET($BM$9,CL71+1,0,1,1))*OFFSET($CI$9,CL71+1,0,1,1))+OFFSET($BP$9,CL71+1,CQ71,1,1),IF(F71&lt;OFFSET($BN$9,CL71+2,0,1,1),((F71-OFFSET($BM$9,CL71+2,0,1,1))*OFFSET($CI$9,CL71+2,0,1,1))+OFFSET($BP$9,CL71+2,CQ71,1,1),IF(F71&lt;OFFSET($BN$9,CL71+3,0,1,1),((F71-OFFSET($BM$9,CL71+3,0,1,1))*OFFSET($CI$9,CL71+3,0,1,1))+OFFSET($BP$9,CL71+3,CQ71,1,1),0))))))</f>
        <v>0</v>
      </c>
      <c r="CV71" s="51">
        <f ca="1">IF($F71&lt;OFFSET($BM$9,$CL71-1,0,1,1),0,IF($F71&lt;OFFSET($BN$9,$CL71-1,0,1,1),IF(AND($H71&gt;2.4,Z71&lt;&gt;"e",Z71&lt;&gt;"f"),CZ71*2.4/$H71,CZ71),IF($F71&lt;OFFSET($BN$9,$CL71+0,0,1,1),IF(AND($H71&gt;2.4,Z71&lt;&gt;"e",Z71&lt;&gt;"f"),CZ71*2.4/$H71,CZ71),IF($F71&lt;OFFSET($BN$9,$CL71+1,0,1,1),IF(AND($H71&gt;2.4,Z71&lt;&gt;"e",Z71&lt;&gt;"f"),CZ71*2.4/$H71,CZ71),IF($F71&lt;OFFSET($BN$9,$CL71+2,0,1,1),IF(AND($H71&gt;2.4,Z71&lt;&gt;"e",Z71&lt;&gt;"f"),CZ71*2.4/$H71,CZ71),IF($F71&lt;OFFSET($BN$9,$CL71+3,0,1,1),IF(AND($H71&gt;2.4,Z71&lt;&gt;"e",Z71&lt;&gt;"f"),CZ71*2.4/$H71,CZ71),0)))))*COS(RADIANS($G71)))</f>
        <v>0</v>
      </c>
      <c r="CW71" s="51">
        <f ca="1">IF(CT71&gt;CR71,CR71,CT71)</f>
        <v>0</v>
      </c>
      <c r="CX71" s="51">
        <f ca="1">IF(CS71&gt;$CR71,$CR71,CS71)</f>
        <v>0</v>
      </c>
      <c r="CY71" s="51">
        <f ca="1">CW71*F71</f>
        <v>0</v>
      </c>
      <c r="CZ71" s="51">
        <f ca="1">IF($CU71&gt;$CR71,$CR71,$CU71)</f>
        <v>0</v>
      </c>
      <c r="DA71" s="51">
        <f ca="1">IF(CV71&gt;CR71,CR71,CV71)</f>
        <v>0</v>
      </c>
      <c r="DB71" s="51">
        <f ca="1">DA71*F71</f>
        <v>0</v>
      </c>
      <c r="DC71" s="993">
        <v>1</v>
      </c>
      <c r="DD71" s="758" t="str">
        <f>IF(OR(D71=BG$12,D71=BG$13),"External",IF(D71=BG$14,"Internal"," "))</f>
        <v xml:space="preserve"> </v>
      </c>
      <c r="DE71" s="51" t="str">
        <f t="shared" ca="1" si="2"/>
        <v/>
      </c>
      <c r="DF71" s="52" t="str">
        <f t="shared" ca="1" si="3"/>
        <v xml:space="preserve"> </v>
      </c>
      <c r="DG71" s="51">
        <f ca="1">IF(F71&lt;OFFSET($BM$9,CN71-1,0,1,1),0,IF(F71&lt;OFFSET($BN$9,CN71-1,0,1,1),((F71-OFFSET($BM$9,CN71-1,0,1,1))*OFFSET($CH$9,CN71-1,0,1,1))+OFFSET($BO$9,CN71-1,CQ71,1,1),IF(F71&lt;OFFSET($BN$9,CN71+0,0,1,1),((F71-OFFSET($BM$9,CN71+0,0,1,1))*OFFSET($CH$9,CN71+0,0,1,1))+OFFSET($BO$9,CN71+0,CQ71,1,1),IF(F71&lt;OFFSET($BN$9,CN71+1,0,1,1),((F71-OFFSET($BM$9,CN71+1,0,1,1))*OFFSET($CH$9,CN71+1,0,1,1))+OFFSET($BO$9,CN71+1,CQ71,1,1),IF(F71&lt;OFFSET($BN$9,CN71+2,0,1,1),((F71-OFFSET($BM$9,CN71+2,0,1,1))*OFFSET($CH$9,CN71+2,0,1,1))+OFFSET($BO$9,CN71+2,CQ71,1,1),IF(F71&lt;OFFSET($BN$9,CN71+3,0,1,1),((F71-OFFSET($BM$9,CN71+3,0,1,1))*OFFSET($CH$9,CN71+3,0,1,1))+OFFSET($BO$9,CN71+3,CQ71,1,1),0))))))</f>
        <v>0</v>
      </c>
      <c r="DH71" s="51">
        <f ca="1">IF($F71&lt;OFFSET($BM$9,$CN71-1,0,1,1),0,IF($F71&lt;OFFSET($BN$9,$CN71-1,0,1,1),IF(AND($H71&gt;2.4,Z71&lt;&gt;"e",Z71&lt;&gt;"f"),DL71*2.4/$H71,DL71),IF($F71&lt;OFFSET($BN$9,$CN71+0,0,1,1),IF(AND($H71&gt;2.4,Z71&lt;&gt;"e",Z71&lt;&gt;"f"),DL71*2.4/$H71,DL71),IF($F71&lt;OFFSET($BN$9,$CN71+1,0,1,1),IF(AND($H71&gt;2.4,Z71&lt;&gt;"e",Z71&lt;&gt;"f"),DL71*2.4/$H71,DL71),IF($F71&lt;OFFSET($BN$9,$CN71+2,0,1,1),IF(AND($H71&gt;2.4,Z71&lt;&gt;"e",Z71&lt;&gt;"f"),DL71*2.4/$H71,DL71),IF($F71&lt;OFFSET($BN$9,$CN71+3,0,1,1),IF(AND($H71&gt;2.4,Z71&lt;&gt;"e",Z71&lt;&gt;"f"),DL71*2.4/$H71,DL71),0)))))*COS(RADIANS($G71)))</f>
        <v>0</v>
      </c>
      <c r="DI71" s="51">
        <f ca="1">IF(F71&lt;OFFSET($BM$9,CN71-1,0,1,1),0,IF(F71&lt;OFFSET($BN$9,CN71-1,0,1,1),((F71-OFFSET($BM$9,CN71-1,0,1,1))*OFFSET($CI$9,CN71-1,0,1,1))+OFFSET($BP$9,CN71-1,CQ71,1,1),IF(F71&lt;OFFSET($BN$9,CN71+0,0,1,1),((F71-OFFSET($BM$9,CN71+0,0,1,1))*OFFSET($CI$9,CN71+0,0,1,1))+OFFSET($BP$9,CN71+0,CQ71,1,1),IF(F71&lt;OFFSET($BN$9,CN71+1,0,1,1),((F71-OFFSET($BM$9,CN71+1,0,1,1))*OFFSET($CI$9,CN71+1,0,1,1))+OFFSET($BP$9,CN71+1,CQ71,1,1),IF(F71&lt;OFFSET($BN$9,CN71+2,0,1,1),((F71-OFFSET($BM$9,CN71+2,0,1,1))*OFFSET($CI$9,CN71+2,0,1,1))+OFFSET($BP$9,CN71+2,CQ71,1,1),IF(F71&lt;OFFSET($BN$9,CN71+3,0,1,1),((F71-OFFSET($BM$9,CN71+3,0,1,1))*OFFSET($CI$9,CN71+3,0,1,1))+OFFSET($BP$9,CN71+3,CQ71,1,1),0))))))</f>
        <v>0</v>
      </c>
      <c r="DJ71" s="51">
        <f ca="1">IF($F71&lt;OFFSET($BM$9,$CN71-1,0,1,1),0,IF($F71&lt;OFFSET($BN$9,$CN71-1,0,1,1),IF(AND($H71&gt;2.4,Z71&lt;&gt;"e",Z71&lt;&gt;"f"),DN71*2.4/$H71,DN71),IF($F71&lt;OFFSET($BN$9,$CN71+0,0,1,1),IF(AND($H71&gt;2.4,Z71&lt;&gt;"e",Z71&lt;&gt;"f"),DN71*2.4/$H71,DN71),IF($F71&lt;OFFSET($BN$9,$CN71+1,0,1,1),IF(AND($H71&gt;2.4,Z71&lt;&gt;"e",Z71&lt;&gt;"f"),DN71*2.4/$H71,DN71),IF($F71&lt;OFFSET($BN$9,$CN71+2,0,1,1),IF(AND($H71&gt;2.4,Z71&lt;&gt;"e",Z71&lt;&gt;"f"),DN71*2.4/$H71,DN71),IF($F71&lt;OFFSET($BN$9,$CN71+3,0,1,1),IF(AND($H71&gt;2.4,Z71&lt;&gt;"e",Z71&lt;&gt;"f"),DN71*2.4/$H71,DN71),0)))))*COS(RADIANS($G71)))</f>
        <v>0</v>
      </c>
      <c r="DK71" s="51"/>
      <c r="DL71" s="51">
        <f ca="1">IF(DG71&gt;$CR71,$CR71,DG71)</f>
        <v>0</v>
      </c>
      <c r="DM71" s="51"/>
      <c r="DN71" s="51">
        <f ca="1">IF(DI71&gt;$CR71,$CR71,DI71)</f>
        <v>0</v>
      </c>
      <c r="DO71" s="435">
        <f ca="1">IF(DH71&gt;$CR71,$CR71,DH71)</f>
        <v>0</v>
      </c>
      <c r="DP71" s="435">
        <f ca="1">DO71*F71</f>
        <v>0</v>
      </c>
      <c r="DQ71" s="436">
        <f ca="1">IF(DJ71&gt;$CR71,$CR71,DJ71)</f>
        <v>0</v>
      </c>
      <c r="DR71" s="437">
        <f ca="1">DQ71*F71</f>
        <v>0</v>
      </c>
      <c r="DS71" s="426">
        <f ca="1">OFFSET($CH$9,CL71-1,-15,1,1)</f>
        <v>0</v>
      </c>
      <c r="DT71" s="426">
        <f ca="1">VLOOKUP(DS71,Prodlink,2,0)</f>
        <v>0</v>
      </c>
      <c r="DU71" s="188">
        <f ca="1">IF(F71&lt;OFFSET($BM$9,DT71-1,0,1,1),0,IF(F71&lt;OFFSET($BN$9,DT71-1,0,1,1),((F71-OFFSET($BM$9,DT71-1,0,1,1))*OFFSET($CH$9,DT71-1,0,1,1))+OFFSET($BO$9,DT71-1,CQ71,1,1),IF(F71&lt;OFFSET($BN$9,DT71+0,0,1,1),((F71-OFFSET($BM$9,DT71+0,0,1,1))*OFFSET($CH$9,DT71+0,0,1,1))+OFFSET($BO$9,DT71+0,CQ71,1,1),IF(F71&lt;OFFSET($BN$9,DT71+1,0,1,1),((F71-OFFSET($BM$9,DT71+1,0,1,1))*OFFSET($CH$9,DT71+1,0,1,1))+OFFSET($BO$9,DT71+1,CQ71,1,1),IF(F71&lt;OFFSET($BN$9,DT71+2,0,1,1),((F71-OFFSET($BM$9,DT71+2,0,1,1))*OFFSET($CH$9,DT71+2,0,1,1))+OFFSET($BO$9,DT71+2,CQ71,1,1),IF(F71&lt;OFFSET($BN$9,DT71+3,0,1,1),((F71-OFFSET($BM$9,DT71+3,0,1,1))*OFFSET($CH$9,DT71+3,0,1,1))+OFFSET($BO$9,DT71+3,CQ71,1,1),0))))))</f>
        <v>0</v>
      </c>
      <c r="DV71" s="51">
        <f ca="1">IF($F71&lt;OFFSET($BM$9,$DT71-1,0,1,1),0,IF($F71&lt;OFFSET($BN$9,$DT71-1,0,1,1),IF(AND($H71&gt;2.4,Z71&lt;&gt;"e",Z71&lt;&gt;"f"),DZ71*2.4/$H71,DZ71),IF($F71&lt;OFFSET($BN$9,$DT71+0,0,1,1),IF(AND($H71&gt;2.4,Z71&lt;&gt;"e",Z71&lt;&gt;"f"),DZ71*2.4/$H71,DZ71),IF($F71&lt;OFFSET($BN$9,$DT71+1,0,1,1),IF(AND($H71&gt;2.4,Z71&lt;&gt;"e",Z71&lt;&gt;"f"),DZ71*2.4/$H71,DZ71),IF($F71&lt;OFFSET($BN$9,$DT71+2,0,1,1),IF(AND($H71&gt;2.4,Z71&lt;&gt;"e",Z71&lt;&gt;"f"),DZ71*2.4/$H71,DZ71),IF($F71&lt;OFFSET($BN$9,$DT71+3,0,1,1),IF(AND($H71&gt;2.4,Z71&lt;&gt;"e",Z71&lt;&gt;"f"),DZ71*2.4/$H71,DZ71),0)))))*COS(RADIANS($G71)))</f>
        <v>0</v>
      </c>
      <c r="DW71" s="188">
        <f ca="1">IF(F71&lt;OFFSET($BM$9,DT71-1,0,1,1),0,IF(F71&lt;OFFSET($BN$9,DT71-1,0,1,1),((F71-OFFSET($BM$9,DT71-1,0,1,1))*OFFSET($CI$9,DT71-1,0,1,1))+OFFSET($BP$9,DT71-1,CQ71,1,1),IF(F71&lt;OFFSET($BN$9,DT71+0,0,1,1),((F71-OFFSET($BM$9,DT71+0,0,1,1))*OFFSET($CI$9,DT71+0,0,1,1))+OFFSET($BP$9,DT71+0,CQ71,1,1),IF(F71&lt;OFFSET($BN$9,DT71+1,0,1,1),((F71-OFFSET($BM$9,DT71+1,0,1,1))*OFFSET($CI$9,DT71+1,0,1,1))+OFFSET($BP$9,DT71+1,CQ71,1,1),IF(F71&lt;OFFSET($BN$9,DT71+2,0,1,1),((F71-OFFSET($BM$9,DT71+2,0,1,1))*OFFSET($CI$9,DT71+2,0,1,1))+OFFSET($BP$9,DT71+2,CQ71,1,1),IF(F71&lt;OFFSET($BN$9,DT71+3,0,1,1),((F71-OFFSET($BM$9,DT71+3,0,1,1))*OFFSET($CI$9,DT71+3,0,1,1))+OFFSET($BP$9,DT71+3,CQ71,1,1),0))))))</f>
        <v>0</v>
      </c>
      <c r="DX71" s="51">
        <f ca="1">IF($F71&lt;OFFSET($BM$9,$DT71-1,0,1,1),0,IF($F71&lt;OFFSET($BN$9,$DT71-1,0,1,1),IF(AND($H71&gt;2.4,Z71&lt;&gt;"e",Z71&lt;&gt;"f"),EB71*2.4/$H71,EB71),IF($F71&lt;OFFSET($BN$9,$DT71+0,0,1,1),IF(AND($H71&gt;2.4,Z71&lt;&gt;"e",Z71&lt;&gt;"f"),EB71*2.4/$H71,EB71),IF($F71&lt;OFFSET($BN$9,$DT71+1,0,1,1),IF(AND($H71&gt;2.4,Z71&lt;&gt;"e",Z71&lt;&gt;"f"),EB71*2.4/$H71,EB71),IF($F71&lt;OFFSET($BN$9,$DT71+2,0,1,1),IF(AND($H71&gt;2.4,Z71&lt;&gt;"e",Z71&lt;&gt;"f"),EB71*2.4/$H71,EB71),IF($F71&lt;OFFSET($BN$9,$DT71+3,0,1,1),IF(AND($H71&gt;2.4,Z71&lt;&gt;"e",Z71&lt;&gt;"f"),EB71*2.4/$H71,EB71),0)))))*COS(RADIANS($G71)))</f>
        <v>0</v>
      </c>
      <c r="DY71" s="188"/>
      <c r="DZ71" s="188">
        <f ca="1">IF(DU71&gt;$CR71,$CR71,DU71)</f>
        <v>0</v>
      </c>
      <c r="EA71" s="188"/>
      <c r="EB71" s="188">
        <f ca="1">IF(DW71&gt;$CR71,$CR71,DW71)</f>
        <v>0</v>
      </c>
      <c r="EC71" s="435">
        <f ca="1">IF(DV71&gt;$CR71,$CR71,DV71)</f>
        <v>0</v>
      </c>
      <c r="ED71" s="435">
        <f ca="1">EC71*F71</f>
        <v>0</v>
      </c>
      <c r="EE71" s="436">
        <f ca="1">IF(DX71&gt;$CR71,$CR71,DX71)</f>
        <v>0</v>
      </c>
      <c r="EF71" s="437">
        <f ca="1">EE71*F71</f>
        <v>0</v>
      </c>
      <c r="EG71" s="613" t="str">
        <f>IF(D71=BG$12,BG$12,"")</f>
        <v/>
      </c>
      <c r="EH71" s="614" t="str">
        <f>IF(D71=BG$13,BG$13,"")</f>
        <v/>
      </c>
      <c r="EI71" s="611">
        <f>IF(EG71=BG$12,M71,0)</f>
        <v>0</v>
      </c>
      <c r="EJ71" s="451">
        <f>IF(EG71=BG$12,O71,0)</f>
        <v>0</v>
      </c>
      <c r="EK71" s="451">
        <f>IF(EH71=BG$13,M71,0)</f>
        <v>0</v>
      </c>
      <c r="EL71" s="612">
        <f>IF(EH71=BG$13,O71,0)</f>
        <v>0</v>
      </c>
      <c r="EM71" s="426" t="str">
        <f ca="1">IF(AND(Z71&lt;&gt;"t",Z71&lt;&gt;"f"),"",IF(AND(EN71=$BH$13,K71=$BH$12),"NotOpt",IF(K71&lt;&gt;EN71,"Error","")))</f>
        <v/>
      </c>
      <c r="EN71" s="490" t="str">
        <f>IF($BG$28=1,$BH$13,$BH$12)</f>
        <v>120 BU's</v>
      </c>
      <c r="EO71" s="426" t="str">
        <f>K71</f>
        <v xml:space="preserve"> </v>
      </c>
      <c r="ER71" s="439" t="str">
        <f ca="1">IF(H71=0," ",H71)</f>
        <v xml:space="preserve"> </v>
      </c>
      <c r="ES71" s="440" t="str">
        <f ca="1">IF(ER71&lt;&gt;" ",IF(ER71&lt;&gt;ER$7,"Changed",""),"")</f>
        <v/>
      </c>
      <c r="ET71" s="440">
        <f ca="1">IF(ER71&lt;&gt;" ",IF(ER71&lt;&gt;ER$7,1,0),0)</f>
        <v>0</v>
      </c>
      <c r="EU71" s="957" t="str">
        <f ca="1">IF(I71=" "," ",IF(F71&lt;OFFSET($BM$9,CL71-1,0,1,1),1,""))</f>
        <v xml:space="preserve"> </v>
      </c>
      <c r="EW71" s="427"/>
      <c r="EX71"/>
      <c r="EY71"/>
      <c r="EZ71"/>
      <c r="FA71"/>
      <c r="FB71"/>
      <c r="FC71"/>
      <c r="FD71"/>
      <c r="FE71"/>
      <c r="FF71"/>
      <c r="FG71"/>
      <c r="FH71"/>
      <c r="FI71"/>
      <c r="FJ71"/>
      <c r="FK71"/>
      <c r="FL71"/>
      <c r="FM71"/>
      <c r="FN71"/>
      <c r="FO71"/>
    </row>
    <row r="72" spans="1:171" ht="17.100000000000001" hidden="1" customHeight="1" thickBot="1">
      <c r="A72" s="2685"/>
      <c r="B72" s="689" t="s">
        <v>246</v>
      </c>
      <c r="C72" s="684" t="str">
        <f>IF(OR(F72=0,I72="",I72=" ")," ",$V72)</f>
        <v xml:space="preserve"> </v>
      </c>
      <c r="D72" s="1033"/>
      <c r="E72" s="1360" t="s">
        <v>8</v>
      </c>
      <c r="F72" s="202"/>
      <c r="G72" s="1416"/>
      <c r="H72" s="199" t="str">
        <f ca="1">IF(OR(F72=0,Z72="E",Z72="f")," ",'Project Demand'!E$45)</f>
        <v xml:space="preserve"> </v>
      </c>
      <c r="I72" s="631" t="str">
        <f>IF($I$6&lt;&gt;$BG$8," ",AB72)</f>
        <v xml:space="preserve"> </v>
      </c>
      <c r="J72" s="44" t="str">
        <f ca="1">IF(OR(I72=" ",I72="")," ",OFFSET($BO$9,CL72-1,0-4,1,1))</f>
        <v xml:space="preserve"> </v>
      </c>
      <c r="K72" s="55" t="str">
        <f>IF(OR(I72=" ",I72="")," ",IF(OR(Z72="e",Z72="h"),"SD",BG$24))</f>
        <v xml:space="preserve"> </v>
      </c>
      <c r="L72" s="49">
        <f ca="1">CW72</f>
        <v>0</v>
      </c>
      <c r="M72" s="49">
        <f ca="1">CY72</f>
        <v>0</v>
      </c>
      <c r="N72" s="50">
        <f t="shared" ca="1" si="33"/>
        <v>0</v>
      </c>
      <c r="O72" s="126">
        <f t="shared" ca="1" si="33"/>
        <v>0</v>
      </c>
      <c r="P72" s="140"/>
      <c r="Q72" s="752" t="str">
        <f ca="1">IF(OR(I72=" ",I72="")," ",IF(F72&lt;OFFSET($BM$9,CL72-1,0,1,1),"check L(m)",IF(DE72&lt;&gt;"",DE72,IF(AND(DP72&gt;=CY72,DR72&gt;=DB72),IF(AND(ED72&gt;=DP72,EF72&gt;=DR72),CONCATENATE(DS72," provides same results"),CONCATENATE(CO72," provides same results")),IF((DP72&gt;=CY72),CONCATENATE(CO72," provides same result in WIND"),IF((DR72&gt;=DB72),CONCATENATE(CO72," provides same result in EQ",""),""))))))</f>
        <v xml:space="preserve"> </v>
      </c>
      <c r="R72" s="52"/>
      <c r="S72" s="1372"/>
      <c r="T72" s="1372"/>
      <c r="U72" s="1377"/>
      <c r="V72" s="52" t="str">
        <f ca="1">IF(AND(B$5=$BF$9,OR(I72=BH$16,I72=BH$17))," ",IF(ISNUMBER(B$68),(CONCATENATE(B$68,".",W72)),(CONCATENATE(B$68,W72))))</f>
        <v>K0</v>
      </c>
      <c r="W72" s="9">
        <f ca="1">W71+X72</f>
        <v>0</v>
      </c>
      <c r="X72" s="9">
        <f>IF(AND(B$5=$BF$9,OR($I72=$BH$16,$I72=$BH$17,$I72=" ",$I72="",$F72=0)),0,IF(OR($I72=" ",$I72="",$F72=0),0,1))</f>
        <v>0</v>
      </c>
      <c r="Y72" s="896"/>
      <c r="Z72" s="52" t="str">
        <f ca="1">IF(I72=" "," ",OFFSET($BM$9,$CL72-1,8,1,1))</f>
        <v xml:space="preserve"> </v>
      </c>
      <c r="AA72" s="51" t="str">
        <f>IF(G72&gt;=45,"WA","")</f>
        <v/>
      </c>
      <c r="AB72" s="1364" t="str">
        <f>IF(F72&lt;&gt;"",IF(OR(D72=$BG$12,D72=$BG$13),IF(E72&lt;&gt;$BG$17,$BF$12,$BF$13),IF(E72&lt;&gt;$BG$17,$BF$12,$BF$13))," ")</f>
        <v xml:space="preserve"> </v>
      </c>
      <c r="AC72" s="1"/>
      <c r="BD72" s="652"/>
      <c r="BI72" s="759"/>
      <c r="BJ72" s="897">
        <f t="shared" si="27"/>
        <v>64</v>
      </c>
      <c r="BK72" s="908"/>
      <c r="BL72" s="767"/>
      <c r="BM72" s="776">
        <f>Table!P14</f>
        <v>1.2</v>
      </c>
      <c r="BN72" s="776">
        <v>999</v>
      </c>
      <c r="BO72" s="776">
        <f>Table!Q14</f>
        <v>150</v>
      </c>
      <c r="BP72" s="926">
        <f>Table!R14</f>
        <v>135</v>
      </c>
      <c r="BQ72" s="1183"/>
      <c r="BR72" s="908"/>
      <c r="BS72" s="776"/>
      <c r="BT72" s="776"/>
      <c r="BU72" s="926" t="s">
        <v>242</v>
      </c>
      <c r="BV72" s="433"/>
      <c r="BW72" s="914"/>
      <c r="BX72" s="926" t="str">
        <f>Table!T11</f>
        <v>Double</v>
      </c>
      <c r="CH72" s="908">
        <f>IF(BN72=999,0,(BO73-BO72)/(BN72-BM72))</f>
        <v>0</v>
      </c>
      <c r="CI72" s="926">
        <f>IF(BN72=999,0,(BP73-BP72)/(BN72-BM72))</f>
        <v>0</v>
      </c>
      <c r="CJ72" s="759"/>
      <c r="CK72" s="188"/>
      <c r="CL72" s="979">
        <f>VLOOKUP(I72,Prodlink,2,0)</f>
        <v>0</v>
      </c>
      <c r="CN72" s="497">
        <f ca="1">VLOOKUP(CO72,Prodlink,2,0)</f>
        <v>0</v>
      </c>
      <c r="CO72" s="497">
        <f ca="1">OFFSET($CH$9,CL72-1,-15,1,1)</f>
        <v>0</v>
      </c>
      <c r="CQ72" s="51">
        <v>0</v>
      </c>
      <c r="CR72" s="51">
        <f>IF(K72=$BH$12,$BH$23,IF(K72=$BH$13,$BH$24,10000))</f>
        <v>10000</v>
      </c>
      <c r="CS72" s="51">
        <f ca="1">IF(F72&lt;OFFSET($BM$9,CL72-1,0,1,1),0,IF(F72&lt;OFFSET($BN$9,CL72-1,0,1,1),((F72-OFFSET($BM$9,CL72-1,0,1,1))*OFFSET($CH$9,CL72-1,0,1,1))+OFFSET($BO$9,CL72-1,CQ72,1,1),IF(F72&lt;OFFSET($BN$9,CL72+0,0,1,1),((F72-OFFSET($BM$9,CL72+0,0,1,1))*OFFSET($CH$9,CL72+0,0,1,1))+OFFSET($BO$9,CL72+0,CQ72,1,1),IF(F72&lt;OFFSET($BN$9,CL72+1,0,1,1),((F72-OFFSET($BM$9,CL72+1,0,1,1))*OFFSET($CH$9,CL72+1,0,1,1))+OFFSET($BO$9,CL72+1,CQ72,1,1),IF(F72&lt;OFFSET($BN$9,CL72+2,0,1,1),((F72-OFFSET($BM$9,CL72+2,0,1,1))*OFFSET($CH$9,CL72+2,0,1,1))+OFFSET($BO$9,CL72+2,CQ72,1,1),IF(F72&lt;OFFSET($BN$9,CL72+3,0,1,1),((F72-OFFSET($BM$9,CL72+3,0,1,1))*OFFSET($CH$9,CL72+3,0,1,1))+OFFSET($BO$9,CL72+3,CQ72,1,1),0))))))</f>
        <v>0</v>
      </c>
      <c r="CT72" s="51">
        <f ca="1">IF($F72&lt;OFFSET($BM$9,$CL72-1,0,1,1),0,IF($F72&lt;OFFSET($BN$9,$CL72-1,0,1,1),IF(AND($H72&gt;2.4,Z72&lt;&gt;"e",Z72&lt;&gt;"f"),CX72*2.4/$H72,CX72),IF($F72&lt;OFFSET($BN$9,$CL72+0,0,1,1),IF(AND($H72&gt;2.4,Z72&lt;&gt;"e",Z72&lt;&gt;"f"),CX72*2.4/$H72,CX72),IF($F72&lt;OFFSET($BN$9,$CL72+1,0,1,1),IF(AND($H72&gt;2.4,Z72&lt;&gt;"e",Z72&lt;&gt;"f"),CX72*2.4/$H72,CX72),IF($F72&lt;OFFSET($BN$9,CL72+2,0,1,1),IF(AND($H72&gt;2.4,Z72&lt;&gt;"e",Z72&lt;&gt;"f"),CX72*2.4/$H72,CX72),IF($F72&lt;OFFSET($BN$9,CL72+3,0,1,1),IF(AND($H72&gt;2.4,Z72&lt;&gt;"e",Z72&lt;&gt;"f"),CX72*2.4/$H72,CX72),0)))))*COS(RADIANS($G72)))</f>
        <v>0</v>
      </c>
      <c r="CU72" s="51">
        <f ca="1">IF(F72&lt;OFFSET($BM$9,CL72-1,0,1,1),0,IF(F72&lt;OFFSET($BN$9,CL72-1,0,1,1),((F72-OFFSET($BM$9,CL72-1,0,1,1))*OFFSET($CI$9,CL72-1,0,1,1))+OFFSET($BP$9,CL72-1,CQ72,1,1),IF(F72&lt;OFFSET($BN$9,CL72+0,0,1,1),((F72-OFFSET($BM$9,CL72+0,0,1,1))*OFFSET($CI$9,CL72+0,0,1,1))+OFFSET($BP$9,CL72+0,CQ72,1,1),IF(F72&lt;OFFSET($BN$9,CL72+1,0,1,1),((F72-OFFSET($BM$9,CL72+1,0,1,1))*OFFSET($CI$9,CL72+1,0,1,1))+OFFSET($BP$9,CL72+1,CQ72,1,1),IF(F72&lt;OFFSET($BN$9,CL72+2,0,1,1),((F72-OFFSET($BM$9,CL72+2,0,1,1))*OFFSET($CI$9,CL72+2,0,1,1))+OFFSET($BP$9,CL72+2,CQ72,1,1),IF(F72&lt;OFFSET($BN$9,CL72+3,0,1,1),((F72-OFFSET($BM$9,CL72+3,0,1,1))*OFFSET($CI$9,CL72+3,0,1,1))+OFFSET($BP$9,CL72+3,CQ72,1,1),0))))))</f>
        <v>0</v>
      </c>
      <c r="CV72" s="51">
        <f ca="1">IF($F72&lt;OFFSET($BM$9,$CL72-1,0,1,1),0,IF($F72&lt;OFFSET($BN$9,$CL72-1,0,1,1),IF(AND($H72&gt;2.4,Z72&lt;&gt;"e",Z72&lt;&gt;"f"),CZ72*2.4/$H72,CZ72),IF($F72&lt;OFFSET($BN$9,$CL72+0,0,1,1),IF(AND($H72&gt;2.4,Z72&lt;&gt;"e",Z72&lt;&gt;"f"),CZ72*2.4/$H72,CZ72),IF($F72&lt;OFFSET($BN$9,$CL72+1,0,1,1),IF(AND($H72&gt;2.4,Z72&lt;&gt;"e",Z72&lt;&gt;"f"),CZ72*2.4/$H72,CZ72),IF($F72&lt;OFFSET($BN$9,$CL72+2,0,1,1),IF(AND($H72&gt;2.4,Z72&lt;&gt;"e",Z72&lt;&gt;"f"),CZ72*2.4/$H72,CZ72),IF($F72&lt;OFFSET($BN$9,$CL72+3,0,1,1),IF(AND($H72&gt;2.4,Z72&lt;&gt;"e",Z72&lt;&gt;"f"),CZ72*2.4/$H72,CZ72),0)))))*COS(RADIANS($G72)))</f>
        <v>0</v>
      </c>
      <c r="CW72" s="51">
        <f ca="1">IF(CT72&gt;CR72,CR72,CT72)</f>
        <v>0</v>
      </c>
      <c r="CX72" s="51">
        <f ca="1">IF(CS72&gt;$CR72,$CR72,CS72)</f>
        <v>0</v>
      </c>
      <c r="CY72" s="51">
        <f ca="1">CW72*F72</f>
        <v>0</v>
      </c>
      <c r="CZ72" s="51">
        <f ca="1">IF($CU72&gt;$CR72,$CR72,$CU72)</f>
        <v>0</v>
      </c>
      <c r="DA72" s="51">
        <f ca="1">IF(CV72&gt;CR72,CR72,CV72)</f>
        <v>0</v>
      </c>
      <c r="DB72" s="51">
        <f ca="1">DA72*F72</f>
        <v>0</v>
      </c>
      <c r="DC72" s="993">
        <v>1</v>
      </c>
      <c r="DD72" s="758" t="str">
        <f>IF(OR(D72=BG$12,D72=BG$13),"External",IF(D72=BG$14,"Internal"," "))</f>
        <v xml:space="preserve"> </v>
      </c>
      <c r="DE72" s="51" t="str">
        <f t="shared" ca="1" si="2"/>
        <v/>
      </c>
      <c r="DF72" s="52" t="str">
        <f t="shared" ca="1" si="3"/>
        <v xml:space="preserve"> </v>
      </c>
      <c r="DG72" s="51">
        <f ca="1">IF(F72&lt;OFFSET($BM$9,CN72-1,0,1,1),0,IF(F72&lt;OFFSET($BN$9,CN72-1,0,1,1),((F72-OFFSET($BM$9,CN72-1,0,1,1))*OFFSET($CH$9,CN72-1,0,1,1))+OFFSET($BO$9,CN72-1,CQ72,1,1),IF(F72&lt;OFFSET($BN$9,CN72+0,0,1,1),((F72-OFFSET($BM$9,CN72+0,0,1,1))*OFFSET($CH$9,CN72+0,0,1,1))+OFFSET($BO$9,CN72+0,CQ72,1,1),IF(F72&lt;OFFSET($BN$9,CN72+1,0,1,1),((F72-OFFSET($BM$9,CN72+1,0,1,1))*OFFSET($CH$9,CN72+1,0,1,1))+OFFSET($BO$9,CN72+1,CQ72,1,1),IF(F72&lt;OFFSET($BN$9,CN72+2,0,1,1),((F72-OFFSET($BM$9,CN72+2,0,1,1))*OFFSET($CH$9,CN72+2,0,1,1))+OFFSET($BO$9,CN72+2,CQ72,1,1),IF(F72&lt;OFFSET($BN$9,CN72+3,0,1,1),((F72-OFFSET($BM$9,CN72+3,0,1,1))*OFFSET($CH$9,CN72+3,0,1,1))+OFFSET($BO$9,CN72+3,CQ72,1,1),0))))))</f>
        <v>0</v>
      </c>
      <c r="DH72" s="51">
        <f ca="1">IF($F72&lt;OFFSET($BM$9,$CN72-1,0,1,1),0,IF($F72&lt;OFFSET($BN$9,$CN72-1,0,1,1),IF(AND($H72&gt;2.4,Z72&lt;&gt;"e",Z72&lt;&gt;"f"),DL72*2.4/$H72,DL72),IF($F72&lt;OFFSET($BN$9,$CN72+0,0,1,1),IF(AND($H72&gt;2.4,Z72&lt;&gt;"e",Z72&lt;&gt;"f"),DL72*2.4/$H72,DL72),IF($F72&lt;OFFSET($BN$9,$CN72+1,0,1,1),IF(AND($H72&gt;2.4,Z72&lt;&gt;"e",Z72&lt;&gt;"f"),DL72*2.4/$H72,DL72),IF($F72&lt;OFFSET($BN$9,$CN72+2,0,1,1),IF(AND($H72&gt;2.4,Z72&lt;&gt;"e",Z72&lt;&gt;"f"),DL72*2.4/$H72,DL72),IF($F72&lt;OFFSET($BN$9,$CN72+3,0,1,1),IF(AND($H72&gt;2.4,Z72&lt;&gt;"e",Z72&lt;&gt;"f"),DL72*2.4/$H72,DL72),0)))))*COS(RADIANS($G72)))</f>
        <v>0</v>
      </c>
      <c r="DI72" s="51">
        <f ca="1">IF(F72&lt;OFFSET($BM$9,CN72-1,0,1,1),0,IF(F72&lt;OFFSET($BN$9,CN72-1,0,1,1),((F72-OFFSET($BM$9,CN72-1,0,1,1))*OFFSET($CI$9,CN72-1,0,1,1))+OFFSET($BP$9,CN72-1,CQ72,1,1),IF(F72&lt;OFFSET($BN$9,CN72+0,0,1,1),((F72-OFFSET($BM$9,CN72+0,0,1,1))*OFFSET($CI$9,CN72+0,0,1,1))+OFFSET($BP$9,CN72+0,CQ72,1,1),IF(F72&lt;OFFSET($BN$9,CN72+1,0,1,1),((F72-OFFSET($BM$9,CN72+1,0,1,1))*OFFSET($CI$9,CN72+1,0,1,1))+OFFSET($BP$9,CN72+1,CQ72,1,1),IF(F72&lt;OFFSET($BN$9,CN72+2,0,1,1),((F72-OFFSET($BM$9,CN72+2,0,1,1))*OFFSET($CI$9,CN72+2,0,1,1))+OFFSET($BP$9,CN72+2,CQ72,1,1),IF(F72&lt;OFFSET($BN$9,CN72+3,0,1,1),((F72-OFFSET($BM$9,CN72+3,0,1,1))*OFFSET($CI$9,CN72+3,0,1,1))+OFFSET($BP$9,CN72+3,CQ72,1,1),0))))))</f>
        <v>0</v>
      </c>
      <c r="DJ72" s="51">
        <f ca="1">IF($F72&lt;OFFSET($BM$9,$CN72-1,0,1,1),0,IF($F72&lt;OFFSET($BN$9,$CN72-1,0,1,1),IF(AND($H72&gt;2.4,Z72&lt;&gt;"e",Z72&lt;&gt;"f"),DN72*2.4/$H72,DN72),IF($F72&lt;OFFSET($BN$9,$CN72+0,0,1,1),IF(AND($H72&gt;2.4,Z72&lt;&gt;"e",Z72&lt;&gt;"f"),DN72*2.4/$H72,DN72),IF($F72&lt;OFFSET($BN$9,$CN72+1,0,1,1),IF(AND($H72&gt;2.4,Z72&lt;&gt;"e",Z72&lt;&gt;"f"),DN72*2.4/$H72,DN72),IF($F72&lt;OFFSET($BN$9,$CN72+2,0,1,1),IF(AND($H72&gt;2.4,Z72&lt;&gt;"e",Z72&lt;&gt;"f"),DN72*2.4/$H72,DN72),IF($F72&lt;OFFSET($BN$9,$CN72+3,0,1,1),IF(AND($H72&gt;2.4,Z72&lt;&gt;"e",Z72&lt;&gt;"f"),DN72*2.4/$H72,DN72),0)))))*COS(RADIANS($G72)))</f>
        <v>0</v>
      </c>
      <c r="DK72" s="51"/>
      <c r="DL72" s="51">
        <f ca="1">IF(DG72&gt;$CR72,$CR72,DG72)</f>
        <v>0</v>
      </c>
      <c r="DM72" s="51"/>
      <c r="DN72" s="51">
        <f ca="1">IF(DI72&gt;$CR72,$CR72,DI72)</f>
        <v>0</v>
      </c>
      <c r="DO72" s="435">
        <f ca="1">IF(DH72&gt;$CR72,$CR72,DH72)</f>
        <v>0</v>
      </c>
      <c r="DP72" s="435">
        <f ca="1">DO72*F72</f>
        <v>0</v>
      </c>
      <c r="DQ72" s="436">
        <f ca="1">IF(DJ72&gt;$CR72,$CR72,DJ72)</f>
        <v>0</v>
      </c>
      <c r="DR72" s="437">
        <f ca="1">DQ72*F72</f>
        <v>0</v>
      </c>
      <c r="DS72" s="426">
        <f ca="1">OFFSET($CH$9,CL72-1,-15,1,1)</f>
        <v>0</v>
      </c>
      <c r="DT72" s="426">
        <f ca="1">VLOOKUP(DS72,Prodlink,2,0)</f>
        <v>0</v>
      </c>
      <c r="DU72" s="188">
        <f ca="1">IF(F72&lt;OFFSET($BM$9,DT72-1,0,1,1),0,IF(F72&lt;OFFSET($BN$9,DT72-1,0,1,1),((F72-OFFSET($BM$9,DT72-1,0,1,1))*OFFSET($CH$9,DT72-1,0,1,1))+OFFSET($BO$9,DT72-1,CQ72,1,1),IF(F72&lt;OFFSET($BN$9,DT72+0,0,1,1),((F72-OFFSET($BM$9,DT72+0,0,1,1))*OFFSET($CH$9,DT72+0,0,1,1))+OFFSET($BO$9,DT72+0,CQ72,1,1),IF(F72&lt;OFFSET($BN$9,DT72+1,0,1,1),((F72-OFFSET($BM$9,DT72+1,0,1,1))*OFFSET($CH$9,DT72+1,0,1,1))+OFFSET($BO$9,DT72+1,CQ72,1,1),IF(F72&lt;OFFSET($BN$9,DT72+2,0,1,1),((F72-OFFSET($BM$9,DT72+2,0,1,1))*OFFSET($CH$9,DT72+2,0,1,1))+OFFSET($BO$9,DT72+2,CQ72,1,1),IF(F72&lt;OFFSET($BN$9,DT72+3,0,1,1),((F72-OFFSET($BM$9,DT72+3,0,1,1))*OFFSET($CH$9,DT72+3,0,1,1))+OFFSET($BO$9,DT72+3,CQ72,1,1),0))))))</f>
        <v>0</v>
      </c>
      <c r="DV72" s="51">
        <f ca="1">IF($F72&lt;OFFSET($BM$9,$DT72-1,0,1,1),0,IF($F72&lt;OFFSET($BN$9,$DT72-1,0,1,1),IF(AND($H72&gt;2.4,Z72&lt;&gt;"e",Z72&lt;&gt;"f"),DZ72*2.4/$H72,DZ72),IF($F72&lt;OFFSET($BN$9,$DT72+0,0,1,1),IF(AND($H72&gt;2.4,Z72&lt;&gt;"e",Z72&lt;&gt;"f"),DZ72*2.4/$H72,DZ72),IF($F72&lt;OFFSET($BN$9,$DT72+1,0,1,1),IF(AND($H72&gt;2.4,Z72&lt;&gt;"e",Z72&lt;&gt;"f"),DZ72*2.4/$H72,DZ72),IF($F72&lt;OFFSET($BN$9,$DT72+2,0,1,1),IF(AND($H72&gt;2.4,Z72&lt;&gt;"e",Z72&lt;&gt;"f"),DZ72*2.4/$H72,DZ72),IF($F72&lt;OFFSET($BN$9,$DT72+3,0,1,1),IF(AND($H72&gt;2.4,Z72&lt;&gt;"e",Z72&lt;&gt;"f"),DZ72*2.4/$H72,DZ72),0)))))*COS(RADIANS($G72)))</f>
        <v>0</v>
      </c>
      <c r="DW72" s="188">
        <f ca="1">IF(F72&lt;OFFSET($BM$9,DT72-1,0,1,1),0,IF(F72&lt;OFFSET($BN$9,DT72-1,0,1,1),((F72-OFFSET($BM$9,DT72-1,0,1,1))*OFFSET($CI$9,DT72-1,0,1,1))+OFFSET($BP$9,DT72-1,CQ72,1,1),IF(F72&lt;OFFSET($BN$9,DT72+0,0,1,1),((F72-OFFSET($BM$9,DT72+0,0,1,1))*OFFSET($CI$9,DT72+0,0,1,1))+OFFSET($BP$9,DT72+0,CQ72,1,1),IF(F72&lt;OFFSET($BN$9,DT72+1,0,1,1),((F72-OFFSET($BM$9,DT72+1,0,1,1))*OFFSET($CI$9,DT72+1,0,1,1))+OFFSET($BP$9,DT72+1,CQ72,1,1),IF(F72&lt;OFFSET($BN$9,DT72+2,0,1,1),((F72-OFFSET($BM$9,DT72+2,0,1,1))*OFFSET($CI$9,DT72+2,0,1,1))+OFFSET($BP$9,DT72+2,CQ72,1,1),IF(F72&lt;OFFSET($BN$9,DT72+3,0,1,1),((F72-OFFSET($BM$9,DT72+3,0,1,1))*OFFSET($CI$9,DT72+3,0,1,1))+OFFSET($BP$9,DT72+3,CQ72,1,1),0))))))</f>
        <v>0</v>
      </c>
      <c r="DX72" s="51">
        <f ca="1">IF($F72&lt;OFFSET($BM$9,$DT72-1,0,1,1),0,IF($F72&lt;OFFSET($BN$9,$DT72-1,0,1,1),IF(AND($H72&gt;2.4,Z72&lt;&gt;"e",Z72&lt;&gt;"f"),EB72*2.4/$H72,EB72),IF($F72&lt;OFFSET($BN$9,$DT72+0,0,1,1),IF(AND($H72&gt;2.4,Z72&lt;&gt;"e",Z72&lt;&gt;"f"),EB72*2.4/$H72,EB72),IF($F72&lt;OFFSET($BN$9,$DT72+1,0,1,1),IF(AND($H72&gt;2.4,Z72&lt;&gt;"e",Z72&lt;&gt;"f"),EB72*2.4/$H72,EB72),IF($F72&lt;OFFSET($BN$9,$DT72+2,0,1,1),IF(AND($H72&gt;2.4,Z72&lt;&gt;"e",Z72&lt;&gt;"f"),EB72*2.4/$H72,EB72),IF($F72&lt;OFFSET($BN$9,$DT72+3,0,1,1),IF(AND($H72&gt;2.4,Z72&lt;&gt;"e",Z72&lt;&gt;"f"),EB72*2.4/$H72,EB72),0)))))*COS(RADIANS($G72)))</f>
        <v>0</v>
      </c>
      <c r="DY72" s="188"/>
      <c r="DZ72" s="188">
        <f ca="1">IF(DU72&gt;$CR72,$CR72,DU72)</f>
        <v>0</v>
      </c>
      <c r="EA72" s="188"/>
      <c r="EB72" s="188">
        <f ca="1">IF(DW72&gt;$CR72,$CR72,DW72)</f>
        <v>0</v>
      </c>
      <c r="EC72" s="435">
        <f ca="1">IF(DV72&gt;$CR72,$CR72,DV72)</f>
        <v>0</v>
      </c>
      <c r="ED72" s="435">
        <f ca="1">EC72*F72</f>
        <v>0</v>
      </c>
      <c r="EE72" s="436">
        <f ca="1">IF(DX72&gt;$CR72,$CR72,DX72)</f>
        <v>0</v>
      </c>
      <c r="EF72" s="437">
        <f ca="1">EE72*F72</f>
        <v>0</v>
      </c>
      <c r="EG72" s="613" t="str">
        <f>IF(D72=BG$12,BG$12,"")</f>
        <v/>
      </c>
      <c r="EH72" s="614" t="str">
        <f>IF(D72=BG$13,BG$13,"")</f>
        <v/>
      </c>
      <c r="EI72" s="611">
        <f>IF(EG72=BG$12,M72,0)</f>
        <v>0</v>
      </c>
      <c r="EJ72" s="451">
        <f>IF(EG72=BG$12,O72,0)</f>
        <v>0</v>
      </c>
      <c r="EK72" s="451">
        <f>IF(EH72=BG$13,M72,0)</f>
        <v>0</v>
      </c>
      <c r="EL72" s="612">
        <f>IF(EH72=BG$13,O72,0)</f>
        <v>0</v>
      </c>
      <c r="EM72" s="426" t="str">
        <f ca="1">IF(AND(Z72&lt;&gt;"t",Z72&lt;&gt;"f"),"",IF(AND(EN72=$BH$13,K72=$BH$12),"NotOpt",IF(K72&lt;&gt;EN72,"Error","")))</f>
        <v/>
      </c>
      <c r="EN72" s="490" t="str">
        <f>IF($BG$28=1,$BH$13,$BH$12)</f>
        <v>120 BU's</v>
      </c>
      <c r="EO72" s="426" t="str">
        <f>K72</f>
        <v xml:space="preserve"> </v>
      </c>
      <c r="ER72" s="439" t="str">
        <f ca="1">IF(H72=0," ",H72)</f>
        <v xml:space="preserve"> </v>
      </c>
      <c r="ES72" s="440" t="str">
        <f ca="1">IF(ER72&lt;&gt;" ",IF(ER72&lt;&gt;ER$7,"Changed",""),"")</f>
        <v/>
      </c>
      <c r="ET72" s="440">
        <f ca="1">IF(ER72&lt;&gt;" ",IF(ER72&lt;&gt;ER$7,1,0),0)</f>
        <v>0</v>
      </c>
      <c r="EU72" s="957" t="str">
        <f ca="1">IF(I72=" "," ",IF(F72&lt;OFFSET($BM$9,CL72-1,0,1,1),1,""))</f>
        <v xml:space="preserve"> </v>
      </c>
      <c r="EW72" s="427"/>
      <c r="EX72"/>
      <c r="EY72"/>
      <c r="EZ72"/>
      <c r="FA72"/>
      <c r="FB72"/>
      <c r="FC72"/>
      <c r="FD72"/>
      <c r="FE72"/>
      <c r="FF72"/>
      <c r="FG72"/>
      <c r="FH72"/>
      <c r="FI72"/>
      <c r="FJ72"/>
      <c r="FK72"/>
      <c r="FL72"/>
      <c r="FM72"/>
      <c r="FN72"/>
      <c r="FO72"/>
    </row>
    <row r="73" spans="1:171" ht="17.100000000000001" hidden="1" customHeight="1" thickBot="1">
      <c r="A73" s="2685"/>
      <c r="B73" s="2686" t="s">
        <v>8</v>
      </c>
      <c r="C73" s="2687"/>
      <c r="D73" s="1461" t="s">
        <v>8</v>
      </c>
      <c r="E73" s="659"/>
      <c r="F73" s="659"/>
      <c r="G73" s="659"/>
      <c r="H73" s="659"/>
      <c r="I73" s="1462"/>
      <c r="J73" s="1365" t="str">
        <f ca="1">(CONCATENATE(B68,$BE$54))</f>
        <v>K  Line:  Min. Requirement</v>
      </c>
      <c r="K73" s="23"/>
      <c r="L73" s="1019">
        <f ca="1">L$5</f>
        <v>0</v>
      </c>
      <c r="M73" s="48">
        <f ca="1">IF(B68=B62,SUM(M68:M72)+M67,SUM(M68:M72))</f>
        <v>0</v>
      </c>
      <c r="N73" s="1019">
        <f ca="1">N$5</f>
        <v>0</v>
      </c>
      <c r="O73" s="125">
        <f ca="1">IF(B68=B62,SUM(O68:O72)+O67,SUM(O68:O72))</f>
        <v>0</v>
      </c>
      <c r="P73" s="139"/>
      <c r="Q73" s="42" t="str">
        <f ca="1">IF(B68=B74,"",IF(AND(M73&gt;0,L73=L$5,OR(M73&lt;$M$105,M73&lt;$BF$3)),"Achieved &lt; Min Req per Line",IF(AND(O73&gt;0,N73=N$5,OR(O73&lt;$O$105,O73&lt;$BF$3)),"Achieved &lt; Min Req per Line",IF(AND(M73&gt;0,L73&gt;M73),"More Required on this line",IF(AND(O73&gt;0,N73&gt;O73),"More Required on this line",IF(AND(L73&gt;0,L73&lt;$BF$3),$BE$59,IF(AND(N73&gt;0,N73&lt;$BF$3),$BE$59,"")))))))</f>
        <v/>
      </c>
      <c r="R73" s="52"/>
      <c r="S73" s="52"/>
      <c r="T73" s="52"/>
      <c r="U73" s="1378"/>
      <c r="V73" s="52"/>
      <c r="W73" s="9"/>
      <c r="X73" s="9"/>
      <c r="Y73" s="896"/>
      <c r="Z73" s="52"/>
      <c r="AA73" s="51"/>
      <c r="AB73" s="1364"/>
      <c r="AC73" s="1"/>
      <c r="BD73" s="652"/>
      <c r="BI73" s="759"/>
      <c r="BJ73" s="897">
        <f t="shared" si="27"/>
        <v>65</v>
      </c>
      <c r="BK73" s="1231"/>
      <c r="BL73" s="1234"/>
      <c r="BM73" s="1205"/>
      <c r="BN73" s="1205"/>
      <c r="BO73" s="1205"/>
      <c r="BP73" s="1205"/>
      <c r="BQ73" s="1233"/>
      <c r="BR73" s="1205"/>
      <c r="BS73" s="1205"/>
      <c r="BT73" s="1205"/>
      <c r="BU73" s="1205"/>
      <c r="BV73" s="1233"/>
      <c r="BW73" s="1235"/>
      <c r="BX73" s="1205"/>
      <c r="CH73" s="970"/>
      <c r="CI73" s="971"/>
      <c r="CJ73" s="759"/>
      <c r="CK73" s="188"/>
      <c r="CL73" s="979"/>
      <c r="CN73" s="52"/>
      <c r="CO73" s="52"/>
      <c r="CQ73" s="51"/>
      <c r="CR73" s="51" t="s">
        <v>8</v>
      </c>
      <c r="CS73" s="51"/>
      <c r="CT73" s="51" t="s">
        <v>8</v>
      </c>
      <c r="CU73" s="51"/>
      <c r="CV73" s="51" t="s">
        <v>8</v>
      </c>
      <c r="CW73" s="51"/>
      <c r="CX73" s="51"/>
      <c r="CY73" s="51"/>
      <c r="CZ73" s="51"/>
      <c r="DD73" s="758"/>
      <c r="DF73" s="52"/>
      <c r="DG73" s="51"/>
      <c r="DH73" s="51"/>
      <c r="DI73" s="51"/>
      <c r="DJ73" s="51"/>
      <c r="DK73" s="51"/>
      <c r="DL73" s="51"/>
      <c r="DM73" s="51"/>
      <c r="DN73" s="51"/>
      <c r="DO73" s="435"/>
      <c r="DP73" s="435"/>
      <c r="DQ73" s="868"/>
      <c r="DR73" s="868"/>
      <c r="DU73" s="188"/>
      <c r="DV73" s="188" t="s">
        <v>8</v>
      </c>
      <c r="DW73" s="188"/>
      <c r="DX73" s="188" t="s">
        <v>8</v>
      </c>
      <c r="DY73" s="188"/>
      <c r="DZ73" s="188"/>
      <c r="EA73" s="188"/>
      <c r="EB73" s="188"/>
      <c r="EC73" s="435"/>
      <c r="ED73" s="435"/>
      <c r="EE73" s="868"/>
      <c r="EF73" s="867"/>
      <c r="EG73" s="613"/>
      <c r="EH73" s="614"/>
      <c r="EI73" s="613"/>
      <c r="EJ73" s="435"/>
      <c r="EK73" s="451"/>
      <c r="EL73" s="612"/>
      <c r="EN73" s="947"/>
      <c r="ER73" s="441"/>
      <c r="ES73" s="440"/>
      <c r="ET73" s="440"/>
      <c r="EU73" s="957"/>
      <c r="EW73" s="427"/>
      <c r="EX73"/>
      <c r="EY73"/>
      <c r="EZ73"/>
      <c r="FA73"/>
      <c r="FB73"/>
      <c r="FC73"/>
      <c r="FD73"/>
      <c r="FE73"/>
      <c r="FF73"/>
      <c r="FG73"/>
      <c r="FH73"/>
      <c r="FI73"/>
      <c r="FJ73"/>
      <c r="FK73"/>
      <c r="FL73"/>
      <c r="FM73"/>
      <c r="FN73"/>
      <c r="FO73"/>
    </row>
    <row r="74" spans="1:171" ht="17.100000000000001" hidden="1" customHeight="1" thickBot="1">
      <c r="A74" s="2685"/>
      <c r="B74" s="1369" t="str">
        <f ca="1">S74</f>
        <v>L</v>
      </c>
      <c r="C74" s="684" t="str">
        <f>IF(OR(F74=0,I74="",I74=" ")," ",$V74)</f>
        <v xml:space="preserve"> </v>
      </c>
      <c r="D74" s="1033"/>
      <c r="E74" s="1360" t="s">
        <v>8</v>
      </c>
      <c r="F74" s="202"/>
      <c r="G74" s="1416"/>
      <c r="H74" s="199" t="str">
        <f ca="1">IF(OR(F74=0,Z74="E",Z74="f")," ",'Project Demand'!E$45)</f>
        <v xml:space="preserve"> </v>
      </c>
      <c r="I74" s="631" t="str">
        <f>IF($I$6&lt;&gt;$BG$8," ",AB74)</f>
        <v xml:space="preserve"> </v>
      </c>
      <c r="J74" s="43" t="str">
        <f ca="1">IF(OR(I74=" ",I74="")," ",OFFSET($BO$9,CL74-1,0-4,1,1))</f>
        <v xml:space="preserve"> </v>
      </c>
      <c r="K74" s="55" t="str">
        <f>IF(OR(I74=" ",I74="")," ",IF(OR(Z74="e",Z74="h"),"SD",BG$24))</f>
        <v xml:space="preserve"> </v>
      </c>
      <c r="L74" s="49">
        <f ca="1">CW74</f>
        <v>0</v>
      </c>
      <c r="M74" s="49">
        <f ca="1">CY74</f>
        <v>0</v>
      </c>
      <c r="N74" s="50">
        <f t="shared" ref="N74:O78" ca="1" si="34">DA74</f>
        <v>0</v>
      </c>
      <c r="O74" s="126">
        <f t="shared" ca="1" si="34"/>
        <v>0</v>
      </c>
      <c r="P74" s="140"/>
      <c r="Q74" s="752" t="str">
        <f ca="1">IF(OR(I74=" ",I74="")," ",IF(F74&lt;OFFSET($BM$9,CL74-1,0,1,1),"check L(m)",IF(DE74&lt;&gt;"",DE74,IF(AND(DP74&gt;=CY74,DR74&gt;=DB74),IF(AND(ED74&gt;=DP74,EF74&gt;=DR74),CONCATENATE(DS74," provides same results"),CONCATENATE(CO74," provides same results")),IF((DP74&gt;=CY74),CONCATENATE(CO74," provides same result in WIND"),IF((DR74&gt;=DB74),CONCATENATE(CO74," provides same result in EQ",""),""))))))</f>
        <v xml:space="preserve"> </v>
      </c>
      <c r="R74" s="52">
        <f ca="1">IF(T68&lt;&gt;2,(COLUMN(INDIRECT(B68&amp;1))+1),U74)</f>
        <v>12</v>
      </c>
      <c r="S74" s="1372" t="str">
        <f ca="1">SUBSTITUTE(ADDRESS(1,R74,4),"1","")</f>
        <v>L</v>
      </c>
      <c r="T74" s="451">
        <f ca="1">IF(AND(ISTEXT(B74),SUBSTITUTE(SUBSTITUTE(SUBSTITUTE(SUBSTITUTE(SUBSTITUTE(SUBSTITUTE(SUBSTITUTE(SUBSTITUTE(SUBSTITUTE(SUBSTITUTE(SUBSTITUTE(SUBSTITUTE(SUBSTITUTE(SUBSTITUTE(SUBSTITUTE(SUBSTITUTE(SUBSTITUTE(SUBSTITUTE(SUBSTITUTE(SUBSTITUTE(SUBSTITUTE(SUBSTITUTE(SUBSTITUTE(SUBSTITUTE(SUBSTITUTE(SUBSTITUTE(LOWER(B74),"a",),"b",),"c",),"d",),"e",),"f",),"g",),"h",),"i",),"j",),"k",),"l",),"m",),"n",),"o",),"p",),"q",),"r",),"s",),"t",),"u",),"v",),"w",),"x",),"y",),"z",)=""),1,2)</f>
        <v>1</v>
      </c>
      <c r="U74" s="1377">
        <v>12</v>
      </c>
      <c r="V74" s="52" t="str">
        <f ca="1">IF(AND(B$5=$BF$9,OR(I74=BH$16,I74=BH$17))," ",IF(ISNUMBER(B$74),(CONCATENATE(B$74,".",W74)),(CONCATENATE(B$74,W74))))</f>
        <v>L0</v>
      </c>
      <c r="W74" s="9">
        <f ca="1">IF(B68=B74,W72+X74,X74)</f>
        <v>0</v>
      </c>
      <c r="X74" s="9">
        <f>IF(AND(B$5=$BF$9,OR($I74=$BH$16,$I74=$BH$17,$I74=" ",$I74="",$F74=0)),0,IF(OR($I74=" ",$I74="",$F74=0),0,1))</f>
        <v>0</v>
      </c>
      <c r="Y74" s="896">
        <f ca="1">IF(AND(M79&gt;0,B74&lt;&gt;B80),1,0)</f>
        <v>0</v>
      </c>
      <c r="Z74" s="52" t="str">
        <f ca="1">IF(I74=" "," ",OFFSET($BM$9,$CL74-1,8,1,1))</f>
        <v xml:space="preserve"> </v>
      </c>
      <c r="AA74" s="51" t="str">
        <f>IF(G74&gt;=45,"WA","")</f>
        <v/>
      </c>
      <c r="AB74" s="1364" t="str">
        <f>IF(F74&lt;&gt;"",IF(OR(D74=$BG$12,D74=$BG$13),IF(E74&lt;&gt;$BG$17,$BF$12,$BF$13),IF(E74&lt;&gt;$BG$17,$BF$12,$BF$13))," ")</f>
        <v xml:space="preserve"> </v>
      </c>
      <c r="AC74" s="1"/>
      <c r="BD74" s="652"/>
      <c r="BI74" s="759"/>
      <c r="BJ74" s="897">
        <f t="shared" si="27"/>
        <v>66</v>
      </c>
      <c r="BK74" s="768" t="str">
        <f>BK68</f>
        <v xml:space="preserve">EPB </v>
      </c>
      <c r="BL74" s="765" t="str">
        <f>Table!O16</f>
        <v>ESPH</v>
      </c>
      <c r="BM74" s="454">
        <f>Table!P16</f>
        <v>0.4</v>
      </c>
      <c r="BN74" s="454">
        <f>BM75</f>
        <v>0.6</v>
      </c>
      <c r="BO74" s="454">
        <f>Table!Q16</f>
        <v>102</v>
      </c>
      <c r="BP74" s="924">
        <f>Table!R16</f>
        <v>114</v>
      </c>
      <c r="BQ74" s="920"/>
      <c r="BR74" s="768" t="str">
        <f>Table!S16</f>
        <v>ES-H</v>
      </c>
      <c r="BS74" s="454" t="str">
        <f>Table!S17</f>
        <v>EM-H</v>
      </c>
      <c r="BT74" s="454" t="str">
        <f>Table!T16</f>
        <v>E</v>
      </c>
      <c r="BU74" s="924" t="s">
        <v>242</v>
      </c>
      <c r="BV74" s="1230" t="str">
        <f>Table!AI83</f>
        <v>ESPH</v>
      </c>
      <c r="BW74" s="1229">
        <f>BJ74</f>
        <v>66</v>
      </c>
      <c r="BX74" s="924" t="str">
        <f>Table!T17</f>
        <v>Double</v>
      </c>
      <c r="CH74" s="768">
        <f>IF(BN74=999,0,(BO75-BO74)/(BN74-BM74))</f>
        <v>90.000000000000014</v>
      </c>
      <c r="CI74" s="924">
        <f>IF(BN74=999,0,(BP75-BP74)/(BN74-BM74))</f>
        <v>80.000000000000014</v>
      </c>
      <c r="CJ74" s="759"/>
      <c r="CK74" s="188"/>
      <c r="CL74" s="979">
        <f>VLOOKUP(I74,Prodlink,2,0)</f>
        <v>0</v>
      </c>
      <c r="CN74" s="497">
        <f ca="1">VLOOKUP(CO74,Prodlink,2,0)</f>
        <v>0</v>
      </c>
      <c r="CO74" s="497">
        <f ca="1">OFFSET($CH$9,CL74-1,-15,1,1)</f>
        <v>0</v>
      </c>
      <c r="CQ74" s="51">
        <v>0</v>
      </c>
      <c r="CR74" s="51">
        <f>IF(K74=$BH$12,$BH$23,IF(K74=$BH$13,$BH$24,10000))</f>
        <v>10000</v>
      </c>
      <c r="CS74" s="51">
        <f ca="1">IF(F74&lt;OFFSET($BM$9,CL74-1,0,1,1),0,IF(F74&lt;OFFSET($BN$9,CL74-1,0,1,1),((F74-OFFSET($BM$9,CL74-1,0,1,1))*OFFSET($CH$9,CL74-1,0,1,1))+OFFSET($BO$9,CL74-1,CQ74,1,1),IF(F74&lt;OFFSET($BN$9,CL74+0,0,1,1),((F74-OFFSET($BM$9,CL74+0,0,1,1))*OFFSET($CH$9,CL74+0,0,1,1))+OFFSET($BO$9,CL74+0,CQ74,1,1),IF(F74&lt;OFFSET($BN$9,CL74+1,0,1,1),((F74-OFFSET($BM$9,CL74+1,0,1,1))*OFFSET($CH$9,CL74+1,0,1,1))+OFFSET($BO$9,CL74+1,CQ74,1,1),IF(F74&lt;OFFSET($BN$9,CL74+2,0,1,1),((F74-OFFSET($BM$9,CL74+2,0,1,1))*OFFSET($CH$9,CL74+2,0,1,1))+OFFSET($BO$9,CL74+2,CQ74,1,1),IF(F74&lt;OFFSET($BN$9,CL74+3,0,1,1),((F74-OFFSET($BM$9,CL74+3,0,1,1))*OFFSET($CH$9,CL74+3,0,1,1))+OFFSET($BO$9,CL74+3,CQ74,1,1),0))))))</f>
        <v>0</v>
      </c>
      <c r="CT74" s="51">
        <f ca="1">IF($F74&lt;OFFSET($BM$9,$CL74-1,0,1,1),0,IF($F74&lt;OFFSET($BN$9,$CL74-1,0,1,1),IF(AND($H74&gt;2.4,Z74&lt;&gt;"e",Z74&lt;&gt;"f"),CX74*2.4/$H74,CX74),IF($F74&lt;OFFSET($BN$9,$CL74+0,0,1,1),IF(AND($H74&gt;2.4,Z74&lt;&gt;"e",Z74&lt;&gt;"f"),CX74*2.4/$H74,CX74),IF($F74&lt;OFFSET($BN$9,$CL74+1,0,1,1),IF(AND($H74&gt;2.4,Z74&lt;&gt;"e",Z74&lt;&gt;"f"),CX74*2.4/$H74,CX74),IF($F74&lt;OFFSET($BN$9,CL74+2,0,1,1),IF(AND($H74&gt;2.4,Z74&lt;&gt;"e",Z74&lt;&gt;"f"),CX74*2.4/$H74,CX74),IF($F74&lt;OFFSET($BN$9,CL74+3,0,1,1),IF(AND($H74&gt;2.4,Z74&lt;&gt;"e",Z74&lt;&gt;"f"),CX74*2.4/$H74,CX74),0)))))*COS(RADIANS($G74)))</f>
        <v>0</v>
      </c>
      <c r="CU74" s="51">
        <f ca="1">IF(F74&lt;OFFSET($BM$9,CL74-1,0,1,1),0,IF(F74&lt;OFFSET($BN$9,CL74-1,0,1,1),((F74-OFFSET($BM$9,CL74-1,0,1,1))*OFFSET($CI$9,CL74-1,0,1,1))+OFFSET($BP$9,CL74-1,CQ74,1,1),IF(F74&lt;OFFSET($BN$9,CL74+0,0,1,1),((F74-OFFSET($BM$9,CL74+0,0,1,1))*OFFSET($CI$9,CL74+0,0,1,1))+OFFSET($BP$9,CL74+0,CQ74,1,1),IF(F74&lt;OFFSET($BN$9,CL74+1,0,1,1),((F74-OFFSET($BM$9,CL74+1,0,1,1))*OFFSET($CI$9,CL74+1,0,1,1))+OFFSET($BP$9,CL74+1,CQ74,1,1),IF(F74&lt;OFFSET($BN$9,CL74+2,0,1,1),((F74-OFFSET($BM$9,CL74+2,0,1,1))*OFFSET($CI$9,CL74+2,0,1,1))+OFFSET($BP$9,CL74+2,CQ74,1,1),IF(F74&lt;OFFSET($BN$9,CL74+3,0,1,1),((F74-OFFSET($BM$9,CL74+3,0,1,1))*OFFSET($CI$9,CL74+3,0,1,1))+OFFSET($BP$9,CL74+3,CQ74,1,1),0))))))</f>
        <v>0</v>
      </c>
      <c r="CV74" s="51">
        <f ca="1">IF($F74&lt;OFFSET($BM$9,$CL74-1,0,1,1),0,IF($F74&lt;OFFSET($BN$9,$CL74-1,0,1,1),IF(AND($H74&gt;2.4,Z74&lt;&gt;"e",Z74&lt;&gt;"f"),CZ74*2.4/$H74,CZ74),IF($F74&lt;OFFSET($BN$9,$CL74+0,0,1,1),IF(AND($H74&gt;2.4,Z74&lt;&gt;"e",Z74&lt;&gt;"f"),CZ74*2.4/$H74,CZ74),IF($F74&lt;OFFSET($BN$9,$CL74+1,0,1,1),IF(AND($H74&gt;2.4,Z74&lt;&gt;"e",Z74&lt;&gt;"f"),CZ74*2.4/$H74,CZ74),IF($F74&lt;OFFSET($BN$9,$CL74+2,0,1,1),IF(AND($H74&gt;2.4,Z74&lt;&gt;"e",Z74&lt;&gt;"f"),CZ74*2.4/$H74,CZ74),IF($F74&lt;OFFSET($BN$9,$CL74+3,0,1,1),IF(AND($H74&gt;2.4,Z74&lt;&gt;"e",Z74&lt;&gt;"f"),CZ74*2.4/$H74,CZ74),0)))))*COS(RADIANS($G74)))</f>
        <v>0</v>
      </c>
      <c r="CW74" s="51">
        <f ca="1">IF(CT74&gt;CR74,CR74,CT74)</f>
        <v>0</v>
      </c>
      <c r="CX74" s="51">
        <f ca="1">IF(CS74&gt;$CR74,$CR74,CS74)</f>
        <v>0</v>
      </c>
      <c r="CY74" s="51">
        <f ca="1">CW74*F74</f>
        <v>0</v>
      </c>
      <c r="CZ74" s="51">
        <f ca="1">IF($CU74&gt;$CR74,$CR74,$CU74)</f>
        <v>0</v>
      </c>
      <c r="DA74" s="51">
        <f ca="1">IF(CV74&gt;CR74,CR74,CV74)</f>
        <v>0</v>
      </c>
      <c r="DB74" s="51">
        <f ca="1">DA74*F74</f>
        <v>0</v>
      </c>
      <c r="DC74" s="993">
        <v>1</v>
      </c>
      <c r="DD74" s="758" t="str">
        <f>IF(OR(D74=BG$12,D74=BG$13),"External",IF(D74=BG$14,"Internal"," "))</f>
        <v xml:space="preserve"> </v>
      </c>
      <c r="DE74" s="51" t="str">
        <f t="shared" ref="DE74:DE78" ca="1" si="35">IF(AND(OFFSET($CH$9,CL74-1,-14,1,1)="I",DD74="External"),BE$66,IF(AND(OFFSET($CH$9,CL74-1,-14,1,1)="M",DD74="Internal"),BE$65,IF(AND(OFFSET($CH$9,CL74-1,-14,1,1)="M",DD74=" "),BE$64,IF(AND(OFFSET($CH$9,CL74-1,-14,1,1)="E",DD74="Internal"),BE$62,IF(AND(OFFSET($CH$9,CL74-1,-14,1,1)="E",DD74=" "),BE$61,IF(AND(DF74="Double",E74=$BG$16),BE$67,""))))))</f>
        <v/>
      </c>
      <c r="DF74" s="52" t="str">
        <f t="shared" ref="DF74:DF78" ca="1" si="36">IF(I74=" "," ",OFFSET($BM$9,$CL74-1,11,1,1))</f>
        <v xml:space="preserve"> </v>
      </c>
      <c r="DG74" s="51">
        <f ca="1">IF(F74&lt;OFFSET($BM$9,CN74-1,0,1,1),0,IF(F74&lt;OFFSET($BN$9,CN74-1,0,1,1),((F74-OFFSET($BM$9,CN74-1,0,1,1))*OFFSET($CH$9,CN74-1,0,1,1))+OFFSET($BO$9,CN74-1,CQ74,1,1),IF(F74&lt;OFFSET($BN$9,CN74+0,0,1,1),((F74-OFFSET($BM$9,CN74+0,0,1,1))*OFFSET($CH$9,CN74+0,0,1,1))+OFFSET($BO$9,CN74+0,CQ74,1,1),IF(F74&lt;OFFSET($BN$9,CN74+1,0,1,1),((F74-OFFSET($BM$9,CN74+1,0,1,1))*OFFSET($CH$9,CN74+1,0,1,1))+OFFSET($BO$9,CN74+1,CQ74,1,1),IF(F74&lt;OFFSET($BN$9,CN74+2,0,1,1),((F74-OFFSET($BM$9,CN74+2,0,1,1))*OFFSET($CH$9,CN74+2,0,1,1))+OFFSET($BO$9,CN74+2,CQ74,1,1),IF(F74&lt;OFFSET($BN$9,CN74+3,0,1,1),((F74-OFFSET($BM$9,CN74+3,0,1,1))*OFFSET($CH$9,CN74+3,0,1,1))+OFFSET($BO$9,CN74+3,CQ74,1,1),0))))))</f>
        <v>0</v>
      </c>
      <c r="DH74" s="51">
        <f ca="1">IF($F74&lt;OFFSET($BM$9,$CN74-1,0,1,1),0,IF($F74&lt;OFFSET($BN$9,$CN74-1,0,1,1),IF(AND($H74&gt;2.4,Z74&lt;&gt;"e",Z74&lt;&gt;"f"),DL74*2.4/$H74,DL74),IF($F74&lt;OFFSET($BN$9,$CN74+0,0,1,1),IF(AND($H74&gt;2.4,Z74&lt;&gt;"e",Z74&lt;&gt;"f"),DL74*2.4/$H74,DL74),IF($F74&lt;OFFSET($BN$9,$CN74+1,0,1,1),IF(AND($H74&gt;2.4,Z74&lt;&gt;"e",Z74&lt;&gt;"f"),DL74*2.4/$H74,DL74),IF($F74&lt;OFFSET($BN$9,$CN74+2,0,1,1),IF(AND($H74&gt;2.4,Z74&lt;&gt;"e",Z74&lt;&gt;"f"),DL74*2.4/$H74,DL74),IF($F74&lt;OFFSET($BN$9,$CN74+3,0,1,1),IF(AND($H74&gt;2.4,Z74&lt;&gt;"e",Z74&lt;&gt;"f"),DL74*2.4/$H74,DL74),0)))))*COS(RADIANS($G74)))</f>
        <v>0</v>
      </c>
      <c r="DI74" s="51">
        <f ca="1">IF(F74&lt;OFFSET($BM$9,CN74-1,0,1,1),0,IF(F74&lt;OFFSET($BN$9,CN74-1,0,1,1),((F74-OFFSET($BM$9,CN74-1,0,1,1))*OFFSET($CI$9,CN74-1,0,1,1))+OFFSET($BP$9,CN74-1,CQ74,1,1),IF(F74&lt;OFFSET($BN$9,CN74+0,0,1,1),((F74-OFFSET($BM$9,CN74+0,0,1,1))*OFFSET($CI$9,CN74+0,0,1,1))+OFFSET($BP$9,CN74+0,CQ74,1,1),IF(F74&lt;OFFSET($BN$9,CN74+1,0,1,1),((F74-OFFSET($BM$9,CN74+1,0,1,1))*OFFSET($CI$9,CN74+1,0,1,1))+OFFSET($BP$9,CN74+1,CQ74,1,1),IF(F74&lt;OFFSET($BN$9,CN74+2,0,1,1),((F74-OFFSET($BM$9,CN74+2,0,1,1))*OFFSET($CI$9,CN74+2,0,1,1))+OFFSET($BP$9,CN74+2,CQ74,1,1),IF(F74&lt;OFFSET($BN$9,CN74+3,0,1,1),((F74-OFFSET($BM$9,CN74+3,0,1,1))*OFFSET($CI$9,CN74+3,0,1,1))+OFFSET($BP$9,CN74+3,CQ74,1,1),0))))))</f>
        <v>0</v>
      </c>
      <c r="DJ74" s="51">
        <f ca="1">IF($F74&lt;OFFSET($BM$9,$CN74-1,0,1,1),0,IF($F74&lt;OFFSET($BN$9,$CN74-1,0,1,1),IF(AND($H74&gt;2.4,Z74&lt;&gt;"e",Z74&lt;&gt;"f"),DN74*2.4/$H74,DN74),IF($F74&lt;OFFSET($BN$9,$CN74+0,0,1,1),IF(AND($H74&gt;2.4,Z74&lt;&gt;"e",Z74&lt;&gt;"f"),DN74*2.4/$H74,DN74),IF($F74&lt;OFFSET($BN$9,$CN74+1,0,1,1),IF(AND($H74&gt;2.4,Z74&lt;&gt;"e",Z74&lt;&gt;"f"),DN74*2.4/$H74,DN74),IF($F74&lt;OFFSET($BN$9,$CN74+2,0,1,1),IF(AND($H74&gt;2.4,Z74&lt;&gt;"e",Z74&lt;&gt;"f"),DN74*2.4/$H74,DN74),IF($F74&lt;OFFSET($BN$9,$CN74+3,0,1,1),IF(AND($H74&gt;2.4,Z74&lt;&gt;"e",Z74&lt;&gt;"f"),DN74*2.4/$H74,DN74),0)))))*COS(RADIANS($G74)))</f>
        <v>0</v>
      </c>
      <c r="DK74" s="51"/>
      <c r="DL74" s="51">
        <f ca="1">IF(DG74&gt;$CR74,$CR74,DG74)</f>
        <v>0</v>
      </c>
      <c r="DM74" s="51"/>
      <c r="DN74" s="51">
        <f ca="1">IF(DI74&gt;$CR74,$CR74,DI74)</f>
        <v>0</v>
      </c>
      <c r="DO74" s="435">
        <f ca="1">IF(DH74&gt;$CR74,$CR74,DH74)</f>
        <v>0</v>
      </c>
      <c r="DP74" s="435">
        <f ca="1">DO74*F74</f>
        <v>0</v>
      </c>
      <c r="DQ74" s="436">
        <f ca="1">IF(DJ74&gt;$CR74,$CR74,DJ74)</f>
        <v>0</v>
      </c>
      <c r="DR74" s="437">
        <f ca="1">DQ74*F74</f>
        <v>0</v>
      </c>
      <c r="DS74" s="426">
        <f ca="1">OFFSET($CH$9,CL74-1,-15,1,1)</f>
        <v>0</v>
      </c>
      <c r="DT74" s="426">
        <f ca="1">VLOOKUP(DS74,Prodlink,2,0)</f>
        <v>0</v>
      </c>
      <c r="DU74" s="188">
        <f ca="1">IF(F74&lt;OFFSET($BM$9,DT74-1,0,1,1),0,IF(F74&lt;OFFSET($BN$9,DT74-1,0,1,1),((F74-OFFSET($BM$9,DT74-1,0,1,1))*OFFSET($CH$9,DT74-1,0,1,1))+OFFSET($BO$9,DT74-1,CQ74,1,1),IF(F74&lt;OFFSET($BN$9,DT74+0,0,1,1),((F74-OFFSET($BM$9,DT74+0,0,1,1))*OFFSET($CH$9,DT74+0,0,1,1))+OFFSET($BO$9,DT74+0,CQ74,1,1),IF(F74&lt;OFFSET($BN$9,DT74+1,0,1,1),((F74-OFFSET($BM$9,DT74+1,0,1,1))*OFFSET($CH$9,DT74+1,0,1,1))+OFFSET($BO$9,DT74+1,CQ74,1,1),IF(F74&lt;OFFSET($BN$9,DT74+2,0,1,1),((F74-OFFSET($BM$9,DT74+2,0,1,1))*OFFSET($CH$9,DT74+2,0,1,1))+OFFSET($BO$9,DT74+2,CQ74,1,1),IF(F74&lt;OFFSET($BN$9,DT74+3,0,1,1),((F74-OFFSET($BM$9,DT74+3,0,1,1))*OFFSET($CH$9,DT74+3,0,1,1))+OFFSET($BO$9,DT74+3,CQ74,1,1),0))))))</f>
        <v>0</v>
      </c>
      <c r="DV74" s="51">
        <f ca="1">IF($F74&lt;OFFSET($BM$9,$DT74-1,0,1,1),0,IF($F74&lt;OFFSET($BN$9,$DT74-1,0,1,1),IF(AND($H74&gt;2.4,Z74&lt;&gt;"e",Z74&lt;&gt;"f"),DZ74*2.4/$H74,DZ74),IF($F74&lt;OFFSET($BN$9,$DT74+0,0,1,1),IF(AND($H74&gt;2.4,Z74&lt;&gt;"e",Z74&lt;&gt;"f"),DZ74*2.4/$H74,DZ74),IF($F74&lt;OFFSET($BN$9,$DT74+1,0,1,1),IF(AND($H74&gt;2.4,Z74&lt;&gt;"e",Z74&lt;&gt;"f"),DZ74*2.4/$H74,DZ74),IF($F74&lt;OFFSET($BN$9,$DT74+2,0,1,1),IF(AND($H74&gt;2.4,Z74&lt;&gt;"e",Z74&lt;&gt;"f"),DZ74*2.4/$H74,DZ74),IF($F74&lt;OFFSET($BN$9,$DT74+3,0,1,1),IF(AND($H74&gt;2.4,Z74&lt;&gt;"e",Z74&lt;&gt;"f"),DZ74*2.4/$H74,DZ74),0)))))*COS(RADIANS($G74)))</f>
        <v>0</v>
      </c>
      <c r="DW74" s="188">
        <f ca="1">IF(F74&lt;OFFSET($BM$9,DT74-1,0,1,1),0,IF(F74&lt;OFFSET($BN$9,DT74-1,0,1,1),((F74-OFFSET($BM$9,DT74-1,0,1,1))*OFFSET($CI$9,DT74-1,0,1,1))+OFFSET($BP$9,DT74-1,CQ74,1,1),IF(F74&lt;OFFSET($BN$9,DT74+0,0,1,1),((F74-OFFSET($BM$9,DT74+0,0,1,1))*OFFSET($CI$9,DT74+0,0,1,1))+OFFSET($BP$9,DT74+0,CQ74,1,1),IF(F74&lt;OFFSET($BN$9,DT74+1,0,1,1),((F74-OFFSET($BM$9,DT74+1,0,1,1))*OFFSET($CI$9,DT74+1,0,1,1))+OFFSET($BP$9,DT74+1,CQ74,1,1),IF(F74&lt;OFFSET($BN$9,DT74+2,0,1,1),((F74-OFFSET($BM$9,DT74+2,0,1,1))*OFFSET($CI$9,DT74+2,0,1,1))+OFFSET($BP$9,DT74+2,CQ74,1,1),IF(F74&lt;OFFSET($BN$9,DT74+3,0,1,1),((F74-OFFSET($BM$9,DT74+3,0,1,1))*OFFSET($CI$9,DT74+3,0,1,1))+OFFSET($BP$9,DT74+3,CQ74,1,1),0))))))</f>
        <v>0</v>
      </c>
      <c r="DX74" s="51">
        <f ca="1">IF($F74&lt;OFFSET($BM$9,$DT74-1,0,1,1),0,IF($F74&lt;OFFSET($BN$9,$DT74-1,0,1,1),IF(AND($H74&gt;2.4,Z74&lt;&gt;"e",Z74&lt;&gt;"f"),EB74*2.4/$H74,EB74),IF($F74&lt;OFFSET($BN$9,$DT74+0,0,1,1),IF(AND($H74&gt;2.4,Z74&lt;&gt;"e",Z74&lt;&gt;"f"),EB74*2.4/$H74,EB74),IF($F74&lt;OFFSET($BN$9,$DT74+1,0,1,1),IF(AND($H74&gt;2.4,Z74&lt;&gt;"e",Z74&lt;&gt;"f"),EB74*2.4/$H74,EB74),IF($F74&lt;OFFSET($BN$9,$DT74+2,0,1,1),IF(AND($H74&gt;2.4,Z74&lt;&gt;"e",Z74&lt;&gt;"f"),EB74*2.4/$H74,EB74),IF($F74&lt;OFFSET($BN$9,$DT74+3,0,1,1),IF(AND($H74&gt;2.4,Z74&lt;&gt;"e",Z74&lt;&gt;"f"),EB74*2.4/$H74,EB74),0)))))*COS(RADIANS($G74)))</f>
        <v>0</v>
      </c>
      <c r="DY74" s="188"/>
      <c r="DZ74" s="188">
        <f ca="1">IF(DU74&gt;$CR74,$CR74,DU74)</f>
        <v>0</v>
      </c>
      <c r="EA74" s="188"/>
      <c r="EB74" s="188">
        <f ca="1">IF(DW74&gt;$CR74,$CR74,DW74)</f>
        <v>0</v>
      </c>
      <c r="EC74" s="435">
        <f ca="1">IF(DV74&gt;$CR74,$CR74,DV74)</f>
        <v>0</v>
      </c>
      <c r="ED74" s="435">
        <f ca="1">EC74*F74</f>
        <v>0</v>
      </c>
      <c r="EE74" s="436">
        <f ca="1">IF(DX74&gt;$CR74,$CR74,DX74)</f>
        <v>0</v>
      </c>
      <c r="EF74" s="437">
        <f ca="1">EE74*F74</f>
        <v>0</v>
      </c>
      <c r="EG74" s="613" t="str">
        <f>IF(D74=BG$12,BG$12,"")</f>
        <v/>
      </c>
      <c r="EH74" s="614" t="str">
        <f>IF(D74=BG$13,BG$13,"")</f>
        <v/>
      </c>
      <c r="EI74" s="611">
        <f>IF(EG74=BG$12,M74,0)</f>
        <v>0</v>
      </c>
      <c r="EJ74" s="451">
        <f>IF(EG74=BG$12,O74,0)</f>
        <v>0</v>
      </c>
      <c r="EK74" s="451">
        <f>IF(EH74=BG$13,M74,0)</f>
        <v>0</v>
      </c>
      <c r="EL74" s="612">
        <f>IF(EH74=BG$13,O74,0)</f>
        <v>0</v>
      </c>
      <c r="EM74" s="426" t="str">
        <f ca="1">IF(AND(Z74&lt;&gt;"t",Z74&lt;&gt;"f"),"",IF(AND(EN74=$BH$13,K74=$BH$12),"NotOpt",IF(K74&lt;&gt;EN74,"Error","")))</f>
        <v/>
      </c>
      <c r="EN74" s="490" t="str">
        <f>IF($BG$28=1,$BH$13,$BH$12)</f>
        <v>120 BU's</v>
      </c>
      <c r="EO74" s="426" t="str">
        <f>K74</f>
        <v xml:space="preserve"> </v>
      </c>
      <c r="ER74" s="439" t="str">
        <f ca="1">IF(H74=0," ",H74)</f>
        <v xml:space="preserve"> </v>
      </c>
      <c r="ES74" s="440" t="str">
        <f ca="1">IF(ER74&lt;&gt;" ",IF(ER74&lt;&gt;ER$7,"Changed",""),"")</f>
        <v/>
      </c>
      <c r="ET74" s="440">
        <f ca="1">IF(ER74&lt;&gt;" ",IF(ER74&lt;&gt;ER$7,1,0),0)</f>
        <v>0</v>
      </c>
      <c r="EU74" s="957" t="str">
        <f ca="1">IF(I74=" "," ",IF(F74&lt;OFFSET($BM$9,CL74-1,0,1,1),1,""))</f>
        <v xml:space="preserve"> </v>
      </c>
      <c r="EW74" s="427"/>
      <c r="EX74"/>
      <c r="EY74"/>
      <c r="EZ74"/>
      <c r="FA74"/>
      <c r="FB74"/>
      <c r="FC74"/>
      <c r="FD74"/>
      <c r="FE74"/>
      <c r="FF74"/>
      <c r="FG74"/>
      <c r="FH74"/>
      <c r="FI74"/>
      <c r="FJ74"/>
      <c r="FK74"/>
      <c r="FL74"/>
      <c r="FM74"/>
      <c r="FN74"/>
      <c r="FO74"/>
    </row>
    <row r="75" spans="1:171" ht="17.100000000000001" hidden="1" customHeight="1">
      <c r="A75" s="2685"/>
      <c r="B75" s="689" t="s">
        <v>246</v>
      </c>
      <c r="C75" s="684" t="str">
        <f>IF(OR(F75=0,I75="",I75=" ")," ",$V75)</f>
        <v xml:space="preserve"> </v>
      </c>
      <c r="D75" s="1033"/>
      <c r="E75" s="1360" t="s">
        <v>8</v>
      </c>
      <c r="F75" s="202"/>
      <c r="G75" s="1416"/>
      <c r="H75" s="199" t="str">
        <f ca="1">IF(OR(F75=0,Z75="E",Z75="f")," ",'Project Demand'!E$45)</f>
        <v xml:space="preserve"> </v>
      </c>
      <c r="I75" s="631" t="str">
        <f>IF($I$6&lt;&gt;$BG$8," ",AB75)</f>
        <v xml:space="preserve"> </v>
      </c>
      <c r="J75" s="44" t="str">
        <f ca="1">IF(OR(I75=" ",I75="")," ",OFFSET($BO$9,CL75-1,0-4,1,1))</f>
        <v xml:space="preserve"> </v>
      </c>
      <c r="K75" s="55" t="str">
        <f>IF(OR(I75=" ",I75="")," ",IF(OR(Z75="e",Z75="h"),"SD",BG$24))</f>
        <v xml:space="preserve"> </v>
      </c>
      <c r="L75" s="49">
        <f ca="1">CW75</f>
        <v>0</v>
      </c>
      <c r="M75" s="49">
        <f ca="1">CY75</f>
        <v>0</v>
      </c>
      <c r="N75" s="50">
        <f t="shared" ca="1" si="34"/>
        <v>0</v>
      </c>
      <c r="O75" s="126">
        <f t="shared" ca="1" si="34"/>
        <v>0</v>
      </c>
      <c r="P75" s="140"/>
      <c r="Q75" s="752" t="str">
        <f ca="1">IF(OR(I75=" ",I75="")," ",IF(F75&lt;OFFSET($BM$9,CL75-1,0,1,1),"check L(m)",IF(DE75&lt;&gt;"",DE75,IF(AND(DP75&gt;=CY75,DR75&gt;=DB75),IF(AND(ED75&gt;=DP75,EF75&gt;=DR75),CONCATENATE(DS75," provides same results"),CONCATENATE(CO75," provides same results")),IF((DP75&gt;=CY75),CONCATENATE(CO75," provides same result in WIND"),IF((DR75&gt;=DB75),CONCATENATE(CO75," provides same result in EQ",""),""))))))</f>
        <v xml:space="preserve"> </v>
      </c>
      <c r="R75" s="52"/>
      <c r="S75" s="1372"/>
      <c r="T75" s="1372"/>
      <c r="U75" s="1377"/>
      <c r="V75" s="52" t="str">
        <f ca="1">IF(AND(B$5=$BF$9,OR(I75=BH$16,I75=BH$17))," ",IF(ISNUMBER(B$74),(CONCATENATE(B$74,".",W75)),(CONCATENATE(B$74,W75))))</f>
        <v>L0</v>
      </c>
      <c r="W75" s="9">
        <f ca="1">W74+X75</f>
        <v>0</v>
      </c>
      <c r="X75" s="9">
        <f>IF(AND(B$5=$BF$9,OR($I75=$BH$16,$I75=$BH$17,$I75=" ",$I75="",$F75=0)),0,IF(OR($I75=" ",$I75="",$F75=0),0,1))</f>
        <v>0</v>
      </c>
      <c r="Y75" s="896"/>
      <c r="Z75" s="52" t="str">
        <f ca="1">IF(I75=" "," ",OFFSET($BM$9,$CL75-1,8,1,1))</f>
        <v xml:space="preserve"> </v>
      </c>
      <c r="AA75" s="51" t="str">
        <f>IF(G75&gt;=45,"WA","")</f>
        <v/>
      </c>
      <c r="AB75" s="1364" t="str">
        <f>IF(F75&lt;&gt;"",IF(OR(D75=$BG$12,D75=$BG$13),IF(E75&lt;&gt;$BG$17,$BF$12,$BF$13),IF(E75&lt;&gt;$BG$17,$BF$12,$BF$13))," ")</f>
        <v xml:space="preserve"> </v>
      </c>
      <c r="AC75" s="1"/>
      <c r="BD75" s="652"/>
      <c r="BI75" s="759"/>
      <c r="BJ75" s="897">
        <f t="shared" si="27"/>
        <v>67</v>
      </c>
      <c r="BK75" s="764"/>
      <c r="BL75" s="773"/>
      <c r="BM75" s="455">
        <f>Table!P17</f>
        <v>0.6</v>
      </c>
      <c r="BN75" s="455">
        <f>BM76</f>
        <v>0.8</v>
      </c>
      <c r="BO75" s="455">
        <f>Table!Q17</f>
        <v>120</v>
      </c>
      <c r="BP75" s="925">
        <f>Table!R17</f>
        <v>130</v>
      </c>
      <c r="BR75" s="764"/>
      <c r="BS75" s="455"/>
      <c r="BT75" s="455"/>
      <c r="BU75" s="925" t="s">
        <v>242</v>
      </c>
      <c r="BV75" s="895"/>
      <c r="BW75" s="912"/>
      <c r="BX75" s="925" t="str">
        <f>Table!T17</f>
        <v>Double</v>
      </c>
      <c r="CH75" s="764">
        <f>IF(BN75=999,0,(BO76-BO75)/(BN75-BM75))</f>
        <v>99.999999999999972</v>
      </c>
      <c r="CI75" s="925">
        <f>IF(BN75=999,0,(BP76-BP75)/(BN75-BM75))</f>
        <v>49.999999999999986</v>
      </c>
      <c r="CJ75" s="759"/>
      <c r="CK75" s="188"/>
      <c r="CL75" s="979">
        <f>VLOOKUP(I75,Prodlink,2,0)</f>
        <v>0</v>
      </c>
      <c r="CN75" s="497">
        <f ca="1">VLOOKUP(CO75,Prodlink,2,0)</f>
        <v>0</v>
      </c>
      <c r="CO75" s="497">
        <f ca="1">OFFSET($CH$9,CL75-1,-15,1,1)</f>
        <v>0</v>
      </c>
      <c r="CQ75" s="51">
        <v>0</v>
      </c>
      <c r="CR75" s="51">
        <f>IF(K75=$BH$12,$BH$23,IF(K75=$BH$13,$BH$24,10000))</f>
        <v>10000</v>
      </c>
      <c r="CS75" s="51">
        <f ca="1">IF(F75&lt;OFFSET($BM$9,CL75-1,0,1,1),0,IF(F75&lt;OFFSET($BN$9,CL75-1,0,1,1),((F75-OFFSET($BM$9,CL75-1,0,1,1))*OFFSET($CH$9,CL75-1,0,1,1))+OFFSET($BO$9,CL75-1,CQ75,1,1),IF(F75&lt;OFFSET($BN$9,CL75+0,0,1,1),((F75-OFFSET($BM$9,CL75+0,0,1,1))*OFFSET($CH$9,CL75+0,0,1,1))+OFFSET($BO$9,CL75+0,CQ75,1,1),IF(F75&lt;OFFSET($BN$9,CL75+1,0,1,1),((F75-OFFSET($BM$9,CL75+1,0,1,1))*OFFSET($CH$9,CL75+1,0,1,1))+OFFSET($BO$9,CL75+1,CQ75,1,1),IF(F75&lt;OFFSET($BN$9,CL75+2,0,1,1),((F75-OFFSET($BM$9,CL75+2,0,1,1))*OFFSET($CH$9,CL75+2,0,1,1))+OFFSET($BO$9,CL75+2,CQ75,1,1),IF(F75&lt;OFFSET($BN$9,CL75+3,0,1,1),((F75-OFFSET($BM$9,CL75+3,0,1,1))*OFFSET($CH$9,CL75+3,0,1,1))+OFFSET($BO$9,CL75+3,CQ75,1,1),0))))))</f>
        <v>0</v>
      </c>
      <c r="CT75" s="51">
        <f ca="1">IF($F75&lt;OFFSET($BM$9,$CL75-1,0,1,1),0,IF($F75&lt;OFFSET($BN$9,$CL75-1,0,1,1),IF(AND($H75&gt;2.4,Z75&lt;&gt;"e",Z75&lt;&gt;"f"),CX75*2.4/$H75,CX75),IF($F75&lt;OFFSET($BN$9,$CL75+0,0,1,1),IF(AND($H75&gt;2.4,Z75&lt;&gt;"e",Z75&lt;&gt;"f"),CX75*2.4/$H75,CX75),IF($F75&lt;OFFSET($BN$9,$CL75+1,0,1,1),IF(AND($H75&gt;2.4,Z75&lt;&gt;"e",Z75&lt;&gt;"f"),CX75*2.4/$H75,CX75),IF($F75&lt;OFFSET($BN$9,CL75+2,0,1,1),IF(AND($H75&gt;2.4,Z75&lt;&gt;"e",Z75&lt;&gt;"f"),CX75*2.4/$H75,CX75),IF($F75&lt;OFFSET($BN$9,CL75+3,0,1,1),IF(AND($H75&gt;2.4,Z75&lt;&gt;"e",Z75&lt;&gt;"f"),CX75*2.4/$H75,CX75),0)))))*COS(RADIANS($G75)))</f>
        <v>0</v>
      </c>
      <c r="CU75" s="51">
        <f ca="1">IF(F75&lt;OFFSET($BM$9,CL75-1,0,1,1),0,IF(F75&lt;OFFSET($BN$9,CL75-1,0,1,1),((F75-OFFSET($BM$9,CL75-1,0,1,1))*OFFSET($CI$9,CL75-1,0,1,1))+OFFSET($BP$9,CL75-1,CQ75,1,1),IF(F75&lt;OFFSET($BN$9,CL75+0,0,1,1),((F75-OFFSET($BM$9,CL75+0,0,1,1))*OFFSET($CI$9,CL75+0,0,1,1))+OFFSET($BP$9,CL75+0,CQ75,1,1),IF(F75&lt;OFFSET($BN$9,CL75+1,0,1,1),((F75-OFFSET($BM$9,CL75+1,0,1,1))*OFFSET($CI$9,CL75+1,0,1,1))+OFFSET($BP$9,CL75+1,CQ75,1,1),IF(F75&lt;OFFSET($BN$9,CL75+2,0,1,1),((F75-OFFSET($BM$9,CL75+2,0,1,1))*OFFSET($CI$9,CL75+2,0,1,1))+OFFSET($BP$9,CL75+2,CQ75,1,1),IF(F75&lt;OFFSET($BN$9,CL75+3,0,1,1),((F75-OFFSET($BM$9,CL75+3,0,1,1))*OFFSET($CI$9,CL75+3,0,1,1))+OFFSET($BP$9,CL75+3,CQ75,1,1),0))))))</f>
        <v>0</v>
      </c>
      <c r="CV75" s="51">
        <f ca="1">IF($F75&lt;OFFSET($BM$9,$CL75-1,0,1,1),0,IF($F75&lt;OFFSET($BN$9,$CL75-1,0,1,1),IF(AND($H75&gt;2.4,Z75&lt;&gt;"e",Z75&lt;&gt;"f"),CZ75*2.4/$H75,CZ75),IF($F75&lt;OFFSET($BN$9,$CL75+0,0,1,1),IF(AND($H75&gt;2.4,Z75&lt;&gt;"e",Z75&lt;&gt;"f"),CZ75*2.4/$H75,CZ75),IF($F75&lt;OFFSET($BN$9,$CL75+1,0,1,1),IF(AND($H75&gt;2.4,Z75&lt;&gt;"e",Z75&lt;&gt;"f"),CZ75*2.4/$H75,CZ75),IF($F75&lt;OFFSET($BN$9,$CL75+2,0,1,1),IF(AND($H75&gt;2.4,Z75&lt;&gt;"e",Z75&lt;&gt;"f"),CZ75*2.4/$H75,CZ75),IF($F75&lt;OFFSET($BN$9,$CL75+3,0,1,1),IF(AND($H75&gt;2.4,Z75&lt;&gt;"e",Z75&lt;&gt;"f"),CZ75*2.4/$H75,CZ75),0)))))*COS(RADIANS($G75)))</f>
        <v>0</v>
      </c>
      <c r="CW75" s="51">
        <f ca="1">IF(CT75&gt;CR75,CR75,CT75)</f>
        <v>0</v>
      </c>
      <c r="CX75" s="51">
        <f ca="1">IF(CS75&gt;$CR75,$CR75,CS75)</f>
        <v>0</v>
      </c>
      <c r="CY75" s="51">
        <f ca="1">CW75*F75</f>
        <v>0</v>
      </c>
      <c r="CZ75" s="51">
        <f ca="1">IF($CU75&gt;$CR75,$CR75,$CU75)</f>
        <v>0</v>
      </c>
      <c r="DA75" s="51">
        <f ca="1">IF(CV75&gt;CR75,CR75,CV75)</f>
        <v>0</v>
      </c>
      <c r="DB75" s="51">
        <f ca="1">DA75*F75</f>
        <v>0</v>
      </c>
      <c r="DC75" s="993">
        <v>1</v>
      </c>
      <c r="DD75" s="758" t="str">
        <f>IF(OR(D75=BG$12,D75=BG$13),"External",IF(D75=BG$14,"Internal"," "))</f>
        <v xml:space="preserve"> </v>
      </c>
      <c r="DE75" s="51" t="str">
        <f t="shared" ca="1" si="35"/>
        <v/>
      </c>
      <c r="DF75" s="52" t="str">
        <f t="shared" ca="1" si="36"/>
        <v xml:space="preserve"> </v>
      </c>
      <c r="DG75" s="51">
        <f ca="1">IF(F75&lt;OFFSET($BM$9,CN75-1,0,1,1),0,IF(F75&lt;OFFSET($BN$9,CN75-1,0,1,1),((F75-OFFSET($BM$9,CN75-1,0,1,1))*OFFSET($CH$9,CN75-1,0,1,1))+OFFSET($BO$9,CN75-1,CQ75,1,1),IF(F75&lt;OFFSET($BN$9,CN75+0,0,1,1),((F75-OFFSET($BM$9,CN75+0,0,1,1))*OFFSET($CH$9,CN75+0,0,1,1))+OFFSET($BO$9,CN75+0,CQ75,1,1),IF(F75&lt;OFFSET($BN$9,CN75+1,0,1,1),((F75-OFFSET($BM$9,CN75+1,0,1,1))*OFFSET($CH$9,CN75+1,0,1,1))+OFFSET($BO$9,CN75+1,CQ75,1,1),IF(F75&lt;OFFSET($BN$9,CN75+2,0,1,1),((F75-OFFSET($BM$9,CN75+2,0,1,1))*OFFSET($CH$9,CN75+2,0,1,1))+OFFSET($BO$9,CN75+2,CQ75,1,1),IF(F75&lt;OFFSET($BN$9,CN75+3,0,1,1),((F75-OFFSET($BM$9,CN75+3,0,1,1))*OFFSET($CH$9,CN75+3,0,1,1))+OFFSET($BO$9,CN75+3,CQ75,1,1),0))))))</f>
        <v>0</v>
      </c>
      <c r="DH75" s="51">
        <f ca="1">IF($F75&lt;OFFSET($BM$9,$CN75-1,0,1,1),0,IF($F75&lt;OFFSET($BN$9,$CN75-1,0,1,1),IF(AND($H75&gt;2.4,Z75&lt;&gt;"e",Z75&lt;&gt;"f"),DL75*2.4/$H75,DL75),IF($F75&lt;OFFSET($BN$9,$CN75+0,0,1,1),IF(AND($H75&gt;2.4,Z75&lt;&gt;"e",Z75&lt;&gt;"f"),DL75*2.4/$H75,DL75),IF($F75&lt;OFFSET($BN$9,$CN75+1,0,1,1),IF(AND($H75&gt;2.4,Z75&lt;&gt;"e",Z75&lt;&gt;"f"),DL75*2.4/$H75,DL75),IF($F75&lt;OFFSET($BN$9,$CN75+2,0,1,1),IF(AND($H75&gt;2.4,Z75&lt;&gt;"e",Z75&lt;&gt;"f"),DL75*2.4/$H75,DL75),IF($F75&lt;OFFSET($BN$9,$CN75+3,0,1,1),IF(AND($H75&gt;2.4,Z75&lt;&gt;"e",Z75&lt;&gt;"f"),DL75*2.4/$H75,DL75),0)))))*COS(RADIANS($G75)))</f>
        <v>0</v>
      </c>
      <c r="DI75" s="51">
        <f ca="1">IF(F75&lt;OFFSET($BM$9,CN75-1,0,1,1),0,IF(F75&lt;OFFSET($BN$9,CN75-1,0,1,1),((F75-OFFSET($BM$9,CN75-1,0,1,1))*OFFSET($CI$9,CN75-1,0,1,1))+OFFSET($BP$9,CN75-1,CQ75,1,1),IF(F75&lt;OFFSET($BN$9,CN75+0,0,1,1),((F75-OFFSET($BM$9,CN75+0,0,1,1))*OFFSET($CI$9,CN75+0,0,1,1))+OFFSET($BP$9,CN75+0,CQ75,1,1),IF(F75&lt;OFFSET($BN$9,CN75+1,0,1,1),((F75-OFFSET($BM$9,CN75+1,0,1,1))*OFFSET($CI$9,CN75+1,0,1,1))+OFFSET($BP$9,CN75+1,CQ75,1,1),IF(F75&lt;OFFSET($BN$9,CN75+2,0,1,1),((F75-OFFSET($BM$9,CN75+2,0,1,1))*OFFSET($CI$9,CN75+2,0,1,1))+OFFSET($BP$9,CN75+2,CQ75,1,1),IF(F75&lt;OFFSET($BN$9,CN75+3,0,1,1),((F75-OFFSET($BM$9,CN75+3,0,1,1))*OFFSET($CI$9,CN75+3,0,1,1))+OFFSET($BP$9,CN75+3,CQ75,1,1),0))))))</f>
        <v>0</v>
      </c>
      <c r="DJ75" s="51">
        <f ca="1">IF($F75&lt;OFFSET($BM$9,$CN75-1,0,1,1),0,IF($F75&lt;OFFSET($BN$9,$CN75-1,0,1,1),IF(AND($H75&gt;2.4,Z75&lt;&gt;"e",Z75&lt;&gt;"f"),DN75*2.4/$H75,DN75),IF($F75&lt;OFFSET($BN$9,$CN75+0,0,1,1),IF(AND($H75&gt;2.4,Z75&lt;&gt;"e",Z75&lt;&gt;"f"),DN75*2.4/$H75,DN75),IF($F75&lt;OFFSET($BN$9,$CN75+1,0,1,1),IF(AND($H75&gt;2.4,Z75&lt;&gt;"e",Z75&lt;&gt;"f"),DN75*2.4/$H75,DN75),IF($F75&lt;OFFSET($BN$9,$CN75+2,0,1,1),IF(AND($H75&gt;2.4,Z75&lt;&gt;"e",Z75&lt;&gt;"f"),DN75*2.4/$H75,DN75),IF($F75&lt;OFFSET($BN$9,$CN75+3,0,1,1),IF(AND($H75&gt;2.4,Z75&lt;&gt;"e",Z75&lt;&gt;"f"),DN75*2.4/$H75,DN75),0)))))*COS(RADIANS($G75)))</f>
        <v>0</v>
      </c>
      <c r="DK75" s="51"/>
      <c r="DL75" s="51">
        <f ca="1">IF(DG75&gt;$CR75,$CR75,DG75)</f>
        <v>0</v>
      </c>
      <c r="DM75" s="51"/>
      <c r="DN75" s="51">
        <f ca="1">IF(DI75&gt;$CR75,$CR75,DI75)</f>
        <v>0</v>
      </c>
      <c r="DO75" s="435">
        <f ca="1">IF(DH75&gt;$CR75,$CR75,DH75)</f>
        <v>0</v>
      </c>
      <c r="DP75" s="435">
        <f ca="1">DO75*F75</f>
        <v>0</v>
      </c>
      <c r="DQ75" s="436">
        <f ca="1">IF(DJ75&gt;$CR75,$CR75,DJ75)</f>
        <v>0</v>
      </c>
      <c r="DR75" s="437">
        <f ca="1">DQ75*F75</f>
        <v>0</v>
      </c>
      <c r="DS75" s="426">
        <f ca="1">OFFSET($CH$9,CL75-1,-15,1,1)</f>
        <v>0</v>
      </c>
      <c r="DT75" s="426">
        <f ca="1">VLOOKUP(DS75,Prodlink,2,0)</f>
        <v>0</v>
      </c>
      <c r="DU75" s="188">
        <f ca="1">IF(F75&lt;OFFSET($BM$9,DT75-1,0,1,1),0,IF(F75&lt;OFFSET($BN$9,DT75-1,0,1,1),((F75-OFFSET($BM$9,DT75-1,0,1,1))*OFFSET($CH$9,DT75-1,0,1,1))+OFFSET($BO$9,DT75-1,CQ75,1,1),IF(F75&lt;OFFSET($BN$9,DT75+0,0,1,1),((F75-OFFSET($BM$9,DT75+0,0,1,1))*OFFSET($CH$9,DT75+0,0,1,1))+OFFSET($BO$9,DT75+0,CQ75,1,1),IF(F75&lt;OFFSET($BN$9,DT75+1,0,1,1),((F75-OFFSET($BM$9,DT75+1,0,1,1))*OFFSET($CH$9,DT75+1,0,1,1))+OFFSET($BO$9,DT75+1,CQ75,1,1),IF(F75&lt;OFFSET($BN$9,DT75+2,0,1,1),((F75-OFFSET($BM$9,DT75+2,0,1,1))*OFFSET($CH$9,DT75+2,0,1,1))+OFFSET($BO$9,DT75+2,CQ75,1,1),IF(F75&lt;OFFSET($BN$9,DT75+3,0,1,1),((F75-OFFSET($BM$9,DT75+3,0,1,1))*OFFSET($CH$9,DT75+3,0,1,1))+OFFSET($BO$9,DT75+3,CQ75,1,1),0))))))</f>
        <v>0</v>
      </c>
      <c r="DV75" s="51">
        <f ca="1">IF($F75&lt;OFFSET($BM$9,$DT75-1,0,1,1),0,IF($F75&lt;OFFSET($BN$9,$DT75-1,0,1,1),IF(AND($H75&gt;2.4,Z75&lt;&gt;"e",Z75&lt;&gt;"f"),DZ75*2.4/$H75,DZ75),IF($F75&lt;OFFSET($BN$9,$DT75+0,0,1,1),IF(AND($H75&gt;2.4,Z75&lt;&gt;"e",Z75&lt;&gt;"f"),DZ75*2.4/$H75,DZ75),IF($F75&lt;OFFSET($BN$9,$DT75+1,0,1,1),IF(AND($H75&gt;2.4,Z75&lt;&gt;"e",Z75&lt;&gt;"f"),DZ75*2.4/$H75,DZ75),IF($F75&lt;OFFSET($BN$9,$DT75+2,0,1,1),IF(AND($H75&gt;2.4,Z75&lt;&gt;"e",Z75&lt;&gt;"f"),DZ75*2.4/$H75,DZ75),IF($F75&lt;OFFSET($BN$9,$DT75+3,0,1,1),IF(AND($H75&gt;2.4,Z75&lt;&gt;"e",Z75&lt;&gt;"f"),DZ75*2.4/$H75,DZ75),0)))))*COS(RADIANS($G75)))</f>
        <v>0</v>
      </c>
      <c r="DW75" s="188">
        <f ca="1">IF(F75&lt;OFFSET($BM$9,DT75-1,0,1,1),0,IF(F75&lt;OFFSET($BN$9,DT75-1,0,1,1),((F75-OFFSET($BM$9,DT75-1,0,1,1))*OFFSET($CI$9,DT75-1,0,1,1))+OFFSET($BP$9,DT75-1,CQ75,1,1),IF(F75&lt;OFFSET($BN$9,DT75+0,0,1,1),((F75-OFFSET($BM$9,DT75+0,0,1,1))*OFFSET($CI$9,DT75+0,0,1,1))+OFFSET($BP$9,DT75+0,CQ75,1,1),IF(F75&lt;OFFSET($BN$9,DT75+1,0,1,1),((F75-OFFSET($BM$9,DT75+1,0,1,1))*OFFSET($CI$9,DT75+1,0,1,1))+OFFSET($BP$9,DT75+1,CQ75,1,1),IF(F75&lt;OFFSET($BN$9,DT75+2,0,1,1),((F75-OFFSET($BM$9,DT75+2,0,1,1))*OFFSET($CI$9,DT75+2,0,1,1))+OFFSET($BP$9,DT75+2,CQ75,1,1),IF(F75&lt;OFFSET($BN$9,DT75+3,0,1,1),((F75-OFFSET($BM$9,DT75+3,0,1,1))*OFFSET($CI$9,DT75+3,0,1,1))+OFFSET($BP$9,DT75+3,CQ75,1,1),0))))))</f>
        <v>0</v>
      </c>
      <c r="DX75" s="51">
        <f ca="1">IF($F75&lt;OFFSET($BM$9,$DT75-1,0,1,1),0,IF($F75&lt;OFFSET($BN$9,$DT75-1,0,1,1),IF(AND($H75&gt;2.4,Z75&lt;&gt;"e",Z75&lt;&gt;"f"),EB75*2.4/$H75,EB75),IF($F75&lt;OFFSET($BN$9,$DT75+0,0,1,1),IF(AND($H75&gt;2.4,Z75&lt;&gt;"e",Z75&lt;&gt;"f"),EB75*2.4/$H75,EB75),IF($F75&lt;OFFSET($BN$9,$DT75+1,0,1,1),IF(AND($H75&gt;2.4,Z75&lt;&gt;"e",Z75&lt;&gt;"f"),EB75*2.4/$H75,EB75),IF($F75&lt;OFFSET($BN$9,$DT75+2,0,1,1),IF(AND($H75&gt;2.4,Z75&lt;&gt;"e",Z75&lt;&gt;"f"),EB75*2.4/$H75,EB75),IF($F75&lt;OFFSET($BN$9,$DT75+3,0,1,1),IF(AND($H75&gt;2.4,Z75&lt;&gt;"e",Z75&lt;&gt;"f"),EB75*2.4/$H75,EB75),0)))))*COS(RADIANS($G75)))</f>
        <v>0</v>
      </c>
      <c r="DY75" s="188"/>
      <c r="DZ75" s="188">
        <f ca="1">IF(DU75&gt;$CR75,$CR75,DU75)</f>
        <v>0</v>
      </c>
      <c r="EA75" s="188"/>
      <c r="EB75" s="188">
        <f ca="1">IF(DW75&gt;$CR75,$CR75,DW75)</f>
        <v>0</v>
      </c>
      <c r="EC75" s="435">
        <f ca="1">IF(DV75&gt;$CR75,$CR75,DV75)</f>
        <v>0</v>
      </c>
      <c r="ED75" s="435">
        <f ca="1">EC75*F75</f>
        <v>0</v>
      </c>
      <c r="EE75" s="436">
        <f ca="1">IF(DX75&gt;$CR75,$CR75,DX75)</f>
        <v>0</v>
      </c>
      <c r="EF75" s="437">
        <f ca="1">EE75*F75</f>
        <v>0</v>
      </c>
      <c r="EG75" s="613" t="str">
        <f>IF(D75=BG$12,BG$12,"")</f>
        <v/>
      </c>
      <c r="EH75" s="614" t="str">
        <f>IF(D75=BG$13,BG$13,"")</f>
        <v/>
      </c>
      <c r="EI75" s="611">
        <f>IF(EG75=BG$12,M75,0)</f>
        <v>0</v>
      </c>
      <c r="EJ75" s="451">
        <f>IF(EG75=BG$12,O75,0)</f>
        <v>0</v>
      </c>
      <c r="EK75" s="451">
        <f>IF(EH75=BG$13,M75,0)</f>
        <v>0</v>
      </c>
      <c r="EL75" s="612">
        <f>IF(EH75=BG$13,O75,0)</f>
        <v>0</v>
      </c>
      <c r="EM75" s="426" t="str">
        <f ca="1">IF(AND(Z75&lt;&gt;"t",Z75&lt;&gt;"f"),"",IF(AND(EN75=$BH$13,K75=$BH$12),"NotOpt",IF(K75&lt;&gt;EN75,"Error","")))</f>
        <v/>
      </c>
      <c r="EN75" s="490" t="str">
        <f>IF($BG$28=1,$BH$13,$BH$12)</f>
        <v>120 BU's</v>
      </c>
      <c r="EO75" s="426" t="str">
        <f>K75</f>
        <v xml:space="preserve"> </v>
      </c>
      <c r="ER75" s="439" t="str">
        <f ca="1">IF(H75=0," ",H75)</f>
        <v xml:space="preserve"> </v>
      </c>
      <c r="ES75" s="440" t="str">
        <f ca="1">IF(ER75&lt;&gt;" ",IF(ER75&lt;&gt;ER$7,"Changed",""),"")</f>
        <v/>
      </c>
      <c r="ET75" s="440">
        <f ca="1">IF(ER75&lt;&gt;" ",IF(ER75&lt;&gt;ER$7,1,0),0)</f>
        <v>0</v>
      </c>
      <c r="EU75" s="957" t="str">
        <f ca="1">IF(I75=" "," ",IF(F75&lt;OFFSET($BM$9,CL75-1,0,1,1),1,""))</f>
        <v xml:space="preserve"> </v>
      </c>
      <c r="EW75" s="427"/>
      <c r="EX75"/>
      <c r="EY75"/>
      <c r="EZ75"/>
      <c r="FA75"/>
      <c r="FB75"/>
      <c r="FC75"/>
      <c r="FD75"/>
      <c r="FE75"/>
      <c r="FF75"/>
      <c r="FG75"/>
      <c r="FH75"/>
      <c r="FI75"/>
      <c r="FJ75"/>
      <c r="FK75"/>
      <c r="FL75"/>
      <c r="FM75"/>
      <c r="FN75"/>
      <c r="FO75"/>
    </row>
    <row r="76" spans="1:171" ht="17.100000000000001" hidden="1" customHeight="1">
      <c r="A76" s="2685"/>
      <c r="B76" s="689" t="s">
        <v>246</v>
      </c>
      <c r="C76" s="684" t="str">
        <f>IF(OR(F76=0,I76="",I76=" ")," ",$V76)</f>
        <v xml:space="preserve"> </v>
      </c>
      <c r="D76" s="1033"/>
      <c r="E76" s="1360" t="s">
        <v>8</v>
      </c>
      <c r="F76" s="202"/>
      <c r="G76" s="1416"/>
      <c r="H76" s="199" t="str">
        <f ca="1">IF(OR(F76=0,Z76="E",Z76="f")," ",'Project Demand'!E$45)</f>
        <v xml:space="preserve"> </v>
      </c>
      <c r="I76" s="631" t="str">
        <f>IF($I$6&lt;&gt;$BG$8," ",AB76)</f>
        <v xml:space="preserve"> </v>
      </c>
      <c r="J76" s="44" t="str">
        <f ca="1">IF(OR(I76=" ",I76="")," ",OFFSET($BO$9,CL76-1,0-4,1,1))</f>
        <v xml:space="preserve"> </v>
      </c>
      <c r="K76" s="55" t="str">
        <f>IF(OR(I76=" ",I76="")," ",IF(OR(Z76="e",Z76="h"),"SD",BG$24))</f>
        <v xml:space="preserve"> </v>
      </c>
      <c r="L76" s="49">
        <f ca="1">CW76</f>
        <v>0</v>
      </c>
      <c r="M76" s="49">
        <f ca="1">CY76</f>
        <v>0</v>
      </c>
      <c r="N76" s="50">
        <f t="shared" ca="1" si="34"/>
        <v>0</v>
      </c>
      <c r="O76" s="126">
        <f t="shared" ca="1" si="34"/>
        <v>0</v>
      </c>
      <c r="P76" s="140"/>
      <c r="Q76" s="752" t="str">
        <f ca="1">IF(OR(I76=" ",I76="")," ",IF(F76&lt;OFFSET($BM$9,CL76-1,0,1,1),"check L(m)",IF(DE76&lt;&gt;"",DE76,IF(AND(DP76&gt;=CY76,DR76&gt;=DB76),IF(AND(ED76&gt;=DP76,EF76&gt;=DR76),CONCATENATE(DS76," provides same results"),CONCATENATE(CO76," provides same results")),IF((DP76&gt;=CY76),CONCATENATE(CO76," provides same result in WIND"),IF((DR76&gt;=DB76),CONCATENATE(CO76," provides same result in EQ",""),""))))))</f>
        <v xml:space="preserve"> </v>
      </c>
      <c r="R76" s="52"/>
      <c r="S76" s="1372"/>
      <c r="T76" s="1372"/>
      <c r="U76" s="1377"/>
      <c r="V76" s="52" t="str">
        <f ca="1">IF(AND(B$5=$BF$9,OR(I76=BH$16,I76=BH$17))," ",IF(ISNUMBER(B$74),(CONCATENATE(B$74,".",W76)),(CONCATENATE(B$74,W76))))</f>
        <v>L0</v>
      </c>
      <c r="W76" s="9">
        <f ca="1">W75+X76</f>
        <v>0</v>
      </c>
      <c r="X76" s="9">
        <f>IF(AND(B$5=$BF$9,OR($I76=$BH$16,$I76=$BH$17,$I76=" ",$I76="",$F76=0)),0,IF(OR($I76=" ",$I76="",$F76=0),0,1))</f>
        <v>0</v>
      </c>
      <c r="Y76" s="896"/>
      <c r="Z76" s="52" t="str">
        <f ca="1">IF(I76=" "," ",OFFSET($BM$9,$CL76-1,8,1,1))</f>
        <v xml:space="preserve"> </v>
      </c>
      <c r="AA76" s="51" t="str">
        <f>IF(G76&gt;=45,"WA","")</f>
        <v/>
      </c>
      <c r="AB76" s="1364" t="str">
        <f>IF(F76&lt;&gt;"",IF(OR(D76=$BG$12,D76=$BG$13),IF(E76&lt;&gt;$BG$17,$BF$12,$BF$13),IF(E76&lt;&gt;$BG$17,$BF$12,$BF$13))," ")</f>
        <v xml:space="preserve"> </v>
      </c>
      <c r="AC76" s="1"/>
      <c r="BD76" s="652"/>
      <c r="BI76" s="1240"/>
      <c r="BJ76" s="897">
        <f t="shared" si="27"/>
        <v>68</v>
      </c>
      <c r="BK76" s="764"/>
      <c r="BL76" s="773"/>
      <c r="BM76" s="455">
        <f>Table!P18</f>
        <v>0.8</v>
      </c>
      <c r="BN76" s="455">
        <f>BM77</f>
        <v>0.9</v>
      </c>
      <c r="BO76" s="455">
        <f>Table!Q18</f>
        <v>140</v>
      </c>
      <c r="BP76" s="925">
        <f>Table!R18</f>
        <v>140</v>
      </c>
      <c r="BR76" s="764"/>
      <c r="BS76" s="455"/>
      <c r="BT76" s="455"/>
      <c r="BU76" s="925" t="s">
        <v>242</v>
      </c>
      <c r="BV76" s="895"/>
      <c r="BW76" s="912"/>
      <c r="BX76" s="925" t="str">
        <f>Table!T17</f>
        <v>Double</v>
      </c>
      <c r="CH76" s="764">
        <f>IF(BN76=999,0,(BO77-BO76)/(BN76-BM76))</f>
        <v>150.00000000000003</v>
      </c>
      <c r="CI76" s="925">
        <f>IF(BN76=999,0,(BP77-BP76)/(BN76-BM76))</f>
        <v>150.00000000000003</v>
      </c>
      <c r="CJ76" s="759"/>
      <c r="CK76" s="188"/>
      <c r="CL76" s="979">
        <f>VLOOKUP(I76,Prodlink,2,0)</f>
        <v>0</v>
      </c>
      <c r="CN76" s="497">
        <f ca="1">VLOOKUP(CO76,Prodlink,2,0)</f>
        <v>0</v>
      </c>
      <c r="CO76" s="497">
        <f ca="1">OFFSET($CH$9,CL76-1,-15,1,1)</f>
        <v>0</v>
      </c>
      <c r="CQ76" s="51">
        <v>0</v>
      </c>
      <c r="CR76" s="51">
        <f>IF(K76=$BH$12,$BH$23,IF(K76=$BH$13,$BH$24,10000))</f>
        <v>10000</v>
      </c>
      <c r="CS76" s="51">
        <f ca="1">IF(F76&lt;OFFSET($BM$9,CL76-1,0,1,1),0,IF(F76&lt;OFFSET($BN$9,CL76-1,0,1,1),((F76-OFFSET($BM$9,CL76-1,0,1,1))*OFFSET($CH$9,CL76-1,0,1,1))+OFFSET($BO$9,CL76-1,CQ76,1,1),IF(F76&lt;OFFSET($BN$9,CL76+0,0,1,1),((F76-OFFSET($BM$9,CL76+0,0,1,1))*OFFSET($CH$9,CL76+0,0,1,1))+OFFSET($BO$9,CL76+0,CQ76,1,1),IF(F76&lt;OFFSET($BN$9,CL76+1,0,1,1),((F76-OFFSET($BM$9,CL76+1,0,1,1))*OFFSET($CH$9,CL76+1,0,1,1))+OFFSET($BO$9,CL76+1,CQ76,1,1),IF(F76&lt;OFFSET($BN$9,CL76+2,0,1,1),((F76-OFFSET($BM$9,CL76+2,0,1,1))*OFFSET($CH$9,CL76+2,0,1,1))+OFFSET($BO$9,CL76+2,CQ76,1,1),IF(F76&lt;OFFSET($BN$9,CL76+3,0,1,1),((F76-OFFSET($BM$9,CL76+3,0,1,1))*OFFSET($CH$9,CL76+3,0,1,1))+OFFSET($BO$9,CL76+3,CQ76,1,1),0))))))</f>
        <v>0</v>
      </c>
      <c r="CT76" s="51">
        <f ca="1">IF($F76&lt;OFFSET($BM$9,$CL76-1,0,1,1),0,IF($F76&lt;OFFSET($BN$9,$CL76-1,0,1,1),IF(AND($H76&gt;2.4,Z76&lt;&gt;"e",Z76&lt;&gt;"f"),CX76*2.4/$H76,CX76),IF($F76&lt;OFFSET($BN$9,$CL76+0,0,1,1),IF(AND($H76&gt;2.4,Z76&lt;&gt;"e",Z76&lt;&gt;"f"),CX76*2.4/$H76,CX76),IF($F76&lt;OFFSET($BN$9,$CL76+1,0,1,1),IF(AND($H76&gt;2.4,Z76&lt;&gt;"e",Z76&lt;&gt;"f"),CX76*2.4/$H76,CX76),IF($F76&lt;OFFSET($BN$9,CL76+2,0,1,1),IF(AND($H76&gt;2.4,Z76&lt;&gt;"e",Z76&lt;&gt;"f"),CX76*2.4/$H76,CX76),IF($F76&lt;OFFSET($BN$9,CL76+3,0,1,1),IF(AND($H76&gt;2.4,Z76&lt;&gt;"e",Z76&lt;&gt;"f"),CX76*2.4/$H76,CX76),0)))))*COS(RADIANS($G76)))</f>
        <v>0</v>
      </c>
      <c r="CU76" s="51">
        <f ca="1">IF(F76&lt;OFFSET($BM$9,CL76-1,0,1,1),0,IF(F76&lt;OFFSET($BN$9,CL76-1,0,1,1),((F76-OFFSET($BM$9,CL76-1,0,1,1))*OFFSET($CI$9,CL76-1,0,1,1))+OFFSET($BP$9,CL76-1,CQ76,1,1),IF(F76&lt;OFFSET($BN$9,CL76+0,0,1,1),((F76-OFFSET($BM$9,CL76+0,0,1,1))*OFFSET($CI$9,CL76+0,0,1,1))+OFFSET($BP$9,CL76+0,CQ76,1,1),IF(F76&lt;OFFSET($BN$9,CL76+1,0,1,1),((F76-OFFSET($BM$9,CL76+1,0,1,1))*OFFSET($CI$9,CL76+1,0,1,1))+OFFSET($BP$9,CL76+1,CQ76,1,1),IF(F76&lt;OFFSET($BN$9,CL76+2,0,1,1),((F76-OFFSET($BM$9,CL76+2,0,1,1))*OFFSET($CI$9,CL76+2,0,1,1))+OFFSET($BP$9,CL76+2,CQ76,1,1),IF(F76&lt;OFFSET($BN$9,CL76+3,0,1,1),((F76-OFFSET($BM$9,CL76+3,0,1,1))*OFFSET($CI$9,CL76+3,0,1,1))+OFFSET($BP$9,CL76+3,CQ76,1,1),0))))))</f>
        <v>0</v>
      </c>
      <c r="CV76" s="51">
        <f ca="1">IF($F76&lt;OFFSET($BM$9,$CL76-1,0,1,1),0,IF($F76&lt;OFFSET($BN$9,$CL76-1,0,1,1),IF(AND($H76&gt;2.4,Z76&lt;&gt;"e",Z76&lt;&gt;"f"),CZ76*2.4/$H76,CZ76),IF($F76&lt;OFFSET($BN$9,$CL76+0,0,1,1),IF(AND($H76&gt;2.4,Z76&lt;&gt;"e",Z76&lt;&gt;"f"),CZ76*2.4/$H76,CZ76),IF($F76&lt;OFFSET($BN$9,$CL76+1,0,1,1),IF(AND($H76&gt;2.4,Z76&lt;&gt;"e",Z76&lt;&gt;"f"),CZ76*2.4/$H76,CZ76),IF($F76&lt;OFFSET($BN$9,$CL76+2,0,1,1),IF(AND($H76&gt;2.4,Z76&lt;&gt;"e",Z76&lt;&gt;"f"),CZ76*2.4/$H76,CZ76),IF($F76&lt;OFFSET($BN$9,$CL76+3,0,1,1),IF(AND($H76&gt;2.4,Z76&lt;&gt;"e",Z76&lt;&gt;"f"),CZ76*2.4/$H76,CZ76),0)))))*COS(RADIANS($G76)))</f>
        <v>0</v>
      </c>
      <c r="CW76" s="51">
        <f ca="1">IF(CT76&gt;CR76,CR76,CT76)</f>
        <v>0</v>
      </c>
      <c r="CX76" s="51">
        <f ca="1">IF(CS76&gt;$CR76,$CR76,CS76)</f>
        <v>0</v>
      </c>
      <c r="CY76" s="51">
        <f ca="1">CW76*F76</f>
        <v>0</v>
      </c>
      <c r="CZ76" s="51">
        <f ca="1">IF($CU76&gt;$CR76,$CR76,$CU76)</f>
        <v>0</v>
      </c>
      <c r="DA76" s="51">
        <f ca="1">IF(CV76&gt;CR76,CR76,CV76)</f>
        <v>0</v>
      </c>
      <c r="DB76" s="51">
        <f ca="1">DA76*F76</f>
        <v>0</v>
      </c>
      <c r="DC76" s="993">
        <v>1</v>
      </c>
      <c r="DD76" s="758" t="str">
        <f>IF(OR(D76=BG$12,D76=BG$13),"External",IF(D76=BG$14,"Internal"," "))</f>
        <v xml:space="preserve"> </v>
      </c>
      <c r="DE76" s="51" t="str">
        <f t="shared" ca="1" si="35"/>
        <v/>
      </c>
      <c r="DF76" s="52" t="str">
        <f t="shared" ca="1" si="36"/>
        <v xml:space="preserve"> </v>
      </c>
      <c r="DG76" s="51">
        <f ca="1">IF(F76&lt;OFFSET($BM$9,CN76-1,0,1,1),0,IF(F76&lt;OFFSET($BN$9,CN76-1,0,1,1),((F76-OFFSET($BM$9,CN76-1,0,1,1))*OFFSET($CH$9,CN76-1,0,1,1))+OFFSET($BO$9,CN76-1,CQ76,1,1),IF(F76&lt;OFFSET($BN$9,CN76+0,0,1,1),((F76-OFFSET($BM$9,CN76+0,0,1,1))*OFFSET($CH$9,CN76+0,0,1,1))+OFFSET($BO$9,CN76+0,CQ76,1,1),IF(F76&lt;OFFSET($BN$9,CN76+1,0,1,1),((F76-OFFSET($BM$9,CN76+1,0,1,1))*OFFSET($CH$9,CN76+1,0,1,1))+OFFSET($BO$9,CN76+1,CQ76,1,1),IF(F76&lt;OFFSET($BN$9,CN76+2,0,1,1),((F76-OFFSET($BM$9,CN76+2,0,1,1))*OFFSET($CH$9,CN76+2,0,1,1))+OFFSET($BO$9,CN76+2,CQ76,1,1),IF(F76&lt;OFFSET($BN$9,CN76+3,0,1,1),((F76-OFFSET($BM$9,CN76+3,0,1,1))*OFFSET($CH$9,CN76+3,0,1,1))+OFFSET($BO$9,CN76+3,CQ76,1,1),0))))))</f>
        <v>0</v>
      </c>
      <c r="DH76" s="51">
        <f ca="1">IF($F76&lt;OFFSET($BM$9,$CN76-1,0,1,1),0,IF($F76&lt;OFFSET($BN$9,$CN76-1,0,1,1),IF(AND($H76&gt;2.4,Z76&lt;&gt;"e",Z76&lt;&gt;"f"),DL76*2.4/$H76,DL76),IF($F76&lt;OFFSET($BN$9,$CN76+0,0,1,1),IF(AND($H76&gt;2.4,Z76&lt;&gt;"e",Z76&lt;&gt;"f"),DL76*2.4/$H76,DL76),IF($F76&lt;OFFSET($BN$9,$CN76+1,0,1,1),IF(AND($H76&gt;2.4,Z76&lt;&gt;"e",Z76&lt;&gt;"f"),DL76*2.4/$H76,DL76),IF($F76&lt;OFFSET($BN$9,$CN76+2,0,1,1),IF(AND($H76&gt;2.4,Z76&lt;&gt;"e",Z76&lt;&gt;"f"),DL76*2.4/$H76,DL76),IF($F76&lt;OFFSET($BN$9,$CN76+3,0,1,1),IF(AND($H76&gt;2.4,Z76&lt;&gt;"e",Z76&lt;&gt;"f"),DL76*2.4/$H76,DL76),0)))))*COS(RADIANS($G76)))</f>
        <v>0</v>
      </c>
      <c r="DI76" s="51">
        <f ca="1">IF(F76&lt;OFFSET($BM$9,CN76-1,0,1,1),0,IF(F76&lt;OFFSET($BN$9,CN76-1,0,1,1),((F76-OFFSET($BM$9,CN76-1,0,1,1))*OFFSET($CI$9,CN76-1,0,1,1))+OFFSET($BP$9,CN76-1,CQ76,1,1),IF(F76&lt;OFFSET($BN$9,CN76+0,0,1,1),((F76-OFFSET($BM$9,CN76+0,0,1,1))*OFFSET($CI$9,CN76+0,0,1,1))+OFFSET($BP$9,CN76+0,CQ76,1,1),IF(F76&lt;OFFSET($BN$9,CN76+1,0,1,1),((F76-OFFSET($BM$9,CN76+1,0,1,1))*OFFSET($CI$9,CN76+1,0,1,1))+OFFSET($BP$9,CN76+1,CQ76,1,1),IF(F76&lt;OFFSET($BN$9,CN76+2,0,1,1),((F76-OFFSET($BM$9,CN76+2,0,1,1))*OFFSET($CI$9,CN76+2,0,1,1))+OFFSET($BP$9,CN76+2,CQ76,1,1),IF(F76&lt;OFFSET($BN$9,CN76+3,0,1,1),((F76-OFFSET($BM$9,CN76+3,0,1,1))*OFFSET($CI$9,CN76+3,0,1,1))+OFFSET($BP$9,CN76+3,CQ76,1,1),0))))))</f>
        <v>0</v>
      </c>
      <c r="DJ76" s="51">
        <f ca="1">IF($F76&lt;OFFSET($BM$9,$CN76-1,0,1,1),0,IF($F76&lt;OFFSET($BN$9,$CN76-1,0,1,1),IF(AND($H76&gt;2.4,Z76&lt;&gt;"e",Z76&lt;&gt;"f"),DN76*2.4/$H76,DN76),IF($F76&lt;OFFSET($BN$9,$CN76+0,0,1,1),IF(AND($H76&gt;2.4,Z76&lt;&gt;"e",Z76&lt;&gt;"f"),DN76*2.4/$H76,DN76),IF($F76&lt;OFFSET($BN$9,$CN76+1,0,1,1),IF(AND($H76&gt;2.4,Z76&lt;&gt;"e",Z76&lt;&gt;"f"),DN76*2.4/$H76,DN76),IF($F76&lt;OFFSET($BN$9,$CN76+2,0,1,1),IF(AND($H76&gt;2.4,Z76&lt;&gt;"e",Z76&lt;&gt;"f"),DN76*2.4/$H76,DN76),IF($F76&lt;OFFSET($BN$9,$CN76+3,0,1,1),IF(AND($H76&gt;2.4,Z76&lt;&gt;"e",Z76&lt;&gt;"f"),DN76*2.4/$H76,DN76),0)))))*COS(RADIANS($G76)))</f>
        <v>0</v>
      </c>
      <c r="DK76" s="51"/>
      <c r="DL76" s="51">
        <f ca="1">IF(DG76&gt;$CR76,$CR76,DG76)</f>
        <v>0</v>
      </c>
      <c r="DM76" s="51"/>
      <c r="DN76" s="51">
        <f ca="1">IF(DI76&gt;$CR76,$CR76,DI76)</f>
        <v>0</v>
      </c>
      <c r="DO76" s="435">
        <f ca="1">IF(DH76&gt;$CR76,$CR76,DH76)</f>
        <v>0</v>
      </c>
      <c r="DP76" s="435">
        <f ca="1">DO76*F76</f>
        <v>0</v>
      </c>
      <c r="DQ76" s="436">
        <f ca="1">IF(DJ76&gt;$CR76,$CR76,DJ76)</f>
        <v>0</v>
      </c>
      <c r="DR76" s="437">
        <f ca="1">DQ76*F76</f>
        <v>0</v>
      </c>
      <c r="DS76" s="426">
        <f ca="1">OFFSET($CH$9,CL76-1,-15,1,1)</f>
        <v>0</v>
      </c>
      <c r="DT76" s="426">
        <f ca="1">VLOOKUP(DS76,Prodlink,2,0)</f>
        <v>0</v>
      </c>
      <c r="DU76" s="188">
        <f ca="1">IF(F76&lt;OFFSET($BM$9,DT76-1,0,1,1),0,IF(F76&lt;OFFSET($BN$9,DT76-1,0,1,1),((F76-OFFSET($BM$9,DT76-1,0,1,1))*OFFSET($CH$9,DT76-1,0,1,1))+OFFSET($BO$9,DT76-1,CQ76,1,1),IF(F76&lt;OFFSET($BN$9,DT76+0,0,1,1),((F76-OFFSET($BM$9,DT76+0,0,1,1))*OFFSET($CH$9,DT76+0,0,1,1))+OFFSET($BO$9,DT76+0,CQ76,1,1),IF(F76&lt;OFFSET($BN$9,DT76+1,0,1,1),((F76-OFFSET($BM$9,DT76+1,0,1,1))*OFFSET($CH$9,DT76+1,0,1,1))+OFFSET($BO$9,DT76+1,CQ76,1,1),IF(F76&lt;OFFSET($BN$9,DT76+2,0,1,1),((F76-OFFSET($BM$9,DT76+2,0,1,1))*OFFSET($CH$9,DT76+2,0,1,1))+OFFSET($BO$9,DT76+2,CQ76,1,1),IF(F76&lt;OFFSET($BN$9,DT76+3,0,1,1),((F76-OFFSET($BM$9,DT76+3,0,1,1))*OFFSET($CH$9,DT76+3,0,1,1))+OFFSET($BO$9,DT76+3,CQ76,1,1),0))))))</f>
        <v>0</v>
      </c>
      <c r="DV76" s="51">
        <f ca="1">IF($F76&lt;OFFSET($BM$9,$DT76-1,0,1,1),0,IF($F76&lt;OFFSET($BN$9,$DT76-1,0,1,1),IF(AND($H76&gt;2.4,Z76&lt;&gt;"e",Z76&lt;&gt;"f"),DZ76*2.4/$H76,DZ76),IF($F76&lt;OFFSET($BN$9,$DT76+0,0,1,1),IF(AND($H76&gt;2.4,Z76&lt;&gt;"e",Z76&lt;&gt;"f"),DZ76*2.4/$H76,DZ76),IF($F76&lt;OFFSET($BN$9,$DT76+1,0,1,1),IF(AND($H76&gt;2.4,Z76&lt;&gt;"e",Z76&lt;&gt;"f"),DZ76*2.4/$H76,DZ76),IF($F76&lt;OFFSET($BN$9,$DT76+2,0,1,1),IF(AND($H76&gt;2.4,Z76&lt;&gt;"e",Z76&lt;&gt;"f"),DZ76*2.4/$H76,DZ76),IF($F76&lt;OFFSET($BN$9,$DT76+3,0,1,1),IF(AND($H76&gt;2.4,Z76&lt;&gt;"e",Z76&lt;&gt;"f"),DZ76*2.4/$H76,DZ76),0)))))*COS(RADIANS($G76)))</f>
        <v>0</v>
      </c>
      <c r="DW76" s="188">
        <f ca="1">IF(F76&lt;OFFSET($BM$9,DT76-1,0,1,1),0,IF(F76&lt;OFFSET($BN$9,DT76-1,0,1,1),((F76-OFFSET($BM$9,DT76-1,0,1,1))*OFFSET($CI$9,DT76-1,0,1,1))+OFFSET($BP$9,DT76-1,CQ76,1,1),IF(F76&lt;OFFSET($BN$9,DT76+0,0,1,1),((F76-OFFSET($BM$9,DT76+0,0,1,1))*OFFSET($CI$9,DT76+0,0,1,1))+OFFSET($BP$9,DT76+0,CQ76,1,1),IF(F76&lt;OFFSET($BN$9,DT76+1,0,1,1),((F76-OFFSET($BM$9,DT76+1,0,1,1))*OFFSET($CI$9,DT76+1,0,1,1))+OFFSET($BP$9,DT76+1,CQ76,1,1),IF(F76&lt;OFFSET($BN$9,DT76+2,0,1,1),((F76-OFFSET($BM$9,DT76+2,0,1,1))*OFFSET($CI$9,DT76+2,0,1,1))+OFFSET($BP$9,DT76+2,CQ76,1,1),IF(F76&lt;OFFSET($BN$9,DT76+3,0,1,1),((F76-OFFSET($BM$9,DT76+3,0,1,1))*OFFSET($CI$9,DT76+3,0,1,1))+OFFSET($BP$9,DT76+3,CQ76,1,1),0))))))</f>
        <v>0</v>
      </c>
      <c r="DX76" s="51">
        <f ca="1">IF($F76&lt;OFFSET($BM$9,$DT76-1,0,1,1),0,IF($F76&lt;OFFSET($BN$9,$DT76-1,0,1,1),IF(AND($H76&gt;2.4,Z76&lt;&gt;"e",Z76&lt;&gt;"f"),EB76*2.4/$H76,EB76),IF($F76&lt;OFFSET($BN$9,$DT76+0,0,1,1),IF(AND($H76&gt;2.4,Z76&lt;&gt;"e",Z76&lt;&gt;"f"),EB76*2.4/$H76,EB76),IF($F76&lt;OFFSET($BN$9,$DT76+1,0,1,1),IF(AND($H76&gt;2.4,Z76&lt;&gt;"e",Z76&lt;&gt;"f"),EB76*2.4/$H76,EB76),IF($F76&lt;OFFSET($BN$9,$DT76+2,0,1,1),IF(AND($H76&gt;2.4,Z76&lt;&gt;"e",Z76&lt;&gt;"f"),EB76*2.4/$H76,EB76),IF($F76&lt;OFFSET($BN$9,$DT76+3,0,1,1),IF(AND($H76&gt;2.4,Z76&lt;&gt;"e",Z76&lt;&gt;"f"),EB76*2.4/$H76,EB76),0)))))*COS(RADIANS($G76)))</f>
        <v>0</v>
      </c>
      <c r="DY76" s="188"/>
      <c r="DZ76" s="188">
        <f ca="1">IF(DU76&gt;$CR76,$CR76,DU76)</f>
        <v>0</v>
      </c>
      <c r="EA76" s="188"/>
      <c r="EB76" s="188">
        <f ca="1">IF(DW76&gt;$CR76,$CR76,DW76)</f>
        <v>0</v>
      </c>
      <c r="EC76" s="435">
        <f ca="1">IF(DV76&gt;$CR76,$CR76,DV76)</f>
        <v>0</v>
      </c>
      <c r="ED76" s="435">
        <f ca="1">EC76*F76</f>
        <v>0</v>
      </c>
      <c r="EE76" s="436">
        <f ca="1">IF(DX76&gt;$CR76,$CR76,DX76)</f>
        <v>0</v>
      </c>
      <c r="EF76" s="437">
        <f ca="1">EE76*F76</f>
        <v>0</v>
      </c>
      <c r="EG76" s="613" t="str">
        <f>IF(D76=BG$12,BG$12,"")</f>
        <v/>
      </c>
      <c r="EH76" s="614" t="str">
        <f>IF(D76=BG$13,BG$13,"")</f>
        <v/>
      </c>
      <c r="EI76" s="611">
        <f>IF(EG76=BG$12,M76,0)</f>
        <v>0</v>
      </c>
      <c r="EJ76" s="451">
        <f>IF(EG76=BG$12,O76,0)</f>
        <v>0</v>
      </c>
      <c r="EK76" s="451">
        <f>IF(EH76=BG$13,M76,0)</f>
        <v>0</v>
      </c>
      <c r="EL76" s="612">
        <f>IF(EH76=BG$13,O76,0)</f>
        <v>0</v>
      </c>
      <c r="EM76" s="426" t="str">
        <f ca="1">IF(AND(Z76&lt;&gt;"t",Z76&lt;&gt;"f"),"",IF(AND(EN76=$BH$13,K76=$BH$12),"NotOpt",IF(K76&lt;&gt;EN76,"Error","")))</f>
        <v/>
      </c>
      <c r="EN76" s="490" t="str">
        <f>IF($BG$28=1,$BH$13,$BH$12)</f>
        <v>120 BU's</v>
      </c>
      <c r="EO76" s="426" t="str">
        <f>K76</f>
        <v xml:space="preserve"> </v>
      </c>
      <c r="ER76" s="439" t="str">
        <f ca="1">IF(H76=0," ",H76)</f>
        <v xml:space="preserve"> </v>
      </c>
      <c r="ES76" s="440" t="str">
        <f ca="1">IF(ER76&lt;&gt;" ",IF(ER76&lt;&gt;ER$7,"Changed",""),"")</f>
        <v/>
      </c>
      <c r="ET76" s="440">
        <f ca="1">IF(ER76&lt;&gt;" ",IF(ER76&lt;&gt;ER$7,1,0),0)</f>
        <v>0</v>
      </c>
      <c r="EU76" s="957" t="str">
        <f ca="1">IF(I76=" "," ",IF(F76&lt;OFFSET($BM$9,CL76-1,0,1,1),1,""))</f>
        <v xml:space="preserve"> </v>
      </c>
      <c r="EW76" s="427"/>
      <c r="EX76"/>
      <c r="EY76"/>
      <c r="EZ76"/>
      <c r="FA76"/>
      <c r="FB76"/>
      <c r="FC76"/>
      <c r="FD76"/>
      <c r="FE76"/>
      <c r="FF76"/>
      <c r="FG76"/>
      <c r="FH76"/>
      <c r="FI76"/>
      <c r="FJ76"/>
      <c r="FK76"/>
      <c r="FL76"/>
      <c r="FM76"/>
      <c r="FN76"/>
      <c r="FO76"/>
    </row>
    <row r="77" spans="1:171" ht="17.100000000000001" hidden="1" customHeight="1">
      <c r="A77" s="2685"/>
      <c r="B77" s="689" t="s">
        <v>246</v>
      </c>
      <c r="C77" s="684" t="str">
        <f>IF(OR(F77=0,I77="",I77=" ")," ",$V77)</f>
        <v xml:space="preserve"> </v>
      </c>
      <c r="D77" s="1033"/>
      <c r="E77" s="1360" t="s">
        <v>8</v>
      </c>
      <c r="F77" s="202"/>
      <c r="G77" s="1416"/>
      <c r="H77" s="199" t="str">
        <f ca="1">IF(OR(F77=0,Z77="E",Z77="f")," ",'Project Demand'!E$45)</f>
        <v xml:space="preserve"> </v>
      </c>
      <c r="I77" s="631" t="str">
        <f>IF($I$6&lt;&gt;$BG$8," ",AB77)</f>
        <v xml:space="preserve"> </v>
      </c>
      <c r="J77" s="44" t="str">
        <f ca="1">IF(OR(I77=" ",I77="")," ",OFFSET($BO$9,CL77-1,0-4,1,1))</f>
        <v xml:space="preserve"> </v>
      </c>
      <c r="K77" s="55" t="str">
        <f>IF(OR(I77=" ",I77="")," ",IF(OR(Z77="e",Z77="h"),"SD",BG$24))</f>
        <v xml:space="preserve"> </v>
      </c>
      <c r="L77" s="49">
        <f ca="1">CW77</f>
        <v>0</v>
      </c>
      <c r="M77" s="49">
        <f ca="1">CY77</f>
        <v>0</v>
      </c>
      <c r="N77" s="50">
        <f t="shared" ca="1" si="34"/>
        <v>0</v>
      </c>
      <c r="O77" s="126">
        <f t="shared" ca="1" si="34"/>
        <v>0</v>
      </c>
      <c r="P77" s="140"/>
      <c r="Q77" s="752" t="str">
        <f ca="1">IF(OR(I77=" ",I77="")," ",IF(F77&lt;OFFSET($BM$9,CL77-1,0,1,1),"check L(m)",IF(DE77&lt;&gt;"",DE77,IF(AND(DP77&gt;=CY77,DR77&gt;=DB77),IF(AND(ED77&gt;=DP77,EF77&gt;=DR77),CONCATENATE(DS77," provides same results"),CONCATENATE(CO77," provides same results")),IF((DP77&gt;=CY77),CONCATENATE(CO77," provides same result in WIND"),IF((DR77&gt;=DB77),CONCATENATE(CO77," provides same result in EQ",""),""))))))</f>
        <v xml:space="preserve"> </v>
      </c>
      <c r="R77" s="52"/>
      <c r="S77" s="1372"/>
      <c r="T77" s="1372"/>
      <c r="U77" s="1377"/>
      <c r="V77" s="52" t="str">
        <f ca="1">IF(AND(B$5=$BF$9,OR(I77=BH$16,I77=BH$17))," ",IF(ISNUMBER(B$74),(CONCATENATE(B$74,".",W77)),(CONCATENATE(B$74,W77))))</f>
        <v>L0</v>
      </c>
      <c r="W77" s="9">
        <f ca="1">W76+X77</f>
        <v>0</v>
      </c>
      <c r="X77" s="9">
        <f>IF(AND(B$5=$BF$9,OR($I77=$BH$16,$I77=$BH$17,$I77=" ",$I77="",$F77=0)),0,IF(OR($I77=" ",$I77="",$F77=0),0,1))</f>
        <v>0</v>
      </c>
      <c r="Y77" s="896"/>
      <c r="Z77" s="52" t="str">
        <f ca="1">IF(I77=" "," ",OFFSET($BM$9,$CL77-1,8,1,1))</f>
        <v xml:space="preserve"> </v>
      </c>
      <c r="AA77" s="51" t="str">
        <f>IF(G77&gt;=45,"WA","")</f>
        <v/>
      </c>
      <c r="AB77" s="1364" t="str">
        <f>IF(F77&lt;&gt;"",IF(OR(D77=$BG$12,D77=$BG$13),IF(E77&lt;&gt;$BG$17,$BF$12,$BF$13),IF(E77&lt;&gt;$BG$17,$BF$12,$BF$13))," ")</f>
        <v xml:space="preserve"> </v>
      </c>
      <c r="AC77" s="1"/>
      <c r="BD77" s="652"/>
      <c r="BI77" s="759"/>
      <c r="BJ77" s="897">
        <f t="shared" si="27"/>
        <v>69</v>
      </c>
      <c r="BK77" s="764"/>
      <c r="BL77" s="773"/>
      <c r="BM77" s="455">
        <f>Table!P19</f>
        <v>0.9</v>
      </c>
      <c r="BN77" s="455">
        <f>BM78</f>
        <v>1.2</v>
      </c>
      <c r="BO77" s="455">
        <f>Table!Q19</f>
        <v>155</v>
      </c>
      <c r="BP77" s="925">
        <f>Table!R19</f>
        <v>155</v>
      </c>
      <c r="BR77" s="764"/>
      <c r="BS77" s="455"/>
      <c r="BT77" s="455"/>
      <c r="BU77" s="925" t="s">
        <v>242</v>
      </c>
      <c r="BV77" s="895"/>
      <c r="BW77" s="912"/>
      <c r="BX77" s="925" t="str">
        <f>Table!T17</f>
        <v>Double</v>
      </c>
      <c r="CH77" s="764">
        <f>IF(BN77=999,0,(BO78-BO77)/(BN77-BM77))</f>
        <v>0</v>
      </c>
      <c r="CI77" s="925">
        <f>IF(BN77=999,0,(BP78-BP77)/(BN77-BM77))</f>
        <v>0</v>
      </c>
      <c r="CJ77" s="759"/>
      <c r="CK77" s="188"/>
      <c r="CL77" s="979">
        <f>VLOOKUP(I77,Prodlink,2,0)</f>
        <v>0</v>
      </c>
      <c r="CN77" s="497">
        <f ca="1">VLOOKUP(CO77,Prodlink,2,0)</f>
        <v>0</v>
      </c>
      <c r="CO77" s="497">
        <f ca="1">OFFSET($CH$9,CL77-1,-15,1,1)</f>
        <v>0</v>
      </c>
      <c r="CQ77" s="51">
        <v>0</v>
      </c>
      <c r="CR77" s="51">
        <f>IF(K77=$BH$12,$BH$23,IF(K77=$BH$13,$BH$24,10000))</f>
        <v>10000</v>
      </c>
      <c r="CS77" s="51">
        <f ca="1">IF(F77&lt;OFFSET($BM$9,CL77-1,0,1,1),0,IF(F77&lt;OFFSET($BN$9,CL77-1,0,1,1),((F77-OFFSET($BM$9,CL77-1,0,1,1))*OFFSET($CH$9,CL77-1,0,1,1))+OFFSET($BO$9,CL77-1,CQ77,1,1),IF(F77&lt;OFFSET($BN$9,CL77+0,0,1,1),((F77-OFFSET($BM$9,CL77+0,0,1,1))*OFFSET($CH$9,CL77+0,0,1,1))+OFFSET($BO$9,CL77+0,CQ77,1,1),IF(F77&lt;OFFSET($BN$9,CL77+1,0,1,1),((F77-OFFSET($BM$9,CL77+1,0,1,1))*OFFSET($CH$9,CL77+1,0,1,1))+OFFSET($BO$9,CL77+1,CQ77,1,1),IF(F77&lt;OFFSET($BN$9,CL77+2,0,1,1),((F77-OFFSET($BM$9,CL77+2,0,1,1))*OFFSET($CH$9,CL77+2,0,1,1))+OFFSET($BO$9,CL77+2,CQ77,1,1),IF(F77&lt;OFFSET($BN$9,CL77+3,0,1,1),((F77-OFFSET($BM$9,CL77+3,0,1,1))*OFFSET($CH$9,CL77+3,0,1,1))+OFFSET($BO$9,CL77+3,CQ77,1,1),0))))))</f>
        <v>0</v>
      </c>
      <c r="CT77" s="51">
        <f ca="1">IF($F77&lt;OFFSET($BM$9,$CL77-1,0,1,1),0,IF($F77&lt;OFFSET($BN$9,$CL77-1,0,1,1),IF(AND($H77&gt;2.4,Z77&lt;&gt;"e",Z77&lt;&gt;"f"),CX77*2.4/$H77,CX77),IF($F77&lt;OFFSET($BN$9,$CL77+0,0,1,1),IF(AND($H77&gt;2.4,Z77&lt;&gt;"e",Z77&lt;&gt;"f"),CX77*2.4/$H77,CX77),IF($F77&lt;OFFSET($BN$9,$CL77+1,0,1,1),IF(AND($H77&gt;2.4,Z77&lt;&gt;"e",Z77&lt;&gt;"f"),CX77*2.4/$H77,CX77),IF($F77&lt;OFFSET($BN$9,CL77+2,0,1,1),IF(AND($H77&gt;2.4,Z77&lt;&gt;"e",Z77&lt;&gt;"f"),CX77*2.4/$H77,CX77),IF($F77&lt;OFFSET($BN$9,CL77+3,0,1,1),IF(AND($H77&gt;2.4,Z77&lt;&gt;"e",Z77&lt;&gt;"f"),CX77*2.4/$H77,CX77),0)))))*COS(RADIANS($G77)))</f>
        <v>0</v>
      </c>
      <c r="CU77" s="51">
        <f ca="1">IF(F77&lt;OFFSET($BM$9,CL77-1,0,1,1),0,IF(F77&lt;OFFSET($BN$9,CL77-1,0,1,1),((F77-OFFSET($BM$9,CL77-1,0,1,1))*OFFSET($CI$9,CL77-1,0,1,1))+OFFSET($BP$9,CL77-1,CQ77,1,1),IF(F77&lt;OFFSET($BN$9,CL77+0,0,1,1),((F77-OFFSET($BM$9,CL77+0,0,1,1))*OFFSET($CI$9,CL77+0,0,1,1))+OFFSET($BP$9,CL77+0,CQ77,1,1),IF(F77&lt;OFFSET($BN$9,CL77+1,0,1,1),((F77-OFFSET($BM$9,CL77+1,0,1,1))*OFFSET($CI$9,CL77+1,0,1,1))+OFFSET($BP$9,CL77+1,CQ77,1,1),IF(F77&lt;OFFSET($BN$9,CL77+2,0,1,1),((F77-OFFSET($BM$9,CL77+2,0,1,1))*OFFSET($CI$9,CL77+2,0,1,1))+OFFSET($BP$9,CL77+2,CQ77,1,1),IF(F77&lt;OFFSET($BN$9,CL77+3,0,1,1),((F77-OFFSET($BM$9,CL77+3,0,1,1))*OFFSET($CI$9,CL77+3,0,1,1))+OFFSET($BP$9,CL77+3,CQ77,1,1),0))))))</f>
        <v>0</v>
      </c>
      <c r="CV77" s="51">
        <f ca="1">IF($F77&lt;OFFSET($BM$9,$CL77-1,0,1,1),0,IF($F77&lt;OFFSET($BN$9,$CL77-1,0,1,1),IF(AND($H77&gt;2.4,Z77&lt;&gt;"e",Z77&lt;&gt;"f"),CZ77*2.4/$H77,CZ77),IF($F77&lt;OFFSET($BN$9,$CL77+0,0,1,1),IF(AND($H77&gt;2.4,Z77&lt;&gt;"e",Z77&lt;&gt;"f"),CZ77*2.4/$H77,CZ77),IF($F77&lt;OFFSET($BN$9,$CL77+1,0,1,1),IF(AND($H77&gt;2.4,Z77&lt;&gt;"e",Z77&lt;&gt;"f"),CZ77*2.4/$H77,CZ77),IF($F77&lt;OFFSET($BN$9,$CL77+2,0,1,1),IF(AND($H77&gt;2.4,Z77&lt;&gt;"e",Z77&lt;&gt;"f"),CZ77*2.4/$H77,CZ77),IF($F77&lt;OFFSET($BN$9,$CL77+3,0,1,1),IF(AND($H77&gt;2.4,Z77&lt;&gt;"e",Z77&lt;&gt;"f"),CZ77*2.4/$H77,CZ77),0)))))*COS(RADIANS($G77)))</f>
        <v>0</v>
      </c>
      <c r="CW77" s="51">
        <f ca="1">IF(CT77&gt;CR77,CR77,CT77)</f>
        <v>0</v>
      </c>
      <c r="CX77" s="51">
        <f ca="1">IF(CS77&gt;$CR77,$CR77,CS77)</f>
        <v>0</v>
      </c>
      <c r="CY77" s="51">
        <f ca="1">CW77*F77</f>
        <v>0</v>
      </c>
      <c r="CZ77" s="51">
        <f ca="1">IF($CU77&gt;$CR77,$CR77,$CU77)</f>
        <v>0</v>
      </c>
      <c r="DA77" s="51">
        <f ca="1">IF(CV77&gt;CR77,CR77,CV77)</f>
        <v>0</v>
      </c>
      <c r="DB77" s="51">
        <f ca="1">DA77*F77</f>
        <v>0</v>
      </c>
      <c r="DC77" s="993">
        <v>1</v>
      </c>
      <c r="DD77" s="758" t="str">
        <f>IF(OR(D77=BG$12,D77=BG$13),"External",IF(D77=BG$14,"Internal"," "))</f>
        <v xml:space="preserve"> </v>
      </c>
      <c r="DE77" s="51" t="str">
        <f t="shared" ca="1" si="35"/>
        <v/>
      </c>
      <c r="DF77" s="52" t="str">
        <f t="shared" ca="1" si="36"/>
        <v xml:space="preserve"> </v>
      </c>
      <c r="DG77" s="51">
        <f ca="1">IF(F77&lt;OFFSET($BM$9,CN77-1,0,1,1),0,IF(F77&lt;OFFSET($BN$9,CN77-1,0,1,1),((F77-OFFSET($BM$9,CN77-1,0,1,1))*OFFSET($CH$9,CN77-1,0,1,1))+OFFSET($BO$9,CN77-1,CQ77,1,1),IF(F77&lt;OFFSET($BN$9,CN77+0,0,1,1),((F77-OFFSET($BM$9,CN77+0,0,1,1))*OFFSET($CH$9,CN77+0,0,1,1))+OFFSET($BO$9,CN77+0,CQ77,1,1),IF(F77&lt;OFFSET($BN$9,CN77+1,0,1,1),((F77-OFFSET($BM$9,CN77+1,0,1,1))*OFFSET($CH$9,CN77+1,0,1,1))+OFFSET($BO$9,CN77+1,CQ77,1,1),IF(F77&lt;OFFSET($BN$9,CN77+2,0,1,1),((F77-OFFSET($BM$9,CN77+2,0,1,1))*OFFSET($CH$9,CN77+2,0,1,1))+OFFSET($BO$9,CN77+2,CQ77,1,1),IF(F77&lt;OFFSET($BN$9,CN77+3,0,1,1),((F77-OFFSET($BM$9,CN77+3,0,1,1))*OFFSET($CH$9,CN77+3,0,1,1))+OFFSET($BO$9,CN77+3,CQ77,1,1),0))))))</f>
        <v>0</v>
      </c>
      <c r="DH77" s="51">
        <f ca="1">IF($F77&lt;OFFSET($BM$9,$CN77-1,0,1,1),0,IF($F77&lt;OFFSET($BN$9,$CN77-1,0,1,1),IF(AND($H77&gt;2.4,Z77&lt;&gt;"e",Z77&lt;&gt;"f"),DL77*2.4/$H77,DL77),IF($F77&lt;OFFSET($BN$9,$CN77+0,0,1,1),IF(AND($H77&gt;2.4,Z77&lt;&gt;"e",Z77&lt;&gt;"f"),DL77*2.4/$H77,DL77),IF($F77&lt;OFFSET($BN$9,$CN77+1,0,1,1),IF(AND($H77&gt;2.4,Z77&lt;&gt;"e",Z77&lt;&gt;"f"),DL77*2.4/$H77,DL77),IF($F77&lt;OFFSET($BN$9,$CN77+2,0,1,1),IF(AND($H77&gt;2.4,Z77&lt;&gt;"e",Z77&lt;&gt;"f"),DL77*2.4/$H77,DL77),IF($F77&lt;OFFSET($BN$9,$CN77+3,0,1,1),IF(AND($H77&gt;2.4,Z77&lt;&gt;"e",Z77&lt;&gt;"f"),DL77*2.4/$H77,DL77),0)))))*COS(RADIANS($G77)))</f>
        <v>0</v>
      </c>
      <c r="DI77" s="51">
        <f ca="1">IF(F77&lt;OFFSET($BM$9,CN77-1,0,1,1),0,IF(F77&lt;OFFSET($BN$9,CN77-1,0,1,1),((F77-OFFSET($BM$9,CN77-1,0,1,1))*OFFSET($CI$9,CN77-1,0,1,1))+OFFSET($BP$9,CN77-1,CQ77,1,1),IF(F77&lt;OFFSET($BN$9,CN77+0,0,1,1),((F77-OFFSET($BM$9,CN77+0,0,1,1))*OFFSET($CI$9,CN77+0,0,1,1))+OFFSET($BP$9,CN77+0,CQ77,1,1),IF(F77&lt;OFFSET($BN$9,CN77+1,0,1,1),((F77-OFFSET($BM$9,CN77+1,0,1,1))*OFFSET($CI$9,CN77+1,0,1,1))+OFFSET($BP$9,CN77+1,CQ77,1,1),IF(F77&lt;OFFSET($BN$9,CN77+2,0,1,1),((F77-OFFSET($BM$9,CN77+2,0,1,1))*OFFSET($CI$9,CN77+2,0,1,1))+OFFSET($BP$9,CN77+2,CQ77,1,1),IF(F77&lt;OFFSET($BN$9,CN77+3,0,1,1),((F77-OFFSET($BM$9,CN77+3,0,1,1))*OFFSET($CI$9,CN77+3,0,1,1))+OFFSET($BP$9,CN77+3,CQ77,1,1),0))))))</f>
        <v>0</v>
      </c>
      <c r="DJ77" s="51">
        <f ca="1">IF($F77&lt;OFFSET($BM$9,$CN77-1,0,1,1),0,IF($F77&lt;OFFSET($BN$9,$CN77-1,0,1,1),IF(AND($H77&gt;2.4,Z77&lt;&gt;"e",Z77&lt;&gt;"f"),DN77*2.4/$H77,DN77),IF($F77&lt;OFFSET($BN$9,$CN77+0,0,1,1),IF(AND($H77&gt;2.4,Z77&lt;&gt;"e",Z77&lt;&gt;"f"),DN77*2.4/$H77,DN77),IF($F77&lt;OFFSET($BN$9,$CN77+1,0,1,1),IF(AND($H77&gt;2.4,Z77&lt;&gt;"e",Z77&lt;&gt;"f"),DN77*2.4/$H77,DN77),IF($F77&lt;OFFSET($BN$9,$CN77+2,0,1,1),IF(AND($H77&gt;2.4,Z77&lt;&gt;"e",Z77&lt;&gt;"f"),DN77*2.4/$H77,DN77),IF($F77&lt;OFFSET($BN$9,$CN77+3,0,1,1),IF(AND($H77&gt;2.4,Z77&lt;&gt;"e",Z77&lt;&gt;"f"),DN77*2.4/$H77,DN77),0)))))*COS(RADIANS($G77)))</f>
        <v>0</v>
      </c>
      <c r="DK77" s="51"/>
      <c r="DL77" s="51">
        <f ca="1">IF(DG77&gt;$CR77,$CR77,DG77)</f>
        <v>0</v>
      </c>
      <c r="DM77" s="51"/>
      <c r="DN77" s="51">
        <f ca="1">IF(DI77&gt;$CR77,$CR77,DI77)</f>
        <v>0</v>
      </c>
      <c r="DO77" s="435">
        <f ca="1">IF(DH77&gt;$CR77,$CR77,DH77)</f>
        <v>0</v>
      </c>
      <c r="DP77" s="435">
        <f ca="1">DO77*F77</f>
        <v>0</v>
      </c>
      <c r="DQ77" s="436">
        <f ca="1">IF(DJ77&gt;$CR77,$CR77,DJ77)</f>
        <v>0</v>
      </c>
      <c r="DR77" s="437">
        <f ca="1">DQ77*F77</f>
        <v>0</v>
      </c>
      <c r="DS77" s="426">
        <f ca="1">OFFSET($CH$9,CL77-1,-15,1,1)</f>
        <v>0</v>
      </c>
      <c r="DT77" s="426">
        <f ca="1">VLOOKUP(DS77,Prodlink,2,0)</f>
        <v>0</v>
      </c>
      <c r="DU77" s="188">
        <f ca="1">IF(F77&lt;OFFSET($BM$9,DT77-1,0,1,1),0,IF(F77&lt;OFFSET($BN$9,DT77-1,0,1,1),((F77-OFFSET($BM$9,DT77-1,0,1,1))*OFFSET($CH$9,DT77-1,0,1,1))+OFFSET($BO$9,DT77-1,CQ77,1,1),IF(F77&lt;OFFSET($BN$9,DT77+0,0,1,1),((F77-OFFSET($BM$9,DT77+0,0,1,1))*OFFSET($CH$9,DT77+0,0,1,1))+OFFSET($BO$9,DT77+0,CQ77,1,1),IF(F77&lt;OFFSET($BN$9,DT77+1,0,1,1),((F77-OFFSET($BM$9,DT77+1,0,1,1))*OFFSET($CH$9,DT77+1,0,1,1))+OFFSET($BO$9,DT77+1,CQ77,1,1),IF(F77&lt;OFFSET($BN$9,DT77+2,0,1,1),((F77-OFFSET($BM$9,DT77+2,0,1,1))*OFFSET($CH$9,DT77+2,0,1,1))+OFFSET($BO$9,DT77+2,CQ77,1,1),IF(F77&lt;OFFSET($BN$9,DT77+3,0,1,1),((F77-OFFSET($BM$9,DT77+3,0,1,1))*OFFSET($CH$9,DT77+3,0,1,1))+OFFSET($BO$9,DT77+3,CQ77,1,1),0))))))</f>
        <v>0</v>
      </c>
      <c r="DV77" s="51">
        <f ca="1">IF($F77&lt;OFFSET($BM$9,$DT77-1,0,1,1),0,IF($F77&lt;OFFSET($BN$9,$DT77-1,0,1,1),IF(AND($H77&gt;2.4,Z77&lt;&gt;"e",Z77&lt;&gt;"f"),DZ77*2.4/$H77,DZ77),IF($F77&lt;OFFSET($BN$9,$DT77+0,0,1,1),IF(AND($H77&gt;2.4,Z77&lt;&gt;"e",Z77&lt;&gt;"f"),DZ77*2.4/$H77,DZ77),IF($F77&lt;OFFSET($BN$9,$DT77+1,0,1,1),IF(AND($H77&gt;2.4,Z77&lt;&gt;"e",Z77&lt;&gt;"f"),DZ77*2.4/$H77,DZ77),IF($F77&lt;OFFSET($BN$9,$DT77+2,0,1,1),IF(AND($H77&gt;2.4,Z77&lt;&gt;"e",Z77&lt;&gt;"f"),DZ77*2.4/$H77,DZ77),IF($F77&lt;OFFSET($BN$9,$DT77+3,0,1,1),IF(AND($H77&gt;2.4,Z77&lt;&gt;"e",Z77&lt;&gt;"f"),DZ77*2.4/$H77,DZ77),0)))))*COS(RADIANS($G77)))</f>
        <v>0</v>
      </c>
      <c r="DW77" s="188">
        <f ca="1">IF(F77&lt;OFFSET($BM$9,DT77-1,0,1,1),0,IF(F77&lt;OFFSET($BN$9,DT77-1,0,1,1),((F77-OFFSET($BM$9,DT77-1,0,1,1))*OFFSET($CI$9,DT77-1,0,1,1))+OFFSET($BP$9,DT77-1,CQ77,1,1),IF(F77&lt;OFFSET($BN$9,DT77+0,0,1,1),((F77-OFFSET($BM$9,DT77+0,0,1,1))*OFFSET($CI$9,DT77+0,0,1,1))+OFFSET($BP$9,DT77+0,CQ77,1,1),IF(F77&lt;OFFSET($BN$9,DT77+1,0,1,1),((F77-OFFSET($BM$9,DT77+1,0,1,1))*OFFSET($CI$9,DT77+1,0,1,1))+OFFSET($BP$9,DT77+1,CQ77,1,1),IF(F77&lt;OFFSET($BN$9,DT77+2,0,1,1),((F77-OFFSET($BM$9,DT77+2,0,1,1))*OFFSET($CI$9,DT77+2,0,1,1))+OFFSET($BP$9,DT77+2,CQ77,1,1),IF(F77&lt;OFFSET($BN$9,DT77+3,0,1,1),((F77-OFFSET($BM$9,DT77+3,0,1,1))*OFFSET($CI$9,DT77+3,0,1,1))+OFFSET($BP$9,DT77+3,CQ77,1,1),0))))))</f>
        <v>0</v>
      </c>
      <c r="DX77" s="51">
        <f ca="1">IF($F77&lt;OFFSET($BM$9,$DT77-1,0,1,1),0,IF($F77&lt;OFFSET($BN$9,$DT77-1,0,1,1),IF(AND($H77&gt;2.4,Z77&lt;&gt;"e",Z77&lt;&gt;"f"),EB77*2.4/$H77,EB77),IF($F77&lt;OFFSET($BN$9,$DT77+0,0,1,1),IF(AND($H77&gt;2.4,Z77&lt;&gt;"e",Z77&lt;&gt;"f"),EB77*2.4/$H77,EB77),IF($F77&lt;OFFSET($BN$9,$DT77+1,0,1,1),IF(AND($H77&gt;2.4,Z77&lt;&gt;"e",Z77&lt;&gt;"f"),EB77*2.4/$H77,EB77),IF($F77&lt;OFFSET($BN$9,$DT77+2,0,1,1),IF(AND($H77&gt;2.4,Z77&lt;&gt;"e",Z77&lt;&gt;"f"),EB77*2.4/$H77,EB77),IF($F77&lt;OFFSET($BN$9,$DT77+3,0,1,1),IF(AND($H77&gt;2.4,Z77&lt;&gt;"e",Z77&lt;&gt;"f"),EB77*2.4/$H77,EB77),0)))))*COS(RADIANS($G77)))</f>
        <v>0</v>
      </c>
      <c r="DY77" s="188"/>
      <c r="DZ77" s="188">
        <f ca="1">IF(DU77&gt;$CR77,$CR77,DU77)</f>
        <v>0</v>
      </c>
      <c r="EA77" s="188"/>
      <c r="EB77" s="188">
        <f ca="1">IF(DW77&gt;$CR77,$CR77,DW77)</f>
        <v>0</v>
      </c>
      <c r="EC77" s="435">
        <f ca="1">IF(DV77&gt;$CR77,$CR77,DV77)</f>
        <v>0</v>
      </c>
      <c r="ED77" s="435">
        <f ca="1">EC77*F77</f>
        <v>0</v>
      </c>
      <c r="EE77" s="436">
        <f ca="1">IF(DX77&gt;$CR77,$CR77,DX77)</f>
        <v>0</v>
      </c>
      <c r="EF77" s="437">
        <f ca="1">EE77*F77</f>
        <v>0</v>
      </c>
      <c r="EG77" s="613" t="str">
        <f>IF(D77=BG$12,BG$12,"")</f>
        <v/>
      </c>
      <c r="EH77" s="614" t="str">
        <f>IF(D77=BG$13,BG$13,"")</f>
        <v/>
      </c>
      <c r="EI77" s="611">
        <f>IF(EG77=BG$12,M77,0)</f>
        <v>0</v>
      </c>
      <c r="EJ77" s="451">
        <f>IF(EG77=BG$12,O77,0)</f>
        <v>0</v>
      </c>
      <c r="EK77" s="451">
        <f>IF(EH77=BG$13,M77,0)</f>
        <v>0</v>
      </c>
      <c r="EL77" s="612">
        <f>IF(EH77=BG$13,O77,0)</f>
        <v>0</v>
      </c>
      <c r="EM77" s="426" t="str">
        <f ca="1">IF(AND(Z77&lt;&gt;"t",Z77&lt;&gt;"f"),"",IF(AND(EN77=$BH$13,K77=$BH$12),"NotOpt",IF(K77&lt;&gt;EN77,"Error","")))</f>
        <v/>
      </c>
      <c r="EN77" s="490" t="str">
        <f>IF($BG$28=1,$BH$13,$BH$12)</f>
        <v>120 BU's</v>
      </c>
      <c r="EO77" s="426" t="str">
        <f>K77</f>
        <v xml:space="preserve"> </v>
      </c>
      <c r="ER77" s="439" t="str">
        <f ca="1">IF(H77=0," ",H77)</f>
        <v xml:space="preserve"> </v>
      </c>
      <c r="ES77" s="440" t="str">
        <f ca="1">IF(ER77&lt;&gt;" ",IF(ER77&lt;&gt;ER$7,"Changed",""),"")</f>
        <v/>
      </c>
      <c r="ET77" s="440">
        <f ca="1">IF(ER77&lt;&gt;" ",IF(ER77&lt;&gt;ER$7,1,0),0)</f>
        <v>0</v>
      </c>
      <c r="EU77" s="957" t="str">
        <f ca="1">IF(I77=" "," ",IF(F77&lt;OFFSET($BM$9,CL77-1,0,1,1),1,""))</f>
        <v xml:space="preserve"> </v>
      </c>
      <c r="EW77" s="427"/>
      <c r="EX77"/>
      <c r="EY77"/>
      <c r="EZ77"/>
      <c r="FA77"/>
      <c r="FB77"/>
      <c r="FC77"/>
      <c r="FD77"/>
      <c r="FE77"/>
      <c r="FF77"/>
      <c r="FG77"/>
      <c r="FH77"/>
      <c r="FI77"/>
      <c r="FJ77"/>
      <c r="FK77"/>
      <c r="FL77"/>
      <c r="FM77"/>
      <c r="FN77"/>
      <c r="FO77"/>
    </row>
    <row r="78" spans="1:171" ht="17.100000000000001" hidden="1" customHeight="1" thickBot="1">
      <c r="A78" s="2685"/>
      <c r="B78" s="689" t="s">
        <v>246</v>
      </c>
      <c r="C78" s="684" t="str">
        <f>IF(OR(F78=0,I78="",I78=" ")," ",$V78)</f>
        <v xml:space="preserve"> </v>
      </c>
      <c r="D78" s="1033"/>
      <c r="E78" s="1360" t="s">
        <v>8</v>
      </c>
      <c r="F78" s="202"/>
      <c r="G78" s="1416"/>
      <c r="H78" s="199" t="str">
        <f ca="1">IF(OR(F78=0,Z78="E",Z78="f")," ",'Project Demand'!E$45)</f>
        <v xml:space="preserve"> </v>
      </c>
      <c r="I78" s="631" t="str">
        <f>IF($I$6&lt;&gt;$BG$8," ",AB78)</f>
        <v xml:space="preserve"> </v>
      </c>
      <c r="J78" s="44" t="str">
        <f ca="1">IF(OR(I78=" ",I78="")," ",OFFSET($BO$9,CL78-1,0-4,1,1))</f>
        <v xml:space="preserve"> </v>
      </c>
      <c r="K78" s="55" t="str">
        <f>IF(OR(I78=" ",I78="")," ",IF(OR(Z78="e",Z78="h"),"SD",BG$24))</f>
        <v xml:space="preserve"> </v>
      </c>
      <c r="L78" s="49">
        <f ca="1">CW78</f>
        <v>0</v>
      </c>
      <c r="M78" s="49">
        <f ca="1">CY78</f>
        <v>0</v>
      </c>
      <c r="N78" s="50">
        <f t="shared" ca="1" si="34"/>
        <v>0</v>
      </c>
      <c r="O78" s="126">
        <f t="shared" ca="1" si="34"/>
        <v>0</v>
      </c>
      <c r="P78" s="140"/>
      <c r="Q78" s="752" t="str">
        <f ca="1">IF(OR(I78=" ",I78="")," ",IF(F78&lt;OFFSET($BM$9,CL78-1,0,1,1),"check L(m)",IF(DE78&lt;&gt;"",DE78,IF(AND(DP78&gt;=CY78,DR78&gt;=DB78),IF(AND(ED78&gt;=DP78,EF78&gt;=DR78),CONCATENATE(DS78," provides same results"),CONCATENATE(CO78," provides same results")),IF((DP78&gt;=CY78),CONCATENATE(CO78," provides same result in WIND"),IF((DR78&gt;=DB78),CONCATENATE(CO78," provides same result in EQ",""),""))))))</f>
        <v xml:space="preserve"> </v>
      </c>
      <c r="R78" s="52"/>
      <c r="S78" s="1372"/>
      <c r="T78" s="1372"/>
      <c r="U78" s="1377"/>
      <c r="V78" s="52" t="str">
        <f ca="1">IF(AND(B$5=$BF$9,OR(I78=BH$16,I78=BH$17))," ",IF(ISNUMBER(B$74),(CONCATENATE(B$74,".",W78)),(CONCATENATE(B$74,W78))))</f>
        <v>L0</v>
      </c>
      <c r="W78" s="9">
        <f ca="1">W77+X78</f>
        <v>0</v>
      </c>
      <c r="X78" s="9">
        <f>IF(AND(B$5=$BF$9,OR($I78=$BH$16,$I78=$BH$17,$I78=" ",$I78="",$F78=0)),0,IF(OR($I78=" ",$I78="",$F78=0),0,1))</f>
        <v>0</v>
      </c>
      <c r="Y78" s="896"/>
      <c r="Z78" s="52" t="str">
        <f ca="1">IF(I78=" "," ",OFFSET($BM$9,$CL78-1,8,1,1))</f>
        <v xml:space="preserve"> </v>
      </c>
      <c r="AA78" s="51" t="str">
        <f>IF(G78&gt;=45,"WA","")</f>
        <v/>
      </c>
      <c r="AB78" s="1364" t="str">
        <f>IF(F78&lt;&gt;"",IF(OR(D78=$BG$12,D78=$BG$13),IF(E78&lt;&gt;$BG$17,$BF$12,$BF$13),IF(E78&lt;&gt;$BG$17,$BF$12,$BF$13))," ")</f>
        <v xml:space="preserve"> </v>
      </c>
      <c r="AC78" s="1"/>
      <c r="BD78" s="652"/>
      <c r="BI78" s="759"/>
      <c r="BJ78" s="897">
        <f t="shared" si="27"/>
        <v>70</v>
      </c>
      <c r="BK78" s="908"/>
      <c r="BL78" s="774"/>
      <c r="BM78" s="776">
        <f>Table!P20</f>
        <v>1.2</v>
      </c>
      <c r="BN78" s="776">
        <v>999</v>
      </c>
      <c r="BO78" s="776">
        <f>Table!Q20</f>
        <v>155</v>
      </c>
      <c r="BP78" s="926">
        <f>Table!R20</f>
        <v>155</v>
      </c>
      <c r="BQ78" s="1183"/>
      <c r="BR78" s="908"/>
      <c r="BS78" s="776"/>
      <c r="BT78" s="776"/>
      <c r="BU78" s="926" t="s">
        <v>242</v>
      </c>
      <c r="BV78" s="433"/>
      <c r="BW78" s="914"/>
      <c r="BX78" s="926" t="str">
        <f>Table!T17</f>
        <v>Double</v>
      </c>
      <c r="CH78" s="908">
        <f>IF(BN78=999,0,(BO79-BO78)/(BN78-BM78))</f>
        <v>0</v>
      </c>
      <c r="CI78" s="926">
        <f>IF(BN78=999,0,(BP79-BP78)/(BN78-BM78))</f>
        <v>0</v>
      </c>
      <c r="CJ78" s="759"/>
      <c r="CK78" s="188"/>
      <c r="CL78" s="979">
        <f>VLOOKUP(I78,Prodlink,2,0)</f>
        <v>0</v>
      </c>
      <c r="CN78" s="497">
        <f ca="1">VLOOKUP(CO78,Prodlink,2,0)</f>
        <v>0</v>
      </c>
      <c r="CO78" s="497">
        <f ca="1">OFFSET($CH$9,CL78-1,-15,1,1)</f>
        <v>0</v>
      </c>
      <c r="CQ78" s="51">
        <v>0</v>
      </c>
      <c r="CR78" s="51">
        <f>IF(K78=$BH$12,$BH$23,IF(K78=$BH$13,$BH$24,10000))</f>
        <v>10000</v>
      </c>
      <c r="CS78" s="51">
        <f ca="1">IF(F78&lt;OFFSET($BM$9,CL78-1,0,1,1),0,IF(F78&lt;OFFSET($BN$9,CL78-1,0,1,1),((F78-OFFSET($BM$9,CL78-1,0,1,1))*OFFSET($CH$9,CL78-1,0,1,1))+OFFSET($BO$9,CL78-1,CQ78,1,1),IF(F78&lt;OFFSET($BN$9,CL78+0,0,1,1),((F78-OFFSET($BM$9,CL78+0,0,1,1))*OFFSET($CH$9,CL78+0,0,1,1))+OFFSET($BO$9,CL78+0,CQ78,1,1),IF(F78&lt;OFFSET($BN$9,CL78+1,0,1,1),((F78-OFFSET($BM$9,CL78+1,0,1,1))*OFFSET($CH$9,CL78+1,0,1,1))+OFFSET($BO$9,CL78+1,CQ78,1,1),IF(F78&lt;OFFSET($BN$9,CL78+2,0,1,1),((F78-OFFSET($BM$9,CL78+2,0,1,1))*OFFSET($CH$9,CL78+2,0,1,1))+OFFSET($BO$9,CL78+2,CQ78,1,1),IF(F78&lt;OFFSET($BN$9,CL78+3,0,1,1),((F78-OFFSET($BM$9,CL78+3,0,1,1))*OFFSET($CH$9,CL78+3,0,1,1))+OFFSET($BO$9,CL78+3,CQ78,1,1),0))))))</f>
        <v>0</v>
      </c>
      <c r="CT78" s="51">
        <f ca="1">IF($F78&lt;OFFSET($BM$9,$CL78-1,0,1,1),0,IF($F78&lt;OFFSET($BN$9,$CL78-1,0,1,1),IF(AND($H78&gt;2.4,Z78&lt;&gt;"e",Z78&lt;&gt;"f"),CX78*2.4/$H78,CX78),IF($F78&lt;OFFSET($BN$9,$CL78+0,0,1,1),IF(AND($H78&gt;2.4,Z78&lt;&gt;"e",Z78&lt;&gt;"f"),CX78*2.4/$H78,CX78),IF($F78&lt;OFFSET($BN$9,$CL78+1,0,1,1),IF(AND($H78&gt;2.4,Z78&lt;&gt;"e",Z78&lt;&gt;"f"),CX78*2.4/$H78,CX78),IF($F78&lt;OFFSET($BN$9,CL78+2,0,1,1),IF(AND($H78&gt;2.4,Z78&lt;&gt;"e",Z78&lt;&gt;"f"),CX78*2.4/$H78,CX78),IF($F78&lt;OFFSET($BN$9,CL78+3,0,1,1),IF(AND($H78&gt;2.4,Z78&lt;&gt;"e",Z78&lt;&gt;"f"),CX78*2.4/$H78,CX78),0)))))*COS(RADIANS($G78)))</f>
        <v>0</v>
      </c>
      <c r="CU78" s="51">
        <f ca="1">IF(F78&lt;OFFSET($BM$9,CL78-1,0,1,1),0,IF(F78&lt;OFFSET($BN$9,CL78-1,0,1,1),((F78-OFFSET($BM$9,CL78-1,0,1,1))*OFFSET($CI$9,CL78-1,0,1,1))+OFFSET($BP$9,CL78-1,CQ78,1,1),IF(F78&lt;OFFSET($BN$9,CL78+0,0,1,1),((F78-OFFSET($BM$9,CL78+0,0,1,1))*OFFSET($CI$9,CL78+0,0,1,1))+OFFSET($BP$9,CL78+0,CQ78,1,1),IF(F78&lt;OFFSET($BN$9,CL78+1,0,1,1),((F78-OFFSET($BM$9,CL78+1,0,1,1))*OFFSET($CI$9,CL78+1,0,1,1))+OFFSET($BP$9,CL78+1,CQ78,1,1),IF(F78&lt;OFFSET($BN$9,CL78+2,0,1,1),((F78-OFFSET($BM$9,CL78+2,0,1,1))*OFFSET($CI$9,CL78+2,0,1,1))+OFFSET($BP$9,CL78+2,CQ78,1,1),IF(F78&lt;OFFSET($BN$9,CL78+3,0,1,1),((F78-OFFSET($BM$9,CL78+3,0,1,1))*OFFSET($CI$9,CL78+3,0,1,1))+OFFSET($BP$9,CL78+3,CQ78,1,1),0))))))</f>
        <v>0</v>
      </c>
      <c r="CV78" s="51">
        <f ca="1">IF($F78&lt;OFFSET($BM$9,$CL78-1,0,1,1),0,IF($F78&lt;OFFSET($BN$9,$CL78-1,0,1,1),IF(AND($H78&gt;2.4,Z78&lt;&gt;"e",Z78&lt;&gt;"f"),CZ78*2.4/$H78,CZ78),IF($F78&lt;OFFSET($BN$9,$CL78+0,0,1,1),IF(AND($H78&gt;2.4,Z78&lt;&gt;"e",Z78&lt;&gt;"f"),CZ78*2.4/$H78,CZ78),IF($F78&lt;OFFSET($BN$9,$CL78+1,0,1,1),IF(AND($H78&gt;2.4,Z78&lt;&gt;"e",Z78&lt;&gt;"f"),CZ78*2.4/$H78,CZ78),IF($F78&lt;OFFSET($BN$9,$CL78+2,0,1,1),IF(AND($H78&gt;2.4,Z78&lt;&gt;"e",Z78&lt;&gt;"f"),CZ78*2.4/$H78,CZ78),IF($F78&lt;OFFSET($BN$9,$CL78+3,0,1,1),IF(AND($H78&gt;2.4,Z78&lt;&gt;"e",Z78&lt;&gt;"f"),CZ78*2.4/$H78,CZ78),0)))))*COS(RADIANS($G78)))</f>
        <v>0</v>
      </c>
      <c r="CW78" s="51">
        <f ca="1">IF(CT78&gt;CR78,CR78,CT78)</f>
        <v>0</v>
      </c>
      <c r="CX78" s="51">
        <f ca="1">IF(CS78&gt;$CR78,$CR78,CS78)</f>
        <v>0</v>
      </c>
      <c r="CY78" s="51">
        <f ca="1">CW78*F78</f>
        <v>0</v>
      </c>
      <c r="CZ78" s="51">
        <f ca="1">IF($CU78&gt;$CR78,$CR78,$CU78)</f>
        <v>0</v>
      </c>
      <c r="DA78" s="51">
        <f ca="1">IF(CV78&gt;CR78,CR78,CV78)</f>
        <v>0</v>
      </c>
      <c r="DB78" s="51">
        <f ca="1">DA78*F78</f>
        <v>0</v>
      </c>
      <c r="DC78" s="993">
        <v>1</v>
      </c>
      <c r="DD78" s="758" t="str">
        <f>IF(OR(D78=BG$12,D78=BG$13),"External",IF(D78=BG$14,"Internal"," "))</f>
        <v xml:space="preserve"> </v>
      </c>
      <c r="DE78" s="51" t="str">
        <f t="shared" ca="1" si="35"/>
        <v/>
      </c>
      <c r="DF78" s="52" t="str">
        <f t="shared" ca="1" si="36"/>
        <v xml:space="preserve"> </v>
      </c>
      <c r="DG78" s="51">
        <f ca="1">IF(F78&lt;OFFSET($BM$9,CN78-1,0,1,1),0,IF(F78&lt;OFFSET($BN$9,CN78-1,0,1,1),((F78-OFFSET($BM$9,CN78-1,0,1,1))*OFFSET($CH$9,CN78-1,0,1,1))+OFFSET($BO$9,CN78-1,CQ78,1,1),IF(F78&lt;OFFSET($BN$9,CN78+0,0,1,1),((F78-OFFSET($BM$9,CN78+0,0,1,1))*OFFSET($CH$9,CN78+0,0,1,1))+OFFSET($BO$9,CN78+0,CQ78,1,1),IF(F78&lt;OFFSET($BN$9,CN78+1,0,1,1),((F78-OFFSET($BM$9,CN78+1,0,1,1))*OFFSET($CH$9,CN78+1,0,1,1))+OFFSET($BO$9,CN78+1,CQ78,1,1),IF(F78&lt;OFFSET($BN$9,CN78+2,0,1,1),((F78-OFFSET($BM$9,CN78+2,0,1,1))*OFFSET($CH$9,CN78+2,0,1,1))+OFFSET($BO$9,CN78+2,CQ78,1,1),IF(F78&lt;OFFSET($BN$9,CN78+3,0,1,1),((F78-OFFSET($BM$9,CN78+3,0,1,1))*OFFSET($CH$9,CN78+3,0,1,1))+OFFSET($BO$9,CN78+3,CQ78,1,1),0))))))</f>
        <v>0</v>
      </c>
      <c r="DH78" s="51">
        <f ca="1">IF($F78&lt;OFFSET($BM$9,$CN78-1,0,1,1),0,IF($F78&lt;OFFSET($BN$9,$CN78-1,0,1,1),IF(AND($H78&gt;2.4,Z78&lt;&gt;"e",Z78&lt;&gt;"f"),DL78*2.4/$H78,DL78),IF($F78&lt;OFFSET($BN$9,$CN78+0,0,1,1),IF(AND($H78&gt;2.4,Z78&lt;&gt;"e",Z78&lt;&gt;"f"),DL78*2.4/$H78,DL78),IF($F78&lt;OFFSET($BN$9,$CN78+1,0,1,1),IF(AND($H78&gt;2.4,Z78&lt;&gt;"e",Z78&lt;&gt;"f"),DL78*2.4/$H78,DL78),IF($F78&lt;OFFSET($BN$9,$CN78+2,0,1,1),IF(AND($H78&gt;2.4,Z78&lt;&gt;"e",Z78&lt;&gt;"f"),DL78*2.4/$H78,DL78),IF($F78&lt;OFFSET($BN$9,$CN78+3,0,1,1),IF(AND($H78&gt;2.4,Z78&lt;&gt;"e",Z78&lt;&gt;"f"),DL78*2.4/$H78,DL78),0)))))*COS(RADIANS($G78)))</f>
        <v>0</v>
      </c>
      <c r="DI78" s="51">
        <f ca="1">IF(F78&lt;OFFSET($BM$9,CN78-1,0,1,1),0,IF(F78&lt;OFFSET($BN$9,CN78-1,0,1,1),((F78-OFFSET($BM$9,CN78-1,0,1,1))*OFFSET($CI$9,CN78-1,0,1,1))+OFFSET($BP$9,CN78-1,CQ78,1,1),IF(F78&lt;OFFSET($BN$9,CN78+0,0,1,1),((F78-OFFSET($BM$9,CN78+0,0,1,1))*OFFSET($CI$9,CN78+0,0,1,1))+OFFSET($BP$9,CN78+0,CQ78,1,1),IF(F78&lt;OFFSET($BN$9,CN78+1,0,1,1),((F78-OFFSET($BM$9,CN78+1,0,1,1))*OFFSET($CI$9,CN78+1,0,1,1))+OFFSET($BP$9,CN78+1,CQ78,1,1),IF(F78&lt;OFFSET($BN$9,CN78+2,0,1,1),((F78-OFFSET($BM$9,CN78+2,0,1,1))*OFFSET($CI$9,CN78+2,0,1,1))+OFFSET($BP$9,CN78+2,CQ78,1,1),IF(F78&lt;OFFSET($BN$9,CN78+3,0,1,1),((F78-OFFSET($BM$9,CN78+3,0,1,1))*OFFSET($CI$9,CN78+3,0,1,1))+OFFSET($BP$9,CN78+3,CQ78,1,1),0))))))</f>
        <v>0</v>
      </c>
      <c r="DJ78" s="51">
        <f ca="1">IF($F78&lt;OFFSET($BM$9,$CN78-1,0,1,1),0,IF($F78&lt;OFFSET($BN$9,$CN78-1,0,1,1),IF(AND($H78&gt;2.4,Z78&lt;&gt;"e",Z78&lt;&gt;"f"),DN78*2.4/$H78,DN78),IF($F78&lt;OFFSET($BN$9,$CN78+0,0,1,1),IF(AND($H78&gt;2.4,Z78&lt;&gt;"e",Z78&lt;&gt;"f"),DN78*2.4/$H78,DN78),IF($F78&lt;OFFSET($BN$9,$CN78+1,0,1,1),IF(AND($H78&gt;2.4,Z78&lt;&gt;"e",Z78&lt;&gt;"f"),DN78*2.4/$H78,DN78),IF($F78&lt;OFFSET($BN$9,$CN78+2,0,1,1),IF(AND($H78&gt;2.4,Z78&lt;&gt;"e",Z78&lt;&gt;"f"),DN78*2.4/$H78,DN78),IF($F78&lt;OFFSET($BN$9,$CN78+3,0,1,1),IF(AND($H78&gt;2.4,Z78&lt;&gt;"e",Z78&lt;&gt;"f"),DN78*2.4/$H78,DN78),0)))))*COS(RADIANS($G78)))</f>
        <v>0</v>
      </c>
      <c r="DK78" s="51"/>
      <c r="DL78" s="51">
        <f ca="1">IF(DG78&gt;$CR78,$CR78,DG78)</f>
        <v>0</v>
      </c>
      <c r="DM78" s="51"/>
      <c r="DN78" s="51">
        <f ca="1">IF(DI78&gt;$CR78,$CR78,DI78)</f>
        <v>0</v>
      </c>
      <c r="DO78" s="435">
        <f ca="1">IF(DH78&gt;$CR78,$CR78,DH78)</f>
        <v>0</v>
      </c>
      <c r="DP78" s="435">
        <f ca="1">DO78*F78</f>
        <v>0</v>
      </c>
      <c r="DQ78" s="436">
        <f ca="1">IF(DJ78&gt;$CR78,$CR78,DJ78)</f>
        <v>0</v>
      </c>
      <c r="DR78" s="437">
        <f ca="1">DQ78*F78</f>
        <v>0</v>
      </c>
      <c r="DS78" s="426">
        <f ca="1">OFFSET($CH$9,CL78-1,-15,1,1)</f>
        <v>0</v>
      </c>
      <c r="DT78" s="426">
        <f ca="1">VLOOKUP(DS78,Prodlink,2,0)</f>
        <v>0</v>
      </c>
      <c r="DU78" s="188">
        <f ca="1">IF(F78&lt;OFFSET($BM$9,DT78-1,0,1,1),0,IF(F78&lt;OFFSET($BN$9,DT78-1,0,1,1),((F78-OFFSET($BM$9,DT78-1,0,1,1))*OFFSET($CH$9,DT78-1,0,1,1))+OFFSET($BO$9,DT78-1,CQ78,1,1),IF(F78&lt;OFFSET($BN$9,DT78+0,0,1,1),((F78-OFFSET($BM$9,DT78+0,0,1,1))*OFFSET($CH$9,DT78+0,0,1,1))+OFFSET($BO$9,DT78+0,CQ78,1,1),IF(F78&lt;OFFSET($BN$9,DT78+1,0,1,1),((F78-OFFSET($BM$9,DT78+1,0,1,1))*OFFSET($CH$9,DT78+1,0,1,1))+OFFSET($BO$9,DT78+1,CQ78,1,1),IF(F78&lt;OFFSET($BN$9,DT78+2,0,1,1),((F78-OFFSET($BM$9,DT78+2,0,1,1))*OFFSET($CH$9,DT78+2,0,1,1))+OFFSET($BO$9,DT78+2,CQ78,1,1),IF(F78&lt;OFFSET($BN$9,DT78+3,0,1,1),((F78-OFFSET($BM$9,DT78+3,0,1,1))*OFFSET($CH$9,DT78+3,0,1,1))+OFFSET($BO$9,DT78+3,CQ78,1,1),0))))))</f>
        <v>0</v>
      </c>
      <c r="DV78" s="51">
        <f ca="1">IF($F78&lt;OFFSET($BM$9,$DT78-1,0,1,1),0,IF($F78&lt;OFFSET($BN$9,$DT78-1,0,1,1),IF(AND($H78&gt;2.4,Z78&lt;&gt;"e",Z78&lt;&gt;"f"),DZ78*2.4/$H78,DZ78),IF($F78&lt;OFFSET($BN$9,$DT78+0,0,1,1),IF(AND($H78&gt;2.4,Z78&lt;&gt;"e",Z78&lt;&gt;"f"),DZ78*2.4/$H78,DZ78),IF($F78&lt;OFFSET($BN$9,$DT78+1,0,1,1),IF(AND($H78&gt;2.4,Z78&lt;&gt;"e",Z78&lt;&gt;"f"),DZ78*2.4/$H78,DZ78),IF($F78&lt;OFFSET($BN$9,$DT78+2,0,1,1),IF(AND($H78&gt;2.4,Z78&lt;&gt;"e",Z78&lt;&gt;"f"),DZ78*2.4/$H78,DZ78),IF($F78&lt;OFFSET($BN$9,$DT78+3,0,1,1),IF(AND($H78&gt;2.4,Z78&lt;&gt;"e",Z78&lt;&gt;"f"),DZ78*2.4/$H78,DZ78),0)))))*COS(RADIANS($G78)))</f>
        <v>0</v>
      </c>
      <c r="DW78" s="188">
        <f ca="1">IF(F78&lt;OFFSET($BM$9,DT78-1,0,1,1),0,IF(F78&lt;OFFSET($BN$9,DT78-1,0,1,1),((F78-OFFSET($BM$9,DT78-1,0,1,1))*OFFSET($CI$9,DT78-1,0,1,1))+OFFSET($BP$9,DT78-1,CQ78,1,1),IF(F78&lt;OFFSET($BN$9,DT78+0,0,1,1),((F78-OFFSET($BM$9,DT78+0,0,1,1))*OFFSET($CI$9,DT78+0,0,1,1))+OFFSET($BP$9,DT78+0,CQ78,1,1),IF(F78&lt;OFFSET($BN$9,DT78+1,0,1,1),((F78-OFFSET($BM$9,DT78+1,0,1,1))*OFFSET($CI$9,DT78+1,0,1,1))+OFFSET($BP$9,DT78+1,CQ78,1,1),IF(F78&lt;OFFSET($BN$9,DT78+2,0,1,1),((F78-OFFSET($BM$9,DT78+2,0,1,1))*OFFSET($CI$9,DT78+2,0,1,1))+OFFSET($BP$9,DT78+2,CQ78,1,1),IF(F78&lt;OFFSET($BN$9,DT78+3,0,1,1),((F78-OFFSET($BM$9,DT78+3,0,1,1))*OFFSET($CI$9,DT78+3,0,1,1))+OFFSET($BP$9,DT78+3,CQ78,1,1),0))))))</f>
        <v>0</v>
      </c>
      <c r="DX78" s="51">
        <f ca="1">IF($F78&lt;OFFSET($BM$9,$DT78-1,0,1,1),0,IF($F78&lt;OFFSET($BN$9,$DT78-1,0,1,1),IF(AND($H78&gt;2.4,Z78&lt;&gt;"e",Z78&lt;&gt;"f"),EB78*2.4/$H78,EB78),IF($F78&lt;OFFSET($BN$9,$DT78+0,0,1,1),IF(AND($H78&gt;2.4,Z78&lt;&gt;"e",Z78&lt;&gt;"f"),EB78*2.4/$H78,EB78),IF($F78&lt;OFFSET($BN$9,$DT78+1,0,1,1),IF(AND($H78&gt;2.4,Z78&lt;&gt;"e",Z78&lt;&gt;"f"),EB78*2.4/$H78,EB78),IF($F78&lt;OFFSET($BN$9,$DT78+2,0,1,1),IF(AND($H78&gt;2.4,Z78&lt;&gt;"e",Z78&lt;&gt;"f"),EB78*2.4/$H78,EB78),IF($F78&lt;OFFSET($BN$9,$DT78+3,0,1,1),IF(AND($H78&gt;2.4,Z78&lt;&gt;"e",Z78&lt;&gt;"f"),EB78*2.4/$H78,EB78),0)))))*COS(RADIANS($G78)))</f>
        <v>0</v>
      </c>
      <c r="DY78" s="188"/>
      <c r="DZ78" s="188">
        <f ca="1">IF(DU78&gt;$CR78,$CR78,DU78)</f>
        <v>0</v>
      </c>
      <c r="EA78" s="188"/>
      <c r="EB78" s="188">
        <f ca="1">IF(DW78&gt;$CR78,$CR78,DW78)</f>
        <v>0</v>
      </c>
      <c r="EC78" s="435">
        <f ca="1">IF(DV78&gt;$CR78,$CR78,DV78)</f>
        <v>0</v>
      </c>
      <c r="ED78" s="435">
        <f ca="1">EC78*F78</f>
        <v>0</v>
      </c>
      <c r="EE78" s="436">
        <f ca="1">IF(DX78&gt;$CR78,$CR78,DX78)</f>
        <v>0</v>
      </c>
      <c r="EF78" s="437">
        <f ca="1">EE78*F78</f>
        <v>0</v>
      </c>
      <c r="EG78" s="613" t="str">
        <f>IF(D78=BG$12,BG$12,"")</f>
        <v/>
      </c>
      <c r="EH78" s="614" t="str">
        <f>IF(D78=BG$13,BG$13,"")</f>
        <v/>
      </c>
      <c r="EI78" s="611">
        <f>IF(EG78=BG$12,M78,0)</f>
        <v>0</v>
      </c>
      <c r="EJ78" s="451">
        <f>IF(EG78=BG$12,O78,0)</f>
        <v>0</v>
      </c>
      <c r="EK78" s="451">
        <f>IF(EH78=BG$13,M78,0)</f>
        <v>0</v>
      </c>
      <c r="EL78" s="612">
        <f>IF(EH78=BG$13,O78,0)</f>
        <v>0</v>
      </c>
      <c r="EM78" s="426" t="str">
        <f ca="1">IF(AND(Z78&lt;&gt;"t",Z78&lt;&gt;"f"),"",IF(AND(EN78=$BH$13,K78=$BH$12),"NotOpt",IF(K78&lt;&gt;EN78,"Error","")))</f>
        <v/>
      </c>
      <c r="EN78" s="490" t="str">
        <f>IF($BG$28=1,$BH$13,$BH$12)</f>
        <v>120 BU's</v>
      </c>
      <c r="EO78" s="426" t="str">
        <f>K78</f>
        <v xml:space="preserve"> </v>
      </c>
      <c r="ER78" s="439" t="str">
        <f ca="1">IF(H78=0," ",H78)</f>
        <v xml:space="preserve"> </v>
      </c>
      <c r="ES78" s="440" t="str">
        <f ca="1">IF(ER78&lt;&gt;" ",IF(ER78&lt;&gt;ER$7,"Changed",""),"")</f>
        <v/>
      </c>
      <c r="ET78" s="440">
        <f ca="1">IF(ER78&lt;&gt;" ",IF(ER78&lt;&gt;ER$7,1,0),0)</f>
        <v>0</v>
      </c>
      <c r="EU78" s="957" t="str">
        <f ca="1">IF(I78=" "," ",IF(F78&lt;OFFSET($BM$9,CL78-1,0,1,1),1,""))</f>
        <v xml:space="preserve"> </v>
      </c>
      <c r="EW78" s="427"/>
      <c r="EX78"/>
      <c r="EY78"/>
      <c r="EZ78"/>
      <c r="FA78"/>
      <c r="FB78"/>
      <c r="FC78"/>
      <c r="FD78"/>
      <c r="FE78"/>
      <c r="FF78"/>
      <c r="FG78"/>
      <c r="FH78"/>
      <c r="FI78"/>
      <c r="FJ78"/>
      <c r="FK78"/>
      <c r="FL78"/>
      <c r="FM78"/>
      <c r="FN78"/>
      <c r="FO78"/>
    </row>
    <row r="79" spans="1:171" ht="17.100000000000001" hidden="1" customHeight="1" thickBot="1">
      <c r="A79" s="2685"/>
      <c r="B79" s="2686" t="s">
        <v>8</v>
      </c>
      <c r="C79" s="2687"/>
      <c r="D79" s="1463" t="s">
        <v>8</v>
      </c>
      <c r="E79" s="659"/>
      <c r="F79" s="659"/>
      <c r="G79" s="659"/>
      <c r="H79" s="659"/>
      <c r="I79" s="1462"/>
      <c r="J79" s="1365" t="str">
        <f ca="1">(CONCATENATE(B74,$BE$54))</f>
        <v>L  Line:  Min. Requirement</v>
      </c>
      <c r="K79" s="23"/>
      <c r="L79" s="1019">
        <f ca="1">L$5</f>
        <v>0</v>
      </c>
      <c r="M79" s="48">
        <f ca="1">IF(B74=B68,SUM(M74:M78)+M73,SUM(M74:M78))</f>
        <v>0</v>
      </c>
      <c r="N79" s="1019">
        <f ca="1">N$5</f>
        <v>0</v>
      </c>
      <c r="O79" s="125">
        <f ca="1">IF(B74=B68,SUM(O74:O78)+O73,SUM(O74:O78))</f>
        <v>0</v>
      </c>
      <c r="P79" s="139"/>
      <c r="Q79" s="42" t="str">
        <f ca="1">IF(B74=B80,"",IF(AND(M79&gt;0,L79=L$5,OR(M79&lt;$M$105,M79&lt;$BF$3)),"Achieved &lt; Min Req per Line",IF(AND(O79&gt;0,N79=N$5,OR(O79&lt;$O$105,O79&lt;$BF$3)),"Achieved &lt; Min Req per Line",IF(AND(M79&gt;0,L79&gt;M79),"More Required on this line",IF(AND(O79&gt;0,N79&gt;O79),"More Required on this line",IF(AND(L79&gt;0,L79&lt;$BF$3),$BE$59,IF(AND(N79&gt;0,N79&lt;$BF$3),$BE$59,"")))))))</f>
        <v/>
      </c>
      <c r="R79" s="52"/>
      <c r="S79" s="52"/>
      <c r="T79" s="52"/>
      <c r="U79" s="52"/>
      <c r="V79" s="52"/>
      <c r="W79" s="1000"/>
      <c r="X79" s="9"/>
      <c r="Y79" s="896"/>
      <c r="Z79" s="52"/>
      <c r="AA79" s="51"/>
      <c r="AB79" s="51"/>
      <c r="AC79" s="1"/>
      <c r="BD79" s="652"/>
      <c r="BF79" s="51"/>
      <c r="BG79" s="51"/>
      <c r="BI79" s="759"/>
      <c r="BJ79" s="897">
        <f t="shared" si="27"/>
        <v>71</v>
      </c>
      <c r="BK79" s="1231"/>
      <c r="BL79" s="1234"/>
      <c r="BM79" s="1205"/>
      <c r="BN79" s="1205"/>
      <c r="BO79" s="1205"/>
      <c r="BP79" s="1205"/>
      <c r="BQ79" s="1233"/>
      <c r="BR79" s="1205"/>
      <c r="BS79" s="1205"/>
      <c r="BT79" s="1205"/>
      <c r="BU79" s="1205"/>
      <c r="BV79" s="1233"/>
      <c r="BW79" s="1235"/>
      <c r="BX79" s="1205"/>
      <c r="CH79" s="970"/>
      <c r="CI79" s="971"/>
      <c r="CJ79" s="759"/>
      <c r="CK79" s="188"/>
      <c r="CL79" s="980"/>
      <c r="CM79" s="939"/>
      <c r="CN79" s="940"/>
      <c r="CO79" s="940"/>
      <c r="CP79" s="939"/>
      <c r="CQ79" s="939"/>
      <c r="CR79" s="938"/>
      <c r="CS79" s="938"/>
      <c r="CT79" s="938"/>
      <c r="CU79" s="938"/>
      <c r="CV79" s="938"/>
      <c r="CW79" s="938"/>
      <c r="CX79" s="938"/>
      <c r="CY79" s="938"/>
      <c r="CZ79" s="938"/>
      <c r="DA79" s="938"/>
      <c r="DB79" s="938"/>
      <c r="DC79" s="998">
        <v>1</v>
      </c>
      <c r="DD79" s="938"/>
      <c r="DE79" s="938"/>
      <c r="DF79" s="938"/>
      <c r="DG79" s="938"/>
      <c r="DH79" s="938"/>
      <c r="DI79" s="938"/>
      <c r="DJ79" s="938"/>
      <c r="DK79" s="938"/>
      <c r="DL79" s="938"/>
      <c r="DM79" s="938"/>
      <c r="DN79" s="938"/>
      <c r="DO79" s="941"/>
      <c r="DP79" s="941"/>
      <c r="DQ79" s="941"/>
      <c r="DR79" s="941"/>
      <c r="DS79" s="942"/>
      <c r="DT79" s="942"/>
      <c r="DU79" s="939"/>
      <c r="DV79" s="939"/>
      <c r="DW79" s="939"/>
      <c r="DX79" s="939"/>
      <c r="DY79" s="939"/>
      <c r="DZ79" s="939"/>
      <c r="EA79" s="939"/>
      <c r="EB79" s="939"/>
      <c r="EC79" s="941"/>
      <c r="ED79" s="941"/>
      <c r="EE79" s="941"/>
      <c r="EF79" s="941"/>
      <c r="EG79" s="941"/>
      <c r="EH79" s="941"/>
      <c r="EI79" s="943"/>
      <c r="EJ79" s="943"/>
      <c r="EK79" s="943"/>
      <c r="EL79" s="943"/>
      <c r="EM79" s="942"/>
      <c r="EN79" s="944"/>
      <c r="EO79" s="942"/>
      <c r="EP79" s="942"/>
      <c r="EQ79" s="942"/>
      <c r="ER79" s="946"/>
      <c r="ES79" s="942"/>
      <c r="ET79" s="942"/>
      <c r="EU79" s="958"/>
      <c r="EW79" s="427"/>
      <c r="EX79"/>
      <c r="EY79"/>
      <c r="EZ79"/>
      <c r="FA79"/>
      <c r="FB79"/>
      <c r="FC79"/>
      <c r="FD79"/>
      <c r="FE79"/>
      <c r="FF79"/>
      <c r="FG79"/>
      <c r="FH79"/>
      <c r="FI79"/>
      <c r="FJ79"/>
      <c r="FK79"/>
      <c r="FL79"/>
      <c r="FM79"/>
      <c r="FN79"/>
      <c r="FO79"/>
    </row>
    <row r="80" spans="1:171" ht="15" customHeight="1" thickBot="1">
      <c r="A80" s="2685"/>
      <c r="B80" s="2748" t="s">
        <v>488</v>
      </c>
      <c r="C80" s="2749"/>
      <c r="D80" s="2750"/>
      <c r="E80" s="2766"/>
      <c r="F80" s="2767"/>
      <c r="G80" s="2767"/>
      <c r="H80" s="2767"/>
      <c r="I80" s="2767"/>
      <c r="J80" s="2767"/>
      <c r="K80" s="2768"/>
      <c r="L80" s="17"/>
      <c r="M80" s="24" t="s">
        <v>1</v>
      </c>
      <c r="N80" s="16"/>
      <c r="O80" s="127" t="s">
        <v>17</v>
      </c>
      <c r="P80" s="142"/>
      <c r="R80" s="52"/>
      <c r="S80" s="52"/>
      <c r="T80" s="52"/>
      <c r="U80" s="52"/>
      <c r="V80" s="52"/>
      <c r="W80" s="52"/>
      <c r="X80" s="52"/>
      <c r="Y80" s="896"/>
      <c r="Z80" s="52"/>
      <c r="AA80" s="51"/>
      <c r="AB80" s="51"/>
      <c r="AC80" s="9"/>
      <c r="BD80" s="652"/>
      <c r="BE80" s="1"/>
      <c r="BF80" s="51"/>
      <c r="BG80" s="51"/>
      <c r="BI80" s="759"/>
      <c r="BJ80" s="897">
        <f t="shared" si="27"/>
        <v>72</v>
      </c>
      <c r="BK80" s="768" t="str">
        <f>BK74</f>
        <v xml:space="preserve">EPB </v>
      </c>
      <c r="BL80" s="765" t="str">
        <f>Table!AA4</f>
        <v>EM-H</v>
      </c>
      <c r="BM80" s="454">
        <f>Table!AB4</f>
        <v>0.4</v>
      </c>
      <c r="BN80" s="454">
        <f>BM81</f>
        <v>0.6</v>
      </c>
      <c r="BO80" s="454">
        <f>Table!AC4</f>
        <v>98</v>
      </c>
      <c r="BP80" s="924">
        <f>Table!AD4</f>
        <v>100</v>
      </c>
      <c r="BQ80" s="920"/>
      <c r="BR80" s="768" t="str">
        <f>Table!AE4</f>
        <v>ES-H</v>
      </c>
      <c r="BS80" s="454" t="str">
        <f>Table!AE5</f>
        <v>ES-H</v>
      </c>
      <c r="BT80" s="454" t="str">
        <f>Table!AF4</f>
        <v>B</v>
      </c>
      <c r="BU80" s="924" t="s">
        <v>242</v>
      </c>
      <c r="BV80" s="1230" t="str">
        <f>Table!AI75</f>
        <v>EM-H</v>
      </c>
      <c r="BW80" s="1229">
        <f>BJ80</f>
        <v>72</v>
      </c>
      <c r="BX80" s="924" t="str">
        <f>Table!AF5</f>
        <v>Single</v>
      </c>
      <c r="CH80" s="768">
        <f>IF(BN80=999,0,(BO81-BO80)/(BN80-BM80))</f>
        <v>60.000000000000014</v>
      </c>
      <c r="CI80" s="924">
        <f>IF(BN80=999,0,(BP81-BP80)/(BN80-BM80))</f>
        <v>20.000000000000004</v>
      </c>
      <c r="CJ80" s="759"/>
      <c r="CK80" s="188"/>
      <c r="CL80" s="52"/>
      <c r="EW80" s="427"/>
      <c r="EX80"/>
      <c r="EY80"/>
      <c r="EZ80"/>
      <c r="FA80"/>
      <c r="FB80"/>
      <c r="FC80"/>
      <c r="FD80"/>
      <c r="FE80"/>
      <c r="FF80"/>
      <c r="FG80"/>
      <c r="FH80"/>
      <c r="FI80"/>
      <c r="FJ80"/>
      <c r="FK80"/>
      <c r="FL80"/>
      <c r="FM80"/>
      <c r="FN80"/>
      <c r="FO80"/>
    </row>
    <row r="81" spans="2:171" ht="19.5" customHeight="1">
      <c r="B81" s="2746" t="s">
        <v>219</v>
      </c>
      <c r="C81" s="2747"/>
      <c r="D81" s="164">
        <f ca="1">'Project Demand'!N5</f>
        <v>44439.670989930557</v>
      </c>
      <c r="E81" s="1359"/>
      <c r="F81" s="2773" t="str">
        <f>B4</f>
        <v>Lower Storey</v>
      </c>
      <c r="G81" s="2639"/>
      <c r="H81" s="2773" t="str">
        <f>B3</f>
        <v>Wall Along</v>
      </c>
      <c r="I81" s="2639"/>
      <c r="J81" s="2795" t="str">
        <f>DA4</f>
        <v>Achieved BU's =</v>
      </c>
      <c r="K81" s="2639"/>
      <c r="L81" s="45">
        <f ca="1">M2/M3</f>
        <v>0</v>
      </c>
      <c r="M81" s="46">
        <f ca="1">M2</f>
        <v>0</v>
      </c>
      <c r="N81" s="45">
        <f ca="1">O2/O3</f>
        <v>0</v>
      </c>
      <c r="O81" s="128">
        <f ca="1">O2</f>
        <v>0</v>
      </c>
      <c r="P81" s="133"/>
      <c r="R81" s="52"/>
      <c r="S81" s="52"/>
      <c r="T81" s="52"/>
      <c r="U81" s="52"/>
      <c r="V81" s="52"/>
      <c r="W81" s="52"/>
      <c r="X81" s="52"/>
      <c r="Y81" s="896"/>
      <c r="Z81" s="52"/>
      <c r="AA81" s="52"/>
      <c r="AB81" s="52"/>
      <c r="AC81" s="9"/>
      <c r="BD81" s="652"/>
      <c r="BE81" s="1"/>
      <c r="BF81" s="51"/>
      <c r="BG81" s="51"/>
      <c r="BI81" s="759"/>
      <c r="BJ81" s="897">
        <f t="shared" si="27"/>
        <v>73</v>
      </c>
      <c r="BK81" s="764"/>
      <c r="BL81" s="766"/>
      <c r="BM81" s="455">
        <f>Table!AB5</f>
        <v>0.6</v>
      </c>
      <c r="BN81" s="455">
        <f>BM82</f>
        <v>0.8</v>
      </c>
      <c r="BO81" s="455">
        <f>Table!AC5</f>
        <v>110</v>
      </c>
      <c r="BP81" s="925">
        <f>Table!AD5</f>
        <v>104</v>
      </c>
      <c r="BR81" s="764"/>
      <c r="BS81" s="455"/>
      <c r="BT81" s="455"/>
      <c r="BU81" s="925" t="s">
        <v>242</v>
      </c>
      <c r="BV81" s="895"/>
      <c r="BW81" s="912"/>
      <c r="BX81" s="925" t="str">
        <f>Table!AF5</f>
        <v>Single</v>
      </c>
      <c r="CH81" s="764">
        <f>IF(BN81=999,0,(BO82-BO81)/(BN81-BM81))</f>
        <v>49.999999999999986</v>
      </c>
      <c r="CI81" s="925">
        <f>IF(BN81=999,0,(BP82-BP81)/(BN81-BM81))</f>
        <v>24.999999999999993</v>
      </c>
      <c r="CJ81" s="759"/>
      <c r="CK81" s="188"/>
      <c r="CL81" s="52"/>
      <c r="EI81" s="870">
        <f ca="1">SUM(EI8:EI78)</f>
        <v>0</v>
      </c>
      <c r="EJ81" s="870">
        <f ca="1">SUM(EJ8:EJ78)</f>
        <v>0</v>
      </c>
      <c r="EK81" s="870">
        <f>SUM(EK8:EK78)</f>
        <v>0</v>
      </c>
      <c r="EL81" s="870">
        <f>SUM(EL8:EL78)</f>
        <v>0</v>
      </c>
      <c r="EM81" s="426" t="str">
        <f>IF(AND(K80&lt;&gt;"120 BU's",K80&lt;&gt;"150 BU's",K80&lt;&gt;" ",Z80="t",OR($BG$28=1,$BH$28=2)),"Error","")</f>
        <v/>
      </c>
      <c r="EN81" s="438"/>
      <c r="ET81" s="870">
        <f ca="1">SUM(ET8:ET78)</f>
        <v>0</v>
      </c>
      <c r="EU81" s="870">
        <f ca="1">SUM(EU8:EU78)</f>
        <v>0</v>
      </c>
      <c r="EW81" s="427"/>
      <c r="EX81"/>
      <c r="EY81"/>
      <c r="EZ81"/>
      <c r="FA81"/>
      <c r="FB81"/>
      <c r="FC81"/>
      <c r="FD81"/>
      <c r="FE81"/>
      <c r="FF81"/>
      <c r="FG81"/>
      <c r="FH81"/>
      <c r="FI81"/>
      <c r="FJ81"/>
      <c r="FK81"/>
      <c r="FL81"/>
      <c r="FM81"/>
      <c r="FN81"/>
      <c r="FO81"/>
    </row>
    <row r="82" spans="2:171" ht="18" customHeight="1" thickBot="1">
      <c r="B82" s="2770" t="str">
        <f>FP</f>
        <v>Elephant QuickBrace™ September 2018  V.1.0</v>
      </c>
      <c r="C82" s="2771"/>
      <c r="D82" s="2771"/>
      <c r="E82" s="2771"/>
      <c r="F82" s="2771"/>
      <c r="G82" s="2771"/>
      <c r="H82" s="2772"/>
      <c r="I82" s="2757" t="str">
        <f>K3</f>
        <v>Total Demand =</v>
      </c>
      <c r="J82" s="2758"/>
      <c r="K82" s="2759"/>
      <c r="L82" s="1795" t="str">
        <f>$BH$3</f>
        <v>Bu's</v>
      </c>
      <c r="M82" s="1796">
        <f>M3</f>
        <v>531</v>
      </c>
      <c r="N82" s="1795" t="str">
        <f>$BH$3</f>
        <v>Bu's</v>
      </c>
      <c r="O82" s="1797">
        <f>O3</f>
        <v>1159</v>
      </c>
      <c r="P82" s="132"/>
      <c r="R82" s="52"/>
      <c r="S82" s="52"/>
      <c r="T82" s="52"/>
      <c r="U82" s="52"/>
      <c r="V82" s="52"/>
      <c r="W82" s="52"/>
      <c r="X82" s="52"/>
      <c r="Y82" s="896"/>
      <c r="Z82" s="52"/>
      <c r="AA82" s="52"/>
      <c r="AB82" s="52"/>
      <c r="AC82" s="9"/>
      <c r="BD82" s="652"/>
      <c r="BE82" s="1"/>
      <c r="BF82" s="51"/>
      <c r="BG82" s="51"/>
      <c r="BI82" s="759"/>
      <c r="BJ82" s="897">
        <f t="shared" ref="BJ82:BJ88" si="37">BJ81+1</f>
        <v>74</v>
      </c>
      <c r="BK82" s="764"/>
      <c r="BL82" s="766"/>
      <c r="BM82" s="455">
        <f>Table!AB6</f>
        <v>0.8</v>
      </c>
      <c r="BN82" s="455">
        <f>BM83</f>
        <v>1</v>
      </c>
      <c r="BO82" s="455">
        <f>Table!AC6</f>
        <v>120</v>
      </c>
      <c r="BP82" s="925">
        <f>Table!AD6</f>
        <v>109</v>
      </c>
      <c r="BR82" s="764"/>
      <c r="BS82" s="455"/>
      <c r="BT82" s="455"/>
      <c r="BU82" s="925" t="s">
        <v>242</v>
      </c>
      <c r="BV82" s="895"/>
      <c r="BW82" s="912"/>
      <c r="BX82" s="925" t="str">
        <f>Table!AF5</f>
        <v>Single</v>
      </c>
      <c r="CH82" s="764">
        <f>IF(BN82=999,0,(BO83-BO82)/(BN82-BM82))</f>
        <v>55.000000000000014</v>
      </c>
      <c r="CI82" s="925">
        <f>IF(BN82=999,0,(BP83-BP82)/(BN82-BM82))</f>
        <v>10.000000000000002</v>
      </c>
      <c r="CJ82" s="759"/>
      <c r="CK82" s="188"/>
      <c r="CL82" s="52"/>
      <c r="EI82" s="871">
        <f ca="1">SUM(EI8:EI12)+(IF($B14=$B8,IF($B20=$B8,(SUM(EI20:EI25)+SUM(EI14:EI18)),SUM(EI14:EI18)),0))</f>
        <v>0</v>
      </c>
      <c r="EJ82" s="872">
        <f ca="1">SUM(EJ8:EJ12)+(IF($B14=$B8,IF($B20=$B8,(SUM(EJ20:EJ25)+SUM(EJ14:EJ18)),SUM(EJ14:EJ18)),0))</f>
        <v>0</v>
      </c>
      <c r="EK82" s="872">
        <f ca="1">SUM(EK8:EK12)+(IF($B14=$B8,IF($B20=$B8,(SUM(EK20:EK25)+SUM(EK14:EK18)),SUM(EK14:EK18)),0))</f>
        <v>0</v>
      </c>
      <c r="EL82" s="873">
        <f ca="1">SUM(EL8:EL12)+(IF($B14=$B8,IF($B20=$B8,(SUM(EL20:EL25)+SUM(EL14:EL18)),SUM(EL14:EL18)),0))</f>
        <v>0</v>
      </c>
      <c r="EW82" s="427"/>
      <c r="EX82"/>
      <c r="EY82"/>
      <c r="EZ82"/>
      <c r="FA82"/>
      <c r="FB82"/>
      <c r="FC82"/>
      <c r="FD82"/>
      <c r="FE82"/>
      <c r="FF82"/>
      <c r="FG82"/>
      <c r="FH82"/>
      <c r="FI82"/>
      <c r="FJ82"/>
      <c r="FK82"/>
      <c r="FL82"/>
      <c r="FM82"/>
      <c r="FN82"/>
      <c r="FO82"/>
    </row>
    <row r="83" spans="2:171" ht="15" customHeight="1">
      <c r="B83" s="543" t="s">
        <v>898</v>
      </c>
      <c r="C83" s="129"/>
      <c r="D83" s="129"/>
      <c r="E83" s="129"/>
      <c r="F83" s="129"/>
      <c r="G83" s="154" t="str">
        <f>IF('Project Demand'!AQ59=2,"Alternatively Sourced Demands are used in this sheet","")</f>
        <v/>
      </c>
      <c r="H83" s="130"/>
      <c r="I83" s="130"/>
      <c r="J83" s="130"/>
      <c r="K83" s="130"/>
      <c r="L83" s="2760" t="str">
        <f ca="1">IF(M81&lt;M82,"NOT Enough","")</f>
        <v>NOT Enough</v>
      </c>
      <c r="M83" s="2760"/>
      <c r="N83" s="2760" t="str">
        <f ca="1">IF(O81&lt;O82,"NOT Enough","")</f>
        <v>NOT Enough</v>
      </c>
      <c r="O83" s="2769"/>
      <c r="P83" s="122"/>
      <c r="R83" s="52"/>
      <c r="S83" s="52"/>
      <c r="T83" s="52"/>
      <c r="U83" s="52"/>
      <c r="V83" s="52"/>
      <c r="W83" s="52"/>
      <c r="X83" s="52"/>
      <c r="Y83" s="896"/>
      <c r="Z83" s="52"/>
      <c r="AA83" s="52"/>
      <c r="AB83" s="52"/>
      <c r="AC83" s="9"/>
      <c r="AD83" s="1"/>
      <c r="AE83" s="1"/>
      <c r="AF83" s="1"/>
      <c r="AG83" s="1"/>
      <c r="AH83" s="1"/>
      <c r="AI83" s="1"/>
      <c r="AJ83" s="1"/>
      <c r="AK83" s="1"/>
      <c r="AL83" s="1"/>
      <c r="AM83" s="1"/>
      <c r="AN83" s="1"/>
      <c r="AO83" s="1"/>
      <c r="AP83" s="1"/>
      <c r="AQ83" s="1"/>
      <c r="AR83" s="1"/>
      <c r="AS83" s="6"/>
      <c r="AT83" s="6"/>
      <c r="AU83" s="6"/>
      <c r="AW83" s="1"/>
      <c r="BD83" s="652"/>
      <c r="BE83" s="1"/>
      <c r="BF83" s="51"/>
      <c r="BG83" s="51"/>
      <c r="BI83" s="759"/>
      <c r="BJ83" s="897">
        <f t="shared" si="37"/>
        <v>75</v>
      </c>
      <c r="BK83" s="764"/>
      <c r="BL83" s="766"/>
      <c r="BM83" s="455">
        <f>Table!AB7</f>
        <v>1</v>
      </c>
      <c r="BN83" s="455">
        <f>BM84</f>
        <v>1.2</v>
      </c>
      <c r="BO83" s="455">
        <f>Table!AC7</f>
        <v>131</v>
      </c>
      <c r="BP83" s="925">
        <f>Table!AD7</f>
        <v>111</v>
      </c>
      <c r="BR83" s="764"/>
      <c r="BS83" s="455"/>
      <c r="BT83" s="455"/>
      <c r="BU83" s="925" t="s">
        <v>242</v>
      </c>
      <c r="BV83" s="895"/>
      <c r="BW83" s="912"/>
      <c r="BX83" s="925" t="str">
        <f>Table!AF5</f>
        <v>Single</v>
      </c>
      <c r="CH83" s="764">
        <f>IF(BN83=999,0,(BO84-BO83)/(BN83-BM83))</f>
        <v>45.000000000000007</v>
      </c>
      <c r="CI83" s="925">
        <f>IF(BN83=999,0,(BP84-BP83)/(BN83-BM83))</f>
        <v>20.000000000000004</v>
      </c>
      <c r="CJ83" s="759"/>
      <c r="CL83" s="52"/>
      <c r="EW83" s="427"/>
    </row>
    <row r="84" spans="2:171" ht="14.1" customHeight="1" thickBot="1">
      <c r="B84" s="131" t="str">
        <f ca="1">IF(ISERROR(FIND("Error",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EM68&amp;EM69&amp;EM70&amp;EM71&amp;EM72&amp;EM74&amp;EM75&amp;EM76&amp;EM77&amp;EM78,1)),"","* Floor type design limit declined")</f>
        <v/>
      </c>
      <c r="C84"/>
      <c r="D84"/>
      <c r="E84"/>
      <c r="F84"/>
      <c r="H84"/>
      <c r="I84" s="1"/>
      <c r="J84" s="57" t="str">
        <f ca="1">IF(ISERROR(FIND("Achieved &lt;",Q13&amp;Q19&amp;Q25&amp;Q31&amp;Q37&amp;Q43&amp;Q49&amp;Q55&amp;Q61&amp;Q67&amp;Q73&amp;Q79,1)),"","* Minimum Req./Line not reached")</f>
        <v/>
      </c>
      <c r="K84"/>
      <c r="L84"/>
      <c r="M84"/>
      <c r="N84"/>
      <c r="O84" s="118"/>
      <c r="Q84" s="52"/>
      <c r="R84" s="52"/>
      <c r="S84" s="52"/>
      <c r="T84" s="52"/>
      <c r="U84" s="52"/>
      <c r="V84" s="52"/>
      <c r="W84" s="52"/>
      <c r="X84" s="52"/>
      <c r="Y84" s="896"/>
      <c r="Z84" s="52"/>
      <c r="AA84" s="52"/>
      <c r="AB84" s="52"/>
      <c r="AC84" s="9"/>
      <c r="AD84" s="31"/>
      <c r="AE84" s="31"/>
      <c r="AF84" s="31"/>
      <c r="AG84" s="31"/>
      <c r="AH84" s="1"/>
      <c r="AI84" s="1"/>
      <c r="AJ84" s="31"/>
      <c r="AK84" s="31"/>
      <c r="AL84" s="31"/>
      <c r="AM84" s="1"/>
      <c r="AN84" s="1"/>
      <c r="AO84" s="1"/>
      <c r="AP84" s="1"/>
      <c r="AQ84" s="1"/>
      <c r="AR84" s="1"/>
      <c r="AS84" s="6"/>
      <c r="AT84" s="6"/>
      <c r="AU84" s="6"/>
      <c r="AW84" s="1"/>
      <c r="BD84" s="652"/>
      <c r="BE84" s="1"/>
      <c r="BF84" s="51"/>
      <c r="BG84" s="51"/>
      <c r="BI84" s="759"/>
      <c r="BJ84" s="897">
        <f t="shared" si="37"/>
        <v>76</v>
      </c>
      <c r="BK84" s="908"/>
      <c r="BL84" s="767"/>
      <c r="BM84" s="776">
        <f>Table!AB8</f>
        <v>1.2</v>
      </c>
      <c r="BN84" s="776">
        <v>999</v>
      </c>
      <c r="BO84" s="776">
        <f>Table!AC8</f>
        <v>140</v>
      </c>
      <c r="BP84" s="926">
        <f>Table!AD8</f>
        <v>115</v>
      </c>
      <c r="BQ84" s="1183"/>
      <c r="BR84" s="908"/>
      <c r="BS84" s="776"/>
      <c r="BT84" s="776"/>
      <c r="BU84" s="926" t="s">
        <v>242</v>
      </c>
      <c r="BV84" s="433"/>
      <c r="BW84" s="914"/>
      <c r="BX84" s="926" t="str">
        <f>Table!AF5</f>
        <v>Single</v>
      </c>
      <c r="CH84" s="908">
        <f>IF(BN84=999,0,(BO85-BO84)/(BN84-BM84))</f>
        <v>0</v>
      </c>
      <c r="CI84" s="926">
        <f>IF(BN84=999,0,(BP85-BP84)/(BN84-BM84))</f>
        <v>0</v>
      </c>
      <c r="CJ84" s="759"/>
      <c r="CK84" s="498"/>
      <c r="CL84" s="52"/>
      <c r="EW84" s="427"/>
    </row>
    <row r="85" spans="2:171" ht="14.1" customHeight="1" thickBot="1">
      <c r="B85" s="2753" t="str">
        <f ca="1">IF(OR((L79+N79)&lt;&gt;(L$5+N$5),(L73+N73)&lt;&gt;(L$5+N$5),(L67+N67)&lt;&gt;(L$5+N$5),(L61+N61)&lt;&gt;(L$5+N$5),(L55+N55)&lt;&gt;(L$5+N$5),(L49+N49)&lt;&gt;(L$5+N$5),(L43+N43)&lt;&gt;(L$5+N$5),(L37+N37)&lt;&gt;(L$5+N$5),(L31+N31)&lt;&gt;(L$5+N$5),(L25+N25)&lt;&gt;(L$5+N$5),(L19+N19)&lt;&gt;(L$5+N$5),(L13+N13)&lt;&gt;(L$5+N$5)),$BE$68,"")</f>
        <v/>
      </c>
      <c r="C85" s="2754"/>
      <c r="D85" s="2754"/>
      <c r="E85" s="2754"/>
      <c r="F85" s="2754"/>
      <c r="G85" s="492"/>
      <c r="H85" s="492"/>
      <c r="I85" s="493"/>
      <c r="J85" s="495" t="str">
        <f ca="1">IF(ISERROR(FIND("More R",Q13&amp;Q19&amp;Q25&amp;Q31&amp;Q37&amp;Q43&amp;Q49&amp;Q55&amp;Q61&amp;Q67&amp;Q73&amp;Q79,1)),"","* More required for Overridden Minimum Req./Line ")</f>
        <v/>
      </c>
      <c r="K85" s="492"/>
      <c r="L85" s="1454"/>
      <c r="M85" s="1454"/>
      <c r="N85" s="1454"/>
      <c r="O85" s="1455"/>
      <c r="Q85" s="52"/>
      <c r="R85" s="52"/>
      <c r="S85" s="52"/>
      <c r="T85" s="52"/>
      <c r="U85" s="52"/>
      <c r="V85" s="52"/>
      <c r="W85" s="52"/>
      <c r="X85" s="52"/>
      <c r="Y85" s="896"/>
      <c r="Z85" s="52"/>
      <c r="AA85" s="52"/>
      <c r="AB85" s="52"/>
      <c r="AC85" s="9"/>
      <c r="AD85" s="31"/>
      <c r="AE85" s="31"/>
      <c r="AF85" s="31"/>
      <c r="AG85" s="31"/>
      <c r="AH85" s="1"/>
      <c r="AI85" s="1"/>
      <c r="AJ85" s="31"/>
      <c r="AK85" s="31"/>
      <c r="AL85" s="31"/>
      <c r="AM85" s="1"/>
      <c r="AN85" s="1"/>
      <c r="AO85" s="1"/>
      <c r="AP85" s="1"/>
      <c r="AQ85" s="1"/>
      <c r="AR85" s="1"/>
      <c r="AS85" s="6"/>
      <c r="AT85" s="6"/>
      <c r="AU85" s="6"/>
      <c r="AW85" s="1"/>
      <c r="BD85" s="652"/>
      <c r="BE85" s="1"/>
      <c r="BF85" s="51"/>
      <c r="BG85" s="51"/>
      <c r="BI85" s="759"/>
      <c r="BJ85" s="897">
        <f t="shared" si="37"/>
        <v>77</v>
      </c>
      <c r="BK85" s="1231"/>
      <c r="BL85" s="1234"/>
      <c r="BM85" s="1205"/>
      <c r="BN85" s="1205"/>
      <c r="BO85" s="1205"/>
      <c r="BP85" s="1205"/>
      <c r="BQ85" s="1233"/>
      <c r="BR85" s="1205"/>
      <c r="BS85" s="1205"/>
      <c r="BT85" s="1205"/>
      <c r="BU85" s="1205"/>
      <c r="BV85" s="1233"/>
      <c r="BW85" s="1235"/>
      <c r="BX85" s="1205"/>
      <c r="CH85" s="970"/>
      <c r="CI85" s="971"/>
      <c r="CJ85" s="759"/>
      <c r="CK85" s="498"/>
      <c r="CL85" s="52"/>
      <c r="EW85" s="427"/>
    </row>
    <row r="86" spans="2:171" ht="24" customHeight="1" thickBot="1">
      <c r="B86" s="869" t="s">
        <v>899</v>
      </c>
      <c r="C86" s="496"/>
      <c r="D86" s="496"/>
      <c r="E86" s="496"/>
      <c r="F86" s="56"/>
      <c r="G86" s="56"/>
      <c r="H86" s="56"/>
      <c r="I86" s="2755" t="str">
        <f ca="1">IF(ISERROR(FIND("NotOpt",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Q68&amp;Q69&amp;Q70&amp;Q71&amp;Q72&amp;Q74&amp;Q75&amp;Q76&amp;Q77&amp;Q78,1)),"","* Floor type design limit Not Optimised")</f>
        <v/>
      </c>
      <c r="J86" s="2755"/>
      <c r="K86" s="2756"/>
      <c r="L86" s="2763" t="s">
        <v>1089</v>
      </c>
      <c r="M86" s="2764"/>
      <c r="N86" s="2764"/>
      <c r="O86" s="2765"/>
      <c r="P86" s="58"/>
      <c r="Q86" s="52"/>
      <c r="R86" s="52"/>
      <c r="S86" s="52"/>
      <c r="T86" s="52"/>
      <c r="U86" s="52"/>
      <c r="V86" s="52"/>
      <c r="W86" s="52"/>
      <c r="X86" s="52"/>
      <c r="Y86" s="896"/>
      <c r="Z86" s="52"/>
      <c r="AA86" s="52"/>
      <c r="AB86" s="52"/>
      <c r="AC86" s="9"/>
      <c r="AD86" s="31"/>
      <c r="AE86" s="31"/>
      <c r="AF86" s="31"/>
      <c r="AG86" s="31"/>
      <c r="AH86" s="1"/>
      <c r="AI86" s="1"/>
      <c r="AJ86" s="31"/>
      <c r="AK86" s="31"/>
      <c r="AL86" s="31"/>
      <c r="AM86" s="1"/>
      <c r="AN86" s="1"/>
      <c r="AO86" s="1"/>
      <c r="AP86" s="1"/>
      <c r="AQ86" s="1"/>
      <c r="AR86" s="1"/>
      <c r="AS86" s="6"/>
      <c r="AT86" s="6"/>
      <c r="AU86" s="6"/>
      <c r="AW86" s="1"/>
      <c r="BD86" s="652"/>
      <c r="BE86" s="1"/>
      <c r="BF86" s="51"/>
      <c r="BG86" s="51"/>
      <c r="BI86" s="759"/>
      <c r="BJ86" s="897">
        <f t="shared" si="37"/>
        <v>78</v>
      </c>
      <c r="BK86" s="768" t="str">
        <f>BK80</f>
        <v xml:space="preserve">EPB </v>
      </c>
      <c r="BL86" s="765" t="str">
        <f>Table!AA10</f>
        <v>EMSH</v>
      </c>
      <c r="BM86" s="454">
        <f>Table!AB10</f>
        <v>0.4</v>
      </c>
      <c r="BN86" s="454">
        <f>BM87</f>
        <v>0.6</v>
      </c>
      <c r="BO86" s="454">
        <f>Table!AC10</f>
        <v>110</v>
      </c>
      <c r="BP86" s="924">
        <f>Table!AD10</f>
        <v>115</v>
      </c>
      <c r="BQ86" s="920"/>
      <c r="BR86" s="768" t="str">
        <f>Table!AE10</f>
        <v>ESSH</v>
      </c>
      <c r="BS86" s="454" t="str">
        <f>Table!AE11</f>
        <v>ESSH</v>
      </c>
      <c r="BT86" s="454" t="str">
        <f>Table!AF10</f>
        <v>I</v>
      </c>
      <c r="BU86" s="924" t="s">
        <v>242</v>
      </c>
      <c r="BV86" s="1230" t="str">
        <f>Table!AI80</f>
        <v>EMSH</v>
      </c>
      <c r="BW86" s="1229">
        <f>BJ86</f>
        <v>78</v>
      </c>
      <c r="BX86" s="924" t="str">
        <f>Table!AF11</f>
        <v>Double</v>
      </c>
      <c r="CH86" s="768">
        <f>IF(BN86=999,0,(BO87-BO86)/(BN86-BM86))</f>
        <v>120.00000000000003</v>
      </c>
      <c r="CI86" s="924">
        <f>IF(BN86=999,0,(BP87-BP86)/(BN86-BM86))</f>
        <v>115.00000000000003</v>
      </c>
      <c r="CJ86" s="759"/>
      <c r="CK86" s="498"/>
      <c r="CL86" s="52"/>
      <c r="EW86" s="427"/>
    </row>
    <row r="87" spans="2:171" ht="24" customHeight="1">
      <c r="B87" s="131" t="str">
        <f ca="1">IF(ISERROR(FIND("check L",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Minimum wall length not acheived for some systems")</f>
        <v/>
      </c>
      <c r="C87" s="494"/>
      <c r="D87" s="494"/>
      <c r="E87" s="494"/>
      <c r="F87"/>
      <c r="G87" s="1"/>
      <c r="J87" s="58"/>
      <c r="K87" s="163"/>
      <c r="L87" s="2621" t="s">
        <v>1</v>
      </c>
      <c r="M87" s="2622"/>
      <c r="N87" s="2623" t="s">
        <v>17</v>
      </c>
      <c r="O87" s="2624"/>
      <c r="P87" s="58"/>
      <c r="Q87" s="52"/>
      <c r="R87" s="52"/>
      <c r="S87" s="52"/>
      <c r="T87" s="52"/>
      <c r="U87" s="52"/>
      <c r="V87" s="52"/>
      <c r="W87" s="52"/>
      <c r="X87" s="52"/>
      <c r="Y87" s="896"/>
      <c r="Z87" s="52"/>
      <c r="AA87" s="52"/>
      <c r="AB87" s="52"/>
      <c r="AC87" s="9"/>
      <c r="AD87" s="31"/>
      <c r="AE87" s="31"/>
      <c r="AF87" s="31"/>
      <c r="AG87" s="31"/>
      <c r="AH87" s="1"/>
      <c r="AI87" s="1"/>
      <c r="AJ87" s="31"/>
      <c r="AK87" s="31"/>
      <c r="AL87" s="31"/>
      <c r="AM87" s="1"/>
      <c r="AN87" s="1"/>
      <c r="AO87" s="1"/>
      <c r="AP87" s="1"/>
      <c r="AQ87" s="1"/>
      <c r="AR87" s="1"/>
      <c r="AS87" s="6"/>
      <c r="AT87" s="6"/>
      <c r="AU87" s="6"/>
      <c r="AW87" s="1"/>
      <c r="BD87" s="652"/>
      <c r="BE87" s="1"/>
      <c r="BF87" s="51"/>
      <c r="BG87" s="51"/>
      <c r="BI87" s="759"/>
      <c r="BJ87" s="897">
        <f t="shared" si="37"/>
        <v>79</v>
      </c>
      <c r="BK87" s="764"/>
      <c r="BL87" s="766"/>
      <c r="BM87" s="455">
        <f>Table!AB11</f>
        <v>0.6</v>
      </c>
      <c r="BN87" s="455">
        <f>BM88</f>
        <v>0.8</v>
      </c>
      <c r="BO87" s="455">
        <f>Table!AC11</f>
        <v>134</v>
      </c>
      <c r="BP87" s="925">
        <f>Table!AD11</f>
        <v>138</v>
      </c>
      <c r="BR87" s="764"/>
      <c r="BS87" s="455"/>
      <c r="BT87" s="455"/>
      <c r="BU87" s="925" t="s">
        <v>242</v>
      </c>
      <c r="BV87" s="895"/>
      <c r="BW87" s="912"/>
      <c r="BX87" s="925" t="str">
        <f>Table!AF11</f>
        <v>Double</v>
      </c>
      <c r="CH87" s="764">
        <f>IF(BN87=999,0,(BO88-BO87)/(BN87-BM87))</f>
        <v>44.999999999999986</v>
      </c>
      <c r="CI87" s="925">
        <f>IF(BN87=999,0,(BP88-BP87)/(BN87-BM87))</f>
        <v>-19.999999999999993</v>
      </c>
      <c r="CJ87" s="759"/>
      <c r="CK87" s="498"/>
      <c r="CL87" s="52"/>
      <c r="EW87" s="427"/>
    </row>
    <row r="88" spans="2:171" ht="24" customHeight="1">
      <c r="B88" s="131" t="str">
        <f ca="1">IF(ISERROR(FIND(BE66,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Internal Systems on External Walls.  Are you sure?")</f>
        <v/>
      </c>
      <c r="C88" s="35"/>
      <c r="D88" s="141"/>
      <c r="E88" s="141"/>
      <c r="F88" s="143"/>
      <c r="G88" s="144"/>
      <c r="H88" s="31"/>
      <c r="I88" s="1376" t="str">
        <f ca="1">IF(ISERROR(FIND(BE67,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Double Sided System on Single Sided Wall")</f>
        <v/>
      </c>
      <c r="L88" s="1357" t="str">
        <f>IF($BG$4=1,$BG$42,$BH$42)</f>
        <v>Top    Line</v>
      </c>
      <c r="M88" s="1434" t="str">
        <f>IF($BG$4=1,$BG$43,$BH$43)</f>
        <v>Bottom Line</v>
      </c>
      <c r="N88" s="1449" t="str">
        <f>IF($BG$4=1,$BG$42,$BH$42)</f>
        <v>Top    Line</v>
      </c>
      <c r="O88" s="1358" t="str">
        <f>IF($BG$4=1,$BG$43,$BH$43)</f>
        <v>Bottom Line</v>
      </c>
      <c r="Q88" s="52"/>
      <c r="R88" s="52"/>
      <c r="S88" s="52"/>
      <c r="T88" s="52"/>
      <c r="U88" s="52"/>
      <c r="V88" s="52"/>
      <c r="W88" s="52"/>
      <c r="X88" s="52"/>
      <c r="Y88" s="896"/>
      <c r="Z88" s="52" t="s">
        <v>8</v>
      </c>
      <c r="AA88" s="51"/>
      <c r="AB88" s="51"/>
      <c r="AC88" s="1"/>
      <c r="AD88" s="31"/>
      <c r="AE88" s="31"/>
      <c r="AF88" s="31"/>
      <c r="AG88" s="31"/>
      <c r="AH88" s="1"/>
      <c r="AI88" s="1"/>
      <c r="AJ88" s="31"/>
      <c r="AK88" s="31"/>
      <c r="AL88" s="31"/>
      <c r="AM88" s="1"/>
      <c r="AN88" s="1"/>
      <c r="AO88" s="1"/>
      <c r="AP88" s="1"/>
      <c r="AQ88" s="1"/>
      <c r="AR88" s="1"/>
      <c r="AS88" s="6"/>
      <c r="AT88" s="6"/>
      <c r="AU88" s="6"/>
      <c r="AW88" s="1"/>
      <c r="BD88" s="652"/>
      <c r="BE88" s="1"/>
      <c r="BF88" s="51"/>
      <c r="BG88" s="51"/>
      <c r="BI88" s="759"/>
      <c r="BJ88" s="897">
        <f t="shared" si="37"/>
        <v>80</v>
      </c>
      <c r="BK88" s="764"/>
      <c r="BL88" s="766"/>
      <c r="BM88" s="455">
        <f>Table!AB12</f>
        <v>0.8</v>
      </c>
      <c r="BN88" s="455">
        <f>BM89</f>
        <v>1</v>
      </c>
      <c r="BO88" s="455">
        <f>Table!AC12</f>
        <v>143</v>
      </c>
      <c r="BP88" s="925">
        <f>Table!AD12</f>
        <v>134</v>
      </c>
      <c r="BR88" s="764"/>
      <c r="BS88" s="455"/>
      <c r="BT88" s="455"/>
      <c r="BU88" s="925" t="s">
        <v>242</v>
      </c>
      <c r="BV88" s="895"/>
      <c r="BW88" s="912"/>
      <c r="BX88" s="925" t="str">
        <f>Table!AF11</f>
        <v>Double</v>
      </c>
      <c r="CH88" s="764">
        <f>IF(BN88=999,0,(BO89-BO88)/(BN88-BM88))</f>
        <v>45.000000000000007</v>
      </c>
      <c r="CI88" s="925">
        <f>IF(BN88=999,0,(BP89-BP88)/(BN88-BM88))</f>
        <v>35.000000000000007</v>
      </c>
      <c r="CJ88" s="759"/>
      <c r="CK88" s="498"/>
      <c r="CL88" s="52"/>
      <c r="EW88" s="427"/>
    </row>
    <row r="89" spans="2:171" ht="24" customHeight="1" thickBot="1">
      <c r="B89" s="162" t="str">
        <f ca="1">IF(ISERROR(FIND(BE62,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External Systems on Internal Walls. Are you sure?")</f>
        <v/>
      </c>
      <c r="C89" s="145"/>
      <c r="D89" s="145"/>
      <c r="E89" s="145"/>
      <c r="F89" s="145"/>
      <c r="G89" s="146"/>
      <c r="H89" s="146"/>
      <c r="L89" s="2751" t="str">
        <f ca="1">IF(AND(L90&gt;=L92,M90&gt;=L92),"Achieved","Not reached")</f>
        <v>Not reached</v>
      </c>
      <c r="M89" s="2752"/>
      <c r="N89" s="2774" t="str">
        <f ca="1">IF(AND(N90&gt;=N92,O90&gt;=N92),"Achieved","Not reached")</f>
        <v>Not reached</v>
      </c>
      <c r="O89" s="2775"/>
      <c r="P89" s="51"/>
      <c r="Q89" s="52"/>
      <c r="R89" s="52"/>
      <c r="S89" s="52"/>
      <c r="T89" s="52"/>
      <c r="U89" s="52"/>
      <c r="V89" s="52"/>
      <c r="W89" s="52"/>
      <c r="X89" s="52"/>
      <c r="Y89" s="896"/>
      <c r="Z89" s="52" t="s">
        <v>8</v>
      </c>
      <c r="AA89" s="51"/>
      <c r="AB89" s="51"/>
      <c r="AC89" s="1"/>
      <c r="AD89" s="31"/>
      <c r="AE89" s="31"/>
      <c r="AF89" s="31"/>
      <c r="AG89" s="31"/>
      <c r="AH89" s="1"/>
      <c r="AI89" s="1"/>
      <c r="AJ89" s="31"/>
      <c r="AK89" s="31"/>
      <c r="AL89" s="31"/>
      <c r="AM89" s="1"/>
      <c r="AN89" s="1"/>
      <c r="AO89" s="1"/>
      <c r="AP89" s="1"/>
      <c r="AQ89" s="1"/>
      <c r="AR89" s="1"/>
      <c r="AS89" s="6"/>
      <c r="AT89" s="6"/>
      <c r="AU89" s="6"/>
      <c r="AW89" s="1"/>
      <c r="BD89" s="652"/>
      <c r="BE89" s="1"/>
      <c r="BF89" s="51"/>
      <c r="BG89" s="51"/>
      <c r="BI89" s="759"/>
      <c r="BJ89" s="897">
        <f t="shared" ref="BJ89:BJ96" si="38">BJ88+1</f>
        <v>81</v>
      </c>
      <c r="BK89" s="764"/>
      <c r="BL89" s="766"/>
      <c r="BM89" s="455">
        <f>Table!AB13</f>
        <v>1</v>
      </c>
      <c r="BN89" s="455">
        <f>BM90</f>
        <v>1.2</v>
      </c>
      <c r="BO89" s="455">
        <f>Table!AC13</f>
        <v>152</v>
      </c>
      <c r="BP89" s="925">
        <f>Table!AD13</f>
        <v>141</v>
      </c>
      <c r="BR89" s="764"/>
      <c r="BS89" s="455"/>
      <c r="BT89" s="455"/>
      <c r="BU89" s="925" t="s">
        <v>242</v>
      </c>
      <c r="BV89" s="895"/>
      <c r="BW89" s="912"/>
      <c r="BX89" s="925" t="str">
        <f>Table!AF11</f>
        <v>Double</v>
      </c>
      <c r="CH89" s="764">
        <f>IF(BN89=999,0,(BO90-BO89)/(BN89-BM89))</f>
        <v>70.000000000000014</v>
      </c>
      <c r="CI89" s="925">
        <f>IF(BN89=999,0,(BP90-BP89)/(BN89-BM89))</f>
        <v>35.000000000000007</v>
      </c>
      <c r="CJ89" s="759"/>
      <c r="CK89" s="498"/>
      <c r="CL89" s="52"/>
      <c r="EW89" s="427"/>
    </row>
    <row r="90" spans="2:171" ht="24" customHeight="1" thickBot="1">
      <c r="B90" s="426"/>
      <c r="C90" s="451"/>
      <c r="D90" s="52"/>
      <c r="E90" s="52"/>
      <c r="F90" s="497"/>
      <c r="G90" s="426"/>
      <c r="H90" s="51"/>
      <c r="I90" s="2776" t="str">
        <f ca="1">IF(OR(L90&lt;L92,M90&lt;L92,N90&lt;N92,O90&lt;N92),"External Line Totals Not Reached", "External Lines Achieved=")</f>
        <v>External Line Totals Not Reached</v>
      </c>
      <c r="J90" s="2777"/>
      <c r="K90" s="2777"/>
      <c r="L90" s="1810">
        <f ca="1">$EI$81</f>
        <v>0</v>
      </c>
      <c r="M90" s="1811">
        <f>$EK$81</f>
        <v>0</v>
      </c>
      <c r="N90" s="1782">
        <f ca="1">$EJ$81</f>
        <v>0</v>
      </c>
      <c r="O90" s="1783">
        <f>$EL$81</f>
        <v>0</v>
      </c>
      <c r="P90" s="59"/>
      <c r="R90" s="52"/>
      <c r="S90" s="52"/>
      <c r="T90" s="52"/>
      <c r="U90" s="52"/>
      <c r="V90" s="52"/>
      <c r="W90" s="52"/>
      <c r="X90" s="52"/>
      <c r="Y90" s="896"/>
      <c r="Z90" s="52"/>
      <c r="AA90" s="51"/>
      <c r="AB90" s="51"/>
      <c r="AC90" s="1"/>
      <c r="AD90" s="31"/>
      <c r="AE90" s="31"/>
      <c r="AF90" s="31"/>
      <c r="AG90" s="31"/>
      <c r="AH90" s="1"/>
      <c r="AI90" s="1"/>
      <c r="AJ90" s="31"/>
      <c r="AK90" s="31"/>
      <c r="AL90" s="31"/>
      <c r="AM90" s="1"/>
      <c r="AN90" s="1"/>
      <c r="AO90" s="1"/>
      <c r="AP90" s="1"/>
      <c r="AQ90" s="1"/>
      <c r="AR90" s="1"/>
      <c r="AS90" s="6"/>
      <c r="AT90" s="6"/>
      <c r="AU90" s="6"/>
      <c r="AW90" s="1"/>
      <c r="BD90" s="652"/>
      <c r="BE90" s="1"/>
      <c r="BF90" s="51"/>
      <c r="BG90" s="51"/>
      <c r="BI90" s="759"/>
      <c r="BJ90" s="897">
        <f t="shared" si="38"/>
        <v>82</v>
      </c>
      <c r="BK90" s="908"/>
      <c r="BL90" s="767"/>
      <c r="BM90" s="776">
        <f>Table!AB14</f>
        <v>1.2</v>
      </c>
      <c r="BN90" s="776">
        <v>999</v>
      </c>
      <c r="BO90" s="776">
        <f>Table!AC14</f>
        <v>166</v>
      </c>
      <c r="BP90" s="926">
        <f>Table!AD14</f>
        <v>148</v>
      </c>
      <c r="BQ90" s="1183"/>
      <c r="BR90" s="908"/>
      <c r="BS90" s="776"/>
      <c r="BT90" s="776"/>
      <c r="BU90" s="926" t="s">
        <v>242</v>
      </c>
      <c r="BV90" s="433"/>
      <c r="BW90" s="914"/>
      <c r="BX90" s="926" t="str">
        <f>Table!AF11</f>
        <v>Double</v>
      </c>
      <c r="CH90" s="908">
        <f>IF(BN90=999,0,(#REF!-BO90)/(BN90-BM90))</f>
        <v>0</v>
      </c>
      <c r="CI90" s="926">
        <f>IF(BN90=999,0,(#REF!-BP90)/(BN90-BM90))</f>
        <v>0</v>
      </c>
      <c r="CJ90" s="759"/>
      <c r="CK90" s="498"/>
      <c r="CL90" s="52"/>
      <c r="EW90" s="427"/>
    </row>
    <row r="91" spans="2:171" ht="24" customHeight="1" thickBot="1">
      <c r="B91" s="426"/>
      <c r="C91" s="451"/>
      <c r="D91" s="52"/>
      <c r="E91" s="52"/>
      <c r="F91" s="497"/>
      <c r="G91" s="426"/>
      <c r="H91" s="51"/>
      <c r="I91" s="1433"/>
      <c r="J91" s="426"/>
      <c r="K91" s="51"/>
      <c r="L91" s="2632" t="s">
        <v>1091</v>
      </c>
      <c r="M91" s="2761"/>
      <c r="N91" s="2632" t="s">
        <v>1090</v>
      </c>
      <c r="O91" s="2633"/>
      <c r="P91" s="51"/>
      <c r="Q91" s="52"/>
      <c r="R91" s="52"/>
      <c r="S91" s="52"/>
      <c r="T91" s="52"/>
      <c r="U91" s="52"/>
      <c r="V91" s="52"/>
      <c r="W91" s="52"/>
      <c r="X91" s="52"/>
      <c r="Y91" s="896"/>
      <c r="Z91" s="52"/>
      <c r="AA91" s="51"/>
      <c r="AB91" s="51"/>
      <c r="AC91" s="1"/>
      <c r="AD91" s="31"/>
      <c r="AE91" s="31"/>
      <c r="AF91" s="31"/>
      <c r="AG91" s="31"/>
      <c r="AH91" s="1"/>
      <c r="AI91" s="1"/>
      <c r="AJ91" s="31"/>
      <c r="AK91" s="31"/>
      <c r="AL91" s="31"/>
      <c r="AM91" s="1"/>
      <c r="AN91" s="1"/>
      <c r="AO91" s="1"/>
      <c r="AP91" s="1"/>
      <c r="AQ91" s="1"/>
      <c r="AR91" s="1"/>
      <c r="AS91" s="6"/>
      <c r="AT91" s="6"/>
      <c r="AU91" s="6"/>
      <c r="AW91" s="1"/>
      <c r="BD91" s="652"/>
      <c r="BE91" s="1"/>
      <c r="BF91" s="51"/>
      <c r="BG91" s="51"/>
      <c r="BI91" s="759"/>
      <c r="BJ91" s="897">
        <f t="shared" si="38"/>
        <v>83</v>
      </c>
      <c r="BK91" s="1231"/>
      <c r="BL91" s="1234"/>
      <c r="BM91" s="1205"/>
      <c r="BN91" s="1205"/>
      <c r="BO91" s="1205"/>
      <c r="BP91" s="1205"/>
      <c r="BQ91" s="1233"/>
      <c r="BR91" s="1205"/>
      <c r="BS91" s="1205"/>
      <c r="BT91" s="1205"/>
      <c r="BU91" s="1205"/>
      <c r="BV91" s="1233"/>
      <c r="BW91" s="1235"/>
      <c r="BX91" s="1205"/>
      <c r="CJ91" s="929"/>
      <c r="CK91" s="498"/>
      <c r="CL91" s="52"/>
      <c r="EW91" s="427"/>
    </row>
    <row r="92" spans="2:171" ht="24" customHeight="1" thickBot="1">
      <c r="B92" s="426"/>
      <c r="C92" s="451"/>
      <c r="D92" s="52"/>
      <c r="E92" s="52"/>
      <c r="F92" s="497"/>
      <c r="G92" s="426"/>
      <c r="H92" s="51"/>
      <c r="I92" s="2744" t="s">
        <v>836</v>
      </c>
      <c r="J92" s="2745"/>
      <c r="K92" s="2745"/>
      <c r="L92" s="2628">
        <f ca="1">$L$4</f>
        <v>180</v>
      </c>
      <c r="M92" s="2762"/>
      <c r="N92" s="2628">
        <f ca="1">$N$4</f>
        <v>180</v>
      </c>
      <c r="O92" s="2629"/>
      <c r="P92" s="51"/>
      <c r="Q92" s="52"/>
      <c r="R92" s="52"/>
      <c r="S92" s="52"/>
      <c r="T92" s="52"/>
      <c r="U92" s="52"/>
      <c r="V92" s="52"/>
      <c r="W92" s="52"/>
      <c r="X92" s="52"/>
      <c r="Y92" s="896"/>
      <c r="Z92" s="52"/>
      <c r="AA92" s="51" t="s">
        <v>8</v>
      </c>
      <c r="AB92" s="51"/>
      <c r="AC92" s="1"/>
      <c r="AD92" s="31"/>
      <c r="AE92" s="31"/>
      <c r="AF92" s="31"/>
      <c r="AG92" s="31"/>
      <c r="AH92" s="1"/>
      <c r="AI92" s="1"/>
      <c r="AJ92" s="31"/>
      <c r="AK92" s="31"/>
      <c r="AL92" s="31"/>
      <c r="AM92" s="1"/>
      <c r="AN92" s="1"/>
      <c r="AO92" s="1"/>
      <c r="AP92" s="1"/>
      <c r="AQ92" s="1"/>
      <c r="AR92" s="1"/>
      <c r="AS92" s="6"/>
      <c r="AT92" s="6"/>
      <c r="AU92" s="6"/>
      <c r="AW92" s="1"/>
      <c r="BD92" s="652"/>
      <c r="BE92" s="1"/>
      <c r="BF92" s="51"/>
      <c r="BG92" s="51"/>
      <c r="BI92" s="759"/>
      <c r="BJ92" s="897">
        <f t="shared" si="38"/>
        <v>84</v>
      </c>
      <c r="BK92" s="768" t="str">
        <f>BK86</f>
        <v xml:space="preserve">EPB </v>
      </c>
      <c r="BL92" s="765" t="str">
        <f>Table!AA16</f>
        <v>EMPH</v>
      </c>
      <c r="BM92" s="454">
        <f>Table!AB16</f>
        <v>0.4</v>
      </c>
      <c r="BN92" s="454">
        <f>BM93</f>
        <v>0.6</v>
      </c>
      <c r="BO92" s="454">
        <f>Table!AC16</f>
        <v>121</v>
      </c>
      <c r="BP92" s="924">
        <f>Table!AD16</f>
        <v>138</v>
      </c>
      <c r="BQ92" s="920"/>
      <c r="BR92" s="768" t="str">
        <f>Table!AE16</f>
        <v>ESPH</v>
      </c>
      <c r="BS92" s="454" t="str">
        <f>Table!AE17</f>
        <v>ESPH</v>
      </c>
      <c r="BT92" s="454" t="str">
        <f>Table!AF16</f>
        <v>E</v>
      </c>
      <c r="BU92" s="924" t="s">
        <v>242</v>
      </c>
      <c r="BV92" s="1230" t="str">
        <f>Table!AI84</f>
        <v>EMPH</v>
      </c>
      <c r="BW92" s="1229">
        <f>BJ92</f>
        <v>84</v>
      </c>
      <c r="BX92" s="924" t="str">
        <f>Table!AF17</f>
        <v>Double</v>
      </c>
      <c r="CH92" s="768">
        <f>IF(BN92=999,0,(BO93-BO92)/(BN92-BM92))</f>
        <v>80.000000000000014</v>
      </c>
      <c r="CI92" s="924">
        <f>IF(BN92=999,0,(BP93-BP92)/(BN92-BM92))</f>
        <v>75.000000000000014</v>
      </c>
      <c r="CJ92" s="929"/>
      <c r="CK92" s="498"/>
      <c r="CL92" s="52"/>
      <c r="EW92" s="427"/>
    </row>
    <row r="93" spans="2:171" ht="12.75" customHeight="1">
      <c r="B93" s="426"/>
      <c r="C93" s="451"/>
      <c r="D93" s="52"/>
      <c r="E93" s="52"/>
      <c r="F93" s="497"/>
      <c r="G93" s="426"/>
      <c r="H93" s="51"/>
      <c r="I93" s="426"/>
      <c r="J93" s="426"/>
      <c r="K93" s="51"/>
      <c r="L93" s="52"/>
      <c r="M93" s="51"/>
      <c r="N93" s="52"/>
      <c r="O93" s="51"/>
      <c r="P93" s="53"/>
      <c r="Q93" s="54"/>
      <c r="R93" s="52"/>
      <c r="S93" s="52"/>
      <c r="T93" s="52"/>
      <c r="U93" s="52"/>
      <c r="V93" s="52"/>
      <c r="W93" s="52"/>
      <c r="X93" s="52"/>
      <c r="Y93" s="896"/>
      <c r="Z93" s="52"/>
      <c r="AA93" s="51"/>
      <c r="AB93" s="51"/>
      <c r="AC93" s="1"/>
      <c r="AD93" s="31"/>
      <c r="AE93" s="31"/>
      <c r="AF93" s="31"/>
      <c r="AG93" s="31"/>
      <c r="AH93" s="1"/>
      <c r="AI93" s="1"/>
      <c r="AJ93" s="31"/>
      <c r="AK93" s="31"/>
      <c r="AL93" s="31"/>
      <c r="AM93" s="1"/>
      <c r="AN93" s="1"/>
      <c r="AO93" s="1"/>
      <c r="AP93" s="1"/>
      <c r="AQ93" s="1"/>
      <c r="AR93" s="1"/>
      <c r="AS93" s="6"/>
      <c r="AT93" s="6"/>
      <c r="AU93" s="6"/>
      <c r="AW93" s="1"/>
      <c r="BD93" s="652"/>
      <c r="BE93" s="1"/>
      <c r="BF93" s="51"/>
      <c r="BG93" s="51"/>
      <c r="BI93" s="759"/>
      <c r="BJ93" s="897">
        <f t="shared" si="38"/>
        <v>85</v>
      </c>
      <c r="BK93" s="764"/>
      <c r="BL93" s="766"/>
      <c r="BM93" s="455">
        <f>Table!AB17</f>
        <v>0.6</v>
      </c>
      <c r="BN93" s="455">
        <f>BM94</f>
        <v>0.8</v>
      </c>
      <c r="BO93" s="455">
        <f>Table!AC17</f>
        <v>137</v>
      </c>
      <c r="BP93" s="925">
        <f>Table!AD17</f>
        <v>153</v>
      </c>
      <c r="BR93" s="764"/>
      <c r="BS93" s="455"/>
      <c r="BT93" s="455"/>
      <c r="BU93" s="925" t="s">
        <v>242</v>
      </c>
      <c r="BV93" s="895"/>
      <c r="BW93" s="912"/>
      <c r="BX93" s="925" t="str">
        <f>Table!AF17</f>
        <v>Double</v>
      </c>
      <c r="CH93" s="764">
        <f>IF(BN93=999,0,(BO94-BO93)/(BN93-BM93))</f>
        <v>54.999999999999979</v>
      </c>
      <c r="CI93" s="925">
        <f>IF(BN93=999,0,(BP94-BP93)/(BN93-BM93))</f>
        <v>44.999999999999986</v>
      </c>
      <c r="CJ93" s="929"/>
      <c r="CK93" s="498"/>
      <c r="CL93" s="52"/>
      <c r="EW93" s="427"/>
    </row>
    <row r="94" spans="2:171" ht="12.75" customHeight="1">
      <c r="B94" s="421"/>
      <c r="C94" s="863"/>
      <c r="D94" s="502"/>
      <c r="E94" s="502"/>
      <c r="F94" s="864"/>
      <c r="G94" s="421"/>
      <c r="H94" s="498"/>
      <c r="I94" s="421"/>
      <c r="J94" s="421"/>
      <c r="K94" s="498"/>
      <c r="L94" s="52"/>
      <c r="M94" s="51"/>
      <c r="N94" s="52"/>
      <c r="O94" s="51"/>
      <c r="P94" s="53"/>
      <c r="Q94" s="54"/>
      <c r="R94" s="52"/>
      <c r="S94" s="52"/>
      <c r="T94" s="52"/>
      <c r="U94" s="52"/>
      <c r="V94" s="52"/>
      <c r="W94" s="52"/>
      <c r="X94" s="52"/>
      <c r="Y94" s="896"/>
      <c r="Z94" s="52"/>
      <c r="AA94" s="51"/>
      <c r="AB94" s="51"/>
      <c r="AC94" s="1"/>
      <c r="AD94" s="31"/>
      <c r="AE94" s="31"/>
      <c r="AF94" s="31"/>
      <c r="AG94" s="31"/>
      <c r="AH94" s="1"/>
      <c r="AI94" s="1"/>
      <c r="AJ94" s="31"/>
      <c r="AK94" s="31"/>
      <c r="AL94" s="31"/>
      <c r="AM94" s="1"/>
      <c r="AN94" s="1"/>
      <c r="AO94" s="1"/>
      <c r="AP94" s="1"/>
      <c r="AQ94" s="1"/>
      <c r="AR94" s="1"/>
      <c r="AS94" s="6"/>
      <c r="AT94" s="6"/>
      <c r="AU94" s="6"/>
      <c r="AW94" s="1"/>
      <c r="BD94" s="652"/>
      <c r="BE94" s="1"/>
      <c r="BF94" s="51"/>
      <c r="BG94" s="51"/>
      <c r="BI94" s="1241"/>
      <c r="BJ94" s="897">
        <f t="shared" si="38"/>
        <v>86</v>
      </c>
      <c r="BK94" s="764"/>
      <c r="BL94" s="766"/>
      <c r="BM94" s="455">
        <f>Table!AB18</f>
        <v>0.8</v>
      </c>
      <c r="BN94" s="455">
        <f>BM95</f>
        <v>0.9</v>
      </c>
      <c r="BO94" s="455">
        <f>Table!AC18</f>
        <v>148</v>
      </c>
      <c r="BP94" s="925">
        <f>Table!AD18</f>
        <v>162</v>
      </c>
      <c r="BR94" s="764"/>
      <c r="BS94" s="455"/>
      <c r="BT94" s="455"/>
      <c r="BU94" s="925" t="s">
        <v>242</v>
      </c>
      <c r="BV94" s="895"/>
      <c r="BW94" s="912"/>
      <c r="BX94" s="925" t="str">
        <f>Table!AF17</f>
        <v>Double</v>
      </c>
      <c r="CH94" s="764">
        <f>IF(BN94=999,0,(BO95-BO94)/(BN94-BM94))</f>
        <v>140.00000000000003</v>
      </c>
      <c r="CI94" s="925">
        <f>IF(BN94=999,0,(BP95-BP94)/(BN94-BM94))</f>
        <v>50.000000000000014</v>
      </c>
      <c r="CJ94" s="1243"/>
      <c r="CK94" s="498"/>
      <c r="CL94" s="52"/>
      <c r="EW94" s="427"/>
    </row>
    <row r="95" spans="2:171" ht="15.75" hidden="1">
      <c r="B95" s="421"/>
      <c r="C95" s="863"/>
      <c r="D95" s="502"/>
      <c r="E95" s="502"/>
      <c r="F95" s="864"/>
      <c r="G95" s="421"/>
      <c r="H95" s="498"/>
      <c r="I95" s="421"/>
      <c r="J95" s="421"/>
      <c r="K95" s="498"/>
      <c r="L95" s="52"/>
      <c r="M95" s="51"/>
      <c r="N95" s="52"/>
      <c r="O95" s="51"/>
      <c r="P95" s="53"/>
      <c r="Q95" s="54"/>
      <c r="R95" s="52"/>
      <c r="S95" s="52"/>
      <c r="T95" s="52"/>
      <c r="U95" s="52"/>
      <c r="V95" s="52"/>
      <c r="W95" s="52"/>
      <c r="X95" s="52"/>
      <c r="Y95" s="896"/>
      <c r="Z95" s="52"/>
      <c r="AA95" s="51"/>
      <c r="AB95" s="51"/>
      <c r="AC95" s="1"/>
      <c r="AD95" s="31"/>
      <c r="AE95" s="31"/>
      <c r="AF95" s="31"/>
      <c r="AG95" s="31"/>
      <c r="AH95" s="1"/>
      <c r="AI95" s="1"/>
      <c r="AJ95" s="31"/>
      <c r="AK95" s="31"/>
      <c r="AL95" s="31"/>
      <c r="AM95" s="1"/>
      <c r="AN95" s="1"/>
      <c r="AO95" s="1"/>
      <c r="AP95" s="1"/>
      <c r="AQ95" s="1"/>
      <c r="AR95" s="1"/>
      <c r="AS95" s="6"/>
      <c r="AT95" s="6"/>
      <c r="AU95" s="6"/>
      <c r="AW95" s="1"/>
      <c r="BD95" s="652"/>
      <c r="BE95" s="1"/>
      <c r="BF95" s="51"/>
      <c r="BG95" s="51"/>
      <c r="BI95" s="1241"/>
      <c r="BJ95" s="897">
        <f t="shared" si="38"/>
        <v>87</v>
      </c>
      <c r="BK95" s="764"/>
      <c r="BL95" s="766"/>
      <c r="BM95" s="455">
        <f>Table!AB19</f>
        <v>0.9</v>
      </c>
      <c r="BN95" s="455">
        <f>BM96</f>
        <v>1.2</v>
      </c>
      <c r="BO95" s="455">
        <f>Table!AC19</f>
        <v>162</v>
      </c>
      <c r="BP95" s="925">
        <f>Table!AD19</f>
        <v>167</v>
      </c>
      <c r="BR95" s="764"/>
      <c r="BS95" s="455"/>
      <c r="BT95" s="455"/>
      <c r="BU95" s="925" t="s">
        <v>242</v>
      </c>
      <c r="BV95" s="895"/>
      <c r="BW95" s="912"/>
      <c r="BX95" s="925" t="str">
        <f>Table!AF17</f>
        <v>Double</v>
      </c>
      <c r="CH95" s="764">
        <f>IF(BN95=999,0,(BO96-BO95)/(BN95-BM95))</f>
        <v>0</v>
      </c>
      <c r="CI95" s="925">
        <f>IF(BN95=999,0,(BP96-BP95)/(BN95-BM95))</f>
        <v>0</v>
      </c>
      <c r="CJ95" s="1241"/>
      <c r="CK95" s="498"/>
      <c r="CL95" s="52"/>
      <c r="EW95" s="427"/>
    </row>
    <row r="96" spans="2:171" ht="16.5" hidden="1" thickBot="1">
      <c r="B96" s="421"/>
      <c r="C96" s="863"/>
      <c r="D96" s="502"/>
      <c r="E96" s="502"/>
      <c r="F96" s="864"/>
      <c r="G96" s="421"/>
      <c r="H96" s="498"/>
      <c r="I96" s="421"/>
      <c r="J96" s="421"/>
      <c r="K96" s="1409"/>
      <c r="L96" s="1435"/>
      <c r="M96" s="1409"/>
      <c r="N96" s="1435"/>
      <c r="O96" s="1409"/>
      <c r="P96" s="1436"/>
      <c r="Q96" s="54"/>
      <c r="R96" s="52"/>
      <c r="S96" s="52"/>
      <c r="T96" s="52"/>
      <c r="U96" s="52"/>
      <c r="V96" s="52"/>
      <c r="W96" s="52"/>
      <c r="X96" s="52"/>
      <c r="Y96" s="896"/>
      <c r="Z96" s="52"/>
      <c r="AA96" s="51"/>
      <c r="AB96" s="51"/>
      <c r="AC96" s="1"/>
      <c r="AD96" s="31"/>
      <c r="AE96" s="31"/>
      <c r="AF96" s="31"/>
      <c r="AG96" s="31"/>
      <c r="AH96" s="1"/>
      <c r="AI96" s="1"/>
      <c r="AJ96" s="31"/>
      <c r="AK96" s="31"/>
      <c r="AL96" s="31"/>
      <c r="AM96" s="1"/>
      <c r="AN96" s="1"/>
      <c r="AO96" s="1"/>
      <c r="AP96" s="1"/>
      <c r="AQ96" s="1"/>
      <c r="AR96" s="1"/>
      <c r="AS96" s="6"/>
      <c r="AT96" s="6"/>
      <c r="AU96" s="6"/>
      <c r="AW96" s="1"/>
      <c r="BD96" s="652"/>
      <c r="BE96" s="1"/>
      <c r="BF96" s="51"/>
      <c r="BG96" s="51"/>
      <c r="BI96" s="1241"/>
      <c r="BJ96" s="897">
        <f t="shared" si="38"/>
        <v>88</v>
      </c>
      <c r="BK96" s="908"/>
      <c r="BL96" s="767"/>
      <c r="BM96" s="776">
        <f>Table!AB20</f>
        <v>1.2</v>
      </c>
      <c r="BN96" s="776">
        <v>999</v>
      </c>
      <c r="BO96" s="776">
        <f>Table!AC20</f>
        <v>162</v>
      </c>
      <c r="BP96" s="926">
        <f>Table!AD20</f>
        <v>167</v>
      </c>
      <c r="BQ96" s="1183"/>
      <c r="BR96" s="908"/>
      <c r="BS96" s="776"/>
      <c r="BT96" s="776"/>
      <c r="BU96" s="926" t="s">
        <v>242</v>
      </c>
      <c r="BV96" s="433"/>
      <c r="BW96" s="914"/>
      <c r="BX96" s="926" t="str">
        <f>Table!AF17</f>
        <v>Double</v>
      </c>
      <c r="CH96" s="908">
        <f>IF(BN96=999,0,(#REF!-BO96)/(BN96-BM96))</f>
        <v>0</v>
      </c>
      <c r="CI96" s="926">
        <f>IF(BN96=999,0,(#REF!-BP96)/(BN96-BM96))</f>
        <v>0</v>
      </c>
      <c r="CJ96" s="1243"/>
      <c r="CK96" s="498"/>
      <c r="CL96" s="52"/>
      <c r="EW96" s="427"/>
    </row>
    <row r="97" spans="1:153" ht="12.75" hidden="1" customHeight="1">
      <c r="A97" s="1258"/>
      <c r="B97" s="421">
        <f ca="1">IF(OR(B84&lt;&gt;"",B85&lt;&gt;"",),1,0)</f>
        <v>0</v>
      </c>
      <c r="C97" s="863"/>
      <c r="D97" s="502"/>
      <c r="E97" s="502"/>
      <c r="F97" s="864"/>
      <c r="G97" s="421">
        <f>IF(OR(G83&lt;&gt;""),0,0)</f>
        <v>0</v>
      </c>
      <c r="H97" s="498"/>
      <c r="I97" s="421"/>
      <c r="J97" s="421">
        <f ca="1">IF(OR(J84&lt;&gt;"",J85&lt;&gt;"",),1,0)</f>
        <v>0</v>
      </c>
      <c r="K97" s="1409"/>
      <c r="L97" s="1435"/>
      <c r="M97" s="1409">
        <f ca="1">IF(L83&lt;&gt;"",1,0)</f>
        <v>1</v>
      </c>
      <c r="N97" s="1435"/>
      <c r="O97" s="1409">
        <f ca="1">IF(N83&lt;&gt;"",1,0)</f>
        <v>1</v>
      </c>
      <c r="P97" s="1409"/>
      <c r="Q97" s="151">
        <f ca="1">SUM(B97:O97)</f>
        <v>2</v>
      </c>
      <c r="R97" s="52"/>
      <c r="S97" s="52"/>
      <c r="T97" s="52"/>
      <c r="U97" s="52"/>
      <c r="V97" s="52"/>
      <c r="W97" s="52"/>
      <c r="X97" s="52"/>
      <c r="Y97" s="896"/>
      <c r="Z97" s="52"/>
      <c r="AA97" s="51"/>
      <c r="AB97" s="51"/>
      <c r="AC97" s="1"/>
      <c r="AD97" s="31"/>
      <c r="AE97" s="31"/>
      <c r="AF97" s="31"/>
      <c r="AG97" s="31"/>
      <c r="AH97" s="1"/>
      <c r="AI97" s="1"/>
      <c r="AJ97" s="31"/>
      <c r="AK97" s="31"/>
      <c r="AL97" s="31"/>
      <c r="AM97" s="1"/>
      <c r="AN97" s="1"/>
      <c r="AO97" s="1"/>
      <c r="AP97" s="1"/>
      <c r="AQ97" s="1"/>
      <c r="AR97" s="1"/>
      <c r="AS97" s="6"/>
      <c r="AT97" s="6"/>
      <c r="AU97" s="6"/>
      <c r="AW97" s="1"/>
      <c r="BD97" s="652"/>
      <c r="BE97" s="1"/>
      <c r="BF97" s="51"/>
      <c r="BG97" s="51"/>
      <c r="BI97" s="1241"/>
      <c r="BJ97" s="893"/>
      <c r="BK97" s="421"/>
      <c r="BL97" s="899"/>
      <c r="BM97" s="502"/>
      <c r="BN97" s="502"/>
      <c r="BO97" s="502"/>
      <c r="BP97" s="502"/>
      <c r="BQ97" s="498"/>
      <c r="BR97" s="502"/>
      <c r="BS97" s="502"/>
      <c r="BT97" s="502"/>
      <c r="BU97" s="502"/>
      <c r="BV97" s="498"/>
      <c r="BW97" s="498"/>
      <c r="BX97" s="498"/>
      <c r="BY97" s="498"/>
      <c r="BZ97" s="498"/>
      <c r="CA97" s="498"/>
      <c r="CB97" s="498"/>
      <c r="CC97" s="498"/>
      <c r="CD97" s="498"/>
      <c r="CE97" s="498"/>
      <c r="CF97" s="498"/>
      <c r="CG97" s="498"/>
      <c r="CH97" s="502"/>
      <c r="CI97" s="502"/>
      <c r="CJ97" s="1243"/>
      <c r="CK97" s="498"/>
      <c r="CL97" s="52"/>
      <c r="EW97" s="427"/>
    </row>
    <row r="98" spans="1:153" ht="12.75" hidden="1" customHeight="1">
      <c r="A98" s="1259"/>
      <c r="B98" s="499">
        <f ca="1">IF(OR(B84&lt;&gt;"",B85&lt;&gt;"",B87&lt;&gt;"",B88&lt;&gt;"",B89&lt;&gt;""),1,0)</f>
        <v>0</v>
      </c>
      <c r="C98" s="500"/>
      <c r="D98" s="501"/>
      <c r="E98" s="501"/>
      <c r="F98" s="502"/>
      <c r="G98" s="499">
        <f>IF(OR(G83&lt;&gt;""),0,0)</f>
        <v>0</v>
      </c>
      <c r="H98" s="498"/>
      <c r="I98" s="498"/>
      <c r="J98" s="499">
        <f ca="1">IF(OR(J84&lt;&gt;"",J85&lt;&gt;"",I86&lt;&gt;"",),1,0)</f>
        <v>0</v>
      </c>
      <c r="K98" s="1409"/>
      <c r="L98" s="1438">
        <f ca="1">L99+M99</f>
        <v>1</v>
      </c>
      <c r="M98" s="1439">
        <f ca="1">IF(L83&lt;&gt;"",1,0)</f>
        <v>1</v>
      </c>
      <c r="N98" s="1438">
        <f ca="1">N99+O99</f>
        <v>1</v>
      </c>
      <c r="O98" s="1440">
        <f ca="1">IF(N83&lt;&gt;"",1,0)</f>
        <v>1</v>
      </c>
      <c r="P98" s="1436"/>
      <c r="Q98" s="60">
        <f ca="1">SUM(B98:O98)</f>
        <v>4</v>
      </c>
      <c r="R98" s="52"/>
      <c r="S98" s="52"/>
      <c r="T98" s="52"/>
      <c r="U98" s="52"/>
      <c r="V98" s="52"/>
      <c r="W98" s="52"/>
      <c r="X98" s="52"/>
      <c r="Y98" s="896"/>
      <c r="Z98" s="52"/>
      <c r="AA98" s="51" t="s">
        <v>68</v>
      </c>
      <c r="AB98" s="51"/>
      <c r="AC98" s="1"/>
      <c r="AD98" s="31"/>
      <c r="AE98" s="31"/>
      <c r="AF98" s="31"/>
      <c r="AG98" s="31"/>
      <c r="AH98" s="1"/>
      <c r="AI98" s="1"/>
      <c r="AJ98" s="31"/>
      <c r="AK98" s="31"/>
      <c r="AL98" s="31"/>
      <c r="AM98" s="1"/>
      <c r="AN98" s="1"/>
      <c r="AO98" s="1"/>
      <c r="AP98" s="1"/>
      <c r="AQ98" s="1"/>
      <c r="AR98" s="1"/>
      <c r="AS98" s="6"/>
      <c r="AT98" s="6"/>
      <c r="AU98" s="6"/>
      <c r="AW98" s="1"/>
      <c r="BD98" s="652"/>
      <c r="BE98" s="1"/>
      <c r="BF98" s="51"/>
      <c r="BG98" s="51"/>
      <c r="BI98" s="1241"/>
      <c r="BJ98" s="893"/>
      <c r="BK98" s="421"/>
      <c r="BL98" s="899"/>
      <c r="BM98" s="502"/>
      <c r="BN98" s="502"/>
      <c r="BO98" s="502"/>
      <c r="BP98" s="502"/>
      <c r="BQ98" s="498"/>
      <c r="BR98" s="502"/>
      <c r="BS98" s="502"/>
      <c r="BT98" s="502"/>
      <c r="BU98" s="502"/>
      <c r="BV98" s="498"/>
      <c r="BW98" s="498"/>
      <c r="BX98" s="498"/>
      <c r="BY98" s="498"/>
      <c r="BZ98" s="498"/>
      <c r="CA98" s="498"/>
      <c r="CB98" s="498"/>
      <c r="CC98" s="498"/>
      <c r="CD98" s="498"/>
      <c r="CE98" s="498"/>
      <c r="CF98" s="498"/>
      <c r="CG98" s="498"/>
      <c r="CH98" s="502"/>
      <c r="CI98" s="502"/>
      <c r="CJ98" s="1243"/>
      <c r="CK98" s="498"/>
      <c r="CL98" s="52"/>
      <c r="EW98" s="427"/>
    </row>
    <row r="99" spans="1:153" ht="12.75" hidden="1" customHeight="1">
      <c r="A99" s="1258"/>
      <c r="B99" s="499"/>
      <c r="C99" s="502"/>
      <c r="D99" s="502"/>
      <c r="E99" s="502"/>
      <c r="F99" s="502"/>
      <c r="G99" s="498"/>
      <c r="H99" s="498"/>
      <c r="I99" s="498"/>
      <c r="J99" s="498"/>
      <c r="K99" s="1409"/>
      <c r="L99" s="1435">
        <f ca="1">IF((L90&lt;L92),1,0)</f>
        <v>1</v>
      </c>
      <c r="M99" s="1435">
        <f>IF((M90&lt;M92),1,0)</f>
        <v>0</v>
      </c>
      <c r="N99" s="1435">
        <f ca="1">IF((N90&lt;N92),1,0)</f>
        <v>1</v>
      </c>
      <c r="O99" s="1435">
        <f>IF((O90&lt;O92),1,0)</f>
        <v>0</v>
      </c>
      <c r="P99" s="1436"/>
      <c r="Q99" s="150"/>
      <c r="R99" s="52"/>
      <c r="S99" s="52"/>
      <c r="T99" s="52"/>
      <c r="U99" s="52"/>
      <c r="V99" s="52"/>
      <c r="W99" s="52"/>
      <c r="X99" s="52"/>
      <c r="Y99" s="896"/>
      <c r="Z99" s="52"/>
      <c r="AA99" s="51"/>
      <c r="AB99" s="51"/>
      <c r="AC99" s="1"/>
      <c r="AD99" s="31"/>
      <c r="AE99" s="31"/>
      <c r="AH99" s="1"/>
      <c r="AI99" s="1"/>
      <c r="AJ99" s="31"/>
      <c r="AK99" s="31"/>
      <c r="AL99" s="31"/>
      <c r="AM99" s="1"/>
      <c r="AN99" s="1"/>
      <c r="AO99" s="1"/>
      <c r="AP99" s="1"/>
      <c r="AQ99" s="1"/>
      <c r="AR99" s="1"/>
      <c r="AS99" s="6"/>
      <c r="AT99" s="6"/>
      <c r="AU99" s="6"/>
      <c r="AW99" s="1"/>
      <c r="BD99" s="652"/>
      <c r="BE99" s="1"/>
      <c r="BF99" s="51"/>
      <c r="BG99" s="51"/>
      <c r="BI99" s="1241"/>
      <c r="BJ99" s="1242"/>
      <c r="BK99" s="934"/>
      <c r="BL99" s="935"/>
      <c r="BM99" s="936"/>
      <c r="BN99" s="936"/>
      <c r="BO99" s="936"/>
      <c r="BP99" s="936"/>
      <c r="BQ99" s="929"/>
      <c r="BR99" s="936"/>
      <c r="BS99" s="936"/>
      <c r="BT99" s="936"/>
      <c r="BU99" s="936"/>
      <c r="BV99" s="929"/>
      <c r="BW99" s="929"/>
      <c r="BX99" s="929"/>
      <c r="BY99" s="929"/>
      <c r="BZ99" s="929"/>
      <c r="CA99" s="929"/>
      <c r="CB99" s="929"/>
      <c r="CC99" s="929"/>
      <c r="CD99" s="929"/>
      <c r="CE99" s="929"/>
      <c r="CF99" s="929"/>
      <c r="CG99" s="929"/>
      <c r="CH99" s="936"/>
      <c r="CI99" s="936"/>
      <c r="CJ99" s="1243"/>
      <c r="CK99" s="498"/>
      <c r="CL99" s="52"/>
      <c r="EW99" s="427"/>
    </row>
    <row r="100" spans="1:153" ht="15.75" hidden="1" customHeight="1">
      <c r="A100" s="1258"/>
      <c r="B100" s="498"/>
      <c r="C100" s="502"/>
      <c r="D100" s="502"/>
      <c r="E100" s="502"/>
      <c r="F100" s="502"/>
      <c r="G100" s="498"/>
      <c r="H100" s="498"/>
      <c r="I100" s="498"/>
      <c r="J100" s="498"/>
      <c r="K100" s="1409"/>
      <c r="L100" s="1435"/>
      <c r="M100" s="1409"/>
      <c r="N100" s="1435"/>
      <c r="O100" s="1409"/>
      <c r="P100" s="1436"/>
      <c r="Q100" s="150"/>
      <c r="R100" s="52"/>
      <c r="S100" s="52"/>
      <c r="T100" s="52"/>
      <c r="U100" s="52"/>
      <c r="V100" s="52"/>
      <c r="W100" s="52"/>
      <c r="X100" s="52"/>
      <c r="Y100" s="896"/>
      <c r="Z100" s="52"/>
      <c r="AA100" s="51"/>
      <c r="AB100" s="51"/>
      <c r="AC100" s="1"/>
      <c r="AD100" s="31"/>
      <c r="AE100" s="31"/>
      <c r="AH100" s="1"/>
      <c r="AI100" s="1"/>
      <c r="AJ100" s="31"/>
      <c r="AK100" s="31"/>
      <c r="AL100" s="31"/>
      <c r="AM100" s="1"/>
      <c r="AN100" s="1"/>
      <c r="AO100" s="1"/>
      <c r="AP100" s="1"/>
      <c r="AQ100" s="1"/>
      <c r="AR100" s="1"/>
      <c r="AS100" s="6"/>
      <c r="AT100" s="6"/>
      <c r="AU100" s="6"/>
      <c r="AW100" s="1"/>
      <c r="BD100" s="652"/>
      <c r="BE100" s="1"/>
      <c r="BF100" s="51"/>
      <c r="BG100" s="51"/>
      <c r="BJ100" s="893"/>
      <c r="BK100" s="502"/>
      <c r="BL100" s="900"/>
      <c r="BM100" s="502"/>
      <c r="BN100" s="502"/>
      <c r="BO100" s="502"/>
      <c r="BP100" s="502"/>
      <c r="BQ100" s="498"/>
      <c r="BR100" s="502"/>
      <c r="BS100" s="502"/>
      <c r="BT100" s="502"/>
      <c r="BU100" s="502"/>
      <c r="BV100" s="498"/>
      <c r="BW100" s="498"/>
      <c r="BX100" s="498"/>
      <c r="BY100" s="498"/>
      <c r="BZ100" s="498"/>
      <c r="CA100" s="498"/>
      <c r="CB100" s="498"/>
      <c r="CC100" s="498"/>
      <c r="CD100" s="498"/>
      <c r="CE100" s="498"/>
      <c r="CF100" s="498"/>
      <c r="CG100" s="498"/>
      <c r="CH100" s="502"/>
      <c r="CI100" s="502"/>
      <c r="CJ100" s="498"/>
      <c r="CK100" s="498"/>
      <c r="CL100" s="52"/>
      <c r="EW100" s="427"/>
    </row>
    <row r="101" spans="1:153" ht="15.75" hidden="1" customHeight="1">
      <c r="A101" s="1258"/>
      <c r="B101" s="498"/>
      <c r="C101" s="502"/>
      <c r="D101" s="502"/>
      <c r="E101" s="502"/>
      <c r="F101" s="502"/>
      <c r="G101" s="498"/>
      <c r="H101" s="498"/>
      <c r="I101" s="498"/>
      <c r="J101" s="498"/>
      <c r="K101" s="1436"/>
      <c r="L101" s="1437"/>
      <c r="M101" s="1436"/>
      <c r="N101" s="1437"/>
      <c r="O101" s="1436"/>
      <c r="P101" s="1409"/>
      <c r="Q101" s="148"/>
      <c r="R101" s="52"/>
      <c r="S101" s="52"/>
      <c r="T101" s="52"/>
      <c r="U101" s="52"/>
      <c r="V101" s="52"/>
      <c r="W101" s="52"/>
      <c r="X101" s="52"/>
      <c r="Y101" s="896"/>
      <c r="Z101" s="52"/>
      <c r="AA101" s="51"/>
      <c r="AB101" s="51"/>
      <c r="AC101" s="1"/>
      <c r="AD101" s="31"/>
      <c r="AE101" s="31"/>
      <c r="AH101" s="1"/>
      <c r="AI101" s="1"/>
      <c r="AJ101" s="31"/>
      <c r="AK101" s="31"/>
      <c r="AL101" s="31"/>
      <c r="AM101" s="1"/>
      <c r="AN101" s="1"/>
      <c r="AO101" s="1"/>
      <c r="AP101" s="1"/>
      <c r="AQ101" s="1"/>
      <c r="AR101" s="1"/>
      <c r="AS101" s="6"/>
      <c r="AT101" s="6"/>
      <c r="AU101" s="6"/>
      <c r="AW101" s="1"/>
      <c r="BD101" s="652"/>
      <c r="BE101" s="1"/>
      <c r="BF101" s="51"/>
      <c r="BG101" s="51"/>
      <c r="BJ101" s="893"/>
      <c r="BK101" s="502"/>
      <c r="BL101" s="900"/>
      <c r="BM101" s="502"/>
      <c r="BN101" s="502"/>
      <c r="BO101" s="502"/>
      <c r="BP101" s="502"/>
      <c r="BQ101" s="498"/>
      <c r="BR101" s="502"/>
      <c r="BS101" s="502"/>
      <c r="BT101" s="502"/>
      <c r="BU101" s="502"/>
      <c r="BV101" s="498"/>
      <c r="BW101" s="498"/>
      <c r="BX101" s="498"/>
      <c r="BY101" s="498"/>
      <c r="BZ101" s="498"/>
      <c r="CA101" s="498"/>
      <c r="CB101" s="498"/>
      <c r="CC101" s="498"/>
      <c r="CD101" s="498"/>
      <c r="CE101" s="498"/>
      <c r="CF101" s="498"/>
      <c r="CG101" s="498"/>
      <c r="CH101" s="502"/>
      <c r="CI101" s="502"/>
      <c r="CJ101" s="498"/>
      <c r="CK101" s="498"/>
      <c r="CL101" s="52"/>
      <c r="EW101" s="427"/>
    </row>
    <row r="102" spans="1:153" ht="15.75" hidden="1" customHeight="1">
      <c r="A102" s="1258"/>
      <c r="B102" s="498"/>
      <c r="C102" s="502"/>
      <c r="D102" s="502"/>
      <c r="E102" s="502"/>
      <c r="F102" s="502"/>
      <c r="G102" s="498"/>
      <c r="H102" s="498"/>
      <c r="I102" s="892"/>
      <c r="J102" s="892"/>
      <c r="K102" s="890"/>
      <c r="L102" s="890"/>
      <c r="M102" s="890"/>
      <c r="N102" s="890"/>
      <c r="O102" s="503"/>
      <c r="P102" s="147"/>
      <c r="Q102" s="148"/>
      <c r="R102" s="52"/>
      <c r="S102" s="52"/>
      <c r="T102" s="52"/>
      <c r="U102" s="52"/>
      <c r="V102" s="52"/>
      <c r="W102" s="52"/>
      <c r="X102" s="52"/>
      <c r="Y102" s="896"/>
      <c r="Z102" s="52" t="s">
        <v>8</v>
      </c>
      <c r="AA102" s="51" t="s">
        <v>8</v>
      </c>
      <c r="AB102" s="51"/>
      <c r="AC102" s="1"/>
      <c r="AD102" s="31"/>
      <c r="AE102" s="31"/>
      <c r="AF102" s="1"/>
      <c r="AG102" s="1"/>
      <c r="AH102" s="1"/>
      <c r="AI102" s="1"/>
      <c r="AJ102" s="31"/>
      <c r="AK102" s="31"/>
      <c r="AL102" s="1"/>
      <c r="AM102" s="1"/>
      <c r="AN102" s="1"/>
      <c r="AO102" s="1"/>
      <c r="AP102" s="1"/>
      <c r="AQ102" s="1"/>
      <c r="AR102" s="1"/>
      <c r="AS102" s="6"/>
      <c r="AT102" s="6"/>
      <c r="AU102" s="6"/>
      <c r="AW102" s="1"/>
      <c r="BD102" s="652"/>
      <c r="BE102" s="1"/>
      <c r="BF102" s="51"/>
      <c r="BG102" s="51"/>
      <c r="BJ102" s="893"/>
      <c r="BK102" s="502"/>
      <c r="BL102" s="900"/>
      <c r="BM102" s="502"/>
      <c r="BN102" s="502"/>
      <c r="BO102" s="502"/>
      <c r="BP102" s="502"/>
      <c r="BQ102" s="498"/>
      <c r="BR102" s="502"/>
      <c r="BS102" s="502"/>
      <c r="BT102" s="502"/>
      <c r="BU102" s="502"/>
      <c r="BV102" s="498"/>
      <c r="BW102" s="498"/>
      <c r="BX102" s="498"/>
      <c r="BY102" s="498"/>
      <c r="BZ102" s="498"/>
      <c r="CA102" s="498"/>
      <c r="CB102" s="498"/>
      <c r="CC102" s="498"/>
      <c r="CD102" s="498"/>
      <c r="CE102" s="498"/>
      <c r="CF102" s="498"/>
      <c r="CG102" s="498"/>
      <c r="CH102" s="502"/>
      <c r="CI102" s="502"/>
      <c r="CJ102" s="498"/>
      <c r="CK102" s="498"/>
      <c r="CL102" s="52"/>
      <c r="EW102" s="427"/>
    </row>
    <row r="103" spans="1:153" ht="15.75" hidden="1" customHeight="1">
      <c r="A103" s="1258"/>
      <c r="B103" s="498"/>
      <c r="C103" s="502"/>
      <c r="D103" s="502"/>
      <c r="E103" s="502"/>
      <c r="F103" s="502"/>
      <c r="G103" s="498"/>
      <c r="H103" s="498"/>
      <c r="I103" s="892"/>
      <c r="J103" s="892"/>
      <c r="K103" s="503"/>
      <c r="L103" s="891" t="s">
        <v>317</v>
      </c>
      <c r="M103" s="503">
        <f>M82/2</f>
        <v>265.5</v>
      </c>
      <c r="N103" s="889"/>
      <c r="O103" s="503">
        <f>O82/2</f>
        <v>579.5</v>
      </c>
      <c r="P103" s="147"/>
      <c r="Q103" s="148"/>
      <c r="R103" s="52"/>
      <c r="S103" s="52"/>
      <c r="T103" s="52"/>
      <c r="U103" s="52"/>
      <c r="V103" s="52"/>
      <c r="W103" s="52"/>
      <c r="X103" s="52"/>
      <c r="Y103" s="896"/>
      <c r="Z103" s="52"/>
      <c r="AA103" s="51"/>
      <c r="AB103" s="51"/>
      <c r="AC103" s="1"/>
      <c r="AD103" s="31"/>
      <c r="AE103" s="31"/>
      <c r="AF103" s="1"/>
      <c r="AG103" s="1"/>
      <c r="AH103" s="1"/>
      <c r="AI103" s="1"/>
      <c r="AJ103" s="31"/>
      <c r="AK103" s="31"/>
      <c r="AL103" s="1"/>
      <c r="AM103" s="1"/>
      <c r="AN103" s="1"/>
      <c r="AO103" s="1"/>
      <c r="AP103" s="1"/>
      <c r="AQ103" s="1"/>
      <c r="AR103" s="1"/>
      <c r="AS103" s="6"/>
      <c r="AT103" s="6"/>
      <c r="AU103" s="6"/>
      <c r="AW103" s="1"/>
      <c r="BD103" s="652"/>
      <c r="BE103" s="1"/>
      <c r="BF103" s="51"/>
      <c r="BG103" s="51"/>
      <c r="BJ103" s="893"/>
      <c r="BK103" s="502"/>
      <c r="BL103" s="900"/>
      <c r="BM103" s="502"/>
      <c r="BN103" s="502"/>
      <c r="BO103" s="502"/>
      <c r="BP103" s="502"/>
      <c r="BQ103" s="498"/>
      <c r="BR103" s="502"/>
      <c r="BS103" s="502"/>
      <c r="BT103" s="502"/>
      <c r="BU103" s="502"/>
      <c r="BV103" s="498"/>
      <c r="BW103" s="498"/>
      <c r="BX103" s="498"/>
      <c r="BY103" s="498"/>
      <c r="BZ103" s="498"/>
      <c r="CA103" s="498"/>
      <c r="CB103" s="498"/>
      <c r="CC103" s="498"/>
      <c r="CD103" s="498"/>
      <c r="CE103" s="498"/>
      <c r="CF103" s="498"/>
      <c r="CG103" s="498"/>
      <c r="CH103" s="502"/>
      <c r="CI103" s="502"/>
      <c r="CJ103" s="498"/>
      <c r="CK103" s="498"/>
      <c r="CL103" s="52"/>
      <c r="EW103" s="427"/>
    </row>
    <row r="104" spans="1:153" ht="12.75" hidden="1" customHeight="1">
      <c r="A104" s="1258"/>
      <c r="B104" s="498"/>
      <c r="C104" s="502"/>
      <c r="D104" s="502"/>
      <c r="E104" s="502"/>
      <c r="F104" s="502"/>
      <c r="G104" s="498"/>
      <c r="H104" s="498"/>
      <c r="I104" s="892"/>
      <c r="J104" s="892"/>
      <c r="K104" s="503"/>
      <c r="L104" s="889" t="s">
        <v>320</v>
      </c>
      <c r="M104" s="503">
        <f ca="1">SUM(Y8:Y74)</f>
        <v>0</v>
      </c>
      <c r="N104" s="889"/>
      <c r="O104" s="503">
        <f ca="1">M104</f>
        <v>0</v>
      </c>
      <c r="P104" s="147"/>
      <c r="Q104" s="148"/>
      <c r="R104" s="52"/>
      <c r="S104" s="52"/>
      <c r="T104" s="52"/>
      <c r="U104" s="52"/>
      <c r="V104" s="52"/>
      <c r="W104" s="52"/>
      <c r="X104" s="52"/>
      <c r="Y104" s="896"/>
      <c r="Z104" s="52"/>
      <c r="AA104" s="51"/>
      <c r="AB104" s="51"/>
      <c r="AC104" s="1"/>
      <c r="AD104" s="31"/>
      <c r="AE104" s="31"/>
      <c r="AF104" s="1"/>
      <c r="AG104" s="1"/>
      <c r="AH104" s="1"/>
      <c r="AI104" s="1"/>
      <c r="AJ104" s="31"/>
      <c r="AK104" s="31"/>
      <c r="AL104" s="1"/>
      <c r="AM104" s="1"/>
      <c r="AN104" s="1"/>
      <c r="AO104" s="1"/>
      <c r="AP104" s="1"/>
      <c r="AQ104" s="1"/>
      <c r="AR104" s="1"/>
      <c r="AS104" s="6"/>
      <c r="AT104" s="6"/>
      <c r="AU104" s="6"/>
      <c r="AW104" s="1"/>
      <c r="BD104" s="652"/>
      <c r="BE104" s="1"/>
      <c r="BF104" s="51"/>
      <c r="BG104" s="51"/>
      <c r="BJ104" s="893"/>
      <c r="BK104" s="421"/>
      <c r="BL104" s="899"/>
      <c r="BM104" s="502"/>
      <c r="BN104" s="502"/>
      <c r="BO104" s="502"/>
      <c r="BP104" s="502"/>
      <c r="BQ104" s="498"/>
      <c r="BR104" s="502"/>
      <c r="BS104" s="502"/>
      <c r="BT104" s="502"/>
      <c r="BU104" s="502"/>
      <c r="BV104" s="498"/>
      <c r="BW104" s="498"/>
      <c r="BX104" s="498"/>
      <c r="BY104" s="498"/>
      <c r="BZ104" s="498"/>
      <c r="CA104" s="498"/>
      <c r="CB104" s="498"/>
      <c r="CC104" s="498"/>
      <c r="CD104" s="498"/>
      <c r="CE104" s="498"/>
      <c r="CF104" s="498"/>
      <c r="CG104" s="498"/>
      <c r="CH104" s="502"/>
      <c r="CI104" s="502"/>
      <c r="CJ104" s="498"/>
      <c r="CK104" s="498"/>
      <c r="CL104" s="52"/>
      <c r="EW104" s="427"/>
    </row>
    <row r="105" spans="1:153" ht="12.75" hidden="1" customHeight="1">
      <c r="A105" s="1258"/>
      <c r="B105" s="498"/>
      <c r="C105" s="502"/>
      <c r="D105" s="502"/>
      <c r="E105" s="502"/>
      <c r="F105" s="502"/>
      <c r="G105" s="498"/>
      <c r="H105" s="498"/>
      <c r="I105" s="892"/>
      <c r="J105" s="892"/>
      <c r="K105" s="503"/>
      <c r="L105" s="889" t="s">
        <v>321</v>
      </c>
      <c r="M105" s="503">
        <f ca="1">IF(M104&gt;0,IF(M103/M104&lt;$BF$3,$BF$3,M103/M104),0)</f>
        <v>0</v>
      </c>
      <c r="N105" s="889"/>
      <c r="O105" s="503">
        <f ca="1">IF(O104&gt;0,IF(O103/O104&lt;$BF$3,$BF$3,O103/O104),0)</f>
        <v>0</v>
      </c>
      <c r="P105" s="147"/>
      <c r="Q105" s="148"/>
      <c r="R105" s="52"/>
      <c r="S105" s="52"/>
      <c r="T105" s="52"/>
      <c r="U105" s="52"/>
      <c r="V105" s="52"/>
      <c r="W105" s="52"/>
      <c r="X105" s="52"/>
      <c r="Y105" s="896"/>
      <c r="Z105" s="52"/>
      <c r="AA105" s="51"/>
      <c r="AB105" s="51"/>
      <c r="AC105" s="1"/>
      <c r="AD105" s="31"/>
      <c r="AE105" s="31"/>
      <c r="AF105" s="1"/>
      <c r="AG105" s="1"/>
      <c r="AH105" s="1"/>
      <c r="AI105" s="1"/>
      <c r="AJ105" s="31"/>
      <c r="AK105" s="31"/>
      <c r="AL105" s="1"/>
      <c r="AM105" s="1"/>
      <c r="AN105" s="1"/>
      <c r="AO105" s="1"/>
      <c r="AP105" s="1"/>
      <c r="AQ105" s="1"/>
      <c r="AR105" s="1"/>
      <c r="AS105" s="6"/>
      <c r="AT105" s="6"/>
      <c r="AU105" s="6"/>
      <c r="AW105" s="1"/>
      <c r="BD105" s="652"/>
      <c r="BE105" s="1"/>
      <c r="BF105" s="51"/>
      <c r="BG105" s="51"/>
      <c r="BJ105" s="893"/>
      <c r="BK105" s="421"/>
      <c r="BL105" s="899"/>
      <c r="BM105" s="502"/>
      <c r="BN105" s="502"/>
      <c r="BO105" s="502"/>
      <c r="BP105" s="502"/>
      <c r="BQ105" s="498"/>
      <c r="BR105" s="502"/>
      <c r="BS105" s="502"/>
      <c r="BT105" s="502"/>
      <c r="BU105" s="502"/>
      <c r="BV105" s="498"/>
      <c r="BW105" s="498"/>
      <c r="BX105" s="498"/>
      <c r="BY105" s="498"/>
      <c r="BZ105" s="498"/>
      <c r="CA105" s="498"/>
      <c r="CB105" s="498"/>
      <c r="CC105" s="498"/>
      <c r="CD105" s="498"/>
      <c r="CE105" s="498"/>
      <c r="CF105" s="498"/>
      <c r="CG105" s="498"/>
      <c r="CH105" s="502"/>
      <c r="CI105" s="502"/>
      <c r="CJ105" s="498"/>
      <c r="CK105" s="498"/>
      <c r="CL105" s="52"/>
      <c r="EW105" s="427"/>
    </row>
    <row r="106" spans="1:153" ht="12.75" hidden="1" customHeight="1">
      <c r="A106" s="1258"/>
      <c r="B106" s="498"/>
      <c r="C106" s="502"/>
      <c r="D106" s="502"/>
      <c r="E106" s="502"/>
      <c r="F106" s="502"/>
      <c r="G106" s="498"/>
      <c r="H106" s="498"/>
      <c r="I106" s="498"/>
      <c r="J106" s="498"/>
      <c r="K106" s="498"/>
      <c r="L106" s="502"/>
      <c r="M106" s="498"/>
      <c r="N106" s="502"/>
      <c r="O106" s="498"/>
      <c r="P106" s="147"/>
      <c r="Q106" s="148"/>
      <c r="R106" s="52"/>
      <c r="S106" s="52"/>
      <c r="T106" s="52"/>
      <c r="U106" s="52"/>
      <c r="V106" s="52"/>
      <c r="W106" s="52"/>
      <c r="X106" s="52"/>
      <c r="Y106" s="896"/>
      <c r="Z106" s="52"/>
      <c r="AA106" s="51" t="s">
        <v>68</v>
      </c>
      <c r="AB106" s="51"/>
      <c r="AC106" s="1"/>
      <c r="AD106" s="31"/>
      <c r="AE106" s="31"/>
      <c r="AH106" s="1"/>
      <c r="AI106" s="1"/>
      <c r="AJ106" s="31"/>
      <c r="AK106" s="31"/>
      <c r="AL106" s="1"/>
      <c r="AM106" s="1"/>
      <c r="AN106" s="1"/>
      <c r="AO106" s="1"/>
      <c r="AP106" s="1"/>
      <c r="AQ106" s="1"/>
      <c r="AR106" s="1"/>
      <c r="AS106" s="6"/>
      <c r="AT106" s="6"/>
      <c r="AU106" s="6"/>
      <c r="AW106" s="1"/>
      <c r="BD106" s="652"/>
      <c r="BE106" s="1"/>
      <c r="BF106" s="51"/>
      <c r="BG106" s="51"/>
      <c r="BJ106" s="893"/>
      <c r="BK106" s="421"/>
      <c r="BL106" s="899"/>
      <c r="BM106" s="502"/>
      <c r="BN106" s="502"/>
      <c r="BO106" s="502"/>
      <c r="BP106" s="502"/>
      <c r="BQ106" s="498"/>
      <c r="BR106" s="502"/>
      <c r="BS106" s="502"/>
      <c r="BT106" s="502"/>
      <c r="BU106" s="502"/>
      <c r="BV106" s="498"/>
      <c r="BW106" s="498"/>
      <c r="BX106" s="498"/>
      <c r="BY106" s="498"/>
      <c r="BZ106" s="498"/>
      <c r="CA106" s="498"/>
      <c r="CB106" s="498"/>
      <c r="CC106" s="498"/>
      <c r="CD106" s="498"/>
      <c r="CE106" s="498"/>
      <c r="CF106" s="498"/>
      <c r="CG106" s="498"/>
      <c r="CH106" s="502"/>
      <c r="CI106" s="502"/>
      <c r="CJ106" s="498"/>
      <c r="CK106" s="498"/>
      <c r="CL106" s="52"/>
      <c r="EW106" s="427"/>
    </row>
    <row r="107" spans="1:153" hidden="1">
      <c r="B107" s="51"/>
      <c r="C107" s="52"/>
      <c r="D107" s="52"/>
      <c r="E107" s="52"/>
      <c r="F107" s="52"/>
      <c r="G107" s="51"/>
      <c r="H107" s="51"/>
      <c r="I107" s="51"/>
      <c r="J107" s="51"/>
      <c r="K107" s="51"/>
      <c r="L107" s="52"/>
      <c r="M107" s="51"/>
      <c r="N107" s="52"/>
      <c r="O107" s="51"/>
      <c r="P107" s="147"/>
      <c r="Q107" s="148"/>
      <c r="R107" s="52"/>
      <c r="S107" s="52"/>
      <c r="T107" s="52"/>
      <c r="U107" s="52"/>
      <c r="V107" s="52"/>
      <c r="W107" s="52"/>
      <c r="X107" s="52"/>
      <c r="Y107" s="896"/>
      <c r="Z107" s="52"/>
      <c r="AA107" s="51"/>
      <c r="AB107" s="51"/>
      <c r="AC107" s="1"/>
      <c r="AD107" s="31"/>
      <c r="AE107" s="31"/>
      <c r="AH107" s="1"/>
      <c r="AI107" s="1"/>
      <c r="AJ107" s="31"/>
      <c r="AK107" s="31"/>
      <c r="AL107" s="1"/>
      <c r="AM107" s="1"/>
      <c r="AN107" s="1"/>
      <c r="AO107" s="1"/>
      <c r="AP107" s="1"/>
      <c r="AQ107" s="1"/>
      <c r="AR107" s="1"/>
      <c r="AS107" s="6"/>
      <c r="AT107" s="6"/>
      <c r="AU107" s="6"/>
      <c r="AW107" s="1"/>
      <c r="BD107" s="652"/>
      <c r="BE107" s="1"/>
      <c r="BF107" s="51"/>
      <c r="BG107" s="51"/>
      <c r="BJ107" s="893"/>
      <c r="BK107" s="421"/>
      <c r="BL107" s="899"/>
      <c r="BM107" s="502"/>
      <c r="BN107" s="502"/>
      <c r="BO107" s="502"/>
      <c r="BP107" s="502"/>
      <c r="BQ107" s="498"/>
      <c r="BR107" s="502"/>
      <c r="BS107" s="502"/>
      <c r="BT107" s="502"/>
      <c r="BU107" s="502"/>
      <c r="BV107" s="498"/>
      <c r="BW107" s="498"/>
      <c r="BX107" s="498"/>
      <c r="BY107" s="498"/>
      <c r="BZ107" s="498"/>
      <c r="CA107" s="498"/>
      <c r="CB107" s="498"/>
      <c r="CC107" s="498"/>
      <c r="CD107" s="498"/>
      <c r="CE107" s="498"/>
      <c r="CF107" s="498"/>
      <c r="CG107" s="498"/>
      <c r="CH107" s="502"/>
      <c r="CI107" s="502"/>
      <c r="CJ107" s="498"/>
      <c r="CK107" s="498"/>
      <c r="CL107" s="52"/>
      <c r="EW107" s="427"/>
    </row>
    <row r="108" spans="1:153" hidden="1">
      <c r="B108" s="51"/>
      <c r="C108" s="52"/>
      <c r="D108" s="52"/>
      <c r="E108" s="52"/>
      <c r="F108" s="52"/>
      <c r="G108" s="51"/>
      <c r="H108" s="51"/>
      <c r="I108" s="51"/>
      <c r="J108" s="51"/>
      <c r="K108" s="51"/>
      <c r="L108" s="52"/>
      <c r="M108" s="51"/>
      <c r="N108" s="52"/>
      <c r="O108" s="51"/>
      <c r="P108" s="147"/>
      <c r="Q108" s="148"/>
      <c r="R108" s="52"/>
      <c r="S108" s="52"/>
      <c r="T108" s="52"/>
      <c r="U108" s="52"/>
      <c r="V108" s="52"/>
      <c r="W108" s="52"/>
      <c r="X108" s="52"/>
      <c r="Y108" s="896"/>
      <c r="Z108" s="52"/>
      <c r="AA108" s="51"/>
      <c r="AB108" s="51"/>
      <c r="AC108" s="1"/>
      <c r="AD108" s="31"/>
      <c r="AE108" s="31"/>
      <c r="AH108" s="1"/>
      <c r="AI108" s="1"/>
      <c r="AJ108" s="31"/>
      <c r="AK108" s="31"/>
      <c r="AL108" s="1"/>
      <c r="AM108" s="1"/>
      <c r="AN108" s="1"/>
      <c r="AO108" s="1"/>
      <c r="AP108" s="1"/>
      <c r="AQ108" s="1"/>
      <c r="AR108" s="1"/>
      <c r="AS108" s="6"/>
      <c r="AT108" s="6"/>
      <c r="AU108" s="6"/>
      <c r="AW108" s="1"/>
      <c r="BD108" s="652"/>
      <c r="BE108" s="1"/>
      <c r="BF108" s="51"/>
      <c r="BG108" s="51"/>
      <c r="BJ108" s="893"/>
      <c r="BK108" s="421"/>
      <c r="BL108" s="899"/>
      <c r="BM108" s="502"/>
      <c r="BN108" s="502"/>
      <c r="BO108" s="502"/>
      <c r="BP108" s="502"/>
      <c r="BQ108" s="498"/>
      <c r="BR108" s="502"/>
      <c r="BS108" s="502"/>
      <c r="BT108" s="502"/>
      <c r="BU108" s="502"/>
      <c r="BV108" s="498"/>
      <c r="BW108" s="498"/>
      <c r="BX108" s="498"/>
      <c r="BY108" s="498"/>
      <c r="BZ108" s="498"/>
      <c r="CA108" s="498"/>
      <c r="CB108" s="498"/>
      <c r="CC108" s="498"/>
      <c r="CD108" s="498"/>
      <c r="CE108" s="498"/>
      <c r="CF108" s="498"/>
      <c r="CG108" s="498"/>
      <c r="CH108" s="502"/>
      <c r="CI108" s="502"/>
      <c r="CJ108" s="498"/>
      <c r="CK108" s="498"/>
      <c r="CL108" s="52"/>
      <c r="EW108" s="427"/>
    </row>
    <row r="109" spans="1:153" hidden="1">
      <c r="B109" s="51"/>
      <c r="C109" s="52"/>
      <c r="D109" s="52"/>
      <c r="E109" s="52"/>
      <c r="F109" s="52"/>
      <c r="G109" s="51"/>
      <c r="H109" s="51"/>
      <c r="I109" s="51"/>
      <c r="J109" s="51"/>
      <c r="K109" s="51"/>
      <c r="L109" s="52"/>
      <c r="M109" s="51"/>
      <c r="N109" s="52"/>
      <c r="O109" s="51"/>
      <c r="R109" s="52"/>
      <c r="S109" s="52"/>
      <c r="T109" s="52"/>
      <c r="U109" s="52"/>
      <c r="V109" s="52"/>
      <c r="W109" s="52"/>
      <c r="X109" s="52"/>
      <c r="Y109" s="896"/>
      <c r="Z109" s="52"/>
      <c r="AA109" s="51"/>
      <c r="AB109" s="51"/>
      <c r="AC109" s="1"/>
      <c r="AD109" s="1"/>
      <c r="AE109" s="1"/>
      <c r="AH109" s="1"/>
      <c r="AI109" s="1"/>
      <c r="AJ109" s="1"/>
      <c r="AK109" s="1"/>
      <c r="AL109" s="1"/>
      <c r="AM109" s="1"/>
      <c r="AN109" s="1"/>
      <c r="AO109" s="1"/>
      <c r="AP109" s="1"/>
      <c r="AQ109" s="1"/>
      <c r="AR109" s="1"/>
      <c r="AS109" s="6"/>
      <c r="AT109" s="6"/>
      <c r="AU109" s="6"/>
      <c r="AW109" s="1"/>
      <c r="BD109" s="652"/>
      <c r="BE109" s="641"/>
      <c r="BF109" s="652"/>
      <c r="BG109" s="652"/>
      <c r="BH109" s="652"/>
      <c r="BI109" s="652"/>
      <c r="BJ109" s="901"/>
      <c r="BK109" s="902"/>
      <c r="BL109" s="903"/>
      <c r="BM109" s="905"/>
      <c r="BN109" s="905"/>
      <c r="BO109" s="905"/>
      <c r="BP109" s="905"/>
      <c r="BQ109" s="904"/>
      <c r="BR109" s="905"/>
      <c r="BS109" s="905"/>
      <c r="BT109" s="905"/>
      <c r="BU109" s="905"/>
      <c r="BV109" s="904"/>
      <c r="BW109" s="904"/>
      <c r="BX109" s="904"/>
      <c r="BY109" s="904"/>
      <c r="BZ109" s="904"/>
      <c r="CA109" s="904"/>
      <c r="CB109" s="904"/>
      <c r="CC109" s="904"/>
      <c r="CD109" s="904"/>
      <c r="CE109" s="904"/>
      <c r="CF109" s="904"/>
      <c r="CG109" s="904"/>
      <c r="CH109" s="905"/>
      <c r="CI109" s="905"/>
      <c r="CJ109" s="904"/>
      <c r="CK109" s="904"/>
      <c r="CL109" s="657"/>
      <c r="CM109" s="652"/>
      <c r="CN109" s="657"/>
      <c r="CO109" s="657"/>
      <c r="CP109" s="652"/>
      <c r="CQ109" s="652"/>
      <c r="CR109" s="652"/>
      <c r="CS109" s="652"/>
      <c r="CT109" s="652"/>
      <c r="CU109" s="652"/>
      <c r="CV109" s="652"/>
      <c r="CW109" s="652"/>
      <c r="CX109" s="652"/>
      <c r="CY109" s="652"/>
      <c r="CZ109" s="652"/>
      <c r="DA109" s="652"/>
      <c r="DB109" s="652"/>
      <c r="DD109" s="652"/>
      <c r="DE109" s="652"/>
      <c r="DF109" s="652"/>
      <c r="DG109" s="427"/>
      <c r="DH109" s="427"/>
      <c r="DI109" s="427"/>
      <c r="DJ109" s="427"/>
      <c r="DK109" s="427"/>
      <c r="DL109" s="427"/>
      <c r="DM109" s="427"/>
      <c r="DN109" s="427"/>
      <c r="DO109" s="427"/>
      <c r="DP109" s="427"/>
      <c r="DQ109" s="427"/>
      <c r="DR109" s="427"/>
      <c r="DS109" s="427"/>
      <c r="DT109" s="427"/>
      <c r="DU109" s="427"/>
      <c r="DV109" s="427"/>
      <c r="DW109" s="427"/>
      <c r="DX109" s="427"/>
      <c r="DY109" s="427"/>
      <c r="DZ109" s="427"/>
      <c r="EA109" s="427"/>
      <c r="EB109" s="427"/>
      <c r="EC109" s="427"/>
      <c r="ED109" s="427"/>
      <c r="EE109" s="427"/>
      <c r="EF109" s="427"/>
      <c r="EG109" s="427"/>
      <c r="EH109" s="427"/>
      <c r="EI109" s="427"/>
      <c r="EJ109" s="427"/>
      <c r="EK109" s="427"/>
      <c r="EL109" s="427"/>
      <c r="EM109" s="427"/>
      <c r="EN109" s="427"/>
      <c r="EO109" s="427"/>
      <c r="EP109" s="427"/>
      <c r="EQ109" s="427"/>
      <c r="ER109" s="427"/>
      <c r="ES109" s="427"/>
      <c r="ET109" s="427"/>
      <c r="EU109" s="427"/>
      <c r="EV109" s="427"/>
      <c r="EW109" s="427"/>
    </row>
    <row r="110" spans="1:153" hidden="1">
      <c r="B110" s="51"/>
      <c r="C110" s="52"/>
      <c r="D110" s="52"/>
      <c r="E110" s="52"/>
      <c r="F110" s="52"/>
      <c r="G110" s="51"/>
      <c r="H110" s="51"/>
      <c r="I110" s="51"/>
      <c r="J110" s="51"/>
      <c r="K110" s="51"/>
      <c r="L110" s="52"/>
      <c r="M110" s="51"/>
      <c r="N110" s="52"/>
      <c r="O110" s="51"/>
      <c r="R110" s="52"/>
      <c r="S110" s="52"/>
      <c r="T110" s="52"/>
      <c r="U110" s="52"/>
      <c r="V110" s="52"/>
      <c r="W110" s="52"/>
      <c r="X110" s="52"/>
      <c r="Y110" s="896"/>
      <c r="Z110" s="52"/>
      <c r="AA110" s="51"/>
      <c r="AB110" s="51"/>
      <c r="AC110" s="1"/>
      <c r="AD110" s="1"/>
      <c r="AE110" s="1"/>
      <c r="AH110" s="1"/>
      <c r="AI110" s="1"/>
      <c r="AJ110" s="1"/>
      <c r="AK110" s="1"/>
      <c r="AL110" s="1"/>
      <c r="AM110" s="1"/>
      <c r="AN110" s="1"/>
      <c r="AO110" s="1"/>
      <c r="AP110" s="1"/>
      <c r="AQ110" s="1"/>
      <c r="AR110" s="1"/>
      <c r="AS110" s="6"/>
      <c r="AT110" s="6"/>
      <c r="AU110" s="6"/>
      <c r="AW110" s="1"/>
      <c r="BJ110" s="498"/>
      <c r="BK110" s="421"/>
      <c r="BL110" s="899"/>
      <c r="BM110" s="502"/>
      <c r="BN110" s="502"/>
      <c r="BO110" s="502"/>
      <c r="BP110" s="502"/>
      <c r="BQ110" s="498"/>
      <c r="BR110" s="502"/>
      <c r="BS110" s="502"/>
      <c r="BT110" s="502"/>
      <c r="BU110" s="502"/>
      <c r="BV110" s="498"/>
      <c r="BW110" s="498"/>
      <c r="BX110" s="498"/>
      <c r="BY110" s="498"/>
      <c r="BZ110" s="498"/>
      <c r="CA110" s="498"/>
      <c r="CB110" s="498"/>
      <c r="CC110" s="498"/>
      <c r="CD110" s="498"/>
      <c r="CE110" s="498"/>
      <c r="CF110" s="498"/>
      <c r="CG110" s="498"/>
      <c r="CH110" s="502"/>
      <c r="CI110" s="502"/>
      <c r="CJ110" s="498"/>
      <c r="CK110" s="498"/>
      <c r="DC110" s="994"/>
    </row>
    <row r="111" spans="1:153" hidden="1">
      <c r="B111" s="51"/>
      <c r="C111" s="52"/>
      <c r="D111" s="52"/>
      <c r="E111" s="52"/>
      <c r="F111" s="52"/>
      <c r="G111" s="51"/>
      <c r="H111" s="51"/>
      <c r="I111" s="51"/>
      <c r="J111" s="51"/>
      <c r="K111" s="51"/>
      <c r="L111" s="52"/>
      <c r="M111" s="51"/>
      <c r="N111" s="52"/>
      <c r="O111" s="51"/>
      <c r="R111" s="52"/>
      <c r="S111" s="52"/>
      <c r="T111" s="52"/>
      <c r="U111" s="52"/>
      <c r="V111" s="52"/>
      <c r="W111" s="52"/>
      <c r="X111" s="52"/>
      <c r="Y111" s="896"/>
      <c r="Z111" s="52"/>
      <c r="AA111" s="51"/>
      <c r="AB111" s="51"/>
      <c r="AC111" s="1"/>
      <c r="AD111" s="1"/>
      <c r="AE111" s="1"/>
      <c r="AH111" s="1"/>
      <c r="AI111" s="1"/>
      <c r="AJ111" s="1"/>
      <c r="AK111" s="1"/>
      <c r="AL111" s="1"/>
      <c r="AM111" s="1"/>
      <c r="AN111" s="1"/>
      <c r="AO111" s="1"/>
      <c r="AP111" s="1"/>
      <c r="AQ111" s="1"/>
      <c r="AR111" s="1"/>
      <c r="AS111" s="6"/>
      <c r="AT111" s="6"/>
      <c r="AU111" s="6"/>
      <c r="AW111" s="1"/>
    </row>
    <row r="112" spans="1:153" hidden="1">
      <c r="B112" s="1"/>
      <c r="C112" s="9"/>
      <c r="F112" s="9"/>
      <c r="G112" s="1"/>
      <c r="I112" s="1"/>
      <c r="J112" s="1"/>
      <c r="R112" s="52"/>
      <c r="S112" s="52"/>
      <c r="T112" s="52"/>
      <c r="U112" s="52"/>
      <c r="V112" s="52"/>
      <c r="W112" s="52"/>
      <c r="X112" s="52"/>
      <c r="Y112" s="896"/>
      <c r="Z112" s="52"/>
      <c r="AA112" s="51"/>
      <c r="AB112" s="51"/>
      <c r="AC112" s="1"/>
      <c r="AD112" s="1"/>
      <c r="AE112" s="1"/>
      <c r="AF112" s="1"/>
      <c r="AG112" s="1"/>
      <c r="AH112" s="1"/>
      <c r="AI112" s="1"/>
      <c r="AJ112" s="1"/>
      <c r="AK112" s="1"/>
      <c r="AL112" s="1"/>
      <c r="AM112" s="1"/>
      <c r="AN112" s="1"/>
      <c r="AO112" s="1"/>
      <c r="AP112" s="1"/>
      <c r="AQ112" s="1"/>
      <c r="AR112" s="1"/>
      <c r="AS112" s="6"/>
      <c r="AT112" s="6"/>
      <c r="AU112" s="6"/>
      <c r="AW112" s="1"/>
    </row>
    <row r="113" spans="2:49" hidden="1">
      <c r="B113" s="1"/>
      <c r="C113" s="9"/>
      <c r="F113" s="9"/>
      <c r="G113" s="1"/>
      <c r="I113" s="1"/>
      <c r="J113" s="1"/>
      <c r="R113" s="52"/>
      <c r="S113" s="52"/>
      <c r="T113" s="52"/>
      <c r="U113" s="52"/>
      <c r="V113" s="52"/>
      <c r="W113" s="52"/>
      <c r="X113" s="52"/>
      <c r="Y113" s="896"/>
      <c r="Z113" s="52"/>
      <c r="AA113" s="51"/>
      <c r="AB113" s="51"/>
      <c r="AC113" s="1"/>
      <c r="AD113" s="1"/>
      <c r="AE113" s="1"/>
      <c r="AF113" s="1"/>
      <c r="AG113" s="1"/>
      <c r="AH113" s="1"/>
      <c r="AI113" s="1"/>
      <c r="AJ113" s="1"/>
      <c r="AK113" s="1"/>
      <c r="AL113" s="1"/>
      <c r="AM113" s="1"/>
      <c r="AN113" s="1"/>
      <c r="AO113" s="1"/>
      <c r="AP113" s="1"/>
      <c r="AQ113" s="1"/>
      <c r="AR113" s="1"/>
      <c r="AS113" s="6"/>
      <c r="AT113" s="6"/>
      <c r="AU113" s="6"/>
      <c r="AW113" s="1"/>
    </row>
    <row r="114" spans="2:49" hidden="1">
      <c r="B114" s="1"/>
      <c r="C114" s="9"/>
      <c r="F114" s="9"/>
      <c r="G114" s="1"/>
      <c r="I114" s="1"/>
      <c r="J114" s="1"/>
      <c r="R114" s="52"/>
      <c r="S114" s="52"/>
      <c r="T114" s="52"/>
      <c r="U114" s="52"/>
      <c r="V114" s="52"/>
      <c r="W114" s="52"/>
      <c r="X114" s="52"/>
      <c r="Y114" s="896"/>
      <c r="Z114" s="52"/>
      <c r="AA114" s="51"/>
      <c r="AB114" s="51"/>
      <c r="AC114" s="1"/>
      <c r="AD114" s="1"/>
      <c r="AE114" s="1"/>
      <c r="AF114" s="1"/>
      <c r="AG114" s="1"/>
      <c r="AH114" s="1"/>
      <c r="AI114" s="1"/>
      <c r="AJ114" s="1"/>
      <c r="AK114" s="1"/>
      <c r="AL114" s="1"/>
      <c r="AM114" s="1"/>
      <c r="AN114" s="1"/>
      <c r="AO114" s="1"/>
      <c r="AP114" s="1"/>
      <c r="AQ114" s="1"/>
      <c r="AR114" s="1"/>
      <c r="AS114" s="6"/>
      <c r="AT114" s="6"/>
      <c r="AU114" s="6"/>
      <c r="AW114" s="1"/>
    </row>
    <row r="115" spans="2:49">
      <c r="B115" s="1"/>
      <c r="C115" s="9"/>
      <c r="F115" s="9"/>
      <c r="G115" s="1"/>
      <c r="I115" s="1"/>
      <c r="J115" s="1"/>
      <c r="R115" s="52"/>
      <c r="S115" s="52"/>
      <c r="T115" s="52"/>
      <c r="U115" s="52"/>
      <c r="V115" s="52"/>
      <c r="W115" s="52"/>
      <c r="X115" s="52"/>
      <c r="Y115" s="896"/>
      <c r="Z115" s="52"/>
      <c r="AA115" s="51"/>
      <c r="AB115" s="51"/>
      <c r="AC115" s="1"/>
      <c r="AD115" s="1"/>
      <c r="AE115" s="1"/>
      <c r="AF115" s="1"/>
      <c r="AG115" s="1"/>
      <c r="AH115" s="1"/>
      <c r="AI115" s="1"/>
      <c r="AJ115" s="1"/>
      <c r="AK115" s="1"/>
      <c r="AL115" s="1"/>
      <c r="AM115" s="1"/>
      <c r="AN115" s="1"/>
      <c r="AO115" s="1"/>
      <c r="AP115" s="1"/>
      <c r="AQ115" s="1"/>
      <c r="AR115" s="1"/>
      <c r="AS115" s="6"/>
      <c r="AT115" s="6"/>
      <c r="AU115" s="6"/>
      <c r="AW115" s="1"/>
    </row>
    <row r="116" spans="2:49">
      <c r="B116" s="1"/>
      <c r="C116" s="9"/>
      <c r="F116" s="9"/>
      <c r="G116" s="1"/>
      <c r="I116" s="1"/>
      <c r="J116" s="1"/>
      <c r="R116" s="52"/>
      <c r="S116" s="52"/>
      <c r="T116" s="52"/>
      <c r="U116" s="52"/>
      <c r="V116" s="52"/>
      <c r="W116" s="52"/>
      <c r="X116" s="52"/>
      <c r="Y116" s="896"/>
      <c r="Z116" s="52"/>
      <c r="AA116" s="51"/>
      <c r="AB116" s="51"/>
      <c r="AC116" s="1"/>
      <c r="AD116" s="1"/>
      <c r="AE116" s="1"/>
      <c r="AF116" s="1"/>
      <c r="AG116" s="1"/>
      <c r="AH116" s="1"/>
      <c r="AI116" s="1"/>
      <c r="AJ116" s="1"/>
      <c r="AK116" s="1"/>
      <c r="AL116" s="1"/>
      <c r="AM116" s="1"/>
      <c r="AN116" s="1"/>
      <c r="AO116" s="1"/>
      <c r="AP116" s="1"/>
      <c r="AQ116" s="1"/>
      <c r="AR116" s="1"/>
      <c r="AS116" s="6"/>
      <c r="AT116" s="6"/>
      <c r="AU116" s="6"/>
      <c r="AW116" s="1"/>
    </row>
    <row r="117" spans="2:49">
      <c r="B117" s="1"/>
      <c r="C117" s="9"/>
      <c r="F117" s="9"/>
      <c r="G117" s="1"/>
      <c r="I117" s="1"/>
      <c r="J117" s="1"/>
      <c r="R117" s="52"/>
      <c r="S117" s="52"/>
      <c r="T117" s="52"/>
      <c r="U117" s="52"/>
      <c r="V117" s="52"/>
      <c r="W117" s="52"/>
      <c r="X117" s="52"/>
      <c r="Y117" s="896"/>
      <c r="Z117" s="52"/>
      <c r="AA117" s="51"/>
      <c r="AB117" s="51"/>
      <c r="AC117" s="1"/>
      <c r="AD117" s="1"/>
      <c r="AE117" s="1"/>
      <c r="AF117" s="1"/>
      <c r="AG117" s="1"/>
      <c r="AH117" s="1"/>
      <c r="AI117" s="1"/>
      <c r="AJ117" s="1"/>
      <c r="AK117" s="1"/>
      <c r="AL117" s="1"/>
      <c r="AM117" s="1"/>
      <c r="AN117" s="1"/>
      <c r="AO117" s="1"/>
      <c r="AP117" s="1"/>
      <c r="AQ117" s="1"/>
      <c r="AR117" s="1"/>
      <c r="AS117" s="6"/>
      <c r="AT117" s="6"/>
      <c r="AU117" s="6"/>
      <c r="AW117" s="1"/>
    </row>
    <row r="118" spans="2:49">
      <c r="B118" s="1"/>
      <c r="C118" s="9"/>
      <c r="F118" s="9"/>
      <c r="G118" s="1"/>
      <c r="I118" s="1"/>
      <c r="J118" s="1"/>
      <c r="R118" s="52"/>
      <c r="S118" s="52"/>
      <c r="T118" s="52"/>
      <c r="U118" s="52"/>
      <c r="V118" s="52"/>
      <c r="W118" s="52"/>
      <c r="X118" s="52"/>
      <c r="Y118" s="896"/>
      <c r="Z118" s="52"/>
      <c r="AA118" s="51"/>
      <c r="AB118" s="51"/>
      <c r="AC118" s="1"/>
      <c r="AD118" s="1"/>
      <c r="AE118" s="1"/>
      <c r="AF118" s="1"/>
      <c r="AG118" s="1"/>
      <c r="AH118" s="1"/>
      <c r="AI118" s="1"/>
      <c r="AJ118" s="1"/>
      <c r="AK118" s="1"/>
      <c r="AL118" s="1"/>
      <c r="AM118" s="1"/>
      <c r="AN118" s="1"/>
      <c r="AO118" s="1"/>
      <c r="AP118" s="1"/>
      <c r="AQ118" s="1"/>
      <c r="AR118" s="1"/>
      <c r="AS118" s="6"/>
      <c r="AT118" s="6"/>
      <c r="AU118" s="6"/>
      <c r="AW118" s="1"/>
    </row>
    <row r="119" spans="2:49">
      <c r="B119" s="1"/>
      <c r="C119" s="9"/>
      <c r="F119" s="9"/>
      <c r="G119" s="1"/>
      <c r="I119" s="1"/>
      <c r="J119" s="1"/>
      <c r="R119" s="52"/>
      <c r="S119" s="52"/>
      <c r="T119" s="52"/>
      <c r="U119" s="52"/>
      <c r="V119" s="52"/>
      <c r="W119" s="52"/>
      <c r="X119" s="52"/>
      <c r="Y119" s="896"/>
      <c r="Z119" s="52"/>
      <c r="AA119" s="51"/>
      <c r="AB119" s="51"/>
      <c r="AC119" s="1"/>
      <c r="AD119" s="1"/>
      <c r="AE119" s="1"/>
      <c r="AF119" s="1"/>
      <c r="AG119" s="1"/>
      <c r="AH119" s="1"/>
      <c r="AI119" s="1"/>
      <c r="AJ119" s="1"/>
      <c r="AK119" s="1"/>
      <c r="AL119" s="1"/>
      <c r="AM119" s="1"/>
      <c r="AN119" s="1"/>
      <c r="AO119" s="1"/>
      <c r="AP119" s="1"/>
      <c r="AQ119" s="1"/>
      <c r="AR119" s="1"/>
      <c r="AS119" s="6"/>
      <c r="AT119" s="6"/>
      <c r="AU119" s="6"/>
      <c r="AW119" s="1"/>
    </row>
    <row r="120" spans="2:49">
      <c r="B120" s="1"/>
      <c r="C120" s="9"/>
      <c r="F120" s="9"/>
      <c r="G120" s="1"/>
      <c r="I120" s="1"/>
      <c r="J120" s="1"/>
      <c r="R120" s="52"/>
      <c r="S120" s="52"/>
      <c r="T120" s="52"/>
      <c r="U120" s="52"/>
      <c r="V120" s="52"/>
      <c r="W120" s="52"/>
      <c r="X120" s="52"/>
      <c r="Y120" s="896"/>
      <c r="Z120" s="52"/>
      <c r="AA120" s="51"/>
      <c r="AB120" s="51"/>
      <c r="AC120" s="1"/>
      <c r="AD120" s="1"/>
      <c r="AE120" s="1"/>
      <c r="AF120" s="1"/>
      <c r="AG120" s="1"/>
      <c r="AH120" s="1"/>
      <c r="AI120" s="1"/>
      <c r="AJ120" s="1"/>
      <c r="AK120" s="1"/>
      <c r="AL120" s="1"/>
      <c r="AM120" s="1"/>
      <c r="AN120" s="1"/>
      <c r="AO120" s="1"/>
      <c r="AP120" s="1"/>
      <c r="AQ120" s="1"/>
      <c r="AR120" s="1"/>
      <c r="AS120" s="6"/>
      <c r="AT120" s="6"/>
      <c r="AU120" s="6"/>
      <c r="AW120" s="1"/>
    </row>
    <row r="121" spans="2:49">
      <c r="B121" s="1"/>
      <c r="C121" s="9"/>
      <c r="F121" s="9"/>
      <c r="G121" s="1"/>
      <c r="I121" s="1"/>
      <c r="J121" s="1"/>
      <c r="R121" s="52"/>
      <c r="S121" s="52"/>
      <c r="T121" s="52"/>
      <c r="U121" s="52"/>
      <c r="V121" s="52"/>
      <c r="W121" s="52"/>
      <c r="X121" s="52"/>
      <c r="Y121" s="896"/>
      <c r="Z121" s="52"/>
      <c r="AA121" s="51"/>
      <c r="AB121" s="51"/>
      <c r="AC121" s="1"/>
      <c r="AD121" s="1"/>
      <c r="AE121" s="1"/>
      <c r="AF121" s="1"/>
      <c r="AG121" s="1"/>
      <c r="AH121" s="1"/>
      <c r="AI121" s="1"/>
      <c r="AJ121" s="1"/>
      <c r="AK121" s="1"/>
      <c r="AL121" s="1"/>
      <c r="AM121" s="1"/>
      <c r="AN121" s="1"/>
      <c r="AO121" s="1"/>
      <c r="AP121" s="1"/>
      <c r="AQ121" s="1"/>
      <c r="AR121" s="1"/>
      <c r="AS121" s="6"/>
      <c r="AT121" s="6"/>
      <c r="AU121" s="6"/>
      <c r="AW121" s="1"/>
    </row>
    <row r="122" spans="2:49">
      <c r="B122" s="1"/>
      <c r="C122" s="9"/>
      <c r="F122" s="9"/>
      <c r="G122" s="1"/>
      <c r="I122" s="1"/>
      <c r="J122" s="1"/>
      <c r="R122" s="52"/>
      <c r="S122" s="52"/>
      <c r="T122" s="52"/>
      <c r="U122" s="52"/>
      <c r="V122" s="52"/>
      <c r="W122" s="52"/>
      <c r="X122" s="52"/>
      <c r="Y122" s="896"/>
      <c r="Z122" s="52"/>
      <c r="AA122" s="51"/>
      <c r="AB122" s="51"/>
      <c r="AC122" s="1"/>
      <c r="AD122" s="1"/>
      <c r="AE122" s="1"/>
      <c r="AF122" s="1"/>
      <c r="AG122" s="1"/>
      <c r="AH122" s="1"/>
      <c r="AI122" s="1"/>
      <c r="AJ122" s="1"/>
      <c r="AK122" s="1"/>
      <c r="AL122" s="1"/>
      <c r="AM122" s="1"/>
      <c r="AN122" s="1"/>
      <c r="AO122" s="1"/>
      <c r="AP122" s="1"/>
      <c r="AQ122" s="1"/>
      <c r="AR122" s="1"/>
      <c r="AS122" s="6"/>
      <c r="AT122" s="6"/>
      <c r="AU122" s="6"/>
      <c r="AW122" s="1"/>
    </row>
    <row r="123" spans="2:49">
      <c r="B123" s="1"/>
      <c r="C123" s="9"/>
      <c r="F123" s="9"/>
      <c r="G123" s="1"/>
      <c r="I123" s="1"/>
      <c r="J123" s="1"/>
      <c r="R123" s="52"/>
      <c r="S123" s="52"/>
      <c r="T123" s="52"/>
      <c r="U123" s="52"/>
      <c r="V123" s="52"/>
      <c r="W123" s="52"/>
      <c r="X123" s="52"/>
      <c r="Y123" s="896"/>
      <c r="Z123" s="52"/>
      <c r="AA123" s="51"/>
      <c r="AB123" s="51"/>
      <c r="AC123" s="1"/>
      <c r="AD123" s="1"/>
      <c r="AE123" s="1"/>
      <c r="AF123" s="1"/>
      <c r="AG123" s="1"/>
      <c r="AH123" s="1"/>
      <c r="AI123" s="1"/>
      <c r="AJ123" s="1"/>
      <c r="AK123" s="1"/>
      <c r="AL123" s="1"/>
      <c r="AM123" s="1"/>
      <c r="AN123" s="1"/>
      <c r="AO123" s="1"/>
      <c r="AP123" s="1"/>
      <c r="AQ123" s="1"/>
      <c r="AR123" s="1"/>
      <c r="AS123" s="6"/>
      <c r="AT123" s="6"/>
      <c r="AU123" s="6"/>
      <c r="AW123" s="1"/>
    </row>
    <row r="124" spans="2:49">
      <c r="B124" s="1"/>
      <c r="C124" s="9"/>
      <c r="F124" s="9"/>
      <c r="G124" s="1"/>
      <c r="I124" s="1"/>
      <c r="J124" s="1"/>
      <c r="R124" s="52"/>
      <c r="S124" s="52"/>
      <c r="T124" s="52"/>
      <c r="U124" s="52"/>
      <c r="V124" s="52"/>
      <c r="W124" s="52"/>
      <c r="X124" s="52"/>
      <c r="Y124" s="896"/>
      <c r="Z124" s="52"/>
      <c r="AA124" s="51"/>
      <c r="AB124" s="51"/>
      <c r="AC124" s="1"/>
      <c r="AD124" s="1"/>
      <c r="AE124" s="1"/>
      <c r="AF124" s="1"/>
      <c r="AG124" s="1"/>
      <c r="AH124" s="1"/>
      <c r="AI124" s="1"/>
      <c r="AJ124" s="1"/>
      <c r="AK124" s="1"/>
      <c r="AL124" s="1"/>
      <c r="AM124" s="1"/>
      <c r="AN124" s="1"/>
      <c r="AO124" s="1"/>
      <c r="AP124" s="1"/>
      <c r="AQ124" s="1"/>
      <c r="AR124" s="1"/>
      <c r="AS124" s="6"/>
      <c r="AT124" s="6"/>
      <c r="AU124" s="6"/>
      <c r="AW124" s="1"/>
    </row>
    <row r="125" spans="2:49">
      <c r="B125" s="1"/>
      <c r="C125" s="9"/>
      <c r="F125" s="9"/>
      <c r="G125" s="1"/>
      <c r="I125" s="1"/>
      <c r="J125" s="1"/>
      <c r="R125" s="52"/>
      <c r="S125" s="52"/>
      <c r="T125" s="52"/>
      <c r="U125" s="52"/>
      <c r="V125" s="52"/>
      <c r="W125" s="52"/>
      <c r="X125" s="52"/>
      <c r="Y125" s="896"/>
      <c r="Z125" s="52"/>
      <c r="AA125" s="51"/>
      <c r="AB125" s="51"/>
      <c r="AC125" s="1"/>
      <c r="AD125" s="1"/>
      <c r="AE125" s="1"/>
      <c r="AF125" s="1"/>
      <c r="AG125" s="1"/>
      <c r="AH125" s="1"/>
      <c r="AI125" s="1"/>
      <c r="AJ125" s="1"/>
      <c r="AK125" s="1"/>
      <c r="AL125" s="1"/>
      <c r="AM125" s="1"/>
      <c r="AN125" s="1"/>
      <c r="AO125" s="1"/>
      <c r="AP125" s="1"/>
      <c r="AQ125" s="1"/>
      <c r="AR125" s="1"/>
      <c r="AS125" s="6"/>
      <c r="AT125" s="6"/>
      <c r="AU125" s="6"/>
      <c r="AW125" s="1"/>
    </row>
    <row r="126" spans="2:49">
      <c r="B126" s="1"/>
      <c r="C126" s="9"/>
      <c r="F126" s="9"/>
      <c r="G126" s="1"/>
      <c r="I126" s="1"/>
      <c r="J126" s="1"/>
      <c r="R126" s="52"/>
      <c r="S126" s="52"/>
      <c r="T126" s="52"/>
      <c r="U126" s="52"/>
      <c r="V126" s="52"/>
      <c r="W126" s="52"/>
      <c r="X126" s="52"/>
      <c r="Y126" s="896"/>
      <c r="Z126" s="52"/>
      <c r="AA126" s="51"/>
      <c r="AB126" s="51"/>
      <c r="AC126" s="1"/>
      <c r="AD126" s="1"/>
      <c r="AE126" s="1"/>
      <c r="AF126" s="1"/>
      <c r="AG126" s="1"/>
      <c r="AH126" s="1"/>
      <c r="AI126" s="1"/>
      <c r="AJ126" s="1"/>
      <c r="AK126" s="1"/>
      <c r="AL126" s="1"/>
      <c r="AM126" s="1"/>
      <c r="AN126" s="1"/>
      <c r="AO126" s="1"/>
      <c r="AP126" s="1"/>
      <c r="AQ126" s="1"/>
      <c r="AR126" s="1"/>
      <c r="AS126" s="6"/>
      <c r="AT126" s="6"/>
      <c r="AU126" s="6"/>
      <c r="AW126" s="1"/>
    </row>
    <row r="127" spans="2:49">
      <c r="B127" s="1"/>
      <c r="C127" s="9"/>
      <c r="F127" s="9"/>
      <c r="G127" s="1"/>
      <c r="I127" s="1"/>
      <c r="J127" s="1"/>
      <c r="R127" s="52"/>
      <c r="S127" s="52"/>
      <c r="T127" s="52"/>
      <c r="U127" s="52"/>
      <c r="V127" s="52"/>
      <c r="W127" s="52"/>
      <c r="X127" s="52"/>
      <c r="Y127" s="896"/>
      <c r="Z127" s="52"/>
      <c r="AA127" s="51"/>
      <c r="AB127" s="51"/>
      <c r="AC127" s="1"/>
      <c r="AD127" s="1"/>
      <c r="AE127" s="1"/>
      <c r="AF127" s="1"/>
      <c r="AG127" s="1"/>
      <c r="AH127" s="1"/>
      <c r="AI127" s="1"/>
      <c r="AJ127" s="1"/>
      <c r="AK127" s="1"/>
      <c r="AL127" s="1"/>
      <c r="AM127" s="1"/>
      <c r="AN127" s="1"/>
      <c r="AO127" s="1"/>
      <c r="AP127" s="1"/>
      <c r="AQ127" s="1"/>
      <c r="AR127" s="1"/>
      <c r="AS127" s="6"/>
      <c r="AT127" s="6"/>
      <c r="AU127" s="6"/>
      <c r="AW127" s="1"/>
    </row>
    <row r="128" spans="2:49">
      <c r="B128" s="1"/>
      <c r="C128" s="9"/>
      <c r="F128" s="9"/>
      <c r="G128" s="1"/>
      <c r="I128" s="1"/>
      <c r="J128" s="1"/>
      <c r="R128" s="52"/>
      <c r="S128" s="52"/>
      <c r="T128" s="52"/>
      <c r="U128" s="52"/>
      <c r="V128" s="52"/>
      <c r="W128" s="52"/>
      <c r="X128" s="52"/>
      <c r="Y128" s="896"/>
      <c r="Z128" s="52"/>
      <c r="AA128" s="51"/>
      <c r="AB128" s="51"/>
      <c r="AC128" s="1"/>
      <c r="AD128" s="1"/>
      <c r="AE128" s="1"/>
      <c r="AF128" s="1"/>
      <c r="AG128" s="1"/>
      <c r="AH128" s="1"/>
      <c r="AI128" s="1"/>
      <c r="AJ128" s="1"/>
      <c r="AK128" s="1"/>
      <c r="AL128" s="1"/>
      <c r="AM128" s="1"/>
      <c r="AN128" s="1"/>
      <c r="AO128" s="1"/>
      <c r="AP128" s="1"/>
      <c r="AQ128" s="1"/>
      <c r="AR128" s="1"/>
      <c r="AS128" s="6"/>
      <c r="AT128" s="6"/>
      <c r="AU128" s="6"/>
      <c r="AW128" s="1"/>
    </row>
    <row r="129" spans="2:49">
      <c r="B129" s="1"/>
      <c r="C129" s="9"/>
      <c r="F129" s="9"/>
      <c r="G129" s="1"/>
      <c r="I129" s="1"/>
      <c r="J129" s="1"/>
      <c r="R129" s="52"/>
      <c r="S129" s="52"/>
      <c r="T129" s="52"/>
      <c r="U129" s="52"/>
      <c r="V129" s="52"/>
      <c r="W129" s="52"/>
      <c r="X129" s="52"/>
      <c r="Y129" s="896"/>
      <c r="Z129" s="52"/>
      <c r="AA129" s="51"/>
      <c r="AB129" s="51"/>
      <c r="AC129" s="1"/>
      <c r="AD129" s="1"/>
      <c r="AE129" s="1"/>
      <c r="AF129" s="1"/>
      <c r="AG129" s="1"/>
      <c r="AH129" s="1"/>
      <c r="AI129" s="1"/>
      <c r="AJ129" s="1"/>
      <c r="AK129" s="1"/>
      <c r="AL129" s="1"/>
      <c r="AM129" s="1"/>
      <c r="AN129" s="1"/>
      <c r="AO129" s="1"/>
      <c r="AP129" s="1"/>
      <c r="AQ129" s="1"/>
      <c r="AR129" s="1"/>
      <c r="AS129" s="6"/>
      <c r="AT129" s="6"/>
      <c r="AU129" s="6"/>
      <c r="AW129" s="1"/>
    </row>
    <row r="130" spans="2:49">
      <c r="B130" s="1"/>
      <c r="C130" s="9"/>
      <c r="F130" s="9"/>
      <c r="G130" s="1"/>
      <c r="I130" s="1"/>
      <c r="J130" s="1"/>
      <c r="R130" s="52"/>
      <c r="S130" s="52"/>
      <c r="T130" s="52"/>
      <c r="U130" s="52"/>
      <c r="V130" s="52"/>
      <c r="W130" s="52"/>
      <c r="X130" s="52"/>
      <c r="Y130" s="896"/>
      <c r="Z130" s="52"/>
      <c r="AA130" s="51"/>
      <c r="AB130" s="51"/>
      <c r="AC130" s="1"/>
      <c r="AD130" s="1"/>
      <c r="AE130" s="1"/>
      <c r="AF130" s="1"/>
      <c r="AG130" s="1"/>
      <c r="AH130" s="1"/>
      <c r="AI130" s="1"/>
      <c r="AJ130" s="1"/>
      <c r="AK130" s="1"/>
      <c r="AL130" s="1"/>
      <c r="AM130" s="1"/>
      <c r="AN130" s="1"/>
      <c r="AO130" s="1"/>
      <c r="AP130" s="1"/>
      <c r="AQ130" s="1"/>
      <c r="AR130" s="1"/>
      <c r="AS130" s="6"/>
      <c r="AT130" s="6"/>
      <c r="AU130" s="6"/>
      <c r="AW130" s="1"/>
    </row>
    <row r="131" spans="2:49">
      <c r="B131" s="1"/>
      <c r="C131" s="9"/>
      <c r="F131" s="9"/>
      <c r="G131" s="1"/>
      <c r="I131" s="1"/>
      <c r="J131" s="1"/>
      <c r="R131" s="52"/>
      <c r="S131" s="52"/>
      <c r="T131" s="52"/>
      <c r="U131" s="52"/>
      <c r="V131" s="52"/>
      <c r="W131" s="52"/>
      <c r="X131" s="52"/>
      <c r="Y131" s="896"/>
      <c r="Z131" s="52"/>
      <c r="AA131" s="51"/>
      <c r="AB131" s="51"/>
      <c r="AC131" s="1"/>
      <c r="AD131" s="1"/>
      <c r="AE131" s="1"/>
      <c r="AF131" s="1"/>
      <c r="AG131" s="1"/>
      <c r="AH131" s="1"/>
      <c r="AI131" s="1"/>
      <c r="AJ131" s="1"/>
      <c r="AK131" s="1"/>
      <c r="AL131" s="1"/>
      <c r="AM131" s="1"/>
      <c r="AN131" s="1"/>
      <c r="AO131" s="1"/>
      <c r="AP131" s="1"/>
      <c r="AQ131" s="1"/>
      <c r="AR131" s="1"/>
      <c r="AS131" s="6"/>
      <c r="AT131" s="6"/>
      <c r="AU131" s="6"/>
      <c r="AW131" s="1"/>
    </row>
    <row r="132" spans="2:49">
      <c r="B132" s="1"/>
      <c r="C132" s="9"/>
      <c r="F132" s="9"/>
      <c r="G132" s="1"/>
      <c r="I132" s="1"/>
      <c r="J132" s="1"/>
      <c r="R132" s="52"/>
      <c r="S132" s="52"/>
      <c r="T132" s="52"/>
      <c r="U132" s="52"/>
      <c r="V132" s="52"/>
      <c r="W132" s="52"/>
      <c r="X132" s="52"/>
      <c r="Y132" s="896"/>
      <c r="Z132" s="52"/>
      <c r="AA132" s="51"/>
      <c r="AB132" s="51"/>
      <c r="AC132" s="1"/>
      <c r="AD132" s="1"/>
      <c r="AE132" s="1"/>
      <c r="AF132" s="1"/>
      <c r="AG132" s="1"/>
      <c r="AH132" s="1"/>
      <c r="AI132" s="1"/>
      <c r="AJ132" s="1"/>
      <c r="AK132" s="1"/>
      <c r="AL132" s="1"/>
      <c r="AM132" s="1"/>
      <c r="AN132" s="1"/>
      <c r="AO132" s="1"/>
      <c r="AP132" s="1"/>
      <c r="AQ132" s="1"/>
      <c r="AR132" s="1"/>
      <c r="AS132" s="6"/>
      <c r="AT132" s="6"/>
      <c r="AU132" s="6"/>
      <c r="AW132" s="1"/>
    </row>
    <row r="133" spans="2:49">
      <c r="B133" s="1"/>
      <c r="C133" s="9"/>
      <c r="F133" s="9"/>
      <c r="G133" s="1"/>
      <c r="I133" s="1"/>
      <c r="J133" s="1"/>
      <c r="R133" s="52"/>
      <c r="S133" s="52"/>
      <c r="T133" s="52"/>
      <c r="U133" s="52"/>
      <c r="V133" s="52"/>
      <c r="W133" s="52"/>
      <c r="X133" s="52"/>
      <c r="Y133" s="896"/>
      <c r="Z133" s="52"/>
      <c r="AA133" s="51"/>
      <c r="AB133" s="51"/>
      <c r="AC133" s="1"/>
      <c r="AD133" s="1"/>
      <c r="AE133" s="1"/>
      <c r="AF133" s="1"/>
      <c r="AG133" s="1"/>
      <c r="AH133" s="1"/>
      <c r="AI133" s="1"/>
      <c r="AJ133" s="1"/>
      <c r="AK133" s="1"/>
      <c r="AL133" s="1"/>
      <c r="AM133" s="1"/>
      <c r="AN133" s="1"/>
      <c r="AO133" s="1"/>
      <c r="AP133" s="1"/>
      <c r="AQ133" s="1"/>
      <c r="AR133" s="1"/>
      <c r="AS133" s="6"/>
      <c r="AT133" s="6"/>
      <c r="AU133" s="6"/>
      <c r="AW133" s="1"/>
    </row>
    <row r="134" spans="2:49">
      <c r="B134" s="1"/>
      <c r="C134" s="9"/>
      <c r="F134" s="9"/>
      <c r="G134" s="1"/>
      <c r="I134" s="1"/>
      <c r="J134" s="1"/>
      <c r="R134" s="52"/>
      <c r="S134" s="52"/>
      <c r="T134" s="52"/>
      <c r="U134" s="52"/>
      <c r="V134" s="52"/>
      <c r="W134" s="52"/>
      <c r="X134" s="52"/>
      <c r="Y134" s="896"/>
      <c r="Z134" s="52"/>
      <c r="AA134" s="51"/>
      <c r="AB134" s="51"/>
      <c r="AC134" s="1"/>
      <c r="AD134" s="1"/>
      <c r="AE134" s="1"/>
      <c r="AF134" s="1"/>
      <c r="AG134" s="1"/>
      <c r="AH134" s="1"/>
      <c r="AI134" s="1"/>
      <c r="AJ134" s="1"/>
      <c r="AK134" s="1"/>
      <c r="AL134" s="1"/>
      <c r="AM134" s="1"/>
      <c r="AN134" s="1"/>
      <c r="AO134" s="1"/>
      <c r="AP134" s="1"/>
      <c r="AQ134" s="1"/>
      <c r="AR134" s="1"/>
      <c r="AS134" s="6"/>
      <c r="AT134" s="6"/>
      <c r="AU134" s="6"/>
      <c r="AW134" s="1"/>
    </row>
    <row r="135" spans="2:49">
      <c r="B135" s="1"/>
      <c r="C135" s="9"/>
      <c r="F135" s="9"/>
      <c r="G135" s="1"/>
      <c r="I135" s="1"/>
      <c r="J135" s="1"/>
      <c r="R135" s="52"/>
      <c r="S135" s="52"/>
      <c r="T135" s="52"/>
      <c r="U135" s="52"/>
      <c r="V135" s="52"/>
      <c r="W135" s="52"/>
      <c r="X135" s="52"/>
      <c r="Y135" s="896"/>
      <c r="Z135" s="52"/>
      <c r="AA135" s="51"/>
      <c r="AB135" s="51"/>
      <c r="AC135" s="1"/>
      <c r="AD135" s="1"/>
      <c r="AE135" s="1"/>
      <c r="AF135" s="1"/>
      <c r="AG135" s="1"/>
      <c r="AH135" s="1"/>
      <c r="AI135" s="1"/>
      <c r="AJ135" s="1"/>
      <c r="AK135" s="1"/>
      <c r="AL135" s="1"/>
      <c r="AM135" s="1"/>
      <c r="AN135" s="1"/>
      <c r="AO135" s="1"/>
      <c r="AP135" s="1"/>
      <c r="AQ135" s="1"/>
      <c r="AR135" s="1"/>
      <c r="AS135" s="6"/>
      <c r="AT135" s="6"/>
      <c r="AU135" s="6"/>
      <c r="AW135" s="1"/>
    </row>
    <row r="136" spans="2:49">
      <c r="B136" s="1"/>
      <c r="C136" s="9"/>
      <c r="F136" s="9"/>
      <c r="G136" s="1"/>
      <c r="I136" s="1"/>
      <c r="J136" s="1"/>
      <c r="R136" s="52"/>
      <c r="S136" s="52"/>
      <c r="T136" s="52"/>
      <c r="U136" s="52"/>
      <c r="V136" s="52"/>
      <c r="W136" s="52"/>
      <c r="X136" s="52"/>
      <c r="Y136" s="896"/>
      <c r="Z136" s="52"/>
      <c r="AA136" s="51"/>
      <c r="AB136" s="51"/>
      <c r="AC136" s="1"/>
      <c r="AD136" s="1"/>
      <c r="AE136" s="1"/>
      <c r="AF136" s="1"/>
      <c r="AG136" s="1"/>
      <c r="AH136" s="1"/>
      <c r="AI136" s="1"/>
      <c r="AJ136" s="1"/>
      <c r="AK136" s="1"/>
      <c r="AL136" s="1"/>
      <c r="AM136" s="1"/>
      <c r="AN136" s="1"/>
      <c r="AO136" s="1"/>
      <c r="AP136" s="1"/>
      <c r="AQ136" s="1"/>
      <c r="AR136" s="1"/>
      <c r="AS136" s="6"/>
      <c r="AT136" s="6"/>
      <c r="AU136" s="6"/>
      <c r="AW136" s="1"/>
    </row>
    <row r="137" spans="2:49">
      <c r="B137" s="1"/>
      <c r="C137" s="9"/>
      <c r="F137" s="9"/>
      <c r="G137" s="1"/>
      <c r="I137" s="1"/>
      <c r="J137" s="1"/>
      <c r="R137" s="52"/>
      <c r="S137" s="52"/>
      <c r="T137" s="52"/>
      <c r="U137" s="52"/>
      <c r="V137" s="52"/>
      <c r="W137" s="52"/>
      <c r="X137" s="52"/>
      <c r="Y137" s="896"/>
      <c r="Z137" s="52"/>
      <c r="AA137" s="51"/>
      <c r="AB137" s="51"/>
      <c r="AC137" s="1"/>
      <c r="AD137" s="1"/>
      <c r="AE137" s="1"/>
      <c r="AF137" s="1"/>
      <c r="AG137" s="1"/>
      <c r="AH137" s="1"/>
      <c r="AI137" s="1"/>
      <c r="AJ137" s="1"/>
      <c r="AK137" s="1"/>
      <c r="AL137" s="1"/>
      <c r="AM137" s="1"/>
      <c r="AN137" s="1"/>
      <c r="AO137" s="1"/>
      <c r="AP137" s="1"/>
      <c r="AQ137" s="1"/>
      <c r="AR137" s="1"/>
      <c r="AS137" s="6"/>
      <c r="AT137" s="6"/>
      <c r="AU137" s="6"/>
      <c r="AW137" s="1"/>
    </row>
    <row r="138" spans="2:49">
      <c r="B138" s="1"/>
      <c r="C138" s="9"/>
      <c r="F138" s="9"/>
      <c r="G138" s="1"/>
      <c r="I138" s="1"/>
      <c r="J138" s="1"/>
      <c r="R138" s="52"/>
      <c r="S138" s="52"/>
      <c r="T138" s="52"/>
      <c r="U138" s="52"/>
      <c r="V138" s="52"/>
      <c r="W138" s="52"/>
      <c r="X138" s="52"/>
      <c r="Y138" s="896"/>
      <c r="Z138" s="52"/>
      <c r="AA138" s="51"/>
      <c r="AB138" s="51"/>
      <c r="AC138" s="1"/>
      <c r="AD138" s="1"/>
      <c r="AE138" s="1"/>
      <c r="AF138" s="1"/>
      <c r="AG138" s="1"/>
      <c r="AH138" s="1"/>
      <c r="AI138" s="1"/>
      <c r="AJ138" s="1"/>
      <c r="AK138" s="1"/>
      <c r="AL138" s="1"/>
      <c r="AM138" s="1"/>
      <c r="AN138" s="1"/>
      <c r="AO138" s="1"/>
      <c r="AP138" s="1"/>
      <c r="AQ138" s="1"/>
      <c r="AR138" s="1"/>
      <c r="AS138" s="6"/>
      <c r="AT138" s="6"/>
      <c r="AU138" s="6"/>
      <c r="AW138" s="1"/>
    </row>
    <row r="139" spans="2:49">
      <c r="B139" s="1"/>
      <c r="C139" s="9"/>
      <c r="F139" s="9"/>
      <c r="G139" s="1"/>
      <c r="I139" s="1"/>
      <c r="J139" s="1"/>
      <c r="R139" s="52"/>
      <c r="S139" s="52"/>
      <c r="T139" s="52"/>
      <c r="U139" s="52"/>
      <c r="V139" s="52"/>
      <c r="W139" s="52"/>
      <c r="X139" s="52"/>
      <c r="Y139" s="896"/>
      <c r="Z139" s="52"/>
      <c r="AA139" s="51"/>
      <c r="AB139" s="51"/>
      <c r="AC139" s="1"/>
      <c r="AD139" s="1"/>
      <c r="AE139" s="1"/>
      <c r="AF139" s="1"/>
      <c r="AG139" s="1"/>
      <c r="AH139" s="1"/>
      <c r="AI139" s="1"/>
      <c r="AJ139" s="1"/>
      <c r="AK139" s="1"/>
      <c r="AL139" s="1"/>
      <c r="AM139" s="1"/>
      <c r="AN139" s="1"/>
      <c r="AO139" s="1"/>
      <c r="AP139" s="1"/>
      <c r="AQ139" s="1"/>
      <c r="AR139" s="1"/>
      <c r="AS139" s="6"/>
      <c r="AT139" s="6"/>
      <c r="AU139" s="6"/>
      <c r="AW139" s="1"/>
    </row>
    <row r="140" spans="2:49">
      <c r="B140" s="1"/>
      <c r="C140" s="9"/>
      <c r="F140" s="9"/>
      <c r="G140" s="1"/>
      <c r="I140" s="1"/>
      <c r="J140" s="1"/>
      <c r="R140" s="52"/>
      <c r="S140" s="52"/>
      <c r="T140" s="52"/>
      <c r="U140" s="52"/>
      <c r="V140" s="52"/>
      <c r="W140" s="52"/>
      <c r="X140" s="52"/>
      <c r="Y140" s="896"/>
      <c r="Z140" s="52"/>
      <c r="AA140" s="51"/>
      <c r="AB140" s="51"/>
      <c r="AC140" s="1"/>
      <c r="AD140" s="1"/>
      <c r="AE140" s="1"/>
      <c r="AF140" s="1"/>
      <c r="AG140" s="1"/>
      <c r="AH140" s="1"/>
      <c r="AI140" s="1"/>
      <c r="AJ140" s="1"/>
      <c r="AK140" s="1"/>
      <c r="AL140" s="1"/>
      <c r="AM140" s="1"/>
      <c r="AN140" s="1"/>
      <c r="AO140" s="1"/>
      <c r="AP140" s="1"/>
      <c r="AQ140" s="1"/>
      <c r="AR140" s="1"/>
      <c r="AS140" s="6"/>
      <c r="AT140" s="6"/>
      <c r="AU140" s="6"/>
      <c r="AW140" s="1"/>
    </row>
    <row r="141" spans="2:49">
      <c r="B141" s="1"/>
      <c r="C141" s="9"/>
      <c r="F141" s="9"/>
      <c r="G141" s="1"/>
      <c r="I141" s="1"/>
      <c r="J141" s="1"/>
      <c r="R141" s="52"/>
      <c r="S141" s="52"/>
      <c r="T141" s="52"/>
      <c r="U141" s="52"/>
      <c r="V141" s="52"/>
      <c r="W141" s="52"/>
      <c r="X141" s="52"/>
      <c r="Y141" s="896"/>
      <c r="Z141" s="52"/>
      <c r="AA141" s="51"/>
      <c r="AB141" s="51"/>
      <c r="AC141" s="1"/>
      <c r="AD141" s="1"/>
      <c r="AE141" s="1"/>
      <c r="AH141" s="1"/>
      <c r="AI141" s="1"/>
      <c r="AJ141" s="1"/>
      <c r="AK141" s="1"/>
      <c r="AL141" s="1"/>
      <c r="AM141" s="1"/>
      <c r="AN141" s="1"/>
      <c r="AO141" s="1"/>
      <c r="AP141" s="1"/>
      <c r="AQ141" s="1"/>
      <c r="AR141" s="1"/>
      <c r="AS141" s="6"/>
      <c r="AT141" s="6"/>
      <c r="AU141" s="6"/>
      <c r="AW141" s="1"/>
    </row>
    <row r="142" spans="2:49">
      <c r="B142" s="1"/>
      <c r="C142" s="9"/>
      <c r="F142" s="9"/>
      <c r="G142" s="1"/>
      <c r="I142" s="1"/>
      <c r="J142" s="1"/>
      <c r="R142" s="52"/>
      <c r="S142" s="52"/>
      <c r="T142" s="52"/>
      <c r="U142" s="52"/>
      <c r="V142" s="52"/>
      <c r="W142" s="52"/>
      <c r="X142" s="52"/>
      <c r="Y142" s="896"/>
      <c r="Z142" s="52"/>
      <c r="AA142" s="51"/>
      <c r="AB142" s="51"/>
      <c r="AC142" s="1"/>
      <c r="AD142" s="1"/>
      <c r="AE142" s="1"/>
      <c r="AH142" s="1"/>
      <c r="AI142" s="1"/>
      <c r="AJ142" s="1"/>
      <c r="AK142" s="1"/>
      <c r="AL142" s="1"/>
      <c r="AM142" s="1"/>
      <c r="AN142" s="1"/>
      <c r="AO142" s="1"/>
      <c r="AP142" s="1"/>
      <c r="AQ142" s="1"/>
      <c r="AR142" s="1"/>
      <c r="AS142" s="6"/>
      <c r="AT142" s="6"/>
      <c r="AU142" s="6"/>
      <c r="AW142" s="1"/>
    </row>
    <row r="143" spans="2:49">
      <c r="B143" s="1"/>
      <c r="C143" s="9"/>
      <c r="F143" s="9"/>
      <c r="G143" s="1"/>
      <c r="I143" s="1"/>
      <c r="J143" s="1"/>
      <c r="R143" s="52"/>
      <c r="S143" s="52"/>
      <c r="T143" s="52"/>
      <c r="U143" s="52"/>
      <c r="V143" s="52"/>
      <c r="W143" s="52"/>
      <c r="X143" s="52"/>
      <c r="Y143" s="896"/>
      <c r="Z143" s="52"/>
      <c r="AA143" s="51"/>
      <c r="AB143" s="51"/>
      <c r="AC143" s="1"/>
      <c r="AD143" s="1"/>
      <c r="AE143" s="1"/>
      <c r="AH143" s="1"/>
      <c r="AI143" s="1"/>
      <c r="AJ143" s="1"/>
      <c r="AK143" s="1"/>
      <c r="AL143" s="1"/>
      <c r="AM143" s="1"/>
      <c r="AN143" s="1"/>
      <c r="AO143" s="1"/>
      <c r="AP143" s="1"/>
      <c r="AQ143" s="1"/>
      <c r="AR143" s="1"/>
      <c r="AS143" s="6"/>
      <c r="AT143" s="6"/>
      <c r="AU143" s="6"/>
      <c r="AW143" s="1"/>
    </row>
    <row r="144" spans="2:49">
      <c r="B144" s="1"/>
      <c r="C144" s="9"/>
      <c r="F144" s="9"/>
      <c r="G144" s="1"/>
      <c r="I144" s="1"/>
      <c r="J144" s="1"/>
      <c r="R144" s="52"/>
      <c r="S144" s="52"/>
      <c r="T144" s="52"/>
      <c r="U144" s="52"/>
      <c r="V144" s="52"/>
      <c r="W144" s="52"/>
      <c r="X144" s="52"/>
      <c r="Y144" s="896"/>
      <c r="Z144" s="52"/>
      <c r="AA144" s="51"/>
      <c r="AB144" s="51"/>
      <c r="AC144" s="1"/>
      <c r="AD144" s="1"/>
      <c r="AE144" s="1"/>
      <c r="AH144" s="1"/>
      <c r="AI144" s="1"/>
      <c r="AJ144" s="1"/>
      <c r="AK144" s="1"/>
      <c r="AL144" s="1"/>
      <c r="AM144" s="1"/>
      <c r="AN144" s="1"/>
      <c r="AO144" s="1"/>
      <c r="AP144" s="1"/>
      <c r="AQ144" s="1"/>
      <c r="AR144" s="1"/>
      <c r="AS144" s="6"/>
      <c r="AT144" s="6"/>
      <c r="AU144" s="6"/>
      <c r="AW144" s="1"/>
    </row>
    <row r="145" spans="2:49">
      <c r="B145" s="1"/>
      <c r="C145" s="9"/>
      <c r="F145" s="9"/>
      <c r="G145" s="1"/>
      <c r="I145" s="1"/>
      <c r="J145" s="1"/>
      <c r="R145" s="52"/>
      <c r="S145" s="52"/>
      <c r="T145" s="52"/>
      <c r="U145" s="52"/>
      <c r="V145" s="52"/>
      <c r="W145" s="52"/>
      <c r="X145" s="52"/>
      <c r="Y145" s="896"/>
      <c r="Z145" s="52"/>
      <c r="AA145" s="51"/>
      <c r="AB145" s="51"/>
      <c r="AC145" s="1"/>
      <c r="AD145" s="1"/>
      <c r="AE145" s="1"/>
      <c r="AH145" s="1"/>
      <c r="AI145" s="1"/>
      <c r="AJ145" s="1"/>
      <c r="AK145" s="1"/>
      <c r="AL145" s="1"/>
      <c r="AM145" s="1"/>
      <c r="AN145" s="1"/>
      <c r="AO145" s="1"/>
      <c r="AP145" s="1"/>
      <c r="AQ145" s="1"/>
      <c r="AR145" s="1"/>
      <c r="AS145" s="6"/>
      <c r="AT145" s="6"/>
      <c r="AU145" s="6"/>
      <c r="AW145" s="1"/>
    </row>
    <row r="146" spans="2:49">
      <c r="B146" s="1"/>
      <c r="C146" s="9"/>
      <c r="F146" s="9"/>
      <c r="G146" s="1"/>
      <c r="I146" s="1"/>
      <c r="J146" s="1"/>
      <c r="R146" s="52"/>
      <c r="S146" s="52"/>
      <c r="T146" s="52"/>
      <c r="U146" s="52"/>
      <c r="V146" s="52"/>
      <c r="W146" s="52"/>
      <c r="X146" s="52"/>
      <c r="Y146" s="896"/>
      <c r="Z146" s="52"/>
      <c r="AA146" s="51"/>
      <c r="AB146" s="51"/>
      <c r="AC146" s="1"/>
      <c r="AD146" s="1"/>
      <c r="AE146" s="1"/>
      <c r="AH146" s="1"/>
      <c r="AI146" s="1"/>
      <c r="AJ146" s="1"/>
      <c r="AK146" s="1"/>
      <c r="AL146" s="1"/>
      <c r="AM146" s="1"/>
      <c r="AN146" s="1"/>
      <c r="AO146" s="1"/>
      <c r="AP146" s="1"/>
      <c r="AQ146" s="1"/>
      <c r="AR146" s="1"/>
      <c r="AS146" s="6"/>
      <c r="AT146" s="6"/>
      <c r="AU146" s="6"/>
      <c r="AW146" s="1"/>
    </row>
    <row r="147" spans="2:49">
      <c r="B147" s="1"/>
      <c r="C147" s="9"/>
      <c r="F147" s="9"/>
      <c r="G147" s="1"/>
      <c r="I147" s="1"/>
      <c r="J147" s="1"/>
      <c r="R147" s="52"/>
      <c r="S147" s="52"/>
      <c r="T147" s="52"/>
      <c r="U147" s="52"/>
      <c r="V147" s="52"/>
      <c r="W147" s="52"/>
      <c r="X147" s="52"/>
      <c r="Y147" s="896"/>
      <c r="Z147" s="52"/>
      <c r="AA147" s="51"/>
      <c r="AB147" s="51"/>
      <c r="AC147" s="1"/>
      <c r="AD147" s="1"/>
      <c r="AE147" s="1"/>
      <c r="AH147" s="1"/>
      <c r="AI147" s="1"/>
      <c r="AJ147" s="1"/>
      <c r="AK147" s="1"/>
      <c r="AL147" s="1"/>
      <c r="AM147" s="1"/>
      <c r="AN147" s="1"/>
      <c r="AO147" s="1"/>
      <c r="AP147" s="1"/>
      <c r="AQ147" s="1"/>
      <c r="AR147" s="1"/>
      <c r="AS147" s="6"/>
      <c r="AT147" s="6"/>
      <c r="AU147" s="6"/>
      <c r="AW147" s="1"/>
    </row>
    <row r="148" spans="2:49">
      <c r="B148" s="1"/>
      <c r="C148" s="9"/>
      <c r="F148" s="9"/>
      <c r="G148" s="1"/>
      <c r="I148" s="1"/>
      <c r="J148" s="1"/>
      <c r="R148" s="52"/>
      <c r="S148" s="52"/>
      <c r="T148" s="52"/>
      <c r="U148" s="52"/>
      <c r="V148" s="52"/>
      <c r="W148" s="52"/>
      <c r="X148" s="52"/>
      <c r="Y148" s="896"/>
      <c r="Z148" s="52"/>
      <c r="AA148" s="51"/>
      <c r="AB148" s="51"/>
      <c r="AC148" s="1"/>
      <c r="AD148" s="1"/>
      <c r="AE148" s="1"/>
      <c r="AH148" s="1"/>
      <c r="AI148" s="1"/>
      <c r="AJ148" s="1"/>
      <c r="AK148" s="1"/>
      <c r="AL148" s="1"/>
      <c r="AM148" s="1"/>
      <c r="AN148" s="1"/>
      <c r="AO148" s="1"/>
      <c r="AP148" s="1"/>
      <c r="AQ148" s="1"/>
      <c r="AR148" s="1"/>
      <c r="AS148" s="6"/>
      <c r="AT148" s="6"/>
      <c r="AU148" s="6"/>
      <c r="AW148" s="1"/>
    </row>
    <row r="149" spans="2:49">
      <c r="B149" s="1"/>
      <c r="C149" s="9"/>
      <c r="F149" s="9"/>
      <c r="G149" s="1"/>
      <c r="I149" s="1"/>
      <c r="J149" s="1"/>
      <c r="R149" s="52"/>
      <c r="S149" s="52"/>
      <c r="T149" s="52"/>
      <c r="U149" s="52"/>
      <c r="V149" s="52"/>
      <c r="W149" s="52"/>
      <c r="X149" s="52"/>
      <c r="Y149" s="896"/>
      <c r="Z149" s="52"/>
      <c r="AA149" s="51"/>
      <c r="AB149" s="51"/>
      <c r="AC149" s="1"/>
      <c r="AD149" s="1"/>
      <c r="AE149" s="1"/>
      <c r="AH149" s="1"/>
      <c r="AI149" s="1"/>
      <c r="AJ149" s="1"/>
      <c r="AK149" s="1"/>
      <c r="AL149" s="1"/>
      <c r="AM149" s="1"/>
      <c r="AN149" s="1"/>
      <c r="AO149" s="1"/>
      <c r="AP149" s="1"/>
      <c r="AQ149" s="1"/>
      <c r="AR149" s="1"/>
      <c r="AS149" s="6"/>
      <c r="AT149" s="6"/>
      <c r="AU149" s="6"/>
      <c r="AW149" s="1"/>
    </row>
    <row r="150" spans="2:49">
      <c r="B150" s="1"/>
      <c r="C150" s="9"/>
      <c r="F150" s="9"/>
      <c r="G150" s="1"/>
      <c r="I150" s="1"/>
      <c r="J150" s="1"/>
      <c r="R150" s="52"/>
      <c r="S150" s="52"/>
      <c r="T150" s="52"/>
      <c r="U150" s="52"/>
      <c r="V150" s="52"/>
      <c r="W150" s="52"/>
      <c r="X150" s="52"/>
      <c r="Y150" s="896"/>
      <c r="Z150" s="52"/>
      <c r="AA150" s="51"/>
      <c r="AB150" s="51"/>
      <c r="AC150" s="1"/>
      <c r="AD150" s="1"/>
      <c r="AE150" s="1"/>
      <c r="AH150" s="1"/>
      <c r="AI150" s="1"/>
      <c r="AJ150" s="1"/>
      <c r="AK150" s="1"/>
      <c r="AL150" s="1"/>
      <c r="AM150" s="1"/>
      <c r="AN150" s="1"/>
      <c r="AO150" s="1"/>
      <c r="AP150" s="1"/>
      <c r="AQ150" s="1"/>
      <c r="AR150" s="1"/>
      <c r="AS150" s="6"/>
      <c r="AT150" s="6"/>
      <c r="AU150" s="6"/>
      <c r="AW150" s="1"/>
    </row>
    <row r="151" spans="2:49">
      <c r="B151" s="1"/>
      <c r="C151" s="9"/>
      <c r="F151" s="9"/>
      <c r="G151" s="1"/>
      <c r="I151" s="1"/>
      <c r="J151" s="1"/>
      <c r="R151" s="52"/>
      <c r="S151" s="52"/>
      <c r="T151" s="52"/>
      <c r="U151" s="52"/>
      <c r="V151" s="52"/>
      <c r="W151" s="52"/>
      <c r="X151" s="52"/>
      <c r="Y151" s="896"/>
      <c r="Z151" s="52"/>
      <c r="AA151" s="51"/>
      <c r="AB151" s="51"/>
      <c r="AC151" s="1"/>
      <c r="AD151" s="1"/>
      <c r="AE151" s="1"/>
      <c r="AH151" s="1"/>
      <c r="AI151" s="1"/>
      <c r="AJ151" s="1"/>
      <c r="AK151" s="1"/>
      <c r="AL151" s="1"/>
      <c r="AM151" s="1"/>
      <c r="AN151" s="1"/>
      <c r="AO151" s="1"/>
      <c r="AP151" s="1"/>
      <c r="AQ151" s="1"/>
      <c r="AR151" s="1"/>
      <c r="AS151" s="6"/>
      <c r="AT151" s="6"/>
      <c r="AU151" s="6"/>
      <c r="AW151" s="1"/>
    </row>
    <row r="152" spans="2:49">
      <c r="B152" s="1"/>
      <c r="C152" s="9"/>
      <c r="F152" s="9"/>
      <c r="G152" s="1"/>
      <c r="I152" s="1"/>
      <c r="J152" s="1"/>
      <c r="R152" s="52"/>
      <c r="S152" s="52"/>
      <c r="T152" s="52"/>
      <c r="U152" s="52"/>
      <c r="V152" s="52"/>
      <c r="W152" s="52"/>
      <c r="X152" s="52"/>
      <c r="Y152" s="896"/>
      <c r="Z152" s="52"/>
      <c r="AA152" s="51"/>
      <c r="AB152" s="51"/>
      <c r="AC152" s="1"/>
      <c r="AD152" s="1"/>
      <c r="AE152" s="1"/>
      <c r="AH152" s="1"/>
      <c r="AI152" s="1"/>
      <c r="AJ152" s="1"/>
      <c r="AK152" s="1"/>
      <c r="AL152" s="1"/>
      <c r="AM152" s="1"/>
      <c r="AN152" s="1"/>
      <c r="AO152" s="1"/>
      <c r="AP152" s="1"/>
      <c r="AQ152" s="1"/>
      <c r="AR152" s="1"/>
      <c r="AS152" s="6"/>
      <c r="AT152" s="6"/>
      <c r="AU152" s="6"/>
      <c r="AW152" s="1"/>
    </row>
    <row r="153" spans="2:49">
      <c r="B153" s="1"/>
      <c r="C153" s="9"/>
      <c r="F153" s="9"/>
      <c r="G153" s="1"/>
      <c r="I153" s="1"/>
      <c r="J153" s="1"/>
      <c r="R153" s="52"/>
      <c r="S153" s="52"/>
      <c r="T153" s="52"/>
      <c r="U153" s="52"/>
      <c r="V153" s="52"/>
      <c r="W153" s="52"/>
      <c r="X153" s="52"/>
      <c r="Y153" s="896"/>
      <c r="Z153" s="52"/>
      <c r="AA153" s="51"/>
      <c r="AB153" s="51"/>
      <c r="AC153" s="1"/>
      <c r="AD153" s="1"/>
      <c r="AE153" s="1"/>
      <c r="AH153" s="1"/>
      <c r="AI153" s="1"/>
      <c r="AJ153" s="1"/>
      <c r="AK153" s="1"/>
      <c r="AL153" s="1"/>
      <c r="AM153" s="1"/>
      <c r="AN153" s="1"/>
      <c r="AO153" s="1"/>
      <c r="AP153" s="1"/>
      <c r="AQ153" s="1"/>
      <c r="AR153" s="1"/>
      <c r="AS153" s="6"/>
      <c r="AT153" s="6"/>
      <c r="AU153" s="6"/>
      <c r="AW153" s="1"/>
    </row>
    <row r="154" spans="2:49">
      <c r="B154" s="1"/>
      <c r="C154" s="9"/>
      <c r="F154" s="9"/>
      <c r="G154" s="1"/>
      <c r="I154" s="1"/>
      <c r="J154" s="1"/>
      <c r="R154" s="52"/>
      <c r="S154" s="52"/>
      <c r="T154" s="52"/>
      <c r="U154" s="52"/>
      <c r="V154" s="52"/>
      <c r="W154" s="52"/>
      <c r="X154" s="52"/>
      <c r="Y154" s="896"/>
      <c r="Z154" s="52"/>
      <c r="AA154" s="51"/>
      <c r="AB154" s="51"/>
      <c r="AC154" s="1"/>
      <c r="AD154" s="1"/>
      <c r="AE154" s="1"/>
      <c r="AH154" s="1"/>
      <c r="AI154" s="1"/>
      <c r="AJ154" s="1"/>
      <c r="AK154" s="1"/>
      <c r="AL154" s="1"/>
      <c r="AM154" s="1"/>
      <c r="AN154" s="1"/>
      <c r="AO154" s="1"/>
      <c r="AP154" s="1"/>
      <c r="AQ154" s="1"/>
      <c r="AR154" s="1"/>
      <c r="AS154" s="6"/>
      <c r="AT154" s="6"/>
      <c r="AU154" s="6"/>
      <c r="AW154" s="1"/>
    </row>
    <row r="155" spans="2:49">
      <c r="B155" s="1"/>
      <c r="C155" s="9"/>
      <c r="F155" s="9"/>
      <c r="G155" s="1"/>
      <c r="I155" s="1"/>
      <c r="J155" s="1"/>
      <c r="R155" s="52"/>
      <c r="S155" s="52"/>
      <c r="T155" s="52"/>
      <c r="U155" s="52"/>
      <c r="V155" s="52"/>
      <c r="W155" s="52"/>
      <c r="X155" s="52"/>
      <c r="Y155" s="896"/>
      <c r="Z155" s="52"/>
      <c r="AA155" s="51"/>
      <c r="AB155" s="51"/>
      <c r="AC155" s="1"/>
      <c r="AD155" s="1"/>
      <c r="AE155" s="1"/>
      <c r="AF155" s="653"/>
      <c r="AG155" s="653"/>
      <c r="AH155" s="1"/>
      <c r="AI155" s="1"/>
      <c r="AJ155" s="1"/>
      <c r="AK155" s="1"/>
      <c r="AL155" s="1"/>
      <c r="AM155" s="1"/>
      <c r="AN155" s="1"/>
      <c r="AO155" s="1"/>
      <c r="AP155" s="1"/>
      <c r="AQ155" s="1"/>
      <c r="AR155" s="1"/>
      <c r="AS155" s="6"/>
      <c r="AT155" s="6"/>
      <c r="AU155" s="6"/>
      <c r="AW155" s="1"/>
    </row>
    <row r="156" spans="2:49">
      <c r="B156" s="1"/>
      <c r="C156" s="9"/>
      <c r="F156" s="9"/>
      <c r="G156" s="1"/>
      <c r="I156" s="1"/>
      <c r="J156" s="1"/>
      <c r="R156" s="52"/>
      <c r="S156" s="52"/>
      <c r="T156" s="52"/>
      <c r="U156" s="52"/>
      <c r="V156" s="52"/>
      <c r="W156" s="52"/>
      <c r="X156" s="52"/>
      <c r="Y156" s="896"/>
      <c r="Z156" s="52"/>
      <c r="AA156" s="51"/>
      <c r="AB156" s="51"/>
      <c r="AC156" s="1"/>
      <c r="AD156" s="1"/>
      <c r="AE156" s="1"/>
      <c r="AH156" s="1"/>
      <c r="AI156" s="1"/>
      <c r="AJ156" s="1"/>
      <c r="AK156" s="1"/>
      <c r="AL156" s="1"/>
      <c r="AM156" s="1"/>
      <c r="AN156" s="1"/>
      <c r="AO156" s="1"/>
      <c r="AP156" s="1"/>
      <c r="AQ156" s="1"/>
      <c r="AR156" s="1"/>
      <c r="AS156" s="6"/>
      <c r="AT156" s="6"/>
      <c r="AU156" s="6"/>
      <c r="AW156" s="1"/>
    </row>
    <row r="157" spans="2:49">
      <c r="B157" s="1"/>
      <c r="C157" s="9"/>
      <c r="F157" s="9"/>
      <c r="G157" s="1"/>
      <c r="I157" s="1"/>
      <c r="J157" s="1"/>
      <c r="R157" s="52"/>
      <c r="S157" s="52"/>
      <c r="T157" s="52"/>
      <c r="U157" s="52"/>
      <c r="V157" s="52"/>
      <c r="W157" s="52"/>
      <c r="X157" s="52"/>
      <c r="Y157" s="896"/>
      <c r="Z157" s="52"/>
      <c r="AA157" s="51"/>
      <c r="AB157" s="51"/>
      <c r="AC157" s="1"/>
      <c r="AD157" s="1"/>
      <c r="AE157" s="1"/>
      <c r="AH157" s="1"/>
      <c r="AI157" s="1"/>
      <c r="AJ157" s="1"/>
      <c r="AK157" s="1"/>
      <c r="AL157" s="1"/>
      <c r="AM157" s="1"/>
      <c r="AN157" s="1"/>
      <c r="AO157" s="1"/>
      <c r="AP157" s="1"/>
      <c r="AQ157" s="1"/>
      <c r="AR157" s="1"/>
      <c r="AS157" s="6"/>
      <c r="AT157" s="6"/>
      <c r="AU157" s="6"/>
      <c r="AW157" s="1"/>
    </row>
    <row r="158" spans="2:49">
      <c r="B158" s="1"/>
      <c r="C158" s="9"/>
      <c r="F158" s="9"/>
      <c r="G158" s="1"/>
      <c r="I158" s="1"/>
      <c r="J158" s="1"/>
      <c r="R158" s="52"/>
      <c r="S158" s="52"/>
      <c r="T158" s="52"/>
      <c r="U158" s="52"/>
      <c r="V158" s="52"/>
      <c r="W158" s="52"/>
      <c r="X158" s="52"/>
      <c r="Y158" s="896"/>
      <c r="Z158" s="52"/>
      <c r="AA158" s="51"/>
      <c r="AB158" s="51"/>
      <c r="AC158" s="1"/>
      <c r="AD158" s="1"/>
      <c r="AE158" s="1"/>
      <c r="AH158" s="1"/>
      <c r="AI158" s="1"/>
      <c r="AJ158" s="1"/>
      <c r="AK158" s="1"/>
      <c r="AL158" s="1"/>
      <c r="AM158" s="1"/>
      <c r="AN158" s="1"/>
      <c r="AO158" s="1"/>
      <c r="AP158" s="1"/>
      <c r="AQ158" s="1"/>
      <c r="AR158" s="1"/>
      <c r="AS158" s="6"/>
      <c r="AT158" s="6"/>
      <c r="AU158" s="6"/>
      <c r="AW158" s="1"/>
    </row>
    <row r="159" spans="2:49">
      <c r="B159" s="1"/>
      <c r="C159" s="9"/>
      <c r="F159" s="9"/>
      <c r="G159" s="1"/>
      <c r="I159" s="1"/>
      <c r="J159" s="1"/>
      <c r="R159" s="52"/>
      <c r="S159" s="52"/>
      <c r="T159" s="52"/>
      <c r="U159" s="52"/>
      <c r="V159" s="52"/>
      <c r="W159" s="52"/>
      <c r="X159" s="52"/>
      <c r="Y159" s="896"/>
      <c r="Z159" s="52"/>
      <c r="AA159" s="51"/>
      <c r="AB159" s="51"/>
      <c r="AC159" s="1"/>
      <c r="AD159" s="1"/>
      <c r="AE159" s="1"/>
      <c r="AH159" s="1"/>
      <c r="AI159" s="1"/>
      <c r="AJ159" s="1"/>
      <c r="AK159" s="1"/>
      <c r="AL159" s="1"/>
      <c r="AM159" s="1"/>
      <c r="AN159" s="1"/>
      <c r="AO159" s="1"/>
      <c r="AP159" s="1"/>
      <c r="AQ159" s="1"/>
      <c r="AR159" s="1"/>
      <c r="AS159" s="6"/>
      <c r="AT159" s="6"/>
      <c r="AU159" s="6"/>
      <c r="AW159" s="1"/>
    </row>
    <row r="160" spans="2:49">
      <c r="B160" s="1"/>
      <c r="C160" s="9"/>
      <c r="F160" s="9"/>
      <c r="G160" s="1"/>
      <c r="I160" s="1"/>
      <c r="J160" s="1"/>
      <c r="R160" s="52"/>
      <c r="S160" s="52"/>
      <c r="T160" s="52"/>
      <c r="U160" s="52"/>
      <c r="V160" s="52"/>
      <c r="W160" s="52"/>
      <c r="X160" s="52"/>
      <c r="Y160" s="896"/>
      <c r="Z160" s="52"/>
      <c r="AA160" s="51"/>
      <c r="AB160" s="51"/>
      <c r="AC160" s="1"/>
      <c r="AD160" s="1"/>
      <c r="AE160" s="1"/>
      <c r="AH160" s="1"/>
      <c r="AI160" s="1"/>
      <c r="AJ160" s="1"/>
      <c r="AK160" s="1"/>
      <c r="AL160" s="1"/>
      <c r="AM160" s="1"/>
      <c r="AN160" s="1"/>
      <c r="AO160" s="1"/>
      <c r="AP160" s="1"/>
      <c r="AQ160" s="1"/>
      <c r="AR160" s="1"/>
      <c r="AS160" s="6"/>
      <c r="AT160" s="6"/>
      <c r="AU160" s="6"/>
      <c r="AW160" s="1"/>
    </row>
    <row r="161" spans="2:49">
      <c r="B161" s="1"/>
      <c r="C161" s="9"/>
      <c r="F161" s="9"/>
      <c r="G161" s="1"/>
      <c r="I161" s="1"/>
      <c r="J161" s="1"/>
      <c r="R161" s="52"/>
      <c r="S161" s="52"/>
      <c r="T161" s="52"/>
      <c r="U161" s="52"/>
      <c r="V161" s="52"/>
      <c r="W161" s="52"/>
      <c r="X161" s="52"/>
      <c r="Y161" s="896"/>
      <c r="Z161" s="52"/>
      <c r="AA161" s="51"/>
      <c r="AB161" s="51"/>
      <c r="AC161" s="1"/>
      <c r="AD161" s="1"/>
      <c r="AE161" s="1"/>
      <c r="AH161" s="1"/>
      <c r="AI161" s="1"/>
      <c r="AJ161" s="1"/>
      <c r="AK161" s="1"/>
      <c r="AL161" s="1"/>
      <c r="AM161" s="1"/>
      <c r="AN161" s="1"/>
      <c r="AO161" s="1"/>
      <c r="AP161" s="1"/>
      <c r="AQ161" s="1"/>
      <c r="AR161" s="1"/>
      <c r="AS161" s="6"/>
      <c r="AT161" s="6"/>
      <c r="AU161" s="6"/>
      <c r="AW161" s="1"/>
    </row>
    <row r="162" spans="2:49">
      <c r="B162" s="1"/>
      <c r="C162" s="9"/>
      <c r="F162" s="9"/>
      <c r="G162" s="1"/>
      <c r="I162" s="1"/>
      <c r="J162" s="1"/>
      <c r="R162" s="52"/>
      <c r="S162" s="52"/>
      <c r="T162" s="52"/>
      <c r="U162" s="52"/>
      <c r="V162" s="52"/>
      <c r="W162" s="52"/>
      <c r="X162" s="52"/>
      <c r="Y162" s="896"/>
      <c r="Z162" s="52"/>
      <c r="AA162" s="51"/>
      <c r="AB162" s="51"/>
      <c r="AC162" s="1"/>
      <c r="AD162" s="1"/>
      <c r="AE162" s="1"/>
      <c r="AH162" s="1"/>
      <c r="AI162" s="1"/>
      <c r="AJ162" s="1"/>
      <c r="AK162" s="1"/>
      <c r="AL162" s="1"/>
      <c r="AM162" s="1"/>
      <c r="AN162" s="1"/>
      <c r="AO162" s="1"/>
      <c r="AP162" s="1"/>
      <c r="AQ162" s="1"/>
      <c r="AR162" s="1"/>
      <c r="AS162" s="6"/>
      <c r="AT162" s="6"/>
      <c r="AU162" s="6"/>
      <c r="AW162" s="1"/>
    </row>
    <row r="163" spans="2:49">
      <c r="B163" s="1"/>
      <c r="C163" s="9"/>
      <c r="F163" s="9"/>
      <c r="G163" s="1"/>
      <c r="I163" s="1"/>
      <c r="J163" s="1"/>
      <c r="R163" s="52"/>
      <c r="S163" s="52"/>
      <c r="T163" s="52"/>
      <c r="U163" s="52"/>
      <c r="V163" s="52"/>
      <c r="W163" s="52"/>
      <c r="X163" s="52"/>
      <c r="Y163" s="896"/>
      <c r="Z163" s="52"/>
      <c r="AA163" s="51"/>
      <c r="AB163" s="51"/>
      <c r="AC163" s="1"/>
      <c r="AD163" s="1"/>
      <c r="AE163" s="1"/>
      <c r="AH163" s="1"/>
      <c r="AI163" s="1"/>
      <c r="AJ163" s="1"/>
      <c r="AK163" s="1"/>
      <c r="AL163" s="1"/>
      <c r="AM163" s="1"/>
      <c r="AN163" s="1"/>
      <c r="AO163" s="1"/>
      <c r="AP163" s="1"/>
      <c r="AQ163" s="1"/>
      <c r="AR163" s="1"/>
      <c r="AS163" s="6"/>
      <c r="AT163" s="6"/>
      <c r="AU163" s="6"/>
      <c r="AW163" s="1"/>
    </row>
    <row r="164" spans="2:49">
      <c r="B164" s="1"/>
      <c r="C164" s="9"/>
      <c r="F164" s="9"/>
      <c r="G164" s="1"/>
      <c r="I164" s="1"/>
      <c r="J164" s="1"/>
      <c r="R164" s="52"/>
      <c r="S164" s="52"/>
      <c r="T164" s="52"/>
      <c r="U164" s="52"/>
      <c r="V164" s="52"/>
      <c r="W164" s="52"/>
      <c r="X164" s="52"/>
      <c r="Y164" s="896"/>
      <c r="Z164" s="52"/>
      <c r="AA164" s="51"/>
      <c r="AB164" s="51"/>
      <c r="AC164" s="1"/>
      <c r="AD164" s="1"/>
      <c r="AE164" s="1"/>
      <c r="AH164" s="1"/>
      <c r="AI164" s="1"/>
      <c r="AJ164" s="1"/>
      <c r="AK164" s="1"/>
      <c r="AL164" s="1"/>
      <c r="AM164" s="1"/>
      <c r="AN164" s="1"/>
      <c r="AO164" s="1"/>
      <c r="AP164" s="1"/>
      <c r="AQ164" s="1"/>
      <c r="AR164" s="1"/>
      <c r="AS164" s="6"/>
      <c r="AT164" s="6"/>
      <c r="AU164" s="6"/>
      <c r="AW164" s="1"/>
    </row>
    <row r="165" spans="2:49">
      <c r="B165" s="1"/>
      <c r="C165" s="9"/>
      <c r="F165" s="9"/>
      <c r="G165" s="1"/>
      <c r="I165" s="1"/>
      <c r="J165" s="1"/>
      <c r="R165" s="52"/>
      <c r="S165" s="52"/>
      <c r="T165" s="52"/>
      <c r="U165" s="52"/>
      <c r="V165" s="52"/>
      <c r="W165" s="52"/>
      <c r="X165" s="52"/>
      <c r="Y165" s="896"/>
      <c r="Z165" s="52"/>
      <c r="AA165" s="51"/>
      <c r="AB165" s="51"/>
      <c r="AC165" s="1"/>
      <c r="AD165" s="1"/>
      <c r="AE165" s="1"/>
      <c r="AF165" s="456"/>
      <c r="AG165" s="456"/>
      <c r="AH165" s="1"/>
      <c r="AI165" s="1"/>
      <c r="AJ165" s="1"/>
      <c r="AK165" s="1"/>
      <c r="AL165" s="1"/>
      <c r="AM165" s="1"/>
      <c r="AN165" s="1"/>
      <c r="AO165" s="1"/>
      <c r="AP165" s="1"/>
      <c r="AQ165" s="1"/>
      <c r="AR165" s="1"/>
      <c r="AS165" s="6"/>
      <c r="AT165" s="6"/>
      <c r="AU165" s="6"/>
      <c r="AW165" s="1"/>
    </row>
    <row r="166" spans="2:49">
      <c r="B166" s="1"/>
      <c r="C166" s="9"/>
      <c r="F166" s="9"/>
      <c r="G166" s="1"/>
      <c r="I166" s="1"/>
      <c r="J166" s="1"/>
      <c r="R166" s="52"/>
      <c r="S166" s="52"/>
      <c r="T166" s="52"/>
      <c r="U166" s="52"/>
      <c r="V166" s="52"/>
      <c r="W166" s="52"/>
      <c r="X166" s="52"/>
      <c r="Y166" s="896"/>
      <c r="Z166" s="52"/>
      <c r="AA166" s="51"/>
      <c r="AB166" s="51"/>
      <c r="AC166" s="1"/>
      <c r="AD166" s="1"/>
      <c r="AE166" s="1"/>
      <c r="AH166" s="1"/>
      <c r="AI166" s="1"/>
      <c r="AJ166" s="1"/>
      <c r="AK166" s="1"/>
      <c r="AL166" s="1"/>
      <c r="AM166" s="1"/>
      <c r="AN166" s="1"/>
      <c r="AO166" s="1"/>
      <c r="AP166" s="1"/>
      <c r="AQ166" s="1"/>
      <c r="AR166" s="1"/>
      <c r="AS166" s="6"/>
      <c r="AT166" s="6"/>
      <c r="AU166" s="6"/>
      <c r="AW166" s="1"/>
    </row>
    <row r="167" spans="2:49">
      <c r="B167" s="1"/>
      <c r="C167" s="9"/>
      <c r="F167" s="9"/>
      <c r="G167" s="1"/>
      <c r="I167" s="1"/>
      <c r="J167" s="1"/>
      <c r="R167" s="52"/>
      <c r="S167" s="52"/>
      <c r="T167" s="52"/>
      <c r="U167" s="52"/>
      <c r="V167" s="52"/>
      <c r="W167" s="52"/>
      <c r="X167" s="52"/>
      <c r="Y167" s="896"/>
      <c r="Z167" s="52"/>
      <c r="AA167" s="51"/>
      <c r="AB167" s="51"/>
      <c r="AC167" s="1"/>
      <c r="AD167" s="1"/>
      <c r="AE167" s="1"/>
      <c r="AH167" s="1"/>
      <c r="AI167" s="1"/>
      <c r="AJ167" s="1"/>
      <c r="AK167" s="1"/>
      <c r="AL167" s="1"/>
      <c r="AM167" s="1"/>
      <c r="AN167" s="1"/>
      <c r="AO167" s="1"/>
      <c r="AP167" s="1"/>
      <c r="AQ167" s="1"/>
      <c r="AR167" s="1"/>
      <c r="AS167" s="6"/>
      <c r="AT167" s="6"/>
      <c r="AU167" s="6"/>
      <c r="AW167" s="1"/>
    </row>
    <row r="168" spans="2:49">
      <c r="B168" s="1"/>
      <c r="C168" s="9"/>
      <c r="F168" s="9"/>
      <c r="G168" s="1"/>
      <c r="I168" s="1"/>
      <c r="J168" s="1"/>
      <c r="R168" s="52"/>
      <c r="S168" s="52"/>
      <c r="T168" s="52"/>
      <c r="U168" s="52"/>
      <c r="V168" s="52"/>
      <c r="W168" s="52"/>
      <c r="X168" s="52"/>
      <c r="Y168" s="896"/>
      <c r="Z168" s="52"/>
      <c r="AA168" s="51"/>
      <c r="AB168" s="51"/>
      <c r="AC168" s="1"/>
      <c r="AD168" s="1"/>
      <c r="AE168" s="1"/>
      <c r="AH168" s="1"/>
      <c r="AI168" s="1"/>
      <c r="AJ168" s="1"/>
      <c r="AK168" s="1"/>
      <c r="AL168" s="1"/>
      <c r="AM168" s="1"/>
      <c r="AN168" s="1"/>
      <c r="AO168" s="1"/>
      <c r="AP168" s="1"/>
      <c r="AQ168" s="1"/>
      <c r="AR168" s="1"/>
      <c r="AS168" s="6"/>
      <c r="AT168" s="6"/>
      <c r="AU168" s="6"/>
      <c r="AW168" s="1"/>
    </row>
    <row r="169" spans="2:49">
      <c r="B169" s="1"/>
      <c r="C169" s="9"/>
      <c r="F169" s="9"/>
      <c r="G169" s="1"/>
      <c r="I169" s="1"/>
      <c r="J169" s="1"/>
      <c r="R169" s="52"/>
      <c r="S169" s="52"/>
      <c r="T169" s="52"/>
      <c r="U169" s="52"/>
      <c r="V169" s="52"/>
      <c r="W169" s="52"/>
      <c r="X169" s="52"/>
      <c r="Y169" s="896"/>
      <c r="Z169" s="52"/>
      <c r="AA169" s="51"/>
      <c r="AB169" s="51"/>
      <c r="AC169" s="1"/>
      <c r="AD169" s="1"/>
      <c r="AE169" s="1"/>
      <c r="AF169" s="1"/>
      <c r="AG169" s="1"/>
      <c r="AH169" s="1"/>
      <c r="AI169" s="1"/>
      <c r="AJ169" s="1"/>
      <c r="AK169" s="1"/>
      <c r="AL169" s="1"/>
      <c r="AM169" s="1"/>
      <c r="AN169" s="1"/>
      <c r="AO169" s="1"/>
      <c r="AP169" s="1"/>
      <c r="AQ169" s="1"/>
      <c r="AR169" s="1"/>
      <c r="AS169" s="6"/>
      <c r="AT169" s="6"/>
      <c r="AU169" s="6"/>
      <c r="AW169" s="1"/>
    </row>
    <row r="170" spans="2:49">
      <c r="B170" s="1"/>
      <c r="C170" s="9"/>
      <c r="F170" s="9"/>
      <c r="G170" s="1"/>
      <c r="I170" s="1"/>
      <c r="J170" s="1"/>
      <c r="R170" s="52"/>
      <c r="S170" s="52"/>
      <c r="T170" s="52"/>
      <c r="U170" s="52"/>
      <c r="V170" s="52"/>
      <c r="W170" s="52"/>
      <c r="X170" s="52"/>
      <c r="Y170" s="896"/>
      <c r="Z170" s="52"/>
      <c r="AA170" s="51"/>
      <c r="AB170" s="51"/>
      <c r="AC170" s="1"/>
      <c r="AD170" s="1"/>
      <c r="AE170" s="1"/>
      <c r="AF170" s="1"/>
      <c r="AG170" s="1"/>
      <c r="AH170" s="1"/>
      <c r="AI170" s="1"/>
      <c r="AJ170" s="1"/>
      <c r="AK170" s="1"/>
      <c r="AL170" s="1"/>
      <c r="AM170" s="1"/>
      <c r="AN170" s="1"/>
      <c r="AO170" s="1"/>
      <c r="AP170" s="1"/>
      <c r="AQ170" s="1"/>
      <c r="AR170" s="1"/>
      <c r="AS170" s="6"/>
      <c r="AT170" s="6"/>
      <c r="AU170" s="6"/>
      <c r="AW170" s="1"/>
    </row>
    <row r="171" spans="2:49">
      <c r="B171" s="1"/>
      <c r="C171" s="9"/>
      <c r="F171" s="9"/>
      <c r="G171" s="1"/>
      <c r="I171" s="1"/>
      <c r="J171" s="1"/>
      <c r="R171" s="52"/>
      <c r="S171" s="52"/>
      <c r="T171" s="52"/>
      <c r="U171" s="52"/>
      <c r="V171" s="52"/>
      <c r="W171" s="52"/>
      <c r="X171" s="52"/>
      <c r="Y171" s="896"/>
      <c r="Z171" s="52"/>
      <c r="AA171" s="51"/>
      <c r="AB171" s="51"/>
      <c r="AC171" s="1"/>
      <c r="AD171" s="1"/>
      <c r="AE171" s="1"/>
      <c r="AF171" s="1"/>
      <c r="AG171" s="1"/>
      <c r="AH171" s="1"/>
      <c r="AI171" s="1"/>
      <c r="AJ171" s="1"/>
      <c r="AK171" s="1"/>
      <c r="AL171" s="1"/>
      <c r="AM171" s="1"/>
      <c r="AN171" s="1"/>
      <c r="AO171" s="1"/>
      <c r="AP171" s="1"/>
      <c r="AQ171" s="1"/>
      <c r="AR171" s="1"/>
      <c r="AS171" s="6"/>
      <c r="AT171" s="6"/>
      <c r="AU171" s="6"/>
      <c r="AW171" s="1"/>
    </row>
    <row r="172" spans="2:49">
      <c r="B172" s="1"/>
      <c r="C172" s="9"/>
      <c r="F172" s="9"/>
      <c r="G172" s="1"/>
      <c r="I172" s="1"/>
      <c r="J172" s="1"/>
      <c r="R172" s="52"/>
      <c r="S172" s="52"/>
      <c r="T172" s="52"/>
      <c r="U172" s="52"/>
      <c r="V172" s="52"/>
      <c r="W172" s="52"/>
      <c r="X172" s="52"/>
      <c r="Y172" s="896"/>
      <c r="Z172" s="52"/>
      <c r="AA172" s="51"/>
      <c r="AB172" s="51"/>
      <c r="AC172" s="1"/>
      <c r="AD172" s="1"/>
      <c r="AE172" s="1"/>
      <c r="AF172" s="1"/>
      <c r="AG172" s="1"/>
      <c r="AH172" s="1"/>
      <c r="AI172" s="1"/>
      <c r="AJ172" s="1"/>
      <c r="AK172" s="1"/>
      <c r="AL172" s="1"/>
      <c r="AM172" s="1"/>
      <c r="AN172" s="1"/>
      <c r="AO172" s="1"/>
      <c r="AP172" s="1"/>
      <c r="AQ172" s="1"/>
      <c r="AR172" s="1"/>
      <c r="AS172" s="6"/>
      <c r="AT172" s="6"/>
      <c r="AU172" s="6"/>
      <c r="AW172" s="1"/>
    </row>
    <row r="173" spans="2:49">
      <c r="B173" s="1"/>
      <c r="C173" s="9"/>
      <c r="F173" s="9"/>
      <c r="G173" s="1"/>
      <c r="I173" s="1"/>
      <c r="J173" s="1"/>
      <c r="R173" s="52"/>
      <c r="S173" s="52"/>
      <c r="T173" s="52"/>
      <c r="U173" s="52"/>
      <c r="V173" s="52"/>
      <c r="W173" s="52"/>
      <c r="X173" s="52"/>
      <c r="Y173" s="896"/>
      <c r="Z173" s="52"/>
      <c r="AA173" s="51"/>
      <c r="AB173" s="51"/>
      <c r="AC173" s="1"/>
      <c r="AD173" s="1"/>
      <c r="AE173" s="1"/>
      <c r="AF173" s="1"/>
      <c r="AG173" s="1"/>
      <c r="AH173" s="1"/>
      <c r="AI173" s="1"/>
      <c r="AJ173" s="1"/>
      <c r="AK173" s="1"/>
      <c r="AL173" s="1"/>
      <c r="AM173" s="1"/>
      <c r="AN173" s="1"/>
      <c r="AO173" s="1"/>
      <c r="AP173" s="1"/>
      <c r="AQ173" s="1"/>
      <c r="AR173" s="1"/>
      <c r="AS173" s="6"/>
      <c r="AT173" s="6"/>
      <c r="AU173" s="6"/>
      <c r="AW173" s="1"/>
    </row>
    <row r="174" spans="2:49">
      <c r="B174" s="1"/>
      <c r="C174" s="9"/>
      <c r="F174" s="9"/>
      <c r="G174" s="1"/>
      <c r="I174" s="1"/>
      <c r="J174" s="1"/>
      <c r="R174" s="52"/>
      <c r="S174" s="52"/>
      <c r="T174" s="52"/>
      <c r="U174" s="52"/>
      <c r="V174" s="52"/>
      <c r="W174" s="52"/>
      <c r="X174" s="52"/>
      <c r="Y174" s="896"/>
      <c r="Z174" s="52"/>
      <c r="AA174" s="51"/>
      <c r="AB174" s="51"/>
      <c r="AC174" s="1"/>
      <c r="AD174" s="1"/>
      <c r="AE174" s="1"/>
      <c r="AF174" s="1"/>
      <c r="AG174" s="1"/>
      <c r="AH174" s="1"/>
      <c r="AI174" s="1"/>
      <c r="AJ174" s="1"/>
      <c r="AK174" s="1"/>
      <c r="AL174" s="1"/>
      <c r="AM174" s="1"/>
      <c r="AN174" s="1"/>
      <c r="AO174" s="1"/>
      <c r="AP174" s="1"/>
      <c r="AQ174" s="1"/>
      <c r="AR174" s="1"/>
      <c r="AS174" s="6"/>
      <c r="AT174" s="6"/>
      <c r="AU174" s="6"/>
      <c r="AW174" s="1"/>
    </row>
    <row r="175" spans="2:49">
      <c r="B175" s="1"/>
      <c r="C175" s="9"/>
      <c r="F175" s="9"/>
      <c r="G175" s="1"/>
      <c r="I175" s="1"/>
      <c r="J175" s="1"/>
      <c r="R175" s="52"/>
      <c r="S175" s="52"/>
      <c r="T175" s="52"/>
      <c r="U175" s="52"/>
      <c r="V175" s="52"/>
      <c r="W175" s="52"/>
      <c r="X175" s="52"/>
      <c r="Y175" s="896"/>
      <c r="Z175" s="52"/>
      <c r="AA175" s="51"/>
      <c r="AB175" s="51"/>
      <c r="AC175" s="1"/>
      <c r="AD175" s="1"/>
      <c r="AE175" s="1"/>
      <c r="AF175" s="1"/>
      <c r="AG175" s="1"/>
      <c r="AH175" s="1"/>
      <c r="AI175" s="1"/>
      <c r="AJ175" s="1"/>
      <c r="AK175" s="1"/>
      <c r="AL175" s="1"/>
      <c r="AM175" s="1"/>
      <c r="AN175" s="1"/>
      <c r="AO175" s="1"/>
      <c r="AP175" s="1"/>
      <c r="AQ175" s="1"/>
      <c r="AR175" s="1"/>
      <c r="AS175" s="6"/>
      <c r="AT175" s="6"/>
      <c r="AU175" s="6"/>
      <c r="AW175" s="1"/>
    </row>
    <row r="176" spans="2:49">
      <c r="B176" s="1"/>
      <c r="C176" s="9"/>
      <c r="F176" s="9"/>
      <c r="G176" s="1"/>
      <c r="I176" s="1"/>
      <c r="J176" s="1"/>
      <c r="R176" s="52"/>
      <c r="S176" s="52"/>
      <c r="T176" s="52"/>
      <c r="U176" s="52"/>
      <c r="V176" s="52"/>
      <c r="W176" s="52"/>
      <c r="X176" s="52"/>
      <c r="Y176" s="896"/>
      <c r="Z176" s="52"/>
      <c r="AA176" s="51"/>
      <c r="AB176" s="51"/>
      <c r="AC176" s="1"/>
      <c r="AD176" s="1"/>
      <c r="AE176" s="1"/>
      <c r="AF176" s="1"/>
      <c r="AG176" s="1"/>
      <c r="AH176" s="1"/>
      <c r="AI176" s="1"/>
      <c r="AJ176" s="1"/>
      <c r="AK176" s="1"/>
      <c r="AL176" s="1"/>
      <c r="AM176" s="1"/>
      <c r="AN176" s="1"/>
      <c r="AO176" s="1"/>
      <c r="AP176" s="1"/>
      <c r="AQ176" s="1"/>
      <c r="AR176" s="1"/>
      <c r="AS176" s="6"/>
      <c r="AT176" s="6"/>
      <c r="AU176" s="6"/>
      <c r="AW176" s="1"/>
    </row>
    <row r="177" spans="2:49">
      <c r="B177" s="1"/>
      <c r="C177" s="9"/>
      <c r="F177" s="9"/>
      <c r="G177" s="1"/>
      <c r="I177" s="1"/>
      <c r="J177" s="1"/>
      <c r="R177" s="52"/>
      <c r="S177" s="52"/>
      <c r="T177" s="52"/>
      <c r="U177" s="52"/>
      <c r="V177" s="52"/>
      <c r="W177" s="52"/>
      <c r="X177" s="52"/>
      <c r="Y177" s="896"/>
      <c r="Z177" s="52"/>
      <c r="AA177" s="51"/>
      <c r="AB177" s="51"/>
      <c r="AC177" s="1"/>
      <c r="AD177" s="1"/>
      <c r="AE177" s="1"/>
      <c r="AF177" s="1"/>
      <c r="AG177" s="1"/>
      <c r="AH177" s="1"/>
      <c r="AI177" s="1"/>
      <c r="AJ177" s="1"/>
      <c r="AK177" s="1"/>
      <c r="AL177" s="1"/>
      <c r="AM177" s="1"/>
      <c r="AN177" s="1"/>
      <c r="AO177" s="1"/>
      <c r="AP177" s="1"/>
      <c r="AQ177" s="1"/>
      <c r="AR177" s="1"/>
      <c r="AS177" s="6"/>
      <c r="AT177" s="6"/>
      <c r="AU177" s="6"/>
      <c r="AW177" s="1"/>
    </row>
    <row r="178" spans="2:49">
      <c r="B178" s="1"/>
      <c r="C178" s="9"/>
      <c r="F178" s="9"/>
      <c r="G178" s="1"/>
      <c r="I178" s="1"/>
      <c r="J178" s="1"/>
      <c r="R178" s="52"/>
      <c r="S178" s="52"/>
      <c r="T178" s="52"/>
      <c r="U178" s="52"/>
      <c r="V178" s="52"/>
      <c r="W178" s="52"/>
      <c r="X178" s="52"/>
      <c r="Y178" s="896"/>
      <c r="Z178" s="52"/>
      <c r="AA178" s="51"/>
      <c r="AB178" s="51"/>
      <c r="AC178" s="1"/>
      <c r="AD178" s="1"/>
      <c r="AE178" s="1"/>
      <c r="AF178" s="1"/>
      <c r="AG178" s="1"/>
      <c r="AH178" s="1"/>
      <c r="AI178" s="1"/>
      <c r="AJ178" s="1"/>
      <c r="AK178" s="1"/>
      <c r="AL178" s="1"/>
      <c r="AM178" s="1"/>
      <c r="AN178" s="1"/>
      <c r="AO178" s="1"/>
      <c r="AP178" s="1"/>
      <c r="AQ178" s="1"/>
      <c r="AR178" s="1"/>
      <c r="AS178" s="6"/>
      <c r="AT178" s="6"/>
      <c r="AU178" s="6"/>
      <c r="AW178" s="1"/>
    </row>
    <row r="179" spans="2:49">
      <c r="B179" s="1"/>
      <c r="C179" s="9"/>
      <c r="F179" s="9"/>
      <c r="G179" s="1"/>
      <c r="I179" s="1"/>
      <c r="J179" s="1"/>
      <c r="R179" s="52"/>
      <c r="S179" s="52"/>
      <c r="T179" s="52"/>
      <c r="U179" s="52"/>
      <c r="V179" s="52"/>
      <c r="W179" s="52"/>
      <c r="X179" s="52"/>
      <c r="Y179" s="896"/>
      <c r="Z179" s="52"/>
      <c r="AA179" s="51"/>
      <c r="AB179" s="51"/>
      <c r="AC179" s="1"/>
      <c r="AD179" s="1"/>
      <c r="AE179" s="1"/>
      <c r="AF179" s="1"/>
      <c r="AG179" s="1"/>
      <c r="AH179" s="1"/>
      <c r="AI179" s="1"/>
      <c r="AJ179" s="1"/>
      <c r="AK179" s="1"/>
      <c r="AL179" s="1"/>
      <c r="AM179" s="1"/>
      <c r="AN179" s="1"/>
      <c r="AO179" s="1"/>
      <c r="AP179" s="1"/>
      <c r="AQ179" s="1"/>
      <c r="AR179" s="1"/>
      <c r="AS179" s="6"/>
      <c r="AT179" s="6"/>
      <c r="AU179" s="6"/>
      <c r="AW179" s="1"/>
    </row>
    <row r="180" spans="2:49">
      <c r="B180" s="1"/>
      <c r="C180" s="9"/>
      <c r="F180" s="9"/>
      <c r="G180" s="1"/>
      <c r="I180" s="1"/>
      <c r="J180" s="1"/>
      <c r="R180" s="52"/>
      <c r="S180" s="52"/>
      <c r="T180" s="52"/>
      <c r="U180" s="52"/>
      <c r="V180" s="52"/>
      <c r="W180" s="52"/>
      <c r="X180" s="52"/>
      <c r="Y180" s="896"/>
      <c r="Z180" s="52"/>
      <c r="AA180" s="51"/>
      <c r="AB180" s="51"/>
      <c r="AC180" s="1"/>
      <c r="AD180" s="1"/>
      <c r="AE180" s="1"/>
      <c r="AF180" s="1"/>
      <c r="AG180" s="1"/>
      <c r="AH180" s="1"/>
      <c r="AI180" s="1"/>
      <c r="AJ180" s="1"/>
      <c r="AK180" s="1"/>
      <c r="AL180" s="1"/>
      <c r="AM180" s="1"/>
      <c r="AN180" s="1"/>
      <c r="AO180" s="1"/>
      <c r="AP180" s="1"/>
      <c r="AQ180" s="1"/>
      <c r="AR180" s="1"/>
      <c r="AS180" s="6"/>
      <c r="AT180" s="6"/>
      <c r="AU180" s="6"/>
      <c r="AW180" s="1"/>
    </row>
    <row r="181" spans="2:49">
      <c r="B181" s="1"/>
      <c r="C181" s="9"/>
      <c r="F181" s="9"/>
      <c r="G181" s="1"/>
      <c r="I181" s="1"/>
      <c r="J181" s="1"/>
      <c r="R181" s="52"/>
      <c r="S181" s="52"/>
      <c r="T181" s="52"/>
      <c r="U181" s="52"/>
      <c r="V181" s="52"/>
      <c r="W181" s="52"/>
      <c r="X181" s="52"/>
      <c r="Y181" s="896"/>
      <c r="Z181" s="52"/>
      <c r="AA181" s="51"/>
      <c r="AB181" s="51"/>
      <c r="AC181" s="1"/>
      <c r="AD181" s="1"/>
      <c r="AE181" s="1"/>
      <c r="AF181" s="1"/>
      <c r="AG181" s="1"/>
      <c r="AH181" s="1"/>
      <c r="AI181" s="1"/>
      <c r="AJ181" s="1"/>
      <c r="AK181" s="1"/>
      <c r="AL181" s="1"/>
      <c r="AM181" s="1"/>
      <c r="AN181" s="1"/>
      <c r="AO181" s="1"/>
      <c r="AP181" s="1"/>
      <c r="AQ181" s="1"/>
      <c r="AR181" s="1"/>
      <c r="AS181" s="6"/>
      <c r="AT181" s="6"/>
      <c r="AU181" s="6"/>
      <c r="AW181" s="1"/>
    </row>
    <row r="182" spans="2:49">
      <c r="B182" s="1"/>
      <c r="C182" s="9"/>
      <c r="F182" s="9"/>
      <c r="G182" s="1"/>
      <c r="I182" s="1"/>
      <c r="J182" s="1"/>
      <c r="R182" s="52"/>
      <c r="S182" s="52"/>
      <c r="T182" s="52"/>
      <c r="U182" s="52"/>
      <c r="V182" s="52"/>
      <c r="W182" s="52"/>
      <c r="X182" s="52"/>
      <c r="Y182" s="896"/>
      <c r="Z182" s="52"/>
      <c r="AA182" s="51"/>
      <c r="AB182" s="51"/>
      <c r="AC182" s="1"/>
      <c r="AD182" s="1"/>
      <c r="AE182" s="1"/>
      <c r="AF182" s="1"/>
      <c r="AG182" s="1"/>
      <c r="AH182" s="1"/>
      <c r="AI182" s="1"/>
      <c r="AJ182" s="1"/>
      <c r="AK182" s="1"/>
      <c r="AL182" s="1"/>
      <c r="AM182" s="1"/>
      <c r="AN182" s="1"/>
      <c r="AO182" s="1"/>
      <c r="AP182" s="1"/>
      <c r="AQ182" s="1"/>
      <c r="AR182" s="1"/>
      <c r="AS182" s="6"/>
      <c r="AT182" s="6"/>
      <c r="AU182" s="6"/>
      <c r="AW182" s="1"/>
    </row>
    <row r="183" spans="2:49">
      <c r="B183" s="1"/>
      <c r="C183" s="9"/>
      <c r="F183" s="9"/>
      <c r="G183" s="1"/>
      <c r="I183" s="1"/>
      <c r="J183" s="1"/>
      <c r="R183" s="52"/>
      <c r="S183" s="52"/>
      <c r="T183" s="52"/>
      <c r="U183" s="52"/>
      <c r="V183" s="52"/>
      <c r="W183" s="52"/>
      <c r="X183" s="52"/>
      <c r="Y183" s="896"/>
      <c r="Z183" s="52"/>
      <c r="AA183" s="51"/>
      <c r="AB183" s="51"/>
      <c r="AC183" s="1"/>
      <c r="AD183" s="1"/>
      <c r="AE183" s="1"/>
      <c r="AF183" s="1"/>
      <c r="AG183" s="1"/>
      <c r="AH183" s="1"/>
      <c r="AI183" s="1"/>
      <c r="AJ183" s="1"/>
      <c r="AK183" s="1"/>
      <c r="AL183" s="1"/>
      <c r="AM183" s="1"/>
      <c r="AN183" s="1"/>
      <c r="AO183" s="1"/>
      <c r="AP183" s="1"/>
      <c r="AQ183" s="1"/>
      <c r="AR183" s="1"/>
      <c r="AS183" s="6"/>
      <c r="AT183" s="6"/>
      <c r="AU183" s="6"/>
      <c r="AW183" s="1"/>
    </row>
    <row r="184" spans="2:49">
      <c r="B184" s="1"/>
      <c r="C184" s="9"/>
      <c r="F184" s="9"/>
      <c r="G184" s="1"/>
      <c r="I184" s="1"/>
      <c r="J184" s="1"/>
      <c r="R184" s="52"/>
      <c r="S184" s="52"/>
      <c r="T184" s="52"/>
      <c r="U184" s="52"/>
      <c r="V184" s="52"/>
      <c r="W184" s="52"/>
      <c r="X184" s="52"/>
      <c r="Y184" s="896"/>
      <c r="Z184" s="52"/>
      <c r="AA184" s="51"/>
      <c r="AB184" s="51"/>
      <c r="AC184" s="1"/>
      <c r="AD184" s="1"/>
      <c r="AE184" s="1"/>
      <c r="AF184" s="1"/>
      <c r="AG184" s="1"/>
      <c r="AH184" s="1"/>
      <c r="AI184" s="1"/>
      <c r="AJ184" s="1"/>
      <c r="AK184" s="1"/>
      <c r="AL184" s="1"/>
      <c r="AM184" s="1"/>
      <c r="AN184" s="1"/>
      <c r="AO184" s="1"/>
      <c r="AP184" s="1"/>
      <c r="AQ184" s="1"/>
      <c r="AR184" s="1"/>
      <c r="AS184" s="6"/>
      <c r="AT184" s="6"/>
      <c r="AU184" s="6"/>
      <c r="AW184" s="1"/>
    </row>
    <row r="185" spans="2:49">
      <c r="B185" s="1"/>
      <c r="C185" s="9"/>
      <c r="F185" s="9"/>
      <c r="G185" s="1"/>
      <c r="I185" s="1"/>
      <c r="J185" s="1"/>
      <c r="R185" s="52"/>
      <c r="S185" s="52"/>
      <c r="T185" s="52"/>
      <c r="U185" s="52"/>
      <c r="V185" s="52"/>
      <c r="W185" s="52"/>
      <c r="X185" s="52"/>
      <c r="Y185" s="896"/>
      <c r="Z185" s="52"/>
      <c r="AA185" s="51"/>
      <c r="AB185" s="51"/>
      <c r="AC185" s="1"/>
      <c r="AD185" s="1"/>
      <c r="AE185" s="1"/>
      <c r="AF185" s="1"/>
      <c r="AG185" s="1"/>
      <c r="AH185" s="1"/>
      <c r="AI185" s="1"/>
      <c r="AJ185" s="1"/>
      <c r="AK185" s="1"/>
      <c r="AL185" s="1"/>
      <c r="AM185" s="1"/>
      <c r="AN185" s="1"/>
      <c r="AO185" s="1"/>
      <c r="AP185" s="1"/>
      <c r="AQ185" s="1"/>
      <c r="AR185" s="1"/>
      <c r="AS185" s="6"/>
      <c r="AT185" s="6"/>
      <c r="AU185" s="6"/>
      <c r="AW185" s="1"/>
    </row>
    <row r="186" spans="2:49">
      <c r="B186" s="1"/>
      <c r="C186" s="9"/>
      <c r="F186" s="9"/>
      <c r="G186" s="1"/>
      <c r="I186" s="1"/>
      <c r="J186" s="1"/>
      <c r="R186" s="52"/>
      <c r="S186" s="52"/>
      <c r="T186" s="52"/>
      <c r="U186" s="52"/>
      <c r="V186" s="52"/>
      <c r="W186" s="52"/>
      <c r="X186" s="52"/>
      <c r="Y186" s="896"/>
      <c r="Z186" s="52"/>
      <c r="AA186" s="51"/>
      <c r="AB186" s="51"/>
      <c r="AC186" s="1"/>
      <c r="AD186" s="1"/>
      <c r="AE186" s="1"/>
      <c r="AF186" s="1"/>
      <c r="AG186" s="1"/>
      <c r="AH186" s="1"/>
      <c r="AI186" s="1"/>
      <c r="AJ186" s="1"/>
      <c r="AK186" s="1"/>
      <c r="AL186" s="1"/>
      <c r="AM186" s="1"/>
      <c r="AN186" s="1"/>
      <c r="AO186" s="1"/>
      <c r="AP186" s="1"/>
      <c r="AQ186" s="1"/>
      <c r="AR186" s="1"/>
      <c r="AS186" s="6"/>
      <c r="AT186" s="6"/>
      <c r="AU186" s="6"/>
      <c r="AW186" s="1"/>
    </row>
    <row r="187" spans="2:49">
      <c r="B187" s="1"/>
      <c r="C187" s="9"/>
      <c r="F187" s="9"/>
      <c r="G187" s="1"/>
      <c r="I187" s="1"/>
      <c r="J187" s="1"/>
      <c r="R187" s="52"/>
      <c r="S187" s="52"/>
      <c r="T187" s="52"/>
      <c r="U187" s="52"/>
      <c r="V187" s="52"/>
      <c r="W187" s="52"/>
      <c r="X187" s="52"/>
      <c r="Y187" s="896"/>
      <c r="Z187" s="52"/>
      <c r="AA187" s="51"/>
      <c r="AB187" s="51"/>
      <c r="AC187" s="1"/>
      <c r="AD187" s="1"/>
      <c r="AE187" s="1"/>
      <c r="AF187" s="1"/>
      <c r="AG187" s="1"/>
      <c r="AH187" s="1"/>
      <c r="AI187" s="1"/>
      <c r="AJ187" s="1"/>
      <c r="AK187" s="1"/>
      <c r="AL187" s="1"/>
      <c r="AM187" s="1"/>
      <c r="AN187" s="1"/>
      <c r="AO187" s="1"/>
      <c r="AP187" s="1"/>
      <c r="AQ187" s="1"/>
      <c r="AR187" s="1"/>
      <c r="AS187" s="6"/>
      <c r="AT187" s="6"/>
      <c r="AU187" s="6"/>
      <c r="AW187" s="1"/>
    </row>
    <row r="188" spans="2:49">
      <c r="B188" s="1"/>
      <c r="C188" s="9"/>
      <c r="F188" s="9"/>
      <c r="G188" s="1"/>
      <c r="I188" s="1"/>
      <c r="J188" s="1"/>
      <c r="R188" s="52"/>
      <c r="S188" s="52"/>
      <c r="T188" s="52"/>
      <c r="U188" s="52"/>
      <c r="V188" s="52"/>
      <c r="W188" s="52"/>
      <c r="X188" s="52"/>
      <c r="Y188" s="896"/>
      <c r="Z188" s="52"/>
      <c r="AA188" s="51"/>
      <c r="AB188" s="51"/>
      <c r="AC188" s="1"/>
      <c r="AD188" s="1"/>
      <c r="AE188" s="1"/>
      <c r="AF188" s="1"/>
      <c r="AG188" s="1"/>
      <c r="AH188" s="1"/>
      <c r="AI188" s="1"/>
      <c r="AJ188" s="1"/>
      <c r="AK188" s="1"/>
      <c r="AL188" s="1"/>
      <c r="AM188" s="1"/>
      <c r="AN188" s="1"/>
      <c r="AO188" s="1"/>
      <c r="AP188" s="1"/>
      <c r="AQ188" s="1"/>
      <c r="AR188" s="1"/>
      <c r="AS188" s="6"/>
      <c r="AT188" s="6"/>
      <c r="AU188" s="6"/>
      <c r="AW188" s="1"/>
    </row>
    <row r="189" spans="2:49">
      <c r="B189" s="1"/>
      <c r="C189" s="9"/>
      <c r="F189" s="9"/>
      <c r="G189" s="1"/>
      <c r="I189" s="1"/>
      <c r="J189" s="1"/>
      <c r="R189" s="52"/>
      <c r="S189" s="52"/>
      <c r="T189" s="52"/>
      <c r="U189" s="52"/>
      <c r="V189" s="52"/>
      <c r="W189" s="52"/>
      <c r="X189" s="52"/>
      <c r="Y189" s="896"/>
      <c r="Z189" s="52"/>
      <c r="AA189" s="51"/>
      <c r="AB189" s="51"/>
      <c r="AC189" s="1"/>
      <c r="AD189" s="1"/>
      <c r="AE189" s="1"/>
      <c r="AF189" s="1"/>
      <c r="AG189" s="1"/>
      <c r="AH189" s="1"/>
      <c r="AI189" s="1"/>
      <c r="AJ189" s="1"/>
      <c r="AK189" s="1"/>
      <c r="AL189" s="1"/>
      <c r="AM189" s="1"/>
      <c r="AN189" s="1"/>
      <c r="AO189" s="1"/>
      <c r="AP189" s="1"/>
      <c r="AQ189" s="1"/>
      <c r="AR189" s="1"/>
      <c r="AS189" s="6"/>
      <c r="AT189" s="6"/>
      <c r="AU189" s="6"/>
      <c r="AW189" s="1"/>
    </row>
    <row r="190" spans="2:49">
      <c r="B190" s="1"/>
      <c r="C190" s="9"/>
      <c r="F190" s="9"/>
      <c r="G190" s="1"/>
      <c r="I190" s="1"/>
      <c r="J190" s="1"/>
      <c r="R190" s="52"/>
      <c r="S190" s="52"/>
      <c r="T190" s="52"/>
      <c r="U190" s="52"/>
      <c r="V190" s="52"/>
      <c r="W190" s="52"/>
      <c r="X190" s="52"/>
      <c r="Y190" s="896"/>
      <c r="Z190" s="52"/>
      <c r="AA190" s="51"/>
      <c r="AB190" s="51"/>
      <c r="AC190" s="1"/>
      <c r="AD190" s="1"/>
      <c r="AE190" s="1"/>
      <c r="AF190" s="1"/>
      <c r="AG190" s="1"/>
      <c r="AH190" s="1"/>
      <c r="AI190" s="1"/>
      <c r="AJ190" s="1"/>
      <c r="AK190" s="1"/>
      <c r="AL190" s="1"/>
      <c r="AM190" s="1"/>
      <c r="AN190" s="1"/>
      <c r="AO190" s="1"/>
      <c r="AP190" s="1"/>
      <c r="AQ190" s="1"/>
      <c r="AR190" s="1"/>
      <c r="AS190" s="6"/>
      <c r="AT190" s="6"/>
      <c r="AU190" s="6"/>
      <c r="AW190" s="1"/>
    </row>
    <row r="191" spans="2:49">
      <c r="B191" s="1"/>
      <c r="C191" s="9"/>
      <c r="F191" s="9"/>
      <c r="G191" s="1"/>
      <c r="I191" s="1"/>
      <c r="J191" s="1"/>
      <c r="R191" s="52"/>
      <c r="S191" s="52"/>
      <c r="T191" s="52"/>
      <c r="U191" s="52"/>
      <c r="V191" s="52"/>
      <c r="W191" s="52"/>
      <c r="X191" s="52"/>
      <c r="Y191" s="896"/>
      <c r="Z191" s="52"/>
      <c r="AA191" s="51"/>
      <c r="AB191" s="51"/>
      <c r="AC191" s="1"/>
      <c r="AD191" s="1"/>
      <c r="AE191" s="1"/>
      <c r="AF191" s="1"/>
      <c r="AG191" s="1"/>
      <c r="AH191" s="1"/>
      <c r="AI191" s="1"/>
      <c r="AJ191" s="1"/>
      <c r="AK191" s="1"/>
      <c r="AL191" s="1"/>
      <c r="AM191" s="1"/>
      <c r="AN191" s="1"/>
      <c r="AO191" s="1"/>
      <c r="AP191" s="1"/>
      <c r="AQ191" s="1"/>
      <c r="AR191" s="1"/>
      <c r="AS191" s="6"/>
      <c r="AT191" s="6"/>
      <c r="AU191" s="6"/>
      <c r="AW191" s="1"/>
    </row>
    <row r="192" spans="2:49">
      <c r="B192" s="1"/>
      <c r="C192" s="9"/>
      <c r="F192" s="9"/>
      <c r="G192" s="1"/>
      <c r="I192" s="1"/>
      <c r="J192" s="1"/>
      <c r="R192" s="52"/>
      <c r="S192" s="52"/>
      <c r="T192" s="52"/>
      <c r="U192" s="52"/>
      <c r="V192" s="52"/>
      <c r="W192" s="52"/>
      <c r="X192" s="52"/>
      <c r="Y192" s="896"/>
      <c r="Z192" s="52"/>
      <c r="AA192" s="51"/>
      <c r="AB192" s="51"/>
      <c r="AC192" s="1"/>
      <c r="AD192" s="1"/>
      <c r="AE192" s="1"/>
      <c r="AF192" s="1"/>
      <c r="AG192" s="1"/>
      <c r="AH192" s="1"/>
      <c r="AI192" s="1"/>
      <c r="AJ192" s="1"/>
      <c r="AK192" s="1"/>
      <c r="AL192" s="1"/>
      <c r="AM192" s="1"/>
      <c r="AN192" s="1"/>
      <c r="AO192" s="1"/>
      <c r="AP192" s="1"/>
      <c r="AQ192" s="1"/>
      <c r="AR192" s="1"/>
      <c r="AS192" s="6"/>
      <c r="AT192" s="6"/>
      <c r="AU192" s="6"/>
      <c r="AW192" s="1"/>
    </row>
    <row r="193" spans="2:49">
      <c r="B193" s="1"/>
      <c r="C193" s="9"/>
      <c r="F193" s="9"/>
      <c r="G193" s="1"/>
      <c r="I193" s="1"/>
      <c r="J193" s="1"/>
      <c r="R193" s="52"/>
      <c r="S193" s="52"/>
      <c r="T193" s="52"/>
      <c r="U193" s="52"/>
      <c r="V193" s="52"/>
      <c r="W193" s="52"/>
      <c r="X193" s="52"/>
      <c r="Y193" s="896"/>
      <c r="Z193" s="52"/>
      <c r="AA193" s="51"/>
      <c r="AB193" s="51"/>
      <c r="AC193" s="1"/>
      <c r="AD193" s="1"/>
      <c r="AE193" s="1"/>
      <c r="AF193" s="1"/>
      <c r="AG193" s="1"/>
      <c r="AH193" s="1"/>
      <c r="AI193" s="1"/>
      <c r="AJ193" s="1"/>
      <c r="AK193" s="1"/>
      <c r="AL193" s="1"/>
      <c r="AM193" s="1"/>
      <c r="AN193" s="1"/>
      <c r="AO193" s="1"/>
      <c r="AP193" s="1"/>
      <c r="AQ193" s="1"/>
      <c r="AR193" s="1"/>
      <c r="AS193" s="6"/>
      <c r="AT193" s="6"/>
      <c r="AU193" s="6"/>
      <c r="AW193" s="1"/>
    </row>
    <row r="194" spans="2:49">
      <c r="B194" s="1"/>
      <c r="C194" s="9"/>
      <c r="F194" s="9"/>
      <c r="G194" s="1"/>
      <c r="I194" s="1"/>
      <c r="J194" s="1"/>
      <c r="R194" s="52"/>
      <c r="S194" s="52"/>
      <c r="T194" s="52"/>
      <c r="U194" s="52"/>
      <c r="V194" s="52"/>
      <c r="W194" s="52"/>
      <c r="X194" s="52"/>
      <c r="Y194" s="896"/>
      <c r="Z194" s="52"/>
      <c r="AA194" s="51"/>
      <c r="AB194" s="51"/>
      <c r="AC194" s="1"/>
      <c r="AD194" s="1"/>
      <c r="AE194" s="1"/>
      <c r="AF194" s="1"/>
      <c r="AG194" s="1"/>
      <c r="AH194" s="1"/>
      <c r="AI194" s="1"/>
      <c r="AJ194" s="1"/>
      <c r="AK194" s="1"/>
      <c r="AL194" s="1"/>
      <c r="AM194" s="1"/>
      <c r="AN194" s="1"/>
      <c r="AO194" s="1"/>
      <c r="AP194" s="1"/>
      <c r="AQ194" s="1"/>
      <c r="AR194" s="1"/>
      <c r="AS194" s="6"/>
      <c r="AT194" s="6"/>
      <c r="AU194" s="6"/>
      <c r="AW194" s="1"/>
    </row>
    <row r="195" spans="2:49">
      <c r="B195" s="1"/>
      <c r="C195" s="9"/>
      <c r="F195" s="9"/>
      <c r="G195" s="1"/>
      <c r="I195" s="1"/>
      <c r="J195" s="1"/>
      <c r="R195" s="52"/>
      <c r="S195" s="52"/>
      <c r="T195" s="52"/>
      <c r="U195" s="52"/>
      <c r="V195" s="52"/>
      <c r="W195" s="52"/>
      <c r="X195" s="52"/>
      <c r="Y195" s="896"/>
      <c r="Z195" s="52"/>
      <c r="AA195" s="51"/>
      <c r="AB195" s="51"/>
      <c r="AC195" s="1"/>
      <c r="AD195" s="1"/>
      <c r="AE195" s="1"/>
      <c r="AF195" s="1"/>
      <c r="AG195" s="1"/>
      <c r="AH195" s="1"/>
      <c r="AI195" s="1"/>
      <c r="AJ195" s="1"/>
      <c r="AK195" s="1"/>
      <c r="AL195" s="1"/>
      <c r="AM195" s="1"/>
      <c r="AN195" s="1"/>
      <c r="AO195" s="1"/>
      <c r="AP195" s="1"/>
      <c r="AQ195" s="1"/>
      <c r="AR195" s="1"/>
      <c r="AS195" s="6"/>
      <c r="AT195" s="6"/>
      <c r="AU195" s="6"/>
      <c r="AW195" s="1"/>
    </row>
    <row r="196" spans="2:49">
      <c r="B196" s="1"/>
      <c r="C196" s="9"/>
      <c r="F196" s="9"/>
      <c r="G196" s="1"/>
      <c r="I196" s="1"/>
      <c r="J196" s="1"/>
      <c r="R196" s="52"/>
      <c r="S196" s="52"/>
      <c r="T196" s="52"/>
      <c r="U196" s="52"/>
      <c r="V196" s="52"/>
      <c r="W196" s="52"/>
      <c r="X196" s="52"/>
      <c r="Y196" s="896"/>
      <c r="Z196" s="52"/>
      <c r="AA196" s="51"/>
      <c r="AB196" s="51"/>
      <c r="AC196" s="1"/>
      <c r="AD196" s="1"/>
      <c r="AE196" s="1"/>
      <c r="AF196" s="1"/>
      <c r="AG196" s="1"/>
      <c r="AH196" s="1"/>
      <c r="AI196" s="1"/>
      <c r="AJ196" s="1"/>
      <c r="AK196" s="1"/>
      <c r="AL196" s="1"/>
      <c r="AM196" s="1"/>
      <c r="AN196" s="1"/>
      <c r="AO196" s="1"/>
      <c r="AP196" s="1"/>
      <c r="AQ196" s="1"/>
      <c r="AR196" s="1"/>
      <c r="AS196" s="6"/>
      <c r="AT196" s="6"/>
      <c r="AU196" s="6"/>
      <c r="AW196" s="1"/>
    </row>
    <row r="197" spans="2:49">
      <c r="B197" s="1"/>
      <c r="C197" s="9"/>
      <c r="F197" s="9"/>
      <c r="G197" s="1"/>
      <c r="I197" s="1"/>
      <c r="J197" s="1"/>
      <c r="R197" s="52"/>
      <c r="S197" s="52"/>
      <c r="T197" s="52"/>
      <c r="U197" s="52"/>
      <c r="V197" s="52"/>
      <c r="W197" s="52"/>
      <c r="X197" s="52"/>
      <c r="Y197" s="896"/>
      <c r="Z197" s="52"/>
      <c r="AA197" s="51"/>
      <c r="AB197" s="51"/>
      <c r="AC197" s="1"/>
      <c r="AD197" s="1"/>
      <c r="AE197" s="1"/>
      <c r="AF197" s="1"/>
      <c r="AG197" s="1"/>
      <c r="AH197" s="1"/>
      <c r="AI197" s="1"/>
      <c r="AJ197" s="1"/>
      <c r="AK197" s="1"/>
      <c r="AL197" s="1"/>
      <c r="AM197" s="1"/>
      <c r="AN197" s="1"/>
      <c r="AO197" s="1"/>
      <c r="AP197" s="1"/>
      <c r="AQ197" s="1"/>
      <c r="AR197" s="1"/>
      <c r="AS197" s="6"/>
      <c r="AT197" s="6"/>
      <c r="AU197" s="6"/>
      <c r="AW197" s="1"/>
    </row>
    <row r="198" spans="2:49">
      <c r="B198" s="1"/>
      <c r="C198" s="9"/>
      <c r="F198" s="9"/>
      <c r="G198" s="1"/>
      <c r="I198" s="1"/>
      <c r="J198" s="1"/>
      <c r="R198" s="52"/>
      <c r="S198" s="52"/>
      <c r="T198" s="52"/>
      <c r="U198" s="52"/>
      <c r="V198" s="52"/>
      <c r="W198" s="52"/>
      <c r="X198" s="52"/>
      <c r="Y198" s="896"/>
      <c r="Z198" s="52"/>
      <c r="AA198" s="51"/>
      <c r="AB198" s="51"/>
      <c r="AC198" s="1"/>
      <c r="AD198" s="1"/>
      <c r="AE198" s="1"/>
      <c r="AF198" s="1"/>
      <c r="AG198" s="1"/>
      <c r="AH198" s="1"/>
      <c r="AI198" s="1"/>
      <c r="AJ198" s="1"/>
      <c r="AK198" s="1"/>
      <c r="AL198" s="1"/>
      <c r="AM198" s="1"/>
      <c r="AN198" s="1"/>
      <c r="AO198" s="1"/>
      <c r="AP198" s="1"/>
      <c r="AQ198" s="1"/>
      <c r="AR198" s="1"/>
      <c r="AS198" s="6"/>
      <c r="AT198" s="6"/>
      <c r="AU198" s="6"/>
      <c r="AW198" s="1"/>
    </row>
    <row r="199" spans="2:49">
      <c r="B199" s="1"/>
      <c r="C199" s="9"/>
      <c r="F199" s="9"/>
      <c r="G199" s="1"/>
      <c r="I199" s="1"/>
      <c r="J199" s="1"/>
      <c r="R199" s="52"/>
      <c r="S199" s="52"/>
      <c r="T199" s="52"/>
      <c r="U199" s="52"/>
      <c r="V199" s="52"/>
      <c r="W199" s="52"/>
      <c r="X199" s="52"/>
      <c r="Y199" s="896"/>
      <c r="Z199" s="52"/>
      <c r="AA199" s="51"/>
      <c r="AB199" s="51"/>
      <c r="AC199" s="1"/>
      <c r="AD199" s="1"/>
      <c r="AE199" s="1"/>
      <c r="AF199" s="1"/>
      <c r="AG199" s="1"/>
      <c r="AH199" s="1"/>
      <c r="AI199" s="1"/>
      <c r="AJ199" s="1"/>
      <c r="AK199" s="1"/>
      <c r="AL199" s="1"/>
      <c r="AM199" s="1"/>
      <c r="AN199" s="1"/>
      <c r="AO199" s="1"/>
      <c r="AP199" s="1"/>
      <c r="AQ199" s="1"/>
      <c r="AR199" s="1"/>
      <c r="AS199" s="6"/>
      <c r="AT199" s="6"/>
      <c r="AU199" s="6"/>
      <c r="AW199" s="1"/>
    </row>
    <row r="200" spans="2:49">
      <c r="B200" s="1"/>
      <c r="C200" s="9"/>
      <c r="F200" s="9"/>
      <c r="G200" s="1"/>
      <c r="I200" s="1"/>
      <c r="J200" s="1"/>
      <c r="R200" s="52"/>
      <c r="S200" s="52"/>
      <c r="T200" s="52"/>
      <c r="U200" s="52"/>
      <c r="V200" s="52"/>
      <c r="W200" s="52"/>
      <c r="X200" s="52"/>
      <c r="Y200" s="896"/>
      <c r="Z200" s="52"/>
      <c r="AA200" s="51"/>
      <c r="AB200" s="51"/>
      <c r="AC200" s="1"/>
      <c r="AD200" s="1"/>
      <c r="AE200" s="1"/>
      <c r="AF200" s="1"/>
      <c r="AG200" s="1"/>
      <c r="AH200" s="1"/>
      <c r="AI200" s="1"/>
      <c r="AJ200" s="1"/>
      <c r="AK200" s="1"/>
      <c r="AL200" s="1"/>
      <c r="AM200" s="1"/>
      <c r="AN200" s="1"/>
      <c r="AO200" s="1"/>
      <c r="AP200" s="1"/>
      <c r="AQ200" s="1"/>
      <c r="AR200" s="1"/>
      <c r="AS200" s="6"/>
      <c r="AT200" s="6"/>
      <c r="AU200" s="6"/>
      <c r="AW200" s="1"/>
    </row>
    <row r="201" spans="2:49">
      <c r="B201" s="1"/>
      <c r="C201" s="9"/>
      <c r="F201" s="9"/>
      <c r="G201" s="1"/>
      <c r="I201" s="1"/>
      <c r="J201" s="1"/>
      <c r="R201" s="52"/>
      <c r="S201" s="52"/>
      <c r="T201" s="52"/>
      <c r="U201" s="52"/>
      <c r="V201" s="52"/>
      <c r="W201" s="52"/>
      <c r="X201" s="52"/>
      <c r="Y201" s="896"/>
      <c r="Z201" s="52"/>
      <c r="AA201" s="51"/>
      <c r="AB201" s="51"/>
      <c r="AC201" s="1"/>
      <c r="AD201" s="1"/>
      <c r="AE201" s="1"/>
      <c r="AF201" s="1"/>
      <c r="AG201" s="1"/>
      <c r="AH201" s="1"/>
      <c r="AI201" s="1"/>
      <c r="AJ201" s="1"/>
      <c r="AK201" s="1"/>
      <c r="AL201" s="1"/>
      <c r="AM201" s="1"/>
      <c r="AN201" s="1"/>
      <c r="AO201" s="1"/>
      <c r="AP201" s="1"/>
      <c r="AQ201" s="1"/>
      <c r="AR201" s="1"/>
      <c r="AS201" s="6"/>
      <c r="AT201" s="6"/>
      <c r="AU201" s="6"/>
      <c r="AW201" s="1"/>
    </row>
    <row r="202" spans="2:49">
      <c r="B202" s="1"/>
      <c r="C202" s="9"/>
      <c r="F202" s="9"/>
      <c r="G202" s="1"/>
      <c r="I202" s="1"/>
      <c r="J202" s="1"/>
      <c r="R202" s="52"/>
      <c r="S202" s="52"/>
      <c r="T202" s="52"/>
      <c r="U202" s="52"/>
      <c r="V202" s="52"/>
      <c r="W202" s="52"/>
      <c r="X202" s="52"/>
      <c r="Y202" s="896"/>
      <c r="Z202" s="52"/>
      <c r="AA202" s="51"/>
      <c r="AB202" s="51"/>
      <c r="AC202" s="1"/>
      <c r="AD202" s="1"/>
      <c r="AE202" s="1"/>
      <c r="AF202" s="1"/>
      <c r="AG202" s="1"/>
      <c r="AH202" s="1"/>
      <c r="AI202" s="1"/>
      <c r="AJ202" s="1"/>
      <c r="AK202" s="1"/>
      <c r="AL202" s="1"/>
      <c r="AM202" s="1"/>
      <c r="AN202" s="1"/>
      <c r="AO202" s="1"/>
      <c r="AP202" s="1"/>
      <c r="AQ202" s="1"/>
      <c r="AR202" s="1"/>
      <c r="AS202" s="6"/>
      <c r="AT202" s="6"/>
      <c r="AU202" s="6"/>
      <c r="AW202" s="1"/>
    </row>
    <row r="203" spans="2:49">
      <c r="B203" s="1"/>
      <c r="C203" s="9"/>
      <c r="F203" s="9"/>
      <c r="G203" s="1"/>
      <c r="I203" s="1"/>
      <c r="J203" s="1"/>
      <c r="R203" s="52"/>
      <c r="S203" s="52"/>
      <c r="T203" s="52"/>
      <c r="U203" s="52"/>
      <c r="V203" s="52"/>
      <c r="W203" s="52"/>
      <c r="X203" s="52"/>
      <c r="Y203" s="896"/>
      <c r="Z203" s="52"/>
      <c r="AA203" s="51"/>
      <c r="AB203" s="51"/>
      <c r="AC203" s="1"/>
      <c r="AD203" s="1"/>
      <c r="AE203" s="1"/>
      <c r="AF203" s="1"/>
      <c r="AG203" s="1"/>
      <c r="AH203" s="1"/>
      <c r="AI203" s="1"/>
      <c r="AJ203" s="1"/>
      <c r="AK203" s="1"/>
      <c r="AL203" s="1"/>
      <c r="AM203" s="1"/>
      <c r="AN203" s="1"/>
      <c r="AO203" s="1"/>
      <c r="AP203" s="1"/>
      <c r="AQ203" s="1"/>
      <c r="AR203" s="1"/>
      <c r="AS203" s="6"/>
      <c r="AT203" s="6"/>
      <c r="AU203" s="6"/>
      <c r="AW203" s="1"/>
    </row>
    <row r="204" spans="2:49">
      <c r="B204" s="1"/>
      <c r="C204" s="9"/>
      <c r="F204" s="9"/>
      <c r="G204" s="1"/>
      <c r="I204" s="1"/>
      <c r="J204" s="1"/>
      <c r="R204" s="52"/>
      <c r="S204" s="52"/>
      <c r="T204" s="52"/>
      <c r="U204" s="52"/>
      <c r="V204" s="52"/>
      <c r="W204" s="52"/>
      <c r="X204" s="52"/>
      <c r="Y204" s="896"/>
      <c r="Z204" s="52"/>
      <c r="AA204" s="51"/>
      <c r="AB204" s="51"/>
      <c r="AC204" s="1"/>
      <c r="AD204" s="1"/>
      <c r="AE204" s="1"/>
      <c r="AF204" s="1"/>
      <c r="AG204" s="1"/>
      <c r="AH204" s="1"/>
      <c r="AI204" s="1"/>
      <c r="AJ204" s="1"/>
      <c r="AK204" s="1"/>
      <c r="AL204" s="1"/>
      <c r="AM204" s="1"/>
      <c r="AN204" s="1"/>
      <c r="AO204" s="1"/>
      <c r="AP204" s="1"/>
      <c r="AQ204" s="1"/>
      <c r="AR204" s="1"/>
      <c r="AS204" s="6"/>
      <c r="AT204" s="6"/>
      <c r="AU204" s="6"/>
      <c r="AW204" s="1"/>
    </row>
    <row r="205" spans="2:49">
      <c r="B205" s="1"/>
      <c r="C205" s="9"/>
      <c r="F205" s="9"/>
      <c r="G205" s="1"/>
      <c r="I205" s="1"/>
      <c r="J205" s="1"/>
      <c r="R205" s="52"/>
      <c r="S205" s="52"/>
      <c r="T205" s="52"/>
      <c r="U205" s="52"/>
      <c r="V205" s="52"/>
      <c r="W205" s="52"/>
      <c r="X205" s="52"/>
      <c r="Y205" s="896"/>
      <c r="Z205" s="52"/>
      <c r="AA205" s="51"/>
      <c r="AB205" s="51"/>
      <c r="AC205" s="1"/>
      <c r="AD205" s="1"/>
      <c r="AE205" s="1"/>
      <c r="AF205" s="1"/>
      <c r="AG205" s="1"/>
      <c r="AH205" s="1"/>
      <c r="AI205" s="1"/>
      <c r="AJ205" s="1"/>
      <c r="AK205" s="1"/>
      <c r="AL205" s="1"/>
      <c r="AM205" s="1"/>
      <c r="AN205" s="1"/>
      <c r="AO205" s="1"/>
      <c r="AP205" s="1"/>
      <c r="AQ205" s="1"/>
      <c r="AR205" s="1"/>
      <c r="AS205" s="6"/>
      <c r="AT205" s="6"/>
      <c r="AU205" s="6"/>
      <c r="AW205" s="1"/>
    </row>
    <row r="206" spans="2:49">
      <c r="B206" s="1"/>
      <c r="C206" s="9"/>
      <c r="F206" s="9"/>
      <c r="G206" s="1"/>
      <c r="I206" s="1"/>
      <c r="J206" s="1"/>
      <c r="R206" s="52"/>
      <c r="S206" s="52"/>
      <c r="T206" s="52"/>
      <c r="U206" s="52"/>
      <c r="V206" s="52"/>
      <c r="W206" s="52"/>
      <c r="X206" s="52"/>
      <c r="Y206" s="896"/>
      <c r="Z206" s="52"/>
      <c r="AA206" s="51"/>
      <c r="AB206" s="51"/>
      <c r="AC206" s="1"/>
      <c r="AD206" s="1"/>
      <c r="AE206" s="1"/>
      <c r="AF206" s="1"/>
      <c r="AG206" s="1"/>
      <c r="AH206" s="1"/>
      <c r="AI206" s="1"/>
      <c r="AJ206" s="1"/>
      <c r="AK206" s="1"/>
      <c r="AL206" s="1"/>
      <c r="AM206" s="1"/>
      <c r="AN206" s="1"/>
      <c r="AO206" s="1"/>
      <c r="AP206" s="1"/>
      <c r="AQ206" s="1"/>
      <c r="AR206" s="1"/>
      <c r="AS206" s="6"/>
      <c r="AT206" s="6"/>
      <c r="AU206" s="6"/>
      <c r="AW206" s="1"/>
    </row>
    <row r="207" spans="2:49">
      <c r="B207" s="1"/>
      <c r="C207" s="9"/>
      <c r="F207" s="9"/>
      <c r="G207" s="1"/>
      <c r="I207" s="1"/>
      <c r="J207" s="1"/>
      <c r="R207" s="52"/>
      <c r="S207" s="52"/>
      <c r="T207" s="52"/>
      <c r="U207" s="52"/>
      <c r="V207" s="52"/>
      <c r="W207" s="52"/>
      <c r="X207" s="52"/>
      <c r="Y207" s="896"/>
      <c r="Z207" s="52"/>
      <c r="AA207" s="51"/>
      <c r="AB207" s="51"/>
      <c r="AC207" s="1"/>
      <c r="AD207" s="1"/>
      <c r="AE207" s="1"/>
      <c r="AF207" s="1"/>
      <c r="AG207" s="1"/>
      <c r="AH207" s="1"/>
      <c r="AI207" s="1"/>
      <c r="AJ207" s="1"/>
      <c r="AK207" s="1"/>
      <c r="AL207" s="1"/>
      <c r="AM207" s="1"/>
      <c r="AN207" s="1"/>
      <c r="AO207" s="1"/>
      <c r="AP207" s="1"/>
      <c r="AQ207" s="1"/>
      <c r="AR207" s="1"/>
      <c r="AS207" s="6"/>
      <c r="AT207" s="6"/>
      <c r="AU207" s="6"/>
      <c r="AW207" s="1"/>
    </row>
    <row r="208" spans="2:49">
      <c r="B208" s="1"/>
      <c r="C208" s="9"/>
      <c r="F208" s="9"/>
      <c r="G208" s="1"/>
      <c r="I208" s="1"/>
      <c r="J208" s="1"/>
      <c r="R208" s="52"/>
      <c r="S208" s="52"/>
      <c r="T208" s="52"/>
      <c r="U208" s="52"/>
      <c r="V208" s="52"/>
      <c r="W208" s="52"/>
      <c r="X208" s="52"/>
      <c r="Y208" s="896"/>
      <c r="Z208" s="52"/>
      <c r="AA208" s="51"/>
      <c r="AB208" s="51"/>
      <c r="AC208" s="1"/>
      <c r="AD208" s="1"/>
      <c r="AE208" s="1"/>
      <c r="AF208" s="1"/>
      <c r="AG208" s="1"/>
      <c r="AH208" s="1"/>
      <c r="AI208" s="1"/>
      <c r="AJ208" s="1"/>
      <c r="AK208" s="1"/>
      <c r="AL208" s="1"/>
      <c r="AM208" s="1"/>
      <c r="AN208" s="1"/>
      <c r="AO208" s="1"/>
      <c r="AP208" s="1"/>
      <c r="AQ208" s="1"/>
      <c r="AR208" s="1"/>
      <c r="AS208" s="6"/>
      <c r="AT208" s="6"/>
      <c r="AU208" s="6"/>
      <c r="AW208" s="1"/>
    </row>
    <row r="209" spans="2:49">
      <c r="B209" s="1"/>
      <c r="C209" s="9"/>
      <c r="F209" s="9"/>
      <c r="G209" s="1"/>
      <c r="I209" s="1"/>
      <c r="J209" s="1"/>
      <c r="R209" s="52"/>
      <c r="S209" s="52"/>
      <c r="T209" s="52"/>
      <c r="U209" s="52"/>
      <c r="V209" s="52"/>
      <c r="W209" s="52"/>
      <c r="X209" s="52"/>
      <c r="Y209" s="896"/>
      <c r="Z209" s="52"/>
      <c r="AA209" s="51"/>
      <c r="AB209" s="51"/>
      <c r="AC209" s="1"/>
      <c r="AD209" s="1"/>
      <c r="AE209" s="1"/>
      <c r="AF209" s="1"/>
      <c r="AG209" s="1"/>
      <c r="AH209" s="1"/>
      <c r="AI209" s="1"/>
      <c r="AJ209" s="1"/>
      <c r="AK209" s="1"/>
      <c r="AL209" s="1"/>
      <c r="AM209" s="1"/>
      <c r="AN209" s="1"/>
      <c r="AO209" s="1"/>
      <c r="AP209" s="1"/>
      <c r="AQ209" s="1"/>
      <c r="AR209" s="1"/>
      <c r="AS209" s="6"/>
      <c r="AT209" s="6"/>
      <c r="AU209" s="6"/>
      <c r="AW209" s="1"/>
    </row>
    <row r="210" spans="2:49">
      <c r="B210" s="1"/>
      <c r="C210" s="9"/>
      <c r="F210" s="9"/>
      <c r="G210" s="1"/>
      <c r="I210" s="1"/>
      <c r="J210" s="1"/>
      <c r="R210" s="52"/>
      <c r="S210" s="52"/>
      <c r="T210" s="52"/>
      <c r="U210" s="52"/>
      <c r="V210" s="52"/>
      <c r="W210" s="52"/>
      <c r="X210" s="52"/>
      <c r="Y210" s="896"/>
      <c r="Z210" s="52"/>
      <c r="AA210" s="51"/>
      <c r="AB210" s="51"/>
      <c r="AC210" s="1"/>
      <c r="AD210" s="1"/>
      <c r="AE210" s="1"/>
      <c r="AF210" s="1"/>
      <c r="AG210" s="1"/>
      <c r="AH210" s="1"/>
      <c r="AI210" s="1"/>
      <c r="AJ210" s="1"/>
      <c r="AK210" s="1"/>
      <c r="AL210" s="1"/>
      <c r="AM210" s="1"/>
      <c r="AN210" s="1"/>
      <c r="AO210" s="1"/>
      <c r="AP210" s="1"/>
      <c r="AQ210" s="1"/>
      <c r="AR210" s="1"/>
      <c r="AS210" s="6"/>
      <c r="AT210" s="6"/>
      <c r="AU210" s="6"/>
      <c r="AW210" s="1"/>
    </row>
    <row r="211" spans="2:49">
      <c r="B211" s="1"/>
      <c r="C211" s="9"/>
      <c r="F211" s="9"/>
      <c r="G211" s="1"/>
      <c r="I211" s="1"/>
      <c r="J211" s="1"/>
      <c r="R211" s="52"/>
      <c r="S211" s="52"/>
      <c r="T211" s="52"/>
      <c r="U211" s="52"/>
      <c r="V211" s="52"/>
      <c r="W211" s="52"/>
      <c r="X211" s="52"/>
      <c r="Y211" s="896"/>
      <c r="Z211" s="52"/>
      <c r="AA211" s="51"/>
      <c r="AB211" s="51"/>
      <c r="AC211" s="1"/>
      <c r="AD211" s="1"/>
      <c r="AE211" s="1"/>
      <c r="AF211" s="1"/>
      <c r="AG211" s="1"/>
      <c r="AH211" s="1"/>
      <c r="AI211" s="1"/>
      <c r="AJ211" s="1"/>
      <c r="AK211" s="1"/>
      <c r="AL211" s="1"/>
      <c r="AM211" s="1"/>
      <c r="AN211" s="1"/>
      <c r="AO211" s="1"/>
      <c r="AP211" s="1"/>
      <c r="AQ211" s="1"/>
      <c r="AR211" s="1"/>
      <c r="AS211" s="6"/>
      <c r="AT211" s="6"/>
      <c r="AU211" s="6"/>
      <c r="AW211" s="1"/>
    </row>
    <row r="212" spans="2:49">
      <c r="B212" s="1"/>
      <c r="C212" s="9"/>
      <c r="F212" s="9"/>
      <c r="G212" s="1"/>
      <c r="I212" s="1"/>
      <c r="J212" s="1"/>
      <c r="R212" s="52"/>
      <c r="S212" s="52"/>
      <c r="T212" s="52"/>
      <c r="U212" s="52"/>
      <c r="V212" s="52"/>
      <c r="W212" s="52"/>
      <c r="X212" s="52"/>
      <c r="Y212" s="896"/>
      <c r="Z212" s="52"/>
      <c r="AA212" s="51"/>
      <c r="AB212" s="51"/>
      <c r="AC212" s="1"/>
      <c r="AD212" s="1"/>
      <c r="AE212" s="1"/>
      <c r="AF212" s="1"/>
      <c r="AG212" s="1"/>
      <c r="AH212" s="1"/>
      <c r="AI212" s="1"/>
      <c r="AJ212" s="1"/>
      <c r="AK212" s="1"/>
      <c r="AL212" s="1"/>
      <c r="AM212" s="1"/>
      <c r="AN212" s="1"/>
      <c r="AO212" s="1"/>
      <c r="AP212" s="1"/>
      <c r="AQ212" s="1"/>
      <c r="AR212" s="1"/>
      <c r="AS212" s="6"/>
      <c r="AT212" s="6"/>
      <c r="AU212" s="6"/>
      <c r="AW212" s="1"/>
    </row>
    <row r="213" spans="2:49">
      <c r="B213" s="1"/>
      <c r="C213" s="9"/>
      <c r="F213" s="9"/>
      <c r="G213" s="1"/>
      <c r="I213" s="1"/>
      <c r="J213" s="1"/>
      <c r="R213" s="52"/>
      <c r="S213" s="52"/>
      <c r="T213" s="52"/>
      <c r="U213" s="52"/>
      <c r="V213" s="52"/>
      <c r="W213" s="52"/>
      <c r="X213" s="52"/>
      <c r="Y213" s="896"/>
      <c r="Z213" s="52"/>
      <c r="AA213" s="51"/>
      <c r="AB213" s="51"/>
      <c r="AC213" s="1"/>
      <c r="AD213"/>
      <c r="AE213"/>
      <c r="AJ213"/>
      <c r="AK213"/>
    </row>
    <row r="214" spans="2:49">
      <c r="B214" s="1"/>
      <c r="C214" s="9"/>
      <c r="F214" s="9"/>
      <c r="G214" s="1"/>
      <c r="I214" s="1"/>
      <c r="J214" s="1"/>
      <c r="R214" s="52"/>
      <c r="S214" s="52"/>
      <c r="T214" s="52"/>
      <c r="U214" s="52"/>
      <c r="V214" s="52"/>
      <c r="W214" s="52"/>
      <c r="X214" s="52"/>
      <c r="Y214" s="896"/>
      <c r="Z214" s="52"/>
      <c r="AA214" s="51"/>
      <c r="AB214" s="51"/>
      <c r="AC214" s="1"/>
      <c r="AD214"/>
      <c r="AE214"/>
      <c r="AJ214"/>
      <c r="AK214"/>
    </row>
    <row r="215" spans="2:49">
      <c r="B215" s="1"/>
      <c r="C215" s="9"/>
      <c r="F215" s="9"/>
      <c r="G215" s="1"/>
      <c r="I215" s="1"/>
      <c r="J215" s="1"/>
      <c r="R215" s="52"/>
      <c r="S215" s="52"/>
      <c r="T215" s="52"/>
      <c r="U215" s="52"/>
      <c r="V215" s="52"/>
      <c r="W215" s="52"/>
      <c r="X215" s="52"/>
      <c r="Y215" s="896"/>
      <c r="Z215" s="52"/>
      <c r="AA215" s="51"/>
      <c r="AB215" s="51"/>
      <c r="AC215" s="1"/>
      <c r="AD215"/>
      <c r="AE215"/>
      <c r="AJ215"/>
      <c r="AK215"/>
    </row>
    <row r="216" spans="2:49">
      <c r="B216" s="1"/>
      <c r="C216" s="9"/>
      <c r="F216" s="9"/>
      <c r="G216" s="1"/>
      <c r="I216" s="1"/>
      <c r="J216" s="1"/>
      <c r="R216" s="52"/>
      <c r="S216" s="52"/>
      <c r="T216" s="52"/>
      <c r="U216" s="52"/>
      <c r="V216" s="52"/>
      <c r="W216" s="52"/>
      <c r="X216" s="52"/>
      <c r="Y216" s="896"/>
      <c r="Z216" s="52"/>
      <c r="AA216" s="51"/>
      <c r="AB216" s="51"/>
      <c r="AC216" s="1"/>
      <c r="AD216"/>
      <c r="AE216"/>
      <c r="AJ216"/>
      <c r="AK216"/>
    </row>
    <row r="217" spans="2:49">
      <c r="AC217" s="1"/>
    </row>
    <row r="218" spans="2:49">
      <c r="AC218" s="1"/>
    </row>
    <row r="219" spans="2:49">
      <c r="AC219" s="1"/>
    </row>
    <row r="220" spans="2:49">
      <c r="AC220" s="1"/>
    </row>
    <row r="221" spans="2:49">
      <c r="AC221" s="1"/>
    </row>
    <row r="222" spans="2:49">
      <c r="AC222" s="1"/>
    </row>
    <row r="223" spans="2:49">
      <c r="AC223" s="1"/>
    </row>
    <row r="224" spans="2:49">
      <c r="AC224" s="1"/>
    </row>
    <row r="225" spans="29:29">
      <c r="AC225" s="1"/>
    </row>
    <row r="226" spans="29:29">
      <c r="AC226" s="1"/>
    </row>
    <row r="227" spans="29:29">
      <c r="AC227" s="1"/>
    </row>
    <row r="228" spans="29:29">
      <c r="AC228" s="1"/>
    </row>
    <row r="229" spans="29:29">
      <c r="AC229" s="1"/>
    </row>
    <row r="230" spans="29:29">
      <c r="AC230" s="1"/>
    </row>
    <row r="231" spans="29:29">
      <c r="AC231" s="1"/>
    </row>
    <row r="232" spans="29:29">
      <c r="AC232"/>
    </row>
    <row r="233" spans="29:29">
      <c r="AC233"/>
    </row>
    <row r="234" spans="29:29">
      <c r="AC234"/>
    </row>
    <row r="235" spans="29:29">
      <c r="AC235"/>
    </row>
    <row r="236" spans="29:29">
      <c r="AC236"/>
    </row>
    <row r="237" spans="29:29">
      <c r="AC237"/>
    </row>
    <row r="238" spans="29:29">
      <c r="AC238"/>
    </row>
    <row r="239" spans="29:29">
      <c r="AC239"/>
    </row>
    <row r="240" spans="29:29">
      <c r="AC240"/>
    </row>
    <row r="241" spans="29:29">
      <c r="AC241"/>
    </row>
    <row r="242" spans="29:29">
      <c r="AC242"/>
    </row>
    <row r="243" spans="29:29">
      <c r="AC243"/>
    </row>
    <row r="244" spans="29:29">
      <c r="AC244"/>
    </row>
    <row r="245" spans="29:29">
      <c r="AC245"/>
    </row>
    <row r="246" spans="29:29">
      <c r="AC246"/>
    </row>
    <row r="247" spans="29:29">
      <c r="AC247"/>
    </row>
    <row r="248" spans="29:29">
      <c r="AC248"/>
    </row>
    <row r="249" spans="29:29">
      <c r="AC249"/>
    </row>
    <row r="250" spans="29:29">
      <c r="AC250"/>
    </row>
    <row r="251" spans="29:29">
      <c r="AC251"/>
    </row>
    <row r="252" spans="29:29">
      <c r="AC252"/>
    </row>
    <row r="253" spans="29:29">
      <c r="AC253"/>
    </row>
    <row r="254" spans="29:29">
      <c r="AC254"/>
    </row>
    <row r="255" spans="29:29">
      <c r="AC255"/>
    </row>
    <row r="256" spans="29:29">
      <c r="AC256"/>
    </row>
    <row r="257" spans="29:29">
      <c r="AC257"/>
    </row>
    <row r="258" spans="29:29">
      <c r="AC258"/>
    </row>
    <row r="259" spans="29:29">
      <c r="AC259"/>
    </row>
    <row r="260" spans="29:29">
      <c r="AC260"/>
    </row>
    <row r="261" spans="29:29">
      <c r="AC261"/>
    </row>
    <row r="262" spans="29:29">
      <c r="AC262"/>
    </row>
    <row r="263" spans="29:29">
      <c r="AC263"/>
    </row>
    <row r="264" spans="29:29">
      <c r="AC264"/>
    </row>
    <row r="265" spans="29:29">
      <c r="AC265"/>
    </row>
    <row r="266" spans="29:29">
      <c r="AC266"/>
    </row>
    <row r="267" spans="29:29">
      <c r="AC267"/>
    </row>
    <row r="268" spans="29:29">
      <c r="AC268"/>
    </row>
    <row r="269" spans="29:29">
      <c r="AC269"/>
    </row>
    <row r="270" spans="29:29">
      <c r="AC270"/>
    </row>
    <row r="271" spans="29:29">
      <c r="AC271"/>
    </row>
    <row r="272" spans="29:29">
      <c r="AC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sheetData>
  <sheetProtection algorithmName="SHA-512" hashValue="IRvLTvB+myP9bEYYLmLnZHgYcKtBe2deQmg1q3JdzYerm1EDb2DmuQwFer1we8bHxWum+jrSvu07JyLfMI4Msw==" saltValue="lwL3iOcr+mWrJYIS762XjQ==" spinCount="100000" sheet="1" objects="1" formatRows="0"/>
  <mergeCells count="181">
    <mergeCell ref="L92:M92"/>
    <mergeCell ref="N92:O92"/>
    <mergeCell ref="I90:K90"/>
    <mergeCell ref="I92:K92"/>
    <mergeCell ref="BF9:BH9"/>
    <mergeCell ref="BF10:BH10"/>
    <mergeCell ref="L83:M83"/>
    <mergeCell ref="N83:O83"/>
    <mergeCell ref="L86:O86"/>
    <mergeCell ref="L87:M87"/>
    <mergeCell ref="N87:O87"/>
    <mergeCell ref="L91:M91"/>
    <mergeCell ref="N91:O91"/>
    <mergeCell ref="AK36:AK41"/>
    <mergeCell ref="AN45:AN47"/>
    <mergeCell ref="AL39:AL41"/>
    <mergeCell ref="AS32:AS34"/>
    <mergeCell ref="AU32:AU34"/>
    <mergeCell ref="AS20:AS22"/>
    <mergeCell ref="AU20:AU22"/>
    <mergeCell ref="AL24:AL25"/>
    <mergeCell ref="AS24:AS25"/>
    <mergeCell ref="AS9:AS11"/>
    <mergeCell ref="AW9:AW11"/>
    <mergeCell ref="C6:C7"/>
    <mergeCell ref="D6:D7"/>
    <mergeCell ref="E6:E7"/>
    <mergeCell ref="F6:F7"/>
    <mergeCell ref="G6:G7"/>
    <mergeCell ref="H6:H7"/>
    <mergeCell ref="AD6:AE6"/>
    <mergeCell ref="AF6:AG6"/>
    <mergeCell ref="AD7:AE7"/>
    <mergeCell ref="AF7:AG7"/>
    <mergeCell ref="J6:J7"/>
    <mergeCell ref="U6:U7"/>
    <mergeCell ref="T6:T7"/>
    <mergeCell ref="AQ36:AR38"/>
    <mergeCell ref="AQ9:AR11"/>
    <mergeCell ref="AK12:AN12"/>
    <mergeCell ref="AQ13:AR13"/>
    <mergeCell ref="AQ14:AR16"/>
    <mergeCell ref="AQ17:AR19"/>
    <mergeCell ref="AQ20:AR22"/>
    <mergeCell ref="AQ24:AR25"/>
    <mergeCell ref="AQ26:AR28"/>
    <mergeCell ref="AK35:AO35"/>
    <mergeCell ref="AQ29:AR31"/>
    <mergeCell ref="I2:J2"/>
    <mergeCell ref="D4:H4"/>
    <mergeCell ref="I4:K4"/>
    <mergeCell ref="I5:K5"/>
    <mergeCell ref="AD2:AE2"/>
    <mergeCell ref="AF2:AG2"/>
    <mergeCell ref="AK24:AK34"/>
    <mergeCell ref="AJ8:AJ11"/>
    <mergeCell ref="AK8:AK11"/>
    <mergeCell ref="B5:H5"/>
    <mergeCell ref="AK23:AN23"/>
    <mergeCell ref="AL20:AL22"/>
    <mergeCell ref="AJ6:AU6"/>
    <mergeCell ref="AM8:AO8"/>
    <mergeCell ref="AJ4:AK4"/>
    <mergeCell ref="AJ12:AJ41"/>
    <mergeCell ref="AL26:AL28"/>
    <mergeCell ref="AL29:AL31"/>
    <mergeCell ref="AL32:AL34"/>
    <mergeCell ref="AL9:AL11"/>
    <mergeCell ref="AJ5:AU5"/>
    <mergeCell ref="AU9:AU11"/>
    <mergeCell ref="AU24:AU25"/>
    <mergeCell ref="AQ32:AR34"/>
    <mergeCell ref="BD9:BD11"/>
    <mergeCell ref="B2:H2"/>
    <mergeCell ref="BE68:BH68"/>
    <mergeCell ref="BE54:BH54"/>
    <mergeCell ref="L1:M1"/>
    <mergeCell ref="N1:O1"/>
    <mergeCell ref="AS26:AS28"/>
    <mergeCell ref="AU26:AU28"/>
    <mergeCell ref="AS29:AS31"/>
    <mergeCell ref="AU29:AU31"/>
    <mergeCell ref="AS17:AS19"/>
    <mergeCell ref="AU17:AU19"/>
    <mergeCell ref="AD1:AG1"/>
    <mergeCell ref="AM3:AN3"/>
    <mergeCell ref="AM4:AN4"/>
    <mergeCell ref="AK13:AK22"/>
    <mergeCell ref="AS14:AS16"/>
    <mergeCell ref="AU14:AU16"/>
    <mergeCell ref="AM9:AM11"/>
    <mergeCell ref="AN9:AN11"/>
    <mergeCell ref="AO9:AO11"/>
    <mergeCell ref="AQ8:AR8"/>
    <mergeCell ref="Q6:Q7"/>
    <mergeCell ref="AB6:AB7"/>
    <mergeCell ref="BG7:BH7"/>
    <mergeCell ref="CS6:CT6"/>
    <mergeCell ref="DG6:DH6"/>
    <mergeCell ref="DI6:DJ6"/>
    <mergeCell ref="DF6:DF7"/>
    <mergeCell ref="A42:A80"/>
    <mergeCell ref="BX2:CG2"/>
    <mergeCell ref="B3:C3"/>
    <mergeCell ref="D3:F3"/>
    <mergeCell ref="G3:H3"/>
    <mergeCell ref="I3:J3"/>
    <mergeCell ref="BE5:BF5"/>
    <mergeCell ref="B4:C4"/>
    <mergeCell ref="BE4:BF4"/>
    <mergeCell ref="K6:K7"/>
    <mergeCell ref="L6:M6"/>
    <mergeCell ref="N6:O6"/>
    <mergeCell ref="B31:C31"/>
    <mergeCell ref="B55:C55"/>
    <mergeCell ref="B61:C61"/>
    <mergeCell ref="BD12:BD17"/>
    <mergeCell ref="BD19:BD27"/>
    <mergeCell ref="AL14:AL16"/>
    <mergeCell ref="AL17:AL19"/>
    <mergeCell ref="BE59:BG59"/>
    <mergeCell ref="BE62:BG62"/>
    <mergeCell ref="BD29:BD37"/>
    <mergeCell ref="BE61:BG61"/>
    <mergeCell ref="BE66:BG66"/>
    <mergeCell ref="AS36:AS38"/>
    <mergeCell ref="AU36:AU38"/>
    <mergeCell ref="ER5:ES6"/>
    <mergeCell ref="EU5:EU6"/>
    <mergeCell ref="EM5:EO5"/>
    <mergeCell ref="AW8:AX8"/>
    <mergeCell ref="AX9:AX11"/>
    <mergeCell ref="AZ45:AZ47"/>
    <mergeCell ref="DT6:DT7"/>
    <mergeCell ref="BF6:BF7"/>
    <mergeCell ref="CO6:CO7"/>
    <mergeCell ref="CU6:CV6"/>
    <mergeCell ref="CL6:CL7"/>
    <mergeCell ref="CN6:CN7"/>
    <mergeCell ref="BV6:BW7"/>
    <mergeCell ref="EG5:EL5"/>
    <mergeCell ref="DU6:DV6"/>
    <mergeCell ref="DW6:DX6"/>
    <mergeCell ref="DC6:DC7"/>
    <mergeCell ref="B49:C49"/>
    <mergeCell ref="AS39:AS41"/>
    <mergeCell ref="AU39:AU41"/>
    <mergeCell ref="AK45:AK47"/>
    <mergeCell ref="AL45:AL47"/>
    <mergeCell ref="AM45:AM47"/>
    <mergeCell ref="AO45:AO47"/>
    <mergeCell ref="BE57:BG57"/>
    <mergeCell ref="BE58:BG58"/>
    <mergeCell ref="AQ39:AR41"/>
    <mergeCell ref="AR45:AR47"/>
    <mergeCell ref="AS45:AS47"/>
    <mergeCell ref="AQ45:AQ47"/>
    <mergeCell ref="E80:K80"/>
    <mergeCell ref="B6:B7"/>
    <mergeCell ref="AL36:AL38"/>
    <mergeCell ref="B82:H82"/>
    <mergeCell ref="I82:K82"/>
    <mergeCell ref="AD4:AE4"/>
    <mergeCell ref="AF4:AG4"/>
    <mergeCell ref="L89:M89"/>
    <mergeCell ref="N89:O89"/>
    <mergeCell ref="I86:K86"/>
    <mergeCell ref="B79:C79"/>
    <mergeCell ref="B85:F85"/>
    <mergeCell ref="B73:C73"/>
    <mergeCell ref="B81:C81"/>
    <mergeCell ref="F81:G81"/>
    <mergeCell ref="H81:I81"/>
    <mergeCell ref="J81:K81"/>
    <mergeCell ref="B25:C25"/>
    <mergeCell ref="B13:C13"/>
    <mergeCell ref="B19:C19"/>
    <mergeCell ref="B67:C67"/>
    <mergeCell ref="B80:D80"/>
    <mergeCell ref="B37:C37"/>
    <mergeCell ref="B43:C43"/>
  </mergeCells>
  <conditionalFormatting sqref="B83">
    <cfRule type="expression" dxfId="1523" priority="532" stopIfTrue="1">
      <formula>$Q$97=0</formula>
    </cfRule>
  </conditionalFormatting>
  <conditionalFormatting sqref="B13">
    <cfRule type="expression" dxfId="1522" priority="530" stopIfTrue="1">
      <formula>$B8=$B14</formula>
    </cfRule>
  </conditionalFormatting>
  <conditionalFormatting sqref="M13 O13">
    <cfRule type="expression" dxfId="1521" priority="517" stopIfTrue="1">
      <formula>$B8=$B14</formula>
    </cfRule>
  </conditionalFormatting>
  <conditionalFormatting sqref="M19 O19">
    <cfRule type="expression" dxfId="1520" priority="516" stopIfTrue="1">
      <formula>$B14=$B20</formula>
    </cfRule>
  </conditionalFormatting>
  <conditionalFormatting sqref="M25 O25">
    <cfRule type="expression" dxfId="1519" priority="515" stopIfTrue="1">
      <formula>$B20=$B26</formula>
    </cfRule>
  </conditionalFormatting>
  <conditionalFormatting sqref="M31 O31">
    <cfRule type="expression" dxfId="1518" priority="514" stopIfTrue="1">
      <formula>$B26=$B32</formula>
    </cfRule>
  </conditionalFormatting>
  <conditionalFormatting sqref="M37 O37">
    <cfRule type="expression" dxfId="1517" priority="513" stopIfTrue="1">
      <formula>$B32=$B38</formula>
    </cfRule>
  </conditionalFormatting>
  <conditionalFormatting sqref="M43 O43">
    <cfRule type="expression" dxfId="1516" priority="512" stopIfTrue="1">
      <formula>$B38=$B44</formula>
    </cfRule>
  </conditionalFormatting>
  <conditionalFormatting sqref="M49 O49">
    <cfRule type="expression" dxfId="1515" priority="511" stopIfTrue="1">
      <formula>$B44=$B50</formula>
    </cfRule>
  </conditionalFormatting>
  <conditionalFormatting sqref="M55 O55">
    <cfRule type="expression" dxfId="1514" priority="510" stopIfTrue="1">
      <formula>$B50=$B56</formula>
    </cfRule>
  </conditionalFormatting>
  <conditionalFormatting sqref="M61 O61">
    <cfRule type="expression" dxfId="1513" priority="509" stopIfTrue="1">
      <formula>$B56=$B62</formula>
    </cfRule>
  </conditionalFormatting>
  <conditionalFormatting sqref="L8:O12 L14:O18 M13 L20:O24 M19 L26:O30 M25 L32:O36 M31 L38:O42 M37 L44:O48 M43 L50:O54 M49 L56:O60 M55 L62:O66 M61 M67 O13 O19 O67 O61 O55 O49 O43 O37 O31 O25 M73 O73 M79 O79">
    <cfRule type="expression" dxfId="1512" priority="508" stopIfTrue="1">
      <formula>$BE$3=2</formula>
    </cfRule>
  </conditionalFormatting>
  <conditionalFormatting sqref="O81:O82">
    <cfRule type="expression" dxfId="1511" priority="504" stopIfTrue="1">
      <formula>$BE$3=2</formula>
    </cfRule>
  </conditionalFormatting>
  <conditionalFormatting sqref="M81:M82">
    <cfRule type="expression" dxfId="1510" priority="505" stopIfTrue="1">
      <formula>$BE$3=2</formula>
    </cfRule>
  </conditionalFormatting>
  <conditionalFormatting sqref="J13">
    <cfRule type="expression" dxfId="1509" priority="422" stopIfTrue="1">
      <formula>$B8=$B14</formula>
    </cfRule>
  </conditionalFormatting>
  <conditionalFormatting sqref="L68:O72">
    <cfRule type="expression" dxfId="1508" priority="501" stopIfTrue="1">
      <formula>$BE$3=2</formula>
    </cfRule>
  </conditionalFormatting>
  <conditionalFormatting sqref="L74:O78">
    <cfRule type="expression" dxfId="1507" priority="495" stopIfTrue="1">
      <formula>$BE$3=2</formula>
    </cfRule>
  </conditionalFormatting>
  <conditionalFormatting sqref="J13">
    <cfRule type="expression" dxfId="1506" priority="502" stopIfTrue="1">
      <formula>$M13=0</formula>
    </cfRule>
  </conditionalFormatting>
  <conditionalFormatting sqref="J19">
    <cfRule type="expression" dxfId="1505" priority="406" stopIfTrue="1">
      <formula>$B14=$B20</formula>
    </cfRule>
  </conditionalFormatting>
  <conditionalFormatting sqref="J19">
    <cfRule type="expression" dxfId="1504" priority="407" stopIfTrue="1">
      <formula>$M19=0</formula>
    </cfRule>
  </conditionalFormatting>
  <conditionalFormatting sqref="J25">
    <cfRule type="expression" dxfId="1503" priority="404" stopIfTrue="1">
      <formula>$B20=$B26</formula>
    </cfRule>
  </conditionalFormatting>
  <conditionalFormatting sqref="J25">
    <cfRule type="expression" dxfId="1502" priority="405" stopIfTrue="1">
      <formula>$M25=0</formula>
    </cfRule>
  </conditionalFormatting>
  <conditionalFormatting sqref="J31">
    <cfRule type="expression" dxfId="1501" priority="402" stopIfTrue="1">
      <formula>$B26=$B32</formula>
    </cfRule>
  </conditionalFormatting>
  <conditionalFormatting sqref="J31">
    <cfRule type="expression" dxfId="1500" priority="403" stopIfTrue="1">
      <formula>$M31=0</formula>
    </cfRule>
  </conditionalFormatting>
  <conditionalFormatting sqref="J37">
    <cfRule type="expression" dxfId="1499" priority="400" stopIfTrue="1">
      <formula>$B32=$B38</formula>
    </cfRule>
  </conditionalFormatting>
  <conditionalFormatting sqref="J37">
    <cfRule type="expression" dxfId="1498" priority="401" stopIfTrue="1">
      <formula>$M37=0</formula>
    </cfRule>
  </conditionalFormatting>
  <conditionalFormatting sqref="J43">
    <cfRule type="expression" dxfId="1497" priority="398" stopIfTrue="1">
      <formula>$B38=$B44</formula>
    </cfRule>
  </conditionalFormatting>
  <conditionalFormatting sqref="J43">
    <cfRule type="expression" dxfId="1496" priority="399" stopIfTrue="1">
      <formula>$M43=0</formula>
    </cfRule>
  </conditionalFormatting>
  <conditionalFormatting sqref="J49">
    <cfRule type="expression" dxfId="1495" priority="396" stopIfTrue="1">
      <formula>$B44=$B50</formula>
    </cfRule>
  </conditionalFormatting>
  <conditionalFormatting sqref="J49">
    <cfRule type="expression" dxfId="1494" priority="397" stopIfTrue="1">
      <formula>$M49=0</formula>
    </cfRule>
  </conditionalFormatting>
  <conditionalFormatting sqref="J55">
    <cfRule type="expression" dxfId="1493" priority="394" stopIfTrue="1">
      <formula>$B50=$B56</formula>
    </cfRule>
  </conditionalFormatting>
  <conditionalFormatting sqref="J55">
    <cfRule type="expression" dxfId="1492" priority="395" stopIfTrue="1">
      <formula>$M55=0</formula>
    </cfRule>
  </conditionalFormatting>
  <conditionalFormatting sqref="J61">
    <cfRule type="expression" dxfId="1491" priority="392" stopIfTrue="1">
      <formula>$B56=$B62</formula>
    </cfRule>
  </conditionalFormatting>
  <conditionalFormatting sqref="J61">
    <cfRule type="expression" dxfId="1490" priority="393" stopIfTrue="1">
      <formula>$M61=0</formula>
    </cfRule>
  </conditionalFormatting>
  <conditionalFormatting sqref="J67">
    <cfRule type="expression" dxfId="1489" priority="390" stopIfTrue="1">
      <formula>$B62=$B68</formula>
    </cfRule>
  </conditionalFormatting>
  <conditionalFormatting sqref="J67">
    <cfRule type="expression" dxfId="1488" priority="391" stopIfTrue="1">
      <formula>$M67=0</formula>
    </cfRule>
  </conditionalFormatting>
  <conditionalFormatting sqref="J73">
    <cfRule type="expression" dxfId="1487" priority="388" stopIfTrue="1">
      <formula>$B68=$B74</formula>
    </cfRule>
  </conditionalFormatting>
  <conditionalFormatting sqref="J73">
    <cfRule type="expression" dxfId="1486" priority="389" stopIfTrue="1">
      <formula>$M73=0</formula>
    </cfRule>
  </conditionalFormatting>
  <conditionalFormatting sqref="J79">
    <cfRule type="expression" dxfId="1485" priority="386" stopIfTrue="1">
      <formula>$B74=$B80</formula>
    </cfRule>
  </conditionalFormatting>
  <conditionalFormatting sqref="J79">
    <cfRule type="expression" dxfId="1484" priority="387" stopIfTrue="1">
      <formula>$M79=0</formula>
    </cfRule>
  </conditionalFormatting>
  <conditionalFormatting sqref="Q68:Q72">
    <cfRule type="expression" dxfId="1483" priority="365" stopIfTrue="1">
      <formula>$DE68&lt;&gt;""</formula>
    </cfRule>
    <cfRule type="expression" dxfId="1482" priority="366" stopIfTrue="1">
      <formula>$EU68=1</formula>
    </cfRule>
  </conditionalFormatting>
  <conditionalFormatting sqref="Q74:Q78">
    <cfRule type="expression" dxfId="1481" priority="363" stopIfTrue="1">
      <formula>$DE74&lt;&gt;""</formula>
    </cfRule>
    <cfRule type="expression" dxfId="1480" priority="364" stopIfTrue="1">
      <formula>$EU74=1</formula>
    </cfRule>
  </conditionalFormatting>
  <conditionalFormatting sqref="L88">
    <cfRule type="expression" dxfId="1479" priority="348" stopIfTrue="1">
      <formula>$L$90&lt;$L$92</formula>
    </cfRule>
  </conditionalFormatting>
  <conditionalFormatting sqref="N88">
    <cfRule type="expression" dxfId="1478" priority="347" stopIfTrue="1">
      <formula>$N$90&lt;$N$92</formula>
    </cfRule>
  </conditionalFormatting>
  <conditionalFormatting sqref="L90">
    <cfRule type="expression" dxfId="1477" priority="346" stopIfTrue="1">
      <formula>$L$90&lt;$L$92</formula>
    </cfRule>
  </conditionalFormatting>
  <conditionalFormatting sqref="N90">
    <cfRule type="expression" dxfId="1476" priority="345" stopIfTrue="1">
      <formula>$N$90&lt;$N$92</formula>
    </cfRule>
  </conditionalFormatting>
  <conditionalFormatting sqref="M90">
    <cfRule type="expression" dxfId="1475" priority="349" stopIfTrue="1">
      <formula>$M$90&lt;$L$92</formula>
    </cfRule>
  </conditionalFormatting>
  <conditionalFormatting sqref="O90">
    <cfRule type="expression" dxfId="1474" priority="350" stopIfTrue="1">
      <formula>$O$90&lt;$N$92</formula>
    </cfRule>
  </conditionalFormatting>
  <conditionalFormatting sqref="O88">
    <cfRule type="expression" dxfId="1473" priority="351" stopIfTrue="1">
      <formula>$O$90&lt;$N$92</formula>
    </cfRule>
  </conditionalFormatting>
  <conditionalFormatting sqref="M88">
    <cfRule type="expression" dxfId="1472" priority="352" stopIfTrue="1">
      <formula>$M$90&lt;$L$92</formula>
    </cfRule>
  </conditionalFormatting>
  <conditionalFormatting sqref="AD3">
    <cfRule type="expression" dxfId="1471" priority="339" stopIfTrue="1">
      <formula>$AD$5&lt;$AD$7</formula>
    </cfRule>
  </conditionalFormatting>
  <conditionalFormatting sqref="AF3">
    <cfRule type="expression" dxfId="1470" priority="338" stopIfTrue="1">
      <formula>$AF$5&lt;$AF$7</formula>
    </cfRule>
  </conditionalFormatting>
  <conditionalFormatting sqref="AG3">
    <cfRule type="expression" dxfId="1469" priority="342" stopIfTrue="1">
      <formula>$AG$5&lt;$AF$7</formula>
    </cfRule>
  </conditionalFormatting>
  <conditionalFormatting sqref="AE3">
    <cfRule type="expression" dxfId="1468" priority="343" stopIfTrue="1">
      <formula>$AE$5&lt;$AD$7</formula>
    </cfRule>
  </conditionalFormatting>
  <conditionalFormatting sqref="I90:K90">
    <cfRule type="expression" dxfId="1467" priority="335" stopIfTrue="1">
      <formula>$I$90="External Line Totals Not Reached"</formula>
    </cfRule>
  </conditionalFormatting>
  <conditionalFormatting sqref="B19">
    <cfRule type="expression" dxfId="1466" priority="334" stopIfTrue="1">
      <formula>$B14=$B20</formula>
    </cfRule>
  </conditionalFormatting>
  <conditionalFormatting sqref="B25">
    <cfRule type="expression" dxfId="1465" priority="333" stopIfTrue="1">
      <formula>$B20=$B26</formula>
    </cfRule>
  </conditionalFormatting>
  <conditionalFormatting sqref="B31">
    <cfRule type="expression" dxfId="1464" priority="332" stopIfTrue="1">
      <formula>$B26=$B32</formula>
    </cfRule>
  </conditionalFormatting>
  <conditionalFormatting sqref="B37">
    <cfRule type="expression" dxfId="1463" priority="331" stopIfTrue="1">
      <formula>$B32=$B38</formula>
    </cfRule>
  </conditionalFormatting>
  <conditionalFormatting sqref="B43">
    <cfRule type="expression" dxfId="1462" priority="330" stopIfTrue="1">
      <formula>$B38=$B44</formula>
    </cfRule>
  </conditionalFormatting>
  <conditionalFormatting sqref="B49">
    <cfRule type="expression" dxfId="1461" priority="329" stopIfTrue="1">
      <formula>$B44=$B50</formula>
    </cfRule>
  </conditionalFormatting>
  <conditionalFormatting sqref="B55">
    <cfRule type="expression" dxfId="1460" priority="328" stopIfTrue="1">
      <formula>$B50=$B56</formula>
    </cfRule>
  </conditionalFormatting>
  <conditionalFormatting sqref="B61">
    <cfRule type="expression" dxfId="1459" priority="327" stopIfTrue="1">
      <formula>$B56=$B62</formula>
    </cfRule>
  </conditionalFormatting>
  <conditionalFormatting sqref="B67">
    <cfRule type="expression" dxfId="1458" priority="326" stopIfTrue="1">
      <formula>$B62=$B68</formula>
    </cfRule>
  </conditionalFormatting>
  <conditionalFormatting sqref="B73">
    <cfRule type="expression" dxfId="1457" priority="325" stopIfTrue="1">
      <formula>$B68=$B74</formula>
    </cfRule>
  </conditionalFormatting>
  <conditionalFormatting sqref="B79">
    <cfRule type="expression" dxfId="1456" priority="324" stopIfTrue="1">
      <formula>$B74=$B92</formula>
    </cfRule>
  </conditionalFormatting>
  <conditionalFormatting sqref="K19">
    <cfRule type="expression" dxfId="1455" priority="291" stopIfTrue="1">
      <formula>$B14=$B20</formula>
    </cfRule>
  </conditionalFormatting>
  <conditionalFormatting sqref="K13">
    <cfRule type="expression" dxfId="1454" priority="289" stopIfTrue="1">
      <formula>$B8=$B14</formula>
    </cfRule>
  </conditionalFormatting>
  <conditionalFormatting sqref="K45:K48">
    <cfRule type="expression" dxfId="1453" priority="290" stopIfTrue="1">
      <formula>$EM45="Error"</formula>
    </cfRule>
  </conditionalFormatting>
  <conditionalFormatting sqref="K44">
    <cfRule type="expression" dxfId="1452" priority="288" stopIfTrue="1">
      <formula>$EM44="Error"</formula>
    </cfRule>
  </conditionalFormatting>
  <conditionalFormatting sqref="K42">
    <cfRule type="expression" dxfId="1451" priority="287" stopIfTrue="1">
      <formula>$EM42="Error"</formula>
    </cfRule>
  </conditionalFormatting>
  <conditionalFormatting sqref="K41">
    <cfRule type="expression" dxfId="1450" priority="286" stopIfTrue="1">
      <formula>$EM41="Error"</formula>
    </cfRule>
  </conditionalFormatting>
  <conditionalFormatting sqref="K40">
    <cfRule type="expression" dxfId="1449" priority="285" stopIfTrue="1">
      <formula>$EM40="Error"</formula>
    </cfRule>
  </conditionalFormatting>
  <conditionalFormatting sqref="K39">
    <cfRule type="expression" dxfId="1448" priority="284" stopIfTrue="1">
      <formula>$EM39="Error"</formula>
    </cfRule>
  </conditionalFormatting>
  <conditionalFormatting sqref="K38">
    <cfRule type="expression" dxfId="1447" priority="283" stopIfTrue="1">
      <formula>$EM38="Error"</formula>
    </cfRule>
  </conditionalFormatting>
  <conditionalFormatting sqref="K36">
    <cfRule type="expression" dxfId="1446" priority="282" stopIfTrue="1">
      <formula>$EM36="Error"</formula>
    </cfRule>
  </conditionalFormatting>
  <conditionalFormatting sqref="K35">
    <cfRule type="expression" dxfId="1445" priority="281" stopIfTrue="1">
      <formula>$EM35="Error"</formula>
    </cfRule>
  </conditionalFormatting>
  <conditionalFormatting sqref="K34">
    <cfRule type="expression" dxfId="1444" priority="280" stopIfTrue="1">
      <formula>$EM34="Error"</formula>
    </cfRule>
  </conditionalFormatting>
  <conditionalFormatting sqref="K33">
    <cfRule type="expression" dxfId="1443" priority="279" stopIfTrue="1">
      <formula>$EM33="Error"</formula>
    </cfRule>
  </conditionalFormatting>
  <conditionalFormatting sqref="K32">
    <cfRule type="expression" dxfId="1442" priority="278" stopIfTrue="1">
      <formula>$EM32="Error"</formula>
    </cfRule>
  </conditionalFormatting>
  <conditionalFormatting sqref="K30">
    <cfRule type="expression" dxfId="1441" priority="277" stopIfTrue="1">
      <formula>$EM30="Error"</formula>
    </cfRule>
  </conditionalFormatting>
  <conditionalFormatting sqref="K29">
    <cfRule type="expression" dxfId="1440" priority="276" stopIfTrue="1">
      <formula>$EM29="Error"</formula>
    </cfRule>
  </conditionalFormatting>
  <conditionalFormatting sqref="K28">
    <cfRule type="expression" dxfId="1439" priority="275" stopIfTrue="1">
      <formula>$EM28="Error"</formula>
    </cfRule>
  </conditionalFormatting>
  <conditionalFormatting sqref="K27">
    <cfRule type="expression" dxfId="1438" priority="274" stopIfTrue="1">
      <formula>$EM27="Error"</formula>
    </cfRule>
  </conditionalFormatting>
  <conditionalFormatting sqref="K26">
    <cfRule type="expression" dxfId="1437" priority="273" stopIfTrue="1">
      <formula>$EM26="Error"</formula>
    </cfRule>
  </conditionalFormatting>
  <conditionalFormatting sqref="K24">
    <cfRule type="expression" dxfId="1436" priority="272" stopIfTrue="1">
      <formula>$EM24="Error"</formula>
    </cfRule>
  </conditionalFormatting>
  <conditionalFormatting sqref="K23">
    <cfRule type="expression" dxfId="1435" priority="271" stopIfTrue="1">
      <formula>$EM23="Error"</formula>
    </cfRule>
  </conditionalFormatting>
  <conditionalFormatting sqref="K22">
    <cfRule type="expression" dxfId="1434" priority="270" stopIfTrue="1">
      <formula>$EM22="Error"</formula>
    </cfRule>
  </conditionalFormatting>
  <conditionalFormatting sqref="K21">
    <cfRule type="expression" dxfId="1433" priority="269" stopIfTrue="1">
      <formula>$EM21="Error"</formula>
    </cfRule>
  </conditionalFormatting>
  <conditionalFormatting sqref="K20">
    <cfRule type="expression" dxfId="1432" priority="268" stopIfTrue="1">
      <formula>$EM20="Error"</formula>
    </cfRule>
  </conditionalFormatting>
  <conditionalFormatting sqref="K18">
    <cfRule type="expression" dxfId="1431" priority="267" stopIfTrue="1">
      <formula>$EM18="Error"</formula>
    </cfRule>
  </conditionalFormatting>
  <conditionalFormatting sqref="K17">
    <cfRule type="expression" dxfId="1430" priority="266" stopIfTrue="1">
      <formula>$EM17="Error"</formula>
    </cfRule>
  </conditionalFormatting>
  <conditionalFormatting sqref="K16">
    <cfRule type="expression" dxfId="1429" priority="265" stopIfTrue="1">
      <formula>$EM16="Error"</formula>
    </cfRule>
  </conditionalFormatting>
  <conditionalFormatting sqref="K15">
    <cfRule type="expression" dxfId="1428" priority="264" stopIfTrue="1">
      <formula>$EM15="Error"</formula>
    </cfRule>
  </conditionalFormatting>
  <conditionalFormatting sqref="K14">
    <cfRule type="expression" dxfId="1427" priority="263" stopIfTrue="1">
      <formula>$EM14="Error"</formula>
    </cfRule>
  </conditionalFormatting>
  <conditionalFormatting sqref="K12">
    <cfRule type="expression" dxfId="1426" priority="262" stopIfTrue="1">
      <formula>$EM12="Error"</formula>
    </cfRule>
  </conditionalFormatting>
  <conditionalFormatting sqref="K8">
    <cfRule type="expression" dxfId="1425" priority="258" stopIfTrue="1">
      <formula>$EM8="Error"</formula>
    </cfRule>
  </conditionalFormatting>
  <conditionalFormatting sqref="K11">
    <cfRule type="expression" dxfId="1424" priority="261" stopIfTrue="1">
      <formula>$EM11="Error"</formula>
    </cfRule>
  </conditionalFormatting>
  <conditionalFormatting sqref="K10">
    <cfRule type="expression" dxfId="1423" priority="260" stopIfTrue="1">
      <formula>$EM10="Error"</formula>
    </cfRule>
  </conditionalFormatting>
  <conditionalFormatting sqref="K9">
    <cfRule type="expression" dxfId="1422" priority="259" stopIfTrue="1">
      <formula>$EM9="Error"</formula>
    </cfRule>
  </conditionalFormatting>
  <conditionalFormatting sqref="K51:K54">
    <cfRule type="expression" dxfId="1421" priority="257" stopIfTrue="1">
      <formula>$EM51="Error"</formula>
    </cfRule>
  </conditionalFormatting>
  <conditionalFormatting sqref="K50">
    <cfRule type="expression" dxfId="1420" priority="256" stopIfTrue="1">
      <formula>$EM50="Error"</formula>
    </cfRule>
  </conditionalFormatting>
  <conditionalFormatting sqref="K57:K60">
    <cfRule type="expression" dxfId="1419" priority="255" stopIfTrue="1">
      <formula>$EM57="Error"</formula>
    </cfRule>
  </conditionalFormatting>
  <conditionalFormatting sqref="K56">
    <cfRule type="expression" dxfId="1418" priority="254" stopIfTrue="1">
      <formula>$EM56="Error"</formula>
    </cfRule>
  </conditionalFormatting>
  <conditionalFormatting sqref="K63:K66">
    <cfRule type="expression" dxfId="1417" priority="253" stopIfTrue="1">
      <formula>$EM63="Error"</formula>
    </cfRule>
  </conditionalFormatting>
  <conditionalFormatting sqref="K62">
    <cfRule type="expression" dxfId="1416" priority="252" stopIfTrue="1">
      <formula>$EM62="Error"</formula>
    </cfRule>
  </conditionalFormatting>
  <conditionalFormatting sqref="K69:K72">
    <cfRule type="expression" dxfId="1415" priority="251" stopIfTrue="1">
      <formula>$EM69="Error"</formula>
    </cfRule>
  </conditionalFormatting>
  <conditionalFormatting sqref="K68">
    <cfRule type="expression" dxfId="1414" priority="250" stopIfTrue="1">
      <formula>$EM68="Error"</formula>
    </cfRule>
  </conditionalFormatting>
  <conditionalFormatting sqref="K75:K78">
    <cfRule type="expression" dxfId="1413" priority="249" stopIfTrue="1">
      <formula>$EM75="Error"</formula>
    </cfRule>
  </conditionalFormatting>
  <conditionalFormatting sqref="K74">
    <cfRule type="expression" dxfId="1412" priority="248" stopIfTrue="1">
      <formula>$EM74="Error"</formula>
    </cfRule>
  </conditionalFormatting>
  <conditionalFormatting sqref="H8:H12">
    <cfRule type="expression" dxfId="1411" priority="247" stopIfTrue="1">
      <formula>$ES8="Changed"</formula>
    </cfRule>
  </conditionalFormatting>
  <conditionalFormatting sqref="H14:H18">
    <cfRule type="expression" dxfId="1410" priority="246" stopIfTrue="1">
      <formula>$ES14="Changed"</formula>
    </cfRule>
  </conditionalFormatting>
  <conditionalFormatting sqref="H20:H24">
    <cfRule type="expression" dxfId="1409" priority="245" stopIfTrue="1">
      <formula>$ES20="Changed"</formula>
    </cfRule>
  </conditionalFormatting>
  <conditionalFormatting sqref="H26:H30">
    <cfRule type="expression" dxfId="1408" priority="244" stopIfTrue="1">
      <formula>$ES26="Changed"</formula>
    </cfRule>
  </conditionalFormatting>
  <conditionalFormatting sqref="H32:H36">
    <cfRule type="expression" dxfId="1407" priority="243" stopIfTrue="1">
      <formula>$ES32="Changed"</formula>
    </cfRule>
  </conditionalFormatting>
  <conditionalFormatting sqref="H38:H42">
    <cfRule type="expression" dxfId="1406" priority="242" stopIfTrue="1">
      <formula>$ES38="Changed"</formula>
    </cfRule>
  </conditionalFormatting>
  <conditionalFormatting sqref="H44:H48">
    <cfRule type="expression" dxfId="1405" priority="241" stopIfTrue="1">
      <formula>$ES44="Changed"</formula>
    </cfRule>
  </conditionalFormatting>
  <conditionalFormatting sqref="H50:H54">
    <cfRule type="expression" dxfId="1404" priority="240" stopIfTrue="1">
      <formula>$ES50="Changed"</formula>
    </cfRule>
  </conditionalFormatting>
  <conditionalFormatting sqref="H56:H60">
    <cfRule type="expression" dxfId="1403" priority="239" stopIfTrue="1">
      <formula>$ES56="Changed"</formula>
    </cfRule>
  </conditionalFormatting>
  <conditionalFormatting sqref="H62:H66">
    <cfRule type="expression" dxfId="1402" priority="238" stopIfTrue="1">
      <formula>$ES62="Changed"</formula>
    </cfRule>
  </conditionalFormatting>
  <conditionalFormatting sqref="H68:H72">
    <cfRule type="expression" dxfId="1401" priority="237" stopIfTrue="1">
      <formula>$ES68="Changed"</formula>
    </cfRule>
  </conditionalFormatting>
  <conditionalFormatting sqref="H74:H78">
    <cfRule type="expression" dxfId="1400" priority="236" stopIfTrue="1">
      <formula>$ES74="Changed"</formula>
    </cfRule>
  </conditionalFormatting>
  <conditionalFormatting sqref="AU67">
    <cfRule type="expression" dxfId="1399" priority="218">
      <formula>$AK67="E"</formula>
    </cfRule>
  </conditionalFormatting>
  <conditionalFormatting sqref="AU57">
    <cfRule type="expression" dxfId="1398" priority="228">
      <formula>$AK57="E"</formula>
    </cfRule>
  </conditionalFormatting>
  <conditionalFormatting sqref="AU58">
    <cfRule type="expression" dxfId="1397" priority="227">
      <formula>$AK58="E"</formula>
    </cfRule>
  </conditionalFormatting>
  <conditionalFormatting sqref="AU59">
    <cfRule type="expression" dxfId="1396" priority="226">
      <formula>$AK59="E"</formula>
    </cfRule>
  </conditionalFormatting>
  <conditionalFormatting sqref="AU60">
    <cfRule type="expression" dxfId="1395" priority="225">
      <formula>$AK60="E"</formula>
    </cfRule>
  </conditionalFormatting>
  <conditionalFormatting sqref="AU61">
    <cfRule type="expression" dxfId="1394" priority="224">
      <formula>$AK61="E"</formula>
    </cfRule>
  </conditionalFormatting>
  <conditionalFormatting sqref="AU62">
    <cfRule type="expression" dxfId="1393" priority="223">
      <formula>$AK62="E"</formula>
    </cfRule>
  </conditionalFormatting>
  <conditionalFormatting sqref="AU63">
    <cfRule type="expression" dxfId="1392" priority="222">
      <formula>$AK63="E"</formula>
    </cfRule>
  </conditionalFormatting>
  <conditionalFormatting sqref="AU64">
    <cfRule type="expression" dxfId="1391" priority="221">
      <formula>$AK64="E"</formula>
    </cfRule>
  </conditionalFormatting>
  <conditionalFormatting sqref="AU65">
    <cfRule type="expression" dxfId="1390" priority="220">
      <formula>$AK65="E"</formula>
    </cfRule>
  </conditionalFormatting>
  <conditionalFormatting sqref="AU66">
    <cfRule type="expression" dxfId="1389" priority="219">
      <formula>$AK66="E"</formula>
    </cfRule>
  </conditionalFormatting>
  <conditionalFormatting sqref="AN48:AP67">
    <cfRule type="expression" dxfId="1388" priority="235" stopIfTrue="1">
      <formula>$BD$3=2</formula>
    </cfRule>
  </conditionalFormatting>
  <conditionalFormatting sqref="AJ3">
    <cfRule type="expression" dxfId="1387" priority="234" stopIfTrue="1">
      <formula>$L$88&lt;$L$89</formula>
    </cfRule>
  </conditionalFormatting>
  <conditionalFormatting sqref="AK3">
    <cfRule type="expression" dxfId="1386" priority="233" stopIfTrue="1">
      <formula>$AE$3&lt;$AD$4</formula>
    </cfRule>
  </conditionalFormatting>
  <conditionalFormatting sqref="AL3">
    <cfRule type="expression" dxfId="1385" priority="232" stopIfTrue="1">
      <formula>$N$88&lt;$N$89</formula>
    </cfRule>
  </conditionalFormatting>
  <conditionalFormatting sqref="AK2">
    <cfRule type="expression" dxfId="1384" priority="231" stopIfTrue="1">
      <formula>$AE$3&lt;$AD$4</formula>
    </cfRule>
  </conditionalFormatting>
  <conditionalFormatting sqref="AJ2">
    <cfRule type="expression" dxfId="1383" priority="230" stopIfTrue="1">
      <formula>$L$88&lt;$L$89</formula>
    </cfRule>
  </conditionalFormatting>
  <conditionalFormatting sqref="AL2">
    <cfRule type="expression" dxfId="1382" priority="229" stopIfTrue="1">
      <formula>$N$88&lt;$N$89</formula>
    </cfRule>
  </conditionalFormatting>
  <conditionalFormatting sqref="I3:J3">
    <cfRule type="expression" dxfId="1381" priority="212" stopIfTrue="1">
      <formula>$BG$5="Yes"</formula>
    </cfRule>
  </conditionalFormatting>
  <conditionalFormatting sqref="L4:L5 N4:N5 O2:O3 M2:M3">
    <cfRule type="expression" dxfId="1380" priority="211" stopIfTrue="1">
      <formula>$BE$3=1</formula>
    </cfRule>
  </conditionalFormatting>
  <conditionalFormatting sqref="AD5">
    <cfRule type="expression" dxfId="1379" priority="208" stopIfTrue="1">
      <formula>$AD$5&lt;$AD$7</formula>
    </cfRule>
  </conditionalFormatting>
  <conditionalFormatting sqref="AF5">
    <cfRule type="expression" dxfId="1378" priority="207" stopIfTrue="1">
      <formula>$AF$5&lt;$AF$7</formula>
    </cfRule>
  </conditionalFormatting>
  <conditionalFormatting sqref="AE5">
    <cfRule type="expression" dxfId="1377" priority="209" stopIfTrue="1">
      <formula>$AE$5&lt;$AD$7</formula>
    </cfRule>
  </conditionalFormatting>
  <conditionalFormatting sqref="AG5">
    <cfRule type="expression" dxfId="1376" priority="210" stopIfTrue="1">
      <formula>$AG$5&lt;$AF$7</formula>
    </cfRule>
  </conditionalFormatting>
  <conditionalFormatting sqref="AN36:AP41 AN13:AP22 AN24:AP34">
    <cfRule type="expression" dxfId="1375" priority="206" stopIfTrue="1">
      <formula>$BD$3=2</formula>
    </cfRule>
  </conditionalFormatting>
  <conditionalFormatting sqref="Q8">
    <cfRule type="expression" dxfId="1374" priority="204" stopIfTrue="1">
      <formula>$DE8&lt;&gt;""</formula>
    </cfRule>
    <cfRule type="expression" dxfId="1373" priority="205" stopIfTrue="1">
      <formula>$EU8=1</formula>
    </cfRule>
  </conditionalFormatting>
  <conditionalFormatting sqref="Q9">
    <cfRule type="expression" dxfId="1372" priority="202" stopIfTrue="1">
      <formula>$DE9&lt;&gt;""</formula>
    </cfRule>
    <cfRule type="expression" dxfId="1371" priority="203" stopIfTrue="1">
      <formula>$EU9=1</formula>
    </cfRule>
  </conditionalFormatting>
  <conditionalFormatting sqref="Q10">
    <cfRule type="expression" dxfId="1370" priority="200" stopIfTrue="1">
      <formula>$DE10&lt;&gt;""</formula>
    </cfRule>
    <cfRule type="expression" dxfId="1369" priority="201" stopIfTrue="1">
      <formula>$EU10=1</formula>
    </cfRule>
  </conditionalFormatting>
  <conditionalFormatting sqref="Q11">
    <cfRule type="expression" dxfId="1368" priority="198" stopIfTrue="1">
      <formula>$DE11&lt;&gt;""</formula>
    </cfRule>
    <cfRule type="expression" dxfId="1367" priority="199" stopIfTrue="1">
      <formula>$EU11=1</formula>
    </cfRule>
  </conditionalFormatting>
  <conditionalFormatting sqref="Q12">
    <cfRule type="expression" dxfId="1366" priority="196" stopIfTrue="1">
      <formula>$DE12&lt;&gt;""</formula>
    </cfRule>
    <cfRule type="expression" dxfId="1365" priority="197" stopIfTrue="1">
      <formula>$EU12=1</formula>
    </cfRule>
  </conditionalFormatting>
  <conditionalFormatting sqref="Q14">
    <cfRule type="expression" dxfId="1364" priority="194" stopIfTrue="1">
      <formula>$DE14&lt;&gt;""</formula>
    </cfRule>
    <cfRule type="expression" dxfId="1363" priority="195" stopIfTrue="1">
      <formula>$EU14=1</formula>
    </cfRule>
  </conditionalFormatting>
  <conditionalFormatting sqref="Q15">
    <cfRule type="expression" dxfId="1362" priority="192" stopIfTrue="1">
      <formula>$DE15&lt;&gt;""</formula>
    </cfRule>
    <cfRule type="expression" dxfId="1361" priority="193" stopIfTrue="1">
      <formula>$EU15=1</formula>
    </cfRule>
  </conditionalFormatting>
  <conditionalFormatting sqref="Q16">
    <cfRule type="expression" dxfId="1360" priority="190" stopIfTrue="1">
      <formula>$DE16&lt;&gt;""</formula>
    </cfRule>
    <cfRule type="expression" dxfId="1359" priority="191" stopIfTrue="1">
      <formula>$EU16=1</formula>
    </cfRule>
  </conditionalFormatting>
  <conditionalFormatting sqref="Q17">
    <cfRule type="expression" dxfId="1358" priority="188" stopIfTrue="1">
      <formula>$DE17&lt;&gt;""</formula>
    </cfRule>
    <cfRule type="expression" dxfId="1357" priority="189" stopIfTrue="1">
      <formula>$EU17=1</formula>
    </cfRule>
  </conditionalFormatting>
  <conditionalFormatting sqref="Q18">
    <cfRule type="expression" dxfId="1356" priority="186" stopIfTrue="1">
      <formula>$DE18&lt;&gt;""</formula>
    </cfRule>
    <cfRule type="expression" dxfId="1355" priority="187" stopIfTrue="1">
      <formula>$EU18=1</formula>
    </cfRule>
  </conditionalFormatting>
  <conditionalFormatting sqref="Q20">
    <cfRule type="expression" dxfId="1354" priority="184" stopIfTrue="1">
      <formula>$DE20&lt;&gt;""</formula>
    </cfRule>
    <cfRule type="expression" dxfId="1353" priority="185" stopIfTrue="1">
      <formula>$EU20=1</formula>
    </cfRule>
  </conditionalFormatting>
  <conditionalFormatting sqref="Q21">
    <cfRule type="expression" dxfId="1352" priority="182" stopIfTrue="1">
      <formula>$DE21&lt;&gt;""</formula>
    </cfRule>
    <cfRule type="expression" dxfId="1351" priority="183" stopIfTrue="1">
      <formula>$EU21=1</formula>
    </cfRule>
  </conditionalFormatting>
  <conditionalFormatting sqref="Q22">
    <cfRule type="expression" dxfId="1350" priority="180" stopIfTrue="1">
      <formula>$DE22&lt;&gt;""</formula>
    </cfRule>
    <cfRule type="expression" dxfId="1349" priority="181" stopIfTrue="1">
      <formula>$EU22=1</formula>
    </cfRule>
  </conditionalFormatting>
  <conditionalFormatting sqref="Q23">
    <cfRule type="expression" dxfId="1348" priority="178" stopIfTrue="1">
      <formula>$DE23&lt;&gt;""</formula>
    </cfRule>
    <cfRule type="expression" dxfId="1347" priority="179" stopIfTrue="1">
      <formula>$EU23=1</formula>
    </cfRule>
  </conditionalFormatting>
  <conditionalFormatting sqref="Q24">
    <cfRule type="expression" dxfId="1346" priority="176" stopIfTrue="1">
      <formula>$DE24&lt;&gt;""</formula>
    </cfRule>
    <cfRule type="expression" dxfId="1345" priority="177" stopIfTrue="1">
      <formula>$EU24=1</formula>
    </cfRule>
  </conditionalFormatting>
  <conditionalFormatting sqref="Q26">
    <cfRule type="expression" dxfId="1344" priority="174" stopIfTrue="1">
      <formula>$DE26&lt;&gt;""</formula>
    </cfRule>
    <cfRule type="expression" dxfId="1343" priority="175" stopIfTrue="1">
      <formula>$EU26=1</formula>
    </cfRule>
  </conditionalFormatting>
  <conditionalFormatting sqref="Q27">
    <cfRule type="expression" dxfId="1342" priority="172" stopIfTrue="1">
      <formula>$DE27&lt;&gt;""</formula>
    </cfRule>
    <cfRule type="expression" dxfId="1341" priority="173" stopIfTrue="1">
      <formula>$EU27=1</formula>
    </cfRule>
  </conditionalFormatting>
  <conditionalFormatting sqref="Q28">
    <cfRule type="expression" dxfId="1340" priority="170" stopIfTrue="1">
      <formula>$DE28&lt;&gt;""</formula>
    </cfRule>
    <cfRule type="expression" dxfId="1339" priority="171" stopIfTrue="1">
      <formula>$EU28=1</formula>
    </cfRule>
  </conditionalFormatting>
  <conditionalFormatting sqref="Q29">
    <cfRule type="expression" dxfId="1338" priority="168" stopIfTrue="1">
      <formula>$DE29&lt;&gt;""</formula>
    </cfRule>
    <cfRule type="expression" dxfId="1337" priority="169" stopIfTrue="1">
      <formula>$EU29=1</formula>
    </cfRule>
  </conditionalFormatting>
  <conditionalFormatting sqref="Q30">
    <cfRule type="expression" dxfId="1336" priority="166" stopIfTrue="1">
      <formula>$DE30&lt;&gt;""</formula>
    </cfRule>
    <cfRule type="expression" dxfId="1335" priority="167" stopIfTrue="1">
      <formula>$EU30=1</formula>
    </cfRule>
  </conditionalFormatting>
  <conditionalFormatting sqref="Q32">
    <cfRule type="expression" dxfId="1334" priority="164" stopIfTrue="1">
      <formula>$DE32&lt;&gt;""</formula>
    </cfRule>
    <cfRule type="expression" dxfId="1333" priority="165" stopIfTrue="1">
      <formula>$EU32=1</formula>
    </cfRule>
  </conditionalFormatting>
  <conditionalFormatting sqref="Q33">
    <cfRule type="expression" dxfId="1332" priority="162" stopIfTrue="1">
      <formula>$DE33&lt;&gt;""</formula>
    </cfRule>
    <cfRule type="expression" dxfId="1331" priority="163" stopIfTrue="1">
      <formula>$EU33=1</formula>
    </cfRule>
  </conditionalFormatting>
  <conditionalFormatting sqref="Q34">
    <cfRule type="expression" dxfId="1330" priority="160" stopIfTrue="1">
      <formula>$DE34&lt;&gt;""</formula>
    </cfRule>
    <cfRule type="expression" dxfId="1329" priority="161" stopIfTrue="1">
      <formula>$EU34=1</formula>
    </cfRule>
  </conditionalFormatting>
  <conditionalFormatting sqref="Q35">
    <cfRule type="expression" dxfId="1328" priority="158" stopIfTrue="1">
      <formula>$DE35&lt;&gt;""</formula>
    </cfRule>
    <cfRule type="expression" dxfId="1327" priority="159" stopIfTrue="1">
      <formula>$EU35=1</formula>
    </cfRule>
  </conditionalFormatting>
  <conditionalFormatting sqref="Q36">
    <cfRule type="expression" dxfId="1326" priority="156" stopIfTrue="1">
      <formula>$DE36&lt;&gt;""</formula>
    </cfRule>
    <cfRule type="expression" dxfId="1325" priority="157" stopIfTrue="1">
      <formula>$EU36=1</formula>
    </cfRule>
  </conditionalFormatting>
  <conditionalFormatting sqref="Q38">
    <cfRule type="expression" dxfId="1324" priority="154" stopIfTrue="1">
      <formula>$DE38&lt;&gt;""</formula>
    </cfRule>
    <cfRule type="expression" dxfId="1323" priority="155" stopIfTrue="1">
      <formula>$EU38=1</formula>
    </cfRule>
  </conditionalFormatting>
  <conditionalFormatting sqref="Q39">
    <cfRule type="expression" dxfId="1322" priority="152" stopIfTrue="1">
      <formula>$DE39&lt;&gt;""</formula>
    </cfRule>
    <cfRule type="expression" dxfId="1321" priority="153" stopIfTrue="1">
      <formula>$EU39=1</formula>
    </cfRule>
  </conditionalFormatting>
  <conditionalFormatting sqref="Q40">
    <cfRule type="expression" dxfId="1320" priority="150" stopIfTrue="1">
      <formula>$DE40&lt;&gt;""</formula>
    </cfRule>
    <cfRule type="expression" dxfId="1319" priority="151" stopIfTrue="1">
      <formula>$EU40=1</formula>
    </cfRule>
  </conditionalFormatting>
  <conditionalFormatting sqref="Q41">
    <cfRule type="expression" dxfId="1318" priority="148" stopIfTrue="1">
      <formula>$DE41&lt;&gt;""</formula>
    </cfRule>
    <cfRule type="expression" dxfId="1317" priority="149" stopIfTrue="1">
      <formula>$EU41=1</formula>
    </cfRule>
  </conditionalFormatting>
  <conditionalFormatting sqref="Q42">
    <cfRule type="expression" dxfId="1316" priority="146" stopIfTrue="1">
      <formula>$DE42&lt;&gt;""</formula>
    </cfRule>
    <cfRule type="expression" dxfId="1315" priority="147" stopIfTrue="1">
      <formula>$EU42=1</formula>
    </cfRule>
  </conditionalFormatting>
  <conditionalFormatting sqref="Q44">
    <cfRule type="expression" dxfId="1314" priority="144" stopIfTrue="1">
      <formula>$DE44&lt;&gt;""</formula>
    </cfRule>
    <cfRule type="expression" dxfId="1313" priority="145" stopIfTrue="1">
      <formula>$EU44=1</formula>
    </cfRule>
  </conditionalFormatting>
  <conditionalFormatting sqref="Q45">
    <cfRule type="expression" dxfId="1312" priority="142" stopIfTrue="1">
      <formula>$DE45&lt;&gt;""</formula>
    </cfRule>
    <cfRule type="expression" dxfId="1311" priority="143" stopIfTrue="1">
      <formula>$EU45=1</formula>
    </cfRule>
  </conditionalFormatting>
  <conditionalFormatting sqref="Q46">
    <cfRule type="expression" dxfId="1310" priority="140" stopIfTrue="1">
      <formula>$DE46&lt;&gt;""</formula>
    </cfRule>
    <cfRule type="expression" dxfId="1309" priority="141" stopIfTrue="1">
      <formula>$EU46=1</formula>
    </cfRule>
  </conditionalFormatting>
  <conditionalFormatting sqref="Q47">
    <cfRule type="expression" dxfId="1308" priority="138" stopIfTrue="1">
      <formula>$DE47&lt;&gt;""</formula>
    </cfRule>
    <cfRule type="expression" dxfId="1307" priority="139" stopIfTrue="1">
      <formula>$EU47=1</formula>
    </cfRule>
  </conditionalFormatting>
  <conditionalFormatting sqref="Q48">
    <cfRule type="expression" dxfId="1306" priority="136" stopIfTrue="1">
      <formula>$DE48&lt;&gt;""</formula>
    </cfRule>
    <cfRule type="expression" dxfId="1305" priority="137" stopIfTrue="1">
      <formula>$EU48=1</formula>
    </cfRule>
  </conditionalFormatting>
  <conditionalFormatting sqref="Q50">
    <cfRule type="expression" dxfId="1304" priority="134" stopIfTrue="1">
      <formula>$DE50&lt;&gt;""</formula>
    </cfRule>
    <cfRule type="expression" dxfId="1303" priority="135" stopIfTrue="1">
      <formula>$EU50=1</formula>
    </cfRule>
  </conditionalFormatting>
  <conditionalFormatting sqref="Q51">
    <cfRule type="expression" dxfId="1302" priority="132" stopIfTrue="1">
      <formula>$DE51&lt;&gt;""</formula>
    </cfRule>
    <cfRule type="expression" dxfId="1301" priority="133" stopIfTrue="1">
      <formula>$EU51=1</formula>
    </cfRule>
  </conditionalFormatting>
  <conditionalFormatting sqref="Q52">
    <cfRule type="expression" dxfId="1300" priority="130" stopIfTrue="1">
      <formula>$DE52&lt;&gt;""</formula>
    </cfRule>
    <cfRule type="expression" dxfId="1299" priority="131" stopIfTrue="1">
      <formula>$EU52=1</formula>
    </cfRule>
  </conditionalFormatting>
  <conditionalFormatting sqref="Q53">
    <cfRule type="expression" dxfId="1298" priority="128" stopIfTrue="1">
      <formula>$DE53&lt;&gt;""</formula>
    </cfRule>
    <cfRule type="expression" dxfId="1297" priority="129" stopIfTrue="1">
      <formula>$EU53=1</formula>
    </cfRule>
  </conditionalFormatting>
  <conditionalFormatting sqref="Q54">
    <cfRule type="expression" dxfId="1296" priority="126" stopIfTrue="1">
      <formula>$DE54&lt;&gt;""</formula>
    </cfRule>
    <cfRule type="expression" dxfId="1295" priority="127" stopIfTrue="1">
      <formula>$EU54=1</formula>
    </cfRule>
  </conditionalFormatting>
  <conditionalFormatting sqref="Q56">
    <cfRule type="expression" dxfId="1294" priority="124" stopIfTrue="1">
      <formula>$DE56&lt;&gt;""</formula>
    </cfRule>
    <cfRule type="expression" dxfId="1293" priority="125" stopIfTrue="1">
      <formula>$EU56=1</formula>
    </cfRule>
  </conditionalFormatting>
  <conditionalFormatting sqref="Q57">
    <cfRule type="expression" dxfId="1292" priority="122" stopIfTrue="1">
      <formula>$DE57&lt;&gt;""</formula>
    </cfRule>
    <cfRule type="expression" dxfId="1291" priority="123" stopIfTrue="1">
      <formula>$EU57=1</formula>
    </cfRule>
  </conditionalFormatting>
  <conditionalFormatting sqref="Q58">
    <cfRule type="expression" dxfId="1290" priority="120" stopIfTrue="1">
      <formula>$DE58&lt;&gt;""</formula>
    </cfRule>
    <cfRule type="expression" dxfId="1289" priority="121" stopIfTrue="1">
      <formula>$EU58=1</formula>
    </cfRule>
  </conditionalFormatting>
  <conditionalFormatting sqref="Q59">
    <cfRule type="expression" dxfId="1288" priority="118" stopIfTrue="1">
      <formula>$DE59&lt;&gt;""</formula>
    </cfRule>
    <cfRule type="expression" dxfId="1287" priority="119" stopIfTrue="1">
      <formula>$EU59=1</formula>
    </cfRule>
  </conditionalFormatting>
  <conditionalFormatting sqref="Q60">
    <cfRule type="expression" dxfId="1286" priority="116" stopIfTrue="1">
      <formula>$DE60&lt;&gt;""</formula>
    </cfRule>
    <cfRule type="expression" dxfId="1285" priority="117" stopIfTrue="1">
      <formula>$EU60=1</formula>
    </cfRule>
  </conditionalFormatting>
  <conditionalFormatting sqref="Q62">
    <cfRule type="expression" dxfId="1284" priority="114" stopIfTrue="1">
      <formula>$DE62&lt;&gt;""</formula>
    </cfRule>
    <cfRule type="expression" dxfId="1283" priority="115" stopIfTrue="1">
      <formula>$EU62=1</formula>
    </cfRule>
  </conditionalFormatting>
  <conditionalFormatting sqref="Q63">
    <cfRule type="expression" dxfId="1282" priority="112" stopIfTrue="1">
      <formula>$DE63&lt;&gt;""</formula>
    </cfRule>
    <cfRule type="expression" dxfId="1281" priority="113" stopIfTrue="1">
      <formula>$EU63=1</formula>
    </cfRule>
  </conditionalFormatting>
  <conditionalFormatting sqref="Q64">
    <cfRule type="expression" dxfId="1280" priority="110" stopIfTrue="1">
      <formula>$DE64&lt;&gt;""</formula>
    </cfRule>
    <cfRule type="expression" dxfId="1279" priority="111" stopIfTrue="1">
      <formula>$EU64=1</formula>
    </cfRule>
  </conditionalFormatting>
  <conditionalFormatting sqref="Q65">
    <cfRule type="expression" dxfId="1278" priority="108" stopIfTrue="1">
      <formula>$DE65&lt;&gt;""</formula>
    </cfRule>
    <cfRule type="expression" dxfId="1277" priority="109" stopIfTrue="1">
      <formula>$EU65=1</formula>
    </cfRule>
  </conditionalFormatting>
  <conditionalFormatting sqref="Q66">
    <cfRule type="expression" dxfId="1276" priority="106" stopIfTrue="1">
      <formula>$DE66&lt;&gt;""</formula>
    </cfRule>
    <cfRule type="expression" dxfId="1275" priority="107" stopIfTrue="1">
      <formula>$EU66=1</formula>
    </cfRule>
  </conditionalFormatting>
  <conditionalFormatting sqref="L13">
    <cfRule type="expression" dxfId="1274" priority="94" stopIfTrue="1">
      <formula>$B8=$B14</formula>
    </cfRule>
    <cfRule type="expression" dxfId="1273" priority="95" stopIfTrue="1">
      <formula>M13=0</formula>
    </cfRule>
    <cfRule type="expression" dxfId="1272" priority="96" stopIfTrue="1">
      <formula>L13=0</formula>
    </cfRule>
    <cfRule type="expression" dxfId="1271" priority="97" stopIfTrue="1">
      <formula>$BE$3=1</formula>
    </cfRule>
  </conditionalFormatting>
  <conditionalFormatting sqref="L19">
    <cfRule type="expression" dxfId="1270" priority="89" stopIfTrue="1">
      <formula>$B14=$B20</formula>
    </cfRule>
    <cfRule type="expression" dxfId="1269" priority="90" stopIfTrue="1">
      <formula>M19=0</formula>
    </cfRule>
    <cfRule type="expression" dxfId="1268" priority="91" stopIfTrue="1">
      <formula>L19=0</formula>
    </cfRule>
    <cfRule type="expression" dxfId="1267" priority="92" stopIfTrue="1">
      <formula>$BE$3=1</formula>
    </cfRule>
  </conditionalFormatting>
  <conditionalFormatting sqref="L25">
    <cfRule type="expression" dxfId="1266" priority="85" stopIfTrue="1">
      <formula>$B20=$B26</formula>
    </cfRule>
    <cfRule type="expression" dxfId="1265" priority="86" stopIfTrue="1">
      <formula>M25=0</formula>
    </cfRule>
    <cfRule type="expression" dxfId="1264" priority="87" stopIfTrue="1">
      <formula>L25=0</formula>
    </cfRule>
    <cfRule type="expression" dxfId="1263" priority="88" stopIfTrue="1">
      <formula>$BE$3=1</formula>
    </cfRule>
  </conditionalFormatting>
  <conditionalFormatting sqref="L31">
    <cfRule type="expression" dxfId="1262" priority="81" stopIfTrue="1">
      <formula>$B26=$B32</formula>
    </cfRule>
    <cfRule type="expression" dxfId="1261" priority="82" stopIfTrue="1">
      <formula>M31=0</formula>
    </cfRule>
    <cfRule type="expression" dxfId="1260" priority="83" stopIfTrue="1">
      <formula>L31=0</formula>
    </cfRule>
    <cfRule type="expression" dxfId="1259" priority="84" stopIfTrue="1">
      <formula>$BE$3=1</formula>
    </cfRule>
  </conditionalFormatting>
  <conditionalFormatting sqref="L37">
    <cfRule type="expression" dxfId="1258" priority="77" stopIfTrue="1">
      <formula>$B32=$B38</formula>
    </cfRule>
    <cfRule type="expression" dxfId="1257" priority="78" stopIfTrue="1">
      <formula>M37=0</formula>
    </cfRule>
    <cfRule type="expression" dxfId="1256" priority="79" stopIfTrue="1">
      <formula>L37=0</formula>
    </cfRule>
    <cfRule type="expression" dxfId="1255" priority="80" stopIfTrue="1">
      <formula>$BE$3=1</formula>
    </cfRule>
  </conditionalFormatting>
  <conditionalFormatting sqref="L43">
    <cfRule type="expression" dxfId="1254" priority="73" stopIfTrue="1">
      <formula>$B38=$B44</formula>
    </cfRule>
    <cfRule type="expression" dxfId="1253" priority="74" stopIfTrue="1">
      <formula>M43=0</formula>
    </cfRule>
    <cfRule type="expression" dxfId="1252" priority="75" stopIfTrue="1">
      <formula>L43=0</formula>
    </cfRule>
    <cfRule type="expression" dxfId="1251" priority="76" stopIfTrue="1">
      <formula>$BE$3=1</formula>
    </cfRule>
  </conditionalFormatting>
  <conditionalFormatting sqref="L49">
    <cfRule type="expression" dxfId="1250" priority="69" stopIfTrue="1">
      <formula>$B44=$B50</formula>
    </cfRule>
    <cfRule type="expression" dxfId="1249" priority="70" stopIfTrue="1">
      <formula>M49=0</formula>
    </cfRule>
    <cfRule type="expression" dxfId="1248" priority="71" stopIfTrue="1">
      <formula>L49=0</formula>
    </cfRule>
    <cfRule type="expression" dxfId="1247" priority="72" stopIfTrue="1">
      <formula>$BE$3=1</formula>
    </cfRule>
  </conditionalFormatting>
  <conditionalFormatting sqref="L55">
    <cfRule type="expression" dxfId="1246" priority="65" stopIfTrue="1">
      <formula>$B50=$B56</formula>
    </cfRule>
    <cfRule type="expression" dxfId="1245" priority="66" stopIfTrue="1">
      <formula>M55=0</formula>
    </cfRule>
    <cfRule type="expression" dxfId="1244" priority="67" stopIfTrue="1">
      <formula>L55=0</formula>
    </cfRule>
    <cfRule type="expression" dxfId="1243" priority="68" stopIfTrue="1">
      <formula>$BE$3=1</formula>
    </cfRule>
  </conditionalFormatting>
  <conditionalFormatting sqref="L61">
    <cfRule type="expression" dxfId="1242" priority="61" stopIfTrue="1">
      <formula>$B56=$B62</formula>
    </cfRule>
    <cfRule type="expression" dxfId="1241" priority="62" stopIfTrue="1">
      <formula>M61=0</formula>
    </cfRule>
    <cfRule type="expression" dxfId="1240" priority="63" stopIfTrue="1">
      <formula>L61=0</formula>
    </cfRule>
    <cfRule type="expression" dxfId="1239" priority="64" stopIfTrue="1">
      <formula>$BE$3=1</formula>
    </cfRule>
  </conditionalFormatting>
  <conditionalFormatting sqref="L67">
    <cfRule type="expression" dxfId="1238" priority="57" stopIfTrue="1">
      <formula>$B62=$B68</formula>
    </cfRule>
    <cfRule type="expression" dxfId="1237" priority="58" stopIfTrue="1">
      <formula>M67=0</formula>
    </cfRule>
    <cfRule type="expression" dxfId="1236" priority="59" stopIfTrue="1">
      <formula>L67=0</formula>
    </cfRule>
    <cfRule type="expression" dxfId="1235" priority="60" stopIfTrue="1">
      <formula>$BE$3=1</formula>
    </cfRule>
  </conditionalFormatting>
  <conditionalFormatting sqref="L73">
    <cfRule type="expression" dxfId="1234" priority="53" stopIfTrue="1">
      <formula>$B68=$B74</formula>
    </cfRule>
    <cfRule type="expression" dxfId="1233" priority="54" stopIfTrue="1">
      <formula>M73=0</formula>
    </cfRule>
    <cfRule type="expression" dxfId="1232" priority="55" stopIfTrue="1">
      <formula>L73=0</formula>
    </cfRule>
    <cfRule type="expression" dxfId="1231" priority="56" stopIfTrue="1">
      <formula>$BE$3=1</formula>
    </cfRule>
  </conditionalFormatting>
  <conditionalFormatting sqref="L79">
    <cfRule type="expression" dxfId="1230" priority="49" stopIfTrue="1">
      <formula>$B74=$B80</formula>
    </cfRule>
    <cfRule type="expression" dxfId="1229" priority="50" stopIfTrue="1">
      <formula>M79=0</formula>
    </cfRule>
    <cfRule type="expression" dxfId="1228" priority="51" stopIfTrue="1">
      <formula>L79=0</formula>
    </cfRule>
    <cfRule type="expression" dxfId="1227" priority="52" stopIfTrue="1">
      <formula>$BE$3=1</formula>
    </cfRule>
  </conditionalFormatting>
  <conditionalFormatting sqref="N13">
    <cfRule type="expression" dxfId="1226" priority="45" stopIfTrue="1">
      <formula>$B8=$B14</formula>
    </cfRule>
    <cfRule type="expression" dxfId="1225" priority="46" stopIfTrue="1">
      <formula>O13=0</formula>
    </cfRule>
    <cfRule type="expression" dxfId="1224" priority="47" stopIfTrue="1">
      <formula>N13=0</formula>
    </cfRule>
    <cfRule type="expression" dxfId="1223" priority="48" stopIfTrue="1">
      <formula>$BE$3=1</formula>
    </cfRule>
  </conditionalFormatting>
  <conditionalFormatting sqref="N19">
    <cfRule type="expression" dxfId="1222" priority="41" stopIfTrue="1">
      <formula>$B14=$B20</formula>
    </cfRule>
    <cfRule type="expression" dxfId="1221" priority="42" stopIfTrue="1">
      <formula>O19=0</formula>
    </cfRule>
    <cfRule type="expression" dxfId="1220" priority="43" stopIfTrue="1">
      <formula>N19=0</formula>
    </cfRule>
    <cfRule type="expression" dxfId="1219" priority="44" stopIfTrue="1">
      <formula>$BE$3=1</formula>
    </cfRule>
  </conditionalFormatting>
  <conditionalFormatting sqref="N25">
    <cfRule type="expression" dxfId="1218" priority="37" stopIfTrue="1">
      <formula>$B20=$B26</formula>
    </cfRule>
    <cfRule type="expression" dxfId="1217" priority="38" stopIfTrue="1">
      <formula>O25=0</formula>
    </cfRule>
    <cfRule type="expression" dxfId="1216" priority="39" stopIfTrue="1">
      <formula>N25=0</formula>
    </cfRule>
    <cfRule type="expression" dxfId="1215" priority="40" stopIfTrue="1">
      <formula>$BE$3=1</formula>
    </cfRule>
  </conditionalFormatting>
  <conditionalFormatting sqref="N31">
    <cfRule type="expression" dxfId="1214" priority="33" stopIfTrue="1">
      <formula>$B26=$B32</formula>
    </cfRule>
    <cfRule type="expression" dxfId="1213" priority="34" stopIfTrue="1">
      <formula>O31=0</formula>
    </cfRule>
    <cfRule type="expression" dxfId="1212" priority="35" stopIfTrue="1">
      <formula>N31=0</formula>
    </cfRule>
    <cfRule type="expression" dxfId="1211" priority="36" stopIfTrue="1">
      <formula>$BE$3=1</formula>
    </cfRule>
  </conditionalFormatting>
  <conditionalFormatting sqref="N37">
    <cfRule type="expression" dxfId="1210" priority="29" stopIfTrue="1">
      <formula>$B32=$B38</formula>
    </cfRule>
    <cfRule type="expression" dxfId="1209" priority="30" stopIfTrue="1">
      <formula>O37=0</formula>
    </cfRule>
    <cfRule type="expression" dxfId="1208" priority="31" stopIfTrue="1">
      <formula>N37=0</formula>
    </cfRule>
    <cfRule type="expression" dxfId="1207" priority="32" stopIfTrue="1">
      <formula>$BE$3=1</formula>
    </cfRule>
  </conditionalFormatting>
  <conditionalFormatting sqref="N43">
    <cfRule type="expression" dxfId="1206" priority="25" stopIfTrue="1">
      <formula>$B38=$B44</formula>
    </cfRule>
    <cfRule type="expression" dxfId="1205" priority="26" stopIfTrue="1">
      <formula>O43=0</formula>
    </cfRule>
    <cfRule type="expression" dxfId="1204" priority="27" stopIfTrue="1">
      <formula>N43=0</formula>
    </cfRule>
    <cfRule type="expression" dxfId="1203" priority="28" stopIfTrue="1">
      <formula>$BE$3=1</formula>
    </cfRule>
  </conditionalFormatting>
  <conditionalFormatting sqref="N49">
    <cfRule type="expression" dxfId="1202" priority="21" stopIfTrue="1">
      <formula>$B44=$B50</formula>
    </cfRule>
    <cfRule type="expression" dxfId="1201" priority="22" stopIfTrue="1">
      <formula>O49=0</formula>
    </cfRule>
    <cfRule type="expression" dxfId="1200" priority="23" stopIfTrue="1">
      <formula>N49=0</formula>
    </cfRule>
    <cfRule type="expression" dxfId="1199" priority="24" stopIfTrue="1">
      <formula>$BE$3=1</formula>
    </cfRule>
  </conditionalFormatting>
  <conditionalFormatting sqref="N55">
    <cfRule type="expression" dxfId="1198" priority="17" stopIfTrue="1">
      <formula>$B50=$B56</formula>
    </cfRule>
    <cfRule type="expression" dxfId="1197" priority="18" stopIfTrue="1">
      <formula>O55=0</formula>
    </cfRule>
    <cfRule type="expression" dxfId="1196" priority="19" stopIfTrue="1">
      <formula>N55=0</formula>
    </cfRule>
    <cfRule type="expression" dxfId="1195" priority="20" stopIfTrue="1">
      <formula>$BE$3=1</formula>
    </cfRule>
  </conditionalFormatting>
  <conditionalFormatting sqref="N61">
    <cfRule type="expression" dxfId="1194" priority="13" stopIfTrue="1">
      <formula>$B56=$B62</formula>
    </cfRule>
    <cfRule type="expression" dxfId="1193" priority="14" stopIfTrue="1">
      <formula>O61=0</formula>
    </cfRule>
    <cfRule type="expression" dxfId="1192" priority="15" stopIfTrue="1">
      <formula>N61=0</formula>
    </cfRule>
    <cfRule type="expression" dxfId="1191" priority="16" stopIfTrue="1">
      <formula>$BE$3=1</formula>
    </cfRule>
  </conditionalFormatting>
  <conditionalFormatting sqref="N67">
    <cfRule type="expression" dxfId="1190" priority="9" stopIfTrue="1">
      <formula>$B62=$B68</formula>
    </cfRule>
    <cfRule type="expression" dxfId="1189" priority="10" stopIfTrue="1">
      <formula>O67=0</formula>
    </cfRule>
    <cfRule type="expression" dxfId="1188" priority="11" stopIfTrue="1">
      <formula>N67=0</formula>
    </cfRule>
    <cfRule type="expression" dxfId="1187" priority="12" stopIfTrue="1">
      <formula>$BE$3=1</formula>
    </cfRule>
  </conditionalFormatting>
  <conditionalFormatting sqref="N73">
    <cfRule type="expression" dxfId="1186" priority="5" stopIfTrue="1">
      <formula>$B68=$B74</formula>
    </cfRule>
    <cfRule type="expression" dxfId="1185" priority="6" stopIfTrue="1">
      <formula>O73=0</formula>
    </cfRule>
    <cfRule type="expression" dxfId="1184" priority="7" stopIfTrue="1">
      <formula>N73=0</formula>
    </cfRule>
    <cfRule type="expression" dxfId="1183" priority="8" stopIfTrue="1">
      <formula>$BE$3=1</formula>
    </cfRule>
  </conditionalFormatting>
  <conditionalFormatting sqref="N79">
    <cfRule type="expression" dxfId="1182" priority="1" stopIfTrue="1">
      <formula>$B74=$B80</formula>
    </cfRule>
    <cfRule type="expression" dxfId="1181" priority="2" stopIfTrue="1">
      <formula>O79=0</formula>
    </cfRule>
    <cfRule type="expression" dxfId="1180" priority="3" stopIfTrue="1">
      <formula>N79=0</formula>
    </cfRule>
    <cfRule type="expression" dxfId="1179" priority="4" stopIfTrue="1">
      <formula>$BE$3=1</formula>
    </cfRule>
  </conditionalFormatting>
  <dataValidations count="11">
    <dataValidation type="decimal" allowBlank="1" showInputMessage="1" showErrorMessage="1" sqref="F14:F18 F8:F12 F68:F72 F20:F24 F32:F36 F38:F42 F44:F48 F50:F54 F56:F60 F62:F66 F26:F30" xr:uid="{00000000-0002-0000-0B00-000000000000}">
      <formula1>0</formula1>
      <formula2>200</formula2>
    </dataValidation>
    <dataValidation type="decimal" allowBlank="1" showInputMessage="1" showErrorMessage="1" sqref="F74:F78" xr:uid="{00000000-0002-0000-0B00-000001000000}">
      <formula1>0</formula1>
      <formula2>1000</formula2>
    </dataValidation>
    <dataValidation type="list" allowBlank="1" showInputMessage="1" showErrorMessage="1" sqref="D14:D18 D74:D78 D68:D72 D62:D66 D56:D60 D50:D54 D44:D48 D38:D42 D32:D36 D20:D24 D26:D30 D8:D12" xr:uid="{00000000-0002-0000-0B00-000002000000}">
      <formula1>$BG$11:$BG$14</formula1>
    </dataValidation>
    <dataValidation type="list" allowBlank="1" showInputMessage="1" showErrorMessage="1" sqref="E20:E24 E14:E18 E26:E30 E74:E78 E32:E36 E38:E42 E44:E48 E50:E54 E56:E60 E62:E66 E68:E72 E8:E12" xr:uid="{00000000-0002-0000-0B00-000003000000}">
      <formula1>$BG$15:$BG$17</formula1>
    </dataValidation>
    <dataValidation type="list" allowBlank="1" showInputMessage="1" showErrorMessage="1" sqref="B5" xr:uid="{00000000-0002-0000-0B00-000004000000}">
      <formula1>$BF$9:$BF$10</formula1>
    </dataValidation>
    <dataValidation type="list" allowBlank="1" showInputMessage="1" showErrorMessage="1" sqref="I44:I48 I74:I78 I68:I72 I14:I18 I20:I24 I26:I30 I32:I36 I38:I42 I62:I66 I50:I54 I56:I60 I8:I12" xr:uid="{00000000-0002-0000-0B00-000005000000}">
      <formula1>$BF$11:$BF$45</formula1>
    </dataValidation>
    <dataValidation type="list" allowBlank="1" showInputMessage="1" showErrorMessage="1" sqref="K50:K54 K14:K18 K8:K12 K20:K24 K44:K48 K38:K42 K32:K36 K26:K30 K68:K72 K62:K66 K56:K60 K74:K78" xr:uid="{00000000-0002-0000-0B00-000006000000}">
      <formula1>$BH$12:$BH$14</formula1>
    </dataValidation>
    <dataValidation type="decimal" allowBlank="1" showInputMessage="1" showErrorMessage="1" sqref="G8:G12 G14:G18 G20:G24 G26:G30 G32:G36 G38:G42 G44:G48 G50:G54 G56:G60 G62:G66 G68:G72 G74:G78" xr:uid="{00000000-0002-0000-0B00-000007000000}">
      <formula1>0</formula1>
      <formula2>90</formula2>
    </dataValidation>
    <dataValidation type="list" allowBlank="1" showErrorMessage="1" error="Select &quot;T&quot; - Tested or &quot;E&quot; - Specific Engineered" sqref="AK165:AL165 AK155:AL155 AW36:AX41" xr:uid="{00000000-0002-0000-0B00-000008000000}">
      <formula1>#REF!</formula1>
    </dataValidation>
    <dataValidation type="list" allowBlank="1" showInputMessage="1" showErrorMessage="1" sqref="I6" xr:uid="{00000000-0002-0000-0B00-000009000000}">
      <formula1>$BG$8:$BH$8</formula1>
    </dataValidation>
    <dataValidation type="decimal" allowBlank="1" showInputMessage="1" showErrorMessage="1" sqref="L13 L19 L25 L31 L37 L43 L49 L55 L61 L67 L73 L79 N13 N19 N25 N31 N37 N43 N49 N55 N61 N67 N73 N79" xr:uid="{00000000-0002-0000-0B00-00000A000000}">
      <formula1>0</formula1>
      <formula2>100000</formula2>
    </dataValidation>
  </dataValidations>
  <printOptions horizontalCentered="1"/>
  <pageMargins left="0.31496062992125984" right="0.31496062992125984" top="0.51181102362204722" bottom="0.47244094488188981" header="0.23622047244094491" footer="0.23622047244094491"/>
  <pageSetup paperSize="9" scale="55" orientation="portrait" r:id="rId1"/>
  <headerFooter>
    <oddHeader>&amp;L&amp;D&amp;C&amp;F
&amp;A&amp;RPage &amp;P of &amp;N</oddHeader>
    <oddFooter>&amp;LPage &amp;P of &amp;N&amp;C&amp;F
&amp;A&amp;R&amp;D</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indexed="46"/>
    <pageSetUpPr fitToPage="1"/>
  </sheetPr>
  <dimension ref="A1:FC216"/>
  <sheetViews>
    <sheetView showGridLines="0" zoomScale="85" zoomScaleNormal="85" zoomScaleSheetLayoutView="70" workbookViewId="0">
      <pane xSplit="1" ySplit="7" topLeftCell="B8" activePane="bottomRight" state="frozen"/>
      <selection activeCell="K9" sqref="K9"/>
      <selection pane="topRight" activeCell="K9" sqref="K9"/>
      <selection pane="bottomLeft" activeCell="K9" sqref="K9"/>
      <selection pane="bottomRight" activeCell="F8" sqref="F8"/>
    </sheetView>
  </sheetViews>
  <sheetFormatPr defaultRowHeight="12.75"/>
  <cols>
    <col min="1" max="1" width="3.7109375" style="1" customWidth="1"/>
    <col min="2" max="2" width="6.28515625" customWidth="1"/>
    <col min="3" max="3" width="8.140625" style="3" customWidth="1"/>
    <col min="4" max="4" width="12.28515625" style="9" customWidth="1"/>
    <col min="5" max="5" width="12.7109375" style="9" customWidth="1"/>
    <col min="6" max="6" width="8.7109375" style="5" customWidth="1"/>
    <col min="7" max="7" width="8.5703125" customWidth="1"/>
    <col min="8" max="8" width="8.42578125" style="1" customWidth="1"/>
    <col min="9" max="9" width="14.7109375" customWidth="1"/>
    <col min="10" max="10" width="11.7109375" customWidth="1"/>
    <col min="11" max="11" width="15.7109375" style="1" customWidth="1"/>
    <col min="12" max="12" width="9.42578125" style="9" customWidth="1"/>
    <col min="13" max="13" width="9.42578125" style="1" customWidth="1"/>
    <col min="14" max="14" width="9.42578125" style="9" customWidth="1"/>
    <col min="15" max="15" width="9.42578125" style="1" customWidth="1"/>
    <col min="16" max="16" width="1.7109375" style="1" customWidth="1"/>
    <col min="17" max="17" width="38" style="9" customWidth="1"/>
    <col min="18" max="18" width="7.5703125" style="451" hidden="1" customWidth="1"/>
    <col min="19" max="19" width="4.7109375" style="451" hidden="1" customWidth="1"/>
    <col min="20" max="20" width="8" style="451" hidden="1" customWidth="1"/>
    <col min="21" max="21" width="6.5703125" style="451" hidden="1" customWidth="1"/>
    <col min="22" max="22" width="7.5703125" style="451" hidden="1" customWidth="1"/>
    <col min="23" max="24" width="8.7109375" style="451" hidden="1" customWidth="1"/>
    <col min="25" max="25" width="6.140625" style="509" hidden="1" customWidth="1"/>
    <col min="26" max="26" width="8.7109375" style="451" hidden="1" customWidth="1"/>
    <col min="27" max="27" width="8.7109375" style="426" hidden="1" customWidth="1"/>
    <col min="28" max="28" width="11.42578125" style="426" hidden="1" customWidth="1"/>
    <col min="29" max="29" width="2.7109375" style="2" customWidth="1"/>
    <col min="30" max="31" width="8.7109375" style="2" customWidth="1"/>
    <col min="32" max="33" width="8.7109375" style="4" customWidth="1"/>
    <col min="34" max="34" width="8.7109375" style="4" hidden="1" customWidth="1"/>
    <col min="35" max="35" width="3.7109375" style="4" customWidth="1"/>
    <col min="36" max="37" width="8.7109375" style="2" hidden="1" customWidth="1"/>
    <col min="38" max="38" width="12.42578125" style="4" hidden="1" customWidth="1"/>
    <col min="39" max="41" width="8.7109375" style="4" hidden="1" customWidth="1"/>
    <col min="42" max="42" width="1.5703125" style="4" hidden="1" customWidth="1"/>
    <col min="43" max="43" width="8.28515625" style="4" hidden="1" customWidth="1"/>
    <col min="44" max="44" width="10.7109375" style="4" hidden="1" customWidth="1"/>
    <col min="45" max="45" width="10.7109375" style="10" hidden="1" customWidth="1"/>
    <col min="46" max="46" width="2.42578125" style="10" hidden="1" customWidth="1"/>
    <col min="47" max="47" width="37.140625" style="10" hidden="1" customWidth="1"/>
    <col min="48" max="48" width="2.28515625" customWidth="1"/>
    <col min="49" max="49" width="10.7109375" style="4" hidden="1" customWidth="1"/>
    <col min="50" max="50" width="10.7109375" hidden="1" customWidth="1"/>
    <col min="51" max="51" width="8.7109375" customWidth="1"/>
    <col min="52" max="52" width="11.28515625" hidden="1" customWidth="1"/>
    <col min="53" max="55" width="8.7109375" style="426" customWidth="1"/>
    <col min="56" max="56" width="2.7109375" style="430" hidden="1" customWidth="1"/>
    <col min="57" max="57" width="6.7109375" style="4" hidden="1" customWidth="1"/>
    <col min="58" max="58" width="11.85546875" style="430" hidden="1" customWidth="1"/>
    <col min="59" max="59" width="15.140625" style="430" hidden="1" customWidth="1"/>
    <col min="60" max="60" width="13.7109375" style="51" hidden="1" customWidth="1"/>
    <col min="61" max="61" width="5.140625" style="51" hidden="1" customWidth="1"/>
    <col min="62" max="62" width="7.28515625" style="51" hidden="1" customWidth="1"/>
    <col min="63" max="63" width="10.5703125" style="426" hidden="1" customWidth="1"/>
    <col min="64" max="64" width="12" style="430" hidden="1" customWidth="1"/>
    <col min="65" max="65" width="8" style="52" hidden="1" customWidth="1"/>
    <col min="66" max="66" width="8.5703125" style="52" hidden="1" customWidth="1"/>
    <col min="67" max="67" width="9.42578125" style="52" hidden="1" customWidth="1"/>
    <col min="68" max="68" width="8.7109375" style="52" hidden="1" customWidth="1"/>
    <col min="69" max="69" width="3" style="51" hidden="1" customWidth="1"/>
    <col min="70" max="70" width="9.7109375" style="52" hidden="1" customWidth="1"/>
    <col min="71" max="71" width="9.140625" style="52" hidden="1" customWidth="1"/>
    <col min="72" max="72" width="6.7109375" style="52" hidden="1" customWidth="1"/>
    <col min="73" max="73" width="7.5703125" style="52" hidden="1" customWidth="1"/>
    <col min="74" max="74" width="10.7109375" style="51" hidden="1" customWidth="1"/>
    <col min="75" max="85" width="6.7109375" style="51" hidden="1" customWidth="1"/>
    <col min="86" max="86" width="6.7109375" style="52" hidden="1" customWidth="1"/>
    <col min="87" max="87" width="9.140625" style="52" hidden="1" customWidth="1"/>
    <col min="88" max="88" width="7.5703125" style="51" hidden="1" customWidth="1"/>
    <col min="89" max="89" width="6.42578125" style="51" hidden="1" customWidth="1"/>
    <col min="90" max="90" width="16.7109375" style="779" hidden="1" customWidth="1"/>
    <col min="91" max="91" width="4.42578125" style="188" hidden="1" customWidth="1"/>
    <col min="92" max="92" width="15.5703125" style="779" hidden="1" customWidth="1"/>
    <col min="93" max="93" width="10.28515625" style="779" hidden="1" customWidth="1"/>
    <col min="94" max="104" width="9.140625" style="188" hidden="1" customWidth="1"/>
    <col min="105" max="106" width="9.140625" style="51" hidden="1" customWidth="1"/>
    <col min="107" max="107" width="10.85546875" style="993" hidden="1" customWidth="1"/>
    <col min="108" max="108" width="9.140625" style="51" hidden="1" customWidth="1"/>
    <col min="109" max="110" width="19.85546875" style="51" hidden="1" customWidth="1"/>
    <col min="111" max="122" width="9.140625" style="426" hidden="1" customWidth="1"/>
    <col min="123" max="123" width="13.140625" style="426" hidden="1" customWidth="1"/>
    <col min="124" max="124" width="14.42578125" style="426" hidden="1" customWidth="1"/>
    <col min="125" max="136" width="9.140625" style="426" hidden="1" customWidth="1"/>
    <col min="137" max="137" width="13.140625" style="426" hidden="1" customWidth="1"/>
    <col min="138" max="138" width="11.28515625" style="426" hidden="1" customWidth="1"/>
    <col min="139" max="145" width="9.140625" style="426" hidden="1" customWidth="1"/>
    <col min="146" max="147" width="9.140625" style="430" hidden="1" customWidth="1"/>
    <col min="148" max="153" width="9.140625" style="426" hidden="1" customWidth="1"/>
    <col min="154" max="157" width="9.140625" style="426"/>
  </cols>
  <sheetData>
    <row r="1" spans="1:157" ht="24" customHeight="1" thickBot="1">
      <c r="B1" s="2855"/>
      <c r="C1" s="2855"/>
      <c r="D1" s="2855"/>
      <c r="E1" s="2855"/>
      <c r="F1" s="2855"/>
      <c r="G1" s="2855"/>
      <c r="H1" s="2855"/>
      <c r="I1" s="2855"/>
      <c r="L1" s="2638" t="s">
        <v>1</v>
      </c>
      <c r="M1" s="2639"/>
      <c r="N1" s="2638" t="s">
        <v>17</v>
      </c>
      <c r="O1" s="2788"/>
      <c r="AD1" s="2763" t="s">
        <v>1089</v>
      </c>
      <c r="AE1" s="2764"/>
      <c r="AF1" s="2764"/>
      <c r="AG1" s="2765"/>
      <c r="AH1" s="2"/>
      <c r="AL1" s="1382"/>
      <c r="AM1" s="2"/>
      <c r="AO1" s="1408"/>
      <c r="AP1" s="1408"/>
      <c r="AQ1" s="1408"/>
      <c r="AR1" s="1408"/>
      <c r="AS1" s="1408"/>
      <c r="AT1" s="1408"/>
      <c r="AU1" s="1408"/>
      <c r="AW1" s="1408"/>
      <c r="BA1"/>
      <c r="BB1"/>
      <c r="BC1"/>
      <c r="BD1" s="641"/>
      <c r="BE1" s="641"/>
      <c r="BF1" s="652"/>
      <c r="BG1" s="652"/>
      <c r="BH1" s="652"/>
      <c r="BI1" s="759"/>
      <c r="BJ1" s="759"/>
      <c r="BK1" s="931"/>
      <c r="BL1" s="759"/>
      <c r="BM1" s="760"/>
      <c r="BN1" s="760"/>
      <c r="BO1" s="760"/>
      <c r="BP1" s="760"/>
      <c r="BQ1" s="759"/>
      <c r="BR1" s="760"/>
      <c r="BS1" s="760"/>
      <c r="BT1" s="760"/>
      <c r="BU1" s="760"/>
      <c r="BV1" s="759"/>
      <c r="BW1" s="759"/>
      <c r="BX1" s="759"/>
      <c r="BY1" s="759" t="s">
        <v>917</v>
      </c>
      <c r="BZ1" s="759"/>
      <c r="CA1" s="759"/>
      <c r="CB1" s="759"/>
      <c r="CC1" s="759"/>
      <c r="CD1" s="759"/>
      <c r="CE1" s="759"/>
      <c r="CF1" s="759"/>
      <c r="CG1" s="759"/>
      <c r="CH1" s="760"/>
      <c r="CI1" s="760"/>
      <c r="CJ1" s="759"/>
      <c r="CK1" s="188"/>
      <c r="EX1"/>
      <c r="EY1"/>
      <c r="EZ1"/>
      <c r="FA1"/>
    </row>
    <row r="2" spans="1:157" ht="24" customHeight="1" thickBot="1">
      <c r="B2" s="2690" t="str">
        <f>'Terms and Conditions'!B19</f>
        <v>Elephant QuickBrace™ September 2018  V.1.0</v>
      </c>
      <c r="C2" s="2691"/>
      <c r="D2" s="2691"/>
      <c r="E2" s="2691"/>
      <c r="F2" s="2691"/>
      <c r="G2" s="2691"/>
      <c r="H2" s="2692"/>
      <c r="I2" s="2693" t="s">
        <v>358</v>
      </c>
      <c r="J2" s="2694"/>
      <c r="K2" s="123" t="s">
        <v>341</v>
      </c>
      <c r="L2" s="124">
        <f ca="1">M2/M3</f>
        <v>0</v>
      </c>
      <c r="M2" s="1544">
        <f ca="1">(SUM(M8:M12)+SUM(M14:M18)+SUM(M20:M24)+SUM(M26:M30)+SUM(M32:M36)+SUM(M38:M42)+SUM(M44:M48)+SUM(M50:M54)+SUM(M56:M60)+SUM(M62:M66)+SUM(M68:M72)+SUM(M74:M78))</f>
        <v>0</v>
      </c>
      <c r="N2" s="124">
        <f ca="1">O2/O3</f>
        <v>0</v>
      </c>
      <c r="O2" s="1545">
        <f ca="1">(SUM(O8:O12)+SUM(O14:O18)+SUM(O20:O24)+SUM(O26:O30)+SUM(O32:O36)+SUM(O38:O42)+SUM(O44:O48)+SUM(O50:O54)+SUM(O56:O60)+SUM(O62:O66)+SUM(O68:O72)+SUM(O74:O78))</f>
        <v>0</v>
      </c>
      <c r="P2" s="133"/>
      <c r="Q2" s="77" t="s">
        <v>370</v>
      </c>
      <c r="R2" s="982"/>
      <c r="S2" s="982"/>
      <c r="T2" s="982"/>
      <c r="U2" s="982"/>
      <c r="V2" s="982"/>
      <c r="W2" s="982"/>
      <c r="X2" s="982"/>
      <c r="Y2" s="1001"/>
      <c r="Z2" s="428"/>
      <c r="AA2" s="427"/>
      <c r="AB2" s="1779"/>
      <c r="AD2" s="2621" t="s">
        <v>1</v>
      </c>
      <c r="AE2" s="2622"/>
      <c r="AF2" s="2623" t="s">
        <v>17</v>
      </c>
      <c r="AG2" s="2624"/>
      <c r="AH2" s="2"/>
      <c r="AJ2" s="119"/>
      <c r="AK2" s="119"/>
      <c r="AL2" s="119"/>
      <c r="AM2" s="2"/>
      <c r="AQ2" s="14"/>
      <c r="AR2" s="14"/>
      <c r="AS2" s="6"/>
      <c r="AT2" s="6"/>
      <c r="AU2" s="6"/>
      <c r="AZ2" s="1409">
        <f>'Regular and QuickBrace Systems'!W2</f>
        <v>1</v>
      </c>
      <c r="BA2"/>
      <c r="BB2"/>
      <c r="BC2"/>
      <c r="BD2" s="650"/>
      <c r="BE2" s="697" t="s">
        <v>816</v>
      </c>
      <c r="BF2" s="698" t="s">
        <v>817</v>
      </c>
      <c r="BG2" s="698" t="s">
        <v>818</v>
      </c>
      <c r="BH2" s="699"/>
      <c r="BI2" s="759"/>
      <c r="BJ2" s="188"/>
      <c r="BK2" s="506"/>
      <c r="BL2" s="188"/>
      <c r="BM2" s="779"/>
      <c r="BN2" s="779"/>
      <c r="BO2" s="779"/>
      <c r="BP2" s="972"/>
      <c r="BX2" s="2843" t="s">
        <v>921</v>
      </c>
      <c r="BY2" s="2844"/>
      <c r="BZ2" s="2844"/>
      <c r="CA2" s="2844"/>
      <c r="CB2" s="2844"/>
      <c r="CC2" s="2844"/>
      <c r="CD2" s="2844"/>
      <c r="CE2" s="2844"/>
      <c r="CF2" s="2844"/>
      <c r="CG2" s="2845"/>
      <c r="CJ2" s="759"/>
      <c r="CL2" s="906" t="s">
        <v>821</v>
      </c>
      <c r="CM2" s="711" t="s">
        <v>822</v>
      </c>
      <c r="CN2" s="974"/>
      <c r="CO2" s="713" t="s">
        <v>823</v>
      </c>
      <c r="CP2" s="714" t="s">
        <v>824</v>
      </c>
      <c r="CQ2" s="712"/>
      <c r="CR2" s="714" t="s">
        <v>1123</v>
      </c>
      <c r="CS2" s="704"/>
      <c r="CT2" s="712"/>
      <c r="CU2" s="714" t="s">
        <v>777</v>
      </c>
      <c r="CV2" s="715"/>
      <c r="CW2" s="712"/>
      <c r="CX2" s="481" t="s">
        <v>784</v>
      </c>
      <c r="CY2" s="714" t="s">
        <v>825</v>
      </c>
      <c r="CZ2" s="712"/>
      <c r="DA2" s="714" t="s">
        <v>371</v>
      </c>
      <c r="DB2" s="712"/>
      <c r="DC2" s="994"/>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31"/>
      <c r="EQ2" s="431"/>
      <c r="ER2" s="427"/>
      <c r="ES2" s="427"/>
      <c r="ET2" s="427"/>
      <c r="EU2" s="427"/>
      <c r="EV2" s="427"/>
      <c r="EW2" s="427"/>
      <c r="EX2"/>
      <c r="EY2"/>
      <c r="EZ2"/>
      <c r="FA2"/>
    </row>
    <row r="3" spans="1:157" s="21" customFormat="1" ht="24" customHeight="1" thickBot="1">
      <c r="A3" s="18"/>
      <c r="B3" s="2688" t="s">
        <v>48</v>
      </c>
      <c r="C3" s="2639"/>
      <c r="D3" s="2695" t="str">
        <f>'Project Demand'!E8</f>
        <v xml:space="preserve"> </v>
      </c>
      <c r="E3" s="2696"/>
      <c r="F3" s="2697"/>
      <c r="G3" s="2698" t="str">
        <f>'Project Demand'!E9</f>
        <v xml:space="preserve"> </v>
      </c>
      <c r="H3" s="2699"/>
      <c r="I3" s="2700" t="str">
        <f>IF('Project Demand'!AQ64=1,'Terms and Conditions'!B22,'Project Demand'!L44)</f>
        <v>QuickBrace©                        First Principles</v>
      </c>
      <c r="J3" s="2701"/>
      <c r="K3" s="1791" t="str">
        <f>IF('Project Demand'!AQ64=1,"Total Demand =","Alternative Demand =")</f>
        <v>Total Demand =</v>
      </c>
      <c r="L3" s="1792" t="str">
        <f>$BH$3</f>
        <v>Bu's</v>
      </c>
      <c r="M3" s="1793">
        <f>IF('Project Demand'!AQ64=2,IF('Project Demand'!AQ6=1,"N/A",'Project Demand'!M48),'FP Calcs'!G68)</f>
        <v>586</v>
      </c>
      <c r="N3" s="1792" t="str">
        <f>$BH$3</f>
        <v>Bu's</v>
      </c>
      <c r="O3" s="1794">
        <f>IF('Project Demand'!AQ64=2,IF('Project Demand'!AQ6=1,"N/A",'Project Demand'!M49),'FP Calcs'!G71)</f>
        <v>1159</v>
      </c>
      <c r="P3" s="134"/>
      <c r="Q3" s="676" t="str">
        <f ca="1">IF(OR(M2&lt;M3,O2&lt;O3),"Total Achieved &lt; Total Demand","")</f>
        <v>Total Achieved &lt; Total Demand</v>
      </c>
      <c r="R3" s="923"/>
      <c r="S3" s="923"/>
      <c r="T3" s="923"/>
      <c r="U3" s="923"/>
      <c r="V3" s="923"/>
      <c r="W3" s="923"/>
      <c r="X3" s="923"/>
      <c r="Y3" s="1002"/>
      <c r="Z3" s="452"/>
      <c r="AC3" s="22"/>
      <c r="AD3" s="1357" t="str">
        <f>IF($BG$4=1,$BG$42,$BH$42)</f>
        <v>Left    Line</v>
      </c>
      <c r="AE3" s="1434" t="str">
        <f>IF($BG$4=1,$BG$43,$BH$43)</f>
        <v>Right  Line</v>
      </c>
      <c r="AF3" s="1449" t="str">
        <f>IF($BG$4=1,$BG$42,$BH$42)</f>
        <v>Left    Line</v>
      </c>
      <c r="AG3" s="1358" t="str">
        <f>IF($BG$4=1,$BG$43,$BH$43)</f>
        <v>Right  Line</v>
      </c>
      <c r="AJ3" s="1355"/>
      <c r="AK3" s="1355"/>
      <c r="AL3" s="1355"/>
      <c r="AM3" s="2819"/>
      <c r="AN3" s="2819"/>
      <c r="AS3" s="20"/>
      <c r="AT3" s="20"/>
      <c r="AU3" s="20"/>
      <c r="AV3" s="1356">
        <f>'Regular and QuickBrace Systems'!W2</f>
        <v>1</v>
      </c>
      <c r="BD3" s="639"/>
      <c r="BE3" s="700">
        <f>'Project Demand'!AX5</f>
        <v>1</v>
      </c>
      <c r="BF3" s="701">
        <f>IF($BE$3=1,100,5)</f>
        <v>100</v>
      </c>
      <c r="BG3" s="702">
        <f>IF($BE$3=1,15,0.75)</f>
        <v>15</v>
      </c>
      <c r="BH3" s="763" t="str">
        <f>IF($BE$3=1,CX2,CX3)</f>
        <v>Bu's</v>
      </c>
      <c r="BI3" s="931"/>
      <c r="BJ3" s="18"/>
      <c r="BM3" s="923"/>
      <c r="BP3" s="449"/>
      <c r="BT3" s="923"/>
      <c r="BU3" s="923"/>
      <c r="CH3" s="923"/>
      <c r="CI3" s="923"/>
      <c r="CJ3" s="927"/>
      <c r="CL3" s="907" t="s">
        <v>826</v>
      </c>
      <c r="CM3" s="716" t="s">
        <v>827</v>
      </c>
      <c r="CN3" s="975"/>
      <c r="CO3" s="717" t="s">
        <v>828</v>
      </c>
      <c r="CP3" s="705" t="s">
        <v>829</v>
      </c>
      <c r="CQ3" s="718"/>
      <c r="CR3" s="705" t="s">
        <v>830</v>
      </c>
      <c r="CS3" s="719"/>
      <c r="CT3" s="718"/>
      <c r="CU3" s="705" t="s">
        <v>831</v>
      </c>
      <c r="CV3" s="720"/>
      <c r="CW3" s="721"/>
      <c r="CX3" s="482" t="s">
        <v>786</v>
      </c>
      <c r="CY3" s="705" t="s">
        <v>832</v>
      </c>
      <c r="CZ3" s="718"/>
      <c r="DA3" s="705" t="s">
        <v>833</v>
      </c>
      <c r="DB3" s="718"/>
      <c r="DU3" s="651"/>
      <c r="EP3" s="432"/>
      <c r="EQ3" s="432"/>
      <c r="EW3" s="651"/>
    </row>
    <row r="4" spans="1:157" ht="24" customHeight="1" thickBot="1">
      <c r="B4" s="2688" t="s">
        <v>387</v>
      </c>
      <c r="C4" s="2689"/>
      <c r="D4" s="2618" t="str">
        <f>'Project Demand'!E10</f>
        <v xml:space="preserve"> </v>
      </c>
      <c r="E4" s="2619"/>
      <c r="F4" s="2619"/>
      <c r="G4" s="2619"/>
      <c r="H4" s="2620"/>
      <c r="I4" s="2702" t="str">
        <f>CU4</f>
        <v>Min. Bu's per either External side of Project=</v>
      </c>
      <c r="J4" s="2703"/>
      <c r="K4" s="2704"/>
      <c r="L4" s="1785">
        <f ca="1">(IF(L5&gt;'Project Demand'!$E47*$BG$3,L5,IF('Project Demand'!$E47*$BG$3&gt;$BF$3,'Project Demand'!$E47*$BG$3,$BF$3)))</f>
        <v>150</v>
      </c>
      <c r="M4" s="1786"/>
      <c r="N4" s="1785">
        <f ca="1">(IF(N5&gt;'Project Demand'!$E47*$BG$3,N5,IF('Project Demand'!$E47*$BG$3&gt;$BF$3,'Project Demand'!$E47*$BG$3,$BF$3)))</f>
        <v>150</v>
      </c>
      <c r="O4" s="1787"/>
      <c r="P4" s="135"/>
      <c r="Q4" s="1018" t="str">
        <f ca="1">IF(OR(L4&gt;EI81,N4&gt;EJ81,L4&gt;EK81,N4&gt;EL81),"Min. Req. on Ext Lines not reached,  See Table below or at right ===&gt; ","")</f>
        <v xml:space="preserve">Min. Req. on Ext Lines not reached,  See Table below or at right ===&gt; </v>
      </c>
      <c r="T4" s="3"/>
      <c r="Z4" s="452"/>
      <c r="AD4" s="2636" t="str">
        <f ca="1">IF(AND(AD5&gt;=AD7,AE5&gt;=AD7),"Achieved","Not reached")</f>
        <v>Not reached</v>
      </c>
      <c r="AE4" s="2637"/>
      <c r="AF4" s="2626" t="str">
        <f ca="1">IF(AND(AF5&gt;=AF7,AG5&gt;=AF7),"Achieved","Not reached")</f>
        <v>Not reached</v>
      </c>
      <c r="AG4" s="2627"/>
      <c r="AJ4" s="2820"/>
      <c r="AK4" s="2820"/>
      <c r="AL4" s="1383"/>
      <c r="AM4" s="2821"/>
      <c r="AN4" s="2821"/>
      <c r="AU4" s="1"/>
      <c r="BA4"/>
      <c r="BB4"/>
      <c r="BC4"/>
      <c r="BD4" s="640"/>
      <c r="BE4" s="2673" t="s">
        <v>925</v>
      </c>
      <c r="BF4" s="2674"/>
      <c r="BG4" s="450">
        <f>'Project Demand'!AX21</f>
        <v>1</v>
      </c>
      <c r="BH4" s="703"/>
      <c r="BI4" s="932"/>
      <c r="CJ4" s="759"/>
      <c r="CL4" s="950" t="s">
        <v>834</v>
      </c>
      <c r="CM4" s="951" t="str">
        <f>IF($BE$3=1,CM2,CM3)</f>
        <v>"Min Bu's entered &lt; 100"</v>
      </c>
      <c r="CN4" s="976"/>
      <c r="CO4" s="953" t="str">
        <f>IF($BE$3=1,CO2,CO3)</f>
        <v>Bu/m</v>
      </c>
      <c r="CP4" s="951" t="str">
        <f>IF($BE$3=1,CP2,CP3)</f>
        <v>Achieved Bu's</v>
      </c>
      <c r="CQ4" s="952"/>
      <c r="CR4" s="951" t="str">
        <f>IF($BE$3=1,CR2,CR3)</f>
        <v>Element Resistance Limitations</v>
      </c>
      <c r="CS4" s="930"/>
      <c r="CT4" s="952"/>
      <c r="CU4" s="951" t="str">
        <f>IF($BE$3=1,CU2,CU3)</f>
        <v>Min. Bu's per either External side of Project=</v>
      </c>
      <c r="CV4" s="954"/>
      <c r="CW4" s="952"/>
      <c r="CY4" s="951" t="str">
        <f>IF($BE$3=1,CY2,CY3)</f>
        <v>Minimum Bu's Req. on each Bracing Line =</v>
      </c>
      <c r="CZ4" s="952"/>
      <c r="DA4" s="951" t="str">
        <f>IF($BE$3=1,DA2,DA3)</f>
        <v>Achieved BU's =</v>
      </c>
      <c r="DB4" s="952"/>
      <c r="EW4" s="427"/>
      <c r="EX4"/>
      <c r="EY4"/>
      <c r="EZ4"/>
      <c r="FA4"/>
    </row>
    <row r="5" spans="1:157" ht="24" customHeight="1" thickBot="1">
      <c r="A5" s="36"/>
      <c r="B5" s="2643" t="s">
        <v>1084</v>
      </c>
      <c r="C5" s="2644"/>
      <c r="D5" s="2644"/>
      <c r="E5" s="2644"/>
      <c r="F5" s="2644"/>
      <c r="G5" s="2644"/>
      <c r="H5" s="2645"/>
      <c r="I5" s="2711" t="str">
        <f>CY4</f>
        <v>Minimum Bu's Req. on each Bracing Line =</v>
      </c>
      <c r="J5" s="2712"/>
      <c r="K5" s="2713"/>
      <c r="L5" s="1788">
        <f ca="1">M105</f>
        <v>0</v>
      </c>
      <c r="M5" s="1789"/>
      <c r="N5" s="1788">
        <f ca="1">O105</f>
        <v>0</v>
      </c>
      <c r="O5" s="1790"/>
      <c r="P5" s="135"/>
      <c r="Q5" s="76" t="str">
        <f ca="1">IF(ISERROR(FIND("&lt;Min BU/",Q13&amp;Q19&amp;Q25&amp;Q31&amp;Q37&amp;Q43&amp;Q49&amp;Q55&amp;Q61&amp;Q67&amp;Q73&amp;Q79,1)),"","Min. Req. on each Bracing Line not reached")</f>
        <v/>
      </c>
      <c r="T5" s="1373" t="s">
        <v>8</v>
      </c>
      <c r="AC5"/>
      <c r="AD5" s="1780">
        <f ca="1">$EI$81</f>
        <v>0</v>
      </c>
      <c r="AE5" s="1781">
        <f>$EK$81</f>
        <v>0</v>
      </c>
      <c r="AF5" s="1782">
        <f ca="1">$EJ$81</f>
        <v>0</v>
      </c>
      <c r="AG5" s="1783">
        <f>$EL$81</f>
        <v>0</v>
      </c>
      <c r="AJ5" s="2813" t="str">
        <f>'Regular and QuickBrace Systems'!C4</f>
        <v>Elephant Plasterboard  - Regular (Nominal) Fixing Method:  Bracing Performance</v>
      </c>
      <c r="AK5" s="2814"/>
      <c r="AL5" s="2814"/>
      <c r="AM5" s="2814"/>
      <c r="AN5" s="2814"/>
      <c r="AO5" s="2814"/>
      <c r="AP5" s="2814"/>
      <c r="AQ5" s="2814"/>
      <c r="AR5" s="2814"/>
      <c r="AS5" s="2814"/>
      <c r="AT5" s="2814"/>
      <c r="AU5" s="2815"/>
      <c r="AW5" s="1591"/>
      <c r="BA5"/>
      <c r="BB5"/>
      <c r="BC5"/>
      <c r="BD5" s="641"/>
      <c r="BE5" s="2677" t="s">
        <v>815</v>
      </c>
      <c r="BF5" s="2678"/>
      <c r="BG5" s="959" t="str">
        <f>IF('Project Demand'!AQ64&lt;&gt;1,"Yes","No")</f>
        <v>No</v>
      </c>
      <c r="BI5" s="759"/>
      <c r="CJ5" s="759"/>
      <c r="CK5" s="188"/>
      <c r="CL5" s="977"/>
      <c r="CM5" s="777"/>
      <c r="CN5" s="778"/>
      <c r="CO5" s="778"/>
      <c r="CP5" s="777"/>
      <c r="CQ5" s="777"/>
      <c r="CR5" s="777"/>
      <c r="CS5" s="777"/>
      <c r="CT5" s="777"/>
      <c r="CU5" s="777"/>
      <c r="CV5" s="777"/>
      <c r="CW5" s="777"/>
      <c r="CX5" s="777"/>
      <c r="CY5" s="777"/>
      <c r="CZ5" s="777"/>
      <c r="DA5" s="920"/>
      <c r="DB5" s="920"/>
      <c r="DC5" s="997"/>
      <c r="DD5" s="920"/>
      <c r="DE5" s="920"/>
      <c r="DF5" s="920"/>
      <c r="DG5" s="955"/>
      <c r="DH5" s="955" t="s">
        <v>261</v>
      </c>
      <c r="DI5" s="955"/>
      <c r="DJ5" s="955"/>
      <c r="DK5" s="955"/>
      <c r="DL5" s="955"/>
      <c r="DM5" s="955"/>
      <c r="DN5" s="955"/>
      <c r="DO5" s="920" t="s">
        <v>250</v>
      </c>
      <c r="DP5" s="955"/>
      <c r="DQ5" s="955"/>
      <c r="DR5" s="955"/>
      <c r="DS5" s="955" t="s">
        <v>262</v>
      </c>
      <c r="DT5" s="955" t="s">
        <v>265</v>
      </c>
      <c r="DU5" s="955" t="s">
        <v>261</v>
      </c>
      <c r="DV5" s="955"/>
      <c r="DW5" s="955"/>
      <c r="DX5" s="955"/>
      <c r="DY5" s="955"/>
      <c r="DZ5" s="955"/>
      <c r="EA5" s="955"/>
      <c r="EB5" s="955"/>
      <c r="EC5" s="920" t="s">
        <v>250</v>
      </c>
      <c r="ED5" s="955"/>
      <c r="EE5" s="955"/>
      <c r="EF5" s="955"/>
      <c r="EG5" s="2738" t="s">
        <v>617</v>
      </c>
      <c r="EH5" s="2739"/>
      <c r="EI5" s="2739"/>
      <c r="EJ5" s="2739"/>
      <c r="EK5" s="2739"/>
      <c r="EL5" s="2740"/>
      <c r="EM5" s="2852" t="s">
        <v>587</v>
      </c>
      <c r="EN5" s="2853"/>
      <c r="EO5" s="2854"/>
      <c r="EP5" s="458"/>
      <c r="EQ5" s="458"/>
      <c r="ER5" s="2726" t="s">
        <v>600</v>
      </c>
      <c r="ES5" s="2727"/>
      <c r="ET5" s="955"/>
      <c r="EU5" s="2719" t="s">
        <v>835</v>
      </c>
      <c r="EW5" s="427"/>
      <c r="EX5"/>
      <c r="EY5"/>
      <c r="EZ5"/>
      <c r="FA5"/>
    </row>
    <row r="6" spans="1:157" ht="24" customHeight="1" thickBot="1">
      <c r="A6" s="37"/>
      <c r="B6" s="2705" t="s">
        <v>32</v>
      </c>
      <c r="C6" s="2646" t="s">
        <v>1051</v>
      </c>
      <c r="D6" s="2846" t="str">
        <f>IF($BG$4=1,BG39,BG40)</f>
        <v>Left ,Right OR Internal</v>
      </c>
      <c r="E6" s="2846" t="s">
        <v>1047</v>
      </c>
      <c r="F6" s="2846" t="s">
        <v>1046</v>
      </c>
      <c r="G6" s="2847" t="s">
        <v>483</v>
      </c>
      <c r="H6" s="2846" t="s">
        <v>36</v>
      </c>
      <c r="I6" s="1692" t="s">
        <v>1107</v>
      </c>
      <c r="J6" s="2791" t="s">
        <v>49</v>
      </c>
      <c r="K6" s="2789" t="str">
        <f>CR4</f>
        <v>Element Resistance Limitations</v>
      </c>
      <c r="L6" s="2638" t="s">
        <v>1</v>
      </c>
      <c r="M6" s="2639"/>
      <c r="N6" s="2638" t="s">
        <v>17</v>
      </c>
      <c r="O6" s="2788"/>
      <c r="P6" s="136"/>
      <c r="Q6" s="2641" t="str">
        <f ca="1">IF(Q98&lt;&gt;0,"Check Warnings below and at bottom of this page","")</f>
        <v>Check Warnings below and at bottom of this page</v>
      </c>
      <c r="T6" s="2640" t="s">
        <v>1070</v>
      </c>
      <c r="U6" s="2640" t="s">
        <v>1071</v>
      </c>
      <c r="W6" s="3"/>
      <c r="X6" s="3"/>
      <c r="AB6" s="2625" t="s">
        <v>1050</v>
      </c>
      <c r="AC6"/>
      <c r="AD6" s="2630" t="s">
        <v>1092</v>
      </c>
      <c r="AE6" s="2631"/>
      <c r="AF6" s="2632" t="s">
        <v>1090</v>
      </c>
      <c r="AG6" s="2633"/>
      <c r="AJ6" s="2816" t="str">
        <f>'Regular and QuickBrace Systems'!C19</f>
        <v>Elephant QuickBrace©      Bracing Systems  Performance</v>
      </c>
      <c r="AK6" s="2817"/>
      <c r="AL6" s="2817"/>
      <c r="AM6" s="2817"/>
      <c r="AN6" s="2817"/>
      <c r="AO6" s="2817"/>
      <c r="AP6" s="2817"/>
      <c r="AQ6" s="2817"/>
      <c r="AR6" s="2817"/>
      <c r="AS6" s="2817"/>
      <c r="AT6" s="2817"/>
      <c r="AU6" s="2818"/>
      <c r="AW6" s="1591"/>
      <c r="BA6"/>
      <c r="BB6"/>
      <c r="BC6"/>
      <c r="BD6" s="642"/>
      <c r="BE6" s="25"/>
      <c r="BF6" s="2670" t="s">
        <v>547</v>
      </c>
      <c r="BG6" s="918" t="s">
        <v>610</v>
      </c>
      <c r="BH6" s="919">
        <f>'Regular and QuickBrace Systems'!W2</f>
        <v>1</v>
      </c>
      <c r="BI6" s="933"/>
      <c r="BJ6" s="898"/>
      <c r="BL6" s="119"/>
      <c r="BR6" s="450" t="s">
        <v>248</v>
      </c>
      <c r="BS6" s="450" t="s">
        <v>248</v>
      </c>
      <c r="BT6" s="450" t="s">
        <v>323</v>
      </c>
      <c r="BU6" s="450" t="s">
        <v>267</v>
      </c>
      <c r="BV6" s="2730" t="s">
        <v>919</v>
      </c>
      <c r="BW6" s="2731"/>
      <c r="CH6" s="52" t="s">
        <v>235</v>
      </c>
      <c r="CI6" s="52" t="s">
        <v>235</v>
      </c>
      <c r="CJ6" s="759"/>
      <c r="CK6" s="188"/>
      <c r="CL6" s="2675" t="s">
        <v>670</v>
      </c>
      <c r="CN6" s="2721" t="s">
        <v>918</v>
      </c>
      <c r="CO6" s="2723" t="s">
        <v>249</v>
      </c>
      <c r="CR6" s="51"/>
      <c r="CS6" s="2672" t="s">
        <v>1</v>
      </c>
      <c r="CT6" s="2672"/>
      <c r="CU6" s="2672" t="s">
        <v>229</v>
      </c>
      <c r="CV6" s="2672"/>
      <c r="CW6" s="51"/>
      <c r="CX6" s="51"/>
      <c r="CY6" s="51"/>
      <c r="CZ6" s="51"/>
      <c r="DC6" s="2734" t="s">
        <v>924</v>
      </c>
      <c r="DD6" s="603" t="s">
        <v>323</v>
      </c>
      <c r="DE6" s="51" t="s">
        <v>1049</v>
      </c>
      <c r="DF6" s="2743" t="s">
        <v>1048</v>
      </c>
      <c r="DG6" s="2672" t="s">
        <v>1</v>
      </c>
      <c r="DH6" s="2672"/>
      <c r="DI6" s="2672" t="s">
        <v>229</v>
      </c>
      <c r="DJ6" s="2672"/>
      <c r="DK6" s="51"/>
      <c r="DL6" s="51"/>
      <c r="DM6" s="51"/>
      <c r="DN6" s="51"/>
      <c r="DO6" s="426" t="s">
        <v>1</v>
      </c>
      <c r="DQ6" s="426" t="s">
        <v>230</v>
      </c>
      <c r="DT6" s="2741" t="s">
        <v>670</v>
      </c>
      <c r="DU6" s="2672" t="s">
        <v>1</v>
      </c>
      <c r="DV6" s="2672"/>
      <c r="DW6" s="2672" t="s">
        <v>229</v>
      </c>
      <c r="DX6" s="2672"/>
      <c r="DY6" s="51"/>
      <c r="DZ6" s="51"/>
      <c r="EA6" s="51"/>
      <c r="EB6" s="51"/>
      <c r="EC6" s="426" t="s">
        <v>1</v>
      </c>
      <c r="EE6" s="426" t="s">
        <v>230</v>
      </c>
      <c r="EG6" s="601"/>
      <c r="EH6" s="465"/>
      <c r="EI6" s="604" t="s">
        <v>642</v>
      </c>
      <c r="EJ6" s="605"/>
      <c r="EK6" s="606" t="s">
        <v>644</v>
      </c>
      <c r="EL6" s="607"/>
      <c r="EM6" s="426" t="s">
        <v>368</v>
      </c>
      <c r="ER6" s="2728"/>
      <c r="ES6" s="2729"/>
      <c r="EU6" s="2720"/>
      <c r="EW6" s="427"/>
      <c r="EX6"/>
      <c r="EY6"/>
      <c r="EZ6"/>
      <c r="FA6"/>
    </row>
    <row r="7" spans="1:157" ht="24" customHeight="1" thickBot="1">
      <c r="B7" s="2706"/>
      <c r="C7" s="2647"/>
      <c r="D7" s="2708"/>
      <c r="E7" s="2708"/>
      <c r="F7" s="2708"/>
      <c r="G7" s="2710"/>
      <c r="H7" s="2708"/>
      <c r="I7" s="1685" t="str">
        <f>IF(I6=BG8,"Suggested Systems","Select Systems")</f>
        <v>Suggested Systems</v>
      </c>
      <c r="J7" s="2792"/>
      <c r="K7" s="2790"/>
      <c r="L7" s="722" t="str">
        <f>CO4</f>
        <v>Bu/m</v>
      </c>
      <c r="M7" s="690" t="str">
        <f>CP4</f>
        <v>Achieved Bu's</v>
      </c>
      <c r="N7" s="722" t="str">
        <f>CO4</f>
        <v>Bu/m</v>
      </c>
      <c r="O7" s="723" t="str">
        <f>CP4</f>
        <v>Achieved Bu's</v>
      </c>
      <c r="P7" s="137"/>
      <c r="Q7" s="2642"/>
      <c r="R7" s="451">
        <v>1</v>
      </c>
      <c r="T7" s="2640"/>
      <c r="U7" s="2640"/>
      <c r="W7" s="451">
        <v>0</v>
      </c>
      <c r="Z7" s="429" t="s">
        <v>269</v>
      </c>
      <c r="AB7" s="2625"/>
      <c r="AD7" s="2634">
        <f ca="1">$L$4</f>
        <v>150</v>
      </c>
      <c r="AE7" s="2635"/>
      <c r="AF7" s="2628">
        <f ca="1">$N$4</f>
        <v>150</v>
      </c>
      <c r="AG7" s="2629"/>
      <c r="AJ7" s="1458"/>
      <c r="AK7" s="1458"/>
      <c r="AL7" s="1457"/>
      <c r="AM7" s="1459"/>
      <c r="AN7" s="1459"/>
      <c r="AO7" s="1459"/>
      <c r="AP7" s="1457"/>
      <c r="AQ7" s="1457"/>
      <c r="AR7" s="1457"/>
      <c r="AS7" s="1460"/>
      <c r="AT7" s="1460"/>
      <c r="AU7" s="1460"/>
      <c r="BA7"/>
      <c r="BB7"/>
      <c r="BC7"/>
      <c r="BD7" s="643"/>
      <c r="BF7" s="2842"/>
      <c r="BG7" s="2724" t="s">
        <v>920</v>
      </c>
      <c r="BH7" s="2725"/>
      <c r="BI7" s="759"/>
      <c r="BJ7" s="915" t="s">
        <v>863</v>
      </c>
      <c r="BK7" s="862" t="s">
        <v>49</v>
      </c>
      <c r="BL7" s="973" t="s">
        <v>37</v>
      </c>
      <c r="BM7" s="52" t="s">
        <v>41</v>
      </c>
      <c r="BN7" s="52" t="s">
        <v>40</v>
      </c>
      <c r="BO7" s="52" t="s">
        <v>42</v>
      </c>
      <c r="BP7" s="52" t="s">
        <v>43</v>
      </c>
      <c r="BR7" s="450" t="s">
        <v>263</v>
      </c>
      <c r="BS7" s="450" t="s">
        <v>264</v>
      </c>
      <c r="BT7" s="450" t="s">
        <v>324</v>
      </c>
      <c r="BU7" s="450" t="s">
        <v>268</v>
      </c>
      <c r="BV7" s="2732"/>
      <c r="BW7" s="2733"/>
      <c r="CH7" s="52" t="s">
        <v>1</v>
      </c>
      <c r="CI7" s="52" t="s">
        <v>236</v>
      </c>
      <c r="CJ7" s="759"/>
      <c r="CK7" s="188"/>
      <c r="CL7" s="2676"/>
      <c r="CN7" s="2722"/>
      <c r="CO7" s="2723"/>
      <c r="CR7" s="52" t="s">
        <v>226</v>
      </c>
      <c r="CS7" s="956" t="s">
        <v>227</v>
      </c>
      <c r="CT7" s="52" t="s">
        <v>228</v>
      </c>
      <c r="CU7" s="956" t="s">
        <v>227</v>
      </c>
      <c r="CV7" s="52" t="s">
        <v>228</v>
      </c>
      <c r="CW7" s="52" t="s">
        <v>253</v>
      </c>
      <c r="CX7" s="52" t="s">
        <v>1</v>
      </c>
      <c r="CY7" s="52" t="s">
        <v>254</v>
      </c>
      <c r="CZ7" s="52" t="s">
        <v>230</v>
      </c>
      <c r="DA7" s="52" t="s">
        <v>255</v>
      </c>
      <c r="DB7" s="52" t="s">
        <v>256</v>
      </c>
      <c r="DC7" s="2734"/>
      <c r="DD7" s="602" t="s">
        <v>324</v>
      </c>
      <c r="DF7" s="2743"/>
      <c r="DG7" s="956" t="s">
        <v>227</v>
      </c>
      <c r="DH7" s="52" t="s">
        <v>228</v>
      </c>
      <c r="DI7" s="956" t="s">
        <v>227</v>
      </c>
      <c r="DJ7" s="52" t="s">
        <v>228</v>
      </c>
      <c r="DK7" s="51"/>
      <c r="DL7" s="51" t="s">
        <v>1</v>
      </c>
      <c r="DM7" s="51"/>
      <c r="DN7" s="51" t="s">
        <v>230</v>
      </c>
      <c r="DO7" s="51" t="s">
        <v>251</v>
      </c>
      <c r="DP7" s="51" t="s">
        <v>252</v>
      </c>
      <c r="DQ7" s="51" t="s">
        <v>251</v>
      </c>
      <c r="DR7" s="51" t="s">
        <v>252</v>
      </c>
      <c r="DT7" s="2742"/>
      <c r="DU7" s="956" t="s">
        <v>227</v>
      </c>
      <c r="DV7" s="52" t="s">
        <v>228</v>
      </c>
      <c r="DW7" s="956" t="s">
        <v>227</v>
      </c>
      <c r="DX7" s="52" t="s">
        <v>228</v>
      </c>
      <c r="DY7" s="51"/>
      <c r="DZ7" s="51" t="s">
        <v>1</v>
      </c>
      <c r="EA7" s="51"/>
      <c r="EB7" s="51" t="s">
        <v>230</v>
      </c>
      <c r="EC7" s="51" t="s">
        <v>251</v>
      </c>
      <c r="ED7" s="51" t="s">
        <v>252</v>
      </c>
      <c r="EE7" s="51" t="s">
        <v>251</v>
      </c>
      <c r="EF7" s="51" t="s">
        <v>252</v>
      </c>
      <c r="EG7" s="433"/>
      <c r="EH7" s="602"/>
      <c r="EI7" s="608" t="s">
        <v>1</v>
      </c>
      <c r="EJ7" s="609" t="s">
        <v>643</v>
      </c>
      <c r="EK7" s="610" t="s">
        <v>1</v>
      </c>
      <c r="EL7" s="609" t="s">
        <v>230</v>
      </c>
      <c r="EM7" s="51" t="s">
        <v>369</v>
      </c>
      <c r="ER7" s="547">
        <f>'Project Demand'!E45</f>
        <v>2.4</v>
      </c>
      <c r="ES7" s="434"/>
      <c r="EU7" s="957"/>
      <c r="EW7" s="427"/>
      <c r="EX7"/>
      <c r="EY7"/>
      <c r="EZ7"/>
      <c r="FA7"/>
    </row>
    <row r="8" spans="1:157" ht="17.100000000000001" customHeight="1" thickBot="1">
      <c r="B8" s="689" t="s">
        <v>7</v>
      </c>
      <c r="C8" s="684" t="str">
        <f>IF(OR(F8=0,I8="",I8=" ")," ",$V8)</f>
        <v xml:space="preserve"> </v>
      </c>
      <c r="D8" s="1413" t="str">
        <f>BG$12</f>
        <v>Left External</v>
      </c>
      <c r="E8" s="1414" t="s">
        <v>8</v>
      </c>
      <c r="F8" s="202"/>
      <c r="G8" s="1416"/>
      <c r="H8" s="199" t="str">
        <f ca="1">IF(OR(F8=0,Z8="E",Z8="f")," ",'Project Demand'!E$45)</f>
        <v xml:space="preserve"> </v>
      </c>
      <c r="I8" s="631" t="str">
        <f>IF($I$6&lt;&gt;$BG$8," ",AB8)</f>
        <v xml:space="preserve"> </v>
      </c>
      <c r="J8" s="43" t="str">
        <f ca="1">IF(OR(I8=" ",I8="")," ",OFFSET($BO$9,CL8-1,0-4,1,1))</f>
        <v xml:space="preserve"> </v>
      </c>
      <c r="K8" s="55" t="str">
        <f>IF(OR(I8=" ",I8="")," ",IF(OR(Z8="e",Z8="h"),"SD",BG$24))</f>
        <v xml:space="preserve"> </v>
      </c>
      <c r="L8" s="725">
        <f ca="1">CW8</f>
        <v>0</v>
      </c>
      <c r="M8" s="446">
        <f ca="1">CY8</f>
        <v>0</v>
      </c>
      <c r="N8" s="445">
        <f t="shared" ref="N8:O12" ca="1" si="0">DA8</f>
        <v>0</v>
      </c>
      <c r="O8" s="728">
        <f t="shared" ca="1" si="0"/>
        <v>0</v>
      </c>
      <c r="P8" s="138"/>
      <c r="Q8" s="752" t="str">
        <f ca="1">IF(AND(OR(Z8="t",Z8="f"),K8=$BH$11),"No Floor!  Change Floor Type",IF(OR(I8=" ",I8="")," ",IF(F8&lt;OFFSET($BM$9,CL8-1,0,1,1),"check L(m)",DE8&amp;IF(AND(DP8&gt;=CY8,DR8&gt;=DB8),IF(AND(ED8&gt;=DP8,EF8&gt;=DR8),CONCATENATE(DS8," will provide same result"),CONCATENATE(CO8," will provide same result")),IF((DP8&gt;=CY8),CONCATENATE(CO8," provides same result in WIND"),IF((DR8&gt;=DB8),CONCATENATE(CO8," provides same result in EQ"),""))))))&amp;IF(ISERROR(FIND("pile",I8,1)),"",IF(INT(F8)&lt;&gt;F8,"Pile!  Use Whole Numbers Only",""))</f>
        <v xml:space="preserve"> </v>
      </c>
      <c r="R8" s="52">
        <f ca="1">COLUMN(INDIRECT(B8&amp;1))</f>
        <v>13</v>
      </c>
      <c r="S8" s="1372" t="str">
        <f ca="1">SUBSTITUTE(ADDRESS(1,R8,4),"1","")</f>
        <v>M</v>
      </c>
      <c r="T8" s="451">
        <f>IF(AND(ISTEXT(B8),SUBSTITUTE(SUBSTITUTE(SUBSTITUTE(SUBSTITUTE(SUBSTITUTE(SUBSTITUTE(SUBSTITUTE(SUBSTITUTE(SUBSTITUTE(SUBSTITUTE(SUBSTITUTE(SUBSTITUTE(SUBSTITUTE(SUBSTITUTE(SUBSTITUTE(SUBSTITUTE(SUBSTITUTE(SUBSTITUTE(SUBSTITUTE(SUBSTITUTE(SUBSTITUTE(SUBSTITUTE(SUBSTITUTE(SUBSTITUTE(SUBSTITUTE(SUBSTITUTE(LOWER(B8),"a",),"b",),"c",),"d",),"e",),"f",),"g",),"h",),"i",),"j",),"k",),"l",),"m",),"n",),"o",),"p",),"q",),"r",),"s",),"t",),"u",),"v",),"w",),"x",),"y",),"z",)=""),1,2)</f>
        <v>1</v>
      </c>
      <c r="U8" s="1377">
        <v>13</v>
      </c>
      <c r="V8" s="52" t="str">
        <f>IF(AND(B$5=$BF$9,OR(I8=BH$16,I8=BH$17))," ",IF(ISNUMBER(B$8),(CONCATENATE(B$8,".",W8)),(CONCATENATE(B$8,W8))))</f>
        <v>M0</v>
      </c>
      <c r="W8" s="9">
        <f>W7+X8</f>
        <v>0</v>
      </c>
      <c r="X8" s="9">
        <f>IF(AND(B$5=$BF$9,OR($I8=$BH$16,$I8=$BH$17,$I8=" ",$I8="",$F8=0)),0,IF(OR($I8=" ",$I8="",$F8=0),0,1))</f>
        <v>0</v>
      </c>
      <c r="Y8" s="896">
        <f ca="1">IF(AND(M13&gt;0,B8&lt;&gt;B14),1,0)</f>
        <v>0</v>
      </c>
      <c r="Z8" s="52" t="str">
        <f ca="1">IF(I8=" "," ",OFFSET($BM$9,$CL8-1,8,1,1))</f>
        <v xml:space="preserve"> </v>
      </c>
      <c r="AA8" s="51" t="str">
        <f>IF(G8&gt;=45,"WA","")</f>
        <v/>
      </c>
      <c r="AB8" s="1364" t="str">
        <f>IF(F8&lt;&gt;"",IF(OR(D8=$BG$12,D8=$BG$13),IF(E8&lt;&gt;$BG$17,$BF$12,$BF$13),IF(E8&lt;&gt;$BG$17,$BF$12,$BF$13))," ")</f>
        <v xml:space="preserve"> </v>
      </c>
      <c r="AC8" s="1"/>
      <c r="AJ8" s="2185" t="str">
        <f>'Regular and QuickBrace Systems'!C5</f>
        <v>Supplier</v>
      </c>
      <c r="AK8" s="2831" t="str">
        <f>'Regular and QuickBrace Systems'!D5</f>
        <v>Internal or External Usage</v>
      </c>
      <c r="AL8" s="1816" t="str">
        <f>'Regular and QuickBrace Systems'!E5</f>
        <v>Regular Code</v>
      </c>
      <c r="AM8" s="2836" t="str">
        <f>'Regular and QuickBrace Systems'!F5</f>
        <v xml:space="preserve"> Performance</v>
      </c>
      <c r="AN8" s="2836"/>
      <c r="AO8" s="2837"/>
      <c r="AP8" s="1592"/>
      <c r="AQ8" s="2652" t="str">
        <f>'Regular and QuickBrace Systems'!I5</f>
        <v>Fixing Method</v>
      </c>
      <c r="AR8" s="2653"/>
      <c r="AS8" s="1597" t="s">
        <v>8</v>
      </c>
      <c r="AT8" s="1152"/>
      <c r="AU8" s="1456" t="str">
        <f>'Regular and QuickBrace Systems'!M5</f>
        <v xml:space="preserve">Lining Requirements </v>
      </c>
      <c r="AW8" s="2668" t="str">
        <f>'Regular and QuickBrace Systems'!O5</f>
        <v xml:space="preserve"> </v>
      </c>
      <c r="AX8" s="2669"/>
      <c r="BA8"/>
      <c r="BB8"/>
      <c r="BC8"/>
      <c r="BD8" s="641"/>
      <c r="BE8" s="457" t="s">
        <v>1069</v>
      </c>
      <c r="BF8" s="1379"/>
      <c r="BG8" s="430" t="s">
        <v>1107</v>
      </c>
      <c r="BH8" s="51" t="s">
        <v>1108</v>
      </c>
      <c r="BI8" s="759"/>
      <c r="BJ8" s="896"/>
      <c r="BK8" s="51"/>
      <c r="BL8" s="51"/>
      <c r="BM8" s="966" t="s">
        <v>8</v>
      </c>
      <c r="CJ8" s="759"/>
      <c r="CK8" s="188"/>
      <c r="CL8" s="978">
        <f>VLOOKUP(I8,Prodlink,2,0)</f>
        <v>0</v>
      </c>
      <c r="CN8" s="497">
        <f ca="1">VLOOKUP(CO8,Prodlink,2,0)</f>
        <v>0</v>
      </c>
      <c r="CO8" s="497">
        <f ca="1">OFFSET($CH$9,CL8-1,-15,1,1)</f>
        <v>0</v>
      </c>
      <c r="CQ8" s="51">
        <v>0</v>
      </c>
      <c r="CR8" s="51">
        <f>IF(K8=$BH$12,$BH$23,IF(K8=$BH$13,$BH$24,10000))</f>
        <v>10000</v>
      </c>
      <c r="CS8" s="51">
        <f ca="1">IF(F8&lt;OFFSET($BM$9,CL8-1,0,1,1),0,IF(F8&lt;OFFSET($BN$9,CL8-1,0,1,1),((F8-OFFSET($BM$9,CL8-1,0,1,1))*OFFSET($CH$9,CL8-1,0,1,1))+OFFSET($BO$9,CL8-1,CQ8,1,1),IF(F8&lt;OFFSET($BN$9,CL8+0,0,1,1),((F8-OFFSET($BM$9,CL8+0,0,1,1))*OFFSET($CH$9,CL8+0,0,1,1))+OFFSET($BO$9,CL8+0,CQ8,1,1),IF(F8&lt;OFFSET($BN$9,CL8+1,0,1,1),((F8-OFFSET($BM$9,CL8+1,0,1,1))*OFFSET($CH$9,CL8+1,0,1,1))+OFFSET($BO$9,CL8+1,CQ8,1,1),IF(F8&lt;OFFSET($BN$9,CL8+2,0,1,1),((F8-OFFSET($BM$9,CL8+2,0,1,1))*OFFSET($CH$9,CL8+2,0,1,1))+OFFSET($BO$9,CL8+2,CQ8,1,1),IF(F8&lt;OFFSET($BN$9,CL8+3,0,1,1),((F8-OFFSET($BM$9,CL8+3,0,1,1))*OFFSET($CH$9,CL8+3,0,1,1))+OFFSET($BO$9,CL8+3,CQ8,1,1),0))))))</f>
        <v>0</v>
      </c>
      <c r="CT8" s="51">
        <f ca="1">IF($F8&lt;OFFSET($BM$9,$CL8-1,0,1,1),0,IF($F8&lt;OFFSET($BN$9,$CL8-1,0,1,1),IF(AND($H8&gt;2.4,Z8&lt;&gt;"e",Z8&lt;&gt;"f"),CX8*2.4/$H8,CX8),IF($F8&lt;OFFSET($BN$9,$CL8+0,0,1,1),IF(AND($H8&gt;2.4,Z8&lt;&gt;"e",Z8&lt;&gt;"f"),CX8*2.4/$H8,CX8),IF($F8&lt;OFFSET($BN$9,$CL8+1,0,1,1),IF(AND($H8&gt;2.4,Z8&lt;&gt;"e",Z8&lt;&gt;"f"),CX8*2.4/$H8,CX8),IF($F8&lt;OFFSET($BN$9,CL8+2,0,1,1),IF(AND($H8&gt;2.4,Z8&lt;&gt;"e",Z8&lt;&gt;"f"),CX8*2.4/$H8,CX8),IF($F8&lt;OFFSET($BN$9,CL8+3,0,1,1),IF(AND($H8&gt;2.4,Z8&lt;&gt;"e",Z8&lt;&gt;"f"),CX8*2.4/$H8,CX8),0)))))*COS(RADIANS($G8)))</f>
        <v>0</v>
      </c>
      <c r="CU8" s="51">
        <f ca="1">IF(F8&lt;OFFSET($BM$9,CL8-1,0,1,1),0,IF(F8&lt;OFFSET($BN$9,CL8-1,0,1,1),((F8-OFFSET($BM$9,CL8-1,0,1,1))*OFFSET($CI$9,CL8-1,0,1,1))+OFFSET($BP$9,CL8-1,CQ8,1,1),IF(F8&lt;OFFSET($BN$9,CL8+0,0,1,1),((F8-OFFSET($BM$9,CL8+0,0,1,1))*OFFSET($CI$9,CL8+0,0,1,1))+OFFSET($BP$9,CL8+0,CQ8,1,1),IF(F8&lt;OFFSET($BN$9,CL8+1,0,1,1),((F8-OFFSET($BM$9,CL8+1,0,1,1))*OFFSET($CI$9,CL8+1,0,1,1))+OFFSET($BP$9,CL8+1,CQ8,1,1),IF(F8&lt;OFFSET($BN$9,CL8+2,0,1,1),((F8-OFFSET($BM$9,CL8+2,0,1,1))*OFFSET($CI$9,CL8+2,0,1,1))+OFFSET($BP$9,CL8+2,CQ8,1,1),IF(F8&lt;OFFSET($BN$9,CL8+3,0,1,1),((F8-OFFSET($BM$9,CL8+3,0,1,1))*OFFSET($CI$9,CL8+3,0,1,1))+OFFSET($BP$9,CL8+3,CQ8,1,1),0))))))</f>
        <v>0</v>
      </c>
      <c r="CV8" s="51">
        <f ca="1">IF($F8&lt;OFFSET($BM$9,$CL8-1,0,1,1),0,IF($F8&lt;OFFSET($BN$9,$CL8-1,0,1,1),IF(AND($H8&gt;2.4,Z8&lt;&gt;"e",Z8&lt;&gt;"f"),CZ8*2.4/$H8,CZ8),IF($F8&lt;OFFSET($BN$9,$CL8+0,0,1,1),IF(AND($H8&gt;2.4,Z8&lt;&gt;"e",Z8&lt;&gt;"f"),CZ8*2.4/$H8,CZ8),IF($F8&lt;OFFSET($BN$9,$CL8+1,0,1,1),IF(AND($H8&gt;2.4,Z8&lt;&gt;"e",Z8&lt;&gt;"f"),CZ8*2.4/$H8,CZ8),IF($F8&lt;OFFSET($BN$9,$CL8+2,0,1,1),IF(AND($H8&gt;2.4,Z8&lt;&gt;"e",Z8&lt;&gt;"f"),CZ8*2.4/$H8,CZ8),IF($F8&lt;OFFSET($BN$9,$CL8+3,0,1,1),IF(AND($H8&gt;2.4,Z8&lt;&gt;"e",Z8&lt;&gt;"f"),CZ8*2.4/$H8,CZ8),0)))))*COS(RADIANS($G8)))</f>
        <v>0</v>
      </c>
      <c r="CW8" s="51">
        <f ca="1">IF(CT8&gt;CR8,CR8,CT8)</f>
        <v>0</v>
      </c>
      <c r="CX8" s="51">
        <f ca="1">IF(CS8&gt;$CR8,$CR8,CS8)</f>
        <v>0</v>
      </c>
      <c r="CY8" s="51">
        <f ca="1">CW8*F8</f>
        <v>0</v>
      </c>
      <c r="CZ8" s="51">
        <f ca="1">IF($CU8&gt;$CR8,$CR8,$CU8)</f>
        <v>0</v>
      </c>
      <c r="DA8" s="51">
        <f ca="1">IF(CV8&gt;CR8,CR8,CV8)</f>
        <v>0</v>
      </c>
      <c r="DB8" s="51">
        <f ca="1">DA8*F8</f>
        <v>0</v>
      </c>
      <c r="DC8" s="993">
        <v>2</v>
      </c>
      <c r="DD8" s="758" t="str">
        <f>IF(OR(D8=BG$12,D8=BG$13),"External",IF(D8=BG$14,"Internal"," "))</f>
        <v>External</v>
      </c>
      <c r="DE8" s="51" t="str">
        <f ca="1">IF(AND(OFFSET($CH$9,CL8-1,-14,1,1)="I",DD8="External"),BE$66,IF(AND(OFFSET($CH$9,CL8-1,-14,1,1)="M",DD8="Internal"),BE$65,IF(AND(OFFSET($CH$9,CL8-1,-14,1,1)="M",DD8=" "),BE$64,IF(AND(OFFSET($CH$9,CL8-1,-14,1,1)="E",DD8="Internal"),BE$62,IF(AND(OFFSET($CH$9,CL8-1,-14,1,1)="E",DD8=" "),BE$61,IF(AND(DF8="Double",E8=$BG$16),BE$67,""))))))</f>
        <v/>
      </c>
      <c r="DF8" s="52" t="str">
        <f ca="1">IF(I8=" "," ",OFFSET($BM$9,$CL8-1,11,1,1))</f>
        <v xml:space="preserve"> </v>
      </c>
      <c r="DG8" s="51">
        <f ca="1">IF(F8&lt;OFFSET($BM$9,CN8-1,0,1,1),0,IF(F8&lt;OFFSET($BN$9,CN8-1,0,1,1),((F8-OFFSET($BM$9,CN8-1,0,1,1))*OFFSET($CH$9,CN8-1,0,1,1))+OFFSET($BO$9,CN8-1,CQ8,1,1),IF(F8&lt;OFFSET($BN$9,CN8+0,0,1,1),((F8-OFFSET($BM$9,CN8+0,0,1,1))*OFFSET($CH$9,CN8+0,0,1,1))+OFFSET($BO$9,CN8+0,CQ8,1,1),IF(F8&lt;OFFSET($BN$9,CN8+1,0,1,1),((F8-OFFSET($BM$9,CN8+1,0,1,1))*OFFSET($CH$9,CN8+1,0,1,1))+OFFSET($BO$9,CN8+1,CQ8,1,1),IF(F8&lt;OFFSET($BN$9,CN8+2,0,1,1),((F8-OFFSET($BM$9,CN8+2,0,1,1))*OFFSET($CH$9,CN8+2,0,1,1))+OFFSET($BO$9,CN8+2,CQ8,1,1),IF(F8&lt;OFFSET($BN$9,CN8+3,0,1,1),((F8-OFFSET($BM$9,CN8+3,0,1,1))*OFFSET($CH$9,CN8+3,0,1,1))+OFFSET($BO$9,CN8+3,CQ8,1,1),0))))))</f>
        <v>0</v>
      </c>
      <c r="DH8" s="51">
        <f ca="1">IF($F8&lt;OFFSET($BM$9,$CN8-1,0,1,1),0,IF($F8&lt;OFFSET($BN$9,$CN8-1,0,1,1),IF(AND($H8&gt;2.4,Z8&lt;&gt;"e",Z8&lt;&gt;"f"),DL8*2.4/$H8,DL8),IF($F8&lt;OFFSET($BN$9,$CN8+0,0,1,1),IF(AND($H8&gt;2.4,Z8&lt;&gt;"e",Z8&lt;&gt;"f"),DL8*2.4/$H8,DL8),IF($F8&lt;OFFSET($BN$9,$CN8+1,0,1,1),IF(AND($H8&gt;2.4,Z8&lt;&gt;"e",Z8&lt;&gt;"f"),DL8*2.4/$H8,DL8),IF($F8&lt;OFFSET($BN$9,$CN8+2,0,1,1),IF(AND($H8&gt;2.4,Z8&lt;&gt;"e",Z8&lt;&gt;"f"),DL8*2.4/$H8,DL8),IF($F8&lt;OFFSET($BN$9,$CN8+3,0,1,1),IF(AND($H8&gt;2.4,Z8&lt;&gt;"e",Z8&lt;&gt;"f"),DL8*2.4/$H8,DL8),0)))))*COS(RADIANS($G8)))</f>
        <v>0</v>
      </c>
      <c r="DI8" s="51">
        <f ca="1">IF(F8&lt;OFFSET($BM$9,CN8-1,0,1,1),0,IF(F8&lt;OFFSET($BN$9,CN8-1,0,1,1),((F8-OFFSET($BM$9,CN8-1,0,1,1))*OFFSET($CI$9,CN8-1,0,1,1))+OFFSET($BP$9,CN8-1,CQ8,1,1),IF(F8&lt;OFFSET($BN$9,CN8+0,0,1,1),((F8-OFFSET($BM$9,CN8+0,0,1,1))*OFFSET($CI$9,CN8+0,0,1,1))+OFFSET($BP$9,CN8+0,CQ8,1,1),IF(F8&lt;OFFSET($BN$9,CN8+1,0,1,1),((F8-OFFSET($BM$9,CN8+1,0,1,1))*OFFSET($CI$9,CN8+1,0,1,1))+OFFSET($BP$9,CN8+1,CQ8,1,1),IF(F8&lt;OFFSET($BN$9,CN8+2,0,1,1),((F8-OFFSET($BM$9,CN8+2,0,1,1))*OFFSET($CI$9,CN8+2,0,1,1))+OFFSET($BP$9,CN8+2,CQ8,1,1),IF(F8&lt;OFFSET($BN$9,CN8+3,0,1,1),((F8-OFFSET($BM$9,CN8+3,0,1,1))*OFFSET($CI$9,CN8+3,0,1,1))+OFFSET($BP$9,CN8+3,CQ8,1,1),0))))))</f>
        <v>0</v>
      </c>
      <c r="DJ8" s="51">
        <f ca="1">IF($F8&lt;OFFSET($BM$9,$CN8-1,0,1,1),0,IF($F8&lt;OFFSET($BN$9,$CN8-1,0,1,1),IF(AND($H8&gt;2.4,Z8&lt;&gt;"e",Z8&lt;&gt;"f"),DN8*2.4/$H8,DN8),IF($F8&lt;OFFSET($BN$9,$CN8+0,0,1,1),IF(AND($H8&gt;2.4,Z8&lt;&gt;"e",Z8&lt;&gt;"f"),DN8*2.4/$H8,DN8),IF($F8&lt;OFFSET($BN$9,$CN8+1,0,1,1),IF(AND($H8&gt;2.4,Z8&lt;&gt;"e",Z8&lt;&gt;"f"),DN8*2.4/$H8,DN8),IF($F8&lt;OFFSET($BN$9,$CN8+2,0,1,1),IF(AND($H8&gt;2.4,Z8&lt;&gt;"e",Z8&lt;&gt;"f"),DN8*2.4/$H8,DN8),IF($F8&lt;OFFSET($BN$9,$CN8+3,0,1,1),IF(AND($H8&gt;2.4,Z8&lt;&gt;"e",Z8&lt;&gt;"f"),DN8*2.4/$H8,DN8),0)))))*COS(RADIANS($G8)))</f>
        <v>0</v>
      </c>
      <c r="DK8" s="51"/>
      <c r="DL8" s="51">
        <f ca="1">IF(DG8&gt;$CR8,$CR8,DG8)</f>
        <v>0</v>
      </c>
      <c r="DM8" s="51"/>
      <c r="DN8" s="51">
        <f ca="1">IF(DI8&gt;$CR8,$CR8,DI8)</f>
        <v>0</v>
      </c>
      <c r="DO8" s="435">
        <f ca="1">IF(DH8&gt;$CR8,$CR8,DH8)</f>
        <v>0</v>
      </c>
      <c r="DP8" s="435">
        <f ca="1">DO8*F8</f>
        <v>0</v>
      </c>
      <c r="DQ8" s="436">
        <f ca="1">IF(DJ8&gt;$CR8,$CR8,DJ8)</f>
        <v>0</v>
      </c>
      <c r="DR8" s="437">
        <f ca="1">DQ8*F8</f>
        <v>0</v>
      </c>
      <c r="DS8" s="426">
        <f ca="1">OFFSET($CH$9,CL8-1,-15,1,1)</f>
        <v>0</v>
      </c>
      <c r="DT8" s="426">
        <f ca="1">VLOOKUP(DS8,Prodlink,2,0)</f>
        <v>0</v>
      </c>
      <c r="DU8" s="188">
        <f ca="1">IF(F8&lt;OFFSET($BM$9,DT8-1,0,1,1),0,IF(F8&lt;OFFSET($BN$9,DT8-1,0,1,1),((F8-OFFSET($BM$9,DT8-1,0,1,1))*OFFSET($CH$9,DT8-1,0,1,1))+OFFSET($BO$9,DT8-1,CQ8,1,1),IF(F8&lt;OFFSET($BN$9,DT8+0,0,1,1),((F8-OFFSET($BM$9,DT8+0,0,1,1))*OFFSET($CH$9,DT8+0,0,1,1))+OFFSET($BO$9,DT8+0,CQ8,1,1),IF(F8&lt;OFFSET($BN$9,DT8+1,0,1,1),((F8-OFFSET($BM$9,DT8+1,0,1,1))*OFFSET($CH$9,DT8+1,0,1,1))+OFFSET($BO$9,DT8+1,CQ8,1,1),IF(F8&lt;OFFSET($BN$9,DT8+2,0,1,1),((F8-OFFSET($BM$9,DT8+2,0,1,1))*OFFSET($CH$9,DT8+2,0,1,1))+OFFSET($BO$9,DT8+2,CQ8,1,1),IF(F8&lt;OFFSET($BN$9,DT8+3,0,1,1),((F8-OFFSET($BM$9,DT8+3,0,1,1))*OFFSET($CH$9,DT8+3,0,1,1))+OFFSET($BO$9,DT8+3,CQ8,1,1),0))))))</f>
        <v>0</v>
      </c>
      <c r="DV8" s="51">
        <f ca="1">IF($F8&lt;OFFSET($BM$9,$DT8-1,0,1,1),0,IF($F8&lt;OFFSET($BN$9,$DT8-1,0,1,1),IF(AND($H8&gt;2.4,Z8&lt;&gt;"e",Z8&lt;&gt;"f"),DZ8*2.4/$H8,DZ8),IF($F8&lt;OFFSET($BN$9,$DT8+0,0,1,1),IF(AND($H8&gt;2.4,Z8&lt;&gt;"e",Z8&lt;&gt;"f"),DZ8*2.4/$H8,DZ8),IF($F8&lt;OFFSET($BN$9,$DT8+1,0,1,1),IF(AND($H8&gt;2.4,Z8&lt;&gt;"e",Z8&lt;&gt;"f"),DZ8*2.4/$H8,DZ8),IF($F8&lt;OFFSET($BN$9,$DT8+2,0,1,1),IF(AND($H8&gt;2.4,Z8&lt;&gt;"e",Z8&lt;&gt;"f"),DZ8*2.4/$H8,DZ8),IF($F8&lt;OFFSET($BN$9,$DT8+3,0,1,1),IF(AND($H8&gt;2.4,Z8&lt;&gt;"e",Z8&lt;&gt;"f"),DZ8*2.4/$H8,DZ8),0)))))*COS(RADIANS($G8)))</f>
        <v>0</v>
      </c>
      <c r="DW8" s="188">
        <f ca="1">IF(F8&lt;OFFSET($BM$9,DT8-1,0,1,1),0,IF(F8&lt;OFFSET($BN$9,DT8-1,0,1,1),((F8-OFFSET($BM$9,DT8-1,0,1,1))*OFFSET($CI$9,DT8-1,0,1,1))+OFFSET($BP$9,DT8-1,CQ8,1,1),IF(F8&lt;OFFSET($BN$9,DT8+0,0,1,1),((F8-OFFSET($BM$9,DT8+0,0,1,1))*OFFSET($CI$9,DT8+0,0,1,1))+OFFSET($BP$9,DT8+0,CQ8,1,1),IF(F8&lt;OFFSET($BN$9,DT8+1,0,1,1),((F8-OFFSET($BM$9,DT8+1,0,1,1))*OFFSET($CI$9,DT8+1,0,1,1))+OFFSET($BP$9,DT8+1,CQ8,1,1),IF(F8&lt;OFFSET($BN$9,DT8+2,0,1,1),((F8-OFFSET($BM$9,DT8+2,0,1,1))*OFFSET($CI$9,DT8+2,0,1,1))+OFFSET($BP$9,DT8+2,CQ8,1,1),IF(F8&lt;OFFSET($BN$9,DT8+3,0,1,1),((F8-OFFSET($BM$9,DT8+3,0,1,1))*OFFSET($CI$9,DT8+3,0,1,1))+OFFSET($BP$9,DT8+3,CQ8,1,1),0))))))</f>
        <v>0</v>
      </c>
      <c r="DX8" s="51">
        <f ca="1">IF($F8&lt;OFFSET($BM$9,$DT8-1,0,1,1),0,IF($F8&lt;OFFSET($BN$9,$DT8-1,0,1,1),IF(AND($H8&gt;2.4,Z8&lt;&gt;"e",Z8&lt;&gt;"f"),EB8*2.4/$H8,EB8),IF($F8&lt;OFFSET($BN$9,$DT8+0,0,1,1),IF(AND($H8&gt;2.4,Z8&lt;&gt;"e",Z8&lt;&gt;"f"),EB8*2.4/$H8,EB8),IF($F8&lt;OFFSET($BN$9,$DT8+1,0,1,1),IF(AND($H8&gt;2.4,Z8&lt;&gt;"e",Z8&lt;&gt;"f"),EB8*2.4/$H8,EB8),IF($F8&lt;OFFSET($BN$9,$DT8+2,0,1,1),IF(AND($H8&gt;2.4,Z8&lt;&gt;"e",Z8&lt;&gt;"f"),EB8*2.4/$H8,EB8),IF($F8&lt;OFFSET($BN$9,$DT8+3,0,1,1),IF(AND($H8&gt;2.4,Z8&lt;&gt;"e",Z8&lt;&gt;"f"),EB8*2.4/$H8,EB8),0)))))*COS(RADIANS($G8)))</f>
        <v>0</v>
      </c>
      <c r="DY8" s="188"/>
      <c r="DZ8" s="188">
        <f ca="1">IF(DU8&gt;$CR8,$CR8,DU8)</f>
        <v>0</v>
      </c>
      <c r="EA8" s="188"/>
      <c r="EB8" s="188">
        <f ca="1">IF(DW8&gt;$CR8,$CR8,DW8)</f>
        <v>0</v>
      </c>
      <c r="EC8" s="435">
        <f ca="1">IF(DV8&gt;$CR8,$CR8,DV8)</f>
        <v>0</v>
      </c>
      <c r="ED8" s="435">
        <f ca="1">EC8*F8</f>
        <v>0</v>
      </c>
      <c r="EE8" s="436">
        <f ca="1">IF(DX8&gt;$CR8,$CR8,DX8)</f>
        <v>0</v>
      </c>
      <c r="EF8" s="437">
        <f ca="1">EE8*F8</f>
        <v>0</v>
      </c>
      <c r="EG8" s="613" t="str">
        <f>IF(D8=BG$12,BG$12,"")</f>
        <v>Left External</v>
      </c>
      <c r="EH8" s="614" t="str">
        <f>IF(D8=BG$13,BG$13,"")</f>
        <v/>
      </c>
      <c r="EI8" s="611">
        <f ca="1">IF(EG8=BG$12,M8,0)</f>
        <v>0</v>
      </c>
      <c r="EJ8" s="451">
        <f ca="1">IF(EG8=BG$12,O8,0)</f>
        <v>0</v>
      </c>
      <c r="EK8" s="451">
        <f>IF(EH8=BG$13,M8,0)</f>
        <v>0</v>
      </c>
      <c r="EL8" s="612">
        <f>IF(EH8=BG$13,O8,0)</f>
        <v>0</v>
      </c>
      <c r="EM8" s="426" t="str">
        <f ca="1">IF(AND(Z8&lt;&gt;"t",Z8&lt;&gt;"f"),"",IF(AND(EN8=$BH$13,K8=$BH$12),"NotOpt",IF(K8&lt;&gt;EN8,"Error","")))</f>
        <v/>
      </c>
      <c r="EN8" s="490" t="str">
        <f>IF($BG$28=1,$BH$13,$BH$12)</f>
        <v>120 BU's</v>
      </c>
      <c r="EO8" s="426" t="str">
        <f>K8</f>
        <v xml:space="preserve"> </v>
      </c>
      <c r="EP8" s="430">
        <v>1</v>
      </c>
      <c r="EQ8" s="430" t="str">
        <f ca="1">IF(EP8=1," ",OFFSET(BF$16,EP8-2,0,1,1))</f>
        <v xml:space="preserve"> </v>
      </c>
      <c r="ER8" s="439" t="str">
        <f ca="1">IF(H8=0," ",H8)</f>
        <v xml:space="preserve"> </v>
      </c>
      <c r="ES8" s="440" t="str">
        <f ca="1">IF(ER8&lt;&gt;" ",IF(ER8&lt;&gt;ER$7,"Changed",""),"")</f>
        <v/>
      </c>
      <c r="ET8" s="440">
        <f ca="1">IF(ER8&lt;&gt;" ",IF(ER8&lt;&gt;ER$7,1,0),0)</f>
        <v>0</v>
      </c>
      <c r="EU8" s="957" t="str">
        <f ca="1">IF(I8=" "," ",IF(F8&lt;OFFSET($BM$9,CL8-1,0,1,1),1,""))</f>
        <v xml:space="preserve"> </v>
      </c>
      <c r="EW8" s="427"/>
      <c r="EX8"/>
      <c r="EY8"/>
      <c r="EZ8"/>
      <c r="FA8"/>
    </row>
    <row r="9" spans="1:157" ht="17.100000000000001" customHeight="1" thickBot="1">
      <c r="B9" s="689" t="s">
        <v>246</v>
      </c>
      <c r="C9" s="684" t="str">
        <f>IF(OR(F9=0,I9="",I9=" ")," ",$V9)</f>
        <v xml:space="preserve"> </v>
      </c>
      <c r="D9" s="1361"/>
      <c r="E9" s="1034" t="s">
        <v>8</v>
      </c>
      <c r="F9" s="202"/>
      <c r="G9" s="1416"/>
      <c r="H9" s="199" t="str">
        <f ca="1">IF(OR(F9=0,Z9="E",Z9="f")," ",'Project Demand'!E$45)</f>
        <v xml:space="preserve"> </v>
      </c>
      <c r="I9" s="631" t="str">
        <f>IF($I$6&lt;&gt;$BG$8," ",AB9)</f>
        <v xml:space="preserve"> </v>
      </c>
      <c r="J9" s="44" t="str">
        <f ca="1">IF(OR(I9=" ",I9="")," ",OFFSET($BO$9,CL9-1,0-4,1,1))</f>
        <v xml:space="preserve"> </v>
      </c>
      <c r="K9" s="55" t="str">
        <f>IF(OR(I9=" ",I9="")," ",IF(OR(Z9="e",Z9="h"),"SD",BG$24))</f>
        <v xml:space="preserve"> </v>
      </c>
      <c r="L9" s="725">
        <f ca="1">CW9</f>
        <v>0</v>
      </c>
      <c r="M9" s="726">
        <f ca="1">CY9</f>
        <v>0</v>
      </c>
      <c r="N9" s="445">
        <f t="shared" ca="1" si="0"/>
        <v>0</v>
      </c>
      <c r="O9" s="728">
        <f t="shared" ca="1" si="0"/>
        <v>0</v>
      </c>
      <c r="P9" s="138"/>
      <c r="Q9" s="752" t="str">
        <f ca="1">IF(AND(OR(Z9="t",Z9="f"),K9=$BH$11),"No Floor!  Change Floor Type",IF(OR(I9=" ",I9="")," ",IF(F9&lt;OFFSET($BM$9,CL9-1,0,1,1),"check L(m)",DE9&amp;IF(AND(DP9&gt;=CY9,DR9&gt;=DB9),IF(AND(ED9&gt;=DP9,EF9&gt;=DR9),CONCATENATE(DS9," will provide same result"),CONCATENATE(CO9," will provide same result")),IF((DP9&gt;=CY9),CONCATENATE(CO9," provides same result in WIND"),IF((DR9&gt;=DB9),CONCATENATE(CO9," provides same result in EQ"),""))))))&amp;IF(ISERROR(FIND("pile",I9,1)),"",IF(INT(F9)&lt;&gt;F9,"Pile!  Use Whole Numbers Only",""))</f>
        <v xml:space="preserve"> </v>
      </c>
      <c r="R9" s="52"/>
      <c r="S9" s="1372"/>
      <c r="T9" s="52"/>
      <c r="U9" s="1377"/>
      <c r="V9" s="52" t="str">
        <f>IF(AND(B$5=$BF$9,OR(I9=BH$16,I9=BH$17))," ",IF(ISNUMBER(B$8),(CONCATENATE(B$8,".",W9)),(CONCATENATE(B$8,W9))))</f>
        <v>M0</v>
      </c>
      <c r="W9" s="9">
        <f>W8+X9</f>
        <v>0</v>
      </c>
      <c r="X9" s="9">
        <f>IF(AND(B$5=$BF$9,OR($I9=$BH$16,$I9=$BH$17,$I9=" ",$I9="",$F9=0)),0,IF(OR($I9=" ",$I9="",$F9=0),0,1))</f>
        <v>0</v>
      </c>
      <c r="Y9" s="896"/>
      <c r="Z9" s="52" t="str">
        <f ca="1">IF(I9=" "," ",OFFSET($BM$9,$CL9-1,8,1,1))</f>
        <v xml:space="preserve"> </v>
      </c>
      <c r="AA9" s="51" t="str">
        <f>IF(G9&gt;=45,"WA","")</f>
        <v/>
      </c>
      <c r="AB9" s="1364" t="str">
        <f>IF(F9&lt;&gt;"",IF(OR(D9=$BG$12,D9=$BG$13),IF(E9&lt;&gt;$BG$17,$BF$12,$BF$13),IF(E9&lt;&gt;$BG$17,$BF$12,$BF$13))," ")</f>
        <v xml:space="preserve"> </v>
      </c>
      <c r="AC9" s="1"/>
      <c r="AJ9" s="2185"/>
      <c r="AK9" s="2831"/>
      <c r="AL9" s="2786" t="str">
        <f>'Regular and QuickBrace Systems'!E20</f>
        <v>QuickBrace©  System Number</v>
      </c>
      <c r="AM9" s="2833" t="str">
        <f>'Regular and QuickBrace Systems'!F6</f>
        <v>Min Length (m)</v>
      </c>
      <c r="AN9" s="2251" t="str">
        <f>'Regular and QuickBrace Systems'!G6</f>
        <v>BU's/m   Wind</v>
      </c>
      <c r="AO9" s="2251" t="str">
        <f>'Regular and QuickBrace Systems'!H6</f>
        <v>BU's/m   EQ</v>
      </c>
      <c r="AP9" s="1244"/>
      <c r="AQ9" s="2654" t="str">
        <f>'Regular and QuickBrace Systems'!I20</f>
        <v>Specialised QuickBrace Corner &amp; Perimeter Pattern</v>
      </c>
      <c r="AR9" s="2655"/>
      <c r="AS9" s="2650" t="str">
        <f>'Regular and QuickBrace Systems'!K5</f>
        <v>Panel Hold Downs?</v>
      </c>
      <c r="AT9" s="1152"/>
      <c r="AU9" s="2023" t="str">
        <f>'Regular and QuickBrace Systems'!M6</f>
        <v xml:space="preserve">Elephant Plasterboard       </v>
      </c>
      <c r="AW9" s="2658" t="str">
        <f>'Regular and QuickBrace Systems'!$O$6</f>
        <v>Height Dependant</v>
      </c>
      <c r="AX9" s="2233" t="str">
        <f>'Regular and QuickBrace Systems'!$Q$6</f>
        <v>Foundation Dependant</v>
      </c>
      <c r="BA9"/>
      <c r="BB9"/>
      <c r="BC9"/>
      <c r="BD9" s="2649"/>
      <c r="BE9" s="1380"/>
      <c r="BF9" s="2679" t="s">
        <v>1084</v>
      </c>
      <c r="BG9" s="2679"/>
      <c r="BH9" s="2679"/>
      <c r="BI9" s="759"/>
      <c r="BJ9" s="896">
        <v>1</v>
      </c>
      <c r="BK9" s="119"/>
      <c r="BL9" s="916"/>
      <c r="BM9" s="967">
        <v>0</v>
      </c>
      <c r="BN9" s="966"/>
      <c r="BO9" s="966">
        <v>0</v>
      </c>
      <c r="BP9" s="966"/>
      <c r="BR9" s="450"/>
      <c r="BS9" s="450"/>
      <c r="BT9" s="450"/>
      <c r="BU9" s="450"/>
      <c r="BV9" s="51" t="s">
        <v>8</v>
      </c>
      <c r="CH9" s="966"/>
      <c r="CI9" s="966"/>
      <c r="CJ9" s="928"/>
      <c r="CK9" s="937"/>
      <c r="CL9" s="979">
        <f>VLOOKUP(I9,Prodlink,2,0)</f>
        <v>0</v>
      </c>
      <c r="CN9" s="497">
        <f ca="1">VLOOKUP(CO9,Prodlink,2,0)</f>
        <v>0</v>
      </c>
      <c r="CO9" s="497">
        <f ca="1">OFFSET($CH$9,CL9-1,-15,1,1)</f>
        <v>0</v>
      </c>
      <c r="CQ9" s="51">
        <v>0</v>
      </c>
      <c r="CR9" s="51">
        <f>IF(K9=$BH$12,$BH$23,IF(K9=$BH$13,$BH$24,10000))</f>
        <v>10000</v>
      </c>
      <c r="CS9" s="51">
        <f ca="1">IF(F9&lt;OFFSET($BM$9,CL9-1,0,1,1),0,IF(F9&lt;OFFSET($BN$9,CL9-1,0,1,1),((F9-OFFSET($BM$9,CL9-1,0,1,1))*OFFSET($CH$9,CL9-1,0,1,1))+OFFSET($BO$9,CL9-1,CQ9,1,1),IF(F9&lt;OFFSET($BN$9,CL9+0,0,1,1),((F9-OFFSET($BM$9,CL9+0,0,1,1))*OFFSET($CH$9,CL9+0,0,1,1))+OFFSET($BO$9,CL9+0,CQ9,1,1),IF(F9&lt;OFFSET($BN$9,CL9+1,0,1,1),((F9-OFFSET($BM$9,CL9+1,0,1,1))*OFFSET($CH$9,CL9+1,0,1,1))+OFFSET($BO$9,CL9+1,CQ9,1,1),IF(F9&lt;OFFSET($BN$9,CL9+2,0,1,1),((F9-OFFSET($BM$9,CL9+2,0,1,1))*OFFSET($CH$9,CL9+2,0,1,1))+OFFSET($BO$9,CL9+2,CQ9,1,1),IF(F9&lt;OFFSET($BN$9,CL9+3,0,1,1),((F9-OFFSET($BM$9,CL9+3,0,1,1))*OFFSET($CH$9,CL9+3,0,1,1))+OFFSET($BO$9,CL9+3,CQ9,1,1),0))))))</f>
        <v>0</v>
      </c>
      <c r="CT9" s="51">
        <f ca="1">IF($F9&lt;OFFSET($BM$9,$CL9-1,0,1,1),0,IF($F9&lt;OFFSET($BN$9,$CL9-1,0,1,1),IF(AND($H9&gt;2.4,Z9&lt;&gt;"e",Z9&lt;&gt;"f"),CX9*2.4/$H9,CX9),IF($F9&lt;OFFSET($BN$9,$CL9+0,0,1,1),IF(AND($H9&gt;2.4,Z9&lt;&gt;"e",Z9&lt;&gt;"f"),CX9*2.4/$H9,CX9),IF($F9&lt;OFFSET($BN$9,$CL9+1,0,1,1),IF(AND($H9&gt;2.4,Z9&lt;&gt;"e",Z9&lt;&gt;"f"),CX9*2.4/$H9,CX9),IF($F9&lt;OFFSET($BN$9,CL9+2,0,1,1),IF(AND($H9&gt;2.4,Z9&lt;&gt;"e",Z9&lt;&gt;"f"),CX9*2.4/$H9,CX9),IF($F9&lt;OFFSET($BN$9,CL9+3,0,1,1),IF(AND($H9&gt;2.4,Z9&lt;&gt;"e",Z9&lt;&gt;"f"),CX9*2.4/$H9,CX9),0)))))*COS(RADIANS($G9)))</f>
        <v>0</v>
      </c>
      <c r="CU9" s="51">
        <f ca="1">IF(F9&lt;OFFSET($BM$9,CL9-1,0,1,1),0,IF(F9&lt;OFFSET($BN$9,CL9-1,0,1,1),((F9-OFFSET($BM$9,CL9-1,0,1,1))*OFFSET($CI$9,CL9-1,0,1,1))+OFFSET($BP$9,CL9-1,CQ9,1,1),IF(F9&lt;OFFSET($BN$9,CL9+0,0,1,1),((F9-OFFSET($BM$9,CL9+0,0,1,1))*OFFSET($CI$9,CL9+0,0,1,1))+OFFSET($BP$9,CL9+0,CQ9,1,1),IF(F9&lt;OFFSET($BN$9,CL9+1,0,1,1),((F9-OFFSET($BM$9,CL9+1,0,1,1))*OFFSET($CI$9,CL9+1,0,1,1))+OFFSET($BP$9,CL9+1,CQ9,1,1),IF(F9&lt;OFFSET($BN$9,CL9+2,0,1,1),((F9-OFFSET($BM$9,CL9+2,0,1,1))*OFFSET($CI$9,CL9+2,0,1,1))+OFFSET($BP$9,CL9+2,CQ9,1,1),IF(F9&lt;OFFSET($BN$9,CL9+3,0,1,1),((F9-OFFSET($BM$9,CL9+3,0,1,1))*OFFSET($CI$9,CL9+3,0,1,1))+OFFSET($BP$9,CL9+3,CQ9,1,1),0))))))</f>
        <v>0</v>
      </c>
      <c r="CV9" s="51">
        <f ca="1">IF($F9&lt;OFFSET($BM$9,$CL9-1,0,1,1),0,IF($F9&lt;OFFSET($BN$9,$CL9-1,0,1,1),IF(AND($H9&gt;2.4,Z9&lt;&gt;"e",Z9&lt;&gt;"f"),CZ9*2.4/$H9,CZ9),IF($F9&lt;OFFSET($BN$9,$CL9+0,0,1,1),IF(AND($H9&gt;2.4,Z9&lt;&gt;"e",Z9&lt;&gt;"f"),CZ9*2.4/$H9,CZ9),IF($F9&lt;OFFSET($BN$9,$CL9+1,0,1,1),IF(AND($H9&gt;2.4,Z9&lt;&gt;"e",Z9&lt;&gt;"f"),CZ9*2.4/$H9,CZ9),IF($F9&lt;OFFSET($BN$9,$CL9+2,0,1,1),IF(AND($H9&gt;2.4,Z9&lt;&gt;"e",Z9&lt;&gt;"f"),CZ9*2.4/$H9,CZ9),IF($F9&lt;OFFSET($BN$9,$CL9+3,0,1,1),IF(AND($H9&gt;2.4,Z9&lt;&gt;"e",Z9&lt;&gt;"f"),CZ9*2.4/$H9,CZ9),0)))))*COS(RADIANS($G9)))</f>
        <v>0</v>
      </c>
      <c r="CW9" s="51">
        <f ca="1">IF(CT9&gt;CR9,CR9,CT9)</f>
        <v>0</v>
      </c>
      <c r="CX9" s="51">
        <f ca="1">IF(CS9&gt;$CR9,$CR9,CS9)</f>
        <v>0</v>
      </c>
      <c r="CY9" s="51">
        <f ca="1">CW9*F9</f>
        <v>0</v>
      </c>
      <c r="CZ9" s="51">
        <f ca="1">IF($CU9&gt;$CR9,$CR9,$CU9)</f>
        <v>0</v>
      </c>
      <c r="DA9" s="51">
        <f ca="1">IF(CV9&gt;CR9,CR9,CV9)</f>
        <v>0</v>
      </c>
      <c r="DB9" s="51">
        <f ca="1">DA9*F9</f>
        <v>0</v>
      </c>
      <c r="DC9" s="993">
        <v>1</v>
      </c>
      <c r="DD9" s="758" t="str">
        <f>IF(OR(D9=BG$12,D9=BG$13),"External",IF(D9=BG$14,"Internal"," "))</f>
        <v xml:space="preserve"> </v>
      </c>
      <c r="DE9" s="51" t="str">
        <f t="shared" ref="DE9:DE72" ca="1" si="1">IF(AND(OFFSET($CH$9,CL9-1,-14,1,1)="I",DD9="External"),BE$66,IF(AND(OFFSET($CH$9,CL9-1,-14,1,1)="M",DD9="Internal"),BE$65,IF(AND(OFFSET($CH$9,CL9-1,-14,1,1)="M",DD9=" "),BE$64,IF(AND(OFFSET($CH$9,CL9-1,-14,1,1)="E",DD9="Internal"),BE$62,IF(AND(OFFSET($CH$9,CL9-1,-14,1,1)="E",DD9=" "),BE$61,IF(AND(DF9="Double",E9=$BG$16),BE$67,""))))))</f>
        <v/>
      </c>
      <c r="DF9" s="52" t="str">
        <f t="shared" ref="DF9:DF72" ca="1" si="2">IF(I9=" "," ",OFFSET($BM$9,$CL9-1,11,1,1))</f>
        <v xml:space="preserve"> </v>
      </c>
      <c r="DG9" s="51">
        <f ca="1">IF(F9&lt;OFFSET($BM$9,CN9-1,0,1,1),0,IF(F9&lt;OFFSET($BN$9,CN9-1,0,1,1),((F9-OFFSET($BM$9,CN9-1,0,1,1))*OFFSET($CH$9,CN9-1,0,1,1))+OFFSET($BO$9,CN9-1,CQ9,1,1),IF(F9&lt;OFFSET($BN$9,CN9+0,0,1,1),((F9-OFFSET($BM$9,CN9+0,0,1,1))*OFFSET($CH$9,CN9+0,0,1,1))+OFFSET($BO$9,CN9+0,CQ9,1,1),IF(F9&lt;OFFSET($BN$9,CN9+1,0,1,1),((F9-OFFSET($BM$9,CN9+1,0,1,1))*OFFSET($CH$9,CN9+1,0,1,1))+OFFSET($BO$9,CN9+1,CQ9,1,1),IF(F9&lt;OFFSET($BN$9,CN9+2,0,1,1),((F9-OFFSET($BM$9,CN9+2,0,1,1))*OFFSET($CH$9,CN9+2,0,1,1))+OFFSET($BO$9,CN9+2,CQ9,1,1),IF(F9&lt;OFFSET($BN$9,CN9+3,0,1,1),((F9-OFFSET($BM$9,CN9+3,0,1,1))*OFFSET($CH$9,CN9+3,0,1,1))+OFFSET($BO$9,CN9+3,CQ9,1,1),0))))))</f>
        <v>0</v>
      </c>
      <c r="DH9" s="51">
        <f ca="1">IF($F9&lt;OFFSET($BM$9,$CN9-1,0,1,1),0,IF($F9&lt;OFFSET($BN$9,$CN9-1,0,1,1),IF(AND($H9&gt;2.4,Z9&lt;&gt;"e",Z9&lt;&gt;"f"),DL9*2.4/$H9,DL9),IF($F9&lt;OFFSET($BN$9,$CN9+0,0,1,1),IF(AND($H9&gt;2.4,Z9&lt;&gt;"e",Z9&lt;&gt;"f"),DL9*2.4/$H9,DL9),IF($F9&lt;OFFSET($BN$9,$CN9+1,0,1,1),IF(AND($H9&gt;2.4,Z9&lt;&gt;"e",Z9&lt;&gt;"f"),DL9*2.4/$H9,DL9),IF($F9&lt;OFFSET($BN$9,$CN9+2,0,1,1),IF(AND($H9&gt;2.4,Z9&lt;&gt;"e",Z9&lt;&gt;"f"),DL9*2.4/$H9,DL9),IF($F9&lt;OFFSET($BN$9,$CN9+3,0,1,1),IF(AND($H9&gt;2.4,Z9&lt;&gt;"e",Z9&lt;&gt;"f"),DL9*2.4/$H9,DL9),0)))))*COS(RADIANS($G9)))</f>
        <v>0</v>
      </c>
      <c r="DI9" s="51">
        <f ca="1">IF(F9&lt;OFFSET($BM$9,CN9-1,0,1,1),0,IF(F9&lt;OFFSET($BN$9,CN9-1,0,1,1),((F9-OFFSET($BM$9,CN9-1,0,1,1))*OFFSET($CI$9,CN9-1,0,1,1))+OFFSET($BP$9,CN9-1,CQ9,1,1),IF(F9&lt;OFFSET($BN$9,CN9+0,0,1,1),((F9-OFFSET($BM$9,CN9+0,0,1,1))*OFFSET($CI$9,CN9+0,0,1,1))+OFFSET($BP$9,CN9+0,CQ9,1,1),IF(F9&lt;OFFSET($BN$9,CN9+1,0,1,1),((F9-OFFSET($BM$9,CN9+1,0,1,1))*OFFSET($CI$9,CN9+1,0,1,1))+OFFSET($BP$9,CN9+1,CQ9,1,1),IF(F9&lt;OFFSET($BN$9,CN9+2,0,1,1),((F9-OFFSET($BM$9,CN9+2,0,1,1))*OFFSET($CI$9,CN9+2,0,1,1))+OFFSET($BP$9,CN9+2,CQ9,1,1),IF(F9&lt;OFFSET($BN$9,CN9+3,0,1,1),((F9-OFFSET($BM$9,CN9+3,0,1,1))*OFFSET($CI$9,CN9+3,0,1,1))+OFFSET($BP$9,CN9+3,CQ9,1,1),0))))))</f>
        <v>0</v>
      </c>
      <c r="DJ9" s="51">
        <f ca="1">IF($F9&lt;OFFSET($BM$9,$CN9-1,0,1,1),0,IF($F9&lt;OFFSET($BN$9,$CN9-1,0,1,1),IF(AND($H9&gt;2.4,Z9&lt;&gt;"e",Z9&lt;&gt;"f"),DN9*2.4/$H9,DN9),IF($F9&lt;OFFSET($BN$9,$CN9+0,0,1,1),IF(AND($H9&gt;2.4,Z9&lt;&gt;"e",Z9&lt;&gt;"f"),DN9*2.4/$H9,DN9),IF($F9&lt;OFFSET($BN$9,$CN9+1,0,1,1),IF(AND($H9&gt;2.4,Z9&lt;&gt;"e",Z9&lt;&gt;"f"),DN9*2.4/$H9,DN9),IF($F9&lt;OFFSET($BN$9,$CN9+2,0,1,1),IF(AND($H9&gt;2.4,Z9&lt;&gt;"e",Z9&lt;&gt;"f"),DN9*2.4/$H9,DN9),IF($F9&lt;OFFSET($BN$9,$CN9+3,0,1,1),IF(AND($H9&gt;2.4,Z9&lt;&gt;"e",Z9&lt;&gt;"f"),DN9*2.4/$H9,DN9),0)))))*COS(RADIANS($G9)))</f>
        <v>0</v>
      </c>
      <c r="DK9" s="51"/>
      <c r="DL9" s="51">
        <f ca="1">IF(DG9&gt;$CR9,$CR9,DG9)</f>
        <v>0</v>
      </c>
      <c r="DM9" s="51"/>
      <c r="DN9" s="51">
        <f ca="1">IF(DI9&gt;$CR9,$CR9,DI9)</f>
        <v>0</v>
      </c>
      <c r="DO9" s="435">
        <f ca="1">IF(DH9&gt;$CR9,$CR9,DH9)</f>
        <v>0</v>
      </c>
      <c r="DP9" s="435">
        <f ca="1">DO9*F9</f>
        <v>0</v>
      </c>
      <c r="DQ9" s="436">
        <f ca="1">IF(DJ9&gt;$CR9,$CR9,DJ9)</f>
        <v>0</v>
      </c>
      <c r="DR9" s="437">
        <f ca="1">DQ9*F9</f>
        <v>0</v>
      </c>
      <c r="DS9" s="426">
        <f ca="1">OFFSET($CH$9,CL9-1,-15,1,1)</f>
        <v>0</v>
      </c>
      <c r="DT9" s="426">
        <f ca="1">VLOOKUP(DS9,Prodlink,2,0)</f>
        <v>0</v>
      </c>
      <c r="DU9" s="188">
        <f ca="1">IF(F9&lt;OFFSET($BM$9,DT9-1,0,1,1),0,IF(F9&lt;OFFSET($BN$9,DT9-1,0,1,1),((F9-OFFSET($BM$9,DT9-1,0,1,1))*OFFSET($CH$9,DT9-1,0,1,1))+OFFSET($BO$9,DT9-1,CQ9,1,1),IF(F9&lt;OFFSET($BN$9,DT9+0,0,1,1),((F9-OFFSET($BM$9,DT9+0,0,1,1))*OFFSET($CH$9,DT9+0,0,1,1))+OFFSET($BO$9,DT9+0,CQ9,1,1),IF(F9&lt;OFFSET($BN$9,DT9+1,0,1,1),((F9-OFFSET($BM$9,DT9+1,0,1,1))*OFFSET($CH$9,DT9+1,0,1,1))+OFFSET($BO$9,DT9+1,CQ9,1,1),IF(F9&lt;OFFSET($BN$9,DT9+2,0,1,1),((F9-OFFSET($BM$9,DT9+2,0,1,1))*OFFSET($CH$9,DT9+2,0,1,1))+OFFSET($BO$9,DT9+2,CQ9,1,1),IF(F9&lt;OFFSET($BN$9,DT9+3,0,1,1),((F9-OFFSET($BM$9,DT9+3,0,1,1))*OFFSET($CH$9,DT9+3,0,1,1))+OFFSET($BO$9,DT9+3,CQ9,1,1),0))))))</f>
        <v>0</v>
      </c>
      <c r="DV9" s="51">
        <f ca="1">IF($F9&lt;OFFSET($BM$9,$DT9-1,0,1,1),0,IF($F9&lt;OFFSET($BN$9,$DT9-1,0,1,1),IF(AND($H9&gt;2.4,Z9&lt;&gt;"e",Z9&lt;&gt;"f"),DZ9*2.4/$H9,DZ9),IF($F9&lt;OFFSET($BN$9,$DT9+0,0,1,1),IF(AND($H9&gt;2.4,Z9&lt;&gt;"e",Z9&lt;&gt;"f"),DZ9*2.4/$H9,DZ9),IF($F9&lt;OFFSET($BN$9,$DT9+1,0,1,1),IF(AND($H9&gt;2.4,Z9&lt;&gt;"e",Z9&lt;&gt;"f"),DZ9*2.4/$H9,DZ9),IF($F9&lt;OFFSET($BN$9,$DT9+2,0,1,1),IF(AND($H9&gt;2.4,Z9&lt;&gt;"e",Z9&lt;&gt;"f"),DZ9*2.4/$H9,DZ9),IF($F9&lt;OFFSET($BN$9,$DT9+3,0,1,1),IF(AND($H9&gt;2.4,Z9&lt;&gt;"e",Z9&lt;&gt;"f"),DZ9*2.4/$H9,DZ9),0)))))*COS(RADIANS($G9)))</f>
        <v>0</v>
      </c>
      <c r="DW9" s="188">
        <f ca="1">IF(F9&lt;OFFSET($BM$9,DT9-1,0,1,1),0,IF(F9&lt;OFFSET($BN$9,DT9-1,0,1,1),((F9-OFFSET($BM$9,DT9-1,0,1,1))*OFFSET($CI$9,DT9-1,0,1,1))+OFFSET($BP$9,DT9-1,CQ9,1,1),IF(F9&lt;OFFSET($BN$9,DT9+0,0,1,1),((F9-OFFSET($BM$9,DT9+0,0,1,1))*OFFSET($CI$9,DT9+0,0,1,1))+OFFSET($BP$9,DT9+0,CQ9,1,1),IF(F9&lt;OFFSET($BN$9,DT9+1,0,1,1),((F9-OFFSET($BM$9,DT9+1,0,1,1))*OFFSET($CI$9,DT9+1,0,1,1))+OFFSET($BP$9,DT9+1,CQ9,1,1),IF(F9&lt;OFFSET($BN$9,DT9+2,0,1,1),((F9-OFFSET($BM$9,DT9+2,0,1,1))*OFFSET($CI$9,DT9+2,0,1,1))+OFFSET($BP$9,DT9+2,CQ9,1,1),IF(F9&lt;OFFSET($BN$9,DT9+3,0,1,1),((F9-OFFSET($BM$9,DT9+3,0,1,1))*OFFSET($CI$9,DT9+3,0,1,1))+OFFSET($BP$9,DT9+3,CQ9,1,1),0))))))</f>
        <v>0</v>
      </c>
      <c r="DX9" s="51">
        <f ca="1">IF($F9&lt;OFFSET($BM$9,$DT9-1,0,1,1),0,IF($F9&lt;OFFSET($BN$9,$DT9-1,0,1,1),IF(AND($H9&gt;2.4,Z9&lt;&gt;"e",Z9&lt;&gt;"f"),EB9*2.4/$H9,EB9),IF($F9&lt;OFFSET($BN$9,$DT9+0,0,1,1),IF(AND($H9&gt;2.4,Z9&lt;&gt;"e",Z9&lt;&gt;"f"),EB9*2.4/$H9,EB9),IF($F9&lt;OFFSET($BN$9,$DT9+1,0,1,1),IF(AND($H9&gt;2.4,Z9&lt;&gt;"e",Z9&lt;&gt;"f"),EB9*2.4/$H9,EB9),IF($F9&lt;OFFSET($BN$9,$DT9+2,0,1,1),IF(AND($H9&gt;2.4,Z9&lt;&gt;"e",Z9&lt;&gt;"f"),EB9*2.4/$H9,EB9),IF($F9&lt;OFFSET($BN$9,$DT9+3,0,1,1),IF(AND($H9&gt;2.4,Z9&lt;&gt;"e",Z9&lt;&gt;"f"),EB9*2.4/$H9,EB9),0)))))*COS(RADIANS($G9)))</f>
        <v>0</v>
      </c>
      <c r="DY9" s="188"/>
      <c r="DZ9" s="188">
        <f ca="1">IF(DU9&gt;$CR9,$CR9,DU9)</f>
        <v>0</v>
      </c>
      <c r="EA9" s="188"/>
      <c r="EB9" s="188">
        <f ca="1">IF(DW9&gt;$CR9,$CR9,DW9)</f>
        <v>0</v>
      </c>
      <c r="EC9" s="435">
        <f ca="1">IF(DV9&gt;$CR9,$CR9,DV9)</f>
        <v>0</v>
      </c>
      <c r="ED9" s="435">
        <f ca="1">EC9*F9</f>
        <v>0</v>
      </c>
      <c r="EE9" s="436">
        <f ca="1">IF(DX9&gt;$CR9,$CR9,DX9)</f>
        <v>0</v>
      </c>
      <c r="EF9" s="437">
        <f ca="1">EE9*F9</f>
        <v>0</v>
      </c>
      <c r="EG9" s="613" t="str">
        <f>IF(D9=BG$12,BG$12,"")</f>
        <v/>
      </c>
      <c r="EH9" s="614" t="str">
        <f>IF(D9=BG$13,BG$13,"")</f>
        <v/>
      </c>
      <c r="EI9" s="611">
        <f>IF(EG9=BG$12,M9,0)</f>
        <v>0</v>
      </c>
      <c r="EJ9" s="451">
        <f>IF(EG9=BG$12,O9,0)</f>
        <v>0</v>
      </c>
      <c r="EK9" s="451">
        <f>IF(EH9=BG$13,M9,0)</f>
        <v>0</v>
      </c>
      <c r="EL9" s="612">
        <f>IF(EH9=BG$13,O9,0)</f>
        <v>0</v>
      </c>
      <c r="EM9" s="426" t="str">
        <f ca="1">IF(AND(Z9&lt;&gt;"t",Z9&lt;&gt;"f"),"",IF(AND(EN9=$BH$13,K9=$BH$12),"NotOpt",IF(K9&lt;&gt;EN9,"Error","")))</f>
        <v/>
      </c>
      <c r="EN9" s="490" t="str">
        <f>IF($BG$28=1,$BH$13,$BH$12)</f>
        <v>120 BU's</v>
      </c>
      <c r="EO9" s="426" t="str">
        <f>K9</f>
        <v xml:space="preserve"> </v>
      </c>
      <c r="EP9" s="430">
        <v>1</v>
      </c>
      <c r="EQ9" s="430" t="str">
        <f ca="1">IF(EP9=1," ",OFFSET(BF$16,EP9-2,0,1,1))</f>
        <v xml:space="preserve"> </v>
      </c>
      <c r="ER9" s="439" t="str">
        <f ca="1">IF(H9=0," ",H9)</f>
        <v xml:space="preserve"> </v>
      </c>
      <c r="ES9" s="440" t="str">
        <f ca="1">IF(ER9&lt;&gt;" ",IF(ER9&lt;&gt;ER$7,"Changed",""),"")</f>
        <v/>
      </c>
      <c r="ET9" s="440">
        <f ca="1">IF(ER9&lt;&gt;" ",IF(ER9&lt;&gt;ER$7,1,0),0)</f>
        <v>0</v>
      </c>
      <c r="EU9" s="957" t="str">
        <f ca="1">IF(I9=" "," ",IF(F9&lt;OFFSET($BM$9,CL9-1,0,1,1),1,""))</f>
        <v xml:space="preserve"> </v>
      </c>
      <c r="EW9" s="427"/>
      <c r="EX9"/>
      <c r="EY9"/>
      <c r="EZ9"/>
      <c r="FA9"/>
    </row>
    <row r="10" spans="1:157" ht="17.100000000000001" customHeight="1" thickBot="1">
      <c r="B10" s="689" t="s">
        <v>246</v>
      </c>
      <c r="C10" s="684" t="str">
        <f>IF(OR(F10=0,I10="",I10=" ")," ",$V10)</f>
        <v xml:space="preserve"> </v>
      </c>
      <c r="D10" s="1033"/>
      <c r="E10" s="1360"/>
      <c r="F10" s="202"/>
      <c r="G10" s="1416"/>
      <c r="H10" s="199" t="str">
        <f ca="1">IF(OR(F10=0,Z10="E",Z10="f")," ",'Project Demand'!E$45)</f>
        <v xml:space="preserve"> </v>
      </c>
      <c r="I10" s="631" t="str">
        <f>IF($I$6&lt;&gt;$BG$8," ",AB10)</f>
        <v xml:space="preserve"> </v>
      </c>
      <c r="J10" s="44" t="str">
        <f ca="1">IF(OR(I10=" ",I10="")," ",OFFSET($BO$9,CL10-1,0-4,1,1))</f>
        <v xml:space="preserve"> </v>
      </c>
      <c r="K10" s="55" t="str">
        <f>IF(OR(I10=" ",I10="")," ",IF(OR(Z10="e",Z10="h"),"SD",BG$24))</f>
        <v xml:space="preserve"> </v>
      </c>
      <c r="L10" s="725">
        <f ca="1">CW10</f>
        <v>0</v>
      </c>
      <c r="M10" s="726">
        <f ca="1">CY10</f>
        <v>0</v>
      </c>
      <c r="N10" s="445">
        <f t="shared" ca="1" si="0"/>
        <v>0</v>
      </c>
      <c r="O10" s="728">
        <f t="shared" ca="1" si="0"/>
        <v>0</v>
      </c>
      <c r="P10" s="138"/>
      <c r="Q10" s="752" t="str">
        <f ca="1">IF(AND(OR(Z10="t",Z10="f"),K10=$BH$11),"No Floor!  Change Floor Type",IF(OR(I10=" ",I10="")," ",IF(F10&lt;OFFSET($BM$9,CL10-1,0,1,1),"check L(m)",DE10&amp;IF(AND(DP10&gt;=CY10,DR10&gt;=DB10),IF(AND(ED10&gt;=DP10,EF10&gt;=DR10),CONCATENATE(DS10," will provide same result"),CONCATENATE(CO10," will provide same result")),IF((DP10&gt;=CY10),CONCATENATE(CO10," provides same result in WIND"),IF((DR10&gt;=DB10),CONCATENATE(CO10," provides same result in EQ"),""))))))&amp;IF(ISERROR(FIND("pile",I10,1)),"",IF(INT(F10)&lt;&gt;F10,"Pile!  Use Whole Numbers Only",""))</f>
        <v xml:space="preserve"> </v>
      </c>
      <c r="R10" s="52"/>
      <c r="S10" s="1372"/>
      <c r="T10" s="52"/>
      <c r="U10" s="1377"/>
      <c r="V10" s="52" t="str">
        <f>IF(AND(B$5=$BF$9,OR(I10=BH$16,I10=BH$17))," ",IF(ISNUMBER(B$8),(CONCATENATE(B$8,".",W10)),(CONCATENATE(B$8,W10))))</f>
        <v>M0</v>
      </c>
      <c r="W10" s="9">
        <f>W9+X10</f>
        <v>0</v>
      </c>
      <c r="X10" s="9">
        <f>IF(AND(B$5=$BF$9,OR($I10=$BH$16,$I10=$BH$17,$I10=" ",$I10="",$F10=0)),0,IF(OR($I10=" ",$I10="",$F10=0),0,1))</f>
        <v>0</v>
      </c>
      <c r="Y10" s="896"/>
      <c r="Z10" s="52" t="str">
        <f ca="1">IF(I10=" "," ",OFFSET($BM$9,$CL10-1,8,1,1))</f>
        <v xml:space="preserve"> </v>
      </c>
      <c r="AA10" s="51" t="str">
        <f>IF(G10&gt;=45,"WA","")</f>
        <v/>
      </c>
      <c r="AB10" s="1364" t="str">
        <f>IF(F10&lt;&gt;"",IF(OR(D10=$BG$12,D10=$BG$13),IF(E10&lt;&gt;$BG$17,$BF$12,$BF$13),IF(E10&lt;&gt;$BG$17,$BF$12,$BF$13))," ")</f>
        <v xml:space="preserve"> </v>
      </c>
      <c r="AC10" s="1"/>
      <c r="AJ10" s="2185"/>
      <c r="AK10" s="2831"/>
      <c r="AL10" s="2786"/>
      <c r="AM10" s="2834"/>
      <c r="AN10" s="2252"/>
      <c r="AO10" s="2252"/>
      <c r="AP10" s="1244"/>
      <c r="AQ10" s="2654"/>
      <c r="AR10" s="2655"/>
      <c r="AS10" s="2650"/>
      <c r="AT10" s="1152"/>
      <c r="AU10" s="2023"/>
      <c r="AW10" s="2658"/>
      <c r="AX10" s="2233"/>
      <c r="BA10"/>
      <c r="BB10"/>
      <c r="BC10"/>
      <c r="BD10" s="2649"/>
      <c r="BE10" s="1381"/>
      <c r="BF10" s="2679" t="s">
        <v>1085</v>
      </c>
      <c r="BG10" s="2679"/>
      <c r="BH10" s="2679"/>
      <c r="BI10" s="759"/>
      <c r="BJ10" s="896">
        <f>BJ9+1</f>
        <v>2</v>
      </c>
      <c r="BK10" s="917"/>
      <c r="BL10" s="898"/>
      <c r="BM10" s="968"/>
      <c r="BV10" s="51" t="s">
        <v>8</v>
      </c>
      <c r="BW10" s="51" t="s">
        <v>8</v>
      </c>
      <c r="CJ10" s="759"/>
      <c r="CK10" s="188"/>
      <c r="CL10" s="979">
        <f>VLOOKUP(I10,Prodlink,2,0)</f>
        <v>0</v>
      </c>
      <c r="CN10" s="497">
        <f ca="1">VLOOKUP(CO10,Prodlink,2,0)</f>
        <v>0</v>
      </c>
      <c r="CO10" s="497">
        <f ca="1">OFFSET($CH$9,CL10-1,-15,1,1)</f>
        <v>0</v>
      </c>
      <c r="CQ10" s="51">
        <v>0</v>
      </c>
      <c r="CR10" s="51">
        <f>IF(K10=$BH$12,$BH$23,IF(K10=$BH$13,$BH$24,10000))</f>
        <v>10000</v>
      </c>
      <c r="CS10" s="51">
        <f ca="1">IF(F10&lt;OFFSET($BM$9,CL10-1,0,1,1),0,IF(F10&lt;OFFSET($BN$9,CL10-1,0,1,1),((F10-OFFSET($BM$9,CL10-1,0,1,1))*OFFSET($CH$9,CL10-1,0,1,1))+OFFSET($BO$9,CL10-1,CQ10,1,1),IF(F10&lt;OFFSET($BN$9,CL10+0,0,1,1),((F10-OFFSET($BM$9,CL10+0,0,1,1))*OFFSET($CH$9,CL10+0,0,1,1))+OFFSET($BO$9,CL10+0,CQ10,1,1),IF(F10&lt;OFFSET($BN$9,CL10+1,0,1,1),((F10-OFFSET($BM$9,CL10+1,0,1,1))*OFFSET($CH$9,CL10+1,0,1,1))+OFFSET($BO$9,CL10+1,CQ10,1,1),IF(F10&lt;OFFSET($BN$9,CL10+2,0,1,1),((F10-OFFSET($BM$9,CL10+2,0,1,1))*OFFSET($CH$9,CL10+2,0,1,1))+OFFSET($BO$9,CL10+2,CQ10,1,1),IF(F10&lt;OFFSET($BN$9,CL10+3,0,1,1),((F10-OFFSET($BM$9,CL10+3,0,1,1))*OFFSET($CH$9,CL10+3,0,1,1))+OFFSET($BO$9,CL10+3,CQ10,1,1),0))))))</f>
        <v>0</v>
      </c>
      <c r="CT10" s="51">
        <f ca="1">IF($F10&lt;OFFSET($BM$9,$CL10-1,0,1,1),0,IF($F10&lt;OFFSET($BN$9,$CL10-1,0,1,1),IF(AND($H10&gt;2.4,Z10&lt;&gt;"e",Z10&lt;&gt;"f"),CX10*2.4/$H10,CX10),IF($F10&lt;OFFSET($BN$9,$CL10+0,0,1,1),IF(AND($H10&gt;2.4,Z10&lt;&gt;"e",Z10&lt;&gt;"f"),CX10*2.4/$H10,CX10),IF($F10&lt;OFFSET($BN$9,$CL10+1,0,1,1),IF(AND($H10&gt;2.4,Z10&lt;&gt;"e",Z10&lt;&gt;"f"),CX10*2.4/$H10,CX10),IF($F10&lt;OFFSET($BN$9,CL10+2,0,1,1),IF(AND($H10&gt;2.4,Z10&lt;&gt;"e",Z10&lt;&gt;"f"),CX10*2.4/$H10,CX10),IF($F10&lt;OFFSET($BN$9,CL10+3,0,1,1),IF(AND($H10&gt;2.4,Z10&lt;&gt;"e",Z10&lt;&gt;"f"),CX10*2.4/$H10,CX10),0)))))*COS(RADIANS($G10)))</f>
        <v>0</v>
      </c>
      <c r="CU10" s="51">
        <f ca="1">IF(F10&lt;OFFSET($BM$9,CL10-1,0,1,1),0,IF(F10&lt;OFFSET($BN$9,CL10-1,0,1,1),((F10-OFFSET($BM$9,CL10-1,0,1,1))*OFFSET($CI$9,CL10-1,0,1,1))+OFFSET($BP$9,CL10-1,CQ10,1,1),IF(F10&lt;OFFSET($BN$9,CL10+0,0,1,1),((F10-OFFSET($BM$9,CL10+0,0,1,1))*OFFSET($CI$9,CL10+0,0,1,1))+OFFSET($BP$9,CL10+0,CQ10,1,1),IF(F10&lt;OFFSET($BN$9,CL10+1,0,1,1),((F10-OFFSET($BM$9,CL10+1,0,1,1))*OFFSET($CI$9,CL10+1,0,1,1))+OFFSET($BP$9,CL10+1,CQ10,1,1),IF(F10&lt;OFFSET($BN$9,CL10+2,0,1,1),((F10-OFFSET($BM$9,CL10+2,0,1,1))*OFFSET($CI$9,CL10+2,0,1,1))+OFFSET($BP$9,CL10+2,CQ10,1,1),IF(F10&lt;OFFSET($BN$9,CL10+3,0,1,1),((F10-OFFSET($BM$9,CL10+3,0,1,1))*OFFSET($CI$9,CL10+3,0,1,1))+OFFSET($BP$9,CL10+3,CQ10,1,1),0))))))</f>
        <v>0</v>
      </c>
      <c r="CV10" s="51">
        <f ca="1">IF($F10&lt;OFFSET($BM$9,$CL10-1,0,1,1),0,IF($F10&lt;OFFSET($BN$9,$CL10-1,0,1,1),IF(AND($H10&gt;2.4,Z10&lt;&gt;"e",Z10&lt;&gt;"f"),CZ10*2.4/$H10,CZ10),IF($F10&lt;OFFSET($BN$9,$CL10+0,0,1,1),IF(AND($H10&gt;2.4,Z10&lt;&gt;"e",Z10&lt;&gt;"f"),CZ10*2.4/$H10,CZ10),IF($F10&lt;OFFSET($BN$9,$CL10+1,0,1,1),IF(AND($H10&gt;2.4,Z10&lt;&gt;"e",Z10&lt;&gt;"f"),CZ10*2.4/$H10,CZ10),IF($F10&lt;OFFSET($BN$9,$CL10+2,0,1,1),IF(AND($H10&gt;2.4,Z10&lt;&gt;"e",Z10&lt;&gt;"f"),CZ10*2.4/$H10,CZ10),IF($F10&lt;OFFSET($BN$9,$CL10+3,0,1,1),IF(AND($H10&gt;2.4,Z10&lt;&gt;"e",Z10&lt;&gt;"f"),CZ10*2.4/$H10,CZ10),0)))))*COS(RADIANS($G10)))</f>
        <v>0</v>
      </c>
      <c r="CW10" s="51">
        <f ca="1">IF(CT10&gt;CR10,CR10,CT10)</f>
        <v>0</v>
      </c>
      <c r="CX10" s="51">
        <f ca="1">IF(CS10&gt;$CR10,$CR10,CS10)</f>
        <v>0</v>
      </c>
      <c r="CY10" s="51">
        <f ca="1">CW10*F10</f>
        <v>0</v>
      </c>
      <c r="CZ10" s="51">
        <f ca="1">IF($CU10&gt;$CR10,$CR10,$CU10)</f>
        <v>0</v>
      </c>
      <c r="DA10" s="51">
        <f ca="1">IF(CV10&gt;CR10,CR10,CV10)</f>
        <v>0</v>
      </c>
      <c r="DB10" s="51">
        <f ca="1">DA10*F10</f>
        <v>0</v>
      </c>
      <c r="DC10" s="993">
        <v>1</v>
      </c>
      <c r="DD10" s="758" t="str">
        <f>IF(OR(D10=BG$12,D10=BG$13),"External",IF(D10=BG$14,"Internal"," "))</f>
        <v xml:space="preserve"> </v>
      </c>
      <c r="DE10" s="51" t="str">
        <f t="shared" ca="1" si="1"/>
        <v/>
      </c>
      <c r="DF10" s="52" t="str">
        <f t="shared" ca="1" si="2"/>
        <v xml:space="preserve"> </v>
      </c>
      <c r="DG10" s="51">
        <f ca="1">IF(F10&lt;OFFSET($BM$9,CN10-1,0,1,1),0,IF(F10&lt;OFFSET($BN$9,CN10-1,0,1,1),((F10-OFFSET($BM$9,CN10-1,0,1,1))*OFFSET($CH$9,CN10-1,0,1,1))+OFFSET($BO$9,CN10-1,CQ10,1,1),IF(F10&lt;OFFSET($BN$9,CN10+0,0,1,1),((F10-OFFSET($BM$9,CN10+0,0,1,1))*OFFSET($CH$9,CN10+0,0,1,1))+OFFSET($BO$9,CN10+0,CQ10,1,1),IF(F10&lt;OFFSET($BN$9,CN10+1,0,1,1),((F10-OFFSET($BM$9,CN10+1,0,1,1))*OFFSET($CH$9,CN10+1,0,1,1))+OFFSET($BO$9,CN10+1,CQ10,1,1),IF(F10&lt;OFFSET($BN$9,CN10+2,0,1,1),((F10-OFFSET($BM$9,CN10+2,0,1,1))*OFFSET($CH$9,CN10+2,0,1,1))+OFFSET($BO$9,CN10+2,CQ10,1,1),IF(F10&lt;OFFSET($BN$9,CN10+3,0,1,1),((F10-OFFSET($BM$9,CN10+3,0,1,1))*OFFSET($CH$9,CN10+3,0,1,1))+OFFSET($BO$9,CN10+3,CQ10,1,1),0))))))</f>
        <v>0</v>
      </c>
      <c r="DH10" s="51">
        <f ca="1">IF($F10&lt;OFFSET($BM$9,$CN10-1,0,1,1),0,IF($F10&lt;OFFSET($BN$9,$CN10-1,0,1,1),IF(AND($H10&gt;2.4,Z10&lt;&gt;"e",Z10&lt;&gt;"f"),DL10*2.4/$H10,DL10),IF($F10&lt;OFFSET($BN$9,$CN10+0,0,1,1),IF(AND($H10&gt;2.4,Z10&lt;&gt;"e",Z10&lt;&gt;"f"),DL10*2.4/$H10,DL10),IF($F10&lt;OFFSET($BN$9,$CN10+1,0,1,1),IF(AND($H10&gt;2.4,Z10&lt;&gt;"e",Z10&lt;&gt;"f"),DL10*2.4/$H10,DL10),IF($F10&lt;OFFSET($BN$9,$CN10+2,0,1,1),IF(AND($H10&gt;2.4,Z10&lt;&gt;"e",Z10&lt;&gt;"f"),DL10*2.4/$H10,DL10),IF($F10&lt;OFFSET($BN$9,$CN10+3,0,1,1),IF(AND($H10&gt;2.4,Z10&lt;&gt;"e",Z10&lt;&gt;"f"),DL10*2.4/$H10,DL10),0)))))*COS(RADIANS($G10)))</f>
        <v>0</v>
      </c>
      <c r="DI10" s="51">
        <f ca="1">IF(F10&lt;OFFSET($BM$9,CN10-1,0,1,1),0,IF(F10&lt;OFFSET($BN$9,CN10-1,0,1,1),((F10-OFFSET($BM$9,CN10-1,0,1,1))*OFFSET($CI$9,CN10-1,0,1,1))+OFFSET($BP$9,CN10-1,CQ10,1,1),IF(F10&lt;OFFSET($BN$9,CN10+0,0,1,1),((F10-OFFSET($BM$9,CN10+0,0,1,1))*OFFSET($CI$9,CN10+0,0,1,1))+OFFSET($BP$9,CN10+0,CQ10,1,1),IF(F10&lt;OFFSET($BN$9,CN10+1,0,1,1),((F10-OFFSET($BM$9,CN10+1,0,1,1))*OFFSET($CI$9,CN10+1,0,1,1))+OFFSET($BP$9,CN10+1,CQ10,1,1),IF(F10&lt;OFFSET($BN$9,CN10+2,0,1,1),((F10-OFFSET($BM$9,CN10+2,0,1,1))*OFFSET($CI$9,CN10+2,0,1,1))+OFFSET($BP$9,CN10+2,CQ10,1,1),IF(F10&lt;OFFSET($BN$9,CN10+3,0,1,1),((F10-OFFSET($BM$9,CN10+3,0,1,1))*OFFSET($CI$9,CN10+3,0,1,1))+OFFSET($BP$9,CN10+3,CQ10,1,1),0))))))</f>
        <v>0</v>
      </c>
      <c r="DJ10" s="51">
        <f ca="1">IF($F10&lt;OFFSET($BM$9,$CN10-1,0,1,1),0,IF($F10&lt;OFFSET($BN$9,$CN10-1,0,1,1),IF(AND($H10&gt;2.4,Z10&lt;&gt;"e",Z10&lt;&gt;"f"),DN10*2.4/$H10,DN10),IF($F10&lt;OFFSET($BN$9,$CN10+0,0,1,1),IF(AND($H10&gt;2.4,Z10&lt;&gt;"e",Z10&lt;&gt;"f"),DN10*2.4/$H10,DN10),IF($F10&lt;OFFSET($BN$9,$CN10+1,0,1,1),IF(AND($H10&gt;2.4,Z10&lt;&gt;"e",Z10&lt;&gt;"f"),DN10*2.4/$H10,DN10),IF($F10&lt;OFFSET($BN$9,$CN10+2,0,1,1),IF(AND($H10&gt;2.4,Z10&lt;&gt;"e",Z10&lt;&gt;"f"),DN10*2.4/$H10,DN10),IF($F10&lt;OFFSET($BN$9,$CN10+3,0,1,1),IF(AND($H10&gt;2.4,Z10&lt;&gt;"e",Z10&lt;&gt;"f"),DN10*2.4/$H10,DN10),0)))))*COS(RADIANS($G10)))</f>
        <v>0</v>
      </c>
      <c r="DK10" s="51"/>
      <c r="DL10" s="51">
        <f ca="1">IF(DG10&gt;$CR10,$CR10,DG10)</f>
        <v>0</v>
      </c>
      <c r="DM10" s="51"/>
      <c r="DN10" s="51">
        <f ca="1">IF(DI10&gt;$CR10,$CR10,DI10)</f>
        <v>0</v>
      </c>
      <c r="DO10" s="435">
        <f ca="1">IF(DH10&gt;$CR10,$CR10,DH10)</f>
        <v>0</v>
      </c>
      <c r="DP10" s="435">
        <f ca="1">DO10*F10</f>
        <v>0</v>
      </c>
      <c r="DQ10" s="436">
        <f ca="1">IF(DJ10&gt;$CR10,$CR10,DJ10)</f>
        <v>0</v>
      </c>
      <c r="DR10" s="437">
        <f ca="1">DQ10*F10</f>
        <v>0</v>
      </c>
      <c r="DS10" s="426">
        <f ca="1">OFFSET($CH$9,CL10-1,-15,1,1)</f>
        <v>0</v>
      </c>
      <c r="DT10" s="426">
        <f ca="1">VLOOKUP(DS10,Prodlink,2,0)</f>
        <v>0</v>
      </c>
      <c r="DU10" s="188">
        <f ca="1">IF(F10&lt;OFFSET($BM$9,DT10-1,0,1,1),0,IF(F10&lt;OFFSET($BN$9,DT10-1,0,1,1),((F10-OFFSET($BM$9,DT10-1,0,1,1))*OFFSET($CH$9,DT10-1,0,1,1))+OFFSET($BO$9,DT10-1,CQ10,1,1),IF(F10&lt;OFFSET($BN$9,DT10+0,0,1,1),((F10-OFFSET($BM$9,DT10+0,0,1,1))*OFFSET($CH$9,DT10+0,0,1,1))+OFFSET($BO$9,DT10+0,CQ10,1,1),IF(F10&lt;OFFSET($BN$9,DT10+1,0,1,1),((F10-OFFSET($BM$9,DT10+1,0,1,1))*OFFSET($CH$9,DT10+1,0,1,1))+OFFSET($BO$9,DT10+1,CQ10,1,1),IF(F10&lt;OFFSET($BN$9,DT10+2,0,1,1),((F10-OFFSET($BM$9,DT10+2,0,1,1))*OFFSET($CH$9,DT10+2,0,1,1))+OFFSET($BO$9,DT10+2,CQ10,1,1),IF(F10&lt;OFFSET($BN$9,DT10+3,0,1,1),((F10-OFFSET($BM$9,DT10+3,0,1,1))*OFFSET($CH$9,DT10+3,0,1,1))+OFFSET($BO$9,DT10+3,CQ10,1,1),0))))))</f>
        <v>0</v>
      </c>
      <c r="DV10" s="51">
        <f ca="1">IF($F10&lt;OFFSET($BM$9,$DT10-1,0,1,1),0,IF($F10&lt;OFFSET($BN$9,$DT10-1,0,1,1),IF(AND($H10&gt;2.4,Z10&lt;&gt;"e",Z10&lt;&gt;"f"),DZ10*2.4/$H10,DZ10),IF($F10&lt;OFFSET($BN$9,$DT10+0,0,1,1),IF(AND($H10&gt;2.4,Z10&lt;&gt;"e",Z10&lt;&gt;"f"),DZ10*2.4/$H10,DZ10),IF($F10&lt;OFFSET($BN$9,$DT10+1,0,1,1),IF(AND($H10&gt;2.4,Z10&lt;&gt;"e",Z10&lt;&gt;"f"),DZ10*2.4/$H10,DZ10),IF($F10&lt;OFFSET($BN$9,$DT10+2,0,1,1),IF(AND($H10&gt;2.4,Z10&lt;&gt;"e",Z10&lt;&gt;"f"),DZ10*2.4/$H10,DZ10),IF($F10&lt;OFFSET($BN$9,$DT10+3,0,1,1),IF(AND($H10&gt;2.4,Z10&lt;&gt;"e",Z10&lt;&gt;"f"),DZ10*2.4/$H10,DZ10),0)))))*COS(RADIANS($G10)))</f>
        <v>0</v>
      </c>
      <c r="DW10" s="188">
        <f ca="1">IF(F10&lt;OFFSET($BM$9,DT10-1,0,1,1),0,IF(F10&lt;OFFSET($BN$9,DT10-1,0,1,1),((F10-OFFSET($BM$9,DT10-1,0,1,1))*OFFSET($CI$9,DT10-1,0,1,1))+OFFSET($BP$9,DT10-1,CQ10,1,1),IF(F10&lt;OFFSET($BN$9,DT10+0,0,1,1),((F10-OFFSET($BM$9,DT10+0,0,1,1))*OFFSET($CI$9,DT10+0,0,1,1))+OFFSET($BP$9,DT10+0,CQ10,1,1),IF(F10&lt;OFFSET($BN$9,DT10+1,0,1,1),((F10-OFFSET($BM$9,DT10+1,0,1,1))*OFFSET($CI$9,DT10+1,0,1,1))+OFFSET($BP$9,DT10+1,CQ10,1,1),IF(F10&lt;OFFSET($BN$9,DT10+2,0,1,1),((F10-OFFSET($BM$9,DT10+2,0,1,1))*OFFSET($CI$9,DT10+2,0,1,1))+OFFSET($BP$9,DT10+2,CQ10,1,1),IF(F10&lt;OFFSET($BN$9,DT10+3,0,1,1),((F10-OFFSET($BM$9,DT10+3,0,1,1))*OFFSET($CI$9,DT10+3,0,1,1))+OFFSET($BP$9,DT10+3,CQ10,1,1),0))))))</f>
        <v>0</v>
      </c>
      <c r="DX10" s="51">
        <f ca="1">IF($F10&lt;OFFSET($BM$9,$DT10-1,0,1,1),0,IF($F10&lt;OFFSET($BN$9,$DT10-1,0,1,1),IF(AND($H10&gt;2.4,Z10&lt;&gt;"e",Z10&lt;&gt;"f"),EB10*2.4/$H10,EB10),IF($F10&lt;OFFSET($BN$9,$DT10+0,0,1,1),IF(AND($H10&gt;2.4,Z10&lt;&gt;"e",Z10&lt;&gt;"f"),EB10*2.4/$H10,EB10),IF($F10&lt;OFFSET($BN$9,$DT10+1,0,1,1),IF(AND($H10&gt;2.4,Z10&lt;&gt;"e",Z10&lt;&gt;"f"),EB10*2.4/$H10,EB10),IF($F10&lt;OFFSET($BN$9,$DT10+2,0,1,1),IF(AND($H10&gt;2.4,Z10&lt;&gt;"e",Z10&lt;&gt;"f"),EB10*2.4/$H10,EB10),IF($F10&lt;OFFSET($BN$9,$DT10+3,0,1,1),IF(AND($H10&gt;2.4,Z10&lt;&gt;"e",Z10&lt;&gt;"f"),EB10*2.4/$H10,EB10),0)))))*COS(RADIANS($G10)))</f>
        <v>0</v>
      </c>
      <c r="DY10" s="188"/>
      <c r="DZ10" s="188">
        <f ca="1">IF(DU10&gt;$CR10,$CR10,DU10)</f>
        <v>0</v>
      </c>
      <c r="EA10" s="188"/>
      <c r="EB10" s="188">
        <f ca="1">IF(DW10&gt;$CR10,$CR10,DW10)</f>
        <v>0</v>
      </c>
      <c r="EC10" s="435">
        <f ca="1">IF(DV10&gt;$CR10,$CR10,DV10)</f>
        <v>0</v>
      </c>
      <c r="ED10" s="435">
        <f ca="1">EC10*F10</f>
        <v>0</v>
      </c>
      <c r="EE10" s="436">
        <f ca="1">IF(DX10&gt;$CR10,$CR10,DX10)</f>
        <v>0</v>
      </c>
      <c r="EF10" s="437">
        <f ca="1">EE10*F10</f>
        <v>0</v>
      </c>
      <c r="EG10" s="613" t="str">
        <f>IF(D10=BG$12,BG$12,"")</f>
        <v/>
      </c>
      <c r="EH10" s="614" t="str">
        <f>IF(D10=BG$13,BG$13,"")</f>
        <v/>
      </c>
      <c r="EI10" s="611">
        <f>IF(EG10=BG$12,M10,0)</f>
        <v>0</v>
      </c>
      <c r="EJ10" s="451">
        <f>IF(EG10=BG$12,O10,0)</f>
        <v>0</v>
      </c>
      <c r="EK10" s="451">
        <f>IF(EH10=BG$13,M10,0)</f>
        <v>0</v>
      </c>
      <c r="EL10" s="612">
        <f>IF(EH10=BG$13,O10,0)</f>
        <v>0</v>
      </c>
      <c r="EM10" s="426" t="str">
        <f ca="1">IF(AND(Z10&lt;&gt;"t",Z10&lt;&gt;"f"),"",IF(AND(EN10=$BH$13,K10=$BH$12),"NotOpt",IF(K10&lt;&gt;EN10,"Error","")))</f>
        <v/>
      </c>
      <c r="EN10" s="490" t="str">
        <f>IF($BG$28=1,$BH$13,$BH$12)</f>
        <v>120 BU's</v>
      </c>
      <c r="EO10" s="426" t="str">
        <f>K10</f>
        <v xml:space="preserve"> </v>
      </c>
      <c r="EP10" s="430">
        <v>1</v>
      </c>
      <c r="EQ10" s="430" t="str">
        <f ca="1">IF(EP10=1," ",OFFSET(BF$16,EP10-2,0,1,1))</f>
        <v xml:space="preserve"> </v>
      </c>
      <c r="ER10" s="439" t="str">
        <f ca="1">IF(H10=0," ",H10)</f>
        <v xml:space="preserve"> </v>
      </c>
      <c r="ES10" s="440" t="str">
        <f ca="1">IF(ER10&lt;&gt;" ",IF(ER10&lt;&gt;ER$7,"Changed",""),"")</f>
        <v/>
      </c>
      <c r="ET10" s="440">
        <f ca="1">IF(ER10&lt;&gt;" ",IF(ER10&lt;&gt;ER$7,1,0),0)</f>
        <v>0</v>
      </c>
      <c r="EU10" s="957" t="str">
        <f ca="1">IF(I10=" "," ",IF(F10&lt;OFFSET($BM$9,CL10-1,0,1,1),1,""))</f>
        <v xml:space="preserve"> </v>
      </c>
      <c r="EW10" s="427"/>
      <c r="EX10"/>
      <c r="EY10"/>
      <c r="EZ10"/>
      <c r="FA10"/>
    </row>
    <row r="11" spans="1:157" ht="17.100000000000001" customHeight="1" thickBot="1">
      <c r="B11" s="689" t="s">
        <v>246</v>
      </c>
      <c r="C11" s="684" t="str">
        <f>IF(OR(F11=0,I11="",I11=" ")," ",$V11)</f>
        <v xml:space="preserve"> </v>
      </c>
      <c r="D11" s="1033"/>
      <c r="E11" s="1360"/>
      <c r="F11" s="202"/>
      <c r="G11" s="1416"/>
      <c r="H11" s="199" t="str">
        <f ca="1">IF(OR(F11=0,Z11="E",Z11="f")," ",'Project Demand'!E$45)</f>
        <v xml:space="preserve"> </v>
      </c>
      <c r="I11" s="631" t="str">
        <f>IF($I$6&lt;&gt;$BG$8," ",AB11)</f>
        <v xml:space="preserve"> </v>
      </c>
      <c r="J11" s="44" t="str">
        <f ca="1">IF(OR(I11=" ",I11="")," ",OFFSET($BO$9,CL11-1,0-4,1,1))</f>
        <v xml:space="preserve"> </v>
      </c>
      <c r="K11" s="55" t="str">
        <f>IF(OR(I11=" ",I11="")," ",IF(OR(Z11="e",Z11="h"),"SD",BG$24))</f>
        <v xml:space="preserve"> </v>
      </c>
      <c r="L11" s="725">
        <f ca="1">CW11</f>
        <v>0</v>
      </c>
      <c r="M11" s="726">
        <f ca="1">CY11</f>
        <v>0</v>
      </c>
      <c r="N11" s="445">
        <f t="shared" ca="1" si="0"/>
        <v>0</v>
      </c>
      <c r="O11" s="728">
        <f t="shared" ca="1" si="0"/>
        <v>0</v>
      </c>
      <c r="P11" s="138"/>
      <c r="Q11" s="752" t="str">
        <f ca="1">IF(AND(OR(Z11="t",Z11="f"),K11=$BH$11),"No Floor!  Change Floor Type",IF(OR(I11=" ",I11="")," ",IF(F11&lt;OFFSET($BM$9,CL11-1,0,1,1),"check L(m)",DE11&amp;IF(AND(DP11&gt;=CY11,DR11&gt;=DB11),IF(AND(ED11&gt;=DP11,EF11&gt;=DR11),CONCATENATE(DS11," will provide same result"),CONCATENATE(CO11," will provide same result")),IF((DP11&gt;=CY11),CONCATENATE(CO11," provides same result in WIND"),IF((DR11&gt;=DB11),CONCATENATE(CO11," provides same result in EQ"),""))))))&amp;IF(ISERROR(FIND("pile",I11,1)),"",IF(INT(F11)&lt;&gt;F11,"Pile!  Use Whole Numbers Only",""))</f>
        <v xml:space="preserve"> </v>
      </c>
      <c r="R11" s="52"/>
      <c r="S11" s="1372"/>
      <c r="T11" s="52"/>
      <c r="U11" s="1377"/>
      <c r="V11" s="52" t="str">
        <f>IF(AND(B$5=$BF$9,OR(I11=BH$16,I11=BH$17))," ",IF(ISNUMBER(B$8),(CONCATENATE(B$8,".",W11)),(CONCATENATE(B$8,W11))))</f>
        <v>M0</v>
      </c>
      <c r="W11" s="9">
        <f>W10+X11</f>
        <v>0</v>
      </c>
      <c r="X11" s="9">
        <f>IF(AND(B$5=$BF$9,OR($I11=$BH$16,$I11=$BH$17,$I11=" ",$I11="",$F11=0)),0,IF(OR($I11=" ",$I11="",$F11=0),0,1))</f>
        <v>0</v>
      </c>
      <c r="Y11" s="896"/>
      <c r="Z11" s="52" t="str">
        <f ca="1">IF(I11=" "," ",OFFSET($BM$9,$CL11-1,8,1,1))</f>
        <v xml:space="preserve"> </v>
      </c>
      <c r="AA11" s="51" t="str">
        <f>IF(G11&gt;=45,"WA","")</f>
        <v/>
      </c>
      <c r="AB11" s="1364" t="str">
        <f>IF(F11&lt;&gt;"",IF(OR(D11=$BG$12,D11=$BG$13),IF(E11&lt;&gt;$BG$17,$BF$12,$BF$13),IF(E11&lt;&gt;$BG$17,$BF$12,$BF$13))," ")</f>
        <v xml:space="preserve"> </v>
      </c>
      <c r="AC11" s="1"/>
      <c r="AJ11" s="2198"/>
      <c r="AK11" s="2832"/>
      <c r="AL11" s="2787"/>
      <c r="AM11" s="2835"/>
      <c r="AN11" s="2253"/>
      <c r="AO11" s="2253"/>
      <c r="AP11" s="1593"/>
      <c r="AQ11" s="2656"/>
      <c r="AR11" s="2657"/>
      <c r="AS11" s="2651"/>
      <c r="AT11" s="1152"/>
      <c r="AU11" s="2188"/>
      <c r="AW11" s="2658"/>
      <c r="AX11" s="2233"/>
      <c r="BA11"/>
      <c r="BB11"/>
      <c r="BC11"/>
      <c r="BD11" s="2649"/>
      <c r="BF11" s="444" t="s">
        <v>8</v>
      </c>
      <c r="BG11" s="1029" t="s">
        <v>8</v>
      </c>
      <c r="BI11" s="759"/>
      <c r="BJ11" s="1249">
        <f t="shared" ref="BJ11:BJ40" si="3">BJ10+1</f>
        <v>3</v>
      </c>
      <c r="BK11" s="1251"/>
      <c r="BM11" s="52">
        <v>0</v>
      </c>
      <c r="BN11" s="52">
        <v>999</v>
      </c>
      <c r="BO11" s="52">
        <f>AS10</f>
        <v>0</v>
      </c>
      <c r="BP11" s="52">
        <v>0</v>
      </c>
      <c r="BV11" s="909" t="s">
        <v>8</v>
      </c>
      <c r="BW11" s="921">
        <v>0</v>
      </c>
      <c r="CH11" s="768">
        <f t="shared" ref="CH11:CH30" si="4">IF(BN11=999,0,(BO12-BO11)/(BN11-BM11))</f>
        <v>0</v>
      </c>
      <c r="CI11" s="924">
        <f t="shared" ref="CI11:CI30" si="5">IF(BN11=999,0,(BP12-BP11)/(BN11-BM11))</f>
        <v>0</v>
      </c>
      <c r="CJ11" s="759"/>
      <c r="CK11" s="188"/>
      <c r="CL11" s="979">
        <f>VLOOKUP(I11,Prodlink,2,0)</f>
        <v>0</v>
      </c>
      <c r="CN11" s="497">
        <f ca="1">VLOOKUP(CO11,Prodlink,2,0)</f>
        <v>0</v>
      </c>
      <c r="CO11" s="497">
        <f ca="1">OFFSET($CH$9,CL11-1,-15,1,1)</f>
        <v>0</v>
      </c>
      <c r="CQ11" s="51">
        <v>0</v>
      </c>
      <c r="CR11" s="51">
        <f>IF(K11=$BH$12,$BH$23,IF(K11=$BH$13,$BH$24,10000))</f>
        <v>10000</v>
      </c>
      <c r="CS11" s="51">
        <f ca="1">IF(F11&lt;OFFSET($BM$9,CL11-1,0,1,1),0,IF(F11&lt;OFFSET($BN$9,CL11-1,0,1,1),((F11-OFFSET($BM$9,CL11-1,0,1,1))*OFFSET($CH$9,CL11-1,0,1,1))+OFFSET($BO$9,CL11-1,CQ11,1,1),IF(F11&lt;OFFSET($BN$9,CL11+0,0,1,1),((F11-OFFSET($BM$9,CL11+0,0,1,1))*OFFSET($CH$9,CL11+0,0,1,1))+OFFSET($BO$9,CL11+0,CQ11,1,1),IF(F11&lt;OFFSET($BN$9,CL11+1,0,1,1),((F11-OFFSET($BM$9,CL11+1,0,1,1))*OFFSET($CH$9,CL11+1,0,1,1))+OFFSET($BO$9,CL11+1,CQ11,1,1),IF(F11&lt;OFFSET($BN$9,CL11+2,0,1,1),((F11-OFFSET($BM$9,CL11+2,0,1,1))*OFFSET($CH$9,CL11+2,0,1,1))+OFFSET($BO$9,CL11+2,CQ11,1,1),IF(F11&lt;OFFSET($BN$9,CL11+3,0,1,1),((F11-OFFSET($BM$9,CL11+3,0,1,1))*OFFSET($CH$9,CL11+3,0,1,1))+OFFSET($BO$9,CL11+3,CQ11,1,1),0))))))</f>
        <v>0</v>
      </c>
      <c r="CT11" s="51">
        <f ca="1">IF($F11&lt;OFFSET($BM$9,$CL11-1,0,1,1),0,IF($F11&lt;OFFSET($BN$9,$CL11-1,0,1,1),IF(AND($H11&gt;2.4,Z11&lt;&gt;"e",Z11&lt;&gt;"f"),CX11*2.4/$H11,CX11),IF($F11&lt;OFFSET($BN$9,$CL11+0,0,1,1),IF(AND($H11&gt;2.4,Z11&lt;&gt;"e",Z11&lt;&gt;"f"),CX11*2.4/$H11,CX11),IF($F11&lt;OFFSET($BN$9,$CL11+1,0,1,1),IF(AND($H11&gt;2.4,Z11&lt;&gt;"e",Z11&lt;&gt;"f"),CX11*2.4/$H11,CX11),IF($F11&lt;OFFSET($BN$9,CL11+2,0,1,1),IF(AND($H11&gt;2.4,Z11&lt;&gt;"e",Z11&lt;&gt;"f"),CX11*2.4/$H11,CX11),IF($F11&lt;OFFSET($BN$9,CL11+3,0,1,1),IF(AND($H11&gt;2.4,Z11&lt;&gt;"e",Z11&lt;&gt;"f"),CX11*2.4/$H11,CX11),0)))))*COS(RADIANS($G11)))</f>
        <v>0</v>
      </c>
      <c r="CU11" s="51">
        <f ca="1">IF(F11&lt;OFFSET($BM$9,CL11-1,0,1,1),0,IF(F11&lt;OFFSET($BN$9,CL11-1,0,1,1),((F11-OFFSET($BM$9,CL11-1,0,1,1))*OFFSET($CI$9,CL11-1,0,1,1))+OFFSET($BP$9,CL11-1,CQ11,1,1),IF(F11&lt;OFFSET($BN$9,CL11+0,0,1,1),((F11-OFFSET($BM$9,CL11+0,0,1,1))*OFFSET($CI$9,CL11+0,0,1,1))+OFFSET($BP$9,CL11+0,CQ11,1,1),IF(F11&lt;OFFSET($BN$9,CL11+1,0,1,1),((F11-OFFSET($BM$9,CL11+1,0,1,1))*OFFSET($CI$9,CL11+1,0,1,1))+OFFSET($BP$9,CL11+1,CQ11,1,1),IF(F11&lt;OFFSET($BN$9,CL11+2,0,1,1),((F11-OFFSET($BM$9,CL11+2,0,1,1))*OFFSET($CI$9,CL11+2,0,1,1))+OFFSET($BP$9,CL11+2,CQ11,1,1),IF(F11&lt;OFFSET($BN$9,CL11+3,0,1,1),((F11-OFFSET($BM$9,CL11+3,0,1,1))*OFFSET($CI$9,CL11+3,0,1,1))+OFFSET($BP$9,CL11+3,CQ11,1,1),0))))))</f>
        <v>0</v>
      </c>
      <c r="CV11" s="51">
        <f ca="1">IF($F11&lt;OFFSET($BM$9,$CL11-1,0,1,1),0,IF($F11&lt;OFFSET($BN$9,$CL11-1,0,1,1),IF(AND($H11&gt;2.4,Z11&lt;&gt;"e",Z11&lt;&gt;"f"),CZ11*2.4/$H11,CZ11),IF($F11&lt;OFFSET($BN$9,$CL11+0,0,1,1),IF(AND($H11&gt;2.4,Z11&lt;&gt;"e",Z11&lt;&gt;"f"),CZ11*2.4/$H11,CZ11),IF($F11&lt;OFFSET($BN$9,$CL11+1,0,1,1),IF(AND($H11&gt;2.4,Z11&lt;&gt;"e",Z11&lt;&gt;"f"),CZ11*2.4/$H11,CZ11),IF($F11&lt;OFFSET($BN$9,$CL11+2,0,1,1),IF(AND($H11&gt;2.4,Z11&lt;&gt;"e",Z11&lt;&gt;"f"),CZ11*2.4/$H11,CZ11),IF($F11&lt;OFFSET($BN$9,$CL11+3,0,1,1),IF(AND($H11&gt;2.4,Z11&lt;&gt;"e",Z11&lt;&gt;"f"),CZ11*2.4/$H11,CZ11),0)))))*COS(RADIANS($G11)))</f>
        <v>0</v>
      </c>
      <c r="CW11" s="51">
        <f ca="1">IF(CT11&gt;CR11,CR11,CT11)</f>
        <v>0</v>
      </c>
      <c r="CX11" s="51">
        <f ca="1">IF(CS11&gt;$CR11,$CR11,CS11)</f>
        <v>0</v>
      </c>
      <c r="CY11" s="51">
        <f ca="1">CW11*F11</f>
        <v>0</v>
      </c>
      <c r="CZ11" s="51">
        <f ca="1">IF($CU11&gt;$CR11,$CR11,$CU11)</f>
        <v>0</v>
      </c>
      <c r="DA11" s="51">
        <f ca="1">IF(CV11&gt;CR11,CR11,CV11)</f>
        <v>0</v>
      </c>
      <c r="DB11" s="51">
        <f ca="1">DA11*F11</f>
        <v>0</v>
      </c>
      <c r="DC11" s="993">
        <v>1</v>
      </c>
      <c r="DD11" s="758" t="str">
        <f>IF(OR(D11=BG$12,D11=BG$13),"External",IF(D11=BG$14,"Internal"," "))</f>
        <v xml:space="preserve"> </v>
      </c>
      <c r="DE11" s="51" t="str">
        <f t="shared" ca="1" si="1"/>
        <v/>
      </c>
      <c r="DF11" s="52" t="str">
        <f t="shared" ca="1" si="2"/>
        <v xml:space="preserve"> </v>
      </c>
      <c r="DG11" s="51">
        <f ca="1">IF(F11&lt;OFFSET($BM$9,CN11-1,0,1,1),0,IF(F11&lt;OFFSET($BN$9,CN11-1,0,1,1),((F11-OFFSET($BM$9,CN11-1,0,1,1))*OFFSET($CH$9,CN11-1,0,1,1))+OFFSET($BO$9,CN11-1,CQ11,1,1),IF(F11&lt;OFFSET($BN$9,CN11+0,0,1,1),((F11-OFFSET($BM$9,CN11+0,0,1,1))*OFFSET($CH$9,CN11+0,0,1,1))+OFFSET($BO$9,CN11+0,CQ11,1,1),IF(F11&lt;OFFSET($BN$9,CN11+1,0,1,1),((F11-OFFSET($BM$9,CN11+1,0,1,1))*OFFSET($CH$9,CN11+1,0,1,1))+OFFSET($BO$9,CN11+1,CQ11,1,1),IF(F11&lt;OFFSET($BN$9,CN11+2,0,1,1),((F11-OFFSET($BM$9,CN11+2,0,1,1))*OFFSET($CH$9,CN11+2,0,1,1))+OFFSET($BO$9,CN11+2,CQ11,1,1),IF(F11&lt;OFFSET($BN$9,CN11+3,0,1,1),((F11-OFFSET($BM$9,CN11+3,0,1,1))*OFFSET($CH$9,CN11+3,0,1,1))+OFFSET($BO$9,CN11+3,CQ11,1,1),0))))))</f>
        <v>0</v>
      </c>
      <c r="DH11" s="51">
        <f ca="1">IF($F11&lt;OFFSET($BM$9,$CN11-1,0,1,1),0,IF($F11&lt;OFFSET($BN$9,$CN11-1,0,1,1),IF(AND($H11&gt;2.4,Z11&lt;&gt;"e",Z11&lt;&gt;"f"),DL11*2.4/$H11,DL11),IF($F11&lt;OFFSET($BN$9,$CN11+0,0,1,1),IF(AND($H11&gt;2.4,Z11&lt;&gt;"e",Z11&lt;&gt;"f"),DL11*2.4/$H11,DL11),IF($F11&lt;OFFSET($BN$9,$CN11+1,0,1,1),IF(AND($H11&gt;2.4,Z11&lt;&gt;"e",Z11&lt;&gt;"f"),DL11*2.4/$H11,DL11),IF($F11&lt;OFFSET($BN$9,$CN11+2,0,1,1),IF(AND($H11&gt;2.4,Z11&lt;&gt;"e",Z11&lt;&gt;"f"),DL11*2.4/$H11,DL11),IF($F11&lt;OFFSET($BN$9,$CN11+3,0,1,1),IF(AND($H11&gt;2.4,Z11&lt;&gt;"e",Z11&lt;&gt;"f"),DL11*2.4/$H11,DL11),0)))))*COS(RADIANS($G11)))</f>
        <v>0</v>
      </c>
      <c r="DI11" s="51">
        <f ca="1">IF(F11&lt;OFFSET($BM$9,CN11-1,0,1,1),0,IF(F11&lt;OFFSET($BN$9,CN11-1,0,1,1),((F11-OFFSET($BM$9,CN11-1,0,1,1))*OFFSET($CI$9,CN11-1,0,1,1))+OFFSET($BP$9,CN11-1,CQ11,1,1),IF(F11&lt;OFFSET($BN$9,CN11+0,0,1,1),((F11-OFFSET($BM$9,CN11+0,0,1,1))*OFFSET($CI$9,CN11+0,0,1,1))+OFFSET($BP$9,CN11+0,CQ11,1,1),IF(F11&lt;OFFSET($BN$9,CN11+1,0,1,1),((F11-OFFSET($BM$9,CN11+1,0,1,1))*OFFSET($CI$9,CN11+1,0,1,1))+OFFSET($BP$9,CN11+1,CQ11,1,1),IF(F11&lt;OFFSET($BN$9,CN11+2,0,1,1),((F11-OFFSET($BM$9,CN11+2,0,1,1))*OFFSET($CI$9,CN11+2,0,1,1))+OFFSET($BP$9,CN11+2,CQ11,1,1),IF(F11&lt;OFFSET($BN$9,CN11+3,0,1,1),((F11-OFFSET($BM$9,CN11+3,0,1,1))*OFFSET($CI$9,CN11+3,0,1,1))+OFFSET($BP$9,CN11+3,CQ11,1,1),0))))))</f>
        <v>0</v>
      </c>
      <c r="DJ11" s="51">
        <f ca="1">IF($F11&lt;OFFSET($BM$9,$CN11-1,0,1,1),0,IF($F11&lt;OFFSET($BN$9,$CN11-1,0,1,1),IF(AND($H11&gt;2.4,Z11&lt;&gt;"e",Z11&lt;&gt;"f"),DN11*2.4/$H11,DN11),IF($F11&lt;OFFSET($BN$9,$CN11+0,0,1,1),IF(AND($H11&gt;2.4,Z11&lt;&gt;"e",Z11&lt;&gt;"f"),DN11*2.4/$H11,DN11),IF($F11&lt;OFFSET($BN$9,$CN11+1,0,1,1),IF(AND($H11&gt;2.4,Z11&lt;&gt;"e",Z11&lt;&gt;"f"),DN11*2.4/$H11,DN11),IF($F11&lt;OFFSET($BN$9,$CN11+2,0,1,1),IF(AND($H11&gt;2.4,Z11&lt;&gt;"e",Z11&lt;&gt;"f"),DN11*2.4/$H11,DN11),IF($F11&lt;OFFSET($BN$9,$CN11+3,0,1,1),IF(AND($H11&gt;2.4,Z11&lt;&gt;"e",Z11&lt;&gt;"f"),DN11*2.4/$H11,DN11),0)))))*COS(RADIANS($G11)))</f>
        <v>0</v>
      </c>
      <c r="DK11" s="51"/>
      <c r="DL11" s="51">
        <f ca="1">IF(DG11&gt;$CR11,$CR11,DG11)</f>
        <v>0</v>
      </c>
      <c r="DM11" s="51"/>
      <c r="DN11" s="51">
        <f ca="1">IF(DI11&gt;$CR11,$CR11,DI11)</f>
        <v>0</v>
      </c>
      <c r="DO11" s="435">
        <f ca="1">IF(DH11&gt;$CR11,$CR11,DH11)</f>
        <v>0</v>
      </c>
      <c r="DP11" s="435">
        <f ca="1">DO11*F11</f>
        <v>0</v>
      </c>
      <c r="DQ11" s="436">
        <f ca="1">IF(DJ11&gt;$CR11,$CR11,DJ11)</f>
        <v>0</v>
      </c>
      <c r="DR11" s="437">
        <f ca="1">DQ11*F11</f>
        <v>0</v>
      </c>
      <c r="DS11" s="426">
        <f ca="1">OFFSET($CH$9,CL11-1,-15,1,1)</f>
        <v>0</v>
      </c>
      <c r="DT11" s="426">
        <f ca="1">VLOOKUP(DS11,Prodlink,2,0)</f>
        <v>0</v>
      </c>
      <c r="DU11" s="188">
        <f ca="1">IF(F11&lt;OFFSET($BM$9,DT11-1,0,1,1),0,IF(F11&lt;OFFSET($BN$9,DT11-1,0,1,1),((F11-OFFSET($BM$9,DT11-1,0,1,1))*OFFSET($CH$9,DT11-1,0,1,1))+OFFSET($BO$9,DT11-1,CQ11,1,1),IF(F11&lt;OFFSET($BN$9,DT11+0,0,1,1),((F11-OFFSET($BM$9,DT11+0,0,1,1))*OFFSET($CH$9,DT11+0,0,1,1))+OFFSET($BO$9,DT11+0,CQ11,1,1),IF(F11&lt;OFFSET($BN$9,DT11+1,0,1,1),((F11-OFFSET($BM$9,DT11+1,0,1,1))*OFFSET($CH$9,DT11+1,0,1,1))+OFFSET($BO$9,DT11+1,CQ11,1,1),IF(F11&lt;OFFSET($BN$9,DT11+2,0,1,1),((F11-OFFSET($BM$9,DT11+2,0,1,1))*OFFSET($CH$9,DT11+2,0,1,1))+OFFSET($BO$9,DT11+2,CQ11,1,1),IF(F11&lt;OFFSET($BN$9,DT11+3,0,1,1),((F11-OFFSET($BM$9,DT11+3,0,1,1))*OFFSET($CH$9,DT11+3,0,1,1))+OFFSET($BO$9,DT11+3,CQ11,1,1),0))))))</f>
        <v>0</v>
      </c>
      <c r="DV11" s="51">
        <f ca="1">IF($F11&lt;OFFSET($BM$9,$DT11-1,0,1,1),0,IF($F11&lt;OFFSET($BN$9,$DT11-1,0,1,1),IF(AND($H11&gt;2.4,Z11&lt;&gt;"e",Z11&lt;&gt;"f"),DZ11*2.4/$H11,DZ11),IF($F11&lt;OFFSET($BN$9,$DT11+0,0,1,1),IF(AND($H11&gt;2.4,Z11&lt;&gt;"e",Z11&lt;&gt;"f"),DZ11*2.4/$H11,DZ11),IF($F11&lt;OFFSET($BN$9,$DT11+1,0,1,1),IF(AND($H11&gt;2.4,Z11&lt;&gt;"e",Z11&lt;&gt;"f"),DZ11*2.4/$H11,DZ11),IF($F11&lt;OFFSET($BN$9,$DT11+2,0,1,1),IF(AND($H11&gt;2.4,Z11&lt;&gt;"e",Z11&lt;&gt;"f"),DZ11*2.4/$H11,DZ11),IF($F11&lt;OFFSET($BN$9,$DT11+3,0,1,1),IF(AND($H11&gt;2.4,Z11&lt;&gt;"e",Z11&lt;&gt;"f"),DZ11*2.4/$H11,DZ11),0)))))*COS(RADIANS($G11)))</f>
        <v>0</v>
      </c>
      <c r="DW11" s="188">
        <f ca="1">IF(F11&lt;OFFSET($BM$9,DT11-1,0,1,1),0,IF(F11&lt;OFFSET($BN$9,DT11-1,0,1,1),((F11-OFFSET($BM$9,DT11-1,0,1,1))*OFFSET($CI$9,DT11-1,0,1,1))+OFFSET($BP$9,DT11-1,CQ11,1,1),IF(F11&lt;OFFSET($BN$9,DT11+0,0,1,1),((F11-OFFSET($BM$9,DT11+0,0,1,1))*OFFSET($CI$9,DT11+0,0,1,1))+OFFSET($BP$9,DT11+0,CQ11,1,1),IF(F11&lt;OFFSET($BN$9,DT11+1,0,1,1),((F11-OFFSET($BM$9,DT11+1,0,1,1))*OFFSET($CI$9,DT11+1,0,1,1))+OFFSET($BP$9,DT11+1,CQ11,1,1),IF(F11&lt;OFFSET($BN$9,DT11+2,0,1,1),((F11-OFFSET($BM$9,DT11+2,0,1,1))*OFFSET($CI$9,DT11+2,0,1,1))+OFFSET($BP$9,DT11+2,CQ11,1,1),IF(F11&lt;OFFSET($BN$9,DT11+3,0,1,1),((F11-OFFSET($BM$9,DT11+3,0,1,1))*OFFSET($CI$9,DT11+3,0,1,1))+OFFSET($BP$9,DT11+3,CQ11,1,1),0))))))</f>
        <v>0</v>
      </c>
      <c r="DX11" s="51">
        <f ca="1">IF($F11&lt;OFFSET($BM$9,$DT11-1,0,1,1),0,IF($F11&lt;OFFSET($BN$9,$DT11-1,0,1,1),IF(AND($H11&gt;2.4,Z11&lt;&gt;"e",Z11&lt;&gt;"f"),EB11*2.4/$H11,EB11),IF($F11&lt;OFFSET($BN$9,$DT11+0,0,1,1),IF(AND($H11&gt;2.4,Z11&lt;&gt;"e",Z11&lt;&gt;"f"),EB11*2.4/$H11,EB11),IF($F11&lt;OFFSET($BN$9,$DT11+1,0,1,1),IF(AND($H11&gt;2.4,Z11&lt;&gt;"e",Z11&lt;&gt;"f"),EB11*2.4/$H11,EB11),IF($F11&lt;OFFSET($BN$9,$DT11+2,0,1,1),IF(AND($H11&gt;2.4,Z11&lt;&gt;"e",Z11&lt;&gt;"f"),EB11*2.4/$H11,EB11),IF($F11&lt;OFFSET($BN$9,$DT11+3,0,1,1),IF(AND($H11&gt;2.4,Z11&lt;&gt;"e",Z11&lt;&gt;"f"),EB11*2.4/$H11,EB11),0)))))*COS(RADIANS($G11)))</f>
        <v>0</v>
      </c>
      <c r="DY11" s="188"/>
      <c r="DZ11" s="188">
        <f ca="1">IF(DU11&gt;$CR11,$CR11,DU11)</f>
        <v>0</v>
      </c>
      <c r="EA11" s="188"/>
      <c r="EB11" s="188">
        <f ca="1">IF(DW11&gt;$CR11,$CR11,DW11)</f>
        <v>0</v>
      </c>
      <c r="EC11" s="435">
        <f ca="1">IF(DV11&gt;$CR11,$CR11,DV11)</f>
        <v>0</v>
      </c>
      <c r="ED11" s="435">
        <f ca="1">EC11*F11</f>
        <v>0</v>
      </c>
      <c r="EE11" s="436">
        <f ca="1">IF(DX11&gt;$CR11,$CR11,DX11)</f>
        <v>0</v>
      </c>
      <c r="EF11" s="437">
        <f ca="1">EE11*F11</f>
        <v>0</v>
      </c>
      <c r="EG11" s="613" t="str">
        <f>IF(D11=BG$12,BG$12,"")</f>
        <v/>
      </c>
      <c r="EH11" s="614" t="str">
        <f>IF(D11=BG$13,BG$13,"")</f>
        <v/>
      </c>
      <c r="EI11" s="611">
        <f>IF(EG11=BG$12,M11,0)</f>
        <v>0</v>
      </c>
      <c r="EJ11" s="451">
        <f>IF(EG11=BG$12,O11,0)</f>
        <v>0</v>
      </c>
      <c r="EK11" s="451">
        <f>IF(EH11=BG$13,M11,0)</f>
        <v>0</v>
      </c>
      <c r="EL11" s="612">
        <f>IF(EH11=BG$13,O11,0)</f>
        <v>0</v>
      </c>
      <c r="EM11" s="426" t="str">
        <f ca="1">IF(AND(Z11&lt;&gt;"t",Z11&lt;&gt;"f"),"",IF(AND(EN11=$BH$13,K11=$BH$12),"NotOpt",IF(K11&lt;&gt;EN11,"Error","")))</f>
        <v/>
      </c>
      <c r="EN11" s="490" t="str">
        <f>IF($BG$28=1,$BH$13,$BH$12)</f>
        <v>120 BU's</v>
      </c>
      <c r="EO11" s="426" t="str">
        <f>K11</f>
        <v xml:space="preserve"> </v>
      </c>
      <c r="EP11" s="430">
        <v>1</v>
      </c>
      <c r="EQ11" s="430" t="str">
        <f ca="1">IF(EP11=1," ",OFFSET(BF$16,EP11-2,0,1,1))</f>
        <v xml:space="preserve"> </v>
      </c>
      <c r="ER11" s="439" t="str">
        <f ca="1">IF(H11=0," ",H11)</f>
        <v xml:space="preserve"> </v>
      </c>
      <c r="ES11" s="440" t="str">
        <f ca="1">IF(ER11&lt;&gt;" ",IF(ER11&lt;&gt;ER$7,"Changed",""),"")</f>
        <v/>
      </c>
      <c r="ET11" s="440">
        <f ca="1">IF(ER11&lt;&gt;" ",IF(ER11&lt;&gt;ER$7,1,0),0)</f>
        <v>0</v>
      </c>
      <c r="EU11" s="957" t="str">
        <f ca="1">IF(I11=" "," ",IF(F11&lt;OFFSET($BM$9,CL11-1,0,1,1),1,""))</f>
        <v xml:space="preserve"> </v>
      </c>
      <c r="EW11" s="427"/>
      <c r="EX11"/>
      <c r="EY11"/>
      <c r="EZ11"/>
      <c r="FA11"/>
    </row>
    <row r="12" spans="1:157" ht="17.100000000000001" customHeight="1" thickBot="1">
      <c r="B12" s="689" t="s">
        <v>246</v>
      </c>
      <c r="C12" s="684" t="str">
        <f>IF(OR(F12=0,I12="",I12=" ")," ",$V12)</f>
        <v xml:space="preserve"> </v>
      </c>
      <c r="D12" s="1418"/>
      <c r="E12" s="1034"/>
      <c r="F12" s="202"/>
      <c r="G12" s="1416"/>
      <c r="H12" s="199" t="str">
        <f ca="1">IF(OR(F12=0,Z12="E",Z12="f")," ",'Project Demand'!E$45)</f>
        <v xml:space="preserve"> </v>
      </c>
      <c r="I12" s="631" t="str">
        <f>IF($I$6&lt;&gt;$BG$8," ",AB12)</f>
        <v xml:space="preserve"> </v>
      </c>
      <c r="J12" s="44" t="str">
        <f ca="1">IF(OR(I12=" ",I12="")," ",OFFSET($BO$9,CL12-1,0-4,1,1))</f>
        <v xml:space="preserve"> </v>
      </c>
      <c r="K12" s="55" t="str">
        <f>IF(OR(I12=" ",I12="")," ",IF(OR(Z12="e",Z12="h"),"SD",BG$24))</f>
        <v xml:space="preserve"> </v>
      </c>
      <c r="L12" s="725">
        <f ca="1">CW12</f>
        <v>0</v>
      </c>
      <c r="M12" s="727">
        <f ca="1">CY12</f>
        <v>0</v>
      </c>
      <c r="N12" s="445">
        <f t="shared" ca="1" si="0"/>
        <v>0</v>
      </c>
      <c r="O12" s="728">
        <f t="shared" ca="1" si="0"/>
        <v>0</v>
      </c>
      <c r="P12" s="138"/>
      <c r="Q12" s="752" t="str">
        <f ca="1">IF(AND(OR(Z12="t",Z12="f"),K12=$BH$11),"No Floor!  Change Floor Type",IF(OR(I12=" ",I12="")," ",IF(F12&lt;OFFSET($BM$9,CL12-1,0,1,1),"check L(m)",DE12&amp;IF(AND(DP12&gt;=CY12,DR12&gt;=DB12),IF(AND(ED12&gt;=DP12,EF12&gt;=DR12),CONCATENATE(DS12," will provide same result"),CONCATENATE(CO12," will provide same result")),IF((DP12&gt;=CY12),CONCATENATE(CO12," provides same result in WIND"),IF((DR12&gt;=DB12),CONCATENATE(CO12," provides same result in EQ"),""))))))&amp;IF(ISERROR(FIND("pile",I12,1)),"",IF(INT(F12)&lt;&gt;F12,"Pile!  Use Whole Numbers Only",""))</f>
        <v xml:space="preserve"> </v>
      </c>
      <c r="T12" s="52"/>
      <c r="U12" s="1377"/>
      <c r="V12" s="52" t="str">
        <f>IF(AND(B$5=$BF$9,OR(I12=BH$16,I12=BH$17))," ",IF(ISNUMBER(B$8),(CONCATENATE(B$8,".",W12)),(CONCATENATE(B$8,W12))))</f>
        <v>M0</v>
      </c>
      <c r="W12" s="9">
        <f>W11+X12</f>
        <v>0</v>
      </c>
      <c r="X12" s="9">
        <f>IF(AND(B$5=$BF$9,OR($I12=$BH$16,$I12=$BH$17,$I12=" ",$I12="",$F12=0)),0,IF(OR($I12=" ",$I12="",$F12=0),0,1))</f>
        <v>0</v>
      </c>
      <c r="Y12" s="896"/>
      <c r="Z12" s="52" t="str">
        <f ca="1">IF(I12=" "," ",OFFSET($BM$9,$CL12-1,8,1,1))</f>
        <v xml:space="preserve"> </v>
      </c>
      <c r="AA12" s="51" t="str">
        <f>IF(G12&gt;=45,"WA","")</f>
        <v/>
      </c>
      <c r="AB12" s="1364" t="str">
        <f>IF(F12&lt;&gt;"",IF(OR(D12=$BG$12,D12=$BG$13),IF(E12&lt;&gt;$BG$17,$BF$12,$BF$13),IF(E12&lt;&gt;$BG$17,$BF$12,$BF$13))," ")</f>
        <v xml:space="preserve"> </v>
      </c>
      <c r="AC12" s="1"/>
      <c r="AJ12" s="2229" t="str">
        <f>'Regular and QuickBrace Systems'!C24</f>
        <v xml:space="preserve">Elephant Plasterboard ®  (EPB)  </v>
      </c>
      <c r="AK12" s="2805" t="str">
        <f>'Regular and QuickBrace Systems'!D24</f>
        <v>Plasterboard on One Side</v>
      </c>
      <c r="AL12" s="2806"/>
      <c r="AM12" s="2806"/>
      <c r="AN12" s="2806"/>
      <c r="AO12" s="1302"/>
      <c r="AP12" s="1302"/>
      <c r="AQ12" s="1303"/>
      <c r="AR12" s="1303"/>
      <c r="AS12" s="1334"/>
      <c r="AT12" s="1188"/>
      <c r="AU12" s="1354"/>
      <c r="AW12" s="1582"/>
      <c r="AX12" s="1571"/>
      <c r="BA12"/>
      <c r="BB12"/>
      <c r="BC12"/>
      <c r="BD12" s="2667"/>
      <c r="BF12" s="598" t="str">
        <f>Table!AI72</f>
        <v>ER1</v>
      </c>
      <c r="BG12" s="1026" t="str">
        <f>IF('Project Demand'!AX21=1,BG32,BG35)</f>
        <v>Left External</v>
      </c>
      <c r="BH12" s="707" t="str">
        <f>IF($BE$3=1,BH19,BG19)</f>
        <v>120 BU's</v>
      </c>
      <c r="BI12" s="759"/>
      <c r="BJ12" s="897">
        <f t="shared" si="3"/>
        <v>4</v>
      </c>
      <c r="BK12" s="1250" t="str">
        <f t="shared" ref="BK12:BK31" si="6">AK48</f>
        <v xml:space="preserve">  </v>
      </c>
      <c r="BL12" s="770" t="str">
        <f t="shared" ref="BL12:BL31" si="7">AL48</f>
        <v>Custom1</v>
      </c>
      <c r="BM12" s="454">
        <f t="shared" ref="BM12:BM31" si="8">AM48</f>
        <v>9.9999999999999996E-76</v>
      </c>
      <c r="BN12" s="454">
        <v>999</v>
      </c>
      <c r="BO12" s="454">
        <f t="shared" ref="BO12:BO31" si="9">AN48</f>
        <v>0</v>
      </c>
      <c r="BP12" s="924">
        <f t="shared" ref="BP12:BP31" si="10">AO48</f>
        <v>0</v>
      </c>
      <c r="BR12" s="768"/>
      <c r="BS12" s="454"/>
      <c r="BT12" s="454" t="str">
        <f t="shared" ref="BT12:BT31" si="11">AP48</f>
        <v>B</v>
      </c>
      <c r="BU12" s="924" t="str">
        <f t="shared" ref="BU12:BU31" si="12">AZ48</f>
        <v>T</v>
      </c>
      <c r="BV12" s="1238" t="str">
        <f t="shared" ref="BV12:BV31" si="13">AL48</f>
        <v>Custom1</v>
      </c>
      <c r="BW12" s="1236">
        <f>BJ12</f>
        <v>4</v>
      </c>
      <c r="BX12" s="924" t="str">
        <f>AQ48</f>
        <v>Single</v>
      </c>
      <c r="CH12" s="768">
        <f t="shared" si="4"/>
        <v>0</v>
      </c>
      <c r="CI12" s="924">
        <f t="shared" si="5"/>
        <v>0</v>
      </c>
      <c r="CJ12" s="759"/>
      <c r="CK12" s="188"/>
      <c r="CL12" s="979">
        <f>VLOOKUP(I12,Prodlink,2,0)</f>
        <v>0</v>
      </c>
      <c r="CN12" s="497">
        <f ca="1">VLOOKUP(CO12,Prodlink,2,0)</f>
        <v>0</v>
      </c>
      <c r="CO12" s="497">
        <f ca="1">OFFSET($CH$9,CL12-1,-15,1,1)</f>
        <v>0</v>
      </c>
      <c r="CQ12" s="51">
        <v>0</v>
      </c>
      <c r="CR12" s="51">
        <f>IF(K12=$BH$12,$BH$23,IF(K12=$BH$13,$BH$24,10000))</f>
        <v>10000</v>
      </c>
      <c r="CS12" s="51">
        <f ca="1">IF(F12&lt;OFFSET($BM$9,CL12-1,0,1,1),0,IF(F12&lt;OFFSET($BN$9,CL12-1,0,1,1),((F12-OFFSET($BM$9,CL12-1,0,1,1))*OFFSET($CH$9,CL12-1,0,1,1))+OFFSET($BO$9,CL12-1,CQ12,1,1),IF(F12&lt;OFFSET($BN$9,CL12+0,0,1,1),((F12-OFFSET($BM$9,CL12+0,0,1,1))*OFFSET($CH$9,CL12+0,0,1,1))+OFFSET($BO$9,CL12+0,CQ12,1,1),IF(F12&lt;OFFSET($BN$9,CL12+1,0,1,1),((F12-OFFSET($BM$9,CL12+1,0,1,1))*OFFSET($CH$9,CL12+1,0,1,1))+OFFSET($BO$9,CL12+1,CQ12,1,1),IF(F12&lt;OFFSET($BN$9,CL12+2,0,1,1),((F12-OFFSET($BM$9,CL12+2,0,1,1))*OFFSET($CH$9,CL12+2,0,1,1))+OFFSET($BO$9,CL12+2,CQ12,1,1),IF(F12&lt;OFFSET($BN$9,CL12+3,0,1,1),((F12-OFFSET($BM$9,CL12+3,0,1,1))*OFFSET($CH$9,CL12+3,0,1,1))+OFFSET($BO$9,CL12+3,CQ12,1,1),0))))))</f>
        <v>0</v>
      </c>
      <c r="CT12" s="51">
        <f ca="1">IF($F12&lt;OFFSET($BM$9,$CL12-1,0,1,1),0,IF($F12&lt;OFFSET($BN$9,$CL12-1,0,1,1),IF(AND($H12&gt;2.4,Z12&lt;&gt;"e",Z12&lt;&gt;"f"),CX12*2.4/$H12,CX12),IF($F12&lt;OFFSET($BN$9,$CL12+0,0,1,1),IF(AND($H12&gt;2.4,Z12&lt;&gt;"e",Z12&lt;&gt;"f"),CX12*2.4/$H12,CX12),IF($F12&lt;OFFSET($BN$9,$CL12+1,0,1,1),IF(AND($H12&gt;2.4,Z12&lt;&gt;"e",Z12&lt;&gt;"f"),CX12*2.4/$H12,CX12),IF($F12&lt;OFFSET($BN$9,CL12+2,0,1,1),IF(AND($H12&gt;2.4,Z12&lt;&gt;"e",Z12&lt;&gt;"f"),CX12*2.4/$H12,CX12),IF($F12&lt;OFFSET($BN$9,CL12+3,0,1,1),IF(AND($H12&gt;2.4,Z12&lt;&gt;"e",Z12&lt;&gt;"f"),CX12*2.4/$H12,CX12),0)))))*COS(RADIANS($G12)))</f>
        <v>0</v>
      </c>
      <c r="CU12" s="51">
        <f ca="1">IF(F12&lt;OFFSET($BM$9,CL12-1,0,1,1),0,IF(F12&lt;OFFSET($BN$9,CL12-1,0,1,1),((F12-OFFSET($BM$9,CL12-1,0,1,1))*OFFSET($CI$9,CL12-1,0,1,1))+OFFSET($BP$9,CL12-1,CQ12,1,1),IF(F12&lt;OFFSET($BN$9,CL12+0,0,1,1),((F12-OFFSET($BM$9,CL12+0,0,1,1))*OFFSET($CI$9,CL12+0,0,1,1))+OFFSET($BP$9,CL12+0,CQ12,1,1),IF(F12&lt;OFFSET($BN$9,CL12+1,0,1,1),((F12-OFFSET($BM$9,CL12+1,0,1,1))*OFFSET($CI$9,CL12+1,0,1,1))+OFFSET($BP$9,CL12+1,CQ12,1,1),IF(F12&lt;OFFSET($BN$9,CL12+2,0,1,1),((F12-OFFSET($BM$9,CL12+2,0,1,1))*OFFSET($CI$9,CL12+2,0,1,1))+OFFSET($BP$9,CL12+2,CQ12,1,1),IF(F12&lt;OFFSET($BN$9,CL12+3,0,1,1),((F12-OFFSET($BM$9,CL12+3,0,1,1))*OFFSET($CI$9,CL12+3,0,1,1))+OFFSET($BP$9,CL12+3,CQ12,1,1),0))))))</f>
        <v>0</v>
      </c>
      <c r="CV12" s="51">
        <f ca="1">IF($F12&lt;OFFSET($BM$9,$CL12-1,0,1,1),0,IF($F12&lt;OFFSET($BN$9,$CL12-1,0,1,1),IF(AND($H12&gt;2.4,Z12&lt;&gt;"e",Z12&lt;&gt;"f"),CZ12*2.4/$H12,CZ12),IF($F12&lt;OFFSET($BN$9,$CL12+0,0,1,1),IF(AND($H12&gt;2.4,Z12&lt;&gt;"e",Z12&lt;&gt;"f"),CZ12*2.4/$H12,CZ12),IF($F12&lt;OFFSET($BN$9,$CL12+1,0,1,1),IF(AND($H12&gt;2.4,Z12&lt;&gt;"e",Z12&lt;&gt;"f"),CZ12*2.4/$H12,CZ12),IF($F12&lt;OFFSET($BN$9,$CL12+2,0,1,1),IF(AND($H12&gt;2.4,Z12&lt;&gt;"e",Z12&lt;&gt;"f"),CZ12*2.4/$H12,CZ12),IF($F12&lt;OFFSET($BN$9,$CL12+3,0,1,1),IF(AND($H12&gt;2.4,Z12&lt;&gt;"e",Z12&lt;&gt;"f"),CZ12*2.4/$H12,CZ12),0)))))*COS(RADIANS($G12)))</f>
        <v>0</v>
      </c>
      <c r="CW12" s="51">
        <f ca="1">IF(CT12&gt;CR12,CR12,CT12)</f>
        <v>0</v>
      </c>
      <c r="CX12" s="51">
        <f ca="1">IF(CS12&gt;$CR12,$CR12,CS12)</f>
        <v>0</v>
      </c>
      <c r="CY12" s="51">
        <f ca="1">CW12*F12</f>
        <v>0</v>
      </c>
      <c r="CZ12" s="51">
        <f ca="1">IF($CU12&gt;$CR12,$CR12,$CU12)</f>
        <v>0</v>
      </c>
      <c r="DA12" s="51">
        <f ca="1">IF(CV12&gt;CR12,CR12,CV12)</f>
        <v>0</v>
      </c>
      <c r="DB12" s="51">
        <f ca="1">DA12*F12</f>
        <v>0</v>
      </c>
      <c r="DC12" s="993">
        <v>1</v>
      </c>
      <c r="DD12" s="758" t="str">
        <f>IF(OR(D12=BG$12,D12=BG$13),"External",IF(D12=BG$14,"Internal"," "))</f>
        <v xml:space="preserve"> </v>
      </c>
      <c r="DE12" s="51" t="str">
        <f t="shared" ca="1" si="1"/>
        <v/>
      </c>
      <c r="DF12" s="52" t="str">
        <f t="shared" ca="1" si="2"/>
        <v xml:space="preserve"> </v>
      </c>
      <c r="DG12" s="51">
        <f ca="1">IF(F12&lt;OFFSET($BM$9,CN12-1,0,1,1),0,IF(F12&lt;OFFSET($BN$9,CN12-1,0,1,1),((F12-OFFSET($BM$9,CN12-1,0,1,1))*OFFSET($CH$9,CN12-1,0,1,1))+OFFSET($BO$9,CN12-1,CQ12,1,1),IF(F12&lt;OFFSET($BN$9,CN12+0,0,1,1),((F12-OFFSET($BM$9,CN12+0,0,1,1))*OFFSET($CH$9,CN12+0,0,1,1))+OFFSET($BO$9,CN12+0,CQ12,1,1),IF(F12&lt;OFFSET($BN$9,CN12+1,0,1,1),((F12-OFFSET($BM$9,CN12+1,0,1,1))*OFFSET($CH$9,CN12+1,0,1,1))+OFFSET($BO$9,CN12+1,CQ12,1,1),IF(F12&lt;OFFSET($BN$9,CN12+2,0,1,1),((F12-OFFSET($BM$9,CN12+2,0,1,1))*OFFSET($CH$9,CN12+2,0,1,1))+OFFSET($BO$9,CN12+2,CQ12,1,1),IF(F12&lt;OFFSET($BN$9,CN12+3,0,1,1),((F12-OFFSET($BM$9,CN12+3,0,1,1))*OFFSET($CH$9,CN12+3,0,1,1))+OFFSET($BO$9,CN12+3,CQ12,1,1),0))))))</f>
        <v>0</v>
      </c>
      <c r="DH12" s="51">
        <f ca="1">IF($F12&lt;OFFSET($BM$9,$CN12-1,0,1,1),0,IF($F12&lt;OFFSET($BN$9,$CN12-1,0,1,1),IF(AND($H12&gt;2.4,Z12&lt;&gt;"e",Z12&lt;&gt;"f"),DL12*2.4/$H12,DL12),IF($F12&lt;OFFSET($BN$9,$CN12+0,0,1,1),IF(AND($H12&gt;2.4,Z12&lt;&gt;"e",Z12&lt;&gt;"f"),DL12*2.4/$H12,DL12),IF($F12&lt;OFFSET($BN$9,$CN12+1,0,1,1),IF(AND($H12&gt;2.4,Z12&lt;&gt;"e",Z12&lt;&gt;"f"),DL12*2.4/$H12,DL12),IF($F12&lt;OFFSET($BN$9,$CN12+2,0,1,1),IF(AND($H12&gt;2.4,Z12&lt;&gt;"e",Z12&lt;&gt;"f"),DL12*2.4/$H12,DL12),IF($F12&lt;OFFSET($BN$9,$CN12+3,0,1,1),IF(AND($H12&gt;2.4,Z12&lt;&gt;"e",Z12&lt;&gt;"f"),DL12*2.4/$H12,DL12),0)))))*COS(RADIANS($G12)))</f>
        <v>0</v>
      </c>
      <c r="DI12" s="51">
        <f ca="1">IF(F12&lt;OFFSET($BM$9,CN12-1,0,1,1),0,IF(F12&lt;OFFSET($BN$9,CN12-1,0,1,1),((F12-OFFSET($BM$9,CN12-1,0,1,1))*OFFSET($CI$9,CN12-1,0,1,1))+OFFSET($BP$9,CN12-1,CQ12,1,1),IF(F12&lt;OFFSET($BN$9,CN12+0,0,1,1),((F12-OFFSET($BM$9,CN12+0,0,1,1))*OFFSET($CI$9,CN12+0,0,1,1))+OFFSET($BP$9,CN12+0,CQ12,1,1),IF(F12&lt;OFFSET($BN$9,CN12+1,0,1,1),((F12-OFFSET($BM$9,CN12+1,0,1,1))*OFFSET($CI$9,CN12+1,0,1,1))+OFFSET($BP$9,CN12+1,CQ12,1,1),IF(F12&lt;OFFSET($BN$9,CN12+2,0,1,1),((F12-OFFSET($BM$9,CN12+2,0,1,1))*OFFSET($CI$9,CN12+2,0,1,1))+OFFSET($BP$9,CN12+2,CQ12,1,1),IF(F12&lt;OFFSET($BN$9,CN12+3,0,1,1),((F12-OFFSET($BM$9,CN12+3,0,1,1))*OFFSET($CI$9,CN12+3,0,1,1))+OFFSET($BP$9,CN12+3,CQ12,1,1),0))))))</f>
        <v>0</v>
      </c>
      <c r="DJ12" s="51">
        <f ca="1">IF($F12&lt;OFFSET($BM$9,$CN12-1,0,1,1),0,IF($F12&lt;OFFSET($BN$9,$CN12-1,0,1,1),IF(AND($H12&gt;2.4,Z12&lt;&gt;"e",Z12&lt;&gt;"f"),DN12*2.4/$H12,DN12),IF($F12&lt;OFFSET($BN$9,$CN12+0,0,1,1),IF(AND($H12&gt;2.4,Z12&lt;&gt;"e",Z12&lt;&gt;"f"),DN12*2.4/$H12,DN12),IF($F12&lt;OFFSET($BN$9,$CN12+1,0,1,1),IF(AND($H12&gt;2.4,Z12&lt;&gt;"e",Z12&lt;&gt;"f"),DN12*2.4/$H12,DN12),IF($F12&lt;OFFSET($BN$9,$CN12+2,0,1,1),IF(AND($H12&gt;2.4,Z12&lt;&gt;"e",Z12&lt;&gt;"f"),DN12*2.4/$H12,DN12),IF($F12&lt;OFFSET($BN$9,$CN12+3,0,1,1),IF(AND($H12&gt;2.4,Z12&lt;&gt;"e",Z12&lt;&gt;"f"),DN12*2.4/$H12,DN12),0)))))*COS(RADIANS($G12)))</f>
        <v>0</v>
      </c>
      <c r="DK12" s="51"/>
      <c r="DL12" s="51">
        <f ca="1">IF(DG12&gt;$CR12,$CR12,DG12)</f>
        <v>0</v>
      </c>
      <c r="DM12" s="51"/>
      <c r="DN12" s="51">
        <f ca="1">IF(DI12&gt;$CR12,$CR12,DI12)</f>
        <v>0</v>
      </c>
      <c r="DO12" s="435">
        <f ca="1">IF(DH12&gt;$CR12,$CR12,DH12)</f>
        <v>0</v>
      </c>
      <c r="DP12" s="435">
        <f ca="1">DO12*F12</f>
        <v>0</v>
      </c>
      <c r="DQ12" s="436">
        <f ca="1">IF(DJ12&gt;$CR12,$CR12,DJ12)</f>
        <v>0</v>
      </c>
      <c r="DR12" s="437">
        <f ca="1">DQ12*F12</f>
        <v>0</v>
      </c>
      <c r="DS12" s="426">
        <f ca="1">OFFSET($CH$9,CL12-1,-15,1,1)</f>
        <v>0</v>
      </c>
      <c r="DT12" s="426">
        <f ca="1">VLOOKUP(DS12,Prodlink,2,0)</f>
        <v>0</v>
      </c>
      <c r="DU12" s="188">
        <f ca="1">IF(F12&lt;OFFSET($BM$9,DT12-1,0,1,1),0,IF(F12&lt;OFFSET($BN$9,DT12-1,0,1,1),((F12-OFFSET($BM$9,DT12-1,0,1,1))*OFFSET($CH$9,DT12-1,0,1,1))+OFFSET($BO$9,DT12-1,CQ12,1,1),IF(F12&lt;OFFSET($BN$9,DT12+0,0,1,1),((F12-OFFSET($BM$9,DT12+0,0,1,1))*OFFSET($CH$9,DT12+0,0,1,1))+OFFSET($BO$9,DT12+0,CQ12,1,1),IF(F12&lt;OFFSET($BN$9,DT12+1,0,1,1),((F12-OFFSET($BM$9,DT12+1,0,1,1))*OFFSET($CH$9,DT12+1,0,1,1))+OFFSET($BO$9,DT12+1,CQ12,1,1),IF(F12&lt;OFFSET($BN$9,DT12+2,0,1,1),((F12-OFFSET($BM$9,DT12+2,0,1,1))*OFFSET($CH$9,DT12+2,0,1,1))+OFFSET($BO$9,DT12+2,CQ12,1,1),IF(F12&lt;OFFSET($BN$9,DT12+3,0,1,1),((F12-OFFSET($BM$9,DT12+3,0,1,1))*OFFSET($CH$9,DT12+3,0,1,1))+OFFSET($BO$9,DT12+3,CQ12,1,1),0))))))</f>
        <v>0</v>
      </c>
      <c r="DV12" s="51">
        <f ca="1">IF($F12&lt;OFFSET($BM$9,$DT12-1,0,1,1),0,IF($F12&lt;OFFSET($BN$9,$DT12-1,0,1,1),IF(AND($H12&gt;2.4,Z12&lt;&gt;"e",Z12&lt;&gt;"f"),DZ12*2.4/$H12,DZ12),IF($F12&lt;OFFSET($BN$9,$DT12+0,0,1,1),IF(AND($H12&gt;2.4,Z12&lt;&gt;"e",Z12&lt;&gt;"f"),DZ12*2.4/$H12,DZ12),IF($F12&lt;OFFSET($BN$9,$DT12+1,0,1,1),IF(AND($H12&gt;2.4,Z12&lt;&gt;"e",Z12&lt;&gt;"f"),DZ12*2.4/$H12,DZ12),IF($F12&lt;OFFSET($BN$9,$DT12+2,0,1,1),IF(AND($H12&gt;2.4,Z12&lt;&gt;"e",Z12&lt;&gt;"f"),DZ12*2.4/$H12,DZ12),IF($F12&lt;OFFSET($BN$9,$DT12+3,0,1,1),IF(AND($H12&gt;2.4,Z12&lt;&gt;"e",Z12&lt;&gt;"f"),DZ12*2.4/$H12,DZ12),0)))))*COS(RADIANS($G12)))</f>
        <v>0</v>
      </c>
      <c r="DW12" s="188">
        <f ca="1">IF(F12&lt;OFFSET($BM$9,DT12-1,0,1,1),0,IF(F12&lt;OFFSET($BN$9,DT12-1,0,1,1),((F12-OFFSET($BM$9,DT12-1,0,1,1))*OFFSET($CI$9,DT12-1,0,1,1))+OFFSET($BP$9,DT12-1,CQ12,1,1),IF(F12&lt;OFFSET($BN$9,DT12+0,0,1,1),((F12-OFFSET($BM$9,DT12+0,0,1,1))*OFFSET($CI$9,DT12+0,0,1,1))+OFFSET($BP$9,DT12+0,CQ12,1,1),IF(F12&lt;OFFSET($BN$9,DT12+1,0,1,1),((F12-OFFSET($BM$9,DT12+1,0,1,1))*OFFSET($CI$9,DT12+1,0,1,1))+OFFSET($BP$9,DT12+1,CQ12,1,1),IF(F12&lt;OFFSET($BN$9,DT12+2,0,1,1),((F12-OFFSET($BM$9,DT12+2,0,1,1))*OFFSET($CI$9,DT12+2,0,1,1))+OFFSET($BP$9,DT12+2,CQ12,1,1),IF(F12&lt;OFFSET($BN$9,DT12+3,0,1,1),((F12-OFFSET($BM$9,DT12+3,0,1,1))*OFFSET($CI$9,DT12+3,0,1,1))+OFFSET($BP$9,DT12+3,CQ12,1,1),0))))))</f>
        <v>0</v>
      </c>
      <c r="DX12" s="51">
        <f ca="1">IF($F12&lt;OFFSET($BM$9,$DT12-1,0,1,1),0,IF($F12&lt;OFFSET($BN$9,$DT12-1,0,1,1),IF(AND($H12&gt;2.4,Z12&lt;&gt;"e",Z12&lt;&gt;"f"),EB12*2.4/$H12,EB12),IF($F12&lt;OFFSET($BN$9,$DT12+0,0,1,1),IF(AND($H12&gt;2.4,Z12&lt;&gt;"e",Z12&lt;&gt;"f"),EB12*2.4/$H12,EB12),IF($F12&lt;OFFSET($BN$9,$DT12+1,0,1,1),IF(AND($H12&gt;2.4,Z12&lt;&gt;"e",Z12&lt;&gt;"f"),EB12*2.4/$H12,EB12),IF($F12&lt;OFFSET($BN$9,$DT12+2,0,1,1),IF(AND($H12&gt;2.4,Z12&lt;&gt;"e",Z12&lt;&gt;"f"),EB12*2.4/$H12,EB12),IF($F12&lt;OFFSET($BN$9,$DT12+3,0,1,1),IF(AND($H12&gt;2.4,Z12&lt;&gt;"e",Z12&lt;&gt;"f"),EB12*2.4/$H12,EB12),0)))))*COS(RADIANS($G12)))</f>
        <v>0</v>
      </c>
      <c r="DY12" s="188"/>
      <c r="DZ12" s="188">
        <f ca="1">IF(DU12&gt;$CR12,$CR12,DU12)</f>
        <v>0</v>
      </c>
      <c r="EA12" s="188"/>
      <c r="EB12" s="188">
        <f ca="1">IF(DW12&gt;$CR12,$CR12,DW12)</f>
        <v>0</v>
      </c>
      <c r="EC12" s="435">
        <f ca="1">IF(DV12&gt;$CR12,$CR12,DV12)</f>
        <v>0</v>
      </c>
      <c r="ED12" s="435">
        <f ca="1">EC12*F12</f>
        <v>0</v>
      </c>
      <c r="EE12" s="436">
        <f ca="1">IF(DX12&gt;$CR12,$CR12,DX12)</f>
        <v>0</v>
      </c>
      <c r="EF12" s="437">
        <f ca="1">EE12*F12</f>
        <v>0</v>
      </c>
      <c r="EG12" s="613" t="str">
        <f>IF(D12=BG$12,BG$12,"")</f>
        <v/>
      </c>
      <c r="EH12" s="614" t="str">
        <f>IF(D12=BG$13,BG$13,"")</f>
        <v/>
      </c>
      <c r="EI12" s="611">
        <f>IF(EG12=BG$12,M12,0)</f>
        <v>0</v>
      </c>
      <c r="EJ12" s="451">
        <f>IF(EG12=BG$12,O12,0)</f>
        <v>0</v>
      </c>
      <c r="EK12" s="451">
        <f>IF(EH12=BG$13,M12,0)</f>
        <v>0</v>
      </c>
      <c r="EL12" s="612">
        <f>IF(EH12=BG$13,O12,0)</f>
        <v>0</v>
      </c>
      <c r="EM12" s="426" t="str">
        <f ca="1">IF(AND(Z12&lt;&gt;"t",Z12&lt;&gt;"f"),"",IF(AND(EN12=$BH$13,K12=$BH$12),"NotOpt",IF(K12&lt;&gt;EN12,"Error","")))</f>
        <v/>
      </c>
      <c r="EN12" s="490" t="str">
        <f>IF($BG$28=1,$BH$13,$BH$12)</f>
        <v>120 BU's</v>
      </c>
      <c r="EO12" s="426" t="str">
        <f>K12</f>
        <v xml:space="preserve"> </v>
      </c>
      <c r="EP12" s="430">
        <v>1</v>
      </c>
      <c r="EQ12" s="430" t="str">
        <f ca="1">IF(EP12=1," ",OFFSET(BF$16,EP12-2,0,1,1))</f>
        <v xml:space="preserve"> </v>
      </c>
      <c r="ER12" s="439" t="str">
        <f ca="1">IF(H12=0," ",H12)</f>
        <v xml:space="preserve"> </v>
      </c>
      <c r="ES12" s="440" t="str">
        <f ca="1">IF(ER12&lt;&gt;" ",IF(ER12&lt;&gt;ER$7,"Changed",""),"")</f>
        <v/>
      </c>
      <c r="ET12" s="440">
        <f ca="1">IF(ER12&lt;&gt;" ",IF(ER12&lt;&gt;ER$7,1,0),0)</f>
        <v>0</v>
      </c>
      <c r="EU12" s="957" t="str">
        <f ca="1">IF(I12=" "," ",IF(F12&lt;OFFSET($BM$9,CL12-1,0,1,1),1,""))</f>
        <v xml:space="preserve"> </v>
      </c>
      <c r="EW12" s="427"/>
      <c r="EX12"/>
      <c r="EY12"/>
      <c r="EZ12"/>
      <c r="FA12"/>
    </row>
    <row r="13" spans="1:157" ht="17.100000000000001" customHeight="1" thickBot="1">
      <c r="B13" s="2686" t="s">
        <v>8</v>
      </c>
      <c r="C13" s="2687"/>
      <c r="D13" s="1461" t="s">
        <v>8</v>
      </c>
      <c r="E13" s="659"/>
      <c r="F13" s="659"/>
      <c r="G13" s="659"/>
      <c r="H13" s="659"/>
      <c r="I13" s="1462"/>
      <c r="J13" s="1365" t="str">
        <f>(CONCATENATE(B8,$BE$54))</f>
        <v>M  Line:  Min. Requirement</v>
      </c>
      <c r="K13" s="865"/>
      <c r="L13" s="1019">
        <f ca="1">L$5</f>
        <v>0</v>
      </c>
      <c r="M13" s="48">
        <f ca="1">SUM(M8:M12)</f>
        <v>0</v>
      </c>
      <c r="N13" s="1019">
        <f ca="1">N$5</f>
        <v>0</v>
      </c>
      <c r="O13" s="866">
        <f ca="1">SUM(O8:O12)</f>
        <v>0</v>
      </c>
      <c r="P13" s="139"/>
      <c r="Q13" s="42" t="str">
        <f ca="1">IF(B8=B14,"",IF(AND(M13&gt;0,L13=L$5,OR(M13&lt;$M$105,M13&lt;$BF$3)),"Achieved &lt; Min Req per Line",IF(AND(O13&gt;0,N13=N$5,OR(O13&lt;$O$105,O13&lt;$BF$3)),"Achieved &lt; Min Req per Line",IF(AND(M13&gt;0,L13&gt;M13),"More Required on this line",IF(AND(O13&gt;0,N13&gt;O13),"More Required on this line",IF(AND(L13&gt;0,L13&lt;$BF$3),$BE$59,IF(AND(N13&gt;0,N13&lt;$BF$3),$BE$59,"")))))))</f>
        <v/>
      </c>
      <c r="R13" s="52"/>
      <c r="S13" s="52"/>
      <c r="T13" s="52"/>
      <c r="U13" s="1378"/>
      <c r="V13" s="52"/>
      <c r="W13" s="9"/>
      <c r="X13" s="9"/>
      <c r="Y13" s="896"/>
      <c r="Z13" s="52"/>
      <c r="AA13" s="51"/>
      <c r="AB13" s="1364"/>
      <c r="AC13" s="1"/>
      <c r="AJ13" s="2230"/>
      <c r="AK13" s="2793" t="str">
        <f>'Regular and QuickBrace Systems'!D25</f>
        <v xml:space="preserve"> Internal or External</v>
      </c>
      <c r="AL13" s="1817" t="str">
        <f>'Regular and QuickBrace Systems'!E25</f>
        <v>ER1</v>
      </c>
      <c r="AM13" s="1175">
        <f>'Regular and QuickBrace Systems'!F25</f>
        <v>0.4</v>
      </c>
      <c r="AN13" s="1270">
        <f>'Regular and QuickBrace Systems'!G25</f>
        <v>40</v>
      </c>
      <c r="AO13" s="1271">
        <f>'Regular and QuickBrace Systems'!H25</f>
        <v>30</v>
      </c>
      <c r="AP13" s="1271"/>
      <c r="AQ13" s="2659" t="str">
        <f>'Regular and QuickBrace Systems'!I25</f>
        <v>Regular Fixing</v>
      </c>
      <c r="AR13" s="2660"/>
      <c r="AS13" s="1335" t="str">
        <f>'Regular and QuickBrace Systems'!K25</f>
        <v>No</v>
      </c>
      <c r="AT13" s="1339"/>
      <c r="AU13" s="1331" t="str">
        <f>'Regular and QuickBrace Systems'!M10</f>
        <v>Any Elephant Plasterboard on One side</v>
      </c>
      <c r="AW13" s="1583" t="str">
        <f>'Regular and QuickBrace Systems'!O10</f>
        <v>Yes</v>
      </c>
      <c r="AX13" s="1572" t="str">
        <f>'Regular and QuickBrace Systems'!Q10</f>
        <v>No</v>
      </c>
      <c r="BA13"/>
      <c r="BB13"/>
      <c r="BC13"/>
      <c r="BD13" s="2667"/>
      <c r="BF13" s="598" t="str">
        <f>Table!AI77</f>
        <v>ER2</v>
      </c>
      <c r="BG13" s="1026" t="str">
        <f>IF('Project Demand'!AX21=1,BG33,BG36)</f>
        <v>Right External</v>
      </c>
      <c r="BH13" s="709" t="str">
        <f>IF($BE$3=1,BH20,BG20)</f>
        <v>150 BU's</v>
      </c>
      <c r="BI13" s="759"/>
      <c r="BJ13" s="897">
        <f>BJ12+1</f>
        <v>5</v>
      </c>
      <c r="BK13" s="769" t="str">
        <f t="shared" si="6"/>
        <v xml:space="preserve">  </v>
      </c>
      <c r="BL13" s="771" t="str">
        <f t="shared" si="7"/>
        <v>Custom2</v>
      </c>
      <c r="BM13" s="455">
        <f t="shared" si="8"/>
        <v>9.9999999999999996E-76</v>
      </c>
      <c r="BN13" s="455">
        <v>999</v>
      </c>
      <c r="BO13" s="455">
        <f t="shared" si="9"/>
        <v>0</v>
      </c>
      <c r="BP13" s="925">
        <f t="shared" si="10"/>
        <v>0</v>
      </c>
      <c r="BR13" s="764"/>
      <c r="BS13" s="455"/>
      <c r="BT13" s="455" t="str">
        <f t="shared" si="11"/>
        <v>B</v>
      </c>
      <c r="BU13" s="925" t="str">
        <f t="shared" si="12"/>
        <v>T</v>
      </c>
      <c r="BV13" s="1239" t="str">
        <f t="shared" si="13"/>
        <v>Custom2</v>
      </c>
      <c r="BW13" s="1236">
        <f>BJ13</f>
        <v>5</v>
      </c>
      <c r="BX13" s="925" t="str">
        <f t="shared" ref="BX13:BX31" si="14">AQ49</f>
        <v>Single</v>
      </c>
      <c r="CH13" s="764">
        <f t="shared" si="4"/>
        <v>0</v>
      </c>
      <c r="CI13" s="925">
        <f t="shared" si="5"/>
        <v>0</v>
      </c>
      <c r="CJ13" s="759"/>
      <c r="CK13" s="188"/>
      <c r="CL13" s="979"/>
      <c r="CN13" s="497"/>
      <c r="CO13" s="497"/>
      <c r="CQ13" s="51"/>
      <c r="CR13" s="51" t="s">
        <v>8</v>
      </c>
      <c r="CS13" s="51"/>
      <c r="CT13" s="51" t="s">
        <v>8</v>
      </c>
      <c r="CU13" s="51"/>
      <c r="CV13" s="51" t="s">
        <v>8</v>
      </c>
      <c r="CW13" s="51"/>
      <c r="CX13" s="51"/>
      <c r="CY13" s="51"/>
      <c r="CZ13" s="51"/>
      <c r="DD13" s="758"/>
      <c r="DF13" s="52"/>
      <c r="DG13" s="51"/>
      <c r="DH13" s="51"/>
      <c r="DI13" s="51"/>
      <c r="DJ13" s="51"/>
      <c r="DK13" s="51"/>
      <c r="DL13" s="51"/>
      <c r="DM13" s="51"/>
      <c r="DN13" s="51"/>
      <c r="DO13" s="435"/>
      <c r="DP13" s="435"/>
      <c r="DQ13" s="868"/>
      <c r="DR13" s="868"/>
      <c r="DU13" s="188"/>
      <c r="DV13" s="188" t="s">
        <v>8</v>
      </c>
      <c r="DW13" s="188"/>
      <c r="DX13" s="188" t="s">
        <v>8</v>
      </c>
      <c r="DY13" s="188"/>
      <c r="DZ13" s="188"/>
      <c r="EA13" s="188"/>
      <c r="EB13" s="188"/>
      <c r="EC13" s="435"/>
      <c r="ED13" s="435"/>
      <c r="EE13" s="868"/>
      <c r="EF13" s="868"/>
      <c r="EG13" s="613"/>
      <c r="EH13" s="435"/>
      <c r="EI13" s="613"/>
      <c r="EJ13" s="435"/>
      <c r="EK13" s="451"/>
      <c r="EL13" s="612"/>
      <c r="EN13" s="947"/>
      <c r="ER13" s="441"/>
      <c r="ES13" s="440"/>
      <c r="ET13" s="440"/>
      <c r="EU13" s="957"/>
      <c r="EW13" s="427"/>
      <c r="EX13"/>
      <c r="EY13"/>
      <c r="EZ13"/>
      <c r="FA13"/>
    </row>
    <row r="14" spans="1:157" ht="17.100000000000001" customHeight="1" thickBot="1">
      <c r="B14" s="1369" t="str">
        <f ca="1">S14</f>
        <v>N</v>
      </c>
      <c r="C14" s="1375" t="str">
        <f>IF(OR(F14=0,I14="",I14=" ")," ",$V14)</f>
        <v xml:space="preserve"> </v>
      </c>
      <c r="D14" s="1033"/>
      <c r="E14" s="1034"/>
      <c r="F14" s="202"/>
      <c r="G14" s="1416"/>
      <c r="H14" s="199" t="str">
        <f ca="1">IF(OR(F14=0,Z14="E",Z14="f")," ",'Project Demand'!E$45)</f>
        <v xml:space="preserve"> </v>
      </c>
      <c r="I14" s="631" t="str">
        <f>IF($I$6&lt;&gt;$BG$8," ",AB14)</f>
        <v xml:space="preserve"> </v>
      </c>
      <c r="J14" s="43" t="str">
        <f ca="1">IF(OR(I14=" ",I14="")," ",OFFSET($BO$9,CL14-1,0-4,1,1))</f>
        <v xml:space="preserve"> </v>
      </c>
      <c r="K14" s="55" t="str">
        <f>IF(OR(I14=" ",I14="")," ",IF(OR(Z14="e",Z14="h"),"SD",BG$24))</f>
        <v xml:space="preserve"> </v>
      </c>
      <c r="L14" s="49">
        <f ca="1">CW14</f>
        <v>0</v>
      </c>
      <c r="M14" s="49">
        <f ca="1">CY14</f>
        <v>0</v>
      </c>
      <c r="N14" s="50">
        <f t="shared" ref="N14:O18" ca="1" si="15">DA14</f>
        <v>0</v>
      </c>
      <c r="O14" s="126">
        <f t="shared" ca="1" si="15"/>
        <v>0</v>
      </c>
      <c r="P14" s="140"/>
      <c r="Q14" s="752" t="str">
        <f ca="1">IF(AND(OR(Z14="t",Z14="f"),K14=$BH$11),"No Floor!  Change Floor Type",IF(OR(I14=" ",I14="")," ",IF(F14&lt;OFFSET($BM$9,CL14-1,0,1,1),"check L(m)",DE14&amp;IF(AND(DP14&gt;=CY14,DR14&gt;=DB14),IF(AND(ED14&gt;=DP14,EF14&gt;=DR14),CONCATENATE(DS14," will provide same result"),CONCATENATE(CO14," will provide same result")),IF((DP14&gt;=CY14),CONCATENATE(CO14," provides same result in WIND"),IF((DR14&gt;=DB14),CONCATENATE(CO14," provides same result in EQ"),""))))))&amp;IF(ISERROR(FIND("pile",I14,1)),"",IF(INT(F14)&lt;&gt;F14,"Pile!  Use Whole Numbers Only",""))</f>
        <v xml:space="preserve"> </v>
      </c>
      <c r="R14" s="52">
        <f ca="1">IF(T8&lt;&gt;2,(COLUMN(INDIRECT(B8&amp;1))+1),U14)</f>
        <v>14</v>
      </c>
      <c r="S14" s="1372" t="str">
        <f ca="1">SUBSTITUTE(ADDRESS(1,R14,4),"1","")</f>
        <v>N</v>
      </c>
      <c r="T14" s="451">
        <f ca="1">IF(AND(ISTEXT(B14),SUBSTITUTE(SUBSTITUTE(SUBSTITUTE(SUBSTITUTE(SUBSTITUTE(SUBSTITUTE(SUBSTITUTE(SUBSTITUTE(SUBSTITUTE(SUBSTITUTE(SUBSTITUTE(SUBSTITUTE(SUBSTITUTE(SUBSTITUTE(SUBSTITUTE(SUBSTITUTE(SUBSTITUTE(SUBSTITUTE(SUBSTITUTE(SUBSTITUTE(SUBSTITUTE(SUBSTITUTE(SUBSTITUTE(SUBSTITUTE(SUBSTITUTE(SUBSTITUTE(LOWER(B14),"a",),"b",),"c",),"d",),"e",),"f",),"g",),"h",),"i",),"j",),"k",),"l",),"m",),"n",),"o",),"p",),"q",),"r",),"s",),"t",),"u",),"v",),"w",),"x",),"y",),"z",)=""),1,2)</f>
        <v>1</v>
      </c>
      <c r="U14" s="1377">
        <v>14</v>
      </c>
      <c r="V14" s="52" t="str">
        <f ca="1">IF(AND(B$5=$BF$9,OR(I14=BH$16,I14=BH$17))," ",IF(ISNUMBER(B$14),(CONCATENATE(B$14,".",W14)),(CONCATENATE(B$14,W14))))</f>
        <v>N0</v>
      </c>
      <c r="W14" s="9">
        <f ca="1">IF(B8=B14,W12+X14,X14)</f>
        <v>0</v>
      </c>
      <c r="X14" s="9">
        <f>IF(AND(B$5=$BF$9,OR($I14=$BH$16,$I14=$BH$17,$I14=" ",$I14="",$F14=0)),0,IF(OR($I14=" ",$I14="",$F14=0),0,1))</f>
        <v>0</v>
      </c>
      <c r="Y14" s="896">
        <f ca="1">IF(AND(M19&gt;0,B14&lt;&gt;B20),1,0)</f>
        <v>0</v>
      </c>
      <c r="Z14" s="52" t="str">
        <f ca="1">IF(I14=" "," ",OFFSET($BM$9,$CL14-1,8,1,1))</f>
        <v xml:space="preserve"> </v>
      </c>
      <c r="AA14" s="51" t="str">
        <f>IF(G14&gt;=45,"WA","")</f>
        <v/>
      </c>
      <c r="AB14" s="1364" t="str">
        <f>IF(F14&lt;&gt;"",IF(OR(D14=$BG$12,D14=$BG$13),IF(E14&lt;&gt;$BG$17,$BF$12,$BF$13),IF(E14&lt;&gt;$BG$17,$BF$12,$BF$13))," ")</f>
        <v xml:space="preserve"> </v>
      </c>
      <c r="AC14" s="1"/>
      <c r="AJ14" s="2230"/>
      <c r="AK14" s="2793"/>
      <c r="AL14" s="2783" t="str">
        <f>'Regular and QuickBrace Systems'!E28</f>
        <v>ES-N</v>
      </c>
      <c r="AM14" s="1176">
        <f>'Regular and QuickBrace Systems'!F28</f>
        <v>0.4</v>
      </c>
      <c r="AN14" s="1272">
        <f>'Regular and QuickBrace Systems'!G28</f>
        <v>66</v>
      </c>
      <c r="AO14" s="1273">
        <f>'Regular and QuickBrace Systems'!H28</f>
        <v>61</v>
      </c>
      <c r="AP14" s="1594"/>
      <c r="AQ14" s="2661" t="str">
        <f>'Regular and QuickBrace Systems'!I28</f>
        <v>Specialised QuickBrace Pattern</v>
      </c>
      <c r="AR14" s="2662"/>
      <c r="AS14" s="2030" t="str">
        <f>'Regular and QuickBrace Systems'!K28</f>
        <v>No</v>
      </c>
      <c r="AT14" s="1339"/>
      <c r="AU14" s="2131" t="str">
        <f>'Regular and QuickBrace Systems'!M28</f>
        <v xml:space="preserve">Elephant Standard-Plus board One side </v>
      </c>
      <c r="AW14" s="1567" t="str">
        <f>'Regular and QuickBrace Systems'!O28</f>
        <v>Yes</v>
      </c>
      <c r="AX14" s="1573" t="str">
        <f>'Regular and QuickBrace Systems'!Q28</f>
        <v>No</v>
      </c>
      <c r="BA14"/>
      <c r="BB14"/>
      <c r="BC14"/>
      <c r="BD14" s="2667"/>
      <c r="BF14" s="1363" t="s">
        <v>8</v>
      </c>
      <c r="BG14" s="949" t="s">
        <v>318</v>
      </c>
      <c r="BH14" s="600" t="s">
        <v>189</v>
      </c>
      <c r="BI14" s="759"/>
      <c r="BJ14" s="897">
        <f t="shared" si="3"/>
        <v>6</v>
      </c>
      <c r="BK14" s="769" t="str">
        <f t="shared" si="6"/>
        <v xml:space="preserve">  </v>
      </c>
      <c r="BL14" s="771" t="str">
        <f t="shared" si="7"/>
        <v>Custom3</v>
      </c>
      <c r="BM14" s="455">
        <f t="shared" si="8"/>
        <v>9.9999999999999996E-76</v>
      </c>
      <c r="BN14" s="455">
        <v>999</v>
      </c>
      <c r="BO14" s="455">
        <f t="shared" si="9"/>
        <v>0</v>
      </c>
      <c r="BP14" s="925">
        <f t="shared" si="10"/>
        <v>0</v>
      </c>
      <c r="BR14" s="764"/>
      <c r="BS14" s="455"/>
      <c r="BT14" s="455" t="str">
        <f t="shared" si="11"/>
        <v>B</v>
      </c>
      <c r="BU14" s="925" t="str">
        <f t="shared" si="12"/>
        <v>T</v>
      </c>
      <c r="BV14" s="1239" t="str">
        <f t="shared" si="13"/>
        <v>Custom3</v>
      </c>
      <c r="BW14" s="1236">
        <f t="shared" ref="BW14:BW31" si="16">BJ14</f>
        <v>6</v>
      </c>
      <c r="BX14" s="925" t="str">
        <f t="shared" si="14"/>
        <v>Single</v>
      </c>
      <c r="CH14" s="764">
        <f t="shared" si="4"/>
        <v>0</v>
      </c>
      <c r="CI14" s="925">
        <f t="shared" si="5"/>
        <v>0</v>
      </c>
      <c r="CJ14" s="759"/>
      <c r="CK14" s="188"/>
      <c r="CL14" s="979">
        <f>VLOOKUP(I14,Prodlink,2,0)</f>
        <v>0</v>
      </c>
      <c r="CN14" s="497">
        <f ca="1">VLOOKUP(CO14,Prodlink,2,0)</f>
        <v>0</v>
      </c>
      <c r="CO14" s="497">
        <f ca="1">OFFSET($CH$9,CL14-1,-15,1,1)</f>
        <v>0</v>
      </c>
      <c r="CQ14" s="51">
        <v>0</v>
      </c>
      <c r="CR14" s="51">
        <f>IF(K14=$BH$12,$BH$23,IF(K14=$BH$13,$BH$24,10000))</f>
        <v>10000</v>
      </c>
      <c r="CS14" s="51">
        <f ca="1">IF(F14&lt;OFFSET($BM$9,CL14-1,0,1,1),0,IF(F14&lt;OFFSET($BN$9,CL14-1,0,1,1),((F14-OFFSET($BM$9,CL14-1,0,1,1))*OFFSET($CH$9,CL14-1,0,1,1))+OFFSET($BO$9,CL14-1,CQ14,1,1),IF(F14&lt;OFFSET($BN$9,CL14+0,0,1,1),((F14-OFFSET($BM$9,CL14+0,0,1,1))*OFFSET($CH$9,CL14+0,0,1,1))+OFFSET($BO$9,CL14+0,CQ14,1,1),IF(F14&lt;OFFSET($BN$9,CL14+1,0,1,1),((F14-OFFSET($BM$9,CL14+1,0,1,1))*OFFSET($CH$9,CL14+1,0,1,1))+OFFSET($BO$9,CL14+1,CQ14,1,1),IF(F14&lt;OFFSET($BN$9,CL14+2,0,1,1),((F14-OFFSET($BM$9,CL14+2,0,1,1))*OFFSET($CH$9,CL14+2,0,1,1))+OFFSET($BO$9,CL14+2,CQ14,1,1),IF(F14&lt;OFFSET($BN$9,CL14+3,0,1,1),((F14-OFFSET($BM$9,CL14+3,0,1,1))*OFFSET($CH$9,CL14+3,0,1,1))+OFFSET($BO$9,CL14+3,CQ14,1,1),0))))))</f>
        <v>0</v>
      </c>
      <c r="CT14" s="51">
        <f ca="1">IF($F14&lt;OFFSET($BM$9,$CL14-1,0,1,1),0,IF($F14&lt;OFFSET($BN$9,$CL14-1,0,1,1),IF(AND($H14&gt;2.4,Z14&lt;&gt;"e",Z14&lt;&gt;"f"),CX14*2.4/$H14,CX14),IF($F14&lt;OFFSET($BN$9,$CL14+0,0,1,1),IF(AND($H14&gt;2.4,Z14&lt;&gt;"e",Z14&lt;&gt;"f"),CX14*2.4/$H14,CX14),IF($F14&lt;OFFSET($BN$9,$CL14+1,0,1,1),IF(AND($H14&gt;2.4,Z14&lt;&gt;"e",Z14&lt;&gt;"f"),CX14*2.4/$H14,CX14),IF($F14&lt;OFFSET($BN$9,CL14+2,0,1,1),IF(AND($H14&gt;2.4,Z14&lt;&gt;"e",Z14&lt;&gt;"f"),CX14*2.4/$H14,CX14),IF($F14&lt;OFFSET($BN$9,CL14+3,0,1,1),IF(AND($H14&gt;2.4,Z14&lt;&gt;"e",Z14&lt;&gt;"f"),CX14*2.4/$H14,CX14),0)))))*COS(RADIANS($G14)))</f>
        <v>0</v>
      </c>
      <c r="CU14" s="51">
        <f ca="1">IF(F14&lt;OFFSET($BM$9,CL14-1,0,1,1),0,IF(F14&lt;OFFSET($BN$9,CL14-1,0,1,1),((F14-OFFSET($BM$9,CL14-1,0,1,1))*OFFSET($CI$9,CL14-1,0,1,1))+OFFSET($BP$9,CL14-1,CQ14,1,1),IF(F14&lt;OFFSET($BN$9,CL14+0,0,1,1),((F14-OFFSET($BM$9,CL14+0,0,1,1))*OFFSET($CI$9,CL14+0,0,1,1))+OFFSET($BP$9,CL14+0,CQ14,1,1),IF(F14&lt;OFFSET($BN$9,CL14+1,0,1,1),((F14-OFFSET($BM$9,CL14+1,0,1,1))*OFFSET($CI$9,CL14+1,0,1,1))+OFFSET($BP$9,CL14+1,CQ14,1,1),IF(F14&lt;OFFSET($BN$9,CL14+2,0,1,1),((F14-OFFSET($BM$9,CL14+2,0,1,1))*OFFSET($CI$9,CL14+2,0,1,1))+OFFSET($BP$9,CL14+2,CQ14,1,1),IF(F14&lt;OFFSET($BN$9,CL14+3,0,1,1),((F14-OFFSET($BM$9,CL14+3,0,1,1))*OFFSET($CI$9,CL14+3,0,1,1))+OFFSET($BP$9,CL14+3,CQ14,1,1),0))))))</f>
        <v>0</v>
      </c>
      <c r="CV14" s="51">
        <f ca="1">IF($F14&lt;OFFSET($BM$9,$CL14-1,0,1,1),0,IF($F14&lt;OFFSET($BN$9,$CL14-1,0,1,1),IF(AND($H14&gt;2.4,Z14&lt;&gt;"e",Z14&lt;&gt;"f"),CZ14*2.4/$H14,CZ14),IF($F14&lt;OFFSET($BN$9,$CL14+0,0,1,1),IF(AND($H14&gt;2.4,Z14&lt;&gt;"e",Z14&lt;&gt;"f"),CZ14*2.4/$H14,CZ14),IF($F14&lt;OFFSET($BN$9,$CL14+1,0,1,1),IF(AND($H14&gt;2.4,Z14&lt;&gt;"e",Z14&lt;&gt;"f"),CZ14*2.4/$H14,CZ14),IF($F14&lt;OFFSET($BN$9,$CL14+2,0,1,1),IF(AND($H14&gt;2.4,Z14&lt;&gt;"e",Z14&lt;&gt;"f"),CZ14*2.4/$H14,CZ14),IF($F14&lt;OFFSET($BN$9,$CL14+3,0,1,1),IF(AND($H14&gt;2.4,Z14&lt;&gt;"e",Z14&lt;&gt;"f"),CZ14*2.4/$H14,CZ14),0)))))*COS(RADIANS($G14)))</f>
        <v>0</v>
      </c>
      <c r="CW14" s="51">
        <f ca="1">IF(CT14&gt;CR14,CR14,CT14)</f>
        <v>0</v>
      </c>
      <c r="CX14" s="51">
        <f ca="1">IF(CS14&gt;$CR14,$CR14,CS14)</f>
        <v>0</v>
      </c>
      <c r="CY14" s="51">
        <f ca="1">CW14*F14</f>
        <v>0</v>
      </c>
      <c r="CZ14" s="51">
        <f ca="1">IF($CU14&gt;$CR14,$CR14,$CU14)</f>
        <v>0</v>
      </c>
      <c r="DA14" s="51">
        <f ca="1">IF(CV14&gt;CR14,CR14,CV14)</f>
        <v>0</v>
      </c>
      <c r="DB14" s="51">
        <f ca="1">DA14*F14</f>
        <v>0</v>
      </c>
      <c r="DC14" s="993">
        <v>1</v>
      </c>
      <c r="DD14" s="758" t="str">
        <f>IF(OR(D14=BG$12,D14=BG$13),"External",IF(D14=BG$14,"Internal"," "))</f>
        <v xml:space="preserve"> </v>
      </c>
      <c r="DE14" s="51" t="str">
        <f t="shared" ca="1" si="1"/>
        <v/>
      </c>
      <c r="DF14" s="52" t="str">
        <f t="shared" ca="1" si="2"/>
        <v xml:space="preserve"> </v>
      </c>
      <c r="DG14" s="51">
        <f ca="1">IF(F14&lt;OFFSET($BM$9,CN14-1,0,1,1),0,IF(F14&lt;OFFSET($BN$9,CN14-1,0,1,1),((F14-OFFSET($BM$9,CN14-1,0,1,1))*OFFSET($CH$9,CN14-1,0,1,1))+OFFSET($BO$9,CN14-1,CQ14,1,1),IF(F14&lt;OFFSET($BN$9,CN14+0,0,1,1),((F14-OFFSET($BM$9,CN14+0,0,1,1))*OFFSET($CH$9,CN14+0,0,1,1))+OFFSET($BO$9,CN14+0,CQ14,1,1),IF(F14&lt;OFFSET($BN$9,CN14+1,0,1,1),((F14-OFFSET($BM$9,CN14+1,0,1,1))*OFFSET($CH$9,CN14+1,0,1,1))+OFFSET($BO$9,CN14+1,CQ14,1,1),IF(F14&lt;OFFSET($BN$9,CN14+2,0,1,1),((F14-OFFSET($BM$9,CN14+2,0,1,1))*OFFSET($CH$9,CN14+2,0,1,1))+OFFSET($BO$9,CN14+2,CQ14,1,1),IF(F14&lt;OFFSET($BN$9,CN14+3,0,1,1),((F14-OFFSET($BM$9,CN14+3,0,1,1))*OFFSET($CH$9,CN14+3,0,1,1))+OFFSET($BO$9,CN14+3,CQ14,1,1),0))))))</f>
        <v>0</v>
      </c>
      <c r="DH14" s="51">
        <f ca="1">IF($F14&lt;OFFSET($BM$9,$CN14-1,0,1,1),0,IF($F14&lt;OFFSET($BN$9,$CN14-1,0,1,1),IF(AND($H14&gt;2.4,Z14&lt;&gt;"e",Z14&lt;&gt;"f"),DL14*2.4/$H14,DL14),IF($F14&lt;OFFSET($BN$9,$CN14+0,0,1,1),IF(AND($H14&gt;2.4,Z14&lt;&gt;"e",Z14&lt;&gt;"f"),DL14*2.4/$H14,DL14),IF($F14&lt;OFFSET($BN$9,$CN14+1,0,1,1),IF(AND($H14&gt;2.4,Z14&lt;&gt;"e",Z14&lt;&gt;"f"),DL14*2.4/$H14,DL14),IF($F14&lt;OFFSET($BN$9,$CN14+2,0,1,1),IF(AND($H14&gt;2.4,Z14&lt;&gt;"e",Z14&lt;&gt;"f"),DL14*2.4/$H14,DL14),IF($F14&lt;OFFSET($BN$9,$CN14+3,0,1,1),IF(AND($H14&gt;2.4,Z14&lt;&gt;"e",Z14&lt;&gt;"f"),DL14*2.4/$H14,DL14),0)))))*COS(RADIANS($G14)))</f>
        <v>0</v>
      </c>
      <c r="DI14" s="51">
        <f ca="1">IF(F14&lt;OFFSET($BM$9,CN14-1,0,1,1),0,IF(F14&lt;OFFSET($BN$9,CN14-1,0,1,1),((F14-OFFSET($BM$9,CN14-1,0,1,1))*OFFSET($CI$9,CN14-1,0,1,1))+OFFSET($BP$9,CN14-1,CQ14,1,1),IF(F14&lt;OFFSET($BN$9,CN14+0,0,1,1),((F14-OFFSET($BM$9,CN14+0,0,1,1))*OFFSET($CI$9,CN14+0,0,1,1))+OFFSET($BP$9,CN14+0,CQ14,1,1),IF(F14&lt;OFFSET($BN$9,CN14+1,0,1,1),((F14-OFFSET($BM$9,CN14+1,0,1,1))*OFFSET($CI$9,CN14+1,0,1,1))+OFFSET($BP$9,CN14+1,CQ14,1,1),IF(F14&lt;OFFSET($BN$9,CN14+2,0,1,1),((F14-OFFSET($BM$9,CN14+2,0,1,1))*OFFSET($CI$9,CN14+2,0,1,1))+OFFSET($BP$9,CN14+2,CQ14,1,1),IF(F14&lt;OFFSET($BN$9,CN14+3,0,1,1),((F14-OFFSET($BM$9,CN14+3,0,1,1))*OFFSET($CI$9,CN14+3,0,1,1))+OFFSET($BP$9,CN14+3,CQ14,1,1),0))))))</f>
        <v>0</v>
      </c>
      <c r="DJ14" s="51">
        <f ca="1">IF($F14&lt;OFFSET($BM$9,$CN14-1,0,1,1),0,IF($F14&lt;OFFSET($BN$9,$CN14-1,0,1,1),IF(AND($H14&gt;2.4,Z14&lt;&gt;"e",Z14&lt;&gt;"f"),DN14*2.4/$H14,DN14),IF($F14&lt;OFFSET($BN$9,$CN14+0,0,1,1),IF(AND($H14&gt;2.4,Z14&lt;&gt;"e",Z14&lt;&gt;"f"),DN14*2.4/$H14,DN14),IF($F14&lt;OFFSET($BN$9,$CN14+1,0,1,1),IF(AND($H14&gt;2.4,Z14&lt;&gt;"e",Z14&lt;&gt;"f"),DN14*2.4/$H14,DN14),IF($F14&lt;OFFSET($BN$9,$CN14+2,0,1,1),IF(AND($H14&gt;2.4,Z14&lt;&gt;"e",Z14&lt;&gt;"f"),DN14*2.4/$H14,DN14),IF($F14&lt;OFFSET($BN$9,$CN14+3,0,1,1),IF(AND($H14&gt;2.4,Z14&lt;&gt;"e",Z14&lt;&gt;"f"),DN14*2.4/$H14,DN14),0)))))*COS(RADIANS($G14)))</f>
        <v>0</v>
      </c>
      <c r="DK14" s="51"/>
      <c r="DL14" s="51">
        <f ca="1">IF(DG14&gt;$CR14,$CR14,DG14)</f>
        <v>0</v>
      </c>
      <c r="DM14" s="51"/>
      <c r="DN14" s="51">
        <f ca="1">IF(DI14&gt;$CR14,$CR14,DI14)</f>
        <v>0</v>
      </c>
      <c r="DO14" s="435">
        <f ca="1">IF(DH14&gt;$CR14,$CR14,DH14)</f>
        <v>0</v>
      </c>
      <c r="DP14" s="435">
        <f ca="1">DO14*F14</f>
        <v>0</v>
      </c>
      <c r="DQ14" s="436">
        <f ca="1">IF(DJ14&gt;$CR14,$CR14,DJ14)</f>
        <v>0</v>
      </c>
      <c r="DR14" s="437">
        <f ca="1">DQ14*F14</f>
        <v>0</v>
      </c>
      <c r="DS14" s="426">
        <f ca="1">OFFSET($CH$9,CL14-1,-15,1,1)</f>
        <v>0</v>
      </c>
      <c r="DT14" s="426">
        <f ca="1">VLOOKUP(DS14,Prodlink,2,0)</f>
        <v>0</v>
      </c>
      <c r="DU14" s="188">
        <f ca="1">IF(F14&lt;OFFSET($BM$9,DT14-1,0,1,1),0,IF(F14&lt;OFFSET($BN$9,DT14-1,0,1,1),((F14-OFFSET($BM$9,DT14-1,0,1,1))*OFFSET($CH$9,DT14-1,0,1,1))+OFFSET($BO$9,DT14-1,CQ14,1,1),IF(F14&lt;OFFSET($BN$9,DT14+0,0,1,1),((F14-OFFSET($BM$9,DT14+0,0,1,1))*OFFSET($CH$9,DT14+0,0,1,1))+OFFSET($BO$9,DT14+0,CQ14,1,1),IF(F14&lt;OFFSET($BN$9,DT14+1,0,1,1),((F14-OFFSET($BM$9,DT14+1,0,1,1))*OFFSET($CH$9,DT14+1,0,1,1))+OFFSET($BO$9,DT14+1,CQ14,1,1),IF(F14&lt;OFFSET($BN$9,DT14+2,0,1,1),((F14-OFFSET($BM$9,DT14+2,0,1,1))*OFFSET($CH$9,DT14+2,0,1,1))+OFFSET($BO$9,DT14+2,CQ14,1,1),IF(F14&lt;OFFSET($BN$9,DT14+3,0,1,1),((F14-OFFSET($BM$9,DT14+3,0,1,1))*OFFSET($CH$9,DT14+3,0,1,1))+OFFSET($BO$9,DT14+3,CQ14,1,1),0))))))</f>
        <v>0</v>
      </c>
      <c r="DV14" s="51">
        <f ca="1">IF($F14&lt;OFFSET($BM$9,$DT14-1,0,1,1),0,IF($F14&lt;OFFSET($BN$9,$DT14-1,0,1,1),IF(AND($H14&gt;2.4,Z14&lt;&gt;"e",Z14&lt;&gt;"f"),DZ14*2.4/$H14,DZ14),IF($F14&lt;OFFSET($BN$9,$DT14+0,0,1,1),IF(AND($H14&gt;2.4,Z14&lt;&gt;"e",Z14&lt;&gt;"f"),DZ14*2.4/$H14,DZ14),IF($F14&lt;OFFSET($BN$9,$DT14+1,0,1,1),IF(AND($H14&gt;2.4,Z14&lt;&gt;"e",Z14&lt;&gt;"f"),DZ14*2.4/$H14,DZ14),IF($F14&lt;OFFSET($BN$9,$DT14+2,0,1,1),IF(AND($H14&gt;2.4,Z14&lt;&gt;"e",Z14&lt;&gt;"f"),DZ14*2.4/$H14,DZ14),IF($F14&lt;OFFSET($BN$9,$DT14+3,0,1,1),IF(AND($H14&gt;2.4,Z14&lt;&gt;"e",Z14&lt;&gt;"f"),DZ14*2.4/$H14,DZ14),0)))))*COS(RADIANS($G14)))</f>
        <v>0</v>
      </c>
      <c r="DW14" s="188">
        <f ca="1">IF(F14&lt;OFFSET($BM$9,DT14-1,0,1,1),0,IF(F14&lt;OFFSET($BN$9,DT14-1,0,1,1),((F14-OFFSET($BM$9,DT14-1,0,1,1))*OFFSET($CI$9,DT14-1,0,1,1))+OFFSET($BP$9,DT14-1,CQ14,1,1),IF(F14&lt;OFFSET($BN$9,DT14+0,0,1,1),((F14-OFFSET($BM$9,DT14+0,0,1,1))*OFFSET($CI$9,DT14+0,0,1,1))+OFFSET($BP$9,DT14+0,CQ14,1,1),IF(F14&lt;OFFSET($BN$9,DT14+1,0,1,1),((F14-OFFSET($BM$9,DT14+1,0,1,1))*OFFSET($CI$9,DT14+1,0,1,1))+OFFSET($BP$9,DT14+1,CQ14,1,1),IF(F14&lt;OFFSET($BN$9,DT14+2,0,1,1),((F14-OFFSET($BM$9,DT14+2,0,1,1))*OFFSET($CI$9,DT14+2,0,1,1))+OFFSET($BP$9,DT14+2,CQ14,1,1),IF(F14&lt;OFFSET($BN$9,DT14+3,0,1,1),((F14-OFFSET($BM$9,DT14+3,0,1,1))*OFFSET($CI$9,DT14+3,0,1,1))+OFFSET($BP$9,DT14+3,CQ14,1,1),0))))))</f>
        <v>0</v>
      </c>
      <c r="DX14" s="51">
        <f ca="1">IF($F14&lt;OFFSET($BM$9,$DT14-1,0,1,1),0,IF($F14&lt;OFFSET($BN$9,$DT14-1,0,1,1),IF(AND($H14&gt;2.4,Z14&lt;&gt;"e",Z14&lt;&gt;"f"),EB14*2.4/$H14,EB14),IF($F14&lt;OFFSET($BN$9,$DT14+0,0,1,1),IF(AND($H14&gt;2.4,Z14&lt;&gt;"e",Z14&lt;&gt;"f"),EB14*2.4/$H14,EB14),IF($F14&lt;OFFSET($BN$9,$DT14+1,0,1,1),IF(AND($H14&gt;2.4,Z14&lt;&gt;"e",Z14&lt;&gt;"f"),EB14*2.4/$H14,EB14),IF($F14&lt;OFFSET($BN$9,$DT14+2,0,1,1),IF(AND($H14&gt;2.4,Z14&lt;&gt;"e",Z14&lt;&gt;"f"),EB14*2.4/$H14,EB14),IF($F14&lt;OFFSET($BN$9,$DT14+3,0,1,1),IF(AND($H14&gt;2.4,Z14&lt;&gt;"e",Z14&lt;&gt;"f"),EB14*2.4/$H14,EB14),0)))))*COS(RADIANS($G14)))</f>
        <v>0</v>
      </c>
      <c r="DY14" s="188"/>
      <c r="DZ14" s="188">
        <f ca="1">IF(DU14&gt;$CR14,$CR14,DU14)</f>
        <v>0</v>
      </c>
      <c r="EA14" s="188"/>
      <c r="EB14" s="188">
        <f ca="1">IF(DW14&gt;$CR14,$CR14,DW14)</f>
        <v>0</v>
      </c>
      <c r="EC14" s="435">
        <f ca="1">IF(DV14&gt;$CR14,$CR14,DV14)</f>
        <v>0</v>
      </c>
      <c r="ED14" s="435">
        <f ca="1">EC14*F14</f>
        <v>0</v>
      </c>
      <c r="EE14" s="436">
        <f ca="1">IF(DX14&gt;$CR14,$CR14,DX14)</f>
        <v>0</v>
      </c>
      <c r="EF14" s="437">
        <f ca="1">EE14*F14</f>
        <v>0</v>
      </c>
      <c r="EG14" s="613" t="str">
        <f>IF(D14=BG$12,BG$12,"")</f>
        <v/>
      </c>
      <c r="EH14" s="614" t="str">
        <f>IF(D14=BG$13,BG$13,"")</f>
        <v/>
      </c>
      <c r="EI14" s="611">
        <f>IF(EG14=BG$12,M14,0)</f>
        <v>0</v>
      </c>
      <c r="EJ14" s="451">
        <f>IF(EG14=BG$12,O14,0)</f>
        <v>0</v>
      </c>
      <c r="EK14" s="451">
        <f>IF(EH14=BG$13,M14,0)</f>
        <v>0</v>
      </c>
      <c r="EL14" s="612">
        <f>IF(EH14=BG$13,O14,0)</f>
        <v>0</v>
      </c>
      <c r="EM14" s="426" t="str">
        <f ca="1">IF(AND(Z14&lt;&gt;"t",Z14&lt;&gt;"f"),"",IF(AND(EN14=$BH$13,K14=$BH$12),"NotOpt",IF(K14&lt;&gt;EN14,"Error","")))</f>
        <v/>
      </c>
      <c r="EN14" s="490" t="str">
        <f>IF($BG$28=1,$BH$13,$BH$12)</f>
        <v>120 BU's</v>
      </c>
      <c r="EO14" s="426" t="str">
        <f>K14</f>
        <v xml:space="preserve"> </v>
      </c>
      <c r="EP14" s="430">
        <v>1</v>
      </c>
      <c r="EQ14" s="430" t="str">
        <f ca="1">IF(EP14=1," ",OFFSET(BF$16,EP14-2,0,1,1))</f>
        <v xml:space="preserve"> </v>
      </c>
      <c r="ER14" s="439" t="str">
        <f ca="1">IF(H14=0," ",H14)</f>
        <v xml:space="preserve"> </v>
      </c>
      <c r="ES14" s="440" t="str">
        <f ca="1">IF(ER14&lt;&gt;" ",IF(ER14&lt;&gt;ER$7,"Changed",""),"")</f>
        <v/>
      </c>
      <c r="ET14" s="440">
        <f ca="1">IF(ER14&lt;&gt;" ",IF(ER14&lt;&gt;ER$7,1,0),0)</f>
        <v>0</v>
      </c>
      <c r="EU14" s="957" t="str">
        <f ca="1">IF(I14=" "," ",IF(F14&lt;OFFSET($BM$9,CL14-1,0,1,1),1,""))</f>
        <v xml:space="preserve"> </v>
      </c>
      <c r="EW14" s="427"/>
      <c r="EX14"/>
      <c r="EY14"/>
      <c r="EZ14"/>
      <c r="FA14"/>
    </row>
    <row r="15" spans="1:157" ht="17.100000000000001" customHeight="1">
      <c r="B15" s="689" t="s">
        <v>246</v>
      </c>
      <c r="C15" s="684" t="str">
        <f>IF(OR(F15=0,I15="",I15=" ")," ",$V15)</f>
        <v xml:space="preserve"> </v>
      </c>
      <c r="D15" s="1361"/>
      <c r="E15" s="1034"/>
      <c r="F15" s="202"/>
      <c r="G15" s="1416"/>
      <c r="H15" s="199" t="str">
        <f ca="1">IF(OR(F15=0,Z15="E",Z15="f")," ",'Project Demand'!E$45)</f>
        <v xml:space="preserve"> </v>
      </c>
      <c r="I15" s="631" t="str">
        <f>IF($I$6&lt;&gt;$BG$8," ",AB15)</f>
        <v xml:space="preserve"> </v>
      </c>
      <c r="J15" s="44" t="str">
        <f ca="1">IF(OR(I15=" ",I15="")," ",OFFSET($BO$9,CL15-1,0-4,1,1))</f>
        <v xml:space="preserve"> </v>
      </c>
      <c r="K15" s="55" t="str">
        <f>IF(OR(I15=" ",I15="")," ",IF(OR(Z15="e",Z15="h"),"SD",BG$24))</f>
        <v xml:space="preserve"> </v>
      </c>
      <c r="L15" s="49">
        <f ca="1">CW15</f>
        <v>0</v>
      </c>
      <c r="M15" s="49">
        <f ca="1">CY15</f>
        <v>0</v>
      </c>
      <c r="N15" s="50">
        <f t="shared" ca="1" si="15"/>
        <v>0</v>
      </c>
      <c r="O15" s="126">
        <f t="shared" ca="1" si="15"/>
        <v>0</v>
      </c>
      <c r="P15" s="140"/>
      <c r="Q15" s="752" t="str">
        <f ca="1">IF(AND(OR(Z15="t",Z15="f"),K15=$BH$11),"No Floor!  Change Floor Type",IF(OR(I15=" ",I15="")," ",IF(F15&lt;OFFSET($BM$9,CL15-1,0,1,1),"check L(m)",DE15&amp;IF(AND(DP15&gt;=CY15,DR15&gt;=DB15),IF(AND(ED15&gt;=DP15,EF15&gt;=DR15),CONCATENATE(DS15," will provide same result"),CONCATENATE(CO15," will provide same result")),IF((DP15&gt;=CY15),CONCATENATE(CO15," provides same result in WIND"),IF((DR15&gt;=DB15),CONCATENATE(CO15," provides same result in EQ"),""))))))&amp;IF(ISERROR(FIND("pile",I15,1)),"",IF(INT(F15)&lt;&gt;F15,"Pile!  Use Whole Numbers Only",""))</f>
        <v xml:space="preserve"> </v>
      </c>
      <c r="R15" s="52"/>
      <c r="S15" s="1372"/>
      <c r="T15" s="52"/>
      <c r="U15" s="1377"/>
      <c r="V15" s="52" t="str">
        <f ca="1">IF(AND(B$5=$BF$9,OR(I15=BH$16,I15=BH$17))," ",IF(ISNUMBER(B$14),(CONCATENATE(B$14,".",W15)),(CONCATENATE(B$14,W15))))</f>
        <v>N0</v>
      </c>
      <c r="W15" s="9">
        <f ca="1">W14+X15</f>
        <v>0</v>
      </c>
      <c r="X15" s="9">
        <f>IF(AND(B$5=$BF$9,OR($I15=$BH$16,$I15=$BH$17,$I15=" ",$I15="",$F15=0)),0,IF(OR($I15=" ",$I15="",$F15=0),0,1))</f>
        <v>0</v>
      </c>
      <c r="Y15" s="896"/>
      <c r="Z15" s="52" t="str">
        <f ca="1">IF(I15=" "," ",OFFSET($BM$9,$CL15-1,8,1,1))</f>
        <v xml:space="preserve"> </v>
      </c>
      <c r="AA15" s="51" t="str">
        <f>IF(G15&gt;=45,"WA","")</f>
        <v/>
      </c>
      <c r="AB15" s="1364" t="str">
        <f>IF(F15&lt;&gt;"",IF(OR(D15=$BG$12,D15=$BG$13),IF(E15&lt;&gt;$BG$17,$BF$12,$BF$13),IF(E15&lt;&gt;$BG$17,$BF$12,$BF$13))," ")</f>
        <v xml:space="preserve"> </v>
      </c>
      <c r="AC15" s="1"/>
      <c r="AJ15" s="2230"/>
      <c r="AK15" s="2793"/>
      <c r="AL15" s="2784"/>
      <c r="AM15" s="11">
        <f>'Regular and QuickBrace Systems'!F29</f>
        <v>1.2</v>
      </c>
      <c r="AN15" s="1336">
        <f>'Regular and QuickBrace Systems'!G29</f>
        <v>72</v>
      </c>
      <c r="AO15" s="26">
        <f>'Regular and QuickBrace Systems'!H29</f>
        <v>64</v>
      </c>
      <c r="AP15" s="1595"/>
      <c r="AQ15" s="2663"/>
      <c r="AR15" s="2664"/>
      <c r="AS15" s="2031"/>
      <c r="AT15" s="1339"/>
      <c r="AU15" s="2090"/>
      <c r="AW15" s="1569" t="str">
        <f>'Regular and QuickBrace Systems'!O29</f>
        <v>Yes</v>
      </c>
      <c r="AX15" s="442" t="str">
        <f>'Regular and QuickBrace Systems'!Q29</f>
        <v>No</v>
      </c>
      <c r="BA15"/>
      <c r="BB15"/>
      <c r="BC15"/>
      <c r="BD15" s="2667"/>
      <c r="BF15" s="598" t="str">
        <f>Table!AI73</f>
        <v>ES-N</v>
      </c>
      <c r="BG15" s="1029" t="s">
        <v>8</v>
      </c>
      <c r="BI15" s="759"/>
      <c r="BJ15" s="897">
        <f t="shared" si="3"/>
        <v>7</v>
      </c>
      <c r="BK15" s="769" t="str">
        <f t="shared" si="6"/>
        <v xml:space="preserve">  </v>
      </c>
      <c r="BL15" s="771" t="str">
        <f t="shared" si="7"/>
        <v>Custom4</v>
      </c>
      <c r="BM15" s="455">
        <f t="shared" si="8"/>
        <v>9.9999999999999996E-76</v>
      </c>
      <c r="BN15" s="455">
        <v>999</v>
      </c>
      <c r="BO15" s="455">
        <f t="shared" si="9"/>
        <v>0</v>
      </c>
      <c r="BP15" s="925">
        <f t="shared" si="10"/>
        <v>0</v>
      </c>
      <c r="BR15" s="764"/>
      <c r="BS15" s="455"/>
      <c r="BT15" s="455" t="str">
        <f t="shared" si="11"/>
        <v>B</v>
      </c>
      <c r="BU15" s="925" t="str">
        <f t="shared" si="12"/>
        <v>T</v>
      </c>
      <c r="BV15" s="1239" t="str">
        <f t="shared" si="13"/>
        <v>Custom4</v>
      </c>
      <c r="BW15" s="1236">
        <f t="shared" si="16"/>
        <v>7</v>
      </c>
      <c r="BX15" s="925" t="str">
        <f t="shared" si="14"/>
        <v>Single</v>
      </c>
      <c r="CH15" s="764">
        <f t="shared" si="4"/>
        <v>0</v>
      </c>
      <c r="CI15" s="925">
        <f t="shared" si="5"/>
        <v>0</v>
      </c>
      <c r="CJ15" s="759"/>
      <c r="CK15" s="188"/>
      <c r="CL15" s="979">
        <f>VLOOKUP(I15,Prodlink,2,0)</f>
        <v>0</v>
      </c>
      <c r="CN15" s="497">
        <f ca="1">VLOOKUP(CO15,Prodlink,2,0)</f>
        <v>0</v>
      </c>
      <c r="CO15" s="497">
        <f ca="1">OFFSET($CH$9,CL15-1,-15,1,1)</f>
        <v>0</v>
      </c>
      <c r="CQ15" s="51">
        <v>0</v>
      </c>
      <c r="CR15" s="51">
        <f>IF(K15=$BH$12,$BH$23,IF(K15=$BH$13,$BH$24,10000))</f>
        <v>10000</v>
      </c>
      <c r="CS15" s="51">
        <f ca="1">IF(F15&lt;OFFSET($BM$9,CL15-1,0,1,1),0,IF(F15&lt;OFFSET($BN$9,CL15-1,0,1,1),((F15-OFFSET($BM$9,CL15-1,0,1,1))*OFFSET($CH$9,CL15-1,0,1,1))+OFFSET($BO$9,CL15-1,CQ15,1,1),IF(F15&lt;OFFSET($BN$9,CL15+0,0,1,1),((F15-OFFSET($BM$9,CL15+0,0,1,1))*OFFSET($CH$9,CL15+0,0,1,1))+OFFSET($BO$9,CL15+0,CQ15,1,1),IF(F15&lt;OFFSET($BN$9,CL15+1,0,1,1),((F15-OFFSET($BM$9,CL15+1,0,1,1))*OFFSET($CH$9,CL15+1,0,1,1))+OFFSET($BO$9,CL15+1,CQ15,1,1),IF(F15&lt;OFFSET($BN$9,CL15+2,0,1,1),((F15-OFFSET($BM$9,CL15+2,0,1,1))*OFFSET($CH$9,CL15+2,0,1,1))+OFFSET($BO$9,CL15+2,CQ15,1,1),IF(F15&lt;OFFSET($BN$9,CL15+3,0,1,1),((F15-OFFSET($BM$9,CL15+3,0,1,1))*OFFSET($CH$9,CL15+3,0,1,1))+OFFSET($BO$9,CL15+3,CQ15,1,1),0))))))</f>
        <v>0</v>
      </c>
      <c r="CT15" s="51">
        <f ca="1">IF($F15&lt;OFFSET($BM$9,$CL15-1,0,1,1),0,IF($F15&lt;OFFSET($BN$9,$CL15-1,0,1,1),IF(AND($H15&gt;2.4,Z15&lt;&gt;"e",Z15&lt;&gt;"f"),CX15*2.4/$H15,CX15),IF($F15&lt;OFFSET($BN$9,$CL15+0,0,1,1),IF(AND($H15&gt;2.4,Z15&lt;&gt;"e",Z15&lt;&gt;"f"),CX15*2.4/$H15,CX15),IF($F15&lt;OFFSET($BN$9,$CL15+1,0,1,1),IF(AND($H15&gt;2.4,Z15&lt;&gt;"e",Z15&lt;&gt;"f"),CX15*2.4/$H15,CX15),IF($F15&lt;OFFSET($BN$9,CL15+2,0,1,1),IF(AND($H15&gt;2.4,Z15&lt;&gt;"e",Z15&lt;&gt;"f"),CX15*2.4/$H15,CX15),IF($F15&lt;OFFSET($BN$9,CL15+3,0,1,1),IF(AND($H15&gt;2.4,Z15&lt;&gt;"e",Z15&lt;&gt;"f"),CX15*2.4/$H15,CX15),0)))))*COS(RADIANS($G15)))</f>
        <v>0</v>
      </c>
      <c r="CU15" s="51">
        <f ca="1">IF(F15&lt;OFFSET($BM$9,CL15-1,0,1,1),0,IF(F15&lt;OFFSET($BN$9,CL15-1,0,1,1),((F15-OFFSET($BM$9,CL15-1,0,1,1))*OFFSET($CI$9,CL15-1,0,1,1))+OFFSET($BP$9,CL15-1,CQ15,1,1),IF(F15&lt;OFFSET($BN$9,CL15+0,0,1,1),((F15-OFFSET($BM$9,CL15+0,0,1,1))*OFFSET($CI$9,CL15+0,0,1,1))+OFFSET($BP$9,CL15+0,CQ15,1,1),IF(F15&lt;OFFSET($BN$9,CL15+1,0,1,1),((F15-OFFSET($BM$9,CL15+1,0,1,1))*OFFSET($CI$9,CL15+1,0,1,1))+OFFSET($BP$9,CL15+1,CQ15,1,1),IF(F15&lt;OFFSET($BN$9,CL15+2,0,1,1),((F15-OFFSET($BM$9,CL15+2,0,1,1))*OFFSET($CI$9,CL15+2,0,1,1))+OFFSET($BP$9,CL15+2,CQ15,1,1),IF(F15&lt;OFFSET($BN$9,CL15+3,0,1,1),((F15-OFFSET($BM$9,CL15+3,0,1,1))*OFFSET($CI$9,CL15+3,0,1,1))+OFFSET($BP$9,CL15+3,CQ15,1,1),0))))))</f>
        <v>0</v>
      </c>
      <c r="CV15" s="51">
        <f ca="1">IF($F15&lt;OFFSET($BM$9,$CL15-1,0,1,1),0,IF($F15&lt;OFFSET($BN$9,$CL15-1,0,1,1),IF(AND($H15&gt;2.4,Z15&lt;&gt;"e",Z15&lt;&gt;"f"),CZ15*2.4/$H15,CZ15),IF($F15&lt;OFFSET($BN$9,$CL15+0,0,1,1),IF(AND($H15&gt;2.4,Z15&lt;&gt;"e",Z15&lt;&gt;"f"),CZ15*2.4/$H15,CZ15),IF($F15&lt;OFFSET($BN$9,$CL15+1,0,1,1),IF(AND($H15&gt;2.4,Z15&lt;&gt;"e",Z15&lt;&gt;"f"),CZ15*2.4/$H15,CZ15),IF($F15&lt;OFFSET($BN$9,$CL15+2,0,1,1),IF(AND($H15&gt;2.4,Z15&lt;&gt;"e",Z15&lt;&gt;"f"),CZ15*2.4/$H15,CZ15),IF($F15&lt;OFFSET($BN$9,$CL15+3,0,1,1),IF(AND($H15&gt;2.4,Z15&lt;&gt;"e",Z15&lt;&gt;"f"),CZ15*2.4/$H15,CZ15),0)))))*COS(RADIANS($G15)))</f>
        <v>0</v>
      </c>
      <c r="CW15" s="51">
        <f ca="1">IF(CT15&gt;CR15,CR15,CT15)</f>
        <v>0</v>
      </c>
      <c r="CX15" s="51">
        <f ca="1">IF(CS15&gt;$CR15,$CR15,CS15)</f>
        <v>0</v>
      </c>
      <c r="CY15" s="51">
        <f ca="1">CW15*F15</f>
        <v>0</v>
      </c>
      <c r="CZ15" s="51">
        <f ca="1">IF($CU15&gt;$CR15,$CR15,$CU15)</f>
        <v>0</v>
      </c>
      <c r="DA15" s="51">
        <f ca="1">IF(CV15&gt;CR15,CR15,CV15)</f>
        <v>0</v>
      </c>
      <c r="DB15" s="51">
        <f ca="1">DA15*F15</f>
        <v>0</v>
      </c>
      <c r="DC15" s="993">
        <v>1</v>
      </c>
      <c r="DD15" s="758" t="str">
        <f>IF(OR(D15=BG$12,D15=BG$13),"External",IF(D15=BG$14,"Internal"," "))</f>
        <v xml:space="preserve"> </v>
      </c>
      <c r="DE15" s="51" t="str">
        <f t="shared" ca="1" si="1"/>
        <v/>
      </c>
      <c r="DF15" s="52" t="str">
        <f t="shared" ca="1" si="2"/>
        <v xml:space="preserve"> </v>
      </c>
      <c r="DG15" s="51">
        <f ca="1">IF(F15&lt;OFFSET($BM$9,CN15-1,0,1,1),0,IF(F15&lt;OFFSET($BN$9,CN15-1,0,1,1),((F15-OFFSET($BM$9,CN15-1,0,1,1))*OFFSET($CH$9,CN15-1,0,1,1))+OFFSET($BO$9,CN15-1,CQ15,1,1),IF(F15&lt;OFFSET($BN$9,CN15+0,0,1,1),((F15-OFFSET($BM$9,CN15+0,0,1,1))*OFFSET($CH$9,CN15+0,0,1,1))+OFFSET($BO$9,CN15+0,CQ15,1,1),IF(F15&lt;OFFSET($BN$9,CN15+1,0,1,1),((F15-OFFSET($BM$9,CN15+1,0,1,1))*OFFSET($CH$9,CN15+1,0,1,1))+OFFSET($BO$9,CN15+1,CQ15,1,1),IF(F15&lt;OFFSET($BN$9,CN15+2,0,1,1),((F15-OFFSET($BM$9,CN15+2,0,1,1))*OFFSET($CH$9,CN15+2,0,1,1))+OFFSET($BO$9,CN15+2,CQ15,1,1),IF(F15&lt;OFFSET($BN$9,CN15+3,0,1,1),((F15-OFFSET($BM$9,CN15+3,0,1,1))*OFFSET($CH$9,CN15+3,0,1,1))+OFFSET($BO$9,CN15+3,CQ15,1,1),0))))))</f>
        <v>0</v>
      </c>
      <c r="DH15" s="51">
        <f ca="1">IF($F15&lt;OFFSET($BM$9,$CN15-1,0,1,1),0,IF($F15&lt;OFFSET($BN$9,$CN15-1,0,1,1),IF(AND($H15&gt;2.4,Z15&lt;&gt;"e",Z15&lt;&gt;"f"),DL15*2.4/$H15,DL15),IF($F15&lt;OFFSET($BN$9,$CN15+0,0,1,1),IF(AND($H15&gt;2.4,Z15&lt;&gt;"e",Z15&lt;&gt;"f"),DL15*2.4/$H15,DL15),IF($F15&lt;OFFSET($BN$9,$CN15+1,0,1,1),IF(AND($H15&gt;2.4,Z15&lt;&gt;"e",Z15&lt;&gt;"f"),DL15*2.4/$H15,DL15),IF($F15&lt;OFFSET($BN$9,$CN15+2,0,1,1),IF(AND($H15&gt;2.4,Z15&lt;&gt;"e",Z15&lt;&gt;"f"),DL15*2.4/$H15,DL15),IF($F15&lt;OFFSET($BN$9,$CN15+3,0,1,1),IF(AND($H15&gt;2.4,Z15&lt;&gt;"e",Z15&lt;&gt;"f"),DL15*2.4/$H15,DL15),0)))))*COS(RADIANS($G15)))</f>
        <v>0</v>
      </c>
      <c r="DI15" s="51">
        <f ca="1">IF(F15&lt;OFFSET($BM$9,CN15-1,0,1,1),0,IF(F15&lt;OFFSET($BN$9,CN15-1,0,1,1),((F15-OFFSET($BM$9,CN15-1,0,1,1))*OFFSET($CI$9,CN15-1,0,1,1))+OFFSET($BP$9,CN15-1,CQ15,1,1),IF(F15&lt;OFFSET($BN$9,CN15+0,0,1,1),((F15-OFFSET($BM$9,CN15+0,0,1,1))*OFFSET($CI$9,CN15+0,0,1,1))+OFFSET($BP$9,CN15+0,CQ15,1,1),IF(F15&lt;OFFSET($BN$9,CN15+1,0,1,1),((F15-OFFSET($BM$9,CN15+1,0,1,1))*OFFSET($CI$9,CN15+1,0,1,1))+OFFSET($BP$9,CN15+1,CQ15,1,1),IF(F15&lt;OFFSET($BN$9,CN15+2,0,1,1),((F15-OFFSET($BM$9,CN15+2,0,1,1))*OFFSET($CI$9,CN15+2,0,1,1))+OFFSET($BP$9,CN15+2,CQ15,1,1),IF(F15&lt;OFFSET($BN$9,CN15+3,0,1,1),((F15-OFFSET($BM$9,CN15+3,0,1,1))*OFFSET($CI$9,CN15+3,0,1,1))+OFFSET($BP$9,CN15+3,CQ15,1,1),0))))))</f>
        <v>0</v>
      </c>
      <c r="DJ15" s="51">
        <f ca="1">IF($F15&lt;OFFSET($BM$9,$CN15-1,0,1,1),0,IF($F15&lt;OFFSET($BN$9,$CN15-1,0,1,1),IF(AND($H15&gt;2.4,Z15&lt;&gt;"e",Z15&lt;&gt;"f"),DN15*2.4/$H15,DN15),IF($F15&lt;OFFSET($BN$9,$CN15+0,0,1,1),IF(AND($H15&gt;2.4,Z15&lt;&gt;"e",Z15&lt;&gt;"f"),DN15*2.4/$H15,DN15),IF($F15&lt;OFFSET($BN$9,$CN15+1,0,1,1),IF(AND($H15&gt;2.4,Z15&lt;&gt;"e",Z15&lt;&gt;"f"),DN15*2.4/$H15,DN15),IF($F15&lt;OFFSET($BN$9,$CN15+2,0,1,1),IF(AND($H15&gt;2.4,Z15&lt;&gt;"e",Z15&lt;&gt;"f"),DN15*2.4/$H15,DN15),IF($F15&lt;OFFSET($BN$9,$CN15+3,0,1,1),IF(AND($H15&gt;2.4,Z15&lt;&gt;"e",Z15&lt;&gt;"f"),DN15*2.4/$H15,DN15),0)))))*COS(RADIANS($G15)))</f>
        <v>0</v>
      </c>
      <c r="DK15" s="51"/>
      <c r="DL15" s="51">
        <f ca="1">IF(DG15&gt;$CR15,$CR15,DG15)</f>
        <v>0</v>
      </c>
      <c r="DM15" s="51"/>
      <c r="DN15" s="51">
        <f ca="1">IF(DI15&gt;$CR15,$CR15,DI15)</f>
        <v>0</v>
      </c>
      <c r="DO15" s="435">
        <f ca="1">IF(DH15&gt;$CR15,$CR15,DH15)</f>
        <v>0</v>
      </c>
      <c r="DP15" s="435">
        <f ca="1">DO15*F15</f>
        <v>0</v>
      </c>
      <c r="DQ15" s="436">
        <f ca="1">IF(DJ15&gt;$CR15,$CR15,DJ15)</f>
        <v>0</v>
      </c>
      <c r="DR15" s="437">
        <f ca="1">DQ15*F15</f>
        <v>0</v>
      </c>
      <c r="DS15" s="426">
        <f ca="1">OFFSET($CH$9,CL15-1,-15,1,1)</f>
        <v>0</v>
      </c>
      <c r="DT15" s="426">
        <f ca="1">VLOOKUP(DS15,Prodlink,2,0)</f>
        <v>0</v>
      </c>
      <c r="DU15" s="188">
        <f ca="1">IF(F15&lt;OFFSET($BM$9,DT15-1,0,1,1),0,IF(F15&lt;OFFSET($BN$9,DT15-1,0,1,1),((F15-OFFSET($BM$9,DT15-1,0,1,1))*OFFSET($CH$9,DT15-1,0,1,1))+OFFSET($BO$9,DT15-1,CQ15,1,1),IF(F15&lt;OFFSET($BN$9,DT15+0,0,1,1),((F15-OFFSET($BM$9,DT15+0,0,1,1))*OFFSET($CH$9,DT15+0,0,1,1))+OFFSET($BO$9,DT15+0,CQ15,1,1),IF(F15&lt;OFFSET($BN$9,DT15+1,0,1,1),((F15-OFFSET($BM$9,DT15+1,0,1,1))*OFFSET($CH$9,DT15+1,0,1,1))+OFFSET($BO$9,DT15+1,CQ15,1,1),IF(F15&lt;OFFSET($BN$9,DT15+2,0,1,1),((F15-OFFSET($BM$9,DT15+2,0,1,1))*OFFSET($CH$9,DT15+2,0,1,1))+OFFSET($BO$9,DT15+2,CQ15,1,1),IF(F15&lt;OFFSET($BN$9,DT15+3,0,1,1),((F15-OFFSET($BM$9,DT15+3,0,1,1))*OFFSET($CH$9,DT15+3,0,1,1))+OFFSET($BO$9,DT15+3,CQ15,1,1),0))))))</f>
        <v>0</v>
      </c>
      <c r="DV15" s="51">
        <f ca="1">IF($F15&lt;OFFSET($BM$9,$DT15-1,0,1,1),0,IF($F15&lt;OFFSET($BN$9,$DT15-1,0,1,1),IF(AND($H15&gt;2.4,Z15&lt;&gt;"e",Z15&lt;&gt;"f"),DZ15*2.4/$H15,DZ15),IF($F15&lt;OFFSET($BN$9,$DT15+0,0,1,1),IF(AND($H15&gt;2.4,Z15&lt;&gt;"e",Z15&lt;&gt;"f"),DZ15*2.4/$H15,DZ15),IF($F15&lt;OFFSET($BN$9,$DT15+1,0,1,1),IF(AND($H15&gt;2.4,Z15&lt;&gt;"e",Z15&lt;&gt;"f"),DZ15*2.4/$H15,DZ15),IF($F15&lt;OFFSET($BN$9,$DT15+2,0,1,1),IF(AND($H15&gt;2.4,Z15&lt;&gt;"e",Z15&lt;&gt;"f"),DZ15*2.4/$H15,DZ15),IF($F15&lt;OFFSET($BN$9,$DT15+3,0,1,1),IF(AND($H15&gt;2.4,Z15&lt;&gt;"e",Z15&lt;&gt;"f"),DZ15*2.4/$H15,DZ15),0)))))*COS(RADIANS($G15)))</f>
        <v>0</v>
      </c>
      <c r="DW15" s="188">
        <f ca="1">IF(F15&lt;OFFSET($BM$9,DT15-1,0,1,1),0,IF(F15&lt;OFFSET($BN$9,DT15-1,0,1,1),((F15-OFFSET($BM$9,DT15-1,0,1,1))*OFFSET($CI$9,DT15-1,0,1,1))+OFFSET($BP$9,DT15-1,CQ15,1,1),IF(F15&lt;OFFSET($BN$9,DT15+0,0,1,1),((F15-OFFSET($BM$9,DT15+0,0,1,1))*OFFSET($CI$9,DT15+0,0,1,1))+OFFSET($BP$9,DT15+0,CQ15,1,1),IF(F15&lt;OFFSET($BN$9,DT15+1,0,1,1),((F15-OFFSET($BM$9,DT15+1,0,1,1))*OFFSET($CI$9,DT15+1,0,1,1))+OFFSET($BP$9,DT15+1,CQ15,1,1),IF(F15&lt;OFFSET($BN$9,DT15+2,0,1,1),((F15-OFFSET($BM$9,DT15+2,0,1,1))*OFFSET($CI$9,DT15+2,0,1,1))+OFFSET($BP$9,DT15+2,CQ15,1,1),IF(F15&lt;OFFSET($BN$9,DT15+3,0,1,1),((F15-OFFSET($BM$9,DT15+3,0,1,1))*OFFSET($CI$9,DT15+3,0,1,1))+OFFSET($BP$9,DT15+3,CQ15,1,1),0))))))</f>
        <v>0</v>
      </c>
      <c r="DX15" s="51">
        <f ca="1">IF($F15&lt;OFFSET($BM$9,$DT15-1,0,1,1),0,IF($F15&lt;OFFSET($BN$9,$DT15-1,0,1,1),IF(AND($H15&gt;2.4,Z15&lt;&gt;"e",Z15&lt;&gt;"f"),EB15*2.4/$H15,EB15),IF($F15&lt;OFFSET($BN$9,$DT15+0,0,1,1),IF(AND($H15&gt;2.4,Z15&lt;&gt;"e",Z15&lt;&gt;"f"),EB15*2.4/$H15,EB15),IF($F15&lt;OFFSET($BN$9,$DT15+1,0,1,1),IF(AND($H15&gt;2.4,Z15&lt;&gt;"e",Z15&lt;&gt;"f"),EB15*2.4/$H15,EB15),IF($F15&lt;OFFSET($BN$9,$DT15+2,0,1,1),IF(AND($H15&gt;2.4,Z15&lt;&gt;"e",Z15&lt;&gt;"f"),EB15*2.4/$H15,EB15),IF($F15&lt;OFFSET($BN$9,$DT15+3,0,1,1),IF(AND($H15&gt;2.4,Z15&lt;&gt;"e",Z15&lt;&gt;"f"),EB15*2.4/$H15,EB15),0)))))*COS(RADIANS($G15)))</f>
        <v>0</v>
      </c>
      <c r="DY15" s="188"/>
      <c r="DZ15" s="188">
        <f ca="1">IF(DU15&gt;$CR15,$CR15,DU15)</f>
        <v>0</v>
      </c>
      <c r="EA15" s="188"/>
      <c r="EB15" s="188">
        <f ca="1">IF(DW15&gt;$CR15,$CR15,DW15)</f>
        <v>0</v>
      </c>
      <c r="EC15" s="435">
        <f ca="1">IF(DV15&gt;$CR15,$CR15,DV15)</f>
        <v>0</v>
      </c>
      <c r="ED15" s="435">
        <f ca="1">EC15*F15</f>
        <v>0</v>
      </c>
      <c r="EE15" s="436">
        <f ca="1">IF(DX15&gt;$CR15,$CR15,DX15)</f>
        <v>0</v>
      </c>
      <c r="EF15" s="437">
        <f ca="1">EE15*F15</f>
        <v>0</v>
      </c>
      <c r="EG15" s="613" t="str">
        <f>IF(D15=BG$12,BG$12,"")</f>
        <v/>
      </c>
      <c r="EH15" s="614" t="str">
        <f>IF(D15=BG$13,BG$13,"")</f>
        <v/>
      </c>
      <c r="EI15" s="611">
        <f>IF(EG15=BG$12,M15,0)</f>
        <v>0</v>
      </c>
      <c r="EJ15" s="451">
        <f>IF(EG15=BG$12,O15,0)</f>
        <v>0</v>
      </c>
      <c r="EK15" s="451">
        <f>IF(EH15=BG$13,M15,0)</f>
        <v>0</v>
      </c>
      <c r="EL15" s="612">
        <f>IF(EH15=BG$13,O15,0)</f>
        <v>0</v>
      </c>
      <c r="EM15" s="426" t="str">
        <f ca="1">IF(AND(Z15&lt;&gt;"t",Z15&lt;&gt;"f"),"",IF(AND(EN15=$BH$13,K15=$BH$12),"NotOpt",IF(K15&lt;&gt;EN15,"Error","")))</f>
        <v/>
      </c>
      <c r="EN15" s="490" t="str">
        <f>IF($BG$28=1,$BH$13,$BH$12)</f>
        <v>120 BU's</v>
      </c>
      <c r="EO15" s="426" t="str">
        <f>K15</f>
        <v xml:space="preserve"> </v>
      </c>
      <c r="EP15" s="430">
        <v>1</v>
      </c>
      <c r="EQ15" s="430" t="str">
        <f ca="1">IF(EP15=1," ",OFFSET(BF$16,EP15-2,0,1,1))</f>
        <v xml:space="preserve"> </v>
      </c>
      <c r="ER15" s="439" t="str">
        <f ca="1">IF(H15=0," ",H15)</f>
        <v xml:space="preserve"> </v>
      </c>
      <c r="ES15" s="440" t="str">
        <f ca="1">IF(ER15&lt;&gt;" ",IF(ER15&lt;&gt;ER$7,"Changed",""),"")</f>
        <v/>
      </c>
      <c r="ET15" s="440">
        <f ca="1">IF(ER15&lt;&gt;" ",IF(ER15&lt;&gt;ER$7,1,0),0)</f>
        <v>0</v>
      </c>
      <c r="EU15" s="957" t="str">
        <f ca="1">IF(I15=" "," ",IF(F15&lt;OFFSET($BM$9,CL15-1,0,1,1),1,""))</f>
        <v xml:space="preserve"> </v>
      </c>
      <c r="EW15" s="427"/>
      <c r="EX15"/>
      <c r="EY15"/>
      <c r="EZ15"/>
      <c r="FA15"/>
    </row>
    <row r="16" spans="1:157" ht="17.100000000000001" customHeight="1" thickBot="1">
      <c r="B16" s="689" t="s">
        <v>246</v>
      </c>
      <c r="C16" s="684" t="str">
        <f>IF(OR(F16=0,I16="",I16=" ")," ",$V16)</f>
        <v xml:space="preserve"> </v>
      </c>
      <c r="D16" s="1033" t="s">
        <v>8</v>
      </c>
      <c r="E16" s="1034" t="s">
        <v>8</v>
      </c>
      <c r="F16" s="202"/>
      <c r="G16" s="1416"/>
      <c r="H16" s="199" t="str">
        <f ca="1">IF(OR(F16=0,Z16="E",Z16="f")," ",'Project Demand'!E$45)</f>
        <v xml:space="preserve"> </v>
      </c>
      <c r="I16" s="631" t="str">
        <f>IF($I$6&lt;&gt;$BG$8," ",AB16)</f>
        <v xml:space="preserve"> </v>
      </c>
      <c r="J16" s="44" t="str">
        <f ca="1">IF(OR(I16=" ",I16="")," ",OFFSET($BO$9,CL16-1,0-4,1,1))</f>
        <v xml:space="preserve"> </v>
      </c>
      <c r="K16" s="55" t="str">
        <f>IF(OR(I16=" ",I16="")," ",IF(OR(Z16="e",Z16="h"),"SD",BG$24))</f>
        <v xml:space="preserve"> </v>
      </c>
      <c r="L16" s="49">
        <f ca="1">CW16</f>
        <v>0</v>
      </c>
      <c r="M16" s="49">
        <f ca="1">CY16</f>
        <v>0</v>
      </c>
      <c r="N16" s="50">
        <f t="shared" ca="1" si="15"/>
        <v>0</v>
      </c>
      <c r="O16" s="126">
        <f t="shared" ca="1" si="15"/>
        <v>0</v>
      </c>
      <c r="P16" s="140"/>
      <c r="Q16" s="752" t="str">
        <f ca="1">IF(AND(OR(Z16="t",Z16="f"),K16=$BH$11),"No Floor!  Change Floor Type",IF(OR(I16=" ",I16="")," ",IF(F16&lt;OFFSET($BM$9,CL16-1,0,1,1),"check L(m)",DE16&amp;IF(AND(DP16&gt;=CY16,DR16&gt;=DB16),IF(AND(ED16&gt;=DP16,EF16&gt;=DR16),CONCATENATE(DS16," will provide same result"),CONCATENATE(CO16," will provide same result")),IF((DP16&gt;=CY16),CONCATENATE(CO16," provides same result in WIND"),IF((DR16&gt;=DB16),CONCATENATE(CO16," provides same result in EQ"),""))))))&amp;IF(ISERROR(FIND("pile",I16,1)),"",IF(INT(F16)&lt;&gt;F16,"Pile!  Use Whole Numbers Only",""))</f>
        <v xml:space="preserve"> </v>
      </c>
      <c r="R16" s="52"/>
      <c r="S16" s="1372"/>
      <c r="T16" s="52"/>
      <c r="U16" s="1377"/>
      <c r="V16" s="52" t="str">
        <f ca="1">IF(AND(B$5=$BF$9,OR(I16=BH$16,I16=BH$17))," ",IF(ISNUMBER(B$14),(CONCATENATE(B$14,".",W16)),(CONCATENATE(B$14,W16))))</f>
        <v>N0</v>
      </c>
      <c r="W16" s="9">
        <f ca="1">W15+X16</f>
        <v>0</v>
      </c>
      <c r="X16" s="9">
        <f>IF(AND(B$5=$BF$9,OR($I16=$BH$16,$I16=$BH$17,$I16=" ",$I16="",$F16=0)),0,IF(OR($I16=" ",$I16="",$F16=0),0,1))</f>
        <v>0</v>
      </c>
      <c r="Y16" s="896"/>
      <c r="Z16" s="52" t="str">
        <f ca="1">IF(I16=" "," ",OFFSET($BM$9,$CL16-1,8,1,1))</f>
        <v xml:space="preserve"> </v>
      </c>
      <c r="AA16" s="51" t="str">
        <f>IF(G16&gt;=45,"WA","")</f>
        <v/>
      </c>
      <c r="AB16" s="1364" t="str">
        <f>IF(F16&lt;&gt;"",IF(OR(D16=$BG$12,D16=$BG$13),IF(E16&lt;&gt;$BG$17,$BF$12,$BF$13),IF(E16&lt;&gt;$BG$17,$BF$12,$BF$13))," ")</f>
        <v xml:space="preserve"> </v>
      </c>
      <c r="AC16" s="1"/>
      <c r="AJ16" s="2230"/>
      <c r="AK16" s="2793"/>
      <c r="AL16" s="2785"/>
      <c r="AM16" s="1177">
        <f>'Regular and QuickBrace Systems'!F30</f>
        <v>1.8</v>
      </c>
      <c r="AN16" s="1274">
        <f>'Regular and QuickBrace Systems'!G30</f>
        <v>83</v>
      </c>
      <c r="AO16" s="1275">
        <f>'Regular and QuickBrace Systems'!H30</f>
        <v>64</v>
      </c>
      <c r="AP16" s="1277"/>
      <c r="AQ16" s="2665"/>
      <c r="AR16" s="2666"/>
      <c r="AS16" s="2032"/>
      <c r="AT16" s="1339"/>
      <c r="AU16" s="2132"/>
      <c r="AW16" s="1570" t="str">
        <f>'Regular and QuickBrace Systems'!O30</f>
        <v>Yes</v>
      </c>
      <c r="AX16" s="1574" t="str">
        <f>'Regular and QuickBrace Systems'!Q30</f>
        <v>No</v>
      </c>
      <c r="BA16"/>
      <c r="BB16"/>
      <c r="BC16"/>
      <c r="BD16" s="2667"/>
      <c r="BF16" s="598" t="str">
        <f>Table!AI74</f>
        <v>ES-H</v>
      </c>
      <c r="BG16" s="1026" t="s">
        <v>1044</v>
      </c>
      <c r="BH16" s="1394" t="str">
        <f>Table!AI72</f>
        <v>ER1</v>
      </c>
      <c r="BI16" s="759"/>
      <c r="BJ16" s="897">
        <f t="shared" si="3"/>
        <v>8</v>
      </c>
      <c r="BK16" s="769" t="str">
        <f t="shared" si="6"/>
        <v xml:space="preserve">  </v>
      </c>
      <c r="BL16" s="771" t="str">
        <f t="shared" si="7"/>
        <v>Custom5</v>
      </c>
      <c r="BM16" s="455">
        <f t="shared" si="8"/>
        <v>9.9999999999999996E-76</v>
      </c>
      <c r="BN16" s="455">
        <v>999</v>
      </c>
      <c r="BO16" s="455">
        <f t="shared" si="9"/>
        <v>0</v>
      </c>
      <c r="BP16" s="925">
        <f t="shared" si="10"/>
        <v>0</v>
      </c>
      <c r="BR16" s="764"/>
      <c r="BS16" s="455"/>
      <c r="BT16" s="455" t="str">
        <f t="shared" si="11"/>
        <v>B</v>
      </c>
      <c r="BU16" s="925" t="str">
        <f t="shared" si="12"/>
        <v>T</v>
      </c>
      <c r="BV16" s="1239" t="str">
        <f t="shared" si="13"/>
        <v>Custom5</v>
      </c>
      <c r="BW16" s="1236">
        <f t="shared" si="16"/>
        <v>8</v>
      </c>
      <c r="BX16" s="925" t="str">
        <f t="shared" si="14"/>
        <v>Single</v>
      </c>
      <c r="CH16" s="764">
        <f t="shared" si="4"/>
        <v>0</v>
      </c>
      <c r="CI16" s="925">
        <f t="shared" si="5"/>
        <v>0</v>
      </c>
      <c r="CJ16" s="759"/>
      <c r="CK16" s="188"/>
      <c r="CL16" s="979">
        <f>VLOOKUP(I16,Prodlink,2,0)</f>
        <v>0</v>
      </c>
      <c r="CN16" s="497">
        <f ca="1">VLOOKUP(CO16,Prodlink,2,0)</f>
        <v>0</v>
      </c>
      <c r="CO16" s="497">
        <f ca="1">OFFSET($CH$9,CL16-1,-15,1,1)</f>
        <v>0</v>
      </c>
      <c r="CQ16" s="51">
        <v>0</v>
      </c>
      <c r="CR16" s="51">
        <f>IF(K16=$BH$12,$BH$23,IF(K16=$BH$13,$BH$24,10000))</f>
        <v>10000</v>
      </c>
      <c r="CS16" s="51">
        <f ca="1">IF(F16&lt;OFFSET($BM$9,CL16-1,0,1,1),0,IF(F16&lt;OFFSET($BN$9,CL16-1,0,1,1),((F16-OFFSET($BM$9,CL16-1,0,1,1))*OFFSET($CH$9,CL16-1,0,1,1))+OFFSET($BO$9,CL16-1,CQ16,1,1),IF(F16&lt;OFFSET($BN$9,CL16+0,0,1,1),((F16-OFFSET($BM$9,CL16+0,0,1,1))*OFFSET($CH$9,CL16+0,0,1,1))+OFFSET($BO$9,CL16+0,CQ16,1,1),IF(F16&lt;OFFSET($BN$9,CL16+1,0,1,1),((F16-OFFSET($BM$9,CL16+1,0,1,1))*OFFSET($CH$9,CL16+1,0,1,1))+OFFSET($BO$9,CL16+1,CQ16,1,1),IF(F16&lt;OFFSET($BN$9,CL16+2,0,1,1),((F16-OFFSET($BM$9,CL16+2,0,1,1))*OFFSET($CH$9,CL16+2,0,1,1))+OFFSET($BO$9,CL16+2,CQ16,1,1),IF(F16&lt;OFFSET($BN$9,CL16+3,0,1,1),((F16-OFFSET($BM$9,CL16+3,0,1,1))*OFFSET($CH$9,CL16+3,0,1,1))+OFFSET($BO$9,CL16+3,CQ16,1,1),0))))))</f>
        <v>0</v>
      </c>
      <c r="CT16" s="51">
        <f ca="1">IF($F16&lt;OFFSET($BM$9,$CL16-1,0,1,1),0,IF($F16&lt;OFFSET($BN$9,$CL16-1,0,1,1),IF(AND($H16&gt;2.4,Z16&lt;&gt;"e",Z16&lt;&gt;"f"),CX16*2.4/$H16,CX16),IF($F16&lt;OFFSET($BN$9,$CL16+0,0,1,1),IF(AND($H16&gt;2.4,Z16&lt;&gt;"e",Z16&lt;&gt;"f"),CX16*2.4/$H16,CX16),IF($F16&lt;OFFSET($BN$9,$CL16+1,0,1,1),IF(AND($H16&gt;2.4,Z16&lt;&gt;"e",Z16&lt;&gt;"f"),CX16*2.4/$H16,CX16),IF($F16&lt;OFFSET($BN$9,CL16+2,0,1,1),IF(AND($H16&gt;2.4,Z16&lt;&gt;"e",Z16&lt;&gt;"f"),CX16*2.4/$H16,CX16),IF($F16&lt;OFFSET($BN$9,CL16+3,0,1,1),IF(AND($H16&gt;2.4,Z16&lt;&gt;"e",Z16&lt;&gt;"f"),CX16*2.4/$H16,CX16),0)))))*COS(RADIANS($G16)))</f>
        <v>0</v>
      </c>
      <c r="CU16" s="51">
        <f ca="1">IF(F16&lt;OFFSET($BM$9,CL16-1,0,1,1),0,IF(F16&lt;OFFSET($BN$9,CL16-1,0,1,1),((F16-OFFSET($BM$9,CL16-1,0,1,1))*OFFSET($CI$9,CL16-1,0,1,1))+OFFSET($BP$9,CL16-1,CQ16,1,1),IF(F16&lt;OFFSET($BN$9,CL16+0,0,1,1),((F16-OFFSET($BM$9,CL16+0,0,1,1))*OFFSET($CI$9,CL16+0,0,1,1))+OFFSET($BP$9,CL16+0,CQ16,1,1),IF(F16&lt;OFFSET($BN$9,CL16+1,0,1,1),((F16-OFFSET($BM$9,CL16+1,0,1,1))*OFFSET($CI$9,CL16+1,0,1,1))+OFFSET($BP$9,CL16+1,CQ16,1,1),IF(F16&lt;OFFSET($BN$9,CL16+2,0,1,1),((F16-OFFSET($BM$9,CL16+2,0,1,1))*OFFSET($CI$9,CL16+2,0,1,1))+OFFSET($BP$9,CL16+2,CQ16,1,1),IF(F16&lt;OFFSET($BN$9,CL16+3,0,1,1),((F16-OFFSET($BM$9,CL16+3,0,1,1))*OFFSET($CI$9,CL16+3,0,1,1))+OFFSET($BP$9,CL16+3,CQ16,1,1),0))))))</f>
        <v>0</v>
      </c>
      <c r="CV16" s="51">
        <f ca="1">IF($F16&lt;OFFSET($BM$9,$CL16-1,0,1,1),0,IF($F16&lt;OFFSET($BN$9,$CL16-1,0,1,1),IF(AND($H16&gt;2.4,Z16&lt;&gt;"e",Z16&lt;&gt;"f"),CZ16*2.4/$H16,CZ16),IF($F16&lt;OFFSET($BN$9,$CL16+0,0,1,1),IF(AND($H16&gt;2.4,Z16&lt;&gt;"e",Z16&lt;&gt;"f"),CZ16*2.4/$H16,CZ16),IF($F16&lt;OFFSET($BN$9,$CL16+1,0,1,1),IF(AND($H16&gt;2.4,Z16&lt;&gt;"e",Z16&lt;&gt;"f"),CZ16*2.4/$H16,CZ16),IF($F16&lt;OFFSET($BN$9,$CL16+2,0,1,1),IF(AND($H16&gt;2.4,Z16&lt;&gt;"e",Z16&lt;&gt;"f"),CZ16*2.4/$H16,CZ16),IF($F16&lt;OFFSET($BN$9,$CL16+3,0,1,1),IF(AND($H16&gt;2.4,Z16&lt;&gt;"e",Z16&lt;&gt;"f"),CZ16*2.4/$H16,CZ16),0)))))*COS(RADIANS($G16)))</f>
        <v>0</v>
      </c>
      <c r="CW16" s="51">
        <f ca="1">IF(CT16&gt;CR16,CR16,CT16)</f>
        <v>0</v>
      </c>
      <c r="CX16" s="51">
        <f ca="1">IF(CS16&gt;$CR16,$CR16,CS16)</f>
        <v>0</v>
      </c>
      <c r="CY16" s="51">
        <f ca="1">CW16*F16</f>
        <v>0</v>
      </c>
      <c r="CZ16" s="51">
        <f ca="1">IF($CU16&gt;$CR16,$CR16,$CU16)</f>
        <v>0</v>
      </c>
      <c r="DA16" s="51">
        <f ca="1">IF(CV16&gt;CR16,CR16,CV16)</f>
        <v>0</v>
      </c>
      <c r="DB16" s="51">
        <f ca="1">DA16*F16</f>
        <v>0</v>
      </c>
      <c r="DC16" s="993">
        <v>1</v>
      </c>
      <c r="DD16" s="758" t="str">
        <f>IF(OR(D16=BG$12,D16=BG$13),"External",IF(D16=BG$14,"Internal"," "))</f>
        <v xml:space="preserve"> </v>
      </c>
      <c r="DE16" s="51" t="str">
        <f t="shared" ca="1" si="1"/>
        <v/>
      </c>
      <c r="DF16" s="52" t="str">
        <f t="shared" ca="1" si="2"/>
        <v xml:space="preserve"> </v>
      </c>
      <c r="DG16" s="51">
        <f ca="1">IF(F16&lt;OFFSET($BM$9,CN16-1,0,1,1),0,IF(F16&lt;OFFSET($BN$9,CN16-1,0,1,1),((F16-OFFSET($BM$9,CN16-1,0,1,1))*OFFSET($CH$9,CN16-1,0,1,1))+OFFSET($BO$9,CN16-1,CQ16,1,1),IF(F16&lt;OFFSET($BN$9,CN16+0,0,1,1),((F16-OFFSET($BM$9,CN16+0,0,1,1))*OFFSET($CH$9,CN16+0,0,1,1))+OFFSET($BO$9,CN16+0,CQ16,1,1),IF(F16&lt;OFFSET($BN$9,CN16+1,0,1,1),((F16-OFFSET($BM$9,CN16+1,0,1,1))*OFFSET($CH$9,CN16+1,0,1,1))+OFFSET($BO$9,CN16+1,CQ16,1,1),IF(F16&lt;OFFSET($BN$9,CN16+2,0,1,1),((F16-OFFSET($BM$9,CN16+2,0,1,1))*OFFSET($CH$9,CN16+2,0,1,1))+OFFSET($BO$9,CN16+2,CQ16,1,1),IF(F16&lt;OFFSET($BN$9,CN16+3,0,1,1),((F16-OFFSET($BM$9,CN16+3,0,1,1))*OFFSET($CH$9,CN16+3,0,1,1))+OFFSET($BO$9,CN16+3,CQ16,1,1),0))))))</f>
        <v>0</v>
      </c>
      <c r="DH16" s="51">
        <f ca="1">IF($F16&lt;OFFSET($BM$9,$CN16-1,0,1,1),0,IF($F16&lt;OFFSET($BN$9,$CN16-1,0,1,1),IF(AND($H16&gt;2.4,Z16&lt;&gt;"e",Z16&lt;&gt;"f"),DL16*2.4/$H16,DL16),IF($F16&lt;OFFSET($BN$9,$CN16+0,0,1,1),IF(AND($H16&gt;2.4,Z16&lt;&gt;"e",Z16&lt;&gt;"f"),DL16*2.4/$H16,DL16),IF($F16&lt;OFFSET($BN$9,$CN16+1,0,1,1),IF(AND($H16&gt;2.4,Z16&lt;&gt;"e",Z16&lt;&gt;"f"),DL16*2.4/$H16,DL16),IF($F16&lt;OFFSET($BN$9,$CN16+2,0,1,1),IF(AND($H16&gt;2.4,Z16&lt;&gt;"e",Z16&lt;&gt;"f"),DL16*2.4/$H16,DL16),IF($F16&lt;OFFSET($BN$9,$CN16+3,0,1,1),IF(AND($H16&gt;2.4,Z16&lt;&gt;"e",Z16&lt;&gt;"f"),DL16*2.4/$H16,DL16),0)))))*COS(RADIANS($G16)))</f>
        <v>0</v>
      </c>
      <c r="DI16" s="51">
        <f ca="1">IF(F16&lt;OFFSET($BM$9,CN16-1,0,1,1),0,IF(F16&lt;OFFSET($BN$9,CN16-1,0,1,1),((F16-OFFSET($BM$9,CN16-1,0,1,1))*OFFSET($CI$9,CN16-1,0,1,1))+OFFSET($BP$9,CN16-1,CQ16,1,1),IF(F16&lt;OFFSET($BN$9,CN16+0,0,1,1),((F16-OFFSET($BM$9,CN16+0,0,1,1))*OFFSET($CI$9,CN16+0,0,1,1))+OFFSET($BP$9,CN16+0,CQ16,1,1),IF(F16&lt;OFFSET($BN$9,CN16+1,0,1,1),((F16-OFFSET($BM$9,CN16+1,0,1,1))*OFFSET($CI$9,CN16+1,0,1,1))+OFFSET($BP$9,CN16+1,CQ16,1,1),IF(F16&lt;OFFSET($BN$9,CN16+2,0,1,1),((F16-OFFSET($BM$9,CN16+2,0,1,1))*OFFSET($CI$9,CN16+2,0,1,1))+OFFSET($BP$9,CN16+2,CQ16,1,1),IF(F16&lt;OFFSET($BN$9,CN16+3,0,1,1),((F16-OFFSET($BM$9,CN16+3,0,1,1))*OFFSET($CI$9,CN16+3,0,1,1))+OFFSET($BP$9,CN16+3,CQ16,1,1),0))))))</f>
        <v>0</v>
      </c>
      <c r="DJ16" s="51">
        <f ca="1">IF($F16&lt;OFFSET($BM$9,$CN16-1,0,1,1),0,IF($F16&lt;OFFSET($BN$9,$CN16-1,0,1,1),IF(AND($H16&gt;2.4,Z16&lt;&gt;"e",Z16&lt;&gt;"f"),DN16*2.4/$H16,DN16),IF($F16&lt;OFFSET($BN$9,$CN16+0,0,1,1),IF(AND($H16&gt;2.4,Z16&lt;&gt;"e",Z16&lt;&gt;"f"),DN16*2.4/$H16,DN16),IF($F16&lt;OFFSET($BN$9,$CN16+1,0,1,1),IF(AND($H16&gt;2.4,Z16&lt;&gt;"e",Z16&lt;&gt;"f"),DN16*2.4/$H16,DN16),IF($F16&lt;OFFSET($BN$9,$CN16+2,0,1,1),IF(AND($H16&gt;2.4,Z16&lt;&gt;"e",Z16&lt;&gt;"f"),DN16*2.4/$H16,DN16),IF($F16&lt;OFFSET($BN$9,$CN16+3,0,1,1),IF(AND($H16&gt;2.4,Z16&lt;&gt;"e",Z16&lt;&gt;"f"),DN16*2.4/$H16,DN16),0)))))*COS(RADIANS($G16)))</f>
        <v>0</v>
      </c>
      <c r="DK16" s="51"/>
      <c r="DL16" s="51">
        <f ca="1">IF(DG16&gt;$CR16,$CR16,DG16)</f>
        <v>0</v>
      </c>
      <c r="DM16" s="51"/>
      <c r="DN16" s="51">
        <f ca="1">IF(DI16&gt;$CR16,$CR16,DI16)</f>
        <v>0</v>
      </c>
      <c r="DO16" s="435">
        <f ca="1">IF(DH16&gt;$CR16,$CR16,DH16)</f>
        <v>0</v>
      </c>
      <c r="DP16" s="435">
        <f ca="1">DO16*F16</f>
        <v>0</v>
      </c>
      <c r="DQ16" s="436">
        <f ca="1">IF(DJ16&gt;$CR16,$CR16,DJ16)</f>
        <v>0</v>
      </c>
      <c r="DR16" s="437">
        <f ca="1">DQ16*F16</f>
        <v>0</v>
      </c>
      <c r="DS16" s="426">
        <f ca="1">OFFSET($CH$9,CL16-1,-15,1,1)</f>
        <v>0</v>
      </c>
      <c r="DT16" s="426">
        <f ca="1">VLOOKUP(DS16,Prodlink,2,0)</f>
        <v>0</v>
      </c>
      <c r="DU16" s="188">
        <f ca="1">IF(F16&lt;OFFSET($BM$9,DT16-1,0,1,1),0,IF(F16&lt;OFFSET($BN$9,DT16-1,0,1,1),((F16-OFFSET($BM$9,DT16-1,0,1,1))*OFFSET($CH$9,DT16-1,0,1,1))+OFFSET($BO$9,DT16-1,CQ16,1,1),IF(F16&lt;OFFSET($BN$9,DT16+0,0,1,1),((F16-OFFSET($BM$9,DT16+0,0,1,1))*OFFSET($CH$9,DT16+0,0,1,1))+OFFSET($BO$9,DT16+0,CQ16,1,1),IF(F16&lt;OFFSET($BN$9,DT16+1,0,1,1),((F16-OFFSET($BM$9,DT16+1,0,1,1))*OFFSET($CH$9,DT16+1,0,1,1))+OFFSET($BO$9,DT16+1,CQ16,1,1),IF(F16&lt;OFFSET($BN$9,DT16+2,0,1,1),((F16-OFFSET($BM$9,DT16+2,0,1,1))*OFFSET($CH$9,DT16+2,0,1,1))+OFFSET($BO$9,DT16+2,CQ16,1,1),IF(F16&lt;OFFSET($BN$9,DT16+3,0,1,1),((F16-OFFSET($BM$9,DT16+3,0,1,1))*OFFSET($CH$9,DT16+3,0,1,1))+OFFSET($BO$9,DT16+3,CQ16,1,1),0))))))</f>
        <v>0</v>
      </c>
      <c r="DV16" s="51">
        <f ca="1">IF($F16&lt;OFFSET($BM$9,$DT16-1,0,1,1),0,IF($F16&lt;OFFSET($BN$9,$DT16-1,0,1,1),IF(AND($H16&gt;2.4,Z16&lt;&gt;"e",Z16&lt;&gt;"f"),DZ16*2.4/$H16,DZ16),IF($F16&lt;OFFSET($BN$9,$DT16+0,0,1,1),IF(AND($H16&gt;2.4,Z16&lt;&gt;"e",Z16&lt;&gt;"f"),DZ16*2.4/$H16,DZ16),IF($F16&lt;OFFSET($BN$9,$DT16+1,0,1,1),IF(AND($H16&gt;2.4,Z16&lt;&gt;"e",Z16&lt;&gt;"f"),DZ16*2.4/$H16,DZ16),IF($F16&lt;OFFSET($BN$9,$DT16+2,0,1,1),IF(AND($H16&gt;2.4,Z16&lt;&gt;"e",Z16&lt;&gt;"f"),DZ16*2.4/$H16,DZ16),IF($F16&lt;OFFSET($BN$9,$DT16+3,0,1,1),IF(AND($H16&gt;2.4,Z16&lt;&gt;"e",Z16&lt;&gt;"f"),DZ16*2.4/$H16,DZ16),0)))))*COS(RADIANS($G16)))</f>
        <v>0</v>
      </c>
      <c r="DW16" s="188">
        <f ca="1">IF(F16&lt;OFFSET($BM$9,DT16-1,0,1,1),0,IF(F16&lt;OFFSET($BN$9,DT16-1,0,1,1),((F16-OFFSET($BM$9,DT16-1,0,1,1))*OFFSET($CI$9,DT16-1,0,1,1))+OFFSET($BP$9,DT16-1,CQ16,1,1),IF(F16&lt;OFFSET($BN$9,DT16+0,0,1,1),((F16-OFFSET($BM$9,DT16+0,0,1,1))*OFFSET($CI$9,DT16+0,0,1,1))+OFFSET($BP$9,DT16+0,CQ16,1,1),IF(F16&lt;OFFSET($BN$9,DT16+1,0,1,1),((F16-OFFSET($BM$9,DT16+1,0,1,1))*OFFSET($CI$9,DT16+1,0,1,1))+OFFSET($BP$9,DT16+1,CQ16,1,1),IF(F16&lt;OFFSET($BN$9,DT16+2,0,1,1),((F16-OFFSET($BM$9,DT16+2,0,1,1))*OFFSET($CI$9,DT16+2,0,1,1))+OFFSET($BP$9,DT16+2,CQ16,1,1),IF(F16&lt;OFFSET($BN$9,DT16+3,0,1,1),((F16-OFFSET($BM$9,DT16+3,0,1,1))*OFFSET($CI$9,DT16+3,0,1,1))+OFFSET($BP$9,DT16+3,CQ16,1,1),0))))))</f>
        <v>0</v>
      </c>
      <c r="DX16" s="51">
        <f ca="1">IF($F16&lt;OFFSET($BM$9,$DT16-1,0,1,1),0,IF($F16&lt;OFFSET($BN$9,$DT16-1,0,1,1),IF(AND($H16&gt;2.4,Z16&lt;&gt;"e",Z16&lt;&gt;"f"),EB16*2.4/$H16,EB16),IF($F16&lt;OFFSET($BN$9,$DT16+0,0,1,1),IF(AND($H16&gt;2.4,Z16&lt;&gt;"e",Z16&lt;&gt;"f"),EB16*2.4/$H16,EB16),IF($F16&lt;OFFSET($BN$9,$DT16+1,0,1,1),IF(AND($H16&gt;2.4,Z16&lt;&gt;"e",Z16&lt;&gt;"f"),EB16*2.4/$H16,EB16),IF($F16&lt;OFFSET($BN$9,$DT16+2,0,1,1),IF(AND($H16&gt;2.4,Z16&lt;&gt;"e",Z16&lt;&gt;"f"),EB16*2.4/$H16,EB16),IF($F16&lt;OFFSET($BN$9,$DT16+3,0,1,1),IF(AND($H16&gt;2.4,Z16&lt;&gt;"e",Z16&lt;&gt;"f"),EB16*2.4/$H16,EB16),0)))))*COS(RADIANS($G16)))</f>
        <v>0</v>
      </c>
      <c r="DY16" s="188"/>
      <c r="DZ16" s="188">
        <f ca="1">IF(DU16&gt;$CR16,$CR16,DU16)</f>
        <v>0</v>
      </c>
      <c r="EA16" s="188"/>
      <c r="EB16" s="188">
        <f ca="1">IF(DW16&gt;$CR16,$CR16,DW16)</f>
        <v>0</v>
      </c>
      <c r="EC16" s="435">
        <f ca="1">IF(DV16&gt;$CR16,$CR16,DV16)</f>
        <v>0</v>
      </c>
      <c r="ED16" s="435">
        <f ca="1">EC16*F16</f>
        <v>0</v>
      </c>
      <c r="EE16" s="436">
        <f ca="1">IF(DX16&gt;$CR16,$CR16,DX16)</f>
        <v>0</v>
      </c>
      <c r="EF16" s="437">
        <f ca="1">EE16*F16</f>
        <v>0</v>
      </c>
      <c r="EG16" s="613" t="str">
        <f>IF(D16=BG$12,BG$12,"")</f>
        <v/>
      </c>
      <c r="EH16" s="614" t="str">
        <f>IF(D16=BG$13,BG$13,"")</f>
        <v/>
      </c>
      <c r="EI16" s="611">
        <f>IF(EG16=BG$12,M16,0)</f>
        <v>0</v>
      </c>
      <c r="EJ16" s="451">
        <f>IF(EG16=BG$12,O16,0)</f>
        <v>0</v>
      </c>
      <c r="EK16" s="451">
        <f>IF(EH16=BG$13,M16,0)</f>
        <v>0</v>
      </c>
      <c r="EL16" s="612">
        <f>IF(EH16=BG$13,O16,0)</f>
        <v>0</v>
      </c>
      <c r="EM16" s="426" t="str">
        <f ca="1">IF(AND(Z16&lt;&gt;"t",Z16&lt;&gt;"f"),"",IF(AND(EN16=$BH$13,K16=$BH$12),"NotOpt",IF(K16&lt;&gt;EN16,"Error","")))</f>
        <v/>
      </c>
      <c r="EN16" s="490" t="str">
        <f>IF($BG$28=1,$BH$13,$BH$12)</f>
        <v>120 BU's</v>
      </c>
      <c r="EO16" s="426" t="str">
        <f>K16</f>
        <v xml:space="preserve"> </v>
      </c>
      <c r="EP16" s="430">
        <v>1</v>
      </c>
      <c r="EQ16" s="430" t="str">
        <f ca="1">IF(EP16=1," ",OFFSET(BF$16,EP16-2,0,1,1))</f>
        <v xml:space="preserve"> </v>
      </c>
      <c r="ER16" s="439" t="str">
        <f ca="1">IF(H16=0," ",H16)</f>
        <v xml:space="preserve"> </v>
      </c>
      <c r="ES16" s="440" t="str">
        <f ca="1">IF(ER16&lt;&gt;" ",IF(ER16&lt;&gt;ER$7,"Changed",""),"")</f>
        <v/>
      </c>
      <c r="ET16" s="440">
        <f ca="1">IF(ER16&lt;&gt;" ",IF(ER16&lt;&gt;ER$7,1,0),0)</f>
        <v>0</v>
      </c>
      <c r="EU16" s="957" t="str">
        <f ca="1">IF(I16=" "," ",IF(F16&lt;OFFSET($BM$9,CL16-1,0,1,1),1,""))</f>
        <v xml:space="preserve"> </v>
      </c>
      <c r="EW16" s="427"/>
      <c r="EX16"/>
      <c r="EY16"/>
      <c r="EZ16"/>
      <c r="FA16"/>
    </row>
    <row r="17" spans="2:157" ht="17.100000000000001" customHeight="1">
      <c r="B17" s="689" t="s">
        <v>246</v>
      </c>
      <c r="C17" s="684" t="str">
        <f>IF(OR(F17=0,I17="",I17=" ")," ",$V17)</f>
        <v xml:space="preserve"> </v>
      </c>
      <c r="D17" s="1033"/>
      <c r="E17" s="1360" t="s">
        <v>8</v>
      </c>
      <c r="F17" s="202"/>
      <c r="G17" s="1416"/>
      <c r="H17" s="199" t="str">
        <f ca="1">IF(OR(F17=0,Z17="E",Z17="f")," ",'Project Demand'!E$45)</f>
        <v xml:space="preserve"> </v>
      </c>
      <c r="I17" s="631" t="str">
        <f>IF($I$6&lt;&gt;$BG$8," ",AB17)</f>
        <v xml:space="preserve"> </v>
      </c>
      <c r="J17" s="44" t="str">
        <f ca="1">IF(OR(I17=" ",I17="")," ",OFFSET($BO$9,CL17-1,0-4,1,1))</f>
        <v xml:space="preserve"> </v>
      </c>
      <c r="K17" s="55" t="str">
        <f>IF(OR(I17=" ",I17="")," ",IF(OR(Z17="e",Z17="h"),"SD",BG$24))</f>
        <v xml:space="preserve"> </v>
      </c>
      <c r="L17" s="49">
        <f ca="1">CW17</f>
        <v>0</v>
      </c>
      <c r="M17" s="49">
        <f ca="1">CY17</f>
        <v>0</v>
      </c>
      <c r="N17" s="50">
        <f t="shared" ca="1" si="15"/>
        <v>0</v>
      </c>
      <c r="O17" s="126">
        <f t="shared" ca="1" si="15"/>
        <v>0</v>
      </c>
      <c r="P17" s="140"/>
      <c r="Q17" s="752" t="str">
        <f ca="1">IF(AND(OR(Z17="t",Z17="f"),K17=$BH$11),"No Floor!  Change Floor Type",IF(OR(I17=" ",I17="")," ",IF(F17&lt;OFFSET($BM$9,CL17-1,0,1,1),"check L(m)",DE17&amp;IF(AND(DP17&gt;=CY17,DR17&gt;=DB17),IF(AND(ED17&gt;=DP17,EF17&gt;=DR17),CONCATENATE(DS17," will provide same result"),CONCATENATE(CO17," will provide same result")),IF((DP17&gt;=CY17),CONCATENATE(CO17," provides same result in WIND"),IF((DR17&gt;=DB17),CONCATENATE(CO17," provides same result in EQ"),""))))))&amp;IF(ISERROR(FIND("pile",I17,1)),"",IF(INT(F17)&lt;&gt;F17,"Pile!  Use Whole Numbers Only",""))</f>
        <v xml:space="preserve"> </v>
      </c>
      <c r="R17" s="52"/>
      <c r="S17" s="1372"/>
      <c r="T17" s="52"/>
      <c r="U17" s="1377"/>
      <c r="V17" s="52" t="str">
        <f ca="1">IF(AND(B$5=$BF$9,OR(I17=BH$16,I17=BH$17))," ",IF(ISNUMBER(B$14),(CONCATENATE(B$14,".",W17)),(CONCATENATE(B$14,W17))))</f>
        <v>N0</v>
      </c>
      <c r="W17" s="9">
        <f ca="1">W16+X17</f>
        <v>0</v>
      </c>
      <c r="X17" s="9">
        <f>IF(AND(B$5=$BF$9,OR($I17=$BH$16,$I17=$BH$17,$I17=" ",$I17="",$F17=0)),0,IF(OR($I17=" ",$I17="",$F17=0),0,1))</f>
        <v>0</v>
      </c>
      <c r="Y17" s="896"/>
      <c r="Z17" s="52" t="str">
        <f ca="1">IF(I17=" "," ",OFFSET($BM$9,$CL17-1,8,1,1))</f>
        <v xml:space="preserve"> </v>
      </c>
      <c r="AA17" s="51" t="str">
        <f>IF(G17&gt;=45,"WA","")</f>
        <v/>
      </c>
      <c r="AB17" s="1364" t="str">
        <f>IF(F17&lt;&gt;"",IF(OR(D17=$BG$12,D17=$BG$13),IF(E17&lt;&gt;$BG$17,$BF$12,$BF$13),IF(E17&lt;&gt;$BG$17,$BF$12,$BF$13))," ")</f>
        <v xml:space="preserve"> </v>
      </c>
      <c r="AC17" s="1"/>
      <c r="AJ17" s="2230"/>
      <c r="AK17" s="2793"/>
      <c r="AL17" s="2783" t="str">
        <f>'Regular and QuickBrace Systems'!E31</f>
        <v>ES-H</v>
      </c>
      <c r="AM17" s="1176">
        <f>'Regular and QuickBrace Systems'!F31</f>
        <v>0.4</v>
      </c>
      <c r="AN17" s="1272">
        <f>'Regular and QuickBrace Systems'!G31</f>
        <v>75</v>
      </c>
      <c r="AO17" s="1273">
        <f>'Regular and QuickBrace Systems'!H31</f>
        <v>75</v>
      </c>
      <c r="AP17" s="1594"/>
      <c r="AQ17" s="2661" t="str">
        <f>'Regular and QuickBrace Systems'!I28</f>
        <v>Specialised QuickBrace Pattern</v>
      </c>
      <c r="AR17" s="2662"/>
      <c r="AS17" s="2030" t="str">
        <f>'Regular and QuickBrace Systems'!K31</f>
        <v>Yes</v>
      </c>
      <c r="AT17" s="1339"/>
      <c r="AU17" s="2131" t="str">
        <f>'Regular and QuickBrace Systems'!M31</f>
        <v>Elephant Standard-Plus board One side</v>
      </c>
      <c r="AW17" s="1567" t="str">
        <f>'Regular and QuickBrace Systems'!O31</f>
        <v>Yes</v>
      </c>
      <c r="AX17" s="1573" t="str">
        <f>'Regular and QuickBrace Systems'!Q31</f>
        <v>No</v>
      </c>
      <c r="BA17"/>
      <c r="BB17"/>
      <c r="BC17"/>
      <c r="BD17" s="2667"/>
      <c r="BF17" s="598" t="str">
        <f>Table!AI75</f>
        <v>EM-H</v>
      </c>
      <c r="BG17" s="1026" t="s">
        <v>1045</v>
      </c>
      <c r="BH17" s="1394" t="str">
        <f>Table!AI77</f>
        <v>ER2</v>
      </c>
      <c r="BI17" s="759"/>
      <c r="BJ17" s="897">
        <f t="shared" si="3"/>
        <v>9</v>
      </c>
      <c r="BK17" s="769" t="str">
        <f t="shared" si="6"/>
        <v xml:space="preserve">  </v>
      </c>
      <c r="BL17" s="771" t="str">
        <f t="shared" si="7"/>
        <v>Custom6</v>
      </c>
      <c r="BM17" s="455">
        <f t="shared" si="8"/>
        <v>9.9999999999999996E-76</v>
      </c>
      <c r="BN17" s="455">
        <v>999</v>
      </c>
      <c r="BO17" s="455">
        <f t="shared" si="9"/>
        <v>0</v>
      </c>
      <c r="BP17" s="925">
        <f t="shared" si="10"/>
        <v>0</v>
      </c>
      <c r="BR17" s="764"/>
      <c r="BS17" s="455"/>
      <c r="BT17" s="455" t="str">
        <f t="shared" si="11"/>
        <v>B</v>
      </c>
      <c r="BU17" s="925" t="str">
        <f t="shared" si="12"/>
        <v>T</v>
      </c>
      <c r="BV17" s="1239" t="str">
        <f t="shared" si="13"/>
        <v>Custom6</v>
      </c>
      <c r="BW17" s="1236">
        <f t="shared" si="16"/>
        <v>9</v>
      </c>
      <c r="BX17" s="925" t="str">
        <f t="shared" si="14"/>
        <v>Single</v>
      </c>
      <c r="CH17" s="764">
        <f t="shared" si="4"/>
        <v>0</v>
      </c>
      <c r="CI17" s="925">
        <f t="shared" si="5"/>
        <v>0</v>
      </c>
      <c r="CJ17" s="759"/>
      <c r="CK17" s="188"/>
      <c r="CL17" s="979">
        <f>VLOOKUP(I17,Prodlink,2,0)</f>
        <v>0</v>
      </c>
      <c r="CN17" s="497">
        <f ca="1">VLOOKUP(CO17,Prodlink,2,0)</f>
        <v>0</v>
      </c>
      <c r="CO17" s="497">
        <f ca="1">OFFSET($CH$9,CL17-1,-15,1,1)</f>
        <v>0</v>
      </c>
      <c r="CQ17" s="51">
        <v>0</v>
      </c>
      <c r="CR17" s="51">
        <f>IF(K17=$BH$12,$BH$23,IF(K17=$BH$13,$BH$24,10000))</f>
        <v>10000</v>
      </c>
      <c r="CS17" s="51">
        <f ca="1">IF(F17&lt;OFFSET($BM$9,CL17-1,0,1,1),0,IF(F17&lt;OFFSET($BN$9,CL17-1,0,1,1),((F17-OFFSET($BM$9,CL17-1,0,1,1))*OFFSET($CH$9,CL17-1,0,1,1))+OFFSET($BO$9,CL17-1,CQ17,1,1),IF(F17&lt;OFFSET($BN$9,CL17+0,0,1,1),((F17-OFFSET($BM$9,CL17+0,0,1,1))*OFFSET($CH$9,CL17+0,0,1,1))+OFFSET($BO$9,CL17+0,CQ17,1,1),IF(F17&lt;OFFSET($BN$9,CL17+1,0,1,1),((F17-OFFSET($BM$9,CL17+1,0,1,1))*OFFSET($CH$9,CL17+1,0,1,1))+OFFSET($BO$9,CL17+1,CQ17,1,1),IF(F17&lt;OFFSET($BN$9,CL17+2,0,1,1),((F17-OFFSET($BM$9,CL17+2,0,1,1))*OFFSET($CH$9,CL17+2,0,1,1))+OFFSET($BO$9,CL17+2,CQ17,1,1),IF(F17&lt;OFFSET($BN$9,CL17+3,0,1,1),((F17-OFFSET($BM$9,CL17+3,0,1,1))*OFFSET($CH$9,CL17+3,0,1,1))+OFFSET($BO$9,CL17+3,CQ17,1,1),0))))))</f>
        <v>0</v>
      </c>
      <c r="CT17" s="51">
        <f ca="1">IF($F17&lt;OFFSET($BM$9,$CL17-1,0,1,1),0,IF($F17&lt;OFFSET($BN$9,$CL17-1,0,1,1),IF(AND($H17&gt;2.4,Z17&lt;&gt;"e",Z17&lt;&gt;"f"),CX17*2.4/$H17,CX17),IF($F17&lt;OFFSET($BN$9,$CL17+0,0,1,1),IF(AND($H17&gt;2.4,Z17&lt;&gt;"e",Z17&lt;&gt;"f"),CX17*2.4/$H17,CX17),IF($F17&lt;OFFSET($BN$9,$CL17+1,0,1,1),IF(AND($H17&gt;2.4,Z17&lt;&gt;"e",Z17&lt;&gt;"f"),CX17*2.4/$H17,CX17),IF($F17&lt;OFFSET($BN$9,CL17+2,0,1,1),IF(AND($H17&gt;2.4,Z17&lt;&gt;"e",Z17&lt;&gt;"f"),CX17*2.4/$H17,CX17),IF($F17&lt;OFFSET($BN$9,CL17+3,0,1,1),IF(AND($H17&gt;2.4,Z17&lt;&gt;"e",Z17&lt;&gt;"f"),CX17*2.4/$H17,CX17),0)))))*COS(RADIANS($G17)))</f>
        <v>0</v>
      </c>
      <c r="CU17" s="51">
        <f ca="1">IF(F17&lt;OFFSET($BM$9,CL17-1,0,1,1),0,IF(F17&lt;OFFSET($BN$9,CL17-1,0,1,1),((F17-OFFSET($BM$9,CL17-1,0,1,1))*OFFSET($CI$9,CL17-1,0,1,1))+OFFSET($BP$9,CL17-1,CQ17,1,1),IF(F17&lt;OFFSET($BN$9,CL17+0,0,1,1),((F17-OFFSET($BM$9,CL17+0,0,1,1))*OFFSET($CI$9,CL17+0,0,1,1))+OFFSET($BP$9,CL17+0,CQ17,1,1),IF(F17&lt;OFFSET($BN$9,CL17+1,0,1,1),((F17-OFFSET($BM$9,CL17+1,0,1,1))*OFFSET($CI$9,CL17+1,0,1,1))+OFFSET($BP$9,CL17+1,CQ17,1,1),IF(F17&lt;OFFSET($BN$9,CL17+2,0,1,1),((F17-OFFSET($BM$9,CL17+2,0,1,1))*OFFSET($CI$9,CL17+2,0,1,1))+OFFSET($BP$9,CL17+2,CQ17,1,1),IF(F17&lt;OFFSET($BN$9,CL17+3,0,1,1),((F17-OFFSET($BM$9,CL17+3,0,1,1))*OFFSET($CI$9,CL17+3,0,1,1))+OFFSET($BP$9,CL17+3,CQ17,1,1),0))))))</f>
        <v>0</v>
      </c>
      <c r="CV17" s="51">
        <f ca="1">IF($F17&lt;OFFSET($BM$9,$CL17-1,0,1,1),0,IF($F17&lt;OFFSET($BN$9,$CL17-1,0,1,1),IF(AND($H17&gt;2.4,Z17&lt;&gt;"e",Z17&lt;&gt;"f"),CZ17*2.4/$H17,CZ17),IF($F17&lt;OFFSET($BN$9,$CL17+0,0,1,1),IF(AND($H17&gt;2.4,Z17&lt;&gt;"e",Z17&lt;&gt;"f"),CZ17*2.4/$H17,CZ17),IF($F17&lt;OFFSET($BN$9,$CL17+1,0,1,1),IF(AND($H17&gt;2.4,Z17&lt;&gt;"e",Z17&lt;&gt;"f"),CZ17*2.4/$H17,CZ17),IF($F17&lt;OFFSET($BN$9,$CL17+2,0,1,1),IF(AND($H17&gt;2.4,Z17&lt;&gt;"e",Z17&lt;&gt;"f"),CZ17*2.4/$H17,CZ17),IF($F17&lt;OFFSET($BN$9,$CL17+3,0,1,1),IF(AND($H17&gt;2.4,Z17&lt;&gt;"e",Z17&lt;&gt;"f"),CZ17*2.4/$H17,CZ17),0)))))*COS(RADIANS($G17)))</f>
        <v>0</v>
      </c>
      <c r="CW17" s="51">
        <f ca="1">IF(CT17&gt;CR17,CR17,CT17)</f>
        <v>0</v>
      </c>
      <c r="CX17" s="51">
        <f ca="1">IF(CS17&gt;$CR17,$CR17,CS17)</f>
        <v>0</v>
      </c>
      <c r="CY17" s="51">
        <f ca="1">CW17*F17</f>
        <v>0</v>
      </c>
      <c r="CZ17" s="51">
        <f ca="1">IF($CU17&gt;$CR17,$CR17,$CU17)</f>
        <v>0</v>
      </c>
      <c r="DA17" s="51">
        <f ca="1">IF(CV17&gt;CR17,CR17,CV17)</f>
        <v>0</v>
      </c>
      <c r="DB17" s="51">
        <f ca="1">DA17*F17</f>
        <v>0</v>
      </c>
      <c r="DC17" s="993">
        <v>1</v>
      </c>
      <c r="DD17" s="758" t="str">
        <f>IF(OR(D17=BG$12,D17=BG$13),"External",IF(D17=BG$14,"Internal"," "))</f>
        <v xml:space="preserve"> </v>
      </c>
      <c r="DE17" s="51" t="str">
        <f t="shared" ca="1" si="1"/>
        <v/>
      </c>
      <c r="DF17" s="52" t="str">
        <f t="shared" ca="1" si="2"/>
        <v xml:space="preserve"> </v>
      </c>
      <c r="DG17" s="51">
        <f ca="1">IF(F17&lt;OFFSET($BM$9,CN17-1,0,1,1),0,IF(F17&lt;OFFSET($BN$9,CN17-1,0,1,1),((F17-OFFSET($BM$9,CN17-1,0,1,1))*OFFSET($CH$9,CN17-1,0,1,1))+OFFSET($BO$9,CN17-1,CQ17,1,1),IF(F17&lt;OFFSET($BN$9,CN17+0,0,1,1),((F17-OFFSET($BM$9,CN17+0,0,1,1))*OFFSET($CH$9,CN17+0,0,1,1))+OFFSET($BO$9,CN17+0,CQ17,1,1),IF(F17&lt;OFFSET($BN$9,CN17+1,0,1,1),((F17-OFFSET($BM$9,CN17+1,0,1,1))*OFFSET($CH$9,CN17+1,0,1,1))+OFFSET($BO$9,CN17+1,CQ17,1,1),IF(F17&lt;OFFSET($BN$9,CN17+2,0,1,1),((F17-OFFSET($BM$9,CN17+2,0,1,1))*OFFSET($CH$9,CN17+2,0,1,1))+OFFSET($BO$9,CN17+2,CQ17,1,1),IF(F17&lt;OFFSET($BN$9,CN17+3,0,1,1),((F17-OFFSET($BM$9,CN17+3,0,1,1))*OFFSET($CH$9,CN17+3,0,1,1))+OFFSET($BO$9,CN17+3,CQ17,1,1),0))))))</f>
        <v>0</v>
      </c>
      <c r="DH17" s="51">
        <f ca="1">IF($F17&lt;OFFSET($BM$9,$CN17-1,0,1,1),0,IF($F17&lt;OFFSET($BN$9,$CN17-1,0,1,1),IF(AND($H17&gt;2.4,Z17&lt;&gt;"e",Z17&lt;&gt;"f"),DL17*2.4/$H17,DL17),IF($F17&lt;OFFSET($BN$9,$CN17+0,0,1,1),IF(AND($H17&gt;2.4,Z17&lt;&gt;"e",Z17&lt;&gt;"f"),DL17*2.4/$H17,DL17),IF($F17&lt;OFFSET($BN$9,$CN17+1,0,1,1),IF(AND($H17&gt;2.4,Z17&lt;&gt;"e",Z17&lt;&gt;"f"),DL17*2.4/$H17,DL17),IF($F17&lt;OFFSET($BN$9,$CN17+2,0,1,1),IF(AND($H17&gt;2.4,Z17&lt;&gt;"e",Z17&lt;&gt;"f"),DL17*2.4/$H17,DL17),IF($F17&lt;OFFSET($BN$9,$CN17+3,0,1,1),IF(AND($H17&gt;2.4,Z17&lt;&gt;"e",Z17&lt;&gt;"f"),DL17*2.4/$H17,DL17),0)))))*COS(RADIANS($G17)))</f>
        <v>0</v>
      </c>
      <c r="DI17" s="51">
        <f ca="1">IF(F17&lt;OFFSET($BM$9,CN17-1,0,1,1),0,IF(F17&lt;OFFSET($BN$9,CN17-1,0,1,1),((F17-OFFSET($BM$9,CN17-1,0,1,1))*OFFSET($CI$9,CN17-1,0,1,1))+OFFSET($BP$9,CN17-1,CQ17,1,1),IF(F17&lt;OFFSET($BN$9,CN17+0,0,1,1),((F17-OFFSET($BM$9,CN17+0,0,1,1))*OFFSET($CI$9,CN17+0,0,1,1))+OFFSET($BP$9,CN17+0,CQ17,1,1),IF(F17&lt;OFFSET($BN$9,CN17+1,0,1,1),((F17-OFFSET($BM$9,CN17+1,0,1,1))*OFFSET($CI$9,CN17+1,0,1,1))+OFFSET($BP$9,CN17+1,CQ17,1,1),IF(F17&lt;OFFSET($BN$9,CN17+2,0,1,1),((F17-OFFSET($BM$9,CN17+2,0,1,1))*OFFSET($CI$9,CN17+2,0,1,1))+OFFSET($BP$9,CN17+2,CQ17,1,1),IF(F17&lt;OFFSET($BN$9,CN17+3,0,1,1),((F17-OFFSET($BM$9,CN17+3,0,1,1))*OFFSET($CI$9,CN17+3,0,1,1))+OFFSET($BP$9,CN17+3,CQ17,1,1),0))))))</f>
        <v>0</v>
      </c>
      <c r="DJ17" s="51">
        <f ca="1">IF($F17&lt;OFFSET($BM$9,$CN17-1,0,1,1),0,IF($F17&lt;OFFSET($BN$9,$CN17-1,0,1,1),IF(AND($H17&gt;2.4,Z17&lt;&gt;"e",Z17&lt;&gt;"f"),DN17*2.4/$H17,DN17),IF($F17&lt;OFFSET($BN$9,$CN17+0,0,1,1),IF(AND($H17&gt;2.4,Z17&lt;&gt;"e",Z17&lt;&gt;"f"),DN17*2.4/$H17,DN17),IF($F17&lt;OFFSET($BN$9,$CN17+1,0,1,1),IF(AND($H17&gt;2.4,Z17&lt;&gt;"e",Z17&lt;&gt;"f"),DN17*2.4/$H17,DN17),IF($F17&lt;OFFSET($BN$9,$CN17+2,0,1,1),IF(AND($H17&gt;2.4,Z17&lt;&gt;"e",Z17&lt;&gt;"f"),DN17*2.4/$H17,DN17),IF($F17&lt;OFFSET($BN$9,$CN17+3,0,1,1),IF(AND($H17&gt;2.4,Z17&lt;&gt;"e",Z17&lt;&gt;"f"),DN17*2.4/$H17,DN17),0)))))*COS(RADIANS($G17)))</f>
        <v>0</v>
      </c>
      <c r="DK17" s="51"/>
      <c r="DL17" s="51">
        <f ca="1">IF(DG17&gt;$CR17,$CR17,DG17)</f>
        <v>0</v>
      </c>
      <c r="DM17" s="51"/>
      <c r="DN17" s="51">
        <f ca="1">IF(DI17&gt;$CR17,$CR17,DI17)</f>
        <v>0</v>
      </c>
      <c r="DO17" s="435">
        <f ca="1">IF(DH17&gt;$CR17,$CR17,DH17)</f>
        <v>0</v>
      </c>
      <c r="DP17" s="435">
        <f ca="1">DO17*F17</f>
        <v>0</v>
      </c>
      <c r="DQ17" s="436">
        <f ca="1">IF(DJ17&gt;$CR17,$CR17,DJ17)</f>
        <v>0</v>
      </c>
      <c r="DR17" s="437">
        <f ca="1">DQ17*F17</f>
        <v>0</v>
      </c>
      <c r="DS17" s="426">
        <f ca="1">OFFSET($CH$9,CL17-1,-15,1,1)</f>
        <v>0</v>
      </c>
      <c r="DT17" s="426">
        <f ca="1">VLOOKUP(DS17,Prodlink,2,0)</f>
        <v>0</v>
      </c>
      <c r="DU17" s="188">
        <f ca="1">IF(F17&lt;OFFSET($BM$9,DT17-1,0,1,1),0,IF(F17&lt;OFFSET($BN$9,DT17-1,0,1,1),((F17-OFFSET($BM$9,DT17-1,0,1,1))*OFFSET($CH$9,DT17-1,0,1,1))+OFFSET($BO$9,DT17-1,CQ17,1,1),IF(F17&lt;OFFSET($BN$9,DT17+0,0,1,1),((F17-OFFSET($BM$9,DT17+0,0,1,1))*OFFSET($CH$9,DT17+0,0,1,1))+OFFSET($BO$9,DT17+0,CQ17,1,1),IF(F17&lt;OFFSET($BN$9,DT17+1,0,1,1),((F17-OFFSET($BM$9,DT17+1,0,1,1))*OFFSET($CH$9,DT17+1,0,1,1))+OFFSET($BO$9,DT17+1,CQ17,1,1),IF(F17&lt;OFFSET($BN$9,DT17+2,0,1,1),((F17-OFFSET($BM$9,DT17+2,0,1,1))*OFFSET($CH$9,DT17+2,0,1,1))+OFFSET($BO$9,DT17+2,CQ17,1,1),IF(F17&lt;OFFSET($BN$9,DT17+3,0,1,1),((F17-OFFSET($BM$9,DT17+3,0,1,1))*OFFSET($CH$9,DT17+3,0,1,1))+OFFSET($BO$9,DT17+3,CQ17,1,1),0))))))</f>
        <v>0</v>
      </c>
      <c r="DV17" s="51">
        <f ca="1">IF($F17&lt;OFFSET($BM$9,$DT17-1,0,1,1),0,IF($F17&lt;OFFSET($BN$9,$DT17-1,0,1,1),IF(AND($H17&gt;2.4,Z17&lt;&gt;"e",Z17&lt;&gt;"f"),DZ17*2.4/$H17,DZ17),IF($F17&lt;OFFSET($BN$9,$DT17+0,0,1,1),IF(AND($H17&gt;2.4,Z17&lt;&gt;"e",Z17&lt;&gt;"f"),DZ17*2.4/$H17,DZ17),IF($F17&lt;OFFSET($BN$9,$DT17+1,0,1,1),IF(AND($H17&gt;2.4,Z17&lt;&gt;"e",Z17&lt;&gt;"f"),DZ17*2.4/$H17,DZ17),IF($F17&lt;OFFSET($BN$9,$DT17+2,0,1,1),IF(AND($H17&gt;2.4,Z17&lt;&gt;"e",Z17&lt;&gt;"f"),DZ17*2.4/$H17,DZ17),IF($F17&lt;OFFSET($BN$9,$DT17+3,0,1,1),IF(AND($H17&gt;2.4,Z17&lt;&gt;"e",Z17&lt;&gt;"f"),DZ17*2.4/$H17,DZ17),0)))))*COS(RADIANS($G17)))</f>
        <v>0</v>
      </c>
      <c r="DW17" s="188">
        <f ca="1">IF(F17&lt;OFFSET($BM$9,DT17-1,0,1,1),0,IF(F17&lt;OFFSET($BN$9,DT17-1,0,1,1),((F17-OFFSET($BM$9,DT17-1,0,1,1))*OFFSET($CI$9,DT17-1,0,1,1))+OFFSET($BP$9,DT17-1,CQ17,1,1),IF(F17&lt;OFFSET($BN$9,DT17+0,0,1,1),((F17-OFFSET($BM$9,DT17+0,0,1,1))*OFFSET($CI$9,DT17+0,0,1,1))+OFFSET($BP$9,DT17+0,CQ17,1,1),IF(F17&lt;OFFSET($BN$9,DT17+1,0,1,1),((F17-OFFSET($BM$9,DT17+1,0,1,1))*OFFSET($CI$9,DT17+1,0,1,1))+OFFSET($BP$9,DT17+1,CQ17,1,1),IF(F17&lt;OFFSET($BN$9,DT17+2,0,1,1),((F17-OFFSET($BM$9,DT17+2,0,1,1))*OFFSET($CI$9,DT17+2,0,1,1))+OFFSET($BP$9,DT17+2,CQ17,1,1),IF(F17&lt;OFFSET($BN$9,DT17+3,0,1,1),((F17-OFFSET($BM$9,DT17+3,0,1,1))*OFFSET($CI$9,DT17+3,0,1,1))+OFFSET($BP$9,DT17+3,CQ17,1,1),0))))))</f>
        <v>0</v>
      </c>
      <c r="DX17" s="51">
        <f ca="1">IF($F17&lt;OFFSET($BM$9,$DT17-1,0,1,1),0,IF($F17&lt;OFFSET($BN$9,$DT17-1,0,1,1),IF(AND($H17&gt;2.4,Z17&lt;&gt;"e",Z17&lt;&gt;"f"),EB17*2.4/$H17,EB17),IF($F17&lt;OFFSET($BN$9,$DT17+0,0,1,1),IF(AND($H17&gt;2.4,Z17&lt;&gt;"e",Z17&lt;&gt;"f"),EB17*2.4/$H17,EB17),IF($F17&lt;OFFSET($BN$9,$DT17+1,0,1,1),IF(AND($H17&gt;2.4,Z17&lt;&gt;"e",Z17&lt;&gt;"f"),EB17*2.4/$H17,EB17),IF($F17&lt;OFFSET($BN$9,$DT17+2,0,1,1),IF(AND($H17&gt;2.4,Z17&lt;&gt;"e",Z17&lt;&gt;"f"),EB17*2.4/$H17,EB17),IF($F17&lt;OFFSET($BN$9,$DT17+3,0,1,1),IF(AND($H17&gt;2.4,Z17&lt;&gt;"e",Z17&lt;&gt;"f"),EB17*2.4/$H17,EB17),0)))))*COS(RADIANS($G17)))</f>
        <v>0</v>
      </c>
      <c r="DY17" s="188"/>
      <c r="DZ17" s="188">
        <f ca="1">IF(DU17&gt;$CR17,$CR17,DU17)</f>
        <v>0</v>
      </c>
      <c r="EA17" s="188"/>
      <c r="EB17" s="188">
        <f ca="1">IF(DW17&gt;$CR17,$CR17,DW17)</f>
        <v>0</v>
      </c>
      <c r="EC17" s="435">
        <f ca="1">IF(DV17&gt;$CR17,$CR17,DV17)</f>
        <v>0</v>
      </c>
      <c r="ED17" s="435">
        <f ca="1">EC17*F17</f>
        <v>0</v>
      </c>
      <c r="EE17" s="436">
        <f ca="1">IF(DX17&gt;$CR17,$CR17,DX17)</f>
        <v>0</v>
      </c>
      <c r="EF17" s="437">
        <f ca="1">EE17*F17</f>
        <v>0</v>
      </c>
      <c r="EG17" s="613" t="str">
        <f>IF(D17=BG$12,BG$12,"")</f>
        <v/>
      </c>
      <c r="EH17" s="614" t="str">
        <f>IF(D17=BG$13,BG$13,"")</f>
        <v/>
      </c>
      <c r="EI17" s="611">
        <f>IF(EG17=BG$12,M17,0)</f>
        <v>0</v>
      </c>
      <c r="EJ17" s="451">
        <f>IF(EG17=BG$12,O17,0)</f>
        <v>0</v>
      </c>
      <c r="EK17" s="451">
        <f>IF(EH17=BG$13,M17,0)</f>
        <v>0</v>
      </c>
      <c r="EL17" s="612">
        <f>IF(EH17=BG$13,O17,0)</f>
        <v>0</v>
      </c>
      <c r="EM17" s="426" t="str">
        <f ca="1">IF(AND(Z17&lt;&gt;"t",Z17&lt;&gt;"f"),"",IF(AND(EN17=$BH$13,K17=$BH$12),"NotOpt",IF(K17&lt;&gt;EN17,"Error","")))</f>
        <v/>
      </c>
      <c r="EN17" s="490" t="str">
        <f>IF($BG$28=1,$BH$13,$BH$12)</f>
        <v>120 BU's</v>
      </c>
      <c r="EO17" s="426" t="str">
        <f>K17</f>
        <v xml:space="preserve"> </v>
      </c>
      <c r="EP17" s="430">
        <v>1</v>
      </c>
      <c r="EQ17" s="430" t="str">
        <f ca="1">IF(EP17=1," ",OFFSET(BF$16,EP17-2,0,1,1))</f>
        <v xml:space="preserve"> </v>
      </c>
      <c r="ER17" s="439" t="str">
        <f ca="1">IF(H17=0," ",H17)</f>
        <v xml:space="preserve"> </v>
      </c>
      <c r="ES17" s="440" t="str">
        <f ca="1">IF(ER17&lt;&gt;" ",IF(ER17&lt;&gt;ER$7,"Changed",""),"")</f>
        <v/>
      </c>
      <c r="ET17" s="440">
        <f ca="1">IF(ER17&lt;&gt;" ",IF(ER17&lt;&gt;ER$7,1,0),0)</f>
        <v>0</v>
      </c>
      <c r="EU17" s="957" t="str">
        <f ca="1">IF(I17=" "," ",IF(F17&lt;OFFSET($BM$9,CL17-1,0,1,1),1,""))</f>
        <v xml:space="preserve"> </v>
      </c>
      <c r="EW17" s="427"/>
      <c r="EX17"/>
      <c r="EY17"/>
      <c r="EZ17"/>
      <c r="FA17"/>
    </row>
    <row r="18" spans="2:157" ht="17.100000000000001" customHeight="1" thickBot="1">
      <c r="B18" s="689" t="s">
        <v>246</v>
      </c>
      <c r="C18" s="684" t="str">
        <f>IF(OR(F18=0,I18="",I18=" ")," ",$V18)</f>
        <v xml:space="preserve"> </v>
      </c>
      <c r="D18" s="1419"/>
      <c r="E18" s="1034" t="s">
        <v>8</v>
      </c>
      <c r="F18" s="202"/>
      <c r="G18" s="1416"/>
      <c r="H18" s="199" t="str">
        <f ca="1">IF(OR(F18=0,Z18="E",Z18="f")," ",'Project Demand'!E$45)</f>
        <v xml:space="preserve"> </v>
      </c>
      <c r="I18" s="631" t="str">
        <f>IF($I$6&lt;&gt;$BG$8," ",AB18)</f>
        <v xml:space="preserve"> </v>
      </c>
      <c r="J18" s="44" t="str">
        <f ca="1">IF(OR(I18=" ",I18="")," ",OFFSET($BO$9,CL18-1,0-4,1,1))</f>
        <v xml:space="preserve"> </v>
      </c>
      <c r="K18" s="55" t="str">
        <f>IF(OR(I18=" ",I18="")," ",IF(OR(Z18="e",Z18="h"),"SD",BG$24))</f>
        <v xml:space="preserve"> </v>
      </c>
      <c r="L18" s="49">
        <f ca="1">CW18</f>
        <v>0</v>
      </c>
      <c r="M18" s="49">
        <f ca="1">CY18</f>
        <v>0</v>
      </c>
      <c r="N18" s="50">
        <f t="shared" ca="1" si="15"/>
        <v>0</v>
      </c>
      <c r="O18" s="126">
        <f t="shared" ca="1" si="15"/>
        <v>0</v>
      </c>
      <c r="P18" s="140"/>
      <c r="Q18" s="752" t="str">
        <f ca="1">IF(AND(OR(Z18="t",Z18="f"),K18=$BH$11),"No Floor!  Change Floor Type",IF(OR(I18=" ",I18="")," ",IF(F18&lt;OFFSET($BM$9,CL18-1,0,1,1),"check L(m)",DE18&amp;IF(AND(DP18&gt;=CY18,DR18&gt;=DB18),IF(AND(ED18&gt;=DP18,EF18&gt;=DR18),CONCATENATE(DS18," will provide same result"),CONCATENATE(CO18," will provide same result")),IF((DP18&gt;=CY18),CONCATENATE(CO18," provides same result in WIND"),IF((DR18&gt;=DB18),CONCATENATE(CO18," provides same result in EQ"),""))))))&amp;IF(ISERROR(FIND("pile",I18,1)),"",IF(INT(F18)&lt;&gt;F18,"Pile!  Use Whole Numbers Only",""))</f>
        <v xml:space="preserve"> </v>
      </c>
      <c r="T18" s="52"/>
      <c r="U18" s="1377"/>
      <c r="V18" s="52" t="str">
        <f ca="1">IF(AND(B$5=$BF$9,OR(I18=BH$16,I18=BH$17))," ",IF(ISNUMBER(B$14),(CONCATENATE(B$14,".",W18)),(CONCATENATE(B$14,W18))))</f>
        <v>N0</v>
      </c>
      <c r="W18" s="9">
        <f ca="1">W17+X18</f>
        <v>0</v>
      </c>
      <c r="X18" s="9">
        <f>IF(AND(B$5=$BF$9,OR($I18=$BH$16,$I18=$BH$17,$I18=" ",$I18="",$F18=0)),0,IF(OR($I18=" ",$I18="",$F18=0),0,1))</f>
        <v>0</v>
      </c>
      <c r="Y18" s="896"/>
      <c r="Z18" s="52" t="str">
        <f ca="1">IF(I18=" "," ",OFFSET($BM$9,$CL18-1,8,1,1))</f>
        <v xml:space="preserve"> </v>
      </c>
      <c r="AA18" s="51" t="str">
        <f>IF(G18&gt;=45,"WA","")</f>
        <v/>
      </c>
      <c r="AB18" s="1364" t="str">
        <f>IF(F18&lt;&gt;"",IF(OR(D18=$BG$12,D18=$BG$13),IF(E18&lt;&gt;$BG$17,$BF$12,$BF$13),IF(E18&lt;&gt;$BG$17,$BF$12,$BF$13))," ")</f>
        <v xml:space="preserve"> </v>
      </c>
      <c r="AC18" s="1"/>
      <c r="AJ18" s="2230"/>
      <c r="AK18" s="2793"/>
      <c r="AL18" s="2784"/>
      <c r="AM18" s="11">
        <f>'Regular and QuickBrace Systems'!F32</f>
        <v>0.8</v>
      </c>
      <c r="AN18" s="1336">
        <f>'Regular and QuickBrace Systems'!G32</f>
        <v>95</v>
      </c>
      <c r="AO18" s="26">
        <f>'Regular and QuickBrace Systems'!H32</f>
        <v>83</v>
      </c>
      <c r="AP18" s="1595"/>
      <c r="AQ18" s="2663"/>
      <c r="AR18" s="2664"/>
      <c r="AS18" s="2031"/>
      <c r="AT18" s="1339"/>
      <c r="AU18" s="2090"/>
      <c r="AW18" s="1569" t="str">
        <f>'Regular and QuickBrace Systems'!O32</f>
        <v>Yes</v>
      </c>
      <c r="AX18" s="442" t="str">
        <f>'Regular and QuickBrace Systems'!Q32</f>
        <v>No</v>
      </c>
      <c r="BA18"/>
      <c r="BB18"/>
      <c r="BC18"/>
      <c r="BD18" s="638"/>
      <c r="BF18" s="598" t="str">
        <f>Table!AI78</f>
        <v>ESSN</v>
      </c>
      <c r="BG18" s="949"/>
      <c r="BI18" s="759"/>
      <c r="BJ18" s="897">
        <f t="shared" si="3"/>
        <v>10</v>
      </c>
      <c r="BK18" s="769" t="str">
        <f t="shared" si="6"/>
        <v xml:space="preserve">  </v>
      </c>
      <c r="BL18" s="771" t="str">
        <f t="shared" si="7"/>
        <v>Custom7</v>
      </c>
      <c r="BM18" s="455">
        <f t="shared" si="8"/>
        <v>9.9999999999999996E-76</v>
      </c>
      <c r="BN18" s="455">
        <v>999</v>
      </c>
      <c r="BO18" s="455">
        <f t="shared" si="9"/>
        <v>0</v>
      </c>
      <c r="BP18" s="925">
        <f t="shared" si="10"/>
        <v>0</v>
      </c>
      <c r="BR18" s="764"/>
      <c r="BS18" s="455"/>
      <c r="BT18" s="455" t="str">
        <f t="shared" si="11"/>
        <v>B</v>
      </c>
      <c r="BU18" s="925" t="str">
        <f t="shared" si="12"/>
        <v>T</v>
      </c>
      <c r="BV18" s="1239" t="str">
        <f t="shared" si="13"/>
        <v>Custom7</v>
      </c>
      <c r="BW18" s="1236">
        <f t="shared" si="16"/>
        <v>10</v>
      </c>
      <c r="BX18" s="925" t="str">
        <f t="shared" si="14"/>
        <v>Single</v>
      </c>
      <c r="CH18" s="764">
        <f t="shared" si="4"/>
        <v>0</v>
      </c>
      <c r="CI18" s="925">
        <f t="shared" si="5"/>
        <v>0</v>
      </c>
      <c r="CJ18" s="759"/>
      <c r="CK18" s="188"/>
      <c r="CL18" s="979">
        <f>VLOOKUP(I18,Prodlink,2,0)</f>
        <v>0</v>
      </c>
      <c r="CN18" s="497">
        <f ca="1">VLOOKUP(CO18,Prodlink,2,0)</f>
        <v>0</v>
      </c>
      <c r="CO18" s="497">
        <f ca="1">OFFSET($CH$9,CL18-1,-15,1,1)</f>
        <v>0</v>
      </c>
      <c r="CQ18" s="51">
        <v>0</v>
      </c>
      <c r="CR18" s="51">
        <f>IF(K18=$BH$12,$BH$23,IF(K18=$BH$13,$BH$24,10000))</f>
        <v>10000</v>
      </c>
      <c r="CS18" s="51">
        <f ca="1">IF(F18&lt;OFFSET($BM$9,CL18-1,0,1,1),0,IF(F18&lt;OFFSET($BN$9,CL18-1,0,1,1),((F18-OFFSET($BM$9,CL18-1,0,1,1))*OFFSET($CH$9,CL18-1,0,1,1))+OFFSET($BO$9,CL18-1,CQ18,1,1),IF(F18&lt;OFFSET($BN$9,CL18+0,0,1,1),((F18-OFFSET($BM$9,CL18+0,0,1,1))*OFFSET($CH$9,CL18+0,0,1,1))+OFFSET($BO$9,CL18+0,CQ18,1,1),IF(F18&lt;OFFSET($BN$9,CL18+1,0,1,1),((F18-OFFSET($BM$9,CL18+1,0,1,1))*OFFSET($CH$9,CL18+1,0,1,1))+OFFSET($BO$9,CL18+1,CQ18,1,1),IF(F18&lt;OFFSET($BN$9,CL18+2,0,1,1),((F18-OFFSET($BM$9,CL18+2,0,1,1))*OFFSET($CH$9,CL18+2,0,1,1))+OFFSET($BO$9,CL18+2,CQ18,1,1),IF(F18&lt;OFFSET($BN$9,CL18+3,0,1,1),((F18-OFFSET($BM$9,CL18+3,0,1,1))*OFFSET($CH$9,CL18+3,0,1,1))+OFFSET($BO$9,CL18+3,CQ18,1,1),0))))))</f>
        <v>0</v>
      </c>
      <c r="CT18" s="51">
        <f ca="1">IF($F18&lt;OFFSET($BM$9,$CL18-1,0,1,1),0,IF($F18&lt;OFFSET($BN$9,$CL18-1,0,1,1),IF(AND($H18&gt;2.4,Z18&lt;&gt;"e",Z18&lt;&gt;"f"),CX18*2.4/$H18,CX18),IF($F18&lt;OFFSET($BN$9,$CL18+0,0,1,1),IF(AND($H18&gt;2.4,Z18&lt;&gt;"e",Z18&lt;&gt;"f"),CX18*2.4/$H18,CX18),IF($F18&lt;OFFSET($BN$9,$CL18+1,0,1,1),IF(AND($H18&gt;2.4,Z18&lt;&gt;"e",Z18&lt;&gt;"f"),CX18*2.4/$H18,CX18),IF($F18&lt;OFFSET($BN$9,CL18+2,0,1,1),IF(AND($H18&gt;2.4,Z18&lt;&gt;"e",Z18&lt;&gt;"f"),CX18*2.4/$H18,CX18),IF($F18&lt;OFFSET($BN$9,CL18+3,0,1,1),IF(AND($H18&gt;2.4,Z18&lt;&gt;"e",Z18&lt;&gt;"f"),CX18*2.4/$H18,CX18),0)))))*COS(RADIANS($G18)))</f>
        <v>0</v>
      </c>
      <c r="CU18" s="51">
        <f ca="1">IF(F18&lt;OFFSET($BM$9,CL18-1,0,1,1),0,IF(F18&lt;OFFSET($BN$9,CL18-1,0,1,1),((F18-OFFSET($BM$9,CL18-1,0,1,1))*OFFSET($CI$9,CL18-1,0,1,1))+OFFSET($BP$9,CL18-1,CQ18,1,1),IF(F18&lt;OFFSET($BN$9,CL18+0,0,1,1),((F18-OFFSET($BM$9,CL18+0,0,1,1))*OFFSET($CI$9,CL18+0,0,1,1))+OFFSET($BP$9,CL18+0,CQ18,1,1),IF(F18&lt;OFFSET($BN$9,CL18+1,0,1,1),((F18-OFFSET($BM$9,CL18+1,0,1,1))*OFFSET($CI$9,CL18+1,0,1,1))+OFFSET($BP$9,CL18+1,CQ18,1,1),IF(F18&lt;OFFSET($BN$9,CL18+2,0,1,1),((F18-OFFSET($BM$9,CL18+2,0,1,1))*OFFSET($CI$9,CL18+2,0,1,1))+OFFSET($BP$9,CL18+2,CQ18,1,1),IF(F18&lt;OFFSET($BN$9,CL18+3,0,1,1),((F18-OFFSET($BM$9,CL18+3,0,1,1))*OFFSET($CI$9,CL18+3,0,1,1))+OFFSET($BP$9,CL18+3,CQ18,1,1),0))))))</f>
        <v>0</v>
      </c>
      <c r="CV18" s="51">
        <f ca="1">IF($F18&lt;OFFSET($BM$9,$CL18-1,0,1,1),0,IF($F18&lt;OFFSET($BN$9,$CL18-1,0,1,1),IF(AND($H18&gt;2.4,Z18&lt;&gt;"e",Z18&lt;&gt;"f"),CZ18*2.4/$H18,CZ18),IF($F18&lt;OFFSET($BN$9,$CL18+0,0,1,1),IF(AND($H18&gt;2.4,Z18&lt;&gt;"e",Z18&lt;&gt;"f"),CZ18*2.4/$H18,CZ18),IF($F18&lt;OFFSET($BN$9,$CL18+1,0,1,1),IF(AND($H18&gt;2.4,Z18&lt;&gt;"e",Z18&lt;&gt;"f"),CZ18*2.4/$H18,CZ18),IF($F18&lt;OFFSET($BN$9,$CL18+2,0,1,1),IF(AND($H18&gt;2.4,Z18&lt;&gt;"e",Z18&lt;&gt;"f"),CZ18*2.4/$H18,CZ18),IF($F18&lt;OFFSET($BN$9,$CL18+3,0,1,1),IF(AND($H18&gt;2.4,Z18&lt;&gt;"e",Z18&lt;&gt;"f"),CZ18*2.4/$H18,CZ18),0)))))*COS(RADIANS($G18)))</f>
        <v>0</v>
      </c>
      <c r="CW18" s="51">
        <f ca="1">IF(CT18&gt;CR18,CR18,CT18)</f>
        <v>0</v>
      </c>
      <c r="CX18" s="51">
        <f ca="1">IF(CS18&gt;$CR18,$CR18,CS18)</f>
        <v>0</v>
      </c>
      <c r="CY18" s="51">
        <f ca="1">CW18*F18</f>
        <v>0</v>
      </c>
      <c r="CZ18" s="51">
        <f ca="1">IF($CU18&gt;$CR18,$CR18,$CU18)</f>
        <v>0</v>
      </c>
      <c r="DA18" s="51">
        <f ca="1">IF(CV18&gt;CR18,CR18,CV18)</f>
        <v>0</v>
      </c>
      <c r="DB18" s="51">
        <f ca="1">DA18*F18</f>
        <v>0</v>
      </c>
      <c r="DC18" s="993">
        <v>1</v>
      </c>
      <c r="DD18" s="758" t="str">
        <f>IF(OR(D18=BG$12,D18=BG$13),"External",IF(D18=BG$14,"Internal"," "))</f>
        <v xml:space="preserve"> </v>
      </c>
      <c r="DE18" s="51" t="str">
        <f t="shared" ca="1" si="1"/>
        <v/>
      </c>
      <c r="DF18" s="52" t="str">
        <f t="shared" ca="1" si="2"/>
        <v xml:space="preserve"> </v>
      </c>
      <c r="DG18" s="51">
        <f ca="1">IF(F18&lt;OFFSET($BM$9,CN18-1,0,1,1),0,IF(F18&lt;OFFSET($BN$9,CN18-1,0,1,1),((F18-OFFSET($BM$9,CN18-1,0,1,1))*OFFSET($CH$9,CN18-1,0,1,1))+OFFSET($BO$9,CN18-1,CQ18,1,1),IF(F18&lt;OFFSET($BN$9,CN18+0,0,1,1),((F18-OFFSET($BM$9,CN18+0,0,1,1))*OFFSET($CH$9,CN18+0,0,1,1))+OFFSET($BO$9,CN18+0,CQ18,1,1),IF(F18&lt;OFFSET($BN$9,CN18+1,0,1,1),((F18-OFFSET($BM$9,CN18+1,0,1,1))*OFFSET($CH$9,CN18+1,0,1,1))+OFFSET($BO$9,CN18+1,CQ18,1,1),IF(F18&lt;OFFSET($BN$9,CN18+2,0,1,1),((F18-OFFSET($BM$9,CN18+2,0,1,1))*OFFSET($CH$9,CN18+2,0,1,1))+OFFSET($BO$9,CN18+2,CQ18,1,1),IF(F18&lt;OFFSET($BN$9,CN18+3,0,1,1),((F18-OFFSET($BM$9,CN18+3,0,1,1))*OFFSET($CH$9,CN18+3,0,1,1))+OFFSET($BO$9,CN18+3,CQ18,1,1),0))))))</f>
        <v>0</v>
      </c>
      <c r="DH18" s="51">
        <f ca="1">IF($F18&lt;OFFSET($BM$9,$CN18-1,0,1,1),0,IF($F18&lt;OFFSET($BN$9,$CN18-1,0,1,1),IF(AND($H18&gt;2.4,Z18&lt;&gt;"e",Z18&lt;&gt;"f"),DL18*2.4/$H18,DL18),IF($F18&lt;OFFSET($BN$9,$CN18+0,0,1,1),IF(AND($H18&gt;2.4,Z18&lt;&gt;"e",Z18&lt;&gt;"f"),DL18*2.4/$H18,DL18),IF($F18&lt;OFFSET($BN$9,$CN18+1,0,1,1),IF(AND($H18&gt;2.4,Z18&lt;&gt;"e",Z18&lt;&gt;"f"),DL18*2.4/$H18,DL18),IF($F18&lt;OFFSET($BN$9,$CN18+2,0,1,1),IF(AND($H18&gt;2.4,Z18&lt;&gt;"e",Z18&lt;&gt;"f"),DL18*2.4/$H18,DL18),IF($F18&lt;OFFSET($BN$9,$CN18+3,0,1,1),IF(AND($H18&gt;2.4,Z18&lt;&gt;"e",Z18&lt;&gt;"f"),DL18*2.4/$H18,DL18),0)))))*COS(RADIANS($G18)))</f>
        <v>0</v>
      </c>
      <c r="DI18" s="51">
        <f ca="1">IF(F18&lt;OFFSET($BM$9,CN18-1,0,1,1),0,IF(F18&lt;OFFSET($BN$9,CN18-1,0,1,1),((F18-OFFSET($BM$9,CN18-1,0,1,1))*OFFSET($CI$9,CN18-1,0,1,1))+OFFSET($BP$9,CN18-1,CQ18,1,1),IF(F18&lt;OFFSET($BN$9,CN18+0,0,1,1),((F18-OFFSET($BM$9,CN18+0,0,1,1))*OFFSET($CI$9,CN18+0,0,1,1))+OFFSET($BP$9,CN18+0,CQ18,1,1),IF(F18&lt;OFFSET($BN$9,CN18+1,0,1,1),((F18-OFFSET($BM$9,CN18+1,0,1,1))*OFFSET($CI$9,CN18+1,0,1,1))+OFFSET($BP$9,CN18+1,CQ18,1,1),IF(F18&lt;OFFSET($BN$9,CN18+2,0,1,1),((F18-OFFSET($BM$9,CN18+2,0,1,1))*OFFSET($CI$9,CN18+2,0,1,1))+OFFSET($BP$9,CN18+2,CQ18,1,1),IF(F18&lt;OFFSET($BN$9,CN18+3,0,1,1),((F18-OFFSET($BM$9,CN18+3,0,1,1))*OFFSET($CI$9,CN18+3,0,1,1))+OFFSET($BP$9,CN18+3,CQ18,1,1),0))))))</f>
        <v>0</v>
      </c>
      <c r="DJ18" s="51">
        <f ca="1">IF($F18&lt;OFFSET($BM$9,$CN18-1,0,1,1),0,IF($F18&lt;OFFSET($BN$9,$CN18-1,0,1,1),IF(AND($H18&gt;2.4,Z18&lt;&gt;"e",Z18&lt;&gt;"f"),DN18*2.4/$H18,DN18),IF($F18&lt;OFFSET($BN$9,$CN18+0,0,1,1),IF(AND($H18&gt;2.4,Z18&lt;&gt;"e",Z18&lt;&gt;"f"),DN18*2.4/$H18,DN18),IF($F18&lt;OFFSET($BN$9,$CN18+1,0,1,1),IF(AND($H18&gt;2.4,Z18&lt;&gt;"e",Z18&lt;&gt;"f"),DN18*2.4/$H18,DN18),IF($F18&lt;OFFSET($BN$9,$CN18+2,0,1,1),IF(AND($H18&gt;2.4,Z18&lt;&gt;"e",Z18&lt;&gt;"f"),DN18*2.4/$H18,DN18),IF($F18&lt;OFFSET($BN$9,$CN18+3,0,1,1),IF(AND($H18&gt;2.4,Z18&lt;&gt;"e",Z18&lt;&gt;"f"),DN18*2.4/$H18,DN18),0)))))*COS(RADIANS($G18)))</f>
        <v>0</v>
      </c>
      <c r="DK18" s="51"/>
      <c r="DL18" s="51">
        <f ca="1">IF(DG18&gt;$CR18,$CR18,DG18)</f>
        <v>0</v>
      </c>
      <c r="DM18" s="51"/>
      <c r="DN18" s="51">
        <f ca="1">IF(DI18&gt;$CR18,$CR18,DI18)</f>
        <v>0</v>
      </c>
      <c r="DO18" s="435">
        <f ca="1">IF(DH18&gt;$CR18,$CR18,DH18)</f>
        <v>0</v>
      </c>
      <c r="DP18" s="435">
        <f ca="1">DO18*F18</f>
        <v>0</v>
      </c>
      <c r="DQ18" s="436">
        <f ca="1">IF(DJ18&gt;$CR18,$CR18,DJ18)</f>
        <v>0</v>
      </c>
      <c r="DR18" s="437">
        <f ca="1">DQ18*F18</f>
        <v>0</v>
      </c>
      <c r="DS18" s="426">
        <f ca="1">OFFSET($CH$9,CL18-1,-15,1,1)</f>
        <v>0</v>
      </c>
      <c r="DT18" s="426">
        <f ca="1">VLOOKUP(DS18,Prodlink,2,0)</f>
        <v>0</v>
      </c>
      <c r="DU18" s="188">
        <f ca="1">IF(F18&lt;OFFSET($BM$9,DT18-1,0,1,1),0,IF(F18&lt;OFFSET($BN$9,DT18-1,0,1,1),((F18-OFFSET($BM$9,DT18-1,0,1,1))*OFFSET($CH$9,DT18-1,0,1,1))+OFFSET($BO$9,DT18-1,CQ18,1,1),IF(F18&lt;OFFSET($BN$9,DT18+0,0,1,1),((F18-OFFSET($BM$9,DT18+0,0,1,1))*OFFSET($CH$9,DT18+0,0,1,1))+OFFSET($BO$9,DT18+0,CQ18,1,1),IF(F18&lt;OFFSET($BN$9,DT18+1,0,1,1),((F18-OFFSET($BM$9,DT18+1,0,1,1))*OFFSET($CH$9,DT18+1,0,1,1))+OFFSET($BO$9,DT18+1,CQ18,1,1),IF(F18&lt;OFFSET($BN$9,DT18+2,0,1,1),((F18-OFFSET($BM$9,DT18+2,0,1,1))*OFFSET($CH$9,DT18+2,0,1,1))+OFFSET($BO$9,DT18+2,CQ18,1,1),IF(F18&lt;OFFSET($BN$9,DT18+3,0,1,1),((F18-OFFSET($BM$9,DT18+3,0,1,1))*OFFSET($CH$9,DT18+3,0,1,1))+OFFSET($BO$9,DT18+3,CQ18,1,1),0))))))</f>
        <v>0</v>
      </c>
      <c r="DV18" s="51">
        <f ca="1">IF($F18&lt;OFFSET($BM$9,$DT18-1,0,1,1),0,IF($F18&lt;OFFSET($BN$9,$DT18-1,0,1,1),IF(AND($H18&gt;2.4,Z18&lt;&gt;"e",Z18&lt;&gt;"f"),DZ18*2.4/$H18,DZ18),IF($F18&lt;OFFSET($BN$9,$DT18+0,0,1,1),IF(AND($H18&gt;2.4,Z18&lt;&gt;"e",Z18&lt;&gt;"f"),DZ18*2.4/$H18,DZ18),IF($F18&lt;OFFSET($BN$9,$DT18+1,0,1,1),IF(AND($H18&gt;2.4,Z18&lt;&gt;"e",Z18&lt;&gt;"f"),DZ18*2.4/$H18,DZ18),IF($F18&lt;OFFSET($BN$9,$DT18+2,0,1,1),IF(AND($H18&gt;2.4,Z18&lt;&gt;"e",Z18&lt;&gt;"f"),DZ18*2.4/$H18,DZ18),IF($F18&lt;OFFSET($BN$9,$DT18+3,0,1,1),IF(AND($H18&gt;2.4,Z18&lt;&gt;"e",Z18&lt;&gt;"f"),DZ18*2.4/$H18,DZ18),0)))))*COS(RADIANS($G18)))</f>
        <v>0</v>
      </c>
      <c r="DW18" s="188">
        <f ca="1">IF(F18&lt;OFFSET($BM$9,DT18-1,0,1,1),0,IF(F18&lt;OFFSET($BN$9,DT18-1,0,1,1),((F18-OFFSET($BM$9,DT18-1,0,1,1))*OFFSET($CI$9,DT18-1,0,1,1))+OFFSET($BP$9,DT18-1,CQ18,1,1),IF(F18&lt;OFFSET($BN$9,DT18+0,0,1,1),((F18-OFFSET($BM$9,DT18+0,0,1,1))*OFFSET($CI$9,DT18+0,0,1,1))+OFFSET($BP$9,DT18+0,CQ18,1,1),IF(F18&lt;OFFSET($BN$9,DT18+1,0,1,1),((F18-OFFSET($BM$9,DT18+1,0,1,1))*OFFSET($CI$9,DT18+1,0,1,1))+OFFSET($BP$9,DT18+1,CQ18,1,1),IF(F18&lt;OFFSET($BN$9,DT18+2,0,1,1),((F18-OFFSET($BM$9,DT18+2,0,1,1))*OFFSET($CI$9,DT18+2,0,1,1))+OFFSET($BP$9,DT18+2,CQ18,1,1),IF(F18&lt;OFFSET($BN$9,DT18+3,0,1,1),((F18-OFFSET($BM$9,DT18+3,0,1,1))*OFFSET($CI$9,DT18+3,0,1,1))+OFFSET($BP$9,DT18+3,CQ18,1,1),0))))))</f>
        <v>0</v>
      </c>
      <c r="DX18" s="51">
        <f ca="1">IF($F18&lt;OFFSET($BM$9,$DT18-1,0,1,1),0,IF($F18&lt;OFFSET($BN$9,$DT18-1,0,1,1),IF(AND($H18&gt;2.4,Z18&lt;&gt;"e",Z18&lt;&gt;"f"),EB18*2.4/$H18,EB18),IF($F18&lt;OFFSET($BN$9,$DT18+0,0,1,1),IF(AND($H18&gt;2.4,Z18&lt;&gt;"e",Z18&lt;&gt;"f"),EB18*2.4/$H18,EB18),IF($F18&lt;OFFSET($BN$9,$DT18+1,0,1,1),IF(AND($H18&gt;2.4,Z18&lt;&gt;"e",Z18&lt;&gt;"f"),EB18*2.4/$H18,EB18),IF($F18&lt;OFFSET($BN$9,$DT18+2,0,1,1),IF(AND($H18&gt;2.4,Z18&lt;&gt;"e",Z18&lt;&gt;"f"),EB18*2.4/$H18,EB18),IF($F18&lt;OFFSET($BN$9,$DT18+3,0,1,1),IF(AND($H18&gt;2.4,Z18&lt;&gt;"e",Z18&lt;&gt;"f"),EB18*2.4/$H18,EB18),0)))))*COS(RADIANS($G18)))</f>
        <v>0</v>
      </c>
      <c r="DY18" s="188"/>
      <c r="DZ18" s="188">
        <f ca="1">IF(DU18&gt;$CR18,$CR18,DU18)</f>
        <v>0</v>
      </c>
      <c r="EA18" s="188"/>
      <c r="EB18" s="188">
        <f ca="1">IF(DW18&gt;$CR18,$CR18,DW18)</f>
        <v>0</v>
      </c>
      <c r="EC18" s="435">
        <f ca="1">IF(DV18&gt;$CR18,$CR18,DV18)</f>
        <v>0</v>
      </c>
      <c r="ED18" s="435">
        <f ca="1">EC18*F18</f>
        <v>0</v>
      </c>
      <c r="EE18" s="436">
        <f ca="1">IF(DX18&gt;$CR18,$CR18,DX18)</f>
        <v>0</v>
      </c>
      <c r="EF18" s="437">
        <f ca="1">EE18*F18</f>
        <v>0</v>
      </c>
      <c r="EG18" s="613" t="str">
        <f>IF(D18=BG$12,BG$12,"")</f>
        <v/>
      </c>
      <c r="EH18" s="614" t="str">
        <f>IF(D18=BG$13,BG$13,"")</f>
        <v/>
      </c>
      <c r="EI18" s="611">
        <f>IF(EG18=BG$12,M18,0)</f>
        <v>0</v>
      </c>
      <c r="EJ18" s="451">
        <f>IF(EG18=BG$12,O18,0)</f>
        <v>0</v>
      </c>
      <c r="EK18" s="451">
        <f>IF(EH18=BG$13,M18,0)</f>
        <v>0</v>
      </c>
      <c r="EL18" s="612">
        <f>IF(EH18=BG$13,O18,0)</f>
        <v>0</v>
      </c>
      <c r="EM18" s="426" t="str">
        <f ca="1">IF(AND(Z18&lt;&gt;"t",Z18&lt;&gt;"f"),"",IF(AND(EN18=$BH$13,K18=$BH$12),"NotOpt",IF(K18&lt;&gt;EN18,"Error","")))</f>
        <v/>
      </c>
      <c r="EN18" s="490" t="str">
        <f>IF($BG$28=1,$BH$13,$BH$12)</f>
        <v>120 BU's</v>
      </c>
      <c r="EO18" s="426" t="str">
        <f>K18</f>
        <v xml:space="preserve"> </v>
      </c>
      <c r="EP18" s="430">
        <v>1</v>
      </c>
      <c r="EQ18" s="430" t="str">
        <f ca="1">IF(EP18=1," ",OFFSET(BF$16,EP18-2,0,1,1))</f>
        <v xml:space="preserve"> </v>
      </c>
      <c r="ER18" s="439" t="str">
        <f ca="1">IF(H18=0," ",H18)</f>
        <v xml:space="preserve"> </v>
      </c>
      <c r="ES18" s="440" t="str">
        <f ca="1">IF(ER18&lt;&gt;" ",IF(ER18&lt;&gt;ER$7,"Changed",""),"")</f>
        <v/>
      </c>
      <c r="ET18" s="440">
        <f ca="1">IF(ER18&lt;&gt;" ",IF(ER18&lt;&gt;ER$7,1,0),0)</f>
        <v>0</v>
      </c>
      <c r="EU18" s="957" t="str">
        <f ca="1">IF(I18=" "," ",IF(F18&lt;OFFSET($BM$9,CL18-1,0,1,1),1,""))</f>
        <v xml:space="preserve"> </v>
      </c>
      <c r="EW18" s="427"/>
      <c r="EX18"/>
      <c r="EY18"/>
      <c r="EZ18"/>
      <c r="FA18"/>
    </row>
    <row r="19" spans="2:157" ht="17.100000000000001" customHeight="1" thickBot="1">
      <c r="B19" s="2686" t="s">
        <v>8</v>
      </c>
      <c r="C19" s="2687"/>
      <c r="D19" s="1461" t="s">
        <v>8</v>
      </c>
      <c r="E19" s="659"/>
      <c r="F19" s="659"/>
      <c r="G19" s="659"/>
      <c r="H19" s="659"/>
      <c r="I19" s="1462"/>
      <c r="J19" s="1365" t="str">
        <f ca="1">(CONCATENATE(B14,$BE$54))</f>
        <v>N  Line:  Min. Requirement</v>
      </c>
      <c r="K19" s="23"/>
      <c r="L19" s="1019">
        <f ca="1">L$5</f>
        <v>0</v>
      </c>
      <c r="M19" s="48">
        <f ca="1">IF(B14=B8,SUM(M14:M18)+M13,SUM(M14:M18))</f>
        <v>0</v>
      </c>
      <c r="N19" s="1019">
        <f ca="1">N$5</f>
        <v>0</v>
      </c>
      <c r="O19" s="125">
        <f ca="1">IF(B14=B8,SUM(O14:O18)+O13,SUM(O14:O18))</f>
        <v>0</v>
      </c>
      <c r="P19" s="139"/>
      <c r="Q19" s="42" t="str">
        <f ca="1">IF(B14=B20,"",IF(AND(M19&gt;0,L19=L$5,OR(M19&lt;$M$105,M19&lt;$BF$3)),"Achieved &lt; Min Req per Line",IF(AND(O19&gt;0,N19=N$5,OR(O19&lt;$O$105,O19&lt;$BF$3)),"Achieved &lt; Min Req per Line",IF(AND(M19&gt;0,L19&gt;M19),"More Required on this line",IF(AND(O19&gt;0,N19&gt;O19),"More Required on this line",IF(AND(L19&gt;0,L19&lt;$BF$3),$BE$59,IF(AND(N19&gt;0,N19&lt;$BF$3),$BE$59,"")))))))</f>
        <v/>
      </c>
      <c r="R19" s="52"/>
      <c r="S19" s="52"/>
      <c r="T19" s="52"/>
      <c r="U19" s="1378"/>
      <c r="V19" s="52"/>
      <c r="W19" s="9"/>
      <c r="X19" s="9"/>
      <c r="Y19" s="896"/>
      <c r="Z19" s="52"/>
      <c r="AA19" s="51"/>
      <c r="AB19" s="1364"/>
      <c r="AC19" s="1"/>
      <c r="AJ19" s="2230"/>
      <c r="AK19" s="2793"/>
      <c r="AL19" s="2785"/>
      <c r="AM19" s="1177">
        <f>'Regular and QuickBrace Systems'!F33</f>
        <v>1.8</v>
      </c>
      <c r="AN19" s="1274">
        <f>'Regular and QuickBrace Systems'!G33</f>
        <v>110</v>
      </c>
      <c r="AO19" s="1275">
        <f>'Regular and QuickBrace Systems'!H33</f>
        <v>84</v>
      </c>
      <c r="AP19" s="1277"/>
      <c r="AQ19" s="2665"/>
      <c r="AR19" s="2666"/>
      <c r="AS19" s="2032"/>
      <c r="AT19" s="1339"/>
      <c r="AU19" s="2132"/>
      <c r="AW19" s="1570" t="str">
        <f>'Regular and QuickBrace Systems'!O33</f>
        <v>Yes</v>
      </c>
      <c r="AX19" s="1574" t="str">
        <f>'Regular and QuickBrace Systems'!Q33</f>
        <v>No</v>
      </c>
      <c r="BA19"/>
      <c r="BB19"/>
      <c r="BC19"/>
      <c r="BD19" s="2648"/>
      <c r="BF19" s="598" t="str">
        <f>Table!AI79</f>
        <v>ESSH</v>
      </c>
      <c r="BG19" s="706" t="s">
        <v>819</v>
      </c>
      <c r="BH19" s="961" t="s">
        <v>221</v>
      </c>
      <c r="BI19" s="759"/>
      <c r="BJ19" s="897">
        <f t="shared" si="3"/>
        <v>11</v>
      </c>
      <c r="BK19" s="769" t="str">
        <f t="shared" si="6"/>
        <v xml:space="preserve">  </v>
      </c>
      <c r="BL19" s="771" t="str">
        <f t="shared" si="7"/>
        <v>Custom8</v>
      </c>
      <c r="BM19" s="455">
        <f t="shared" si="8"/>
        <v>9.9999999999999996E-76</v>
      </c>
      <c r="BN19" s="455">
        <v>999</v>
      </c>
      <c r="BO19" s="455">
        <f t="shared" si="9"/>
        <v>0</v>
      </c>
      <c r="BP19" s="925">
        <f t="shared" si="10"/>
        <v>0</v>
      </c>
      <c r="BR19" s="764"/>
      <c r="BS19" s="455"/>
      <c r="BT19" s="455" t="str">
        <f t="shared" si="11"/>
        <v>B</v>
      </c>
      <c r="BU19" s="925" t="str">
        <f t="shared" si="12"/>
        <v>T</v>
      </c>
      <c r="BV19" s="1239" t="str">
        <f t="shared" si="13"/>
        <v>Custom8</v>
      </c>
      <c r="BW19" s="1236">
        <f t="shared" si="16"/>
        <v>11</v>
      </c>
      <c r="BX19" s="925" t="str">
        <f t="shared" si="14"/>
        <v>Single</v>
      </c>
      <c r="CH19" s="764">
        <f t="shared" si="4"/>
        <v>0</v>
      </c>
      <c r="CI19" s="925">
        <f t="shared" si="5"/>
        <v>0</v>
      </c>
      <c r="CJ19" s="759"/>
      <c r="CK19" s="188"/>
      <c r="CL19" s="979"/>
      <c r="CN19" s="497"/>
      <c r="CO19" s="497"/>
      <c r="CQ19" s="51"/>
      <c r="CR19" s="51" t="s">
        <v>8</v>
      </c>
      <c r="CS19" s="51"/>
      <c r="CT19" s="51" t="s">
        <v>8</v>
      </c>
      <c r="CU19" s="51"/>
      <c r="CV19" s="51" t="s">
        <v>8</v>
      </c>
      <c r="CW19" s="51"/>
      <c r="CX19" s="51"/>
      <c r="CY19" s="51"/>
      <c r="CZ19" s="51"/>
      <c r="DD19" s="758"/>
      <c r="DF19" s="52"/>
      <c r="DG19" s="51"/>
      <c r="DH19" s="51"/>
      <c r="DI19" s="51"/>
      <c r="DJ19" s="51"/>
      <c r="DK19" s="51"/>
      <c r="DL19" s="51"/>
      <c r="DM19" s="51"/>
      <c r="DN19" s="51"/>
      <c r="DO19" s="435"/>
      <c r="DP19" s="435"/>
      <c r="DQ19" s="868"/>
      <c r="DR19" s="868"/>
      <c r="DU19" s="188"/>
      <c r="DV19" s="188" t="s">
        <v>8</v>
      </c>
      <c r="DW19" s="188"/>
      <c r="DX19" s="188" t="s">
        <v>8</v>
      </c>
      <c r="DY19" s="188"/>
      <c r="DZ19" s="188"/>
      <c r="EA19" s="188"/>
      <c r="EB19" s="188"/>
      <c r="EC19" s="435"/>
      <c r="ED19" s="435"/>
      <c r="EE19" s="868"/>
      <c r="EF19" s="868"/>
      <c r="EG19" s="613"/>
      <c r="EH19" s="435"/>
      <c r="EI19" s="613"/>
      <c r="EJ19" s="435"/>
      <c r="EK19" s="451"/>
      <c r="EL19" s="612"/>
      <c r="EN19" s="947"/>
      <c r="ER19" s="441"/>
      <c r="ES19" s="440"/>
      <c r="ET19" s="440"/>
      <c r="EU19" s="957"/>
      <c r="EW19" s="427"/>
      <c r="EX19"/>
      <c r="EY19"/>
      <c r="EZ19"/>
      <c r="FA19"/>
    </row>
    <row r="20" spans="2:157" ht="17.100000000000001" customHeight="1">
      <c r="B20" s="1369" t="str">
        <f ca="1">S20</f>
        <v>O</v>
      </c>
      <c r="C20" s="684" t="str">
        <f>IF(OR(F20=0,I20="",I20=" ")," ",$V20)</f>
        <v xml:space="preserve"> </v>
      </c>
      <c r="D20" s="1033"/>
      <c r="E20" s="1034" t="s">
        <v>8</v>
      </c>
      <c r="F20" s="202"/>
      <c r="G20" s="1416"/>
      <c r="H20" s="199" t="str">
        <f ca="1">IF(OR(F20=0,Z20="E",Z20="f")," ",'Project Demand'!E$45)</f>
        <v xml:space="preserve"> </v>
      </c>
      <c r="I20" s="631" t="str">
        <f>IF($I$6&lt;&gt;$BG$8," ",AB20)</f>
        <v xml:space="preserve"> </v>
      </c>
      <c r="J20" s="43" t="str">
        <f ca="1">IF(OR(I20=" ",I20="")," ",OFFSET($BO$9,CL20-1,0-4,1,1))</f>
        <v xml:space="preserve"> </v>
      </c>
      <c r="K20" s="55" t="str">
        <f>IF(OR(I20=" ",I20="")," ",IF(OR(Z20="e",Z20="h"),"SD",BG$24))</f>
        <v xml:space="preserve"> </v>
      </c>
      <c r="L20" s="49">
        <f ca="1">CW20</f>
        <v>0</v>
      </c>
      <c r="M20" s="49">
        <f ca="1">CY20</f>
        <v>0</v>
      </c>
      <c r="N20" s="50">
        <f t="shared" ref="N20:O24" ca="1" si="17">DA20</f>
        <v>0</v>
      </c>
      <c r="O20" s="126">
        <f t="shared" ca="1" si="17"/>
        <v>0</v>
      </c>
      <c r="P20" s="140"/>
      <c r="Q20" s="752" t="str">
        <f ca="1">IF(AND(OR(Z20="t",Z20="f"),K20=$BH$11),"No Floor!  Change Floor Type",IF(OR(I20=" ",I20="")," ",IF(F20&lt;OFFSET($BM$9,CL20-1,0,1,1),"check L(m)",DE20&amp;IF(AND(DP20&gt;=CY20,DR20&gt;=DB20),IF(AND(ED20&gt;=DP20,EF20&gt;=DR20),CONCATENATE(DS20," will provide same result"),CONCATENATE(CO20," will provide same result")),IF((DP20&gt;=CY20),CONCATENATE(CO20," provides same result in WIND"),IF((DR20&gt;=DB20),CONCATENATE(CO20," provides same result in EQ"),""))))))&amp;IF(ISERROR(FIND("pile",I20,1)),"",IF(INT(F20)&lt;&gt;F20,"Pile!  Use Whole Numbers Only",""))</f>
        <v xml:space="preserve"> </v>
      </c>
      <c r="R20" s="52">
        <f ca="1">IF(T14&lt;&gt;2,(COLUMN(INDIRECT(B14&amp;1))+1),U20)</f>
        <v>15</v>
      </c>
      <c r="S20" s="1372" t="str">
        <f ca="1">SUBSTITUTE(ADDRESS(1,R20,4),"1","")</f>
        <v>O</v>
      </c>
      <c r="T20" s="451">
        <f ca="1">IF(AND(ISTEXT(B20),SUBSTITUTE(SUBSTITUTE(SUBSTITUTE(SUBSTITUTE(SUBSTITUTE(SUBSTITUTE(SUBSTITUTE(SUBSTITUTE(SUBSTITUTE(SUBSTITUTE(SUBSTITUTE(SUBSTITUTE(SUBSTITUTE(SUBSTITUTE(SUBSTITUTE(SUBSTITUTE(SUBSTITUTE(SUBSTITUTE(SUBSTITUTE(SUBSTITUTE(SUBSTITUTE(SUBSTITUTE(SUBSTITUTE(SUBSTITUTE(SUBSTITUTE(SUBSTITUTE(LOWER(B20),"a",),"b",),"c",),"d",),"e",),"f",),"g",),"h",),"i",),"j",),"k",),"l",),"m",),"n",),"o",),"p",),"q",),"r",),"s",),"t",),"u",),"v",),"w",),"x",),"y",),"z",)=""),1,2)</f>
        <v>1</v>
      </c>
      <c r="U20" s="1377">
        <v>15</v>
      </c>
      <c r="V20" s="52" t="str">
        <f ca="1">IF(AND(B$5=$BF$9,OR(I20=BH$16,I20=BH$17))," ",IF(ISNUMBER(B$20),(CONCATENATE(B$20,".",W20)),(CONCATENATE(B$20,W20))))</f>
        <v>O0</v>
      </c>
      <c r="W20" s="9">
        <f ca="1">IF(B14=B20,W18+X20,X20)</f>
        <v>0</v>
      </c>
      <c r="X20" s="9">
        <f>IF(AND(B$5=$BF$9,OR($I20=$BH$16,$I20=$BH$17,$I20=" ",$I20="",$F20=0)),0,IF(OR($I20=" ",$I20="",$F20=0),0,1))</f>
        <v>0</v>
      </c>
      <c r="Y20" s="896">
        <f ca="1">IF(AND(M25&gt;0,B20&lt;&gt;B26),1,0)</f>
        <v>0</v>
      </c>
      <c r="Z20" s="52" t="str">
        <f ca="1">IF(I20=" "," ",OFFSET($BM$9,$CL20-1,8,1,1))</f>
        <v xml:space="preserve"> </v>
      </c>
      <c r="AA20" s="51" t="str">
        <f>IF(G20&gt;=45,"WA","")</f>
        <v/>
      </c>
      <c r="AB20" s="1364" t="str">
        <f>IF(F20&lt;&gt;"",IF(OR(D20=$BG$12,D20=$BG$13),IF(E20&lt;&gt;$BG$17,$BF$12,$BF$13),IF(E20&lt;&gt;$BG$17,$BF$12,$BF$13))," ")</f>
        <v xml:space="preserve"> </v>
      </c>
      <c r="AC20" s="1"/>
      <c r="AJ20" s="2230"/>
      <c r="AK20" s="2793"/>
      <c r="AL20" s="2783" t="str">
        <f>'Regular and QuickBrace Systems'!E34</f>
        <v>EM-H</v>
      </c>
      <c r="AM20" s="1178">
        <f>'Regular and QuickBrace Systems'!F34</f>
        <v>0.4</v>
      </c>
      <c r="AN20" s="1272">
        <f>'Regular and QuickBrace Systems'!G34</f>
        <v>98</v>
      </c>
      <c r="AO20" s="1273">
        <f>'Regular and QuickBrace Systems'!H34</f>
        <v>100</v>
      </c>
      <c r="AP20" s="1594"/>
      <c r="AQ20" s="2661" t="str">
        <f>'Regular and QuickBrace Systems'!I28</f>
        <v>Specialised QuickBrace Pattern</v>
      </c>
      <c r="AR20" s="2662"/>
      <c r="AS20" s="2030" t="str">
        <f>'Regular and QuickBrace Systems'!K31</f>
        <v>Yes</v>
      </c>
      <c r="AT20" s="1339"/>
      <c r="AU20" s="2133" t="str">
        <f>'Regular and QuickBrace Systems'!M34</f>
        <v>Elephant Multiboard One side</v>
      </c>
      <c r="AW20" s="1584" t="str">
        <f>'Regular and QuickBrace Systems'!O34</f>
        <v>Yes</v>
      </c>
      <c r="AX20" s="1575" t="str">
        <f>'Regular and QuickBrace Systems'!Q34</f>
        <v>No</v>
      </c>
      <c r="BA20"/>
      <c r="BB20"/>
      <c r="BC20"/>
      <c r="BD20" s="2648"/>
      <c r="BF20" s="598" t="str">
        <f>Table!AI80</f>
        <v>EMSH</v>
      </c>
      <c r="BG20" s="708" t="s">
        <v>820</v>
      </c>
      <c r="BH20" s="961" t="s">
        <v>222</v>
      </c>
      <c r="BI20" s="759"/>
      <c r="BJ20" s="897">
        <f t="shared" si="3"/>
        <v>12</v>
      </c>
      <c r="BK20" s="769" t="str">
        <f t="shared" si="6"/>
        <v xml:space="preserve">  </v>
      </c>
      <c r="BL20" s="771" t="str">
        <f t="shared" si="7"/>
        <v>Custom9</v>
      </c>
      <c r="BM20" s="455">
        <f t="shared" si="8"/>
        <v>9.9999999999999996E-76</v>
      </c>
      <c r="BN20" s="455">
        <v>999</v>
      </c>
      <c r="BO20" s="455">
        <f t="shared" si="9"/>
        <v>0</v>
      </c>
      <c r="BP20" s="925">
        <f t="shared" si="10"/>
        <v>0</v>
      </c>
      <c r="BR20" s="764"/>
      <c r="BS20" s="455"/>
      <c r="BT20" s="455" t="str">
        <f t="shared" si="11"/>
        <v>B</v>
      </c>
      <c r="BU20" s="925" t="str">
        <f t="shared" si="12"/>
        <v>T</v>
      </c>
      <c r="BV20" s="1239" t="str">
        <f t="shared" si="13"/>
        <v>Custom9</v>
      </c>
      <c r="BW20" s="1236">
        <f t="shared" si="16"/>
        <v>12</v>
      </c>
      <c r="BX20" s="925" t="str">
        <f t="shared" si="14"/>
        <v>Single</v>
      </c>
      <c r="CH20" s="764">
        <f t="shared" si="4"/>
        <v>0</v>
      </c>
      <c r="CI20" s="925">
        <f t="shared" si="5"/>
        <v>0</v>
      </c>
      <c r="CJ20" s="759"/>
      <c r="CK20" s="188"/>
      <c r="CL20" s="979">
        <f>VLOOKUP(I20,Prodlink,2,0)</f>
        <v>0</v>
      </c>
      <c r="CN20" s="497">
        <f ca="1">VLOOKUP(CO20,Prodlink,2,0)</f>
        <v>0</v>
      </c>
      <c r="CO20" s="497">
        <f ca="1">OFFSET($CH$9,CL20-1,-15,1,1)</f>
        <v>0</v>
      </c>
      <c r="CQ20" s="51">
        <v>0</v>
      </c>
      <c r="CR20" s="51">
        <f>IF(K20=$BH$12,$BH$23,IF(K20=$BH$13,$BH$24,10000))</f>
        <v>10000</v>
      </c>
      <c r="CS20" s="51">
        <f ca="1">IF(F20&lt;OFFSET($BM$9,CL20-1,0,1,1),0,IF(F20&lt;OFFSET($BN$9,CL20-1,0,1,1),((F20-OFFSET($BM$9,CL20-1,0,1,1))*OFFSET($CH$9,CL20-1,0,1,1))+OFFSET($BO$9,CL20-1,CQ20,1,1),IF(F20&lt;OFFSET($BN$9,CL20+0,0,1,1),((F20-OFFSET($BM$9,CL20+0,0,1,1))*OFFSET($CH$9,CL20+0,0,1,1))+OFFSET($BO$9,CL20+0,CQ20,1,1),IF(F20&lt;OFFSET($BN$9,CL20+1,0,1,1),((F20-OFFSET($BM$9,CL20+1,0,1,1))*OFFSET($CH$9,CL20+1,0,1,1))+OFFSET($BO$9,CL20+1,CQ20,1,1),IF(F20&lt;OFFSET($BN$9,CL20+2,0,1,1),((F20-OFFSET($BM$9,CL20+2,0,1,1))*OFFSET($CH$9,CL20+2,0,1,1))+OFFSET($BO$9,CL20+2,CQ20,1,1),IF(F20&lt;OFFSET($BN$9,CL20+3,0,1,1),((F20-OFFSET($BM$9,CL20+3,0,1,1))*OFFSET($CH$9,CL20+3,0,1,1))+OFFSET($BO$9,CL20+3,CQ20,1,1),0))))))</f>
        <v>0</v>
      </c>
      <c r="CT20" s="51">
        <f ca="1">IF($F20&lt;OFFSET($BM$9,$CL20-1,0,1,1),0,IF($F20&lt;OFFSET($BN$9,$CL20-1,0,1,1),IF(AND($H20&gt;2.4,Z20&lt;&gt;"e",Z20&lt;&gt;"f"),CX20*2.4/$H20,CX20),IF($F20&lt;OFFSET($BN$9,$CL20+0,0,1,1),IF(AND($H20&gt;2.4,Z20&lt;&gt;"e",Z20&lt;&gt;"f"),CX20*2.4/$H20,CX20),IF($F20&lt;OFFSET($BN$9,$CL20+1,0,1,1),IF(AND($H20&gt;2.4,Z20&lt;&gt;"e",Z20&lt;&gt;"f"),CX20*2.4/$H20,CX20),IF($F20&lt;OFFSET($BN$9,CL20+2,0,1,1),IF(AND($H20&gt;2.4,Z20&lt;&gt;"e",Z20&lt;&gt;"f"),CX20*2.4/$H20,CX20),IF($F20&lt;OFFSET($BN$9,CL20+3,0,1,1),IF(AND($H20&gt;2.4,Z20&lt;&gt;"e",Z20&lt;&gt;"f"),CX20*2.4/$H20,CX20),0)))))*COS(RADIANS($G20)))</f>
        <v>0</v>
      </c>
      <c r="CU20" s="51">
        <f ca="1">IF(F20&lt;OFFSET($BM$9,CL20-1,0,1,1),0,IF(F20&lt;OFFSET($BN$9,CL20-1,0,1,1),((F20-OFFSET($BM$9,CL20-1,0,1,1))*OFFSET($CI$9,CL20-1,0,1,1))+OFFSET($BP$9,CL20-1,CQ20,1,1),IF(F20&lt;OFFSET($BN$9,CL20+0,0,1,1),((F20-OFFSET($BM$9,CL20+0,0,1,1))*OFFSET($CI$9,CL20+0,0,1,1))+OFFSET($BP$9,CL20+0,CQ20,1,1),IF(F20&lt;OFFSET($BN$9,CL20+1,0,1,1),((F20-OFFSET($BM$9,CL20+1,0,1,1))*OFFSET($CI$9,CL20+1,0,1,1))+OFFSET($BP$9,CL20+1,CQ20,1,1),IF(F20&lt;OFFSET($BN$9,CL20+2,0,1,1),((F20-OFFSET($BM$9,CL20+2,0,1,1))*OFFSET($CI$9,CL20+2,0,1,1))+OFFSET($BP$9,CL20+2,CQ20,1,1),IF(F20&lt;OFFSET($BN$9,CL20+3,0,1,1),((F20-OFFSET($BM$9,CL20+3,0,1,1))*OFFSET($CI$9,CL20+3,0,1,1))+OFFSET($BP$9,CL20+3,CQ20,1,1),0))))))</f>
        <v>0</v>
      </c>
      <c r="CV20" s="51">
        <f ca="1">IF($F20&lt;OFFSET($BM$9,$CL20-1,0,1,1),0,IF($F20&lt;OFFSET($BN$9,$CL20-1,0,1,1),IF(AND($H20&gt;2.4,Z20&lt;&gt;"e",Z20&lt;&gt;"f"),CZ20*2.4/$H20,CZ20),IF($F20&lt;OFFSET($BN$9,$CL20+0,0,1,1),IF(AND($H20&gt;2.4,Z20&lt;&gt;"e",Z20&lt;&gt;"f"),CZ20*2.4/$H20,CZ20),IF($F20&lt;OFFSET($BN$9,$CL20+1,0,1,1),IF(AND($H20&gt;2.4,Z20&lt;&gt;"e",Z20&lt;&gt;"f"),CZ20*2.4/$H20,CZ20),IF($F20&lt;OFFSET($BN$9,$CL20+2,0,1,1),IF(AND($H20&gt;2.4,Z20&lt;&gt;"e",Z20&lt;&gt;"f"),CZ20*2.4/$H20,CZ20),IF($F20&lt;OFFSET($BN$9,$CL20+3,0,1,1),IF(AND($H20&gt;2.4,Z20&lt;&gt;"e",Z20&lt;&gt;"f"),CZ20*2.4/$H20,CZ20),0)))))*COS(RADIANS($G20)))</f>
        <v>0</v>
      </c>
      <c r="CW20" s="51">
        <f ca="1">IF(CT20&gt;CR20,CR20,CT20)</f>
        <v>0</v>
      </c>
      <c r="CX20" s="51">
        <f ca="1">IF(CS20&gt;$CR20,$CR20,CS20)</f>
        <v>0</v>
      </c>
      <c r="CY20" s="51">
        <f ca="1">CW20*F20</f>
        <v>0</v>
      </c>
      <c r="CZ20" s="51">
        <f ca="1">IF($CU20&gt;$CR20,$CR20,$CU20)</f>
        <v>0</v>
      </c>
      <c r="DA20" s="51">
        <f ca="1">IF(CV20&gt;CR20,CR20,CV20)</f>
        <v>0</v>
      </c>
      <c r="DB20" s="51">
        <f ca="1">DA20*F20</f>
        <v>0</v>
      </c>
      <c r="DC20" s="993">
        <v>1</v>
      </c>
      <c r="DD20" s="758" t="str">
        <f>IF(OR(D20=BG$12,D20=BG$13),"External",IF(D20=BG$14,"Internal"," "))</f>
        <v xml:space="preserve"> </v>
      </c>
      <c r="DE20" s="51" t="str">
        <f t="shared" ca="1" si="1"/>
        <v/>
      </c>
      <c r="DF20" s="52" t="str">
        <f t="shared" ca="1" si="2"/>
        <v xml:space="preserve"> </v>
      </c>
      <c r="DG20" s="51">
        <f ca="1">IF(F20&lt;OFFSET($BM$9,CN20-1,0,1,1),0,IF(F20&lt;OFFSET($BN$9,CN20-1,0,1,1),((F20-OFFSET($BM$9,CN20-1,0,1,1))*OFFSET($CH$9,CN20-1,0,1,1))+OFFSET($BO$9,CN20-1,CQ20,1,1),IF(F20&lt;OFFSET($BN$9,CN20+0,0,1,1),((F20-OFFSET($BM$9,CN20+0,0,1,1))*OFFSET($CH$9,CN20+0,0,1,1))+OFFSET($BO$9,CN20+0,CQ20,1,1),IF(F20&lt;OFFSET($BN$9,CN20+1,0,1,1),((F20-OFFSET($BM$9,CN20+1,0,1,1))*OFFSET($CH$9,CN20+1,0,1,1))+OFFSET($BO$9,CN20+1,CQ20,1,1),IF(F20&lt;OFFSET($BN$9,CN20+2,0,1,1),((F20-OFFSET($BM$9,CN20+2,0,1,1))*OFFSET($CH$9,CN20+2,0,1,1))+OFFSET($BO$9,CN20+2,CQ20,1,1),IF(F20&lt;OFFSET($BN$9,CN20+3,0,1,1),((F20-OFFSET($BM$9,CN20+3,0,1,1))*OFFSET($CH$9,CN20+3,0,1,1))+OFFSET($BO$9,CN20+3,CQ20,1,1),0))))))</f>
        <v>0</v>
      </c>
      <c r="DH20" s="51">
        <f ca="1">IF($F20&lt;OFFSET($BM$9,$CN20-1,0,1,1),0,IF($F20&lt;OFFSET($BN$9,$CN20-1,0,1,1),IF(AND($H20&gt;2.4,Z20&lt;&gt;"e",Z20&lt;&gt;"f"),DL20*2.4/$H20,DL20),IF($F20&lt;OFFSET($BN$9,$CN20+0,0,1,1),IF(AND($H20&gt;2.4,Z20&lt;&gt;"e",Z20&lt;&gt;"f"),DL20*2.4/$H20,DL20),IF($F20&lt;OFFSET($BN$9,$CN20+1,0,1,1),IF(AND($H20&gt;2.4,Z20&lt;&gt;"e",Z20&lt;&gt;"f"),DL20*2.4/$H20,DL20),IF($F20&lt;OFFSET($BN$9,$CN20+2,0,1,1),IF(AND($H20&gt;2.4,Z20&lt;&gt;"e",Z20&lt;&gt;"f"),DL20*2.4/$H20,DL20),IF($F20&lt;OFFSET($BN$9,$CN20+3,0,1,1),IF(AND($H20&gt;2.4,Z20&lt;&gt;"e",Z20&lt;&gt;"f"),DL20*2.4/$H20,DL20),0)))))*COS(RADIANS($G20)))</f>
        <v>0</v>
      </c>
      <c r="DI20" s="51">
        <f ca="1">IF(F20&lt;OFFSET($BM$9,CN20-1,0,1,1),0,IF(F20&lt;OFFSET($BN$9,CN20-1,0,1,1),((F20-OFFSET($BM$9,CN20-1,0,1,1))*OFFSET($CI$9,CN20-1,0,1,1))+OFFSET($BP$9,CN20-1,CQ20,1,1),IF(F20&lt;OFFSET($BN$9,CN20+0,0,1,1),((F20-OFFSET($BM$9,CN20+0,0,1,1))*OFFSET($CI$9,CN20+0,0,1,1))+OFFSET($BP$9,CN20+0,CQ20,1,1),IF(F20&lt;OFFSET($BN$9,CN20+1,0,1,1),((F20-OFFSET($BM$9,CN20+1,0,1,1))*OFFSET($CI$9,CN20+1,0,1,1))+OFFSET($BP$9,CN20+1,CQ20,1,1),IF(F20&lt;OFFSET($BN$9,CN20+2,0,1,1),((F20-OFFSET($BM$9,CN20+2,0,1,1))*OFFSET($CI$9,CN20+2,0,1,1))+OFFSET($BP$9,CN20+2,CQ20,1,1),IF(F20&lt;OFFSET($BN$9,CN20+3,0,1,1),((F20-OFFSET($BM$9,CN20+3,0,1,1))*OFFSET($CI$9,CN20+3,0,1,1))+OFFSET($BP$9,CN20+3,CQ20,1,1),0))))))</f>
        <v>0</v>
      </c>
      <c r="DJ20" s="51">
        <f ca="1">IF($F20&lt;OFFSET($BM$9,$CN20-1,0,1,1),0,IF($F20&lt;OFFSET($BN$9,$CN20-1,0,1,1),IF(AND($H20&gt;2.4,Z20&lt;&gt;"e",Z20&lt;&gt;"f"),DN20*2.4/$H20,DN20),IF($F20&lt;OFFSET($BN$9,$CN20+0,0,1,1),IF(AND($H20&gt;2.4,Z20&lt;&gt;"e",Z20&lt;&gt;"f"),DN20*2.4/$H20,DN20),IF($F20&lt;OFFSET($BN$9,$CN20+1,0,1,1),IF(AND($H20&gt;2.4,Z20&lt;&gt;"e",Z20&lt;&gt;"f"),DN20*2.4/$H20,DN20),IF($F20&lt;OFFSET($BN$9,$CN20+2,0,1,1),IF(AND($H20&gt;2.4,Z20&lt;&gt;"e",Z20&lt;&gt;"f"),DN20*2.4/$H20,DN20),IF($F20&lt;OFFSET($BN$9,$CN20+3,0,1,1),IF(AND($H20&gt;2.4,Z20&lt;&gt;"e",Z20&lt;&gt;"f"),DN20*2.4/$H20,DN20),0)))))*COS(RADIANS($G20)))</f>
        <v>0</v>
      </c>
      <c r="DK20" s="51"/>
      <c r="DL20" s="51">
        <f ca="1">IF(DG20&gt;$CR20,$CR20,DG20)</f>
        <v>0</v>
      </c>
      <c r="DM20" s="51"/>
      <c r="DN20" s="51">
        <f ca="1">IF(DI20&gt;$CR20,$CR20,DI20)</f>
        <v>0</v>
      </c>
      <c r="DO20" s="435">
        <f ca="1">IF(DH20&gt;$CR20,$CR20,DH20)</f>
        <v>0</v>
      </c>
      <c r="DP20" s="435">
        <f ca="1">DO20*F20</f>
        <v>0</v>
      </c>
      <c r="DQ20" s="436">
        <f ca="1">IF(DJ20&gt;$CR20,$CR20,DJ20)</f>
        <v>0</v>
      </c>
      <c r="DR20" s="437">
        <f ca="1">DQ20*F20</f>
        <v>0</v>
      </c>
      <c r="DS20" s="426">
        <f ca="1">OFFSET($CH$9,CL20-1,-15,1,1)</f>
        <v>0</v>
      </c>
      <c r="DT20" s="426">
        <f ca="1">VLOOKUP(DS20,Prodlink,2,0)</f>
        <v>0</v>
      </c>
      <c r="DU20" s="188">
        <f ca="1">IF(F20&lt;OFFSET($BM$9,DT20-1,0,1,1),0,IF(F20&lt;OFFSET($BN$9,DT20-1,0,1,1),((F20-OFFSET($BM$9,DT20-1,0,1,1))*OFFSET($CH$9,DT20-1,0,1,1))+OFFSET($BO$9,DT20-1,CQ20,1,1),IF(F20&lt;OFFSET($BN$9,DT20+0,0,1,1),((F20-OFFSET($BM$9,DT20+0,0,1,1))*OFFSET($CH$9,DT20+0,0,1,1))+OFFSET($BO$9,DT20+0,CQ20,1,1),IF(F20&lt;OFFSET($BN$9,DT20+1,0,1,1),((F20-OFFSET($BM$9,DT20+1,0,1,1))*OFFSET($CH$9,DT20+1,0,1,1))+OFFSET($BO$9,DT20+1,CQ20,1,1),IF(F20&lt;OFFSET($BN$9,DT20+2,0,1,1),((F20-OFFSET($BM$9,DT20+2,0,1,1))*OFFSET($CH$9,DT20+2,0,1,1))+OFFSET($BO$9,DT20+2,CQ20,1,1),IF(F20&lt;OFFSET($BN$9,DT20+3,0,1,1),((F20-OFFSET($BM$9,DT20+3,0,1,1))*OFFSET($CH$9,DT20+3,0,1,1))+OFFSET($BO$9,DT20+3,CQ20,1,1),0))))))</f>
        <v>0</v>
      </c>
      <c r="DV20" s="51">
        <f ca="1">IF($F20&lt;OFFSET($BM$9,$DT20-1,0,1,1),0,IF($F20&lt;OFFSET($BN$9,$DT20-1,0,1,1),IF(AND($H20&gt;2.4,Z20&lt;&gt;"e",Z20&lt;&gt;"f"),DZ20*2.4/$H20,DZ20),IF($F20&lt;OFFSET($BN$9,$DT20+0,0,1,1),IF(AND($H20&gt;2.4,Z20&lt;&gt;"e",Z20&lt;&gt;"f"),DZ20*2.4/$H20,DZ20),IF($F20&lt;OFFSET($BN$9,$DT20+1,0,1,1),IF(AND($H20&gt;2.4,Z20&lt;&gt;"e",Z20&lt;&gt;"f"),DZ20*2.4/$H20,DZ20),IF($F20&lt;OFFSET($BN$9,$DT20+2,0,1,1),IF(AND($H20&gt;2.4,Z20&lt;&gt;"e",Z20&lt;&gt;"f"),DZ20*2.4/$H20,DZ20),IF($F20&lt;OFFSET($BN$9,$DT20+3,0,1,1),IF(AND($H20&gt;2.4,Z20&lt;&gt;"e",Z20&lt;&gt;"f"),DZ20*2.4/$H20,DZ20),0)))))*COS(RADIANS($G20)))</f>
        <v>0</v>
      </c>
      <c r="DW20" s="188">
        <f ca="1">IF(F20&lt;OFFSET($BM$9,DT20-1,0,1,1),0,IF(F20&lt;OFFSET($BN$9,DT20-1,0,1,1),((F20-OFFSET($BM$9,DT20-1,0,1,1))*OFFSET($CI$9,DT20-1,0,1,1))+OFFSET($BP$9,DT20-1,CQ20,1,1),IF(F20&lt;OFFSET($BN$9,DT20+0,0,1,1),((F20-OFFSET($BM$9,DT20+0,0,1,1))*OFFSET($CI$9,DT20+0,0,1,1))+OFFSET($BP$9,DT20+0,CQ20,1,1),IF(F20&lt;OFFSET($BN$9,DT20+1,0,1,1),((F20-OFFSET($BM$9,DT20+1,0,1,1))*OFFSET($CI$9,DT20+1,0,1,1))+OFFSET($BP$9,DT20+1,CQ20,1,1),IF(F20&lt;OFFSET($BN$9,DT20+2,0,1,1),((F20-OFFSET($BM$9,DT20+2,0,1,1))*OFFSET($CI$9,DT20+2,0,1,1))+OFFSET($BP$9,DT20+2,CQ20,1,1),IF(F20&lt;OFFSET($BN$9,DT20+3,0,1,1),((F20-OFFSET($BM$9,DT20+3,0,1,1))*OFFSET($CI$9,DT20+3,0,1,1))+OFFSET($BP$9,DT20+3,CQ20,1,1),0))))))</f>
        <v>0</v>
      </c>
      <c r="DX20" s="51">
        <f ca="1">IF($F20&lt;OFFSET($BM$9,$DT20-1,0,1,1),0,IF($F20&lt;OFFSET($BN$9,$DT20-1,0,1,1),IF(AND($H20&gt;2.4,Z20&lt;&gt;"e",Z20&lt;&gt;"f"),EB20*2.4/$H20,EB20),IF($F20&lt;OFFSET($BN$9,$DT20+0,0,1,1),IF(AND($H20&gt;2.4,Z20&lt;&gt;"e",Z20&lt;&gt;"f"),EB20*2.4/$H20,EB20),IF($F20&lt;OFFSET($BN$9,$DT20+1,0,1,1),IF(AND($H20&gt;2.4,Z20&lt;&gt;"e",Z20&lt;&gt;"f"),EB20*2.4/$H20,EB20),IF($F20&lt;OFFSET($BN$9,$DT20+2,0,1,1),IF(AND($H20&gt;2.4,Z20&lt;&gt;"e",Z20&lt;&gt;"f"),EB20*2.4/$H20,EB20),IF($F20&lt;OFFSET($BN$9,$DT20+3,0,1,1),IF(AND($H20&gt;2.4,Z20&lt;&gt;"e",Z20&lt;&gt;"f"),EB20*2.4/$H20,EB20),0)))))*COS(RADIANS($G20)))</f>
        <v>0</v>
      </c>
      <c r="DY20" s="188"/>
      <c r="DZ20" s="188">
        <f ca="1">IF(DU20&gt;$CR20,$CR20,DU20)</f>
        <v>0</v>
      </c>
      <c r="EA20" s="188"/>
      <c r="EB20" s="188">
        <f ca="1">IF(DW20&gt;$CR20,$CR20,DW20)</f>
        <v>0</v>
      </c>
      <c r="EC20" s="435">
        <f ca="1">IF(DV20&gt;$CR20,$CR20,DV20)</f>
        <v>0</v>
      </c>
      <c r="ED20" s="435">
        <f ca="1">EC20*F20</f>
        <v>0</v>
      </c>
      <c r="EE20" s="436">
        <f ca="1">IF(DX20&gt;$CR20,$CR20,DX20)</f>
        <v>0</v>
      </c>
      <c r="EF20" s="437">
        <f ca="1">EE20*F20</f>
        <v>0</v>
      </c>
      <c r="EG20" s="613" t="str">
        <f>IF(D20=BG$12,BG$12,"")</f>
        <v/>
      </c>
      <c r="EH20" s="614" t="str">
        <f>IF(D20=BG$13,BG$13,"")</f>
        <v/>
      </c>
      <c r="EI20" s="611">
        <f>IF(EG20=BG$12,M20,0)</f>
        <v>0</v>
      </c>
      <c r="EJ20" s="451">
        <f>IF(EG20=BG$12,O20,0)</f>
        <v>0</v>
      </c>
      <c r="EK20" s="451">
        <f>IF(EH20=BG$13,M20,0)</f>
        <v>0</v>
      </c>
      <c r="EL20" s="612">
        <f>IF(EH20=BG$13,O20,0)</f>
        <v>0</v>
      </c>
      <c r="EM20" s="426" t="str">
        <f ca="1">IF(AND(Z20&lt;&gt;"t",Z20&lt;&gt;"f"),"",IF(AND(EN20=$BH$13,K20=$BH$12),"NotOpt",IF(K20&lt;&gt;EN20,"Error","")))</f>
        <v/>
      </c>
      <c r="EN20" s="490" t="str">
        <f>IF($BG$28=1,$BH$13,$BH$12)</f>
        <v>120 BU's</v>
      </c>
      <c r="EO20" s="426" t="str">
        <f>K20</f>
        <v xml:space="preserve"> </v>
      </c>
      <c r="EP20" s="430">
        <v>1</v>
      </c>
      <c r="EQ20" s="430" t="str">
        <f ca="1">IF(EP20=1," ",OFFSET(BF$16,EP20-2,0,1,1))</f>
        <v xml:space="preserve"> </v>
      </c>
      <c r="ER20" s="439" t="str">
        <f ca="1">IF(H20=0," ",H20)</f>
        <v xml:space="preserve"> </v>
      </c>
      <c r="ES20" s="440" t="str">
        <f ca="1">IF(ER20&lt;&gt;" ",IF(ER20&lt;&gt;ER$7,"Changed",""),"")</f>
        <v/>
      </c>
      <c r="ET20" s="440">
        <f ca="1">IF(ER20&lt;&gt;" ",IF(ER20&lt;&gt;ER$7,1,0),0)</f>
        <v>0</v>
      </c>
      <c r="EU20" s="957" t="str">
        <f ca="1">IF(I20=" "," ",IF(F20&lt;OFFSET($BM$9,CL20-1,0,1,1),1,""))</f>
        <v xml:space="preserve"> </v>
      </c>
      <c r="EW20" s="427"/>
      <c r="EX20"/>
      <c r="EY20"/>
      <c r="EZ20"/>
      <c r="FA20"/>
    </row>
    <row r="21" spans="2:157" ht="17.100000000000001" customHeight="1">
      <c r="B21" s="689" t="s">
        <v>246</v>
      </c>
      <c r="C21" s="684" t="str">
        <f>IF(OR(F21=0,I21="",I21=" ")," ",$V21)</f>
        <v xml:space="preserve"> </v>
      </c>
      <c r="D21" s="1361"/>
      <c r="E21" s="1034" t="s">
        <v>8</v>
      </c>
      <c r="F21" s="202"/>
      <c r="G21" s="1416"/>
      <c r="H21" s="199" t="str">
        <f ca="1">IF(OR(F21=0,Z21="E",Z21="f")," ",'Project Demand'!E$45)</f>
        <v xml:space="preserve"> </v>
      </c>
      <c r="I21" s="631" t="str">
        <f>IF($I$6&lt;&gt;$BG$8," ",AB21)</f>
        <v xml:space="preserve"> </v>
      </c>
      <c r="J21" s="44" t="str">
        <f ca="1">IF(OR(I21=" ",I21="")," ",OFFSET($BO$9,CL21-1,0-4,1,1))</f>
        <v xml:space="preserve"> </v>
      </c>
      <c r="K21" s="55" t="str">
        <f>IF(OR(I21=" ",I21="")," ",IF(OR(Z21="e",Z21="h"),"SD",BG$24))</f>
        <v xml:space="preserve"> </v>
      </c>
      <c r="L21" s="49">
        <f ca="1">CW21</f>
        <v>0</v>
      </c>
      <c r="M21" s="49">
        <f ca="1">CY21</f>
        <v>0</v>
      </c>
      <c r="N21" s="50">
        <f t="shared" ca="1" si="17"/>
        <v>0</v>
      </c>
      <c r="O21" s="126">
        <f t="shared" ca="1" si="17"/>
        <v>0</v>
      </c>
      <c r="P21" s="140"/>
      <c r="Q21" s="752" t="str">
        <f ca="1">IF(AND(OR(Z21="t",Z21="f"),K21=$BH$11),"No Floor!  Change Floor Type",IF(OR(I21=" ",I21="")," ",IF(F21&lt;OFFSET($BM$9,CL21-1,0,1,1),"check L(m)",DE21&amp;IF(AND(DP21&gt;=CY21,DR21&gt;=DB21),IF(AND(ED21&gt;=DP21,EF21&gt;=DR21),CONCATENATE(DS21," will provide same result"),CONCATENATE(CO21," will provide same result")),IF((DP21&gt;=CY21),CONCATENATE(CO21," provides same result in WIND"),IF((DR21&gt;=DB21),CONCATENATE(CO21," provides same result in EQ"),""))))))&amp;IF(ISERROR(FIND("pile",I21,1)),"",IF(INT(F21)&lt;&gt;F21,"Pile!  Use Whole Numbers Only",""))</f>
        <v xml:space="preserve"> </v>
      </c>
      <c r="R21" s="52"/>
      <c r="S21" s="1372"/>
      <c r="T21" s="52"/>
      <c r="U21" s="1377"/>
      <c r="V21" s="52" t="str">
        <f ca="1">IF(AND(B$5=$BF$9,OR(I21=BH$16,I21=BH$17))," ",IF(ISNUMBER(B$20),(CONCATENATE(B$20,".",W21)),(CONCATENATE(B$20,W21))))</f>
        <v>O0</v>
      </c>
      <c r="W21" s="9">
        <f ca="1">W20+X21</f>
        <v>0</v>
      </c>
      <c r="X21" s="9">
        <f>IF(AND(B$5=$BF$9,OR($I21=$BH$16,$I21=$BH$17,$I21=" ",$I21="",$F21=0)),0,IF(OR($I21=" ",$I21="",$F21=0),0,1))</f>
        <v>0</v>
      </c>
      <c r="Y21" s="896"/>
      <c r="Z21" s="52" t="str">
        <f ca="1">IF(I21=" "," ",OFFSET($BM$9,$CL21-1,8,1,1))</f>
        <v xml:space="preserve"> </v>
      </c>
      <c r="AA21" s="51" t="str">
        <f>IF(G21&gt;=45,"WA","")</f>
        <v/>
      </c>
      <c r="AB21" s="1364" t="str">
        <f>IF(F21&lt;&gt;"",IF(OR(D21=$BG$12,D21=$BG$13),IF(E21&lt;&gt;$BG$17,$BF$12,$BF$13),IF(E21&lt;&gt;$BG$17,$BF$12,$BF$13))," ")</f>
        <v xml:space="preserve"> </v>
      </c>
      <c r="AC21" s="1"/>
      <c r="AJ21" s="2230"/>
      <c r="AK21" s="2793"/>
      <c r="AL21" s="2784"/>
      <c r="AM21" s="11">
        <f>'Regular and QuickBrace Systems'!F35</f>
        <v>0.8</v>
      </c>
      <c r="AN21" s="1336">
        <f>'Regular and QuickBrace Systems'!G35</f>
        <v>120</v>
      </c>
      <c r="AO21" s="26">
        <f>'Regular and QuickBrace Systems'!H35</f>
        <v>109</v>
      </c>
      <c r="AP21" s="1595"/>
      <c r="AQ21" s="2663"/>
      <c r="AR21" s="2664"/>
      <c r="AS21" s="2031"/>
      <c r="AT21" s="1339"/>
      <c r="AU21" s="2123"/>
      <c r="AW21" s="1569" t="str">
        <f>'Regular and QuickBrace Systems'!O35</f>
        <v>Yes</v>
      </c>
      <c r="AX21" s="442" t="str">
        <f>'Regular and QuickBrace Systems'!Q35</f>
        <v>Yes</v>
      </c>
      <c r="BA21"/>
      <c r="BB21"/>
      <c r="BC21"/>
      <c r="BD21" s="2648"/>
      <c r="BF21" s="482" t="s">
        <v>8</v>
      </c>
      <c r="BI21" s="759"/>
      <c r="BJ21" s="897">
        <f t="shared" si="3"/>
        <v>13</v>
      </c>
      <c r="BK21" s="769" t="str">
        <f t="shared" si="6"/>
        <v xml:space="preserve">  </v>
      </c>
      <c r="BL21" s="771" t="str">
        <f t="shared" si="7"/>
        <v>Custom10</v>
      </c>
      <c r="BM21" s="455">
        <f t="shared" si="8"/>
        <v>9.9999999999999996E-76</v>
      </c>
      <c r="BN21" s="455">
        <v>999</v>
      </c>
      <c r="BO21" s="455">
        <f t="shared" si="9"/>
        <v>0</v>
      </c>
      <c r="BP21" s="925">
        <f t="shared" si="10"/>
        <v>0</v>
      </c>
      <c r="BR21" s="764"/>
      <c r="BS21" s="455"/>
      <c r="BT21" s="455" t="str">
        <f t="shared" si="11"/>
        <v>B</v>
      </c>
      <c r="BU21" s="925" t="str">
        <f t="shared" si="12"/>
        <v>T</v>
      </c>
      <c r="BV21" s="1239" t="str">
        <f t="shared" si="13"/>
        <v>Custom10</v>
      </c>
      <c r="BW21" s="1236">
        <f t="shared" si="16"/>
        <v>13</v>
      </c>
      <c r="BX21" s="925" t="str">
        <f t="shared" si="14"/>
        <v>Single</v>
      </c>
      <c r="CH21" s="764">
        <f t="shared" si="4"/>
        <v>0</v>
      </c>
      <c r="CI21" s="925">
        <f t="shared" si="5"/>
        <v>0</v>
      </c>
      <c r="CJ21" s="759"/>
      <c r="CK21" s="188"/>
      <c r="CL21" s="979">
        <f>VLOOKUP(I21,Prodlink,2,0)</f>
        <v>0</v>
      </c>
      <c r="CN21" s="497">
        <f ca="1">VLOOKUP(CO21,Prodlink,2,0)</f>
        <v>0</v>
      </c>
      <c r="CO21" s="497">
        <f ca="1">OFFSET($CH$9,CL21-1,-15,1,1)</f>
        <v>0</v>
      </c>
      <c r="CQ21" s="51">
        <v>0</v>
      </c>
      <c r="CR21" s="51">
        <f>IF(K21=$BH$12,$BH$23,IF(K21=$BH$13,$BH$24,10000))</f>
        <v>10000</v>
      </c>
      <c r="CS21" s="51">
        <f ca="1">IF(F21&lt;OFFSET($BM$9,CL21-1,0,1,1),0,IF(F21&lt;OFFSET($BN$9,CL21-1,0,1,1),((F21-OFFSET($BM$9,CL21-1,0,1,1))*OFFSET($CH$9,CL21-1,0,1,1))+OFFSET($BO$9,CL21-1,CQ21,1,1),IF(F21&lt;OFFSET($BN$9,CL21+0,0,1,1),((F21-OFFSET($BM$9,CL21+0,0,1,1))*OFFSET($CH$9,CL21+0,0,1,1))+OFFSET($BO$9,CL21+0,CQ21,1,1),IF(F21&lt;OFFSET($BN$9,CL21+1,0,1,1),((F21-OFFSET($BM$9,CL21+1,0,1,1))*OFFSET($CH$9,CL21+1,0,1,1))+OFFSET($BO$9,CL21+1,CQ21,1,1),IF(F21&lt;OFFSET($BN$9,CL21+2,0,1,1),((F21-OFFSET($BM$9,CL21+2,0,1,1))*OFFSET($CH$9,CL21+2,0,1,1))+OFFSET($BO$9,CL21+2,CQ21,1,1),IF(F21&lt;OFFSET($BN$9,CL21+3,0,1,1),((F21-OFFSET($BM$9,CL21+3,0,1,1))*OFFSET($CH$9,CL21+3,0,1,1))+OFFSET($BO$9,CL21+3,CQ21,1,1),0))))))</f>
        <v>0</v>
      </c>
      <c r="CT21" s="51">
        <f ca="1">IF($F21&lt;OFFSET($BM$9,$CL21-1,0,1,1),0,IF($F21&lt;OFFSET($BN$9,$CL21-1,0,1,1),IF(AND($H21&gt;2.4,Z21&lt;&gt;"e",Z21&lt;&gt;"f"),CX21*2.4/$H21,CX21),IF($F21&lt;OFFSET($BN$9,$CL21+0,0,1,1),IF(AND($H21&gt;2.4,Z21&lt;&gt;"e",Z21&lt;&gt;"f"),CX21*2.4/$H21,CX21),IF($F21&lt;OFFSET($BN$9,$CL21+1,0,1,1),IF(AND($H21&gt;2.4,Z21&lt;&gt;"e",Z21&lt;&gt;"f"),CX21*2.4/$H21,CX21),IF($F21&lt;OFFSET($BN$9,CL21+2,0,1,1),IF(AND($H21&gt;2.4,Z21&lt;&gt;"e",Z21&lt;&gt;"f"),CX21*2.4/$H21,CX21),IF($F21&lt;OFFSET($BN$9,CL21+3,0,1,1),IF(AND($H21&gt;2.4,Z21&lt;&gt;"e",Z21&lt;&gt;"f"),CX21*2.4/$H21,CX21),0)))))*COS(RADIANS($G21)))</f>
        <v>0</v>
      </c>
      <c r="CU21" s="51">
        <f ca="1">IF(F21&lt;OFFSET($BM$9,CL21-1,0,1,1),0,IF(F21&lt;OFFSET($BN$9,CL21-1,0,1,1),((F21-OFFSET($BM$9,CL21-1,0,1,1))*OFFSET($CI$9,CL21-1,0,1,1))+OFFSET($BP$9,CL21-1,CQ21,1,1),IF(F21&lt;OFFSET($BN$9,CL21+0,0,1,1),((F21-OFFSET($BM$9,CL21+0,0,1,1))*OFFSET($CI$9,CL21+0,0,1,1))+OFFSET($BP$9,CL21+0,CQ21,1,1),IF(F21&lt;OFFSET($BN$9,CL21+1,0,1,1),((F21-OFFSET($BM$9,CL21+1,0,1,1))*OFFSET($CI$9,CL21+1,0,1,1))+OFFSET($BP$9,CL21+1,CQ21,1,1),IF(F21&lt;OFFSET($BN$9,CL21+2,0,1,1),((F21-OFFSET($BM$9,CL21+2,0,1,1))*OFFSET($CI$9,CL21+2,0,1,1))+OFFSET($BP$9,CL21+2,CQ21,1,1),IF(F21&lt;OFFSET($BN$9,CL21+3,0,1,1),((F21-OFFSET($BM$9,CL21+3,0,1,1))*OFFSET($CI$9,CL21+3,0,1,1))+OFFSET($BP$9,CL21+3,CQ21,1,1),0))))))</f>
        <v>0</v>
      </c>
      <c r="CV21" s="51">
        <f ca="1">IF($F21&lt;OFFSET($BM$9,$CL21-1,0,1,1),0,IF($F21&lt;OFFSET($BN$9,$CL21-1,0,1,1),IF(AND($H21&gt;2.4,Z21&lt;&gt;"e",Z21&lt;&gt;"f"),CZ21*2.4/$H21,CZ21),IF($F21&lt;OFFSET($BN$9,$CL21+0,0,1,1),IF(AND($H21&gt;2.4,Z21&lt;&gt;"e",Z21&lt;&gt;"f"),CZ21*2.4/$H21,CZ21),IF($F21&lt;OFFSET($BN$9,$CL21+1,0,1,1),IF(AND($H21&gt;2.4,Z21&lt;&gt;"e",Z21&lt;&gt;"f"),CZ21*2.4/$H21,CZ21),IF($F21&lt;OFFSET($BN$9,$CL21+2,0,1,1),IF(AND($H21&gt;2.4,Z21&lt;&gt;"e",Z21&lt;&gt;"f"),CZ21*2.4/$H21,CZ21),IF($F21&lt;OFFSET($BN$9,$CL21+3,0,1,1),IF(AND($H21&gt;2.4,Z21&lt;&gt;"e",Z21&lt;&gt;"f"),CZ21*2.4/$H21,CZ21),0)))))*COS(RADIANS($G21)))</f>
        <v>0</v>
      </c>
      <c r="CW21" s="51">
        <f ca="1">IF(CT21&gt;CR21,CR21,CT21)</f>
        <v>0</v>
      </c>
      <c r="CX21" s="51">
        <f ca="1">IF(CS21&gt;$CR21,$CR21,CS21)</f>
        <v>0</v>
      </c>
      <c r="CY21" s="51">
        <f ca="1">CW21*F21</f>
        <v>0</v>
      </c>
      <c r="CZ21" s="51">
        <f ca="1">IF($CU21&gt;$CR21,$CR21,$CU21)</f>
        <v>0</v>
      </c>
      <c r="DA21" s="51">
        <f ca="1">IF(CV21&gt;CR21,CR21,CV21)</f>
        <v>0</v>
      </c>
      <c r="DB21" s="51">
        <f ca="1">DA21*F21</f>
        <v>0</v>
      </c>
      <c r="DC21" s="993">
        <v>1</v>
      </c>
      <c r="DD21" s="758" t="str">
        <f>IF(OR(D21=BG$12,D21=BG$13),"External",IF(D21=BG$14,"Internal"," "))</f>
        <v xml:space="preserve"> </v>
      </c>
      <c r="DE21" s="51" t="str">
        <f t="shared" ca="1" si="1"/>
        <v/>
      </c>
      <c r="DF21" s="52" t="str">
        <f t="shared" ca="1" si="2"/>
        <v xml:space="preserve"> </v>
      </c>
      <c r="DG21" s="51">
        <f ca="1">IF(F21&lt;OFFSET($BM$9,CN21-1,0,1,1),0,IF(F21&lt;OFFSET($BN$9,CN21-1,0,1,1),((F21-OFFSET($BM$9,CN21-1,0,1,1))*OFFSET($CH$9,CN21-1,0,1,1))+OFFSET($BO$9,CN21-1,CQ21,1,1),IF(F21&lt;OFFSET($BN$9,CN21+0,0,1,1),((F21-OFFSET($BM$9,CN21+0,0,1,1))*OFFSET($CH$9,CN21+0,0,1,1))+OFFSET($BO$9,CN21+0,CQ21,1,1),IF(F21&lt;OFFSET($BN$9,CN21+1,0,1,1),((F21-OFFSET($BM$9,CN21+1,0,1,1))*OFFSET($CH$9,CN21+1,0,1,1))+OFFSET($BO$9,CN21+1,CQ21,1,1),IF(F21&lt;OFFSET($BN$9,CN21+2,0,1,1),((F21-OFFSET($BM$9,CN21+2,0,1,1))*OFFSET($CH$9,CN21+2,0,1,1))+OFFSET($BO$9,CN21+2,CQ21,1,1),IF(F21&lt;OFFSET($BN$9,CN21+3,0,1,1),((F21-OFFSET($BM$9,CN21+3,0,1,1))*OFFSET($CH$9,CN21+3,0,1,1))+OFFSET($BO$9,CN21+3,CQ21,1,1),0))))))</f>
        <v>0</v>
      </c>
      <c r="DH21" s="51">
        <f ca="1">IF($F21&lt;OFFSET($BM$9,$CN21-1,0,1,1),0,IF($F21&lt;OFFSET($BN$9,$CN21-1,0,1,1),IF(AND($H21&gt;2.4,Z21&lt;&gt;"e",Z21&lt;&gt;"f"),DL21*2.4/$H21,DL21),IF($F21&lt;OFFSET($BN$9,$CN21+0,0,1,1),IF(AND($H21&gt;2.4,Z21&lt;&gt;"e",Z21&lt;&gt;"f"),DL21*2.4/$H21,DL21),IF($F21&lt;OFFSET($BN$9,$CN21+1,0,1,1),IF(AND($H21&gt;2.4,Z21&lt;&gt;"e",Z21&lt;&gt;"f"),DL21*2.4/$H21,DL21),IF($F21&lt;OFFSET($BN$9,$CN21+2,0,1,1),IF(AND($H21&gt;2.4,Z21&lt;&gt;"e",Z21&lt;&gt;"f"),DL21*2.4/$H21,DL21),IF($F21&lt;OFFSET($BN$9,$CN21+3,0,1,1),IF(AND($H21&gt;2.4,Z21&lt;&gt;"e",Z21&lt;&gt;"f"),DL21*2.4/$H21,DL21),0)))))*COS(RADIANS($G21)))</f>
        <v>0</v>
      </c>
      <c r="DI21" s="51">
        <f ca="1">IF(F21&lt;OFFSET($BM$9,CN21-1,0,1,1),0,IF(F21&lt;OFFSET($BN$9,CN21-1,0,1,1),((F21-OFFSET($BM$9,CN21-1,0,1,1))*OFFSET($CI$9,CN21-1,0,1,1))+OFFSET($BP$9,CN21-1,CQ21,1,1),IF(F21&lt;OFFSET($BN$9,CN21+0,0,1,1),((F21-OFFSET($BM$9,CN21+0,0,1,1))*OFFSET($CI$9,CN21+0,0,1,1))+OFFSET($BP$9,CN21+0,CQ21,1,1),IF(F21&lt;OFFSET($BN$9,CN21+1,0,1,1),((F21-OFFSET($BM$9,CN21+1,0,1,1))*OFFSET($CI$9,CN21+1,0,1,1))+OFFSET($BP$9,CN21+1,CQ21,1,1),IF(F21&lt;OFFSET($BN$9,CN21+2,0,1,1),((F21-OFFSET($BM$9,CN21+2,0,1,1))*OFFSET($CI$9,CN21+2,0,1,1))+OFFSET($BP$9,CN21+2,CQ21,1,1),IF(F21&lt;OFFSET($BN$9,CN21+3,0,1,1),((F21-OFFSET($BM$9,CN21+3,0,1,1))*OFFSET($CI$9,CN21+3,0,1,1))+OFFSET($BP$9,CN21+3,CQ21,1,1),0))))))</f>
        <v>0</v>
      </c>
      <c r="DJ21" s="51">
        <f ca="1">IF($F21&lt;OFFSET($BM$9,$CN21-1,0,1,1),0,IF($F21&lt;OFFSET($BN$9,$CN21-1,0,1,1),IF(AND($H21&gt;2.4,Z21&lt;&gt;"e",Z21&lt;&gt;"f"),DN21*2.4/$H21,DN21),IF($F21&lt;OFFSET($BN$9,$CN21+0,0,1,1),IF(AND($H21&gt;2.4,Z21&lt;&gt;"e",Z21&lt;&gt;"f"),DN21*2.4/$H21,DN21),IF($F21&lt;OFFSET($BN$9,$CN21+1,0,1,1),IF(AND($H21&gt;2.4,Z21&lt;&gt;"e",Z21&lt;&gt;"f"),DN21*2.4/$H21,DN21),IF($F21&lt;OFFSET($BN$9,$CN21+2,0,1,1),IF(AND($H21&gt;2.4,Z21&lt;&gt;"e",Z21&lt;&gt;"f"),DN21*2.4/$H21,DN21),IF($F21&lt;OFFSET($BN$9,$CN21+3,0,1,1),IF(AND($H21&gt;2.4,Z21&lt;&gt;"e",Z21&lt;&gt;"f"),DN21*2.4/$H21,DN21),0)))))*COS(RADIANS($G21)))</f>
        <v>0</v>
      </c>
      <c r="DK21" s="51"/>
      <c r="DL21" s="51">
        <f ca="1">IF(DG21&gt;$CR21,$CR21,DG21)</f>
        <v>0</v>
      </c>
      <c r="DM21" s="51"/>
      <c r="DN21" s="51">
        <f ca="1">IF(DI21&gt;$CR21,$CR21,DI21)</f>
        <v>0</v>
      </c>
      <c r="DO21" s="435">
        <f ca="1">IF(DH21&gt;$CR21,$CR21,DH21)</f>
        <v>0</v>
      </c>
      <c r="DP21" s="435">
        <f ca="1">DO21*F21</f>
        <v>0</v>
      </c>
      <c r="DQ21" s="436">
        <f ca="1">IF(DJ21&gt;$CR21,$CR21,DJ21)</f>
        <v>0</v>
      </c>
      <c r="DR21" s="437">
        <f ca="1">DQ21*F21</f>
        <v>0</v>
      </c>
      <c r="DS21" s="426">
        <f ca="1">OFFSET($CH$9,CL21-1,-15,1,1)</f>
        <v>0</v>
      </c>
      <c r="DT21" s="426">
        <f ca="1">VLOOKUP(DS21,Prodlink,2,0)</f>
        <v>0</v>
      </c>
      <c r="DU21" s="188">
        <f ca="1">IF(F21&lt;OFFSET($BM$9,DT21-1,0,1,1),0,IF(F21&lt;OFFSET($BN$9,DT21-1,0,1,1),((F21-OFFSET($BM$9,DT21-1,0,1,1))*OFFSET($CH$9,DT21-1,0,1,1))+OFFSET($BO$9,DT21-1,CQ21,1,1),IF(F21&lt;OFFSET($BN$9,DT21+0,0,1,1),((F21-OFFSET($BM$9,DT21+0,0,1,1))*OFFSET($CH$9,DT21+0,0,1,1))+OFFSET($BO$9,DT21+0,CQ21,1,1),IF(F21&lt;OFFSET($BN$9,DT21+1,0,1,1),((F21-OFFSET($BM$9,DT21+1,0,1,1))*OFFSET($CH$9,DT21+1,0,1,1))+OFFSET($BO$9,DT21+1,CQ21,1,1),IF(F21&lt;OFFSET($BN$9,DT21+2,0,1,1),((F21-OFFSET($BM$9,DT21+2,0,1,1))*OFFSET($CH$9,DT21+2,0,1,1))+OFFSET($BO$9,DT21+2,CQ21,1,1),IF(F21&lt;OFFSET($BN$9,DT21+3,0,1,1),((F21-OFFSET($BM$9,DT21+3,0,1,1))*OFFSET($CH$9,DT21+3,0,1,1))+OFFSET($BO$9,DT21+3,CQ21,1,1),0))))))</f>
        <v>0</v>
      </c>
      <c r="DV21" s="51">
        <f ca="1">IF($F21&lt;OFFSET($BM$9,$DT21-1,0,1,1),0,IF($F21&lt;OFFSET($BN$9,$DT21-1,0,1,1),IF(AND($H21&gt;2.4,Z21&lt;&gt;"e",Z21&lt;&gt;"f"),DZ21*2.4/$H21,DZ21),IF($F21&lt;OFFSET($BN$9,$DT21+0,0,1,1),IF(AND($H21&gt;2.4,Z21&lt;&gt;"e",Z21&lt;&gt;"f"),DZ21*2.4/$H21,DZ21),IF($F21&lt;OFFSET($BN$9,$DT21+1,0,1,1),IF(AND($H21&gt;2.4,Z21&lt;&gt;"e",Z21&lt;&gt;"f"),DZ21*2.4/$H21,DZ21),IF($F21&lt;OFFSET($BN$9,$DT21+2,0,1,1),IF(AND($H21&gt;2.4,Z21&lt;&gt;"e",Z21&lt;&gt;"f"),DZ21*2.4/$H21,DZ21),IF($F21&lt;OFFSET($BN$9,$DT21+3,0,1,1),IF(AND($H21&gt;2.4,Z21&lt;&gt;"e",Z21&lt;&gt;"f"),DZ21*2.4/$H21,DZ21),0)))))*COS(RADIANS($G21)))</f>
        <v>0</v>
      </c>
      <c r="DW21" s="188">
        <f ca="1">IF(F21&lt;OFFSET($BM$9,DT21-1,0,1,1),0,IF(F21&lt;OFFSET($BN$9,DT21-1,0,1,1),((F21-OFFSET($BM$9,DT21-1,0,1,1))*OFFSET($CI$9,DT21-1,0,1,1))+OFFSET($BP$9,DT21-1,CQ21,1,1),IF(F21&lt;OFFSET($BN$9,DT21+0,0,1,1),((F21-OFFSET($BM$9,DT21+0,0,1,1))*OFFSET($CI$9,DT21+0,0,1,1))+OFFSET($BP$9,DT21+0,CQ21,1,1),IF(F21&lt;OFFSET($BN$9,DT21+1,0,1,1),((F21-OFFSET($BM$9,DT21+1,0,1,1))*OFFSET($CI$9,DT21+1,0,1,1))+OFFSET($BP$9,DT21+1,CQ21,1,1),IF(F21&lt;OFFSET($BN$9,DT21+2,0,1,1),((F21-OFFSET($BM$9,DT21+2,0,1,1))*OFFSET($CI$9,DT21+2,0,1,1))+OFFSET($BP$9,DT21+2,CQ21,1,1),IF(F21&lt;OFFSET($BN$9,DT21+3,0,1,1),((F21-OFFSET($BM$9,DT21+3,0,1,1))*OFFSET($CI$9,DT21+3,0,1,1))+OFFSET($BP$9,DT21+3,CQ21,1,1),0))))))</f>
        <v>0</v>
      </c>
      <c r="DX21" s="51">
        <f ca="1">IF($F21&lt;OFFSET($BM$9,$DT21-1,0,1,1),0,IF($F21&lt;OFFSET($BN$9,$DT21-1,0,1,1),IF(AND($H21&gt;2.4,Z21&lt;&gt;"e",Z21&lt;&gt;"f"),EB21*2.4/$H21,EB21),IF($F21&lt;OFFSET($BN$9,$DT21+0,0,1,1),IF(AND($H21&gt;2.4,Z21&lt;&gt;"e",Z21&lt;&gt;"f"),EB21*2.4/$H21,EB21),IF($F21&lt;OFFSET($BN$9,$DT21+1,0,1,1),IF(AND($H21&gt;2.4,Z21&lt;&gt;"e",Z21&lt;&gt;"f"),EB21*2.4/$H21,EB21),IF($F21&lt;OFFSET($BN$9,$DT21+2,0,1,1),IF(AND($H21&gt;2.4,Z21&lt;&gt;"e",Z21&lt;&gt;"f"),EB21*2.4/$H21,EB21),IF($F21&lt;OFFSET($BN$9,$DT21+3,0,1,1),IF(AND($H21&gt;2.4,Z21&lt;&gt;"e",Z21&lt;&gt;"f"),EB21*2.4/$H21,EB21),0)))))*COS(RADIANS($G21)))</f>
        <v>0</v>
      </c>
      <c r="DY21" s="188"/>
      <c r="DZ21" s="188">
        <f ca="1">IF(DU21&gt;$CR21,$CR21,DU21)</f>
        <v>0</v>
      </c>
      <c r="EA21" s="188"/>
      <c r="EB21" s="188">
        <f ca="1">IF(DW21&gt;$CR21,$CR21,DW21)</f>
        <v>0</v>
      </c>
      <c r="EC21" s="435">
        <f ca="1">IF(DV21&gt;$CR21,$CR21,DV21)</f>
        <v>0</v>
      </c>
      <c r="ED21" s="435">
        <f ca="1">EC21*F21</f>
        <v>0</v>
      </c>
      <c r="EE21" s="436">
        <f ca="1">IF(DX21&gt;$CR21,$CR21,DX21)</f>
        <v>0</v>
      </c>
      <c r="EF21" s="437">
        <f ca="1">EE21*F21</f>
        <v>0</v>
      </c>
      <c r="EG21" s="613" t="str">
        <f>IF(D21=BG$12,BG$12,"")</f>
        <v/>
      </c>
      <c r="EH21" s="614" t="str">
        <f>IF(D21=BG$13,BG$13,"")</f>
        <v/>
      </c>
      <c r="EI21" s="611">
        <f>IF(EG21=BG$12,M21,0)</f>
        <v>0</v>
      </c>
      <c r="EJ21" s="451">
        <f>IF(EG21=BG$12,O21,0)</f>
        <v>0</v>
      </c>
      <c r="EK21" s="451">
        <f>IF(EH21=BG$13,M21,0)</f>
        <v>0</v>
      </c>
      <c r="EL21" s="612">
        <f>IF(EH21=BG$13,O21,0)</f>
        <v>0</v>
      </c>
      <c r="EM21" s="426" t="str">
        <f ca="1">IF(AND(Z21&lt;&gt;"t",Z21&lt;&gt;"f"),"",IF(AND(EN21=$BH$13,K21=$BH$12),"NotOpt",IF(K21&lt;&gt;EN21,"Error","")))</f>
        <v/>
      </c>
      <c r="EN21" s="490" t="str">
        <f>IF($BG$28=1,$BH$13,$BH$12)</f>
        <v>120 BU's</v>
      </c>
      <c r="EO21" s="426" t="str">
        <f>K21</f>
        <v xml:space="preserve"> </v>
      </c>
      <c r="EP21" s="430">
        <v>1</v>
      </c>
      <c r="EQ21" s="430" t="str">
        <f ca="1">IF(EP21=1," ",OFFSET(BF$16,EP21-2,0,1,1))</f>
        <v xml:space="preserve"> </v>
      </c>
      <c r="ER21" s="439" t="str">
        <f ca="1">IF(H21=0," ",H21)</f>
        <v xml:space="preserve"> </v>
      </c>
      <c r="ES21" s="440" t="str">
        <f ca="1">IF(ER21&lt;&gt;" ",IF(ER21&lt;&gt;ER$7,"Changed",""),"")</f>
        <v/>
      </c>
      <c r="ET21" s="440">
        <f ca="1">IF(ER21&lt;&gt;" ",IF(ER21&lt;&gt;ER$7,1,0),0)</f>
        <v>0</v>
      </c>
      <c r="EU21" s="957" t="str">
        <f ca="1">IF(I21=" "," ",IF(F21&lt;OFFSET($BM$9,CL21-1,0,1,1),1,""))</f>
        <v xml:space="preserve"> </v>
      </c>
      <c r="EW21" s="427"/>
      <c r="EX21"/>
      <c r="EY21"/>
      <c r="EZ21"/>
      <c r="FA21"/>
    </row>
    <row r="22" spans="2:157" ht="17.100000000000001" customHeight="1" thickBot="1">
      <c r="B22" s="689" t="s">
        <v>246</v>
      </c>
      <c r="C22" s="684" t="str">
        <f>IF(OR(F22=0,I22="",I22=" ")," ",$V22)</f>
        <v xml:space="preserve"> </v>
      </c>
      <c r="D22" s="1033"/>
      <c r="E22" s="1034" t="s">
        <v>8</v>
      </c>
      <c r="F22" s="202"/>
      <c r="G22" s="1416"/>
      <c r="H22" s="199" t="str">
        <f ca="1">IF(OR(F22=0,Z22="E",Z22="f")," ",'Project Demand'!E$45)</f>
        <v xml:space="preserve"> </v>
      </c>
      <c r="I22" s="631" t="str">
        <f>IF($I$6&lt;&gt;$BG$8," ",AB22)</f>
        <v xml:space="preserve"> </v>
      </c>
      <c r="J22" s="44" t="str">
        <f ca="1">IF(OR(I22=" ",I22="")," ",OFFSET($BO$9,CL22-1,0-4,1,1))</f>
        <v xml:space="preserve"> </v>
      </c>
      <c r="K22" s="55" t="str">
        <f>IF(OR(I22=" ",I22="")," ",IF(OR(Z22="e",Z22="h"),"SD",BG$24))</f>
        <v xml:space="preserve"> </v>
      </c>
      <c r="L22" s="49">
        <f ca="1">CW22</f>
        <v>0</v>
      </c>
      <c r="M22" s="49">
        <f ca="1">CY22</f>
        <v>0</v>
      </c>
      <c r="N22" s="50">
        <f t="shared" ca="1" si="17"/>
        <v>0</v>
      </c>
      <c r="O22" s="126">
        <f t="shared" ca="1" si="17"/>
        <v>0</v>
      </c>
      <c r="P22" s="140"/>
      <c r="Q22" s="752" t="str">
        <f ca="1">IF(AND(OR(Z22="t",Z22="f"),K22=$BH$11),"No Floor!  Change Floor Type",IF(OR(I22=" ",I22="")," ",IF(F22&lt;OFFSET($BM$9,CL22-1,0,1,1),"check L(m)",DE22&amp;IF(AND(DP22&gt;=CY22,DR22&gt;=DB22),IF(AND(ED22&gt;=DP22,EF22&gt;=DR22),CONCATENATE(DS22," will provide same result"),CONCATENATE(CO22," will provide same result")),IF((DP22&gt;=CY22),CONCATENATE(CO22," provides same result in WIND"),IF((DR22&gt;=DB22),CONCATENATE(CO22," provides same result in EQ"),""))))))&amp;IF(ISERROR(FIND("pile",I22,1)),"",IF(INT(F22)&lt;&gt;F22,"Pile!  Use Whole Numbers Only",""))</f>
        <v xml:space="preserve"> </v>
      </c>
      <c r="R22" s="52"/>
      <c r="S22" s="1372"/>
      <c r="T22" s="52"/>
      <c r="U22" s="1377"/>
      <c r="V22" s="52" t="str">
        <f ca="1">IF(AND(B$5=$BF$9,OR(I22=BH$16,I22=BH$17))," ",IF(ISNUMBER(B$20),(CONCATENATE(B$20,".",W22)),(CONCATENATE(B$20,W22))))</f>
        <v>O0</v>
      </c>
      <c r="W22" s="9">
        <f ca="1">W21+X22</f>
        <v>0</v>
      </c>
      <c r="X22" s="9">
        <f>IF(AND(B$5=$BF$9,OR($I22=$BH$16,$I22=$BH$17,$I22=" ",$I22="",$F22=0)),0,IF(OR($I22=" ",$I22="",$F22=0),0,1))</f>
        <v>0</v>
      </c>
      <c r="Y22" s="896"/>
      <c r="Z22" s="52" t="str">
        <f ca="1">IF(I22=" "," ",OFFSET($BM$9,$CL22-1,8,1,1))</f>
        <v xml:space="preserve"> </v>
      </c>
      <c r="AA22" s="51" t="str">
        <f>IF(G22&gt;=45,"WA","")</f>
        <v/>
      </c>
      <c r="AB22" s="1364" t="str">
        <f>IF(F22&lt;&gt;"",IF(OR(D22=$BG$12,D22=$BG$13),IF(E22&lt;&gt;$BG$17,$BF$12,$BF$13),IF(E22&lt;&gt;$BG$17,$BF$12,$BF$13))," ")</f>
        <v xml:space="preserve"> </v>
      </c>
      <c r="AC22" s="1"/>
      <c r="AJ22" s="2230"/>
      <c r="AK22" s="2794"/>
      <c r="AL22" s="2785"/>
      <c r="AM22" s="1177">
        <f>'Regular and QuickBrace Systems'!F36</f>
        <v>1.2</v>
      </c>
      <c r="AN22" s="1274">
        <f>'Regular and QuickBrace Systems'!G36</f>
        <v>140</v>
      </c>
      <c r="AO22" s="1275">
        <f>'Regular and QuickBrace Systems'!H36</f>
        <v>115</v>
      </c>
      <c r="AP22" s="1277"/>
      <c r="AQ22" s="2665"/>
      <c r="AR22" s="2666"/>
      <c r="AS22" s="2032"/>
      <c r="AT22" s="1339"/>
      <c r="AU22" s="2124"/>
      <c r="AW22" s="1570" t="str">
        <f>'Regular and QuickBrace Systems'!O36</f>
        <v>Yes</v>
      </c>
      <c r="AX22" s="1574" t="str">
        <f>'Regular and QuickBrace Systems'!Q36</f>
        <v>Yes</v>
      </c>
      <c r="BA22"/>
      <c r="BB22"/>
      <c r="BC22"/>
      <c r="BD22" s="2648"/>
      <c r="BF22" s="598" t="str">
        <f>Table!AI83</f>
        <v>ESPH</v>
      </c>
      <c r="BG22" s="1003" t="s">
        <v>674</v>
      </c>
      <c r="BH22" s="1004"/>
      <c r="BI22" s="759"/>
      <c r="BJ22" s="897">
        <f t="shared" si="3"/>
        <v>14</v>
      </c>
      <c r="BK22" s="769" t="str">
        <f t="shared" si="6"/>
        <v xml:space="preserve">  </v>
      </c>
      <c r="BL22" s="771" t="str">
        <f t="shared" si="7"/>
        <v>Custom11</v>
      </c>
      <c r="BM22" s="455">
        <f t="shared" si="8"/>
        <v>9.9999999999999996E-76</v>
      </c>
      <c r="BN22" s="455">
        <v>999</v>
      </c>
      <c r="BO22" s="455">
        <f t="shared" si="9"/>
        <v>0</v>
      </c>
      <c r="BP22" s="925">
        <f t="shared" si="10"/>
        <v>0</v>
      </c>
      <c r="BR22" s="764"/>
      <c r="BS22" s="455"/>
      <c r="BT22" s="455" t="str">
        <f t="shared" si="11"/>
        <v>B</v>
      </c>
      <c r="BU22" s="925" t="str">
        <f t="shared" si="12"/>
        <v>T</v>
      </c>
      <c r="BV22" s="1239" t="str">
        <f t="shared" si="13"/>
        <v>Custom11</v>
      </c>
      <c r="BW22" s="1236">
        <f t="shared" si="16"/>
        <v>14</v>
      </c>
      <c r="BX22" s="925" t="str">
        <f t="shared" si="14"/>
        <v>Single</v>
      </c>
      <c r="CH22" s="764">
        <f t="shared" si="4"/>
        <v>0</v>
      </c>
      <c r="CI22" s="925">
        <f t="shared" si="5"/>
        <v>0</v>
      </c>
      <c r="CJ22" s="759"/>
      <c r="CK22" s="188"/>
      <c r="CL22" s="979">
        <f>VLOOKUP(I22,Prodlink,2,0)</f>
        <v>0</v>
      </c>
      <c r="CN22" s="497">
        <f ca="1">VLOOKUP(CO22,Prodlink,2,0)</f>
        <v>0</v>
      </c>
      <c r="CO22" s="497">
        <f ca="1">OFFSET($CH$9,CL22-1,-15,1,1)</f>
        <v>0</v>
      </c>
      <c r="CQ22" s="51">
        <v>0</v>
      </c>
      <c r="CR22" s="51">
        <f>IF(K22=$BH$12,$BH$23,IF(K22=$BH$13,$BH$24,10000))</f>
        <v>10000</v>
      </c>
      <c r="CS22" s="51">
        <f ca="1">IF(F22&lt;OFFSET($BM$9,CL22-1,0,1,1),0,IF(F22&lt;OFFSET($BN$9,CL22-1,0,1,1),((F22-OFFSET($BM$9,CL22-1,0,1,1))*OFFSET($CH$9,CL22-1,0,1,1))+OFFSET($BO$9,CL22-1,CQ22,1,1),IF(F22&lt;OFFSET($BN$9,CL22+0,0,1,1),((F22-OFFSET($BM$9,CL22+0,0,1,1))*OFFSET($CH$9,CL22+0,0,1,1))+OFFSET($BO$9,CL22+0,CQ22,1,1),IF(F22&lt;OFFSET($BN$9,CL22+1,0,1,1),((F22-OFFSET($BM$9,CL22+1,0,1,1))*OFFSET($CH$9,CL22+1,0,1,1))+OFFSET($BO$9,CL22+1,CQ22,1,1),IF(F22&lt;OFFSET($BN$9,CL22+2,0,1,1),((F22-OFFSET($BM$9,CL22+2,0,1,1))*OFFSET($CH$9,CL22+2,0,1,1))+OFFSET($BO$9,CL22+2,CQ22,1,1),IF(F22&lt;OFFSET($BN$9,CL22+3,0,1,1),((F22-OFFSET($BM$9,CL22+3,0,1,1))*OFFSET($CH$9,CL22+3,0,1,1))+OFFSET($BO$9,CL22+3,CQ22,1,1),0))))))</f>
        <v>0</v>
      </c>
      <c r="CT22" s="51">
        <f ca="1">IF($F22&lt;OFFSET($BM$9,$CL22-1,0,1,1),0,IF($F22&lt;OFFSET($BN$9,$CL22-1,0,1,1),IF(AND($H22&gt;2.4,Z22&lt;&gt;"e",Z22&lt;&gt;"f"),CX22*2.4/$H22,CX22),IF($F22&lt;OFFSET($BN$9,$CL22+0,0,1,1),IF(AND($H22&gt;2.4,Z22&lt;&gt;"e",Z22&lt;&gt;"f"),CX22*2.4/$H22,CX22),IF($F22&lt;OFFSET($BN$9,$CL22+1,0,1,1),IF(AND($H22&gt;2.4,Z22&lt;&gt;"e",Z22&lt;&gt;"f"),CX22*2.4/$H22,CX22),IF($F22&lt;OFFSET($BN$9,CL22+2,0,1,1),IF(AND($H22&gt;2.4,Z22&lt;&gt;"e",Z22&lt;&gt;"f"),CX22*2.4/$H22,CX22),IF($F22&lt;OFFSET($BN$9,CL22+3,0,1,1),IF(AND($H22&gt;2.4,Z22&lt;&gt;"e",Z22&lt;&gt;"f"),CX22*2.4/$H22,CX22),0)))))*COS(RADIANS($G22)))</f>
        <v>0</v>
      </c>
      <c r="CU22" s="51">
        <f ca="1">IF(F22&lt;OFFSET($BM$9,CL22-1,0,1,1),0,IF(F22&lt;OFFSET($BN$9,CL22-1,0,1,1),((F22-OFFSET($BM$9,CL22-1,0,1,1))*OFFSET($CI$9,CL22-1,0,1,1))+OFFSET($BP$9,CL22-1,CQ22,1,1),IF(F22&lt;OFFSET($BN$9,CL22+0,0,1,1),((F22-OFFSET($BM$9,CL22+0,0,1,1))*OFFSET($CI$9,CL22+0,0,1,1))+OFFSET($BP$9,CL22+0,CQ22,1,1),IF(F22&lt;OFFSET($BN$9,CL22+1,0,1,1),((F22-OFFSET($BM$9,CL22+1,0,1,1))*OFFSET($CI$9,CL22+1,0,1,1))+OFFSET($BP$9,CL22+1,CQ22,1,1),IF(F22&lt;OFFSET($BN$9,CL22+2,0,1,1),((F22-OFFSET($BM$9,CL22+2,0,1,1))*OFFSET($CI$9,CL22+2,0,1,1))+OFFSET($BP$9,CL22+2,CQ22,1,1),IF(F22&lt;OFFSET($BN$9,CL22+3,0,1,1),((F22-OFFSET($BM$9,CL22+3,0,1,1))*OFFSET($CI$9,CL22+3,0,1,1))+OFFSET($BP$9,CL22+3,CQ22,1,1),0))))))</f>
        <v>0</v>
      </c>
      <c r="CV22" s="51">
        <f ca="1">IF($F22&lt;OFFSET($BM$9,$CL22-1,0,1,1),0,IF($F22&lt;OFFSET($BN$9,$CL22-1,0,1,1),IF(AND($H22&gt;2.4,Z22&lt;&gt;"e",Z22&lt;&gt;"f"),CZ22*2.4/$H22,CZ22),IF($F22&lt;OFFSET($BN$9,$CL22+0,0,1,1),IF(AND($H22&gt;2.4,Z22&lt;&gt;"e",Z22&lt;&gt;"f"),CZ22*2.4/$H22,CZ22),IF($F22&lt;OFFSET($BN$9,$CL22+1,0,1,1),IF(AND($H22&gt;2.4,Z22&lt;&gt;"e",Z22&lt;&gt;"f"),CZ22*2.4/$H22,CZ22),IF($F22&lt;OFFSET($BN$9,$CL22+2,0,1,1),IF(AND($H22&gt;2.4,Z22&lt;&gt;"e",Z22&lt;&gt;"f"),CZ22*2.4/$H22,CZ22),IF($F22&lt;OFFSET($BN$9,$CL22+3,0,1,1),IF(AND($H22&gt;2.4,Z22&lt;&gt;"e",Z22&lt;&gt;"f"),CZ22*2.4/$H22,CZ22),0)))))*COS(RADIANS($G22)))</f>
        <v>0</v>
      </c>
      <c r="CW22" s="51">
        <f ca="1">IF(CT22&gt;CR22,CR22,CT22)</f>
        <v>0</v>
      </c>
      <c r="CX22" s="51">
        <f ca="1">IF(CS22&gt;$CR22,$CR22,CS22)</f>
        <v>0</v>
      </c>
      <c r="CY22" s="51">
        <f ca="1">CW22*F22</f>
        <v>0</v>
      </c>
      <c r="CZ22" s="51">
        <f ca="1">IF($CU22&gt;$CR22,$CR22,$CU22)</f>
        <v>0</v>
      </c>
      <c r="DA22" s="51">
        <f ca="1">IF(CV22&gt;CR22,CR22,CV22)</f>
        <v>0</v>
      </c>
      <c r="DB22" s="51">
        <f ca="1">DA22*F22</f>
        <v>0</v>
      </c>
      <c r="DC22" s="993">
        <v>1</v>
      </c>
      <c r="DD22" s="758" t="str">
        <f>IF(OR(D22=BG$12,D22=BG$13),"External",IF(D22=BG$14,"Internal"," "))</f>
        <v xml:space="preserve"> </v>
      </c>
      <c r="DE22" s="51" t="str">
        <f t="shared" ca="1" si="1"/>
        <v/>
      </c>
      <c r="DF22" s="52" t="str">
        <f t="shared" ca="1" si="2"/>
        <v xml:space="preserve"> </v>
      </c>
      <c r="DG22" s="51">
        <f ca="1">IF(F22&lt;OFFSET($BM$9,CN22-1,0,1,1),0,IF(F22&lt;OFFSET($BN$9,CN22-1,0,1,1),((F22-OFFSET($BM$9,CN22-1,0,1,1))*OFFSET($CH$9,CN22-1,0,1,1))+OFFSET($BO$9,CN22-1,CQ22,1,1),IF(F22&lt;OFFSET($BN$9,CN22+0,0,1,1),((F22-OFFSET($BM$9,CN22+0,0,1,1))*OFFSET($CH$9,CN22+0,0,1,1))+OFFSET($BO$9,CN22+0,CQ22,1,1),IF(F22&lt;OFFSET($BN$9,CN22+1,0,1,1),((F22-OFFSET($BM$9,CN22+1,0,1,1))*OFFSET($CH$9,CN22+1,0,1,1))+OFFSET($BO$9,CN22+1,CQ22,1,1),IF(F22&lt;OFFSET($BN$9,CN22+2,0,1,1),((F22-OFFSET($BM$9,CN22+2,0,1,1))*OFFSET($CH$9,CN22+2,0,1,1))+OFFSET($BO$9,CN22+2,CQ22,1,1),IF(F22&lt;OFFSET($BN$9,CN22+3,0,1,1),((F22-OFFSET($BM$9,CN22+3,0,1,1))*OFFSET($CH$9,CN22+3,0,1,1))+OFFSET($BO$9,CN22+3,CQ22,1,1),0))))))</f>
        <v>0</v>
      </c>
      <c r="DH22" s="51">
        <f ca="1">IF($F22&lt;OFFSET($BM$9,$CN22-1,0,1,1),0,IF($F22&lt;OFFSET($BN$9,$CN22-1,0,1,1),IF(AND($H22&gt;2.4,Z22&lt;&gt;"e",Z22&lt;&gt;"f"),DL22*2.4/$H22,DL22),IF($F22&lt;OFFSET($BN$9,$CN22+0,0,1,1),IF(AND($H22&gt;2.4,Z22&lt;&gt;"e",Z22&lt;&gt;"f"),DL22*2.4/$H22,DL22),IF($F22&lt;OFFSET($BN$9,$CN22+1,0,1,1),IF(AND($H22&gt;2.4,Z22&lt;&gt;"e",Z22&lt;&gt;"f"),DL22*2.4/$H22,DL22),IF($F22&lt;OFFSET($BN$9,$CN22+2,0,1,1),IF(AND($H22&gt;2.4,Z22&lt;&gt;"e",Z22&lt;&gt;"f"),DL22*2.4/$H22,DL22),IF($F22&lt;OFFSET($BN$9,$CN22+3,0,1,1),IF(AND($H22&gt;2.4,Z22&lt;&gt;"e",Z22&lt;&gt;"f"),DL22*2.4/$H22,DL22),0)))))*COS(RADIANS($G22)))</f>
        <v>0</v>
      </c>
      <c r="DI22" s="51">
        <f ca="1">IF(F22&lt;OFFSET($BM$9,CN22-1,0,1,1),0,IF(F22&lt;OFFSET($BN$9,CN22-1,0,1,1),((F22-OFFSET($BM$9,CN22-1,0,1,1))*OFFSET($CI$9,CN22-1,0,1,1))+OFFSET($BP$9,CN22-1,CQ22,1,1),IF(F22&lt;OFFSET($BN$9,CN22+0,0,1,1),((F22-OFFSET($BM$9,CN22+0,0,1,1))*OFFSET($CI$9,CN22+0,0,1,1))+OFFSET($BP$9,CN22+0,CQ22,1,1),IF(F22&lt;OFFSET($BN$9,CN22+1,0,1,1),((F22-OFFSET($BM$9,CN22+1,0,1,1))*OFFSET($CI$9,CN22+1,0,1,1))+OFFSET($BP$9,CN22+1,CQ22,1,1),IF(F22&lt;OFFSET($BN$9,CN22+2,0,1,1),((F22-OFFSET($BM$9,CN22+2,0,1,1))*OFFSET($CI$9,CN22+2,0,1,1))+OFFSET($BP$9,CN22+2,CQ22,1,1),IF(F22&lt;OFFSET($BN$9,CN22+3,0,1,1),((F22-OFFSET($BM$9,CN22+3,0,1,1))*OFFSET($CI$9,CN22+3,0,1,1))+OFFSET($BP$9,CN22+3,CQ22,1,1),0))))))</f>
        <v>0</v>
      </c>
      <c r="DJ22" s="51">
        <f ca="1">IF($F22&lt;OFFSET($BM$9,$CN22-1,0,1,1),0,IF($F22&lt;OFFSET($BN$9,$CN22-1,0,1,1),IF(AND($H22&gt;2.4,Z22&lt;&gt;"e",Z22&lt;&gt;"f"),DN22*2.4/$H22,DN22),IF($F22&lt;OFFSET($BN$9,$CN22+0,0,1,1),IF(AND($H22&gt;2.4,Z22&lt;&gt;"e",Z22&lt;&gt;"f"),DN22*2.4/$H22,DN22),IF($F22&lt;OFFSET($BN$9,$CN22+1,0,1,1),IF(AND($H22&gt;2.4,Z22&lt;&gt;"e",Z22&lt;&gt;"f"),DN22*2.4/$H22,DN22),IF($F22&lt;OFFSET($BN$9,$CN22+2,0,1,1),IF(AND($H22&gt;2.4,Z22&lt;&gt;"e",Z22&lt;&gt;"f"),DN22*2.4/$H22,DN22),IF($F22&lt;OFFSET($BN$9,$CN22+3,0,1,1),IF(AND($H22&gt;2.4,Z22&lt;&gt;"e",Z22&lt;&gt;"f"),DN22*2.4/$H22,DN22),0)))))*COS(RADIANS($G22)))</f>
        <v>0</v>
      </c>
      <c r="DK22" s="51"/>
      <c r="DL22" s="51">
        <f ca="1">IF(DG22&gt;$CR22,$CR22,DG22)</f>
        <v>0</v>
      </c>
      <c r="DM22" s="51"/>
      <c r="DN22" s="51">
        <f ca="1">IF(DI22&gt;$CR22,$CR22,DI22)</f>
        <v>0</v>
      </c>
      <c r="DO22" s="435">
        <f ca="1">IF(DH22&gt;$CR22,$CR22,DH22)</f>
        <v>0</v>
      </c>
      <c r="DP22" s="435">
        <f ca="1">DO22*F22</f>
        <v>0</v>
      </c>
      <c r="DQ22" s="436">
        <f ca="1">IF(DJ22&gt;$CR22,$CR22,DJ22)</f>
        <v>0</v>
      </c>
      <c r="DR22" s="437">
        <f ca="1">DQ22*F22</f>
        <v>0</v>
      </c>
      <c r="DS22" s="426">
        <f ca="1">OFFSET($CH$9,CL22-1,-15,1,1)</f>
        <v>0</v>
      </c>
      <c r="DT22" s="426">
        <f ca="1">VLOOKUP(DS22,Prodlink,2,0)</f>
        <v>0</v>
      </c>
      <c r="DU22" s="188">
        <f ca="1">IF(F22&lt;OFFSET($BM$9,DT22-1,0,1,1),0,IF(F22&lt;OFFSET($BN$9,DT22-1,0,1,1),((F22-OFFSET($BM$9,DT22-1,0,1,1))*OFFSET($CH$9,DT22-1,0,1,1))+OFFSET($BO$9,DT22-1,CQ22,1,1),IF(F22&lt;OFFSET($BN$9,DT22+0,0,1,1),((F22-OFFSET($BM$9,DT22+0,0,1,1))*OFFSET($CH$9,DT22+0,0,1,1))+OFFSET($BO$9,DT22+0,CQ22,1,1),IF(F22&lt;OFFSET($BN$9,DT22+1,0,1,1),((F22-OFFSET($BM$9,DT22+1,0,1,1))*OFFSET($CH$9,DT22+1,0,1,1))+OFFSET($BO$9,DT22+1,CQ22,1,1),IF(F22&lt;OFFSET($BN$9,DT22+2,0,1,1),((F22-OFFSET($BM$9,DT22+2,0,1,1))*OFFSET($CH$9,DT22+2,0,1,1))+OFFSET($BO$9,DT22+2,CQ22,1,1),IF(F22&lt;OFFSET($BN$9,DT22+3,0,1,1),((F22-OFFSET($BM$9,DT22+3,0,1,1))*OFFSET($CH$9,DT22+3,0,1,1))+OFFSET($BO$9,DT22+3,CQ22,1,1),0))))))</f>
        <v>0</v>
      </c>
      <c r="DV22" s="51">
        <f ca="1">IF($F22&lt;OFFSET($BM$9,$DT22-1,0,1,1),0,IF($F22&lt;OFFSET($BN$9,$DT22-1,0,1,1),IF(AND($H22&gt;2.4,Z22&lt;&gt;"e",Z22&lt;&gt;"f"),DZ22*2.4/$H22,DZ22),IF($F22&lt;OFFSET($BN$9,$DT22+0,0,1,1),IF(AND($H22&gt;2.4,Z22&lt;&gt;"e",Z22&lt;&gt;"f"),DZ22*2.4/$H22,DZ22),IF($F22&lt;OFFSET($BN$9,$DT22+1,0,1,1),IF(AND($H22&gt;2.4,Z22&lt;&gt;"e",Z22&lt;&gt;"f"),DZ22*2.4/$H22,DZ22),IF($F22&lt;OFFSET($BN$9,$DT22+2,0,1,1),IF(AND($H22&gt;2.4,Z22&lt;&gt;"e",Z22&lt;&gt;"f"),DZ22*2.4/$H22,DZ22),IF($F22&lt;OFFSET($BN$9,$DT22+3,0,1,1),IF(AND($H22&gt;2.4,Z22&lt;&gt;"e",Z22&lt;&gt;"f"),DZ22*2.4/$H22,DZ22),0)))))*COS(RADIANS($G22)))</f>
        <v>0</v>
      </c>
      <c r="DW22" s="188">
        <f ca="1">IF(F22&lt;OFFSET($BM$9,DT22-1,0,1,1),0,IF(F22&lt;OFFSET($BN$9,DT22-1,0,1,1),((F22-OFFSET($BM$9,DT22-1,0,1,1))*OFFSET($CI$9,DT22-1,0,1,1))+OFFSET($BP$9,DT22-1,CQ22,1,1),IF(F22&lt;OFFSET($BN$9,DT22+0,0,1,1),((F22-OFFSET($BM$9,DT22+0,0,1,1))*OFFSET($CI$9,DT22+0,0,1,1))+OFFSET($BP$9,DT22+0,CQ22,1,1),IF(F22&lt;OFFSET($BN$9,DT22+1,0,1,1),((F22-OFFSET($BM$9,DT22+1,0,1,1))*OFFSET($CI$9,DT22+1,0,1,1))+OFFSET($BP$9,DT22+1,CQ22,1,1),IF(F22&lt;OFFSET($BN$9,DT22+2,0,1,1),((F22-OFFSET($BM$9,DT22+2,0,1,1))*OFFSET($CI$9,DT22+2,0,1,1))+OFFSET($BP$9,DT22+2,CQ22,1,1),IF(F22&lt;OFFSET($BN$9,DT22+3,0,1,1),((F22-OFFSET($BM$9,DT22+3,0,1,1))*OFFSET($CI$9,DT22+3,0,1,1))+OFFSET($BP$9,DT22+3,CQ22,1,1),0))))))</f>
        <v>0</v>
      </c>
      <c r="DX22" s="51">
        <f ca="1">IF($F22&lt;OFFSET($BM$9,$DT22-1,0,1,1),0,IF($F22&lt;OFFSET($BN$9,$DT22-1,0,1,1),IF(AND($H22&gt;2.4,Z22&lt;&gt;"e",Z22&lt;&gt;"f"),EB22*2.4/$H22,EB22),IF($F22&lt;OFFSET($BN$9,$DT22+0,0,1,1),IF(AND($H22&gt;2.4,Z22&lt;&gt;"e",Z22&lt;&gt;"f"),EB22*2.4/$H22,EB22),IF($F22&lt;OFFSET($BN$9,$DT22+1,0,1,1),IF(AND($H22&gt;2.4,Z22&lt;&gt;"e",Z22&lt;&gt;"f"),EB22*2.4/$H22,EB22),IF($F22&lt;OFFSET($BN$9,$DT22+2,0,1,1),IF(AND($H22&gt;2.4,Z22&lt;&gt;"e",Z22&lt;&gt;"f"),EB22*2.4/$H22,EB22),IF($F22&lt;OFFSET($BN$9,$DT22+3,0,1,1),IF(AND($H22&gt;2.4,Z22&lt;&gt;"e",Z22&lt;&gt;"f"),EB22*2.4/$H22,EB22),0)))))*COS(RADIANS($G22)))</f>
        <v>0</v>
      </c>
      <c r="DY22" s="188"/>
      <c r="DZ22" s="188">
        <f ca="1">IF(DU22&gt;$CR22,$CR22,DU22)</f>
        <v>0</v>
      </c>
      <c r="EA22" s="188"/>
      <c r="EB22" s="188">
        <f ca="1">IF(DW22&gt;$CR22,$CR22,DW22)</f>
        <v>0</v>
      </c>
      <c r="EC22" s="435">
        <f ca="1">IF(DV22&gt;$CR22,$CR22,DV22)</f>
        <v>0</v>
      </c>
      <c r="ED22" s="435">
        <f ca="1">EC22*F22</f>
        <v>0</v>
      </c>
      <c r="EE22" s="436">
        <f ca="1">IF(DX22&gt;$CR22,$CR22,DX22)</f>
        <v>0</v>
      </c>
      <c r="EF22" s="437">
        <f ca="1">EE22*F22</f>
        <v>0</v>
      </c>
      <c r="EG22" s="613" t="str">
        <f>IF(D22=BG$12,BG$12,"")</f>
        <v/>
      </c>
      <c r="EH22" s="614" t="str">
        <f>IF(D22=BG$13,BG$13,"")</f>
        <v/>
      </c>
      <c r="EI22" s="611">
        <f>IF(EG22=BG$12,M22,0)</f>
        <v>0</v>
      </c>
      <c r="EJ22" s="451">
        <f>IF(EG22=BG$12,O22,0)</f>
        <v>0</v>
      </c>
      <c r="EK22" s="451">
        <f>IF(EH22=BG$13,M22,0)</f>
        <v>0</v>
      </c>
      <c r="EL22" s="612">
        <f>IF(EH22=BG$13,O22,0)</f>
        <v>0</v>
      </c>
      <c r="EM22" s="426" t="str">
        <f ca="1">IF(AND(Z22&lt;&gt;"t",Z22&lt;&gt;"f"),"",IF(AND(EN22=$BH$13,K22=$BH$12),"NotOpt",IF(K22&lt;&gt;EN22,"Error","")))</f>
        <v/>
      </c>
      <c r="EN22" s="490" t="str">
        <f>IF($BG$28=1,$BH$13,$BH$12)</f>
        <v>120 BU's</v>
      </c>
      <c r="EO22" s="426" t="str">
        <f>K22</f>
        <v xml:space="preserve"> </v>
      </c>
      <c r="EP22" s="430">
        <v>1</v>
      </c>
      <c r="EQ22" s="430" t="str">
        <f ca="1">IF(EP22=1," ",OFFSET(BF$16,EP22-2,0,1,1))</f>
        <v xml:space="preserve"> </v>
      </c>
      <c r="ER22" s="439" t="str">
        <f ca="1">IF(H22=0," ",H22)</f>
        <v xml:space="preserve"> </v>
      </c>
      <c r="ES22" s="440" t="str">
        <f ca="1">IF(ER22&lt;&gt;" ",IF(ER22&lt;&gt;ER$7,"Changed",""),"")</f>
        <v/>
      </c>
      <c r="ET22" s="440">
        <f ca="1">IF(ER22&lt;&gt;" ",IF(ER22&lt;&gt;ER$7,1,0),0)</f>
        <v>0</v>
      </c>
      <c r="EU22" s="957" t="str">
        <f ca="1">IF(I22=" "," ",IF(F22&lt;OFFSET($BM$9,CL22-1,0,1,1),1,""))</f>
        <v xml:space="preserve"> </v>
      </c>
      <c r="EW22" s="427"/>
      <c r="EX22"/>
      <c r="EY22"/>
      <c r="EZ22"/>
      <c r="FA22"/>
    </row>
    <row r="23" spans="2:157" ht="17.100000000000001" customHeight="1" thickBot="1">
      <c r="B23" s="689" t="s">
        <v>246</v>
      </c>
      <c r="C23" s="684" t="str">
        <f>IF(OR(F23=0,I23="",I23=" ")," ",$V23)</f>
        <v xml:space="preserve"> </v>
      </c>
      <c r="D23" s="1033"/>
      <c r="E23" s="1360" t="s">
        <v>8</v>
      </c>
      <c r="F23" s="202"/>
      <c r="G23" s="1416"/>
      <c r="H23" s="199" t="str">
        <f ca="1">IF(OR(F23=0,Z23="E",Z23="f")," ",'Project Demand'!E$45)</f>
        <v xml:space="preserve"> </v>
      </c>
      <c r="I23" s="631" t="str">
        <f>IF($I$6&lt;&gt;$BG$8," ",AB23)</f>
        <v xml:space="preserve"> </v>
      </c>
      <c r="J23" s="44" t="str">
        <f ca="1">IF(OR(I23=" ",I23="")," ",OFFSET($BO$9,CL23-1,0-4,1,1))</f>
        <v xml:space="preserve"> </v>
      </c>
      <c r="K23" s="55" t="str">
        <f>IF(OR(I23=" ",I23="")," ",IF(OR(Z23="e",Z23="h"),"SD",BG$24))</f>
        <v xml:space="preserve"> </v>
      </c>
      <c r="L23" s="49">
        <f ca="1">CW23</f>
        <v>0</v>
      </c>
      <c r="M23" s="49">
        <f ca="1">CY23</f>
        <v>0</v>
      </c>
      <c r="N23" s="50">
        <f t="shared" ca="1" si="17"/>
        <v>0</v>
      </c>
      <c r="O23" s="126">
        <f t="shared" ca="1" si="17"/>
        <v>0</v>
      </c>
      <c r="P23" s="140"/>
      <c r="Q23" s="752" t="str">
        <f ca="1">IF(AND(OR(Z23="t",Z23="f"),K23=$BH$11),"No Floor!  Change Floor Type",IF(OR(I23=" ",I23="")," ",IF(F23&lt;OFFSET($BM$9,CL23-1,0,1,1),"check L(m)",DE23&amp;IF(AND(DP23&gt;=CY23,DR23&gt;=DB23),IF(AND(ED23&gt;=DP23,EF23&gt;=DR23),CONCATENATE(DS23," will provide same result"),CONCATENATE(CO23," will provide same result")),IF((DP23&gt;=CY23),CONCATENATE(CO23," provides same result in WIND"),IF((DR23&gt;=DB23),CONCATENATE(CO23," provides same result in EQ"),""))))))&amp;IF(ISERROR(FIND("pile",I23,1)),"",IF(INT(F23)&lt;&gt;F23,"Pile!  Use Whole Numbers Only",""))</f>
        <v xml:space="preserve"> </v>
      </c>
      <c r="R23" s="52"/>
      <c r="S23" s="1372"/>
      <c r="T23" s="52"/>
      <c r="U23" s="1377"/>
      <c r="V23" s="52" t="str">
        <f ca="1">IF(AND(B$5=$BF$9,OR(I23=BH$16,I23=BH$17))," ",IF(ISNUMBER(B$20),(CONCATENATE(B$20,".",W23)),(CONCATENATE(B$20,W23))))</f>
        <v>O0</v>
      </c>
      <c r="W23" s="9">
        <f ca="1">W22+X23</f>
        <v>0</v>
      </c>
      <c r="X23" s="9">
        <f>IF(AND(B$5=$BF$9,OR($I23=$BH$16,$I23=$BH$17,$I23=" ",$I23="",$F23=0)),0,IF(OR($I23=" ",$I23="",$F23=0),0,1))</f>
        <v>0</v>
      </c>
      <c r="Y23" s="896"/>
      <c r="Z23" s="52" t="str">
        <f ca="1">IF(I23=" "," ",OFFSET($BM$9,$CL23-1,8,1,1))</f>
        <v xml:space="preserve"> </v>
      </c>
      <c r="AA23" s="51" t="str">
        <f>IF(G23&gt;=45,"WA","")</f>
        <v/>
      </c>
      <c r="AB23" s="1364" t="str">
        <f>IF(F23&lt;&gt;"",IF(OR(D23=$BG$12,D23=$BG$13),IF(E23&lt;&gt;$BG$17,$BF$12,$BF$13),IF(E23&lt;&gt;$BG$17,$BF$12,$BF$13))," ")</f>
        <v xml:space="preserve"> </v>
      </c>
      <c r="AC23" s="1"/>
      <c r="AJ23" s="2230"/>
      <c r="AK23" s="2803" t="str">
        <f>'Regular and QuickBrace Systems'!D37</f>
        <v>Plasterboard on Both Sides</v>
      </c>
      <c r="AL23" s="2804"/>
      <c r="AM23" s="2804"/>
      <c r="AN23" s="2804"/>
      <c r="AO23" s="1304"/>
      <c r="AP23" s="1304"/>
      <c r="AQ23" s="1305"/>
      <c r="AR23" s="1305"/>
      <c r="AS23" s="1337"/>
      <c r="AT23" s="1188"/>
      <c r="AU23" s="1332"/>
      <c r="AW23" s="1585"/>
      <c r="AX23" s="1576"/>
      <c r="BA23"/>
      <c r="BB23"/>
      <c r="BC23"/>
      <c r="BD23" s="2648"/>
      <c r="BF23" s="598" t="str">
        <f>Table!AI84</f>
        <v>EMPH</v>
      </c>
      <c r="BG23" s="1012">
        <f>'Project Demand'!AX75</f>
        <v>1</v>
      </c>
      <c r="BH23" s="655">
        <f>IF(BE$3=1,120,6)</f>
        <v>120</v>
      </c>
      <c r="BI23" s="759"/>
      <c r="BJ23" s="897">
        <f t="shared" si="3"/>
        <v>15</v>
      </c>
      <c r="BK23" s="769" t="str">
        <f t="shared" si="6"/>
        <v xml:space="preserve">  </v>
      </c>
      <c r="BL23" s="771" t="str">
        <f t="shared" si="7"/>
        <v>Custom12</v>
      </c>
      <c r="BM23" s="455">
        <f t="shared" si="8"/>
        <v>9.9999999999999996E-76</v>
      </c>
      <c r="BN23" s="455">
        <v>999</v>
      </c>
      <c r="BO23" s="455">
        <f t="shared" si="9"/>
        <v>0</v>
      </c>
      <c r="BP23" s="925">
        <f t="shared" si="10"/>
        <v>0</v>
      </c>
      <c r="BR23" s="764"/>
      <c r="BS23" s="455"/>
      <c r="BT23" s="455" t="str">
        <f t="shared" si="11"/>
        <v>B</v>
      </c>
      <c r="BU23" s="925" t="str">
        <f t="shared" si="12"/>
        <v>T</v>
      </c>
      <c r="BV23" s="1239" t="str">
        <f t="shared" si="13"/>
        <v>Custom12</v>
      </c>
      <c r="BW23" s="1236">
        <f t="shared" si="16"/>
        <v>15</v>
      </c>
      <c r="BX23" s="925" t="str">
        <f t="shared" si="14"/>
        <v>Single</v>
      </c>
      <c r="CH23" s="764">
        <f t="shared" si="4"/>
        <v>0</v>
      </c>
      <c r="CI23" s="925">
        <f t="shared" si="5"/>
        <v>0</v>
      </c>
      <c r="CJ23" s="759"/>
      <c r="CK23" s="188"/>
      <c r="CL23" s="979">
        <f>VLOOKUP(I23,Prodlink,2,0)</f>
        <v>0</v>
      </c>
      <c r="CN23" s="497">
        <f ca="1">VLOOKUP(CO23,Prodlink,2,0)</f>
        <v>0</v>
      </c>
      <c r="CO23" s="497">
        <f ca="1">OFFSET($CH$9,CL23-1,-15,1,1)</f>
        <v>0</v>
      </c>
      <c r="CQ23" s="51">
        <v>0</v>
      </c>
      <c r="CR23" s="51">
        <f>IF(K23=$BH$12,$BH$23,IF(K23=$BH$13,$BH$24,10000))</f>
        <v>10000</v>
      </c>
      <c r="CS23" s="51">
        <f ca="1">IF(F23&lt;OFFSET($BM$9,CL23-1,0,1,1),0,IF(F23&lt;OFFSET($BN$9,CL23-1,0,1,1),((F23-OFFSET($BM$9,CL23-1,0,1,1))*OFFSET($CH$9,CL23-1,0,1,1))+OFFSET($BO$9,CL23-1,CQ23,1,1),IF(F23&lt;OFFSET($BN$9,CL23+0,0,1,1),((F23-OFFSET($BM$9,CL23+0,0,1,1))*OFFSET($CH$9,CL23+0,0,1,1))+OFFSET($BO$9,CL23+0,CQ23,1,1),IF(F23&lt;OFFSET($BN$9,CL23+1,0,1,1),((F23-OFFSET($BM$9,CL23+1,0,1,1))*OFFSET($CH$9,CL23+1,0,1,1))+OFFSET($BO$9,CL23+1,CQ23,1,1),IF(F23&lt;OFFSET($BN$9,CL23+2,0,1,1),((F23-OFFSET($BM$9,CL23+2,0,1,1))*OFFSET($CH$9,CL23+2,0,1,1))+OFFSET($BO$9,CL23+2,CQ23,1,1),IF(F23&lt;OFFSET($BN$9,CL23+3,0,1,1),((F23-OFFSET($BM$9,CL23+3,0,1,1))*OFFSET($CH$9,CL23+3,0,1,1))+OFFSET($BO$9,CL23+3,CQ23,1,1),0))))))</f>
        <v>0</v>
      </c>
      <c r="CT23" s="51">
        <f ca="1">IF($F23&lt;OFFSET($BM$9,$CL23-1,0,1,1),0,IF($F23&lt;OFFSET($BN$9,$CL23-1,0,1,1),IF(AND($H23&gt;2.4,Z23&lt;&gt;"e",Z23&lt;&gt;"f"),CX23*2.4/$H23,CX23),IF($F23&lt;OFFSET($BN$9,$CL23+0,0,1,1),IF(AND($H23&gt;2.4,Z23&lt;&gt;"e",Z23&lt;&gt;"f"),CX23*2.4/$H23,CX23),IF($F23&lt;OFFSET($BN$9,$CL23+1,0,1,1),IF(AND($H23&gt;2.4,Z23&lt;&gt;"e",Z23&lt;&gt;"f"),CX23*2.4/$H23,CX23),IF($F23&lt;OFFSET($BN$9,CL23+2,0,1,1),IF(AND($H23&gt;2.4,Z23&lt;&gt;"e",Z23&lt;&gt;"f"),CX23*2.4/$H23,CX23),IF($F23&lt;OFFSET($BN$9,CL23+3,0,1,1),IF(AND($H23&gt;2.4,Z23&lt;&gt;"e",Z23&lt;&gt;"f"),CX23*2.4/$H23,CX23),0)))))*COS(RADIANS($G23)))</f>
        <v>0</v>
      </c>
      <c r="CU23" s="51">
        <f ca="1">IF(F23&lt;OFFSET($BM$9,CL23-1,0,1,1),0,IF(F23&lt;OFFSET($BN$9,CL23-1,0,1,1),((F23-OFFSET($BM$9,CL23-1,0,1,1))*OFFSET($CI$9,CL23-1,0,1,1))+OFFSET($BP$9,CL23-1,CQ23,1,1),IF(F23&lt;OFFSET($BN$9,CL23+0,0,1,1),((F23-OFFSET($BM$9,CL23+0,0,1,1))*OFFSET($CI$9,CL23+0,0,1,1))+OFFSET($BP$9,CL23+0,CQ23,1,1),IF(F23&lt;OFFSET($BN$9,CL23+1,0,1,1),((F23-OFFSET($BM$9,CL23+1,0,1,1))*OFFSET($CI$9,CL23+1,0,1,1))+OFFSET($BP$9,CL23+1,CQ23,1,1),IF(F23&lt;OFFSET($BN$9,CL23+2,0,1,1),((F23-OFFSET($BM$9,CL23+2,0,1,1))*OFFSET($CI$9,CL23+2,0,1,1))+OFFSET($BP$9,CL23+2,CQ23,1,1),IF(F23&lt;OFFSET($BN$9,CL23+3,0,1,1),((F23-OFFSET($BM$9,CL23+3,0,1,1))*OFFSET($CI$9,CL23+3,0,1,1))+OFFSET($BP$9,CL23+3,CQ23,1,1),0))))))</f>
        <v>0</v>
      </c>
      <c r="CV23" s="51">
        <f ca="1">IF($F23&lt;OFFSET($BM$9,$CL23-1,0,1,1),0,IF($F23&lt;OFFSET($BN$9,$CL23-1,0,1,1),IF(AND($H23&gt;2.4,Z23&lt;&gt;"e",Z23&lt;&gt;"f"),CZ23*2.4/$H23,CZ23),IF($F23&lt;OFFSET($BN$9,$CL23+0,0,1,1),IF(AND($H23&gt;2.4,Z23&lt;&gt;"e",Z23&lt;&gt;"f"),CZ23*2.4/$H23,CZ23),IF($F23&lt;OFFSET($BN$9,$CL23+1,0,1,1),IF(AND($H23&gt;2.4,Z23&lt;&gt;"e",Z23&lt;&gt;"f"),CZ23*2.4/$H23,CZ23),IF($F23&lt;OFFSET($BN$9,$CL23+2,0,1,1),IF(AND($H23&gt;2.4,Z23&lt;&gt;"e",Z23&lt;&gt;"f"),CZ23*2.4/$H23,CZ23),IF($F23&lt;OFFSET($BN$9,$CL23+3,0,1,1),IF(AND($H23&gt;2.4,Z23&lt;&gt;"e",Z23&lt;&gt;"f"),CZ23*2.4/$H23,CZ23),0)))))*COS(RADIANS($G23)))</f>
        <v>0</v>
      </c>
      <c r="CW23" s="51">
        <f ca="1">IF(CT23&gt;CR23,CR23,CT23)</f>
        <v>0</v>
      </c>
      <c r="CX23" s="51">
        <f ca="1">IF(CS23&gt;$CR23,$CR23,CS23)</f>
        <v>0</v>
      </c>
      <c r="CY23" s="51">
        <f ca="1">CW23*F23</f>
        <v>0</v>
      </c>
      <c r="CZ23" s="51">
        <f ca="1">IF($CU23&gt;$CR23,$CR23,$CU23)</f>
        <v>0</v>
      </c>
      <c r="DA23" s="51">
        <f ca="1">IF(CV23&gt;CR23,CR23,CV23)</f>
        <v>0</v>
      </c>
      <c r="DB23" s="51">
        <f ca="1">DA23*F23</f>
        <v>0</v>
      </c>
      <c r="DC23" s="993">
        <v>1</v>
      </c>
      <c r="DD23" s="758" t="str">
        <f>IF(OR(D23=BG$12,D23=BG$13),"External",IF(D23=BG$14,"Internal"," "))</f>
        <v xml:space="preserve"> </v>
      </c>
      <c r="DE23" s="51" t="str">
        <f t="shared" ca="1" si="1"/>
        <v/>
      </c>
      <c r="DF23" s="52" t="str">
        <f t="shared" ca="1" si="2"/>
        <v xml:space="preserve"> </v>
      </c>
      <c r="DG23" s="51">
        <f ca="1">IF(F23&lt;OFFSET($BM$9,CN23-1,0,1,1),0,IF(F23&lt;OFFSET($BN$9,CN23-1,0,1,1),((F23-OFFSET($BM$9,CN23-1,0,1,1))*OFFSET($CH$9,CN23-1,0,1,1))+OFFSET($BO$9,CN23-1,CQ23,1,1),IF(F23&lt;OFFSET($BN$9,CN23+0,0,1,1),((F23-OFFSET($BM$9,CN23+0,0,1,1))*OFFSET($CH$9,CN23+0,0,1,1))+OFFSET($BO$9,CN23+0,CQ23,1,1),IF(F23&lt;OFFSET($BN$9,CN23+1,0,1,1),((F23-OFFSET($BM$9,CN23+1,0,1,1))*OFFSET($CH$9,CN23+1,0,1,1))+OFFSET($BO$9,CN23+1,CQ23,1,1),IF(F23&lt;OFFSET($BN$9,CN23+2,0,1,1),((F23-OFFSET($BM$9,CN23+2,0,1,1))*OFFSET($CH$9,CN23+2,0,1,1))+OFFSET($BO$9,CN23+2,CQ23,1,1),IF(F23&lt;OFFSET($BN$9,CN23+3,0,1,1),((F23-OFFSET($BM$9,CN23+3,0,1,1))*OFFSET($CH$9,CN23+3,0,1,1))+OFFSET($BO$9,CN23+3,CQ23,1,1),0))))))</f>
        <v>0</v>
      </c>
      <c r="DH23" s="51">
        <f ca="1">IF($F23&lt;OFFSET($BM$9,$CN23-1,0,1,1),0,IF($F23&lt;OFFSET($BN$9,$CN23-1,0,1,1),IF(AND($H23&gt;2.4,Z23&lt;&gt;"e",Z23&lt;&gt;"f"),DL23*2.4/$H23,DL23),IF($F23&lt;OFFSET($BN$9,$CN23+0,0,1,1),IF(AND($H23&gt;2.4,Z23&lt;&gt;"e",Z23&lt;&gt;"f"),DL23*2.4/$H23,DL23),IF($F23&lt;OFFSET($BN$9,$CN23+1,0,1,1),IF(AND($H23&gt;2.4,Z23&lt;&gt;"e",Z23&lt;&gt;"f"),DL23*2.4/$H23,DL23),IF($F23&lt;OFFSET($BN$9,$CN23+2,0,1,1),IF(AND($H23&gt;2.4,Z23&lt;&gt;"e",Z23&lt;&gt;"f"),DL23*2.4/$H23,DL23),IF($F23&lt;OFFSET($BN$9,$CN23+3,0,1,1),IF(AND($H23&gt;2.4,Z23&lt;&gt;"e",Z23&lt;&gt;"f"),DL23*2.4/$H23,DL23),0)))))*COS(RADIANS($G23)))</f>
        <v>0</v>
      </c>
      <c r="DI23" s="51">
        <f ca="1">IF(F23&lt;OFFSET($BM$9,CN23-1,0,1,1),0,IF(F23&lt;OFFSET($BN$9,CN23-1,0,1,1),((F23-OFFSET($BM$9,CN23-1,0,1,1))*OFFSET($CI$9,CN23-1,0,1,1))+OFFSET($BP$9,CN23-1,CQ23,1,1),IF(F23&lt;OFFSET($BN$9,CN23+0,0,1,1),((F23-OFFSET($BM$9,CN23+0,0,1,1))*OFFSET($CI$9,CN23+0,0,1,1))+OFFSET($BP$9,CN23+0,CQ23,1,1),IF(F23&lt;OFFSET($BN$9,CN23+1,0,1,1),((F23-OFFSET($BM$9,CN23+1,0,1,1))*OFFSET($CI$9,CN23+1,0,1,1))+OFFSET($BP$9,CN23+1,CQ23,1,1),IF(F23&lt;OFFSET($BN$9,CN23+2,0,1,1),((F23-OFFSET($BM$9,CN23+2,0,1,1))*OFFSET($CI$9,CN23+2,0,1,1))+OFFSET($BP$9,CN23+2,CQ23,1,1),IF(F23&lt;OFFSET($BN$9,CN23+3,0,1,1),((F23-OFFSET($BM$9,CN23+3,0,1,1))*OFFSET($CI$9,CN23+3,0,1,1))+OFFSET($BP$9,CN23+3,CQ23,1,1),0))))))</f>
        <v>0</v>
      </c>
      <c r="DJ23" s="51">
        <f ca="1">IF($F23&lt;OFFSET($BM$9,$CN23-1,0,1,1),0,IF($F23&lt;OFFSET($BN$9,$CN23-1,0,1,1),IF(AND($H23&gt;2.4,Z23&lt;&gt;"e",Z23&lt;&gt;"f"),DN23*2.4/$H23,DN23),IF($F23&lt;OFFSET($BN$9,$CN23+0,0,1,1),IF(AND($H23&gt;2.4,Z23&lt;&gt;"e",Z23&lt;&gt;"f"),DN23*2.4/$H23,DN23),IF($F23&lt;OFFSET($BN$9,$CN23+1,0,1,1),IF(AND($H23&gt;2.4,Z23&lt;&gt;"e",Z23&lt;&gt;"f"),DN23*2.4/$H23,DN23),IF($F23&lt;OFFSET($BN$9,$CN23+2,0,1,1),IF(AND($H23&gt;2.4,Z23&lt;&gt;"e",Z23&lt;&gt;"f"),DN23*2.4/$H23,DN23),IF($F23&lt;OFFSET($BN$9,$CN23+3,0,1,1),IF(AND($H23&gt;2.4,Z23&lt;&gt;"e",Z23&lt;&gt;"f"),DN23*2.4/$H23,DN23),0)))))*COS(RADIANS($G23)))</f>
        <v>0</v>
      </c>
      <c r="DK23" s="51"/>
      <c r="DL23" s="51">
        <f ca="1">IF(DG23&gt;$CR23,$CR23,DG23)</f>
        <v>0</v>
      </c>
      <c r="DM23" s="51"/>
      <c r="DN23" s="51">
        <f ca="1">IF(DI23&gt;$CR23,$CR23,DI23)</f>
        <v>0</v>
      </c>
      <c r="DO23" s="435">
        <f ca="1">IF(DH23&gt;$CR23,$CR23,DH23)</f>
        <v>0</v>
      </c>
      <c r="DP23" s="435">
        <f ca="1">DO23*F23</f>
        <v>0</v>
      </c>
      <c r="DQ23" s="436">
        <f ca="1">IF(DJ23&gt;$CR23,$CR23,DJ23)</f>
        <v>0</v>
      </c>
      <c r="DR23" s="437">
        <f ca="1">DQ23*F23</f>
        <v>0</v>
      </c>
      <c r="DS23" s="426">
        <f ca="1">OFFSET($CH$9,CL23-1,-15,1,1)</f>
        <v>0</v>
      </c>
      <c r="DT23" s="426">
        <f ca="1">VLOOKUP(DS23,Prodlink,2,0)</f>
        <v>0</v>
      </c>
      <c r="DU23" s="188">
        <f ca="1">IF(F23&lt;OFFSET($BM$9,DT23-1,0,1,1),0,IF(F23&lt;OFFSET($BN$9,DT23-1,0,1,1),((F23-OFFSET($BM$9,DT23-1,0,1,1))*OFFSET($CH$9,DT23-1,0,1,1))+OFFSET($BO$9,DT23-1,CQ23,1,1),IF(F23&lt;OFFSET($BN$9,DT23+0,0,1,1),((F23-OFFSET($BM$9,DT23+0,0,1,1))*OFFSET($CH$9,DT23+0,0,1,1))+OFFSET($BO$9,DT23+0,CQ23,1,1),IF(F23&lt;OFFSET($BN$9,DT23+1,0,1,1),((F23-OFFSET($BM$9,DT23+1,0,1,1))*OFFSET($CH$9,DT23+1,0,1,1))+OFFSET($BO$9,DT23+1,CQ23,1,1),IF(F23&lt;OFFSET($BN$9,DT23+2,0,1,1),((F23-OFFSET($BM$9,DT23+2,0,1,1))*OFFSET($CH$9,DT23+2,0,1,1))+OFFSET($BO$9,DT23+2,CQ23,1,1),IF(F23&lt;OFFSET($BN$9,DT23+3,0,1,1),((F23-OFFSET($BM$9,DT23+3,0,1,1))*OFFSET($CH$9,DT23+3,0,1,1))+OFFSET($BO$9,DT23+3,CQ23,1,1),0))))))</f>
        <v>0</v>
      </c>
      <c r="DV23" s="51">
        <f ca="1">IF($F23&lt;OFFSET($BM$9,$DT23-1,0,1,1),0,IF($F23&lt;OFFSET($BN$9,$DT23-1,0,1,1),IF(AND($H23&gt;2.4,Z23&lt;&gt;"e",Z23&lt;&gt;"f"),DZ23*2.4/$H23,DZ23),IF($F23&lt;OFFSET($BN$9,$DT23+0,0,1,1),IF(AND($H23&gt;2.4,Z23&lt;&gt;"e",Z23&lt;&gt;"f"),DZ23*2.4/$H23,DZ23),IF($F23&lt;OFFSET($BN$9,$DT23+1,0,1,1),IF(AND($H23&gt;2.4,Z23&lt;&gt;"e",Z23&lt;&gt;"f"),DZ23*2.4/$H23,DZ23),IF($F23&lt;OFFSET($BN$9,$DT23+2,0,1,1),IF(AND($H23&gt;2.4,Z23&lt;&gt;"e",Z23&lt;&gt;"f"),DZ23*2.4/$H23,DZ23),IF($F23&lt;OFFSET($BN$9,$DT23+3,0,1,1),IF(AND($H23&gt;2.4,Z23&lt;&gt;"e",Z23&lt;&gt;"f"),DZ23*2.4/$H23,DZ23),0)))))*COS(RADIANS($G23)))</f>
        <v>0</v>
      </c>
      <c r="DW23" s="188">
        <f ca="1">IF(F23&lt;OFFSET($BM$9,DT23-1,0,1,1),0,IF(F23&lt;OFFSET($BN$9,DT23-1,0,1,1),((F23-OFFSET($BM$9,DT23-1,0,1,1))*OFFSET($CI$9,DT23-1,0,1,1))+OFFSET($BP$9,DT23-1,CQ23,1,1),IF(F23&lt;OFFSET($BN$9,DT23+0,0,1,1),((F23-OFFSET($BM$9,DT23+0,0,1,1))*OFFSET($CI$9,DT23+0,0,1,1))+OFFSET($BP$9,DT23+0,CQ23,1,1),IF(F23&lt;OFFSET($BN$9,DT23+1,0,1,1),((F23-OFFSET($BM$9,DT23+1,0,1,1))*OFFSET($CI$9,DT23+1,0,1,1))+OFFSET($BP$9,DT23+1,CQ23,1,1),IF(F23&lt;OFFSET($BN$9,DT23+2,0,1,1),((F23-OFFSET($BM$9,DT23+2,0,1,1))*OFFSET($CI$9,DT23+2,0,1,1))+OFFSET($BP$9,DT23+2,CQ23,1,1),IF(F23&lt;OFFSET($BN$9,DT23+3,0,1,1),((F23-OFFSET($BM$9,DT23+3,0,1,1))*OFFSET($CI$9,DT23+3,0,1,1))+OFFSET($BP$9,DT23+3,CQ23,1,1),0))))))</f>
        <v>0</v>
      </c>
      <c r="DX23" s="51">
        <f ca="1">IF($F23&lt;OFFSET($BM$9,$DT23-1,0,1,1),0,IF($F23&lt;OFFSET($BN$9,$DT23-1,0,1,1),IF(AND($H23&gt;2.4,Z23&lt;&gt;"e",Z23&lt;&gt;"f"),EB23*2.4/$H23,EB23),IF($F23&lt;OFFSET($BN$9,$DT23+0,0,1,1),IF(AND($H23&gt;2.4,Z23&lt;&gt;"e",Z23&lt;&gt;"f"),EB23*2.4/$H23,EB23),IF($F23&lt;OFFSET($BN$9,$DT23+1,0,1,1),IF(AND($H23&gt;2.4,Z23&lt;&gt;"e",Z23&lt;&gt;"f"),EB23*2.4/$H23,EB23),IF($F23&lt;OFFSET($BN$9,$DT23+2,0,1,1),IF(AND($H23&gt;2.4,Z23&lt;&gt;"e",Z23&lt;&gt;"f"),EB23*2.4/$H23,EB23),IF($F23&lt;OFFSET($BN$9,$DT23+3,0,1,1),IF(AND($H23&gt;2.4,Z23&lt;&gt;"e",Z23&lt;&gt;"f"),EB23*2.4/$H23,EB23),0)))))*COS(RADIANS($G23)))</f>
        <v>0</v>
      </c>
      <c r="DY23" s="188"/>
      <c r="DZ23" s="188">
        <f ca="1">IF(DU23&gt;$CR23,$CR23,DU23)</f>
        <v>0</v>
      </c>
      <c r="EA23" s="188"/>
      <c r="EB23" s="188">
        <f ca="1">IF(DW23&gt;$CR23,$CR23,DW23)</f>
        <v>0</v>
      </c>
      <c r="EC23" s="435">
        <f ca="1">IF(DV23&gt;$CR23,$CR23,DV23)</f>
        <v>0</v>
      </c>
      <c r="ED23" s="435">
        <f ca="1">EC23*F23</f>
        <v>0</v>
      </c>
      <c r="EE23" s="436">
        <f ca="1">IF(DX23&gt;$CR23,$CR23,DX23)</f>
        <v>0</v>
      </c>
      <c r="EF23" s="437">
        <f ca="1">EE23*F23</f>
        <v>0</v>
      </c>
      <c r="EG23" s="613" t="str">
        <f>IF(D23=BG$12,BG$12,"")</f>
        <v/>
      </c>
      <c r="EH23" s="614" t="str">
        <f>IF(D23=BG$13,BG$13,"")</f>
        <v/>
      </c>
      <c r="EI23" s="611">
        <f>IF(EG23=BG$12,M23,0)</f>
        <v>0</v>
      </c>
      <c r="EJ23" s="451">
        <f>IF(EG23=BG$12,O23,0)</f>
        <v>0</v>
      </c>
      <c r="EK23" s="451">
        <f>IF(EH23=BG$13,M23,0)</f>
        <v>0</v>
      </c>
      <c r="EL23" s="612">
        <f>IF(EH23=BG$13,O23,0)</f>
        <v>0</v>
      </c>
      <c r="EM23" s="426" t="str">
        <f ca="1">IF(AND(Z23&lt;&gt;"t",Z23&lt;&gt;"f"),"",IF(AND(EN23=$BH$13,K23=$BH$12),"NotOpt",IF(K23&lt;&gt;EN23,"Error","")))</f>
        <v/>
      </c>
      <c r="EN23" s="490" t="str">
        <f>IF($BG$28=1,$BH$13,$BH$12)</f>
        <v>120 BU's</v>
      </c>
      <c r="EO23" s="426" t="str">
        <f>K23</f>
        <v xml:space="preserve"> </v>
      </c>
      <c r="EP23" s="430">
        <v>1</v>
      </c>
      <c r="EQ23" s="430" t="str">
        <f ca="1">IF(EP23=1," ",OFFSET(BF$16,EP23-2,0,1,1))</f>
        <v xml:space="preserve"> </v>
      </c>
      <c r="ER23" s="439" t="str">
        <f ca="1">IF(H23=0," ",H23)</f>
        <v xml:space="preserve"> </v>
      </c>
      <c r="ES23" s="440" t="str">
        <f ca="1">IF(ER23&lt;&gt;" ",IF(ER23&lt;&gt;ER$7,"Changed",""),"")</f>
        <v/>
      </c>
      <c r="ET23" s="440">
        <f ca="1">IF(ER23&lt;&gt;" ",IF(ER23&lt;&gt;ER$7,1,0),0)</f>
        <v>0</v>
      </c>
      <c r="EU23" s="957" t="str">
        <f ca="1">IF(I23=" "," ",IF(F23&lt;OFFSET($BM$9,CL23-1,0,1,1),1,""))</f>
        <v xml:space="preserve"> </v>
      </c>
      <c r="EW23" s="427"/>
      <c r="EX23"/>
      <c r="EY23"/>
      <c r="EZ23"/>
      <c r="FA23"/>
    </row>
    <row r="24" spans="2:157" ht="17.100000000000001" customHeight="1" thickBot="1">
      <c r="B24" s="689" t="s">
        <v>246</v>
      </c>
      <c r="C24" s="684" t="str">
        <f>IF(OR(F24=0,I24="",I24=" ")," ",$V24)</f>
        <v xml:space="preserve"> </v>
      </c>
      <c r="D24" s="1419"/>
      <c r="E24" s="1034" t="s">
        <v>8</v>
      </c>
      <c r="F24" s="202"/>
      <c r="G24" s="1416"/>
      <c r="H24" s="199" t="str">
        <f ca="1">IF(OR(F24=0,Z24="E",Z24="f")," ",'Project Demand'!E$45)</f>
        <v xml:space="preserve"> </v>
      </c>
      <c r="I24" s="631" t="str">
        <f>IF($I$6&lt;&gt;$BG$8," ",AB24)</f>
        <v xml:space="preserve"> </v>
      </c>
      <c r="J24" s="44" t="str">
        <f ca="1">IF(OR(I24=" ",I24="")," ",OFFSET($BO$9,CL24-1,0-4,1,1))</f>
        <v xml:space="preserve"> </v>
      </c>
      <c r="K24" s="55" t="str">
        <f>IF(OR(I24=" ",I24="")," ",IF(OR(Z24="e",Z24="h"),"SD",BG$24))</f>
        <v xml:space="preserve"> </v>
      </c>
      <c r="L24" s="49">
        <f ca="1">CW24</f>
        <v>0</v>
      </c>
      <c r="M24" s="49">
        <f ca="1">CY24</f>
        <v>0</v>
      </c>
      <c r="N24" s="50">
        <f t="shared" ca="1" si="17"/>
        <v>0</v>
      </c>
      <c r="O24" s="126">
        <f t="shared" ca="1" si="17"/>
        <v>0</v>
      </c>
      <c r="P24" s="140"/>
      <c r="Q24" s="752" t="str">
        <f ca="1">IF(AND(OR(Z24="t",Z24="f"),K24=$BH$11),"No Floor!  Change Floor Type",IF(OR(I24=" ",I24="")," ",IF(F24&lt;OFFSET($BM$9,CL24-1,0,1,1),"check L(m)",DE24&amp;IF(AND(DP24&gt;=CY24,DR24&gt;=DB24),IF(AND(ED24&gt;=DP24,EF24&gt;=DR24),CONCATENATE(DS24," will provide same result"),CONCATENATE(CO24," will provide same result")),IF((DP24&gt;=CY24),CONCATENATE(CO24," provides same result in WIND"),IF((DR24&gt;=DB24),CONCATENATE(CO24," provides same result in EQ"),""))))))&amp;IF(ISERROR(FIND("pile",I24,1)),"",IF(INT(F24)&lt;&gt;F24,"Pile!  Use Whole Numbers Only",""))</f>
        <v xml:space="preserve"> </v>
      </c>
      <c r="T24" s="52"/>
      <c r="U24" s="1377"/>
      <c r="V24" s="52" t="str">
        <f ca="1">IF(AND(B$5=$BF$9,OR(I24=BH$16,I24=BH$17))," ",IF(ISNUMBER(B$20),(CONCATENATE(B$20,".",W24)),(CONCATENATE(B$20,W24))))</f>
        <v>O0</v>
      </c>
      <c r="W24" s="9">
        <f ca="1">W23+X24</f>
        <v>0</v>
      </c>
      <c r="X24" s="9">
        <f>IF(AND(B$5=$BF$9,OR($I24=$BH$16,$I24=$BH$17,$I24=" ",$I24="",$F24=0)),0,IF(OR($I24=" ",$I24="",$F24=0),0,1))</f>
        <v>0</v>
      </c>
      <c r="Y24" s="896"/>
      <c r="Z24" s="52" t="str">
        <f ca="1">IF(I24=" "," ",OFFSET($BM$9,$CL24-1,8,1,1))</f>
        <v xml:space="preserve"> </v>
      </c>
      <c r="AA24" s="51" t="str">
        <f>IF(G24&gt;=45,"WA","")</f>
        <v/>
      </c>
      <c r="AB24" s="1364" t="str">
        <f>IF(F24&lt;&gt;"",IF(OR(D24=$BG$12,D24=$BG$13),IF(E24&lt;&gt;$BG$17,$BF$12,$BF$13),IF(E24&lt;&gt;$BG$17,$BF$12,$BF$13))," ")</f>
        <v xml:space="preserve"> </v>
      </c>
      <c r="AC24" s="1"/>
      <c r="AJ24" s="2230"/>
      <c r="AK24" s="2779" t="str">
        <f>'Regular and QuickBrace Systems'!D38</f>
        <v>Internal</v>
      </c>
      <c r="AL24" s="2781" t="str">
        <f>'Regular and QuickBrace Systems'!E38</f>
        <v>ER2</v>
      </c>
      <c r="AM24" s="1176">
        <f>'Regular and QuickBrace Systems'!F38</f>
        <v>0.4</v>
      </c>
      <c r="AN24" s="1272">
        <f>'Regular and QuickBrace Systems'!G38</f>
        <v>56</v>
      </c>
      <c r="AO24" s="1273">
        <f>'Regular and QuickBrace Systems'!H38</f>
        <v>51</v>
      </c>
      <c r="AP24" s="1594"/>
      <c r="AQ24" s="2808" t="str">
        <f>'Regular and QuickBrace Systems'!I38</f>
        <v>Regular Fixing</v>
      </c>
      <c r="AR24" s="2809"/>
      <c r="AS24" s="2030" t="str">
        <f>'Regular and QuickBrace Systems'!K38</f>
        <v>No</v>
      </c>
      <c r="AT24" s="1339"/>
      <c r="AU24" s="2131" t="str">
        <f>'Regular and QuickBrace Systems'!M14</f>
        <v>Any Elephant Plasterboard on Both sides</v>
      </c>
      <c r="AW24" s="1567" t="str">
        <f>'Regular and QuickBrace Systems'!O14</f>
        <v>Yes</v>
      </c>
      <c r="AX24" s="1573" t="str">
        <f>'Regular and QuickBrace Systems'!Q14</f>
        <v>No</v>
      </c>
      <c r="BA24"/>
      <c r="BB24"/>
      <c r="BC24"/>
      <c r="BD24" s="2648"/>
      <c r="BF24" s="482" t="s">
        <v>8</v>
      </c>
      <c r="BG24" s="655" t="str">
        <f>IF(BG$23=1,BH12,IF(BG$23=2,BH13,IF(BG$23=3,BH14," ")))</f>
        <v>120 BU's</v>
      </c>
      <c r="BH24" s="710">
        <f>IF($BE$3=1,150,7.5)</f>
        <v>150</v>
      </c>
      <c r="BI24" s="759"/>
      <c r="BJ24" s="897">
        <f t="shared" si="3"/>
        <v>16</v>
      </c>
      <c r="BK24" s="769" t="str">
        <f t="shared" si="6"/>
        <v xml:space="preserve">  </v>
      </c>
      <c r="BL24" s="771" t="str">
        <f t="shared" si="7"/>
        <v>Custom13</v>
      </c>
      <c r="BM24" s="455">
        <f t="shared" si="8"/>
        <v>9.9999999999999996E-76</v>
      </c>
      <c r="BN24" s="455">
        <v>999</v>
      </c>
      <c r="BO24" s="455">
        <f t="shared" si="9"/>
        <v>0</v>
      </c>
      <c r="BP24" s="925">
        <f t="shared" si="10"/>
        <v>0</v>
      </c>
      <c r="BR24" s="764"/>
      <c r="BS24" s="455"/>
      <c r="BT24" s="455" t="str">
        <f t="shared" si="11"/>
        <v>B</v>
      </c>
      <c r="BU24" s="925" t="str">
        <f t="shared" si="12"/>
        <v>T</v>
      </c>
      <c r="BV24" s="1239" t="str">
        <f t="shared" si="13"/>
        <v>Custom13</v>
      </c>
      <c r="BW24" s="1236">
        <f t="shared" si="16"/>
        <v>16</v>
      </c>
      <c r="BX24" s="925" t="str">
        <f t="shared" si="14"/>
        <v>Single</v>
      </c>
      <c r="CH24" s="764">
        <f t="shared" si="4"/>
        <v>0</v>
      </c>
      <c r="CI24" s="925">
        <f t="shared" si="5"/>
        <v>0</v>
      </c>
      <c r="CJ24" s="759"/>
      <c r="CK24" s="188"/>
      <c r="CL24" s="979">
        <f>VLOOKUP(I24,Prodlink,2,0)</f>
        <v>0</v>
      </c>
      <c r="CN24" s="497">
        <f ca="1">VLOOKUP(CO24,Prodlink,2,0)</f>
        <v>0</v>
      </c>
      <c r="CO24" s="497">
        <f ca="1">OFFSET($CH$9,CL24-1,-15,1,1)</f>
        <v>0</v>
      </c>
      <c r="CQ24" s="51">
        <v>0</v>
      </c>
      <c r="CR24" s="51">
        <f>IF(K24=$BH$12,$BH$23,IF(K24=$BH$13,$BH$24,10000))</f>
        <v>10000</v>
      </c>
      <c r="CS24" s="51">
        <f ca="1">IF(F24&lt;OFFSET($BM$9,CL24-1,0,1,1),0,IF(F24&lt;OFFSET($BN$9,CL24-1,0,1,1),((F24-OFFSET($BM$9,CL24-1,0,1,1))*OFFSET($CH$9,CL24-1,0,1,1))+OFFSET($BO$9,CL24-1,CQ24,1,1),IF(F24&lt;OFFSET($BN$9,CL24+0,0,1,1),((F24-OFFSET($BM$9,CL24+0,0,1,1))*OFFSET($CH$9,CL24+0,0,1,1))+OFFSET($BO$9,CL24+0,CQ24,1,1),IF(F24&lt;OFFSET($BN$9,CL24+1,0,1,1),((F24-OFFSET($BM$9,CL24+1,0,1,1))*OFFSET($CH$9,CL24+1,0,1,1))+OFFSET($BO$9,CL24+1,CQ24,1,1),IF(F24&lt;OFFSET($BN$9,CL24+2,0,1,1),((F24-OFFSET($BM$9,CL24+2,0,1,1))*OFFSET($CH$9,CL24+2,0,1,1))+OFFSET($BO$9,CL24+2,CQ24,1,1),IF(F24&lt;OFFSET($BN$9,CL24+3,0,1,1),((F24-OFFSET($BM$9,CL24+3,0,1,1))*OFFSET($CH$9,CL24+3,0,1,1))+OFFSET($BO$9,CL24+3,CQ24,1,1),0))))))</f>
        <v>0</v>
      </c>
      <c r="CT24" s="51">
        <f ca="1">IF($F24&lt;OFFSET($BM$9,$CL24-1,0,1,1),0,IF($F24&lt;OFFSET($BN$9,$CL24-1,0,1,1),IF(AND($H24&gt;2.4,Z24&lt;&gt;"e",Z24&lt;&gt;"f"),CX24*2.4/$H24,CX24),IF($F24&lt;OFFSET($BN$9,$CL24+0,0,1,1),IF(AND($H24&gt;2.4,Z24&lt;&gt;"e",Z24&lt;&gt;"f"),CX24*2.4/$H24,CX24),IF($F24&lt;OFFSET($BN$9,$CL24+1,0,1,1),IF(AND($H24&gt;2.4,Z24&lt;&gt;"e",Z24&lt;&gt;"f"),CX24*2.4/$H24,CX24),IF($F24&lt;OFFSET($BN$9,CL24+2,0,1,1),IF(AND($H24&gt;2.4,Z24&lt;&gt;"e",Z24&lt;&gt;"f"),CX24*2.4/$H24,CX24),IF($F24&lt;OFFSET($BN$9,CL24+3,0,1,1),IF(AND($H24&gt;2.4,Z24&lt;&gt;"e",Z24&lt;&gt;"f"),CX24*2.4/$H24,CX24),0)))))*COS(RADIANS($G24)))</f>
        <v>0</v>
      </c>
      <c r="CU24" s="51">
        <f ca="1">IF(F24&lt;OFFSET($BM$9,CL24-1,0,1,1),0,IF(F24&lt;OFFSET($BN$9,CL24-1,0,1,1),((F24-OFFSET($BM$9,CL24-1,0,1,1))*OFFSET($CI$9,CL24-1,0,1,1))+OFFSET($BP$9,CL24-1,CQ24,1,1),IF(F24&lt;OFFSET($BN$9,CL24+0,0,1,1),((F24-OFFSET($BM$9,CL24+0,0,1,1))*OFFSET($CI$9,CL24+0,0,1,1))+OFFSET($BP$9,CL24+0,CQ24,1,1),IF(F24&lt;OFFSET($BN$9,CL24+1,0,1,1),((F24-OFFSET($BM$9,CL24+1,0,1,1))*OFFSET($CI$9,CL24+1,0,1,1))+OFFSET($BP$9,CL24+1,CQ24,1,1),IF(F24&lt;OFFSET($BN$9,CL24+2,0,1,1),((F24-OFFSET($BM$9,CL24+2,0,1,1))*OFFSET($CI$9,CL24+2,0,1,1))+OFFSET($BP$9,CL24+2,CQ24,1,1),IF(F24&lt;OFFSET($BN$9,CL24+3,0,1,1),((F24-OFFSET($BM$9,CL24+3,0,1,1))*OFFSET($CI$9,CL24+3,0,1,1))+OFFSET($BP$9,CL24+3,CQ24,1,1),0))))))</f>
        <v>0</v>
      </c>
      <c r="CV24" s="51">
        <f ca="1">IF($F24&lt;OFFSET($BM$9,$CL24-1,0,1,1),0,IF($F24&lt;OFFSET($BN$9,$CL24-1,0,1,1),IF(AND($H24&gt;2.4,Z24&lt;&gt;"e",Z24&lt;&gt;"f"),CZ24*2.4/$H24,CZ24),IF($F24&lt;OFFSET($BN$9,$CL24+0,0,1,1),IF(AND($H24&gt;2.4,Z24&lt;&gt;"e",Z24&lt;&gt;"f"),CZ24*2.4/$H24,CZ24),IF($F24&lt;OFFSET($BN$9,$CL24+1,0,1,1),IF(AND($H24&gt;2.4,Z24&lt;&gt;"e",Z24&lt;&gt;"f"),CZ24*2.4/$H24,CZ24),IF($F24&lt;OFFSET($BN$9,$CL24+2,0,1,1),IF(AND($H24&gt;2.4,Z24&lt;&gt;"e",Z24&lt;&gt;"f"),CZ24*2.4/$H24,CZ24),IF($F24&lt;OFFSET($BN$9,$CL24+3,0,1,1),IF(AND($H24&gt;2.4,Z24&lt;&gt;"e",Z24&lt;&gt;"f"),CZ24*2.4/$H24,CZ24),0)))))*COS(RADIANS($G24)))</f>
        <v>0</v>
      </c>
      <c r="CW24" s="51">
        <f ca="1">IF(CT24&gt;CR24,CR24,CT24)</f>
        <v>0</v>
      </c>
      <c r="CX24" s="51">
        <f ca="1">IF(CS24&gt;$CR24,$CR24,CS24)</f>
        <v>0</v>
      </c>
      <c r="CY24" s="51">
        <f ca="1">CW24*F24</f>
        <v>0</v>
      </c>
      <c r="CZ24" s="51">
        <f ca="1">IF($CU24&gt;$CR24,$CR24,$CU24)</f>
        <v>0</v>
      </c>
      <c r="DA24" s="51">
        <f ca="1">IF(CV24&gt;CR24,CR24,CV24)</f>
        <v>0</v>
      </c>
      <c r="DB24" s="51">
        <f ca="1">DA24*F24</f>
        <v>0</v>
      </c>
      <c r="DC24" s="993">
        <v>1</v>
      </c>
      <c r="DD24" s="758" t="str">
        <f>IF(OR(D24=BG$12,D24=BG$13),"External",IF(D24=BG$14,"Internal"," "))</f>
        <v xml:space="preserve"> </v>
      </c>
      <c r="DE24" s="51" t="str">
        <f t="shared" ca="1" si="1"/>
        <v/>
      </c>
      <c r="DF24" s="52" t="str">
        <f t="shared" ca="1" si="2"/>
        <v xml:space="preserve"> </v>
      </c>
      <c r="DG24" s="51">
        <f ca="1">IF(F24&lt;OFFSET($BM$9,CN24-1,0,1,1),0,IF(F24&lt;OFFSET($BN$9,CN24-1,0,1,1),((F24-OFFSET($BM$9,CN24-1,0,1,1))*OFFSET($CH$9,CN24-1,0,1,1))+OFFSET($BO$9,CN24-1,CQ24,1,1),IF(F24&lt;OFFSET($BN$9,CN24+0,0,1,1),((F24-OFFSET($BM$9,CN24+0,0,1,1))*OFFSET($CH$9,CN24+0,0,1,1))+OFFSET($BO$9,CN24+0,CQ24,1,1),IF(F24&lt;OFFSET($BN$9,CN24+1,0,1,1),((F24-OFFSET($BM$9,CN24+1,0,1,1))*OFFSET($CH$9,CN24+1,0,1,1))+OFFSET($BO$9,CN24+1,CQ24,1,1),IF(F24&lt;OFFSET($BN$9,CN24+2,0,1,1),((F24-OFFSET($BM$9,CN24+2,0,1,1))*OFFSET($CH$9,CN24+2,0,1,1))+OFFSET($BO$9,CN24+2,CQ24,1,1),IF(F24&lt;OFFSET($BN$9,CN24+3,0,1,1),((F24-OFFSET($BM$9,CN24+3,0,1,1))*OFFSET($CH$9,CN24+3,0,1,1))+OFFSET($BO$9,CN24+3,CQ24,1,1),0))))))</f>
        <v>0</v>
      </c>
      <c r="DH24" s="51">
        <f ca="1">IF($F24&lt;OFFSET($BM$9,$CN24-1,0,1,1),0,IF($F24&lt;OFFSET($BN$9,$CN24-1,0,1,1),IF(AND($H24&gt;2.4,Z24&lt;&gt;"e",Z24&lt;&gt;"f"),DL24*2.4/$H24,DL24),IF($F24&lt;OFFSET($BN$9,$CN24+0,0,1,1),IF(AND($H24&gt;2.4,Z24&lt;&gt;"e",Z24&lt;&gt;"f"),DL24*2.4/$H24,DL24),IF($F24&lt;OFFSET($BN$9,$CN24+1,0,1,1),IF(AND($H24&gt;2.4,Z24&lt;&gt;"e",Z24&lt;&gt;"f"),DL24*2.4/$H24,DL24),IF($F24&lt;OFFSET($BN$9,$CN24+2,0,1,1),IF(AND($H24&gt;2.4,Z24&lt;&gt;"e",Z24&lt;&gt;"f"),DL24*2.4/$H24,DL24),IF($F24&lt;OFFSET($BN$9,$CN24+3,0,1,1),IF(AND($H24&gt;2.4,Z24&lt;&gt;"e",Z24&lt;&gt;"f"),DL24*2.4/$H24,DL24),0)))))*COS(RADIANS($G24)))</f>
        <v>0</v>
      </c>
      <c r="DI24" s="51">
        <f ca="1">IF(F24&lt;OFFSET($BM$9,CN24-1,0,1,1),0,IF(F24&lt;OFFSET($BN$9,CN24-1,0,1,1),((F24-OFFSET($BM$9,CN24-1,0,1,1))*OFFSET($CI$9,CN24-1,0,1,1))+OFFSET($BP$9,CN24-1,CQ24,1,1),IF(F24&lt;OFFSET($BN$9,CN24+0,0,1,1),((F24-OFFSET($BM$9,CN24+0,0,1,1))*OFFSET($CI$9,CN24+0,0,1,1))+OFFSET($BP$9,CN24+0,CQ24,1,1),IF(F24&lt;OFFSET($BN$9,CN24+1,0,1,1),((F24-OFFSET($BM$9,CN24+1,0,1,1))*OFFSET($CI$9,CN24+1,0,1,1))+OFFSET($BP$9,CN24+1,CQ24,1,1),IF(F24&lt;OFFSET($BN$9,CN24+2,0,1,1),((F24-OFFSET($BM$9,CN24+2,0,1,1))*OFFSET($CI$9,CN24+2,0,1,1))+OFFSET($BP$9,CN24+2,CQ24,1,1),IF(F24&lt;OFFSET($BN$9,CN24+3,0,1,1),((F24-OFFSET($BM$9,CN24+3,0,1,1))*OFFSET($CI$9,CN24+3,0,1,1))+OFFSET($BP$9,CN24+3,CQ24,1,1),0))))))</f>
        <v>0</v>
      </c>
      <c r="DJ24" s="51">
        <f ca="1">IF($F24&lt;OFFSET($BM$9,$CN24-1,0,1,1),0,IF($F24&lt;OFFSET($BN$9,$CN24-1,0,1,1),IF(AND($H24&gt;2.4,Z24&lt;&gt;"e",Z24&lt;&gt;"f"),DN24*2.4/$H24,DN24),IF($F24&lt;OFFSET($BN$9,$CN24+0,0,1,1),IF(AND($H24&gt;2.4,Z24&lt;&gt;"e",Z24&lt;&gt;"f"),DN24*2.4/$H24,DN24),IF($F24&lt;OFFSET($BN$9,$CN24+1,0,1,1),IF(AND($H24&gt;2.4,Z24&lt;&gt;"e",Z24&lt;&gt;"f"),DN24*2.4/$H24,DN24),IF($F24&lt;OFFSET($BN$9,$CN24+2,0,1,1),IF(AND($H24&gt;2.4,Z24&lt;&gt;"e",Z24&lt;&gt;"f"),DN24*2.4/$H24,DN24),IF($F24&lt;OFFSET($BN$9,$CN24+3,0,1,1),IF(AND($H24&gt;2.4,Z24&lt;&gt;"e",Z24&lt;&gt;"f"),DN24*2.4/$H24,DN24),0)))))*COS(RADIANS($G24)))</f>
        <v>0</v>
      </c>
      <c r="DK24" s="51"/>
      <c r="DL24" s="51">
        <f ca="1">IF(DG24&gt;$CR24,$CR24,DG24)</f>
        <v>0</v>
      </c>
      <c r="DM24" s="51"/>
      <c r="DN24" s="51">
        <f ca="1">IF(DI24&gt;$CR24,$CR24,DI24)</f>
        <v>0</v>
      </c>
      <c r="DO24" s="435">
        <f ca="1">IF(DH24&gt;$CR24,$CR24,DH24)</f>
        <v>0</v>
      </c>
      <c r="DP24" s="435">
        <f ca="1">DO24*F24</f>
        <v>0</v>
      </c>
      <c r="DQ24" s="436">
        <f ca="1">IF(DJ24&gt;$CR24,$CR24,DJ24)</f>
        <v>0</v>
      </c>
      <c r="DR24" s="437">
        <f ca="1">DQ24*F24</f>
        <v>0</v>
      </c>
      <c r="DS24" s="426">
        <f ca="1">OFFSET($CH$9,CL24-1,-15,1,1)</f>
        <v>0</v>
      </c>
      <c r="DT24" s="426">
        <f ca="1">VLOOKUP(DS24,Prodlink,2,0)</f>
        <v>0</v>
      </c>
      <c r="DU24" s="188">
        <f ca="1">IF(F24&lt;OFFSET($BM$9,DT24-1,0,1,1),0,IF(F24&lt;OFFSET($BN$9,DT24-1,0,1,1),((F24-OFFSET($BM$9,DT24-1,0,1,1))*OFFSET($CH$9,DT24-1,0,1,1))+OFFSET($BO$9,DT24-1,CQ24,1,1),IF(F24&lt;OFFSET($BN$9,DT24+0,0,1,1),((F24-OFFSET($BM$9,DT24+0,0,1,1))*OFFSET($CH$9,DT24+0,0,1,1))+OFFSET($BO$9,DT24+0,CQ24,1,1),IF(F24&lt;OFFSET($BN$9,DT24+1,0,1,1),((F24-OFFSET($BM$9,DT24+1,0,1,1))*OFFSET($CH$9,DT24+1,0,1,1))+OFFSET($BO$9,DT24+1,CQ24,1,1),IF(F24&lt;OFFSET($BN$9,DT24+2,0,1,1),((F24-OFFSET($BM$9,DT24+2,0,1,1))*OFFSET($CH$9,DT24+2,0,1,1))+OFFSET($BO$9,DT24+2,CQ24,1,1),IF(F24&lt;OFFSET($BN$9,DT24+3,0,1,1),((F24-OFFSET($BM$9,DT24+3,0,1,1))*OFFSET($CH$9,DT24+3,0,1,1))+OFFSET($BO$9,DT24+3,CQ24,1,1),0))))))</f>
        <v>0</v>
      </c>
      <c r="DV24" s="51">
        <f ca="1">IF($F24&lt;OFFSET($BM$9,$DT24-1,0,1,1),0,IF($F24&lt;OFFSET($BN$9,$DT24-1,0,1,1),IF(AND($H24&gt;2.4,Z24&lt;&gt;"e",Z24&lt;&gt;"f"),DZ24*2.4/$H24,DZ24),IF($F24&lt;OFFSET($BN$9,$DT24+0,0,1,1),IF(AND($H24&gt;2.4,Z24&lt;&gt;"e",Z24&lt;&gt;"f"),DZ24*2.4/$H24,DZ24),IF($F24&lt;OFFSET($BN$9,$DT24+1,0,1,1),IF(AND($H24&gt;2.4,Z24&lt;&gt;"e",Z24&lt;&gt;"f"),DZ24*2.4/$H24,DZ24),IF($F24&lt;OFFSET($BN$9,$DT24+2,0,1,1),IF(AND($H24&gt;2.4,Z24&lt;&gt;"e",Z24&lt;&gt;"f"),DZ24*2.4/$H24,DZ24),IF($F24&lt;OFFSET($BN$9,$DT24+3,0,1,1),IF(AND($H24&gt;2.4,Z24&lt;&gt;"e",Z24&lt;&gt;"f"),DZ24*2.4/$H24,DZ24),0)))))*COS(RADIANS($G24)))</f>
        <v>0</v>
      </c>
      <c r="DW24" s="188">
        <f ca="1">IF(F24&lt;OFFSET($BM$9,DT24-1,0,1,1),0,IF(F24&lt;OFFSET($BN$9,DT24-1,0,1,1),((F24-OFFSET($BM$9,DT24-1,0,1,1))*OFFSET($CI$9,DT24-1,0,1,1))+OFFSET($BP$9,DT24-1,CQ24,1,1),IF(F24&lt;OFFSET($BN$9,DT24+0,0,1,1),((F24-OFFSET($BM$9,DT24+0,0,1,1))*OFFSET($CI$9,DT24+0,0,1,1))+OFFSET($BP$9,DT24+0,CQ24,1,1),IF(F24&lt;OFFSET($BN$9,DT24+1,0,1,1),((F24-OFFSET($BM$9,DT24+1,0,1,1))*OFFSET($CI$9,DT24+1,0,1,1))+OFFSET($BP$9,DT24+1,CQ24,1,1),IF(F24&lt;OFFSET($BN$9,DT24+2,0,1,1),((F24-OFFSET($BM$9,DT24+2,0,1,1))*OFFSET($CI$9,DT24+2,0,1,1))+OFFSET($BP$9,DT24+2,CQ24,1,1),IF(F24&lt;OFFSET($BN$9,DT24+3,0,1,1),((F24-OFFSET($BM$9,DT24+3,0,1,1))*OFFSET($CI$9,DT24+3,0,1,1))+OFFSET($BP$9,DT24+3,CQ24,1,1),0))))))</f>
        <v>0</v>
      </c>
      <c r="DX24" s="51">
        <f ca="1">IF($F24&lt;OFFSET($BM$9,$DT24-1,0,1,1),0,IF($F24&lt;OFFSET($BN$9,$DT24-1,0,1,1),IF(AND($H24&gt;2.4,Z24&lt;&gt;"e",Z24&lt;&gt;"f"),EB24*2.4/$H24,EB24),IF($F24&lt;OFFSET($BN$9,$DT24+0,0,1,1),IF(AND($H24&gt;2.4,Z24&lt;&gt;"e",Z24&lt;&gt;"f"),EB24*2.4/$H24,EB24),IF($F24&lt;OFFSET($BN$9,$DT24+1,0,1,1),IF(AND($H24&gt;2.4,Z24&lt;&gt;"e",Z24&lt;&gt;"f"),EB24*2.4/$H24,EB24),IF($F24&lt;OFFSET($BN$9,$DT24+2,0,1,1),IF(AND($H24&gt;2.4,Z24&lt;&gt;"e",Z24&lt;&gt;"f"),EB24*2.4/$H24,EB24),IF($F24&lt;OFFSET($BN$9,$DT24+3,0,1,1),IF(AND($H24&gt;2.4,Z24&lt;&gt;"e",Z24&lt;&gt;"f"),EB24*2.4/$H24,EB24),0)))))*COS(RADIANS($G24)))</f>
        <v>0</v>
      </c>
      <c r="DY24" s="188"/>
      <c r="DZ24" s="188">
        <f ca="1">IF(DU24&gt;$CR24,$CR24,DU24)</f>
        <v>0</v>
      </c>
      <c r="EA24" s="188"/>
      <c r="EB24" s="188">
        <f ca="1">IF(DW24&gt;$CR24,$CR24,DW24)</f>
        <v>0</v>
      </c>
      <c r="EC24" s="435">
        <f ca="1">IF(DV24&gt;$CR24,$CR24,DV24)</f>
        <v>0</v>
      </c>
      <c r="ED24" s="435">
        <f ca="1">EC24*F24</f>
        <v>0</v>
      </c>
      <c r="EE24" s="436">
        <f ca="1">IF(DX24&gt;$CR24,$CR24,DX24)</f>
        <v>0</v>
      </c>
      <c r="EF24" s="437">
        <f ca="1">EE24*F24</f>
        <v>0</v>
      </c>
      <c r="EG24" s="613" t="str">
        <f>IF(D24=BG$12,BG$12,"")</f>
        <v/>
      </c>
      <c r="EH24" s="614" t="str">
        <f>IF(D24=BG$13,BG$13,"")</f>
        <v/>
      </c>
      <c r="EI24" s="611">
        <f>IF(EG24=BG$12,M24,0)</f>
        <v>0</v>
      </c>
      <c r="EJ24" s="451">
        <f>IF(EG24=BG$12,O24,0)</f>
        <v>0</v>
      </c>
      <c r="EK24" s="451">
        <f>IF(EH24=BG$13,M24,0)</f>
        <v>0</v>
      </c>
      <c r="EL24" s="612">
        <f>IF(EH24=BG$13,O24,0)</f>
        <v>0</v>
      </c>
      <c r="EM24" s="426" t="str">
        <f ca="1">IF(AND(Z24&lt;&gt;"t",Z24&lt;&gt;"f"),"",IF(AND(EN24=$BH$13,K24=$BH$12),"NotOpt",IF(K24&lt;&gt;EN24,"Error","")))</f>
        <v/>
      </c>
      <c r="EN24" s="490" t="str">
        <f>IF($BG$28=1,$BH$13,$BH$12)</f>
        <v>120 BU's</v>
      </c>
      <c r="EO24" s="426" t="str">
        <f>K24</f>
        <v xml:space="preserve"> </v>
      </c>
      <c r="EP24" s="430">
        <v>1</v>
      </c>
      <c r="EQ24" s="430" t="str">
        <f ca="1">IF(EP24=1," ",OFFSET(BF$16,EP24-2,0,1,1))</f>
        <v xml:space="preserve"> </v>
      </c>
      <c r="ER24" s="439" t="str">
        <f ca="1">IF(H24=0," ",H24)</f>
        <v xml:space="preserve"> </v>
      </c>
      <c r="ES24" s="440" t="str">
        <f ca="1">IF(ER24&lt;&gt;" ",IF(ER24&lt;&gt;ER$7,"Changed",""),"")</f>
        <v/>
      </c>
      <c r="ET24" s="440">
        <f ca="1">IF(ER24&lt;&gt;" ",IF(ER24&lt;&gt;ER$7,1,0),0)</f>
        <v>0</v>
      </c>
      <c r="EU24" s="957" t="str">
        <f ca="1">IF(I24=" "," ",IF(F24&lt;OFFSET($BM$9,CL24-1,0,1,1),1,""))</f>
        <v xml:space="preserve"> </v>
      </c>
      <c r="EW24" s="427"/>
      <c r="EX24"/>
      <c r="EY24"/>
      <c r="EZ24"/>
      <c r="FA24"/>
    </row>
    <row r="25" spans="2:157" ht="17.100000000000001" customHeight="1" thickBot="1">
      <c r="B25" s="2686" t="s">
        <v>8</v>
      </c>
      <c r="C25" s="2687"/>
      <c r="D25" s="1461" t="s">
        <v>8</v>
      </c>
      <c r="E25" s="659"/>
      <c r="F25" s="659"/>
      <c r="G25" s="659"/>
      <c r="H25" s="659"/>
      <c r="I25" s="1462"/>
      <c r="J25" s="1365" t="str">
        <f ca="1">(CONCATENATE(B20,$BE$54))</f>
        <v>O  Line:  Min. Requirement</v>
      </c>
      <c r="K25" s="23"/>
      <c r="L25" s="1019">
        <f ca="1">L$5</f>
        <v>0</v>
      </c>
      <c r="M25" s="48">
        <f ca="1">IF(B20=B14,SUM(M20:M24)+M19,SUM(M20:M24))</f>
        <v>0</v>
      </c>
      <c r="N25" s="1019">
        <f ca="1">N$5</f>
        <v>0</v>
      </c>
      <c r="O25" s="125">
        <f ca="1">IF(B20=B14,SUM(O20:O24)+O19,SUM(O20:O24))</f>
        <v>0</v>
      </c>
      <c r="P25" s="139"/>
      <c r="Q25" s="42" t="str">
        <f ca="1">IF(B20=B26,"",IF(AND(M25&gt;0,L25=L$5,OR(M25&lt;$M$105,M25&lt;$BF$3)),"Achieved &lt; Min Req per Line",IF(AND(O25&gt;0,N25=N$5,OR(O25&lt;$O$105,O25&lt;$BF$3)),"Achieved &lt; Min Req per Line",IF(AND(M25&gt;0,L25&gt;M25),"More Required on this line",IF(AND(O25&gt;0,N25&gt;O25),"More Required on this line",IF(AND(L25&gt;0,L25&lt;$BF$3),$BE$59,IF(AND(N25&gt;0,N25&lt;$BF$3),$BE$59,"")))))))</f>
        <v/>
      </c>
      <c r="R25" s="52"/>
      <c r="S25" s="52"/>
      <c r="T25" s="52"/>
      <c r="U25" s="1378"/>
      <c r="V25" s="52"/>
      <c r="W25" s="898"/>
      <c r="X25" s="898"/>
      <c r="Y25" s="896"/>
      <c r="Z25" s="52"/>
      <c r="AA25" s="51"/>
      <c r="AB25" s="1364"/>
      <c r="AC25" s="1"/>
      <c r="AJ25" s="2230"/>
      <c r="AK25" s="2779"/>
      <c r="AL25" s="2782"/>
      <c r="AM25" s="1207">
        <f>'Regular and QuickBrace Systems'!F40</f>
        <v>1.2</v>
      </c>
      <c r="AN25" s="1276">
        <f>'Regular and QuickBrace Systems'!G40</f>
        <v>60</v>
      </c>
      <c r="AO25" s="1277">
        <f>'Regular and QuickBrace Systems'!H40</f>
        <v>55</v>
      </c>
      <c r="AP25" s="1277"/>
      <c r="AQ25" s="2810"/>
      <c r="AR25" s="2811"/>
      <c r="AS25" s="2032"/>
      <c r="AT25" s="1339"/>
      <c r="AU25" s="2132"/>
      <c r="AW25" s="1568" t="str">
        <f>'Regular and QuickBrace Systems'!O16</f>
        <v>Yes</v>
      </c>
      <c r="AX25" s="1577" t="str">
        <f>'Regular and QuickBrace Systems'!Q16</f>
        <v>No</v>
      </c>
      <c r="BA25"/>
      <c r="BB25"/>
      <c r="BC25"/>
      <c r="BD25" s="2648"/>
      <c r="BF25" s="599" t="str">
        <f>'Custom Elements'!C9</f>
        <v>Custom1</v>
      </c>
      <c r="BI25" s="759"/>
      <c r="BJ25" s="897">
        <f t="shared" si="3"/>
        <v>17</v>
      </c>
      <c r="BK25" s="769" t="str">
        <f t="shared" si="6"/>
        <v xml:space="preserve">  </v>
      </c>
      <c r="BL25" s="771" t="str">
        <f t="shared" si="7"/>
        <v>Custom14</v>
      </c>
      <c r="BM25" s="455">
        <f t="shared" si="8"/>
        <v>9.9999999999999996E-76</v>
      </c>
      <c r="BN25" s="455">
        <v>999</v>
      </c>
      <c r="BO25" s="455">
        <f t="shared" si="9"/>
        <v>0</v>
      </c>
      <c r="BP25" s="925">
        <f t="shared" si="10"/>
        <v>0</v>
      </c>
      <c r="BR25" s="764"/>
      <c r="BS25" s="455"/>
      <c r="BT25" s="455" t="str">
        <f t="shared" si="11"/>
        <v>B</v>
      </c>
      <c r="BU25" s="925" t="str">
        <f t="shared" si="12"/>
        <v>T</v>
      </c>
      <c r="BV25" s="1239" t="str">
        <f t="shared" si="13"/>
        <v>Custom14</v>
      </c>
      <c r="BW25" s="1236">
        <f t="shared" si="16"/>
        <v>17</v>
      </c>
      <c r="BX25" s="925" t="str">
        <f t="shared" si="14"/>
        <v>Single</v>
      </c>
      <c r="CH25" s="764">
        <f t="shared" si="4"/>
        <v>0</v>
      </c>
      <c r="CI25" s="925">
        <f t="shared" si="5"/>
        <v>0</v>
      </c>
      <c r="CJ25" s="759"/>
      <c r="CK25" s="188"/>
      <c r="CL25" s="979"/>
      <c r="CN25" s="497"/>
      <c r="CO25" s="497"/>
      <c r="CQ25" s="51"/>
      <c r="CR25" s="51" t="s">
        <v>8</v>
      </c>
      <c r="CS25" s="51"/>
      <c r="CT25" s="51" t="s">
        <v>8</v>
      </c>
      <c r="CU25" s="51"/>
      <c r="CV25" s="51" t="s">
        <v>8</v>
      </c>
      <c r="CW25" s="51"/>
      <c r="CX25" s="51"/>
      <c r="CY25" s="51"/>
      <c r="CZ25" s="51"/>
      <c r="DD25" s="758"/>
      <c r="DF25" s="52"/>
      <c r="DG25" s="51"/>
      <c r="DH25" s="51"/>
      <c r="DI25" s="51"/>
      <c r="DJ25" s="51"/>
      <c r="DK25" s="51"/>
      <c r="DL25" s="51"/>
      <c r="DM25" s="51"/>
      <c r="DN25" s="51"/>
      <c r="DO25" s="435"/>
      <c r="DP25" s="435"/>
      <c r="DQ25" s="868"/>
      <c r="DR25" s="868"/>
      <c r="DU25" s="188"/>
      <c r="DV25" s="188" t="s">
        <v>8</v>
      </c>
      <c r="DW25" s="188"/>
      <c r="DX25" s="188" t="s">
        <v>8</v>
      </c>
      <c r="DY25" s="188"/>
      <c r="DZ25" s="188"/>
      <c r="EA25" s="188"/>
      <c r="EB25" s="188"/>
      <c r="EC25" s="435"/>
      <c r="ED25" s="435"/>
      <c r="EE25" s="868"/>
      <c r="EF25" s="868"/>
      <c r="EG25" s="613"/>
      <c r="EH25" s="435"/>
      <c r="EI25" s="613"/>
      <c r="EJ25" s="435"/>
      <c r="EK25" s="451"/>
      <c r="EL25" s="612"/>
      <c r="EN25" s="947"/>
      <c r="ER25" s="441"/>
      <c r="ES25" s="440"/>
      <c r="ET25" s="440"/>
      <c r="EU25" s="957"/>
      <c r="EW25" s="427"/>
      <c r="EX25"/>
      <c r="EY25"/>
      <c r="EZ25"/>
      <c r="FA25"/>
    </row>
    <row r="26" spans="2:157" ht="17.100000000000001" customHeight="1">
      <c r="B26" s="1369" t="str">
        <f ca="1">S26</f>
        <v>P</v>
      </c>
      <c r="C26" s="684" t="str">
        <f>IF(OR(F26=0,I26="",I26=" ")," ",$V26)</f>
        <v xml:space="preserve"> </v>
      </c>
      <c r="D26" s="1361"/>
      <c r="E26" s="1360" t="s">
        <v>8</v>
      </c>
      <c r="F26" s="202"/>
      <c r="G26" s="1416"/>
      <c r="H26" s="199" t="str">
        <f ca="1">IF(OR(F26=0,Z26="E",Z26="f")," ",'Project Demand'!E$45)</f>
        <v xml:space="preserve"> </v>
      </c>
      <c r="I26" s="631" t="str">
        <f>IF($I$6&lt;&gt;$BG$8," ",AB26)</f>
        <v xml:space="preserve"> </v>
      </c>
      <c r="J26" s="43" t="str">
        <f ca="1">IF(OR(I26=" ",I26="")," ",OFFSET($BO$9,CL26-1,0-4,1,1))</f>
        <v xml:space="preserve"> </v>
      </c>
      <c r="K26" s="55" t="str">
        <f>IF(OR(I26=" ",I26="")," ",IF(OR(Z26="e",Z26="h"),"SD",BG$24))</f>
        <v xml:space="preserve"> </v>
      </c>
      <c r="L26" s="49">
        <f ca="1">CW26</f>
        <v>0</v>
      </c>
      <c r="M26" s="49">
        <f ca="1">CY26</f>
        <v>0</v>
      </c>
      <c r="N26" s="50">
        <f t="shared" ref="N26:O30" ca="1" si="18">DA26</f>
        <v>0</v>
      </c>
      <c r="O26" s="126">
        <f t="shared" ca="1" si="18"/>
        <v>0</v>
      </c>
      <c r="P26" s="140"/>
      <c r="Q26" s="752" t="str">
        <f ca="1">IF(AND(OR(Z26="t",Z26="f"),K26=$BH$11),"No Floor!  Change Floor Type",IF(OR(I26=" ",I26="")," ",IF(F26&lt;OFFSET($BM$9,CL26-1,0,1,1),"check L(m)",DE26&amp;IF(AND(DP26&gt;=CY26,DR26&gt;=DB26),IF(AND(ED26&gt;=DP26,EF26&gt;=DR26),CONCATENATE(DS26," will provide same result"),CONCATENATE(CO26," will provide same result")),IF((DP26&gt;=CY26),CONCATENATE(CO26," provides same result in WIND"),IF((DR26&gt;=DB26),CONCATENATE(CO26," provides same result in EQ"),""))))))&amp;IF(ISERROR(FIND("pile",I26,1)),"",IF(INT(F26)&lt;&gt;F26,"Pile!  Use Whole Numbers Only",""))</f>
        <v xml:space="preserve"> </v>
      </c>
      <c r="R26" s="52">
        <f ca="1">IF(T20&lt;&gt;2,(COLUMN(INDIRECT(B20&amp;1))+1),U26)</f>
        <v>16</v>
      </c>
      <c r="S26" s="1372" t="str">
        <f ca="1">SUBSTITUTE(ADDRESS(1,R26,4),"1","")</f>
        <v>P</v>
      </c>
      <c r="T26" s="451">
        <f ca="1">IF(AND(ISTEXT(B26),SUBSTITUTE(SUBSTITUTE(SUBSTITUTE(SUBSTITUTE(SUBSTITUTE(SUBSTITUTE(SUBSTITUTE(SUBSTITUTE(SUBSTITUTE(SUBSTITUTE(SUBSTITUTE(SUBSTITUTE(SUBSTITUTE(SUBSTITUTE(SUBSTITUTE(SUBSTITUTE(SUBSTITUTE(SUBSTITUTE(SUBSTITUTE(SUBSTITUTE(SUBSTITUTE(SUBSTITUTE(SUBSTITUTE(SUBSTITUTE(SUBSTITUTE(SUBSTITUTE(LOWER(B26),"a",),"b",),"c",),"d",),"e",),"f",),"g",),"h",),"i",),"j",),"k",),"l",),"m",),"n",),"o",),"p",),"q",),"r",),"s",),"t",),"u",),"v",),"w",),"x",),"y",),"z",)=""),1,2)</f>
        <v>1</v>
      </c>
      <c r="U26" s="1377">
        <v>16</v>
      </c>
      <c r="V26" s="52" t="str">
        <f ca="1">IF(AND(B$5=$BF$9,OR(I26=BH$16,I26=BH$17))," ",IF(ISNUMBER(B$26),(CONCATENATE(B$26,".",W26)),(CONCATENATE(B$26,W26))))</f>
        <v>P0</v>
      </c>
      <c r="W26" s="9">
        <f ca="1">IF(B20=B26,W24+X26,X26)</f>
        <v>0</v>
      </c>
      <c r="X26" s="9">
        <f>IF(AND(B$5=$BF$9,OR($I26=$BH$16,$I26=$BH$17,$I26=" ",$I26="",$F26=0)),0,IF(OR($I26=" ",$I26="",$F26=0),0,1))</f>
        <v>0</v>
      </c>
      <c r="Y26" s="896">
        <f ca="1">IF(AND(M31&gt;0,B26&lt;&gt;B32),1,0)</f>
        <v>0</v>
      </c>
      <c r="Z26" s="52" t="str">
        <f ca="1">IF(I26=" "," ",OFFSET($BM$9,$CL26-1,8,1,1))</f>
        <v xml:space="preserve"> </v>
      </c>
      <c r="AA26" s="51" t="str">
        <f>IF(G26&gt;=45,"WA","")</f>
        <v/>
      </c>
      <c r="AB26" s="1364" t="str">
        <f>IF(F26&lt;&gt;"",IF(OR(D26=$BG$12,D26=$BG$13),IF(E26&lt;&gt;$BG$17,$BF$12,$BF$13),IF(E26&lt;&gt;$BG$17,$BF$12,$BF$13))," ")</f>
        <v xml:space="preserve"> </v>
      </c>
      <c r="AC26" s="1"/>
      <c r="AJ26" s="2230"/>
      <c r="AK26" s="2779"/>
      <c r="AL26" s="2783" t="str">
        <f>'Regular and QuickBrace Systems'!E41</f>
        <v>ESSN</v>
      </c>
      <c r="AM26" s="1176">
        <f>'Regular and QuickBrace Systems'!F41</f>
        <v>0.4</v>
      </c>
      <c r="AN26" s="1272">
        <f>'Regular and QuickBrace Systems'!G41</f>
        <v>79</v>
      </c>
      <c r="AO26" s="1273">
        <f>'Regular and QuickBrace Systems'!H41</f>
        <v>74</v>
      </c>
      <c r="AP26" s="1594"/>
      <c r="AQ26" s="2661" t="str">
        <f>'Regular and QuickBrace Systems'!I41</f>
        <v>Specialised QuickBrace Pattern</v>
      </c>
      <c r="AR26" s="2662"/>
      <c r="AS26" s="2030" t="str">
        <f>'Regular and QuickBrace Systems'!K41</f>
        <v>No</v>
      </c>
      <c r="AT26" s="1339"/>
      <c r="AU26" s="2131" t="str">
        <f>'Regular and QuickBrace Systems'!M41</f>
        <v xml:space="preserve">Elephant Standard-Plus board Both sides </v>
      </c>
      <c r="AW26" s="1567" t="str">
        <f>'Regular and QuickBrace Systems'!O41</f>
        <v>Yes</v>
      </c>
      <c r="AX26" s="1573" t="str">
        <f>'Regular and QuickBrace Systems'!Q41</f>
        <v>No</v>
      </c>
      <c r="BA26"/>
      <c r="BB26"/>
      <c r="BC26"/>
      <c r="BD26" s="2648"/>
      <c r="BF26" s="599" t="str">
        <f>'Custom Elements'!C10</f>
        <v>Custom2</v>
      </c>
      <c r="BI26" s="759"/>
      <c r="BJ26" s="897">
        <f t="shared" si="3"/>
        <v>18</v>
      </c>
      <c r="BK26" s="769" t="str">
        <f t="shared" si="6"/>
        <v xml:space="preserve">  </v>
      </c>
      <c r="BL26" s="771" t="str">
        <f t="shared" si="7"/>
        <v>Custom15</v>
      </c>
      <c r="BM26" s="455">
        <f t="shared" si="8"/>
        <v>9.9999999999999996E-76</v>
      </c>
      <c r="BN26" s="455">
        <v>999</v>
      </c>
      <c r="BO26" s="455">
        <f t="shared" si="9"/>
        <v>0</v>
      </c>
      <c r="BP26" s="925">
        <f t="shared" si="10"/>
        <v>0</v>
      </c>
      <c r="BR26" s="764"/>
      <c r="BS26" s="455"/>
      <c r="BT26" s="455" t="str">
        <f t="shared" si="11"/>
        <v>B</v>
      </c>
      <c r="BU26" s="925" t="str">
        <f t="shared" si="12"/>
        <v>T</v>
      </c>
      <c r="BV26" s="1239" t="str">
        <f t="shared" si="13"/>
        <v>Custom15</v>
      </c>
      <c r="BW26" s="1236">
        <f t="shared" si="16"/>
        <v>18</v>
      </c>
      <c r="BX26" s="925" t="str">
        <f t="shared" si="14"/>
        <v>Single</v>
      </c>
      <c r="CH26" s="764">
        <f t="shared" si="4"/>
        <v>0</v>
      </c>
      <c r="CI26" s="925">
        <f t="shared" si="5"/>
        <v>0</v>
      </c>
      <c r="CJ26" s="759"/>
      <c r="CK26" s="188"/>
      <c r="CL26" s="979">
        <f>VLOOKUP(I26,Prodlink,2,0)</f>
        <v>0</v>
      </c>
      <c r="CN26" s="497">
        <f ca="1">VLOOKUP(CO26,Prodlink,2,0)</f>
        <v>0</v>
      </c>
      <c r="CO26" s="497">
        <f ca="1">OFFSET($CH$9,CL26-1,-15,1,1)</f>
        <v>0</v>
      </c>
      <c r="CQ26" s="51">
        <v>0</v>
      </c>
      <c r="CR26" s="51">
        <f>IF(K26=$BH$12,$BH$23,IF(K26=$BH$13,$BH$24,10000))</f>
        <v>10000</v>
      </c>
      <c r="CS26" s="51">
        <f ca="1">IF(F26&lt;OFFSET($BM$9,CL26-1,0,1,1),0,IF(F26&lt;OFFSET($BN$9,CL26-1,0,1,1),((F26-OFFSET($BM$9,CL26-1,0,1,1))*OFFSET($CH$9,CL26-1,0,1,1))+OFFSET($BO$9,CL26-1,CQ26,1,1),IF(F26&lt;OFFSET($BN$9,CL26+0,0,1,1),((F26-OFFSET($BM$9,CL26+0,0,1,1))*OFFSET($CH$9,CL26+0,0,1,1))+OFFSET($BO$9,CL26+0,CQ26,1,1),IF(F26&lt;OFFSET($BN$9,CL26+1,0,1,1),((F26-OFFSET($BM$9,CL26+1,0,1,1))*OFFSET($CH$9,CL26+1,0,1,1))+OFFSET($BO$9,CL26+1,CQ26,1,1),IF(F26&lt;OFFSET($BN$9,CL26+2,0,1,1),((F26-OFFSET($BM$9,CL26+2,0,1,1))*OFFSET($CH$9,CL26+2,0,1,1))+OFFSET($BO$9,CL26+2,CQ26,1,1),IF(F26&lt;OFFSET($BN$9,CL26+3,0,1,1),((F26-OFFSET($BM$9,CL26+3,0,1,1))*OFFSET($CH$9,CL26+3,0,1,1))+OFFSET($BO$9,CL26+3,CQ26,1,1),0))))))</f>
        <v>0</v>
      </c>
      <c r="CT26" s="51">
        <f ca="1">IF($F26&lt;OFFSET($BM$9,$CL26-1,0,1,1),0,IF($F26&lt;OFFSET($BN$9,$CL26-1,0,1,1),IF(AND($H26&gt;2.4,Z26&lt;&gt;"e",Z26&lt;&gt;"f"),CX26*2.4/$H26,CX26),IF($F26&lt;OFFSET($BN$9,$CL26+0,0,1,1),IF(AND($H26&gt;2.4,Z26&lt;&gt;"e",Z26&lt;&gt;"f"),CX26*2.4/$H26,CX26),IF($F26&lt;OFFSET($BN$9,$CL26+1,0,1,1),IF(AND($H26&gt;2.4,Z26&lt;&gt;"e",Z26&lt;&gt;"f"),CX26*2.4/$H26,CX26),IF($F26&lt;OFFSET($BN$9,CL26+2,0,1,1),IF(AND($H26&gt;2.4,Z26&lt;&gt;"e",Z26&lt;&gt;"f"),CX26*2.4/$H26,CX26),IF($F26&lt;OFFSET($BN$9,CL26+3,0,1,1),IF(AND($H26&gt;2.4,Z26&lt;&gt;"e",Z26&lt;&gt;"f"),CX26*2.4/$H26,CX26),0)))))*COS(RADIANS($G26)))</f>
        <v>0</v>
      </c>
      <c r="CU26" s="51">
        <f ca="1">IF(F26&lt;OFFSET($BM$9,CL26-1,0,1,1),0,IF(F26&lt;OFFSET($BN$9,CL26-1,0,1,1),((F26-OFFSET($BM$9,CL26-1,0,1,1))*OFFSET($CI$9,CL26-1,0,1,1))+OFFSET($BP$9,CL26-1,CQ26,1,1),IF(F26&lt;OFFSET($BN$9,CL26+0,0,1,1),((F26-OFFSET($BM$9,CL26+0,0,1,1))*OFFSET($CI$9,CL26+0,0,1,1))+OFFSET($BP$9,CL26+0,CQ26,1,1),IF(F26&lt;OFFSET($BN$9,CL26+1,0,1,1),((F26-OFFSET($BM$9,CL26+1,0,1,1))*OFFSET($CI$9,CL26+1,0,1,1))+OFFSET($BP$9,CL26+1,CQ26,1,1),IF(F26&lt;OFFSET($BN$9,CL26+2,0,1,1),((F26-OFFSET($BM$9,CL26+2,0,1,1))*OFFSET($CI$9,CL26+2,0,1,1))+OFFSET($BP$9,CL26+2,CQ26,1,1),IF(F26&lt;OFFSET($BN$9,CL26+3,0,1,1),((F26-OFFSET($BM$9,CL26+3,0,1,1))*OFFSET($CI$9,CL26+3,0,1,1))+OFFSET($BP$9,CL26+3,CQ26,1,1),0))))))</f>
        <v>0</v>
      </c>
      <c r="CV26" s="51">
        <f ca="1">IF($F26&lt;OFFSET($BM$9,$CL26-1,0,1,1),0,IF($F26&lt;OFFSET($BN$9,$CL26-1,0,1,1),IF(AND($H26&gt;2.4,Z26&lt;&gt;"e",Z26&lt;&gt;"f"),CZ26*2.4/$H26,CZ26),IF($F26&lt;OFFSET($BN$9,$CL26+0,0,1,1),IF(AND($H26&gt;2.4,Z26&lt;&gt;"e",Z26&lt;&gt;"f"),CZ26*2.4/$H26,CZ26),IF($F26&lt;OFFSET($BN$9,$CL26+1,0,1,1),IF(AND($H26&gt;2.4,Z26&lt;&gt;"e",Z26&lt;&gt;"f"),CZ26*2.4/$H26,CZ26),IF($F26&lt;OFFSET($BN$9,$CL26+2,0,1,1),IF(AND($H26&gt;2.4,Z26&lt;&gt;"e",Z26&lt;&gt;"f"),CZ26*2.4/$H26,CZ26),IF($F26&lt;OFFSET($BN$9,$CL26+3,0,1,1),IF(AND($H26&gt;2.4,Z26&lt;&gt;"e",Z26&lt;&gt;"f"),CZ26*2.4/$H26,CZ26),0)))))*COS(RADIANS($G26)))</f>
        <v>0</v>
      </c>
      <c r="CW26" s="51">
        <f ca="1">IF(CT26&gt;CR26,CR26,CT26)</f>
        <v>0</v>
      </c>
      <c r="CX26" s="51">
        <f ca="1">IF(CS26&gt;$CR26,$CR26,CS26)</f>
        <v>0</v>
      </c>
      <c r="CY26" s="51">
        <f ca="1">CW26*F26</f>
        <v>0</v>
      </c>
      <c r="CZ26" s="51">
        <f ca="1">IF($CU26&gt;$CR26,$CR26,$CU26)</f>
        <v>0</v>
      </c>
      <c r="DA26" s="51">
        <f ca="1">IF(CV26&gt;CR26,CR26,CV26)</f>
        <v>0</v>
      </c>
      <c r="DB26" s="51">
        <f ca="1">DA26*F26</f>
        <v>0</v>
      </c>
      <c r="DC26" s="993">
        <v>1</v>
      </c>
      <c r="DD26" s="758" t="str">
        <f>IF(OR(D26=BG$12,D26=BG$13),"External",IF(D26=BG$14,"Internal"," "))</f>
        <v xml:space="preserve"> </v>
      </c>
      <c r="DE26" s="51" t="str">
        <f t="shared" ca="1" si="1"/>
        <v/>
      </c>
      <c r="DF26" s="52" t="str">
        <f t="shared" ca="1" si="2"/>
        <v xml:space="preserve"> </v>
      </c>
      <c r="DG26" s="51">
        <f ca="1">IF(F26&lt;OFFSET($BM$9,CN26-1,0,1,1),0,IF(F26&lt;OFFSET($BN$9,CN26-1,0,1,1),((F26-OFFSET($BM$9,CN26-1,0,1,1))*OFFSET($CH$9,CN26-1,0,1,1))+OFFSET($BO$9,CN26-1,CQ26,1,1),IF(F26&lt;OFFSET($BN$9,CN26+0,0,1,1),((F26-OFFSET($BM$9,CN26+0,0,1,1))*OFFSET($CH$9,CN26+0,0,1,1))+OFFSET($BO$9,CN26+0,CQ26,1,1),IF(F26&lt;OFFSET($BN$9,CN26+1,0,1,1),((F26-OFFSET($BM$9,CN26+1,0,1,1))*OFFSET($CH$9,CN26+1,0,1,1))+OFFSET($BO$9,CN26+1,CQ26,1,1),IF(F26&lt;OFFSET($BN$9,CN26+2,0,1,1),((F26-OFFSET($BM$9,CN26+2,0,1,1))*OFFSET($CH$9,CN26+2,0,1,1))+OFFSET($BO$9,CN26+2,CQ26,1,1),IF(F26&lt;OFFSET($BN$9,CN26+3,0,1,1),((F26-OFFSET($BM$9,CN26+3,0,1,1))*OFFSET($CH$9,CN26+3,0,1,1))+OFFSET($BO$9,CN26+3,CQ26,1,1),0))))))</f>
        <v>0</v>
      </c>
      <c r="DH26" s="51">
        <f ca="1">IF($F26&lt;OFFSET($BM$9,$CN26-1,0,1,1),0,IF($F26&lt;OFFSET($BN$9,$CN26-1,0,1,1),IF(AND($H26&gt;2.4,Z26&lt;&gt;"e",Z26&lt;&gt;"f"),DL26*2.4/$H26,DL26),IF($F26&lt;OFFSET($BN$9,$CN26+0,0,1,1),IF(AND($H26&gt;2.4,Z26&lt;&gt;"e",Z26&lt;&gt;"f"),DL26*2.4/$H26,DL26),IF($F26&lt;OFFSET($BN$9,$CN26+1,0,1,1),IF(AND($H26&gt;2.4,Z26&lt;&gt;"e",Z26&lt;&gt;"f"),DL26*2.4/$H26,DL26),IF($F26&lt;OFFSET($BN$9,$CN26+2,0,1,1),IF(AND($H26&gt;2.4,Z26&lt;&gt;"e",Z26&lt;&gt;"f"),DL26*2.4/$H26,DL26),IF($F26&lt;OFFSET($BN$9,$CN26+3,0,1,1),IF(AND($H26&gt;2.4,Z26&lt;&gt;"e",Z26&lt;&gt;"f"),DL26*2.4/$H26,DL26),0)))))*COS(RADIANS($G26)))</f>
        <v>0</v>
      </c>
      <c r="DI26" s="51">
        <f ca="1">IF(F26&lt;OFFSET($BM$9,CN26-1,0,1,1),0,IF(F26&lt;OFFSET($BN$9,CN26-1,0,1,1),((F26-OFFSET($BM$9,CN26-1,0,1,1))*OFFSET($CI$9,CN26-1,0,1,1))+OFFSET($BP$9,CN26-1,CQ26,1,1),IF(F26&lt;OFFSET($BN$9,CN26+0,0,1,1),((F26-OFFSET($BM$9,CN26+0,0,1,1))*OFFSET($CI$9,CN26+0,0,1,1))+OFFSET($BP$9,CN26+0,CQ26,1,1),IF(F26&lt;OFFSET($BN$9,CN26+1,0,1,1),((F26-OFFSET($BM$9,CN26+1,0,1,1))*OFFSET($CI$9,CN26+1,0,1,1))+OFFSET($BP$9,CN26+1,CQ26,1,1),IF(F26&lt;OFFSET($BN$9,CN26+2,0,1,1),((F26-OFFSET($BM$9,CN26+2,0,1,1))*OFFSET($CI$9,CN26+2,0,1,1))+OFFSET($BP$9,CN26+2,CQ26,1,1),IF(F26&lt;OFFSET($BN$9,CN26+3,0,1,1),((F26-OFFSET($BM$9,CN26+3,0,1,1))*OFFSET($CI$9,CN26+3,0,1,1))+OFFSET($BP$9,CN26+3,CQ26,1,1),0))))))</f>
        <v>0</v>
      </c>
      <c r="DJ26" s="51">
        <f ca="1">IF($F26&lt;OFFSET($BM$9,$CN26-1,0,1,1),0,IF($F26&lt;OFFSET($BN$9,$CN26-1,0,1,1),IF(AND($H26&gt;2.4,Z26&lt;&gt;"e",Z26&lt;&gt;"f"),DN26*2.4/$H26,DN26),IF($F26&lt;OFFSET($BN$9,$CN26+0,0,1,1),IF(AND($H26&gt;2.4,Z26&lt;&gt;"e",Z26&lt;&gt;"f"),DN26*2.4/$H26,DN26),IF($F26&lt;OFFSET($BN$9,$CN26+1,0,1,1),IF(AND($H26&gt;2.4,Z26&lt;&gt;"e",Z26&lt;&gt;"f"),DN26*2.4/$H26,DN26),IF($F26&lt;OFFSET($BN$9,$CN26+2,0,1,1),IF(AND($H26&gt;2.4,Z26&lt;&gt;"e",Z26&lt;&gt;"f"),DN26*2.4/$H26,DN26),IF($F26&lt;OFFSET($BN$9,$CN26+3,0,1,1),IF(AND($H26&gt;2.4,Z26&lt;&gt;"e",Z26&lt;&gt;"f"),DN26*2.4/$H26,DN26),0)))))*COS(RADIANS($G26)))</f>
        <v>0</v>
      </c>
      <c r="DK26" s="51"/>
      <c r="DL26" s="51">
        <f ca="1">IF(DG26&gt;$CR26,$CR26,DG26)</f>
        <v>0</v>
      </c>
      <c r="DM26" s="51"/>
      <c r="DN26" s="51">
        <f ca="1">IF(DI26&gt;$CR26,$CR26,DI26)</f>
        <v>0</v>
      </c>
      <c r="DO26" s="435">
        <f ca="1">IF(DH26&gt;$CR26,$CR26,DH26)</f>
        <v>0</v>
      </c>
      <c r="DP26" s="435">
        <f ca="1">DO26*F26</f>
        <v>0</v>
      </c>
      <c r="DQ26" s="436">
        <f ca="1">IF(DJ26&gt;$CR26,$CR26,DJ26)</f>
        <v>0</v>
      </c>
      <c r="DR26" s="437">
        <f ca="1">DQ26*F26</f>
        <v>0</v>
      </c>
      <c r="DS26" s="426">
        <f ca="1">OFFSET($CH$9,CL26-1,-15,1,1)</f>
        <v>0</v>
      </c>
      <c r="DT26" s="426">
        <f ca="1">VLOOKUP(DS26,Prodlink,2,0)</f>
        <v>0</v>
      </c>
      <c r="DU26" s="188">
        <f ca="1">IF(F26&lt;OFFSET($BM$9,DT26-1,0,1,1),0,IF(F26&lt;OFFSET($BN$9,DT26-1,0,1,1),((F26-OFFSET($BM$9,DT26-1,0,1,1))*OFFSET($CH$9,DT26-1,0,1,1))+OFFSET($BO$9,DT26-1,CQ26,1,1),IF(F26&lt;OFFSET($BN$9,DT26+0,0,1,1),((F26-OFFSET($BM$9,DT26+0,0,1,1))*OFFSET($CH$9,DT26+0,0,1,1))+OFFSET($BO$9,DT26+0,CQ26,1,1),IF(F26&lt;OFFSET($BN$9,DT26+1,0,1,1),((F26-OFFSET($BM$9,DT26+1,0,1,1))*OFFSET($CH$9,DT26+1,0,1,1))+OFFSET($BO$9,DT26+1,CQ26,1,1),IF(F26&lt;OFFSET($BN$9,DT26+2,0,1,1),((F26-OFFSET($BM$9,DT26+2,0,1,1))*OFFSET($CH$9,DT26+2,0,1,1))+OFFSET($BO$9,DT26+2,CQ26,1,1),IF(F26&lt;OFFSET($BN$9,DT26+3,0,1,1),((F26-OFFSET($BM$9,DT26+3,0,1,1))*OFFSET($CH$9,DT26+3,0,1,1))+OFFSET($BO$9,DT26+3,CQ26,1,1),0))))))</f>
        <v>0</v>
      </c>
      <c r="DV26" s="51">
        <f ca="1">IF($F26&lt;OFFSET($BM$9,$DT26-1,0,1,1),0,IF($F26&lt;OFFSET($BN$9,$DT26-1,0,1,1),IF(AND($H26&gt;2.4,Z26&lt;&gt;"e",Z26&lt;&gt;"f"),DZ26*2.4/$H26,DZ26),IF($F26&lt;OFFSET($BN$9,$DT26+0,0,1,1),IF(AND($H26&gt;2.4,Z26&lt;&gt;"e",Z26&lt;&gt;"f"),DZ26*2.4/$H26,DZ26),IF($F26&lt;OFFSET($BN$9,$DT26+1,0,1,1),IF(AND($H26&gt;2.4,Z26&lt;&gt;"e",Z26&lt;&gt;"f"),DZ26*2.4/$H26,DZ26),IF($F26&lt;OFFSET($BN$9,$DT26+2,0,1,1),IF(AND($H26&gt;2.4,Z26&lt;&gt;"e",Z26&lt;&gt;"f"),DZ26*2.4/$H26,DZ26),IF($F26&lt;OFFSET($BN$9,$DT26+3,0,1,1),IF(AND($H26&gt;2.4,Z26&lt;&gt;"e",Z26&lt;&gt;"f"),DZ26*2.4/$H26,DZ26),0)))))*COS(RADIANS($G26)))</f>
        <v>0</v>
      </c>
      <c r="DW26" s="188">
        <f ca="1">IF(F26&lt;OFFSET($BM$9,DT26-1,0,1,1),0,IF(F26&lt;OFFSET($BN$9,DT26-1,0,1,1),((F26-OFFSET($BM$9,DT26-1,0,1,1))*OFFSET($CI$9,DT26-1,0,1,1))+OFFSET($BP$9,DT26-1,CQ26,1,1),IF(F26&lt;OFFSET($BN$9,DT26+0,0,1,1),((F26-OFFSET($BM$9,DT26+0,0,1,1))*OFFSET($CI$9,DT26+0,0,1,1))+OFFSET($BP$9,DT26+0,CQ26,1,1),IF(F26&lt;OFFSET($BN$9,DT26+1,0,1,1),((F26-OFFSET($BM$9,DT26+1,0,1,1))*OFFSET($CI$9,DT26+1,0,1,1))+OFFSET($BP$9,DT26+1,CQ26,1,1),IF(F26&lt;OFFSET($BN$9,DT26+2,0,1,1),((F26-OFFSET($BM$9,DT26+2,0,1,1))*OFFSET($CI$9,DT26+2,0,1,1))+OFFSET($BP$9,DT26+2,CQ26,1,1),IF(F26&lt;OFFSET($BN$9,DT26+3,0,1,1),((F26-OFFSET($BM$9,DT26+3,0,1,1))*OFFSET($CI$9,DT26+3,0,1,1))+OFFSET($BP$9,DT26+3,CQ26,1,1),0))))))</f>
        <v>0</v>
      </c>
      <c r="DX26" s="51">
        <f ca="1">IF($F26&lt;OFFSET($BM$9,$DT26-1,0,1,1),0,IF($F26&lt;OFFSET($BN$9,$DT26-1,0,1,1),IF(AND($H26&gt;2.4,Z26&lt;&gt;"e",Z26&lt;&gt;"f"),EB26*2.4/$H26,EB26),IF($F26&lt;OFFSET($BN$9,$DT26+0,0,1,1),IF(AND($H26&gt;2.4,Z26&lt;&gt;"e",Z26&lt;&gt;"f"),EB26*2.4/$H26,EB26),IF($F26&lt;OFFSET($BN$9,$DT26+1,0,1,1),IF(AND($H26&gt;2.4,Z26&lt;&gt;"e",Z26&lt;&gt;"f"),EB26*2.4/$H26,EB26),IF($F26&lt;OFFSET($BN$9,$DT26+2,0,1,1),IF(AND($H26&gt;2.4,Z26&lt;&gt;"e",Z26&lt;&gt;"f"),EB26*2.4/$H26,EB26),IF($F26&lt;OFFSET($BN$9,$DT26+3,0,1,1),IF(AND($H26&gt;2.4,Z26&lt;&gt;"e",Z26&lt;&gt;"f"),EB26*2.4/$H26,EB26),0)))))*COS(RADIANS($G26)))</f>
        <v>0</v>
      </c>
      <c r="DY26" s="188"/>
      <c r="DZ26" s="188">
        <f ca="1">IF(DU26&gt;$CR26,$CR26,DU26)</f>
        <v>0</v>
      </c>
      <c r="EA26" s="188"/>
      <c r="EB26" s="188">
        <f ca="1">IF(DW26&gt;$CR26,$CR26,DW26)</f>
        <v>0</v>
      </c>
      <c r="EC26" s="435">
        <f ca="1">IF(DV26&gt;$CR26,$CR26,DV26)</f>
        <v>0</v>
      </c>
      <c r="ED26" s="435">
        <f ca="1">EC26*F26</f>
        <v>0</v>
      </c>
      <c r="EE26" s="436">
        <f ca="1">IF(DX26&gt;$CR26,$CR26,DX26)</f>
        <v>0</v>
      </c>
      <c r="EF26" s="437">
        <f ca="1">EE26*F26</f>
        <v>0</v>
      </c>
      <c r="EG26" s="613" t="str">
        <f>IF(D26=BG$12,BG$12,"")</f>
        <v/>
      </c>
      <c r="EH26" s="614" t="str">
        <f>IF(D26=BG$13,BG$13,"")</f>
        <v/>
      </c>
      <c r="EI26" s="611">
        <f>IF(EG26=BG$12,M26,0)</f>
        <v>0</v>
      </c>
      <c r="EJ26" s="451">
        <f>IF(EG26=BG$12,O26,0)</f>
        <v>0</v>
      </c>
      <c r="EK26" s="451">
        <f>IF(EH26=BG$13,M26,0)</f>
        <v>0</v>
      </c>
      <c r="EL26" s="612">
        <f>IF(EH26=BG$13,O26,0)</f>
        <v>0</v>
      </c>
      <c r="EM26" s="426" t="str">
        <f ca="1">IF(AND(Z26&lt;&gt;"t",Z26&lt;&gt;"f"),"",IF(AND(EN26=$BH$13,K26=$BH$12),"NotOpt",IF(K26&lt;&gt;EN26,"Error","")))</f>
        <v/>
      </c>
      <c r="EN26" s="490" t="str">
        <f>IF($BG$28=1,$BH$13,$BH$12)</f>
        <v>120 BU's</v>
      </c>
      <c r="EO26" s="426" t="str">
        <f>K26</f>
        <v xml:space="preserve"> </v>
      </c>
      <c r="EP26" s="430">
        <v>1</v>
      </c>
      <c r="EQ26" s="430" t="str">
        <f ca="1">IF(EP26=1," ",OFFSET(BF$16,EP26-2,0,1,1))</f>
        <v xml:space="preserve"> </v>
      </c>
      <c r="ER26" s="439" t="str">
        <f ca="1">IF(H26=0," ",H26)</f>
        <v xml:space="preserve"> </v>
      </c>
      <c r="ES26" s="440" t="str">
        <f ca="1">IF(ER26&lt;&gt;" ",IF(ER26&lt;&gt;ER$7,"Changed",""),"")</f>
        <v/>
      </c>
      <c r="ET26" s="440">
        <f ca="1">IF(ER26&lt;&gt;" ",IF(ER26&lt;&gt;ER$7,1,0),0)</f>
        <v>0</v>
      </c>
      <c r="EU26" s="957" t="str">
        <f ca="1">IF(I26=" "," ",IF(F26&lt;OFFSET($BM$9,CL26-1,0,1,1),1,""))</f>
        <v xml:space="preserve"> </v>
      </c>
      <c r="EW26" s="427"/>
      <c r="EX26"/>
      <c r="EY26"/>
      <c r="EZ26"/>
      <c r="FA26"/>
    </row>
    <row r="27" spans="2:157" ht="17.100000000000001" customHeight="1">
      <c r="B27" s="689" t="s">
        <v>246</v>
      </c>
      <c r="C27" s="684" t="str">
        <f>IF(OR(F27=0,I27="",I27=" ")," ",$V27)</f>
        <v xml:space="preserve"> </v>
      </c>
      <c r="D27" s="1361"/>
      <c r="E27" s="1360" t="s">
        <v>8</v>
      </c>
      <c r="F27" s="202"/>
      <c r="G27" s="1416"/>
      <c r="H27" s="199" t="str">
        <f ca="1">IF(OR(F27=0,Z27="E",Z27="f")," ",'Project Demand'!E$45)</f>
        <v xml:space="preserve"> </v>
      </c>
      <c r="I27" s="631" t="str">
        <f>IF($I$6&lt;&gt;$BG$8," ",AB27)</f>
        <v xml:space="preserve"> </v>
      </c>
      <c r="J27" s="44" t="str">
        <f ca="1">IF(OR(I27=" ",I27="")," ",OFFSET($BO$9,CL27-1,0-4,1,1))</f>
        <v xml:space="preserve"> </v>
      </c>
      <c r="K27" s="55" t="str">
        <f>IF(OR(I27=" ",I27="")," ",IF(OR(Z27="e",Z27="h"),"SD",BG$24))</f>
        <v xml:space="preserve"> </v>
      </c>
      <c r="L27" s="49">
        <f ca="1">CW27</f>
        <v>0</v>
      </c>
      <c r="M27" s="49">
        <f ca="1">CY27</f>
        <v>0</v>
      </c>
      <c r="N27" s="50">
        <f t="shared" ca="1" si="18"/>
        <v>0</v>
      </c>
      <c r="O27" s="126">
        <f t="shared" ca="1" si="18"/>
        <v>0</v>
      </c>
      <c r="P27" s="140"/>
      <c r="Q27" s="752" t="str">
        <f ca="1">IF(AND(OR(Z27="t",Z27="f"),K27=$BH$11),"No Floor!  Change Floor Type",IF(OR(I27=" ",I27="")," ",IF(F27&lt;OFFSET($BM$9,CL27-1,0,1,1),"check L(m)",DE27&amp;IF(AND(DP27&gt;=CY27,DR27&gt;=DB27),IF(AND(ED27&gt;=DP27,EF27&gt;=DR27),CONCATENATE(DS27," will provide same result"),CONCATENATE(CO27," will provide same result")),IF((DP27&gt;=CY27),CONCATENATE(CO27," provides same result in WIND"),IF((DR27&gt;=DB27),CONCATENATE(CO27," provides same result in EQ"),""))))))&amp;IF(ISERROR(FIND("pile",I27,1)),"",IF(INT(F27)&lt;&gt;F27,"Pile!  Use Whole Numbers Only",""))</f>
        <v xml:space="preserve"> </v>
      </c>
      <c r="R27" s="52"/>
      <c r="S27" s="1372"/>
      <c r="T27" s="1372"/>
      <c r="U27" s="1377"/>
      <c r="V27" s="52" t="str">
        <f ca="1">IF(AND(B$5=$BF$9,OR(I27=BH$16,I27=BH$17))," ",IF(ISNUMBER(B$26),(CONCATENATE(B$26,".",W27)),(CONCATENATE(B$26,W27))))</f>
        <v>P0</v>
      </c>
      <c r="W27" s="9">
        <f ca="1">W26+X27</f>
        <v>0</v>
      </c>
      <c r="X27" s="9">
        <f>IF(AND(B$5=$BF$9,OR($I27=$BH$16,$I27=$BH$17,$I27=" ",$I27="",$F27=0)),0,IF(OR($I27=" ",$I27="",$F27=0),0,1))</f>
        <v>0</v>
      </c>
      <c r="Y27" s="896"/>
      <c r="Z27" s="52" t="str">
        <f ca="1">IF(I27=" "," ",OFFSET($BM$9,$CL27-1,8,1,1))</f>
        <v xml:space="preserve"> </v>
      </c>
      <c r="AA27" s="51" t="str">
        <f>IF(G27&gt;=45,"WA","")</f>
        <v/>
      </c>
      <c r="AB27" s="1364" t="str">
        <f>IF(F27&lt;&gt;"",IF(OR(D27=$BG$12,D27=$BG$13),IF(E27&lt;&gt;$BG$17,$BF$12,$BF$13),IF(E27&lt;&gt;$BG$17,$BF$12,$BF$13))," ")</f>
        <v xml:space="preserve"> </v>
      </c>
      <c r="AC27" s="1"/>
      <c r="AJ27" s="2230"/>
      <c r="AK27" s="2779"/>
      <c r="AL27" s="2784"/>
      <c r="AM27" s="11">
        <f>'Regular and QuickBrace Systems'!F42</f>
        <v>0.8</v>
      </c>
      <c r="AN27" s="1336">
        <f>'Regular and QuickBrace Systems'!G42</f>
        <v>93</v>
      </c>
      <c r="AO27" s="26">
        <f>'Regular and QuickBrace Systems'!H42</f>
        <v>83</v>
      </c>
      <c r="AP27" s="1595"/>
      <c r="AQ27" s="2663"/>
      <c r="AR27" s="2664"/>
      <c r="AS27" s="2031"/>
      <c r="AT27" s="1339"/>
      <c r="AU27" s="2090"/>
      <c r="AW27" s="1569" t="str">
        <f>'Regular and QuickBrace Systems'!O42</f>
        <v>Yes</v>
      </c>
      <c r="AX27" s="442" t="str">
        <f>'Regular and QuickBrace Systems'!Q42</f>
        <v>No</v>
      </c>
      <c r="BA27"/>
      <c r="BB27"/>
      <c r="BC27"/>
      <c r="BD27" s="2648"/>
      <c r="BF27" s="599" t="str">
        <f>'Custom Elements'!C11</f>
        <v>Custom3</v>
      </c>
      <c r="BG27" s="965" t="s">
        <v>13</v>
      </c>
      <c r="BH27" s="964" t="s">
        <v>367</v>
      </c>
      <c r="BI27" s="759"/>
      <c r="BJ27" s="897">
        <f t="shared" si="3"/>
        <v>19</v>
      </c>
      <c r="BK27" s="769" t="str">
        <f t="shared" si="6"/>
        <v xml:space="preserve">  </v>
      </c>
      <c r="BL27" s="771" t="str">
        <f t="shared" si="7"/>
        <v>Custom16</v>
      </c>
      <c r="BM27" s="969">
        <f t="shared" si="8"/>
        <v>9.9999999999999996E-76</v>
      </c>
      <c r="BN27" s="455">
        <v>999</v>
      </c>
      <c r="BO27" s="455">
        <f t="shared" si="9"/>
        <v>0</v>
      </c>
      <c r="BP27" s="925">
        <f t="shared" si="10"/>
        <v>0</v>
      </c>
      <c r="BR27" s="764"/>
      <c r="BS27" s="455"/>
      <c r="BT27" s="455" t="str">
        <f t="shared" si="11"/>
        <v>B</v>
      </c>
      <c r="BU27" s="925" t="str">
        <f t="shared" si="12"/>
        <v>T</v>
      </c>
      <c r="BV27" s="1239" t="str">
        <f t="shared" si="13"/>
        <v>Custom16</v>
      </c>
      <c r="BW27" s="1236">
        <f t="shared" si="16"/>
        <v>19</v>
      </c>
      <c r="BX27" s="925" t="str">
        <f t="shared" si="14"/>
        <v>Single</v>
      </c>
      <c r="CH27" s="764">
        <f t="shared" si="4"/>
        <v>0</v>
      </c>
      <c r="CI27" s="925">
        <f t="shared" si="5"/>
        <v>0</v>
      </c>
      <c r="CJ27" s="759"/>
      <c r="CK27" s="188"/>
      <c r="CL27" s="979">
        <f>VLOOKUP(I27,Prodlink,2,0)</f>
        <v>0</v>
      </c>
      <c r="CN27" s="497">
        <f ca="1">VLOOKUP(CO27,Prodlink,2,0)</f>
        <v>0</v>
      </c>
      <c r="CO27" s="497">
        <f ca="1">OFFSET($CH$9,CL27-1,-15,1,1)</f>
        <v>0</v>
      </c>
      <c r="CQ27" s="51">
        <v>0</v>
      </c>
      <c r="CR27" s="51">
        <f>IF(K27=$BH$12,$BH$23,IF(K27=$BH$13,$BH$24,10000))</f>
        <v>10000</v>
      </c>
      <c r="CS27" s="51">
        <f ca="1">IF(F27&lt;OFFSET($BM$9,CL27-1,0,1,1),0,IF(F27&lt;OFFSET($BN$9,CL27-1,0,1,1),((F27-OFFSET($BM$9,CL27-1,0,1,1))*OFFSET($CH$9,CL27-1,0,1,1))+OFFSET($BO$9,CL27-1,CQ27,1,1),IF(F27&lt;OFFSET($BN$9,CL27+0,0,1,1),((F27-OFFSET($BM$9,CL27+0,0,1,1))*OFFSET($CH$9,CL27+0,0,1,1))+OFFSET($BO$9,CL27+0,CQ27,1,1),IF(F27&lt;OFFSET($BN$9,CL27+1,0,1,1),((F27-OFFSET($BM$9,CL27+1,0,1,1))*OFFSET($CH$9,CL27+1,0,1,1))+OFFSET($BO$9,CL27+1,CQ27,1,1),IF(F27&lt;OFFSET($BN$9,CL27+2,0,1,1),((F27-OFFSET($BM$9,CL27+2,0,1,1))*OFFSET($CH$9,CL27+2,0,1,1))+OFFSET($BO$9,CL27+2,CQ27,1,1),IF(F27&lt;OFFSET($BN$9,CL27+3,0,1,1),((F27-OFFSET($BM$9,CL27+3,0,1,1))*OFFSET($CH$9,CL27+3,0,1,1))+OFFSET($BO$9,CL27+3,CQ27,1,1),0))))))</f>
        <v>0</v>
      </c>
      <c r="CT27" s="51">
        <f ca="1">IF($F27&lt;OFFSET($BM$9,$CL27-1,0,1,1),0,IF($F27&lt;OFFSET($BN$9,$CL27-1,0,1,1),IF(AND($H27&gt;2.4,Z27&lt;&gt;"e",Z27&lt;&gt;"f"),CX27*2.4/$H27,CX27),IF($F27&lt;OFFSET($BN$9,$CL27+0,0,1,1),IF(AND($H27&gt;2.4,Z27&lt;&gt;"e",Z27&lt;&gt;"f"),CX27*2.4/$H27,CX27),IF($F27&lt;OFFSET($BN$9,$CL27+1,0,1,1),IF(AND($H27&gt;2.4,Z27&lt;&gt;"e",Z27&lt;&gt;"f"),CX27*2.4/$H27,CX27),IF($F27&lt;OFFSET($BN$9,CL27+2,0,1,1),IF(AND($H27&gt;2.4,Z27&lt;&gt;"e",Z27&lt;&gt;"f"),CX27*2.4/$H27,CX27),IF($F27&lt;OFFSET($BN$9,CL27+3,0,1,1),IF(AND($H27&gt;2.4,Z27&lt;&gt;"e",Z27&lt;&gt;"f"),CX27*2.4/$H27,CX27),0)))))*COS(RADIANS($G27)))</f>
        <v>0</v>
      </c>
      <c r="CU27" s="51">
        <f ca="1">IF(F27&lt;OFFSET($BM$9,CL27-1,0,1,1),0,IF(F27&lt;OFFSET($BN$9,CL27-1,0,1,1),((F27-OFFSET($BM$9,CL27-1,0,1,1))*OFFSET($CI$9,CL27-1,0,1,1))+OFFSET($BP$9,CL27-1,CQ27,1,1),IF(F27&lt;OFFSET($BN$9,CL27+0,0,1,1),((F27-OFFSET($BM$9,CL27+0,0,1,1))*OFFSET($CI$9,CL27+0,0,1,1))+OFFSET($BP$9,CL27+0,CQ27,1,1),IF(F27&lt;OFFSET($BN$9,CL27+1,0,1,1),((F27-OFFSET($BM$9,CL27+1,0,1,1))*OFFSET($CI$9,CL27+1,0,1,1))+OFFSET($BP$9,CL27+1,CQ27,1,1),IF(F27&lt;OFFSET($BN$9,CL27+2,0,1,1),((F27-OFFSET($BM$9,CL27+2,0,1,1))*OFFSET($CI$9,CL27+2,0,1,1))+OFFSET($BP$9,CL27+2,CQ27,1,1),IF(F27&lt;OFFSET($BN$9,CL27+3,0,1,1),((F27-OFFSET($BM$9,CL27+3,0,1,1))*OFFSET($CI$9,CL27+3,0,1,1))+OFFSET($BP$9,CL27+3,CQ27,1,1),0))))))</f>
        <v>0</v>
      </c>
      <c r="CV27" s="51">
        <f ca="1">IF($F27&lt;OFFSET($BM$9,$CL27-1,0,1,1),0,IF($F27&lt;OFFSET($BN$9,$CL27-1,0,1,1),IF(AND($H27&gt;2.4,Z27&lt;&gt;"e",Z27&lt;&gt;"f"),CZ27*2.4/$H27,CZ27),IF($F27&lt;OFFSET($BN$9,$CL27+0,0,1,1),IF(AND($H27&gt;2.4,Z27&lt;&gt;"e",Z27&lt;&gt;"f"),CZ27*2.4/$H27,CZ27),IF($F27&lt;OFFSET($BN$9,$CL27+1,0,1,1),IF(AND($H27&gt;2.4,Z27&lt;&gt;"e",Z27&lt;&gt;"f"),CZ27*2.4/$H27,CZ27),IF($F27&lt;OFFSET($BN$9,$CL27+2,0,1,1),IF(AND($H27&gt;2.4,Z27&lt;&gt;"e",Z27&lt;&gt;"f"),CZ27*2.4/$H27,CZ27),IF($F27&lt;OFFSET($BN$9,$CL27+3,0,1,1),IF(AND($H27&gt;2.4,Z27&lt;&gt;"e",Z27&lt;&gt;"f"),CZ27*2.4/$H27,CZ27),0)))))*COS(RADIANS($G27)))</f>
        <v>0</v>
      </c>
      <c r="CW27" s="51">
        <f ca="1">IF(CT27&gt;CR27,CR27,CT27)</f>
        <v>0</v>
      </c>
      <c r="CX27" s="51">
        <f ca="1">IF(CS27&gt;$CR27,$CR27,CS27)</f>
        <v>0</v>
      </c>
      <c r="CY27" s="51">
        <f ca="1">CW27*F27</f>
        <v>0</v>
      </c>
      <c r="CZ27" s="51">
        <f ca="1">IF($CU27&gt;$CR27,$CR27,$CU27)</f>
        <v>0</v>
      </c>
      <c r="DA27" s="51">
        <f ca="1">IF(CV27&gt;CR27,CR27,CV27)</f>
        <v>0</v>
      </c>
      <c r="DB27" s="51">
        <f ca="1">DA27*F27</f>
        <v>0</v>
      </c>
      <c r="DC27" s="993">
        <v>1</v>
      </c>
      <c r="DD27" s="758" t="str">
        <f>IF(OR(D27=BG$12,D27=BG$13),"External",IF(D27=BG$14,"Internal"," "))</f>
        <v xml:space="preserve"> </v>
      </c>
      <c r="DE27" s="51" t="str">
        <f t="shared" ca="1" si="1"/>
        <v/>
      </c>
      <c r="DF27" s="52" t="str">
        <f t="shared" ca="1" si="2"/>
        <v xml:space="preserve"> </v>
      </c>
      <c r="DG27" s="51">
        <f ca="1">IF(F27&lt;OFFSET($BM$9,CN27-1,0,1,1),0,IF(F27&lt;OFFSET($BN$9,CN27-1,0,1,1),((F27-OFFSET($BM$9,CN27-1,0,1,1))*OFFSET($CH$9,CN27-1,0,1,1))+OFFSET($BO$9,CN27-1,CQ27,1,1),IF(F27&lt;OFFSET($BN$9,CN27+0,0,1,1),((F27-OFFSET($BM$9,CN27+0,0,1,1))*OFFSET($CH$9,CN27+0,0,1,1))+OFFSET($BO$9,CN27+0,CQ27,1,1),IF(F27&lt;OFFSET($BN$9,CN27+1,0,1,1),((F27-OFFSET($BM$9,CN27+1,0,1,1))*OFFSET($CH$9,CN27+1,0,1,1))+OFFSET($BO$9,CN27+1,CQ27,1,1),IF(F27&lt;OFFSET($BN$9,CN27+2,0,1,1),((F27-OFFSET($BM$9,CN27+2,0,1,1))*OFFSET($CH$9,CN27+2,0,1,1))+OFFSET($BO$9,CN27+2,CQ27,1,1),IF(F27&lt;OFFSET($BN$9,CN27+3,0,1,1),((F27-OFFSET($BM$9,CN27+3,0,1,1))*OFFSET($CH$9,CN27+3,0,1,1))+OFFSET($BO$9,CN27+3,CQ27,1,1),0))))))</f>
        <v>0</v>
      </c>
      <c r="DH27" s="51">
        <f ca="1">IF($F27&lt;OFFSET($BM$9,$CN27-1,0,1,1),0,IF($F27&lt;OFFSET($BN$9,$CN27-1,0,1,1),IF(AND($H27&gt;2.4,Z27&lt;&gt;"e",Z27&lt;&gt;"f"),DL27*2.4/$H27,DL27),IF($F27&lt;OFFSET($BN$9,$CN27+0,0,1,1),IF(AND($H27&gt;2.4,Z27&lt;&gt;"e",Z27&lt;&gt;"f"),DL27*2.4/$H27,DL27),IF($F27&lt;OFFSET($BN$9,$CN27+1,0,1,1),IF(AND($H27&gt;2.4,Z27&lt;&gt;"e",Z27&lt;&gt;"f"),DL27*2.4/$H27,DL27),IF($F27&lt;OFFSET($BN$9,$CN27+2,0,1,1),IF(AND($H27&gt;2.4,Z27&lt;&gt;"e",Z27&lt;&gt;"f"),DL27*2.4/$H27,DL27),IF($F27&lt;OFFSET($BN$9,$CN27+3,0,1,1),IF(AND($H27&gt;2.4,Z27&lt;&gt;"e",Z27&lt;&gt;"f"),DL27*2.4/$H27,DL27),0)))))*COS(RADIANS($G27)))</f>
        <v>0</v>
      </c>
      <c r="DI27" s="51">
        <f ca="1">IF(F27&lt;OFFSET($BM$9,CN27-1,0,1,1),0,IF(F27&lt;OFFSET($BN$9,CN27-1,0,1,1),((F27-OFFSET($BM$9,CN27-1,0,1,1))*OFFSET($CI$9,CN27-1,0,1,1))+OFFSET($BP$9,CN27-1,CQ27,1,1),IF(F27&lt;OFFSET($BN$9,CN27+0,0,1,1),((F27-OFFSET($BM$9,CN27+0,0,1,1))*OFFSET($CI$9,CN27+0,0,1,1))+OFFSET($BP$9,CN27+0,CQ27,1,1),IF(F27&lt;OFFSET($BN$9,CN27+1,0,1,1),((F27-OFFSET($BM$9,CN27+1,0,1,1))*OFFSET($CI$9,CN27+1,0,1,1))+OFFSET($BP$9,CN27+1,CQ27,1,1),IF(F27&lt;OFFSET($BN$9,CN27+2,0,1,1),((F27-OFFSET($BM$9,CN27+2,0,1,1))*OFFSET($CI$9,CN27+2,0,1,1))+OFFSET($BP$9,CN27+2,CQ27,1,1),IF(F27&lt;OFFSET($BN$9,CN27+3,0,1,1),((F27-OFFSET($BM$9,CN27+3,0,1,1))*OFFSET($CI$9,CN27+3,0,1,1))+OFFSET($BP$9,CN27+3,CQ27,1,1),0))))))</f>
        <v>0</v>
      </c>
      <c r="DJ27" s="51">
        <f ca="1">IF($F27&lt;OFFSET($BM$9,$CN27-1,0,1,1),0,IF($F27&lt;OFFSET($BN$9,$CN27-1,0,1,1),IF(AND($H27&gt;2.4,Z27&lt;&gt;"e",Z27&lt;&gt;"f"),DN27*2.4/$H27,DN27),IF($F27&lt;OFFSET($BN$9,$CN27+0,0,1,1),IF(AND($H27&gt;2.4,Z27&lt;&gt;"e",Z27&lt;&gt;"f"),DN27*2.4/$H27,DN27),IF($F27&lt;OFFSET($BN$9,$CN27+1,0,1,1),IF(AND($H27&gt;2.4,Z27&lt;&gt;"e",Z27&lt;&gt;"f"),DN27*2.4/$H27,DN27),IF($F27&lt;OFFSET($BN$9,$CN27+2,0,1,1),IF(AND($H27&gt;2.4,Z27&lt;&gt;"e",Z27&lt;&gt;"f"),DN27*2.4/$H27,DN27),IF($F27&lt;OFFSET($BN$9,$CN27+3,0,1,1),IF(AND($H27&gt;2.4,Z27&lt;&gt;"e",Z27&lt;&gt;"f"),DN27*2.4/$H27,DN27),0)))))*COS(RADIANS($G27)))</f>
        <v>0</v>
      </c>
      <c r="DK27" s="51"/>
      <c r="DL27" s="51">
        <f ca="1">IF(DG27&gt;$CR27,$CR27,DG27)</f>
        <v>0</v>
      </c>
      <c r="DM27" s="51"/>
      <c r="DN27" s="51">
        <f ca="1">IF(DI27&gt;$CR27,$CR27,DI27)</f>
        <v>0</v>
      </c>
      <c r="DO27" s="435">
        <f ca="1">IF(DH27&gt;$CR27,$CR27,DH27)</f>
        <v>0</v>
      </c>
      <c r="DP27" s="435">
        <f ca="1">DO27*F27</f>
        <v>0</v>
      </c>
      <c r="DQ27" s="436">
        <f ca="1">IF(DJ27&gt;$CR27,$CR27,DJ27)</f>
        <v>0</v>
      </c>
      <c r="DR27" s="437">
        <f ca="1">DQ27*F27</f>
        <v>0</v>
      </c>
      <c r="DS27" s="426">
        <f ca="1">OFFSET($CH$9,CL27-1,-15,1,1)</f>
        <v>0</v>
      </c>
      <c r="DT27" s="426">
        <f ca="1">VLOOKUP(DS27,Prodlink,2,0)</f>
        <v>0</v>
      </c>
      <c r="DU27" s="188">
        <f ca="1">IF(F27&lt;OFFSET($BM$9,DT27-1,0,1,1),0,IF(F27&lt;OFFSET($BN$9,DT27-1,0,1,1),((F27-OFFSET($BM$9,DT27-1,0,1,1))*OFFSET($CH$9,DT27-1,0,1,1))+OFFSET($BO$9,DT27-1,CQ27,1,1),IF(F27&lt;OFFSET($BN$9,DT27+0,0,1,1),((F27-OFFSET($BM$9,DT27+0,0,1,1))*OFFSET($CH$9,DT27+0,0,1,1))+OFFSET($BO$9,DT27+0,CQ27,1,1),IF(F27&lt;OFFSET($BN$9,DT27+1,0,1,1),((F27-OFFSET($BM$9,DT27+1,0,1,1))*OFFSET($CH$9,DT27+1,0,1,1))+OFFSET($BO$9,DT27+1,CQ27,1,1),IF(F27&lt;OFFSET($BN$9,DT27+2,0,1,1),((F27-OFFSET($BM$9,DT27+2,0,1,1))*OFFSET($CH$9,DT27+2,0,1,1))+OFFSET($BO$9,DT27+2,CQ27,1,1),IF(F27&lt;OFFSET($BN$9,DT27+3,0,1,1),((F27-OFFSET($BM$9,DT27+3,0,1,1))*OFFSET($CH$9,DT27+3,0,1,1))+OFFSET($BO$9,DT27+3,CQ27,1,1),0))))))</f>
        <v>0</v>
      </c>
      <c r="DV27" s="51">
        <f ca="1">IF($F27&lt;OFFSET($BM$9,$DT27-1,0,1,1),0,IF($F27&lt;OFFSET($BN$9,$DT27-1,0,1,1),IF(AND($H27&gt;2.4,Z27&lt;&gt;"e",Z27&lt;&gt;"f"),DZ27*2.4/$H27,DZ27),IF($F27&lt;OFFSET($BN$9,$DT27+0,0,1,1),IF(AND($H27&gt;2.4,Z27&lt;&gt;"e",Z27&lt;&gt;"f"),DZ27*2.4/$H27,DZ27),IF($F27&lt;OFFSET($BN$9,$DT27+1,0,1,1),IF(AND($H27&gt;2.4,Z27&lt;&gt;"e",Z27&lt;&gt;"f"),DZ27*2.4/$H27,DZ27),IF($F27&lt;OFFSET($BN$9,$DT27+2,0,1,1),IF(AND($H27&gt;2.4,Z27&lt;&gt;"e",Z27&lt;&gt;"f"),DZ27*2.4/$H27,DZ27),IF($F27&lt;OFFSET($BN$9,$DT27+3,0,1,1),IF(AND($H27&gt;2.4,Z27&lt;&gt;"e",Z27&lt;&gt;"f"),DZ27*2.4/$H27,DZ27),0)))))*COS(RADIANS($G27)))</f>
        <v>0</v>
      </c>
      <c r="DW27" s="188">
        <f ca="1">IF(F27&lt;OFFSET($BM$9,DT27-1,0,1,1),0,IF(F27&lt;OFFSET($BN$9,DT27-1,0,1,1),((F27-OFFSET($BM$9,DT27-1,0,1,1))*OFFSET($CI$9,DT27-1,0,1,1))+OFFSET($BP$9,DT27-1,CQ27,1,1),IF(F27&lt;OFFSET($BN$9,DT27+0,0,1,1),((F27-OFFSET($BM$9,DT27+0,0,1,1))*OFFSET($CI$9,DT27+0,0,1,1))+OFFSET($BP$9,DT27+0,CQ27,1,1),IF(F27&lt;OFFSET($BN$9,DT27+1,0,1,1),((F27-OFFSET($BM$9,DT27+1,0,1,1))*OFFSET($CI$9,DT27+1,0,1,1))+OFFSET($BP$9,DT27+1,CQ27,1,1),IF(F27&lt;OFFSET($BN$9,DT27+2,0,1,1),((F27-OFFSET($BM$9,DT27+2,0,1,1))*OFFSET($CI$9,DT27+2,0,1,1))+OFFSET($BP$9,DT27+2,CQ27,1,1),IF(F27&lt;OFFSET($BN$9,DT27+3,0,1,1),((F27-OFFSET($BM$9,DT27+3,0,1,1))*OFFSET($CI$9,DT27+3,0,1,1))+OFFSET($BP$9,DT27+3,CQ27,1,1),0))))))</f>
        <v>0</v>
      </c>
      <c r="DX27" s="51">
        <f ca="1">IF($F27&lt;OFFSET($BM$9,$DT27-1,0,1,1),0,IF($F27&lt;OFFSET($BN$9,$DT27-1,0,1,1),IF(AND($H27&gt;2.4,Z27&lt;&gt;"e",Z27&lt;&gt;"f"),EB27*2.4/$H27,EB27),IF($F27&lt;OFFSET($BN$9,$DT27+0,0,1,1),IF(AND($H27&gt;2.4,Z27&lt;&gt;"e",Z27&lt;&gt;"f"),EB27*2.4/$H27,EB27),IF($F27&lt;OFFSET($BN$9,$DT27+1,0,1,1),IF(AND($H27&gt;2.4,Z27&lt;&gt;"e",Z27&lt;&gt;"f"),EB27*2.4/$H27,EB27),IF($F27&lt;OFFSET($BN$9,$DT27+2,0,1,1),IF(AND($H27&gt;2.4,Z27&lt;&gt;"e",Z27&lt;&gt;"f"),EB27*2.4/$H27,EB27),IF($F27&lt;OFFSET($BN$9,$DT27+3,0,1,1),IF(AND($H27&gt;2.4,Z27&lt;&gt;"e",Z27&lt;&gt;"f"),EB27*2.4/$H27,EB27),0)))))*COS(RADIANS($G27)))</f>
        <v>0</v>
      </c>
      <c r="DY27" s="188"/>
      <c r="DZ27" s="188">
        <f ca="1">IF(DU27&gt;$CR27,$CR27,DU27)</f>
        <v>0</v>
      </c>
      <c r="EA27" s="188"/>
      <c r="EB27" s="188">
        <f ca="1">IF(DW27&gt;$CR27,$CR27,DW27)</f>
        <v>0</v>
      </c>
      <c r="EC27" s="435">
        <f ca="1">IF(DV27&gt;$CR27,$CR27,DV27)</f>
        <v>0</v>
      </c>
      <c r="ED27" s="435">
        <f ca="1">EC27*F27</f>
        <v>0</v>
      </c>
      <c r="EE27" s="436">
        <f ca="1">IF(DX27&gt;$CR27,$CR27,DX27)</f>
        <v>0</v>
      </c>
      <c r="EF27" s="437">
        <f ca="1">EE27*F27</f>
        <v>0</v>
      </c>
      <c r="EG27" s="613" t="str">
        <f>IF(D27=BG$12,BG$12,"")</f>
        <v/>
      </c>
      <c r="EH27" s="614" t="str">
        <f>IF(D27=BG$13,BG$13,"")</f>
        <v/>
      </c>
      <c r="EI27" s="611">
        <f>IF(EG27=BG$12,M27,0)</f>
        <v>0</v>
      </c>
      <c r="EJ27" s="451">
        <f>IF(EG27=BG$12,O27,0)</f>
        <v>0</v>
      </c>
      <c r="EK27" s="451">
        <f>IF(EH27=BG$13,M27,0)</f>
        <v>0</v>
      </c>
      <c r="EL27" s="612">
        <f>IF(EH27=BG$13,O27,0)</f>
        <v>0</v>
      </c>
      <c r="EM27" s="426" t="str">
        <f ca="1">IF(AND(Z27&lt;&gt;"t",Z27&lt;&gt;"f"),"",IF(AND(EN27=$BH$13,K27=$BH$12),"NotOpt",IF(K27&lt;&gt;EN27,"Error","")))</f>
        <v/>
      </c>
      <c r="EN27" s="490" t="str">
        <f>IF($BG$28=1,$BH$13,$BH$12)</f>
        <v>120 BU's</v>
      </c>
      <c r="EO27" s="426" t="str">
        <f>K27</f>
        <v xml:space="preserve"> </v>
      </c>
      <c r="EP27" s="430">
        <v>1</v>
      </c>
      <c r="EQ27" s="430" t="str">
        <f ca="1">IF(EP27=1," ",OFFSET(BF$16,EP27-2,0,1,1))</f>
        <v xml:space="preserve"> </v>
      </c>
      <c r="ER27" s="439" t="str">
        <f ca="1">IF(H27=0," ",H27)</f>
        <v xml:space="preserve"> </v>
      </c>
      <c r="ES27" s="440" t="str">
        <f ca="1">IF(ER27&lt;&gt;" ",IF(ER27&lt;&gt;ER$7,"Changed",""),"")</f>
        <v/>
      </c>
      <c r="ET27" s="440">
        <f ca="1">IF(ER27&lt;&gt;" ",IF(ER27&lt;&gt;ER$7,1,0),0)</f>
        <v>0</v>
      </c>
      <c r="EU27" s="957" t="str">
        <f ca="1">IF(I27=" "," ",IF(F27&lt;OFFSET($BM$9,CL27-1,0,1,1),1,""))</f>
        <v xml:space="preserve"> </v>
      </c>
      <c r="EW27" s="427"/>
      <c r="EX27"/>
      <c r="EY27"/>
      <c r="EZ27"/>
      <c r="FA27"/>
    </row>
    <row r="28" spans="2:157" ht="17.100000000000001" customHeight="1" thickBot="1">
      <c r="B28" s="689" t="s">
        <v>246</v>
      </c>
      <c r="C28" s="684" t="str">
        <f>IF(OR(F28=0,I28="",I28=" ")," ",$V28)</f>
        <v xml:space="preserve"> </v>
      </c>
      <c r="D28" s="1361"/>
      <c r="E28" s="1360" t="s">
        <v>8</v>
      </c>
      <c r="F28" s="202"/>
      <c r="G28" s="1416"/>
      <c r="H28" s="199" t="str">
        <f ca="1">IF(OR(F28=0,Z28="E",Z28="f")," ",'Project Demand'!E$45)</f>
        <v xml:space="preserve"> </v>
      </c>
      <c r="I28" s="631" t="str">
        <f>IF($I$6&lt;&gt;$BG$8," ",AB28)</f>
        <v xml:space="preserve"> </v>
      </c>
      <c r="J28" s="44" t="str">
        <f ca="1">IF(OR(I28=" ",I28="")," ",OFFSET($BO$9,CL28-1,0-4,1,1))</f>
        <v xml:space="preserve"> </v>
      </c>
      <c r="K28" s="55" t="str">
        <f>IF(OR(I28=" ",I28="")," ",IF(OR(Z28="e",Z28="h"),"SD",BG$24))</f>
        <v xml:space="preserve"> </v>
      </c>
      <c r="L28" s="49">
        <f ca="1">CW28</f>
        <v>0</v>
      </c>
      <c r="M28" s="49">
        <f ca="1">CY28</f>
        <v>0</v>
      </c>
      <c r="N28" s="50">
        <f t="shared" ca="1" si="18"/>
        <v>0</v>
      </c>
      <c r="O28" s="126">
        <f t="shared" ca="1" si="18"/>
        <v>0</v>
      </c>
      <c r="P28" s="140"/>
      <c r="Q28" s="752" t="str">
        <f ca="1">IF(AND(OR(Z28="t",Z28="f"),K28=$BH$11),"No Floor!  Change Floor Type",IF(OR(I28=" ",I28="")," ",IF(F28&lt;OFFSET($BM$9,CL28-1,0,1,1),"check L(m)",DE28&amp;IF(AND(DP28&gt;=CY28,DR28&gt;=DB28),IF(AND(ED28&gt;=DP28,EF28&gt;=DR28),CONCATENATE(DS28," will provide same result"),CONCATENATE(CO28," will provide same result")),IF((DP28&gt;=CY28),CONCATENATE(CO28," provides same result in WIND"),IF((DR28&gt;=DB28),CONCATENATE(CO28," provides same result in EQ"),""))))))&amp;IF(ISERROR(FIND("pile",I28,1)),"",IF(INT(F28)&lt;&gt;F28,"Pile!  Use Whole Numbers Only",""))</f>
        <v xml:space="preserve"> </v>
      </c>
      <c r="R28" s="52"/>
      <c r="S28" s="1372"/>
      <c r="T28" s="1372"/>
      <c r="U28" s="1377"/>
      <c r="V28" s="52" t="str">
        <f ca="1">IF(AND(B$5=$BF$9,OR(I28=BH$16,I28=BH$17))," ",IF(ISNUMBER(B$26),(CONCATENATE(B$26,".",W28)),(CONCATENATE(B$26,W28))))</f>
        <v>P0</v>
      </c>
      <c r="W28" s="9">
        <f ca="1">W27+X28</f>
        <v>0</v>
      </c>
      <c r="X28" s="9">
        <f>IF(AND(B$5=$BF$9,OR($I28=$BH$16,$I28=$BH$17,$I28=" ",$I28="",$F28=0)),0,IF(OR($I28=" ",$I28="",$F28=0),0,1))</f>
        <v>0</v>
      </c>
      <c r="Y28" s="896"/>
      <c r="Z28" s="52" t="str">
        <f ca="1">IF(I28=" "," ",OFFSET($BM$9,$CL28-1,8,1,1))</f>
        <v xml:space="preserve"> </v>
      </c>
      <c r="AA28" s="51" t="str">
        <f>IF(G28&gt;=45,"WA","")</f>
        <v/>
      </c>
      <c r="AB28" s="1364" t="str">
        <f>IF(F28&lt;&gt;"",IF(OR(D28=$BG$12,D28=$BG$13),IF(E28&lt;&gt;$BG$17,$BF$12,$BF$13),IF(E28&lt;&gt;$BG$17,$BF$12,$BF$13))," ")</f>
        <v xml:space="preserve"> </v>
      </c>
      <c r="AC28" s="1"/>
      <c r="AJ28" s="2230"/>
      <c r="AK28" s="2779"/>
      <c r="AL28" s="2785"/>
      <c r="AM28" s="1177">
        <f>'Regular and QuickBrace Systems'!F43</f>
        <v>1.2</v>
      </c>
      <c r="AN28" s="1274">
        <f>'Regular and QuickBrace Systems'!G43</f>
        <v>98</v>
      </c>
      <c r="AO28" s="1275">
        <f>'Regular and QuickBrace Systems'!H43</f>
        <v>88</v>
      </c>
      <c r="AP28" s="1277"/>
      <c r="AQ28" s="2665"/>
      <c r="AR28" s="2666"/>
      <c r="AS28" s="2032"/>
      <c r="AT28" s="1339"/>
      <c r="AU28" s="2132"/>
      <c r="AW28" s="1570" t="str">
        <f>'Regular and QuickBrace Systems'!O43</f>
        <v>Yes</v>
      </c>
      <c r="AX28" s="1574" t="str">
        <f>'Regular and QuickBrace Systems'!Q43</f>
        <v>No</v>
      </c>
      <c r="BA28"/>
      <c r="BB28"/>
      <c r="BC28"/>
      <c r="BD28" s="635"/>
      <c r="BF28" s="599" t="str">
        <f>'Custom Elements'!C12</f>
        <v>Custom4</v>
      </c>
      <c r="BG28" s="962">
        <f>'Project Demand'!AQ9</f>
        <v>2</v>
      </c>
      <c r="BH28" s="963">
        <f>'Project Demand'!AQ6</f>
        <v>2</v>
      </c>
      <c r="BI28" s="759"/>
      <c r="BJ28" s="897">
        <f t="shared" si="3"/>
        <v>20</v>
      </c>
      <c r="BK28" s="769" t="str">
        <f t="shared" si="6"/>
        <v xml:space="preserve">  </v>
      </c>
      <c r="BL28" s="960" t="str">
        <f t="shared" si="7"/>
        <v>Custom17</v>
      </c>
      <c r="BM28" s="455">
        <f t="shared" si="8"/>
        <v>9.9999999999999996E-76</v>
      </c>
      <c r="BN28" s="455">
        <v>999</v>
      </c>
      <c r="BO28" s="455">
        <f t="shared" si="9"/>
        <v>0</v>
      </c>
      <c r="BP28" s="925">
        <f t="shared" si="10"/>
        <v>0</v>
      </c>
      <c r="BR28" s="764"/>
      <c r="BS28" s="455"/>
      <c r="BT28" s="455" t="str">
        <f t="shared" si="11"/>
        <v>B</v>
      </c>
      <c r="BU28" s="925" t="str">
        <f t="shared" si="12"/>
        <v>T</v>
      </c>
      <c r="BV28" s="1239" t="str">
        <f t="shared" si="13"/>
        <v>Custom17</v>
      </c>
      <c r="BW28" s="1236">
        <f t="shared" si="16"/>
        <v>20</v>
      </c>
      <c r="BX28" s="925" t="str">
        <f t="shared" si="14"/>
        <v>Single</v>
      </c>
      <c r="CH28" s="764">
        <f t="shared" si="4"/>
        <v>0</v>
      </c>
      <c r="CI28" s="925">
        <f t="shared" si="5"/>
        <v>0</v>
      </c>
      <c r="CJ28" s="759"/>
      <c r="CK28" s="188"/>
      <c r="CL28" s="979">
        <f>VLOOKUP(I28,Prodlink,2,0)</f>
        <v>0</v>
      </c>
      <c r="CN28" s="497">
        <f ca="1">VLOOKUP(CO28,Prodlink,2,0)</f>
        <v>0</v>
      </c>
      <c r="CO28" s="497">
        <f ca="1">OFFSET($CH$9,CL28-1,-15,1,1)</f>
        <v>0</v>
      </c>
      <c r="CQ28" s="51">
        <v>0</v>
      </c>
      <c r="CR28" s="51">
        <f>IF(K28=$BH$12,$BH$23,IF(K28=$BH$13,$BH$24,10000))</f>
        <v>10000</v>
      </c>
      <c r="CS28" s="51">
        <f ca="1">IF(F28&lt;OFFSET($BM$9,CL28-1,0,1,1),0,IF(F28&lt;OFFSET($BN$9,CL28-1,0,1,1),((F28-OFFSET($BM$9,CL28-1,0,1,1))*OFFSET($CH$9,CL28-1,0,1,1))+OFFSET($BO$9,CL28-1,CQ28,1,1),IF(F28&lt;OFFSET($BN$9,CL28+0,0,1,1),((F28-OFFSET($BM$9,CL28+0,0,1,1))*OFFSET($CH$9,CL28+0,0,1,1))+OFFSET($BO$9,CL28+0,CQ28,1,1),IF(F28&lt;OFFSET($BN$9,CL28+1,0,1,1),((F28-OFFSET($BM$9,CL28+1,0,1,1))*OFFSET($CH$9,CL28+1,0,1,1))+OFFSET($BO$9,CL28+1,CQ28,1,1),IF(F28&lt;OFFSET($BN$9,CL28+2,0,1,1),((F28-OFFSET($BM$9,CL28+2,0,1,1))*OFFSET($CH$9,CL28+2,0,1,1))+OFFSET($BO$9,CL28+2,CQ28,1,1),IF(F28&lt;OFFSET($BN$9,CL28+3,0,1,1),((F28-OFFSET($BM$9,CL28+3,0,1,1))*OFFSET($CH$9,CL28+3,0,1,1))+OFFSET($BO$9,CL28+3,CQ28,1,1),0))))))</f>
        <v>0</v>
      </c>
      <c r="CT28" s="51">
        <f ca="1">IF($F28&lt;OFFSET($BM$9,$CL28-1,0,1,1),0,IF($F28&lt;OFFSET($BN$9,$CL28-1,0,1,1),IF(AND($H28&gt;2.4,Z28&lt;&gt;"e",Z28&lt;&gt;"f"),CX28*2.4/$H28,CX28),IF($F28&lt;OFFSET($BN$9,$CL28+0,0,1,1),IF(AND($H28&gt;2.4,Z28&lt;&gt;"e",Z28&lt;&gt;"f"),CX28*2.4/$H28,CX28),IF($F28&lt;OFFSET($BN$9,$CL28+1,0,1,1),IF(AND($H28&gt;2.4,Z28&lt;&gt;"e",Z28&lt;&gt;"f"),CX28*2.4/$H28,CX28),IF($F28&lt;OFFSET($BN$9,CL28+2,0,1,1),IF(AND($H28&gt;2.4,Z28&lt;&gt;"e",Z28&lt;&gt;"f"),CX28*2.4/$H28,CX28),IF($F28&lt;OFFSET($BN$9,CL28+3,0,1,1),IF(AND($H28&gt;2.4,Z28&lt;&gt;"e",Z28&lt;&gt;"f"),CX28*2.4/$H28,CX28),0)))))*COS(RADIANS($G28)))</f>
        <v>0</v>
      </c>
      <c r="CU28" s="51">
        <f ca="1">IF(F28&lt;OFFSET($BM$9,CL28-1,0,1,1),0,IF(F28&lt;OFFSET($BN$9,CL28-1,0,1,1),((F28-OFFSET($BM$9,CL28-1,0,1,1))*OFFSET($CI$9,CL28-1,0,1,1))+OFFSET($BP$9,CL28-1,CQ28,1,1),IF(F28&lt;OFFSET($BN$9,CL28+0,0,1,1),((F28-OFFSET($BM$9,CL28+0,0,1,1))*OFFSET($CI$9,CL28+0,0,1,1))+OFFSET($BP$9,CL28+0,CQ28,1,1),IF(F28&lt;OFFSET($BN$9,CL28+1,0,1,1),((F28-OFFSET($BM$9,CL28+1,0,1,1))*OFFSET($CI$9,CL28+1,0,1,1))+OFFSET($BP$9,CL28+1,CQ28,1,1),IF(F28&lt;OFFSET($BN$9,CL28+2,0,1,1),((F28-OFFSET($BM$9,CL28+2,0,1,1))*OFFSET($CI$9,CL28+2,0,1,1))+OFFSET($BP$9,CL28+2,CQ28,1,1),IF(F28&lt;OFFSET($BN$9,CL28+3,0,1,1),((F28-OFFSET($BM$9,CL28+3,0,1,1))*OFFSET($CI$9,CL28+3,0,1,1))+OFFSET($BP$9,CL28+3,CQ28,1,1),0))))))</f>
        <v>0</v>
      </c>
      <c r="CV28" s="51">
        <f ca="1">IF($F28&lt;OFFSET($BM$9,$CL28-1,0,1,1),0,IF($F28&lt;OFFSET($BN$9,$CL28-1,0,1,1),IF(AND($H28&gt;2.4,Z28&lt;&gt;"e",Z28&lt;&gt;"f"),CZ28*2.4/$H28,CZ28),IF($F28&lt;OFFSET($BN$9,$CL28+0,0,1,1),IF(AND($H28&gt;2.4,Z28&lt;&gt;"e",Z28&lt;&gt;"f"),CZ28*2.4/$H28,CZ28),IF($F28&lt;OFFSET($BN$9,$CL28+1,0,1,1),IF(AND($H28&gt;2.4,Z28&lt;&gt;"e",Z28&lt;&gt;"f"),CZ28*2.4/$H28,CZ28),IF($F28&lt;OFFSET($BN$9,$CL28+2,0,1,1),IF(AND($H28&gt;2.4,Z28&lt;&gt;"e",Z28&lt;&gt;"f"),CZ28*2.4/$H28,CZ28),IF($F28&lt;OFFSET($BN$9,$CL28+3,0,1,1),IF(AND($H28&gt;2.4,Z28&lt;&gt;"e",Z28&lt;&gt;"f"),CZ28*2.4/$H28,CZ28),0)))))*COS(RADIANS($G28)))</f>
        <v>0</v>
      </c>
      <c r="CW28" s="51">
        <f ca="1">IF(CT28&gt;CR28,CR28,CT28)</f>
        <v>0</v>
      </c>
      <c r="CX28" s="51">
        <f ca="1">IF(CS28&gt;$CR28,$CR28,CS28)</f>
        <v>0</v>
      </c>
      <c r="CY28" s="51">
        <f ca="1">CW28*F28</f>
        <v>0</v>
      </c>
      <c r="CZ28" s="51">
        <f ca="1">IF($CU28&gt;$CR28,$CR28,$CU28)</f>
        <v>0</v>
      </c>
      <c r="DA28" s="51">
        <f ca="1">IF(CV28&gt;CR28,CR28,CV28)</f>
        <v>0</v>
      </c>
      <c r="DB28" s="51">
        <f ca="1">DA28*F28</f>
        <v>0</v>
      </c>
      <c r="DC28" s="993">
        <v>1</v>
      </c>
      <c r="DD28" s="758" t="str">
        <f>IF(OR(D28=BG$12,D28=BG$13),"External",IF(D28=BG$14,"Internal"," "))</f>
        <v xml:space="preserve"> </v>
      </c>
      <c r="DE28" s="51" t="str">
        <f t="shared" ca="1" si="1"/>
        <v/>
      </c>
      <c r="DF28" s="52" t="str">
        <f t="shared" ca="1" si="2"/>
        <v xml:space="preserve"> </v>
      </c>
      <c r="DG28" s="51">
        <f ca="1">IF(F28&lt;OFFSET($BM$9,CN28-1,0,1,1),0,IF(F28&lt;OFFSET($BN$9,CN28-1,0,1,1),((F28-OFFSET($BM$9,CN28-1,0,1,1))*OFFSET($CH$9,CN28-1,0,1,1))+OFFSET($BO$9,CN28-1,CQ28,1,1),IF(F28&lt;OFFSET($BN$9,CN28+0,0,1,1),((F28-OFFSET($BM$9,CN28+0,0,1,1))*OFFSET($CH$9,CN28+0,0,1,1))+OFFSET($BO$9,CN28+0,CQ28,1,1),IF(F28&lt;OFFSET($BN$9,CN28+1,0,1,1),((F28-OFFSET($BM$9,CN28+1,0,1,1))*OFFSET($CH$9,CN28+1,0,1,1))+OFFSET($BO$9,CN28+1,CQ28,1,1),IF(F28&lt;OFFSET($BN$9,CN28+2,0,1,1),((F28-OFFSET($BM$9,CN28+2,0,1,1))*OFFSET($CH$9,CN28+2,0,1,1))+OFFSET($BO$9,CN28+2,CQ28,1,1),IF(F28&lt;OFFSET($BN$9,CN28+3,0,1,1),((F28-OFFSET($BM$9,CN28+3,0,1,1))*OFFSET($CH$9,CN28+3,0,1,1))+OFFSET($BO$9,CN28+3,CQ28,1,1),0))))))</f>
        <v>0</v>
      </c>
      <c r="DH28" s="51">
        <f ca="1">IF($F28&lt;OFFSET($BM$9,$CN28-1,0,1,1),0,IF($F28&lt;OFFSET($BN$9,$CN28-1,0,1,1),IF(AND($H28&gt;2.4,Z28&lt;&gt;"e",Z28&lt;&gt;"f"),DL28*2.4/$H28,DL28),IF($F28&lt;OFFSET($BN$9,$CN28+0,0,1,1),IF(AND($H28&gt;2.4,Z28&lt;&gt;"e",Z28&lt;&gt;"f"),DL28*2.4/$H28,DL28),IF($F28&lt;OFFSET($BN$9,$CN28+1,0,1,1),IF(AND($H28&gt;2.4,Z28&lt;&gt;"e",Z28&lt;&gt;"f"),DL28*2.4/$H28,DL28),IF($F28&lt;OFFSET($BN$9,$CN28+2,0,1,1),IF(AND($H28&gt;2.4,Z28&lt;&gt;"e",Z28&lt;&gt;"f"),DL28*2.4/$H28,DL28),IF($F28&lt;OFFSET($BN$9,$CN28+3,0,1,1),IF(AND($H28&gt;2.4,Z28&lt;&gt;"e",Z28&lt;&gt;"f"),DL28*2.4/$H28,DL28),0)))))*COS(RADIANS($G28)))</f>
        <v>0</v>
      </c>
      <c r="DI28" s="51">
        <f ca="1">IF(F28&lt;OFFSET($BM$9,CN28-1,0,1,1),0,IF(F28&lt;OFFSET($BN$9,CN28-1,0,1,1),((F28-OFFSET($BM$9,CN28-1,0,1,1))*OFFSET($CI$9,CN28-1,0,1,1))+OFFSET($BP$9,CN28-1,CQ28,1,1),IF(F28&lt;OFFSET($BN$9,CN28+0,0,1,1),((F28-OFFSET($BM$9,CN28+0,0,1,1))*OFFSET($CI$9,CN28+0,0,1,1))+OFFSET($BP$9,CN28+0,CQ28,1,1),IF(F28&lt;OFFSET($BN$9,CN28+1,0,1,1),((F28-OFFSET($BM$9,CN28+1,0,1,1))*OFFSET($CI$9,CN28+1,0,1,1))+OFFSET($BP$9,CN28+1,CQ28,1,1),IF(F28&lt;OFFSET($BN$9,CN28+2,0,1,1),((F28-OFFSET($BM$9,CN28+2,0,1,1))*OFFSET($CI$9,CN28+2,0,1,1))+OFFSET($BP$9,CN28+2,CQ28,1,1),IF(F28&lt;OFFSET($BN$9,CN28+3,0,1,1),((F28-OFFSET($BM$9,CN28+3,0,1,1))*OFFSET($CI$9,CN28+3,0,1,1))+OFFSET($BP$9,CN28+3,CQ28,1,1),0))))))</f>
        <v>0</v>
      </c>
      <c r="DJ28" s="51">
        <f ca="1">IF($F28&lt;OFFSET($BM$9,$CN28-1,0,1,1),0,IF($F28&lt;OFFSET($BN$9,$CN28-1,0,1,1),IF(AND($H28&gt;2.4,Z28&lt;&gt;"e",Z28&lt;&gt;"f"),DN28*2.4/$H28,DN28),IF($F28&lt;OFFSET($BN$9,$CN28+0,0,1,1),IF(AND($H28&gt;2.4,Z28&lt;&gt;"e",Z28&lt;&gt;"f"),DN28*2.4/$H28,DN28),IF($F28&lt;OFFSET($BN$9,$CN28+1,0,1,1),IF(AND($H28&gt;2.4,Z28&lt;&gt;"e",Z28&lt;&gt;"f"),DN28*2.4/$H28,DN28),IF($F28&lt;OFFSET($BN$9,$CN28+2,0,1,1),IF(AND($H28&gt;2.4,Z28&lt;&gt;"e",Z28&lt;&gt;"f"),DN28*2.4/$H28,DN28),IF($F28&lt;OFFSET($BN$9,$CN28+3,0,1,1),IF(AND($H28&gt;2.4,Z28&lt;&gt;"e",Z28&lt;&gt;"f"),DN28*2.4/$H28,DN28),0)))))*COS(RADIANS($G28)))</f>
        <v>0</v>
      </c>
      <c r="DK28" s="51"/>
      <c r="DL28" s="51">
        <f ca="1">IF(DG28&gt;$CR28,$CR28,DG28)</f>
        <v>0</v>
      </c>
      <c r="DM28" s="51"/>
      <c r="DN28" s="51">
        <f ca="1">IF(DI28&gt;$CR28,$CR28,DI28)</f>
        <v>0</v>
      </c>
      <c r="DO28" s="435">
        <f ca="1">IF(DH28&gt;$CR28,$CR28,DH28)</f>
        <v>0</v>
      </c>
      <c r="DP28" s="435">
        <f ca="1">DO28*F28</f>
        <v>0</v>
      </c>
      <c r="DQ28" s="436">
        <f ca="1">IF(DJ28&gt;$CR28,$CR28,DJ28)</f>
        <v>0</v>
      </c>
      <c r="DR28" s="437">
        <f ca="1">DQ28*F28</f>
        <v>0</v>
      </c>
      <c r="DS28" s="426">
        <f ca="1">OFFSET($CH$9,CL28-1,-15,1,1)</f>
        <v>0</v>
      </c>
      <c r="DT28" s="426">
        <f ca="1">VLOOKUP(DS28,Prodlink,2,0)</f>
        <v>0</v>
      </c>
      <c r="DU28" s="188">
        <f ca="1">IF(F28&lt;OFFSET($BM$9,DT28-1,0,1,1),0,IF(F28&lt;OFFSET($BN$9,DT28-1,0,1,1),((F28-OFFSET($BM$9,DT28-1,0,1,1))*OFFSET($CH$9,DT28-1,0,1,1))+OFFSET($BO$9,DT28-1,CQ28,1,1),IF(F28&lt;OFFSET($BN$9,DT28+0,0,1,1),((F28-OFFSET($BM$9,DT28+0,0,1,1))*OFFSET($CH$9,DT28+0,0,1,1))+OFFSET($BO$9,DT28+0,CQ28,1,1),IF(F28&lt;OFFSET($BN$9,DT28+1,0,1,1),((F28-OFFSET($BM$9,DT28+1,0,1,1))*OFFSET($CH$9,DT28+1,0,1,1))+OFFSET($BO$9,DT28+1,CQ28,1,1),IF(F28&lt;OFFSET($BN$9,DT28+2,0,1,1),((F28-OFFSET($BM$9,DT28+2,0,1,1))*OFFSET($CH$9,DT28+2,0,1,1))+OFFSET($BO$9,DT28+2,CQ28,1,1),IF(F28&lt;OFFSET($BN$9,DT28+3,0,1,1),((F28-OFFSET($BM$9,DT28+3,0,1,1))*OFFSET($CH$9,DT28+3,0,1,1))+OFFSET($BO$9,DT28+3,CQ28,1,1),0))))))</f>
        <v>0</v>
      </c>
      <c r="DV28" s="51">
        <f ca="1">IF($F28&lt;OFFSET($BM$9,$DT28-1,0,1,1),0,IF($F28&lt;OFFSET($BN$9,$DT28-1,0,1,1),IF(AND($H28&gt;2.4,Z28&lt;&gt;"e",Z28&lt;&gt;"f"),DZ28*2.4/$H28,DZ28),IF($F28&lt;OFFSET($BN$9,$DT28+0,0,1,1),IF(AND($H28&gt;2.4,Z28&lt;&gt;"e",Z28&lt;&gt;"f"),DZ28*2.4/$H28,DZ28),IF($F28&lt;OFFSET($BN$9,$DT28+1,0,1,1),IF(AND($H28&gt;2.4,Z28&lt;&gt;"e",Z28&lt;&gt;"f"),DZ28*2.4/$H28,DZ28),IF($F28&lt;OFFSET($BN$9,$DT28+2,0,1,1),IF(AND($H28&gt;2.4,Z28&lt;&gt;"e",Z28&lt;&gt;"f"),DZ28*2.4/$H28,DZ28),IF($F28&lt;OFFSET($BN$9,$DT28+3,0,1,1),IF(AND($H28&gt;2.4,Z28&lt;&gt;"e",Z28&lt;&gt;"f"),DZ28*2.4/$H28,DZ28),0)))))*COS(RADIANS($G28)))</f>
        <v>0</v>
      </c>
      <c r="DW28" s="188">
        <f ca="1">IF(F28&lt;OFFSET($BM$9,DT28-1,0,1,1),0,IF(F28&lt;OFFSET($BN$9,DT28-1,0,1,1),((F28-OFFSET($BM$9,DT28-1,0,1,1))*OFFSET($CI$9,DT28-1,0,1,1))+OFFSET($BP$9,DT28-1,CQ28,1,1),IF(F28&lt;OFFSET($BN$9,DT28+0,0,1,1),((F28-OFFSET($BM$9,DT28+0,0,1,1))*OFFSET($CI$9,DT28+0,0,1,1))+OFFSET($BP$9,DT28+0,CQ28,1,1),IF(F28&lt;OFFSET($BN$9,DT28+1,0,1,1),((F28-OFFSET($BM$9,DT28+1,0,1,1))*OFFSET($CI$9,DT28+1,0,1,1))+OFFSET($BP$9,DT28+1,CQ28,1,1),IF(F28&lt;OFFSET($BN$9,DT28+2,0,1,1),((F28-OFFSET($BM$9,DT28+2,0,1,1))*OFFSET($CI$9,DT28+2,0,1,1))+OFFSET($BP$9,DT28+2,CQ28,1,1),IF(F28&lt;OFFSET($BN$9,DT28+3,0,1,1),((F28-OFFSET($BM$9,DT28+3,0,1,1))*OFFSET($CI$9,DT28+3,0,1,1))+OFFSET($BP$9,DT28+3,CQ28,1,1),0))))))</f>
        <v>0</v>
      </c>
      <c r="DX28" s="51">
        <f ca="1">IF($F28&lt;OFFSET($BM$9,$DT28-1,0,1,1),0,IF($F28&lt;OFFSET($BN$9,$DT28-1,0,1,1),IF(AND($H28&gt;2.4,Z28&lt;&gt;"e",Z28&lt;&gt;"f"),EB28*2.4/$H28,EB28),IF($F28&lt;OFFSET($BN$9,$DT28+0,0,1,1),IF(AND($H28&gt;2.4,Z28&lt;&gt;"e",Z28&lt;&gt;"f"),EB28*2.4/$H28,EB28),IF($F28&lt;OFFSET($BN$9,$DT28+1,0,1,1),IF(AND($H28&gt;2.4,Z28&lt;&gt;"e",Z28&lt;&gt;"f"),EB28*2.4/$H28,EB28),IF($F28&lt;OFFSET($BN$9,$DT28+2,0,1,1),IF(AND($H28&gt;2.4,Z28&lt;&gt;"e",Z28&lt;&gt;"f"),EB28*2.4/$H28,EB28),IF($F28&lt;OFFSET($BN$9,$DT28+3,0,1,1),IF(AND($H28&gt;2.4,Z28&lt;&gt;"e",Z28&lt;&gt;"f"),EB28*2.4/$H28,EB28),0)))))*COS(RADIANS($G28)))</f>
        <v>0</v>
      </c>
      <c r="DY28" s="188"/>
      <c r="DZ28" s="188">
        <f ca="1">IF(DU28&gt;$CR28,$CR28,DU28)</f>
        <v>0</v>
      </c>
      <c r="EA28" s="188"/>
      <c r="EB28" s="188">
        <f ca="1">IF(DW28&gt;$CR28,$CR28,DW28)</f>
        <v>0</v>
      </c>
      <c r="EC28" s="435">
        <f ca="1">IF(DV28&gt;$CR28,$CR28,DV28)</f>
        <v>0</v>
      </c>
      <c r="ED28" s="435">
        <f ca="1">EC28*F28</f>
        <v>0</v>
      </c>
      <c r="EE28" s="436">
        <f ca="1">IF(DX28&gt;$CR28,$CR28,DX28)</f>
        <v>0</v>
      </c>
      <c r="EF28" s="437">
        <f ca="1">EE28*F28</f>
        <v>0</v>
      </c>
      <c r="EG28" s="613" t="str">
        <f>IF(D28=BG$12,BG$12,"")</f>
        <v/>
      </c>
      <c r="EH28" s="614" t="str">
        <f>IF(D28=BG$13,BG$13,"")</f>
        <v/>
      </c>
      <c r="EI28" s="611">
        <f>IF(EG28=BG$12,M28,0)</f>
        <v>0</v>
      </c>
      <c r="EJ28" s="451">
        <f>IF(EG28=BG$12,O28,0)</f>
        <v>0</v>
      </c>
      <c r="EK28" s="451">
        <f>IF(EH28=BG$13,M28,0)</f>
        <v>0</v>
      </c>
      <c r="EL28" s="612">
        <f>IF(EH28=BG$13,O28,0)</f>
        <v>0</v>
      </c>
      <c r="EM28" s="426" t="str">
        <f ca="1">IF(AND(Z28&lt;&gt;"t",Z28&lt;&gt;"f"),"",IF(AND(EN28=$BH$13,K28=$BH$12),"NotOpt",IF(K28&lt;&gt;EN28,"Error","")))</f>
        <v/>
      </c>
      <c r="EN28" s="490" t="str">
        <f>IF($BG$28=1,$BH$13,$BH$12)</f>
        <v>120 BU's</v>
      </c>
      <c r="EO28" s="426" t="str">
        <f>K28</f>
        <v xml:space="preserve"> </v>
      </c>
      <c r="EP28" s="430">
        <v>1</v>
      </c>
      <c r="EQ28" s="430" t="str">
        <f ca="1">IF(EP28=1," ",OFFSET(BF$16,EP28-2,0,1,1))</f>
        <v xml:space="preserve"> </v>
      </c>
      <c r="ER28" s="439" t="str">
        <f ca="1">IF(H28=0," ",H28)</f>
        <v xml:space="preserve"> </v>
      </c>
      <c r="ES28" s="440" t="str">
        <f ca="1">IF(ER28&lt;&gt;" ",IF(ER28&lt;&gt;ER$7,"Changed",""),"")</f>
        <v/>
      </c>
      <c r="ET28" s="440">
        <f ca="1">IF(ER28&lt;&gt;" ",IF(ER28&lt;&gt;ER$7,1,0),0)</f>
        <v>0</v>
      </c>
      <c r="EU28" s="957" t="str">
        <f ca="1">IF(I28=" "," ",IF(F28&lt;OFFSET($BM$9,CL28-1,0,1,1),1,""))</f>
        <v xml:space="preserve"> </v>
      </c>
      <c r="EW28" s="427"/>
      <c r="EX28"/>
      <c r="EY28"/>
      <c r="EZ28"/>
      <c r="FA28"/>
    </row>
    <row r="29" spans="2:157" ht="17.100000000000001" customHeight="1">
      <c r="B29" s="689" t="s">
        <v>246</v>
      </c>
      <c r="C29" s="684" t="str">
        <f>IF(OR(F29=0,I29="",I29=" ")," ",$V29)</f>
        <v xml:space="preserve"> </v>
      </c>
      <c r="D29" s="1033"/>
      <c r="E29" s="1360" t="s">
        <v>8</v>
      </c>
      <c r="F29" s="202"/>
      <c r="G29" s="1416"/>
      <c r="H29" s="199" t="str">
        <f ca="1">IF(OR(F29=0,Z29="E",Z29="f")," ",'Project Demand'!E$45)</f>
        <v xml:space="preserve"> </v>
      </c>
      <c r="I29" s="631" t="str">
        <f>IF($I$6&lt;&gt;$BG$8," ",AB29)</f>
        <v xml:space="preserve"> </v>
      </c>
      <c r="J29" s="44" t="str">
        <f ca="1">IF(OR(I29=" ",I29="")," ",OFFSET($BO$9,CL29-1,0-4,1,1))</f>
        <v xml:space="preserve"> </v>
      </c>
      <c r="K29" s="55" t="str">
        <f>IF(OR(I29=" ",I29="")," ",IF(OR(Z29="e",Z29="h"),"SD",BG$24))</f>
        <v xml:space="preserve"> </v>
      </c>
      <c r="L29" s="49">
        <f ca="1">CW29</f>
        <v>0</v>
      </c>
      <c r="M29" s="49">
        <f ca="1">CY29</f>
        <v>0</v>
      </c>
      <c r="N29" s="50">
        <f t="shared" ca="1" si="18"/>
        <v>0</v>
      </c>
      <c r="O29" s="126">
        <f t="shared" ca="1" si="18"/>
        <v>0</v>
      </c>
      <c r="P29" s="140"/>
      <c r="Q29" s="752" t="str">
        <f ca="1">IF(AND(OR(Z29="t",Z29="f"),K29=$BH$11),"No Floor!  Change Floor Type",IF(OR(I29=" ",I29="")," ",IF(F29&lt;OFFSET($BM$9,CL29-1,0,1,1),"check L(m)",DE29&amp;IF(AND(DP29&gt;=CY29,DR29&gt;=DB29),IF(AND(ED29&gt;=DP29,EF29&gt;=DR29),CONCATENATE(DS29," will provide same result"),CONCATENATE(CO29," will provide same result")),IF((DP29&gt;=CY29),CONCATENATE(CO29," provides same result in WIND"),IF((DR29&gt;=DB29),CONCATENATE(CO29," provides same result in EQ"),""))))))&amp;IF(ISERROR(FIND("pile",I29,1)),"",IF(INT(F29)&lt;&gt;F29,"Pile!  Use Whole Numbers Only",""))</f>
        <v xml:space="preserve"> </v>
      </c>
      <c r="R29" s="52"/>
      <c r="S29" s="1372"/>
      <c r="T29" s="1372"/>
      <c r="U29" s="1377"/>
      <c r="V29" s="52" t="str">
        <f ca="1">IF(AND(B$5=$BF$9,OR(I29=BH$16,I29=BH$17))," ",IF(ISNUMBER(B$26),(CONCATENATE(B$26,".",W29)),(CONCATENATE(B$26,W29))))</f>
        <v>P0</v>
      </c>
      <c r="W29" s="9">
        <f ca="1">W28+X29</f>
        <v>0</v>
      </c>
      <c r="X29" s="9">
        <f>IF(AND(B$5=$BF$9,OR($I29=$BH$16,$I29=$BH$17,$I29=" ",$I29="",$F29=0)),0,IF(OR($I29=" ",$I29="",$F29=0),0,1))</f>
        <v>0</v>
      </c>
      <c r="Y29" s="896"/>
      <c r="Z29" s="52" t="str">
        <f ca="1">IF(I29=" "," ",OFFSET($BM$9,$CL29-1,8,1,1))</f>
        <v xml:space="preserve"> </v>
      </c>
      <c r="AA29" s="51" t="str">
        <f>IF(G29&gt;=45,"WA","")</f>
        <v/>
      </c>
      <c r="AB29" s="1364" t="str">
        <f>IF(F29&lt;&gt;"",IF(OR(D29=$BG$12,D29=$BG$13),IF(E29&lt;&gt;$BG$17,$BF$12,$BF$13),IF(E29&lt;&gt;$BG$17,$BF$12,$BF$13))," ")</f>
        <v xml:space="preserve"> </v>
      </c>
      <c r="AC29" s="1"/>
      <c r="AJ29" s="2230"/>
      <c r="AK29" s="2779"/>
      <c r="AL29" s="2783" t="str">
        <f>'Regular and QuickBrace Systems'!E44</f>
        <v>ESSH</v>
      </c>
      <c r="AM29" s="1176">
        <f>'Regular and QuickBrace Systems'!F44</f>
        <v>0.4</v>
      </c>
      <c r="AN29" s="1272">
        <f>'Regular and QuickBrace Systems'!G44</f>
        <v>95</v>
      </c>
      <c r="AO29" s="1273">
        <f>'Regular and QuickBrace Systems'!H44</f>
        <v>109</v>
      </c>
      <c r="AP29" s="1594"/>
      <c r="AQ29" s="2661" t="str">
        <f>'Regular and QuickBrace Systems'!I41</f>
        <v>Specialised QuickBrace Pattern</v>
      </c>
      <c r="AR29" s="2662"/>
      <c r="AS29" s="2030" t="str">
        <f>'Regular and QuickBrace Systems'!K44</f>
        <v>Yes</v>
      </c>
      <c r="AT29" s="1339"/>
      <c r="AU29" s="2131" t="str">
        <f>'Regular and QuickBrace Systems'!M44</f>
        <v>Elephant Standard-Plus board Both sides</v>
      </c>
      <c r="AW29" s="1567" t="str">
        <f>'Regular and QuickBrace Systems'!O44</f>
        <v>Yes</v>
      </c>
      <c r="AX29" s="1573" t="str">
        <f>'Regular and QuickBrace Systems'!Q44</f>
        <v>No</v>
      </c>
      <c r="BA29"/>
      <c r="BB29"/>
      <c r="BC29"/>
      <c r="BD29" s="2648"/>
      <c r="BF29" s="599" t="str">
        <f>'Custom Elements'!C13</f>
        <v>Custom5</v>
      </c>
      <c r="BI29" s="759"/>
      <c r="BJ29" s="897">
        <f t="shared" si="3"/>
        <v>21</v>
      </c>
      <c r="BK29" s="769" t="str">
        <f t="shared" si="6"/>
        <v xml:space="preserve">  </v>
      </c>
      <c r="BL29" s="771" t="str">
        <f t="shared" si="7"/>
        <v>Custom18</v>
      </c>
      <c r="BM29" s="455">
        <f t="shared" si="8"/>
        <v>9.9999999999999996E-76</v>
      </c>
      <c r="BN29" s="455">
        <v>999</v>
      </c>
      <c r="BO29" s="455">
        <f t="shared" si="9"/>
        <v>0</v>
      </c>
      <c r="BP29" s="925">
        <f t="shared" si="10"/>
        <v>0</v>
      </c>
      <c r="BR29" s="764"/>
      <c r="BS29" s="455"/>
      <c r="BT29" s="455" t="str">
        <f t="shared" si="11"/>
        <v>B</v>
      </c>
      <c r="BU29" s="925" t="str">
        <f t="shared" si="12"/>
        <v>T</v>
      </c>
      <c r="BV29" s="1239" t="str">
        <f t="shared" si="13"/>
        <v>Custom18</v>
      </c>
      <c r="BW29" s="1236">
        <f t="shared" si="16"/>
        <v>21</v>
      </c>
      <c r="BX29" s="925" t="str">
        <f t="shared" si="14"/>
        <v>Single</v>
      </c>
      <c r="CH29" s="764">
        <f t="shared" si="4"/>
        <v>0</v>
      </c>
      <c r="CI29" s="925">
        <f t="shared" si="5"/>
        <v>0</v>
      </c>
      <c r="CJ29" s="759"/>
      <c r="CK29" s="188"/>
      <c r="CL29" s="979">
        <f>VLOOKUP(I29,Prodlink,2,0)</f>
        <v>0</v>
      </c>
      <c r="CN29" s="497">
        <f ca="1">VLOOKUP(CO29,Prodlink,2,0)</f>
        <v>0</v>
      </c>
      <c r="CO29" s="497">
        <f ca="1">OFFSET($CH$9,CL29-1,-15,1,1)</f>
        <v>0</v>
      </c>
      <c r="CQ29" s="51">
        <v>0</v>
      </c>
      <c r="CR29" s="51">
        <f>IF(K29=$BH$12,$BH$23,IF(K29=$BH$13,$BH$24,10000))</f>
        <v>10000</v>
      </c>
      <c r="CS29" s="51">
        <f ca="1">IF(F29&lt;OFFSET($BM$9,CL29-1,0,1,1),0,IF(F29&lt;OFFSET($BN$9,CL29-1,0,1,1),((F29-OFFSET($BM$9,CL29-1,0,1,1))*OFFSET($CH$9,CL29-1,0,1,1))+OFFSET($BO$9,CL29-1,CQ29,1,1),IF(F29&lt;OFFSET($BN$9,CL29+0,0,1,1),((F29-OFFSET($BM$9,CL29+0,0,1,1))*OFFSET($CH$9,CL29+0,0,1,1))+OFFSET($BO$9,CL29+0,CQ29,1,1),IF(F29&lt;OFFSET($BN$9,CL29+1,0,1,1),((F29-OFFSET($BM$9,CL29+1,0,1,1))*OFFSET($CH$9,CL29+1,0,1,1))+OFFSET($BO$9,CL29+1,CQ29,1,1),IF(F29&lt;OFFSET($BN$9,CL29+2,0,1,1),((F29-OFFSET($BM$9,CL29+2,0,1,1))*OFFSET($CH$9,CL29+2,0,1,1))+OFFSET($BO$9,CL29+2,CQ29,1,1),IF(F29&lt;OFFSET($BN$9,CL29+3,0,1,1),((F29-OFFSET($BM$9,CL29+3,0,1,1))*OFFSET($CH$9,CL29+3,0,1,1))+OFFSET($BO$9,CL29+3,CQ29,1,1),0))))))</f>
        <v>0</v>
      </c>
      <c r="CT29" s="51">
        <f ca="1">IF($F29&lt;OFFSET($BM$9,$CL29-1,0,1,1),0,IF($F29&lt;OFFSET($BN$9,$CL29-1,0,1,1),IF(AND($H29&gt;2.4,Z29&lt;&gt;"e",Z29&lt;&gt;"f"),CX29*2.4/$H29,CX29),IF($F29&lt;OFFSET($BN$9,$CL29+0,0,1,1),IF(AND($H29&gt;2.4,Z29&lt;&gt;"e",Z29&lt;&gt;"f"),CX29*2.4/$H29,CX29),IF($F29&lt;OFFSET($BN$9,$CL29+1,0,1,1),IF(AND($H29&gt;2.4,Z29&lt;&gt;"e",Z29&lt;&gt;"f"),CX29*2.4/$H29,CX29),IF($F29&lt;OFFSET($BN$9,CL29+2,0,1,1),IF(AND($H29&gt;2.4,Z29&lt;&gt;"e",Z29&lt;&gt;"f"),CX29*2.4/$H29,CX29),IF($F29&lt;OFFSET($BN$9,CL29+3,0,1,1),IF(AND($H29&gt;2.4,Z29&lt;&gt;"e",Z29&lt;&gt;"f"),CX29*2.4/$H29,CX29),0)))))*COS(RADIANS($G29)))</f>
        <v>0</v>
      </c>
      <c r="CU29" s="51">
        <f ca="1">IF(F29&lt;OFFSET($BM$9,CL29-1,0,1,1),0,IF(F29&lt;OFFSET($BN$9,CL29-1,0,1,1),((F29-OFFSET($BM$9,CL29-1,0,1,1))*OFFSET($CI$9,CL29-1,0,1,1))+OFFSET($BP$9,CL29-1,CQ29,1,1),IF(F29&lt;OFFSET($BN$9,CL29+0,0,1,1),((F29-OFFSET($BM$9,CL29+0,0,1,1))*OFFSET($CI$9,CL29+0,0,1,1))+OFFSET($BP$9,CL29+0,CQ29,1,1),IF(F29&lt;OFFSET($BN$9,CL29+1,0,1,1),((F29-OFFSET($BM$9,CL29+1,0,1,1))*OFFSET($CI$9,CL29+1,0,1,1))+OFFSET($BP$9,CL29+1,CQ29,1,1),IF(F29&lt;OFFSET($BN$9,CL29+2,0,1,1),((F29-OFFSET($BM$9,CL29+2,0,1,1))*OFFSET($CI$9,CL29+2,0,1,1))+OFFSET($BP$9,CL29+2,CQ29,1,1),IF(F29&lt;OFFSET($BN$9,CL29+3,0,1,1),((F29-OFFSET($BM$9,CL29+3,0,1,1))*OFFSET($CI$9,CL29+3,0,1,1))+OFFSET($BP$9,CL29+3,CQ29,1,1),0))))))</f>
        <v>0</v>
      </c>
      <c r="CV29" s="51">
        <f ca="1">IF($F29&lt;OFFSET($BM$9,$CL29-1,0,1,1),0,IF($F29&lt;OFFSET($BN$9,$CL29-1,0,1,1),IF(AND($H29&gt;2.4,Z29&lt;&gt;"e",Z29&lt;&gt;"f"),CZ29*2.4/$H29,CZ29),IF($F29&lt;OFFSET($BN$9,$CL29+0,0,1,1),IF(AND($H29&gt;2.4,Z29&lt;&gt;"e",Z29&lt;&gt;"f"),CZ29*2.4/$H29,CZ29),IF($F29&lt;OFFSET($BN$9,$CL29+1,0,1,1),IF(AND($H29&gt;2.4,Z29&lt;&gt;"e",Z29&lt;&gt;"f"),CZ29*2.4/$H29,CZ29),IF($F29&lt;OFFSET($BN$9,$CL29+2,0,1,1),IF(AND($H29&gt;2.4,Z29&lt;&gt;"e",Z29&lt;&gt;"f"),CZ29*2.4/$H29,CZ29),IF($F29&lt;OFFSET($BN$9,$CL29+3,0,1,1),IF(AND($H29&gt;2.4,Z29&lt;&gt;"e",Z29&lt;&gt;"f"),CZ29*2.4/$H29,CZ29),0)))))*COS(RADIANS($G29)))</f>
        <v>0</v>
      </c>
      <c r="CW29" s="51">
        <f ca="1">IF(CT29&gt;CR29,CR29,CT29)</f>
        <v>0</v>
      </c>
      <c r="CX29" s="51">
        <f ca="1">IF(CS29&gt;$CR29,$CR29,CS29)</f>
        <v>0</v>
      </c>
      <c r="CY29" s="51">
        <f ca="1">CW29*F29</f>
        <v>0</v>
      </c>
      <c r="CZ29" s="51">
        <f ca="1">IF($CU29&gt;$CR29,$CR29,$CU29)</f>
        <v>0</v>
      </c>
      <c r="DA29" s="51">
        <f ca="1">IF(CV29&gt;CR29,CR29,CV29)</f>
        <v>0</v>
      </c>
      <c r="DB29" s="51">
        <f ca="1">DA29*F29</f>
        <v>0</v>
      </c>
      <c r="DC29" s="993">
        <v>1</v>
      </c>
      <c r="DD29" s="758" t="str">
        <f>IF(OR(D29=BG$12,D29=BG$13),"External",IF(D29=BG$14,"Internal"," "))</f>
        <v xml:space="preserve"> </v>
      </c>
      <c r="DE29" s="51" t="str">
        <f t="shared" ca="1" si="1"/>
        <v/>
      </c>
      <c r="DF29" s="52" t="str">
        <f t="shared" ca="1" si="2"/>
        <v xml:space="preserve"> </v>
      </c>
      <c r="DG29" s="51">
        <f ca="1">IF(F29&lt;OFFSET($BM$9,CN29-1,0,1,1),0,IF(F29&lt;OFFSET($BN$9,CN29-1,0,1,1),((F29-OFFSET($BM$9,CN29-1,0,1,1))*OFFSET($CH$9,CN29-1,0,1,1))+OFFSET($BO$9,CN29-1,CQ29,1,1),IF(F29&lt;OFFSET($BN$9,CN29+0,0,1,1),((F29-OFFSET($BM$9,CN29+0,0,1,1))*OFFSET($CH$9,CN29+0,0,1,1))+OFFSET($BO$9,CN29+0,CQ29,1,1),IF(F29&lt;OFFSET($BN$9,CN29+1,0,1,1),((F29-OFFSET($BM$9,CN29+1,0,1,1))*OFFSET($CH$9,CN29+1,0,1,1))+OFFSET($BO$9,CN29+1,CQ29,1,1),IF(F29&lt;OFFSET($BN$9,CN29+2,0,1,1),((F29-OFFSET($BM$9,CN29+2,0,1,1))*OFFSET($CH$9,CN29+2,0,1,1))+OFFSET($BO$9,CN29+2,CQ29,1,1),IF(F29&lt;OFFSET($BN$9,CN29+3,0,1,1),((F29-OFFSET($BM$9,CN29+3,0,1,1))*OFFSET($CH$9,CN29+3,0,1,1))+OFFSET($BO$9,CN29+3,CQ29,1,1),0))))))</f>
        <v>0</v>
      </c>
      <c r="DH29" s="51">
        <f ca="1">IF($F29&lt;OFFSET($BM$9,$CN29-1,0,1,1),0,IF($F29&lt;OFFSET($BN$9,$CN29-1,0,1,1),IF(AND($H29&gt;2.4,Z29&lt;&gt;"e",Z29&lt;&gt;"f"),DL29*2.4/$H29,DL29),IF($F29&lt;OFFSET($BN$9,$CN29+0,0,1,1),IF(AND($H29&gt;2.4,Z29&lt;&gt;"e",Z29&lt;&gt;"f"),DL29*2.4/$H29,DL29),IF($F29&lt;OFFSET($BN$9,$CN29+1,0,1,1),IF(AND($H29&gt;2.4,Z29&lt;&gt;"e",Z29&lt;&gt;"f"),DL29*2.4/$H29,DL29),IF($F29&lt;OFFSET($BN$9,$CN29+2,0,1,1),IF(AND($H29&gt;2.4,Z29&lt;&gt;"e",Z29&lt;&gt;"f"),DL29*2.4/$H29,DL29),IF($F29&lt;OFFSET($BN$9,$CN29+3,0,1,1),IF(AND($H29&gt;2.4,Z29&lt;&gt;"e",Z29&lt;&gt;"f"),DL29*2.4/$H29,DL29),0)))))*COS(RADIANS($G29)))</f>
        <v>0</v>
      </c>
      <c r="DI29" s="51">
        <f ca="1">IF(F29&lt;OFFSET($BM$9,CN29-1,0,1,1),0,IF(F29&lt;OFFSET($BN$9,CN29-1,0,1,1),((F29-OFFSET($BM$9,CN29-1,0,1,1))*OFFSET($CI$9,CN29-1,0,1,1))+OFFSET($BP$9,CN29-1,CQ29,1,1),IF(F29&lt;OFFSET($BN$9,CN29+0,0,1,1),((F29-OFFSET($BM$9,CN29+0,0,1,1))*OFFSET($CI$9,CN29+0,0,1,1))+OFFSET($BP$9,CN29+0,CQ29,1,1),IF(F29&lt;OFFSET($BN$9,CN29+1,0,1,1),((F29-OFFSET($BM$9,CN29+1,0,1,1))*OFFSET($CI$9,CN29+1,0,1,1))+OFFSET($BP$9,CN29+1,CQ29,1,1),IF(F29&lt;OFFSET($BN$9,CN29+2,0,1,1),((F29-OFFSET($BM$9,CN29+2,0,1,1))*OFFSET($CI$9,CN29+2,0,1,1))+OFFSET($BP$9,CN29+2,CQ29,1,1),IF(F29&lt;OFFSET($BN$9,CN29+3,0,1,1),((F29-OFFSET($BM$9,CN29+3,0,1,1))*OFFSET($CI$9,CN29+3,0,1,1))+OFFSET($BP$9,CN29+3,CQ29,1,1),0))))))</f>
        <v>0</v>
      </c>
      <c r="DJ29" s="51">
        <f ca="1">IF($F29&lt;OFFSET($BM$9,$CN29-1,0,1,1),0,IF($F29&lt;OFFSET($BN$9,$CN29-1,0,1,1),IF(AND($H29&gt;2.4,Z29&lt;&gt;"e",Z29&lt;&gt;"f"),DN29*2.4/$H29,DN29),IF($F29&lt;OFFSET($BN$9,$CN29+0,0,1,1),IF(AND($H29&gt;2.4,Z29&lt;&gt;"e",Z29&lt;&gt;"f"),DN29*2.4/$H29,DN29),IF($F29&lt;OFFSET($BN$9,$CN29+1,0,1,1),IF(AND($H29&gt;2.4,Z29&lt;&gt;"e",Z29&lt;&gt;"f"),DN29*2.4/$H29,DN29),IF($F29&lt;OFFSET($BN$9,$CN29+2,0,1,1),IF(AND($H29&gt;2.4,Z29&lt;&gt;"e",Z29&lt;&gt;"f"),DN29*2.4/$H29,DN29),IF($F29&lt;OFFSET($BN$9,$CN29+3,0,1,1),IF(AND($H29&gt;2.4,Z29&lt;&gt;"e",Z29&lt;&gt;"f"),DN29*2.4/$H29,DN29),0)))))*COS(RADIANS($G29)))</f>
        <v>0</v>
      </c>
      <c r="DK29" s="51"/>
      <c r="DL29" s="51">
        <f ca="1">IF(DG29&gt;$CR29,$CR29,DG29)</f>
        <v>0</v>
      </c>
      <c r="DM29" s="51"/>
      <c r="DN29" s="51">
        <f ca="1">IF(DI29&gt;$CR29,$CR29,DI29)</f>
        <v>0</v>
      </c>
      <c r="DO29" s="435">
        <f ca="1">IF(DH29&gt;$CR29,$CR29,DH29)</f>
        <v>0</v>
      </c>
      <c r="DP29" s="435">
        <f ca="1">DO29*F29</f>
        <v>0</v>
      </c>
      <c r="DQ29" s="436">
        <f ca="1">IF(DJ29&gt;$CR29,$CR29,DJ29)</f>
        <v>0</v>
      </c>
      <c r="DR29" s="437">
        <f ca="1">DQ29*F29</f>
        <v>0</v>
      </c>
      <c r="DS29" s="426">
        <f ca="1">OFFSET($CH$9,CL29-1,-15,1,1)</f>
        <v>0</v>
      </c>
      <c r="DT29" s="426">
        <f ca="1">VLOOKUP(DS29,Prodlink,2,0)</f>
        <v>0</v>
      </c>
      <c r="DU29" s="188">
        <f ca="1">IF(F29&lt;OFFSET($BM$9,DT29-1,0,1,1),0,IF(F29&lt;OFFSET($BN$9,DT29-1,0,1,1),((F29-OFFSET($BM$9,DT29-1,0,1,1))*OFFSET($CH$9,DT29-1,0,1,1))+OFFSET($BO$9,DT29-1,CQ29,1,1),IF(F29&lt;OFFSET($BN$9,DT29+0,0,1,1),((F29-OFFSET($BM$9,DT29+0,0,1,1))*OFFSET($CH$9,DT29+0,0,1,1))+OFFSET($BO$9,DT29+0,CQ29,1,1),IF(F29&lt;OFFSET($BN$9,DT29+1,0,1,1),((F29-OFFSET($BM$9,DT29+1,0,1,1))*OFFSET($CH$9,DT29+1,0,1,1))+OFFSET($BO$9,DT29+1,CQ29,1,1),IF(F29&lt;OFFSET($BN$9,DT29+2,0,1,1),((F29-OFFSET($BM$9,DT29+2,0,1,1))*OFFSET($CH$9,DT29+2,0,1,1))+OFFSET($BO$9,DT29+2,CQ29,1,1),IF(F29&lt;OFFSET($BN$9,DT29+3,0,1,1),((F29-OFFSET($BM$9,DT29+3,0,1,1))*OFFSET($CH$9,DT29+3,0,1,1))+OFFSET($BO$9,DT29+3,CQ29,1,1),0))))))</f>
        <v>0</v>
      </c>
      <c r="DV29" s="51">
        <f ca="1">IF($F29&lt;OFFSET($BM$9,$DT29-1,0,1,1),0,IF($F29&lt;OFFSET($BN$9,$DT29-1,0,1,1),IF(AND($H29&gt;2.4,Z29&lt;&gt;"e",Z29&lt;&gt;"f"),DZ29*2.4/$H29,DZ29),IF($F29&lt;OFFSET($BN$9,$DT29+0,0,1,1),IF(AND($H29&gt;2.4,Z29&lt;&gt;"e",Z29&lt;&gt;"f"),DZ29*2.4/$H29,DZ29),IF($F29&lt;OFFSET($BN$9,$DT29+1,0,1,1),IF(AND($H29&gt;2.4,Z29&lt;&gt;"e",Z29&lt;&gt;"f"),DZ29*2.4/$H29,DZ29),IF($F29&lt;OFFSET($BN$9,$DT29+2,0,1,1),IF(AND($H29&gt;2.4,Z29&lt;&gt;"e",Z29&lt;&gt;"f"),DZ29*2.4/$H29,DZ29),IF($F29&lt;OFFSET($BN$9,$DT29+3,0,1,1),IF(AND($H29&gt;2.4,Z29&lt;&gt;"e",Z29&lt;&gt;"f"),DZ29*2.4/$H29,DZ29),0)))))*COS(RADIANS($G29)))</f>
        <v>0</v>
      </c>
      <c r="DW29" s="188">
        <f ca="1">IF(F29&lt;OFFSET($BM$9,DT29-1,0,1,1),0,IF(F29&lt;OFFSET($BN$9,DT29-1,0,1,1),((F29-OFFSET($BM$9,DT29-1,0,1,1))*OFFSET($CI$9,DT29-1,0,1,1))+OFFSET($BP$9,DT29-1,CQ29,1,1),IF(F29&lt;OFFSET($BN$9,DT29+0,0,1,1),((F29-OFFSET($BM$9,DT29+0,0,1,1))*OFFSET($CI$9,DT29+0,0,1,1))+OFFSET($BP$9,DT29+0,CQ29,1,1),IF(F29&lt;OFFSET($BN$9,DT29+1,0,1,1),((F29-OFFSET($BM$9,DT29+1,0,1,1))*OFFSET($CI$9,DT29+1,0,1,1))+OFFSET($BP$9,DT29+1,CQ29,1,1),IF(F29&lt;OFFSET($BN$9,DT29+2,0,1,1),((F29-OFFSET($BM$9,DT29+2,0,1,1))*OFFSET($CI$9,DT29+2,0,1,1))+OFFSET($BP$9,DT29+2,CQ29,1,1),IF(F29&lt;OFFSET($BN$9,DT29+3,0,1,1),((F29-OFFSET($BM$9,DT29+3,0,1,1))*OFFSET($CI$9,DT29+3,0,1,1))+OFFSET($BP$9,DT29+3,CQ29,1,1),0))))))</f>
        <v>0</v>
      </c>
      <c r="DX29" s="51">
        <f ca="1">IF($F29&lt;OFFSET($BM$9,$DT29-1,0,1,1),0,IF($F29&lt;OFFSET($BN$9,$DT29-1,0,1,1),IF(AND($H29&gt;2.4,Z29&lt;&gt;"e",Z29&lt;&gt;"f"),EB29*2.4/$H29,EB29),IF($F29&lt;OFFSET($BN$9,$DT29+0,0,1,1),IF(AND($H29&gt;2.4,Z29&lt;&gt;"e",Z29&lt;&gt;"f"),EB29*2.4/$H29,EB29),IF($F29&lt;OFFSET($BN$9,$DT29+1,0,1,1),IF(AND($H29&gt;2.4,Z29&lt;&gt;"e",Z29&lt;&gt;"f"),EB29*2.4/$H29,EB29),IF($F29&lt;OFFSET($BN$9,$DT29+2,0,1,1),IF(AND($H29&gt;2.4,Z29&lt;&gt;"e",Z29&lt;&gt;"f"),EB29*2.4/$H29,EB29),IF($F29&lt;OFFSET($BN$9,$DT29+3,0,1,1),IF(AND($H29&gt;2.4,Z29&lt;&gt;"e",Z29&lt;&gt;"f"),EB29*2.4/$H29,EB29),0)))))*COS(RADIANS($G29)))</f>
        <v>0</v>
      </c>
      <c r="DY29" s="188"/>
      <c r="DZ29" s="188">
        <f ca="1">IF(DU29&gt;$CR29,$CR29,DU29)</f>
        <v>0</v>
      </c>
      <c r="EA29" s="188"/>
      <c r="EB29" s="188">
        <f ca="1">IF(DW29&gt;$CR29,$CR29,DW29)</f>
        <v>0</v>
      </c>
      <c r="EC29" s="435">
        <f ca="1">IF(DV29&gt;$CR29,$CR29,DV29)</f>
        <v>0</v>
      </c>
      <c r="ED29" s="435">
        <f ca="1">EC29*F29</f>
        <v>0</v>
      </c>
      <c r="EE29" s="436">
        <f ca="1">IF(DX29&gt;$CR29,$CR29,DX29)</f>
        <v>0</v>
      </c>
      <c r="EF29" s="437">
        <f ca="1">EE29*F29</f>
        <v>0</v>
      </c>
      <c r="EG29" s="613" t="str">
        <f>IF(D29=BG$12,BG$12,"")</f>
        <v/>
      </c>
      <c r="EH29" s="614" t="str">
        <f>IF(D29=BG$13,BG$13,"")</f>
        <v/>
      </c>
      <c r="EI29" s="611">
        <f>IF(EG29=BG$12,M29,0)</f>
        <v>0</v>
      </c>
      <c r="EJ29" s="451">
        <f>IF(EG29=BG$12,O29,0)</f>
        <v>0</v>
      </c>
      <c r="EK29" s="451">
        <f>IF(EH29=BG$13,M29,0)</f>
        <v>0</v>
      </c>
      <c r="EL29" s="612">
        <f>IF(EH29=BG$13,O29,0)</f>
        <v>0</v>
      </c>
      <c r="EM29" s="426" t="str">
        <f ca="1">IF(AND(Z29&lt;&gt;"t",Z29&lt;&gt;"f"),"",IF(AND(EN29=$BH$13,K29=$BH$12),"NotOpt",IF(K29&lt;&gt;EN29,"Error","")))</f>
        <v/>
      </c>
      <c r="EN29" s="490" t="str">
        <f>IF($BG$28=1,$BH$13,$BH$12)</f>
        <v>120 BU's</v>
      </c>
      <c r="EO29" s="426" t="str">
        <f>K29</f>
        <v xml:space="preserve"> </v>
      </c>
      <c r="EP29" s="430">
        <v>1</v>
      </c>
      <c r="EQ29" s="430" t="str">
        <f ca="1">IF(EP29=1," ",OFFSET(BF$16,EP29-2,0,1,1))</f>
        <v xml:space="preserve"> </v>
      </c>
      <c r="ER29" s="439" t="str">
        <f ca="1">IF(H29=0," ",H29)</f>
        <v xml:space="preserve"> </v>
      </c>
      <c r="ES29" s="440" t="str">
        <f ca="1">IF(ER29&lt;&gt;" ",IF(ER29&lt;&gt;ER$7,"Changed",""),"")</f>
        <v/>
      </c>
      <c r="ET29" s="440">
        <f ca="1">IF(ER29&lt;&gt;" ",IF(ER29&lt;&gt;ER$7,1,0),0)</f>
        <v>0</v>
      </c>
      <c r="EU29" s="957" t="str">
        <f ca="1">IF(I29=" "," ",IF(F29&lt;OFFSET($BM$9,CL29-1,0,1,1),1,""))</f>
        <v xml:space="preserve"> </v>
      </c>
      <c r="EW29" s="427"/>
      <c r="EX29"/>
      <c r="EY29"/>
      <c r="EZ29"/>
      <c r="FA29"/>
    </row>
    <row r="30" spans="2:157" ht="17.100000000000001" customHeight="1" thickBot="1">
      <c r="B30" s="689" t="s">
        <v>246</v>
      </c>
      <c r="C30" s="684" t="str">
        <f>IF(OR(F30=0,I30="",I30=" ")," ",$V30)</f>
        <v xml:space="preserve"> </v>
      </c>
      <c r="D30" s="1033"/>
      <c r="E30" s="1360" t="s">
        <v>8</v>
      </c>
      <c r="F30" s="202"/>
      <c r="G30" s="1416"/>
      <c r="H30" s="199" t="str">
        <f ca="1">IF(OR(F30=0,Z30="E",Z30="f")," ",'Project Demand'!E$45)</f>
        <v xml:space="preserve"> </v>
      </c>
      <c r="I30" s="631" t="str">
        <f>IF($I$6&lt;&gt;$BG$8," ",AB30)</f>
        <v xml:space="preserve"> </v>
      </c>
      <c r="J30" s="44" t="str">
        <f ca="1">IF(OR(I30=" ",I30="")," ",OFFSET($BO$9,CL30-1,0-4,1,1))</f>
        <v xml:space="preserve"> </v>
      </c>
      <c r="K30" s="55" t="str">
        <f>IF(OR(I30=" ",I30="")," ",IF(OR(Z30="e",Z30="h"),"SD",BG$24))</f>
        <v xml:space="preserve"> </v>
      </c>
      <c r="L30" s="49">
        <f ca="1">CW30</f>
        <v>0</v>
      </c>
      <c r="M30" s="49">
        <f ca="1">CY30</f>
        <v>0</v>
      </c>
      <c r="N30" s="50">
        <f t="shared" ca="1" si="18"/>
        <v>0</v>
      </c>
      <c r="O30" s="126">
        <f t="shared" ca="1" si="18"/>
        <v>0</v>
      </c>
      <c r="P30" s="140"/>
      <c r="Q30" s="752" t="str">
        <f ca="1">IF(AND(OR(Z30="t",Z30="f"),K30=$BH$11),"No Floor!  Change Floor Type",IF(OR(I30=" ",I30="")," ",IF(F30&lt;OFFSET($BM$9,CL30-1,0,1,1),"check L(m)",DE30&amp;IF(AND(DP30&gt;=CY30,DR30&gt;=DB30),IF(AND(ED30&gt;=DP30,EF30&gt;=DR30),CONCATENATE(DS30," will provide same result"),CONCATENATE(CO30," will provide same result")),IF((DP30&gt;=CY30),CONCATENATE(CO30," provides same result in WIND"),IF((DR30&gt;=DB30),CONCATENATE(CO30," provides same result in EQ"),""))))))&amp;IF(ISERROR(FIND("pile",I30,1)),"",IF(INT(F30)&lt;&gt;F30,"Pile!  Use Whole Numbers Only",""))</f>
        <v xml:space="preserve"> </v>
      </c>
      <c r="U30" s="1377"/>
      <c r="V30" s="52" t="str">
        <f ca="1">IF(AND(B$5=$BF$9,OR(I30=BH$16,I30=BH$17))," ",IF(ISNUMBER(B$26),(CONCATENATE(B$26,".",W30)),(CONCATENATE(B$26,W30))))</f>
        <v>P0</v>
      </c>
      <c r="W30" s="9">
        <f ca="1">W29+X30</f>
        <v>0</v>
      </c>
      <c r="X30" s="9">
        <f>IF(AND(B$5=$BF$9,OR($I30=$BH$16,$I30=$BH$17,$I30=" ",$I30="",$F30=0)),0,IF(OR($I30=" ",$I30="",$F30=0),0,1))</f>
        <v>0</v>
      </c>
      <c r="Y30" s="896"/>
      <c r="Z30" s="52" t="str">
        <f ca="1">IF(I30=" "," ",OFFSET($BM$9,$CL30-1,8,1,1))</f>
        <v xml:space="preserve"> </v>
      </c>
      <c r="AA30" s="51" t="str">
        <f>IF(G30&gt;=45,"WA","")</f>
        <v/>
      </c>
      <c r="AB30" s="1364" t="str">
        <f>IF(F30&lt;&gt;"",IF(OR(D30=$BG$12,D30=$BG$13),IF(E30&lt;&gt;$BG$17,$BF$12,$BF$13),IF(E30&lt;&gt;$BG$17,$BF$12,$BF$13))," ")</f>
        <v xml:space="preserve"> </v>
      </c>
      <c r="AC30" s="1"/>
      <c r="AJ30" s="2230"/>
      <c r="AK30" s="2779"/>
      <c r="AL30" s="2784"/>
      <c r="AM30" s="11">
        <f>'Regular and QuickBrace Systems'!F45</f>
        <v>0.8</v>
      </c>
      <c r="AN30" s="1336">
        <f>'Regular and QuickBrace Systems'!G45</f>
        <v>135</v>
      </c>
      <c r="AO30" s="26">
        <f>'Regular and QuickBrace Systems'!H45</f>
        <v>125</v>
      </c>
      <c r="AP30" s="1595"/>
      <c r="AQ30" s="2663"/>
      <c r="AR30" s="2664"/>
      <c r="AS30" s="2031"/>
      <c r="AT30" s="1339"/>
      <c r="AU30" s="2090"/>
      <c r="AW30" s="1569" t="str">
        <f>'Regular and QuickBrace Systems'!O45</f>
        <v>Yes</v>
      </c>
      <c r="AX30" s="442" t="str">
        <f>'Regular and QuickBrace Systems'!Q45</f>
        <v>Yes</v>
      </c>
      <c r="BA30"/>
      <c r="BB30"/>
      <c r="BC30"/>
      <c r="BD30" s="2648"/>
      <c r="BF30" s="599" t="str">
        <f>'Custom Elements'!C14</f>
        <v>Custom6</v>
      </c>
      <c r="BI30" s="759"/>
      <c r="BJ30" s="897">
        <f t="shared" si="3"/>
        <v>22</v>
      </c>
      <c r="BK30" s="769" t="str">
        <f t="shared" si="6"/>
        <v xml:space="preserve">  </v>
      </c>
      <c r="BL30" s="771" t="str">
        <f t="shared" si="7"/>
        <v>Custom19</v>
      </c>
      <c r="BM30" s="455">
        <f t="shared" si="8"/>
        <v>9.9999999999999996E-76</v>
      </c>
      <c r="BN30" s="455">
        <v>999</v>
      </c>
      <c r="BO30" s="455">
        <f t="shared" si="9"/>
        <v>0</v>
      </c>
      <c r="BP30" s="925">
        <f t="shared" si="10"/>
        <v>0</v>
      </c>
      <c r="BR30" s="764"/>
      <c r="BS30" s="455"/>
      <c r="BT30" s="455" t="str">
        <f t="shared" si="11"/>
        <v>B</v>
      </c>
      <c r="BU30" s="925" t="str">
        <f t="shared" si="12"/>
        <v>T</v>
      </c>
      <c r="BV30" s="1239" t="str">
        <f t="shared" si="13"/>
        <v>Custom19</v>
      </c>
      <c r="BW30" s="1236">
        <f t="shared" si="16"/>
        <v>22</v>
      </c>
      <c r="BX30" s="925" t="str">
        <f t="shared" si="14"/>
        <v>Single</v>
      </c>
      <c r="CH30" s="764">
        <f t="shared" si="4"/>
        <v>0</v>
      </c>
      <c r="CI30" s="925">
        <f t="shared" si="5"/>
        <v>0</v>
      </c>
      <c r="CJ30" s="759"/>
      <c r="CK30" s="188"/>
      <c r="CL30" s="979">
        <f>VLOOKUP(I30,Prodlink,2,0)</f>
        <v>0</v>
      </c>
      <c r="CN30" s="497">
        <f ca="1">VLOOKUP(CO30,Prodlink,2,0)</f>
        <v>0</v>
      </c>
      <c r="CO30" s="497">
        <f ca="1">OFFSET($CH$9,CL30-1,-15,1,1)</f>
        <v>0</v>
      </c>
      <c r="CQ30" s="51">
        <v>0</v>
      </c>
      <c r="CR30" s="51">
        <f>IF(K30=$BH$12,$BH$23,IF(K30=$BH$13,$BH$24,10000))</f>
        <v>10000</v>
      </c>
      <c r="CS30" s="51">
        <f ca="1">IF(F30&lt;OFFSET($BM$9,CL30-1,0,1,1),0,IF(F30&lt;OFFSET($BN$9,CL30-1,0,1,1),((F30-OFFSET($BM$9,CL30-1,0,1,1))*OFFSET($CH$9,CL30-1,0,1,1))+OFFSET($BO$9,CL30-1,CQ30,1,1),IF(F30&lt;OFFSET($BN$9,CL30+0,0,1,1),((F30-OFFSET($BM$9,CL30+0,0,1,1))*OFFSET($CH$9,CL30+0,0,1,1))+OFFSET($BO$9,CL30+0,CQ30,1,1),IF(F30&lt;OFFSET($BN$9,CL30+1,0,1,1),((F30-OFFSET($BM$9,CL30+1,0,1,1))*OFFSET($CH$9,CL30+1,0,1,1))+OFFSET($BO$9,CL30+1,CQ30,1,1),IF(F30&lt;OFFSET($BN$9,CL30+2,0,1,1),((F30-OFFSET($BM$9,CL30+2,0,1,1))*OFFSET($CH$9,CL30+2,0,1,1))+OFFSET($BO$9,CL30+2,CQ30,1,1),IF(F30&lt;OFFSET($BN$9,CL30+3,0,1,1),((F30-OFFSET($BM$9,CL30+3,0,1,1))*OFFSET($CH$9,CL30+3,0,1,1))+OFFSET($BO$9,CL30+3,CQ30,1,1),0))))))</f>
        <v>0</v>
      </c>
      <c r="CT30" s="51">
        <f ca="1">IF($F30&lt;OFFSET($BM$9,$CL30-1,0,1,1),0,IF($F30&lt;OFFSET($BN$9,$CL30-1,0,1,1),IF(AND($H30&gt;2.4,Z30&lt;&gt;"e",Z30&lt;&gt;"f"),CX30*2.4/$H30,CX30),IF($F30&lt;OFFSET($BN$9,$CL30+0,0,1,1),IF(AND($H30&gt;2.4,Z30&lt;&gt;"e",Z30&lt;&gt;"f"),CX30*2.4/$H30,CX30),IF($F30&lt;OFFSET($BN$9,$CL30+1,0,1,1),IF(AND($H30&gt;2.4,Z30&lt;&gt;"e",Z30&lt;&gt;"f"),CX30*2.4/$H30,CX30),IF($F30&lt;OFFSET($BN$9,CL30+2,0,1,1),IF(AND($H30&gt;2.4,Z30&lt;&gt;"e",Z30&lt;&gt;"f"),CX30*2.4/$H30,CX30),IF($F30&lt;OFFSET($BN$9,CL30+3,0,1,1),IF(AND($H30&gt;2.4,Z30&lt;&gt;"e",Z30&lt;&gt;"f"),CX30*2.4/$H30,CX30),0)))))*COS(RADIANS($G30)))</f>
        <v>0</v>
      </c>
      <c r="CU30" s="51">
        <f ca="1">IF(F30&lt;OFFSET($BM$9,CL30-1,0,1,1),0,IF(F30&lt;OFFSET($BN$9,CL30-1,0,1,1),((F30-OFFSET($BM$9,CL30-1,0,1,1))*OFFSET($CI$9,CL30-1,0,1,1))+OFFSET($BP$9,CL30-1,CQ30,1,1),IF(F30&lt;OFFSET($BN$9,CL30+0,0,1,1),((F30-OFFSET($BM$9,CL30+0,0,1,1))*OFFSET($CI$9,CL30+0,0,1,1))+OFFSET($BP$9,CL30+0,CQ30,1,1),IF(F30&lt;OFFSET($BN$9,CL30+1,0,1,1),((F30-OFFSET($BM$9,CL30+1,0,1,1))*OFFSET($CI$9,CL30+1,0,1,1))+OFFSET($BP$9,CL30+1,CQ30,1,1),IF(F30&lt;OFFSET($BN$9,CL30+2,0,1,1),((F30-OFFSET($BM$9,CL30+2,0,1,1))*OFFSET($CI$9,CL30+2,0,1,1))+OFFSET($BP$9,CL30+2,CQ30,1,1),IF(F30&lt;OFFSET($BN$9,CL30+3,0,1,1),((F30-OFFSET($BM$9,CL30+3,0,1,1))*OFFSET($CI$9,CL30+3,0,1,1))+OFFSET($BP$9,CL30+3,CQ30,1,1),0))))))</f>
        <v>0</v>
      </c>
      <c r="CV30" s="51">
        <f ca="1">IF($F30&lt;OFFSET($BM$9,$CL30-1,0,1,1),0,IF($F30&lt;OFFSET($BN$9,$CL30-1,0,1,1),IF(AND($H30&gt;2.4,Z30&lt;&gt;"e",Z30&lt;&gt;"f"),CZ30*2.4/$H30,CZ30),IF($F30&lt;OFFSET($BN$9,$CL30+0,0,1,1),IF(AND($H30&gt;2.4,Z30&lt;&gt;"e",Z30&lt;&gt;"f"),CZ30*2.4/$H30,CZ30),IF($F30&lt;OFFSET($BN$9,$CL30+1,0,1,1),IF(AND($H30&gt;2.4,Z30&lt;&gt;"e",Z30&lt;&gt;"f"),CZ30*2.4/$H30,CZ30),IF($F30&lt;OFFSET($BN$9,$CL30+2,0,1,1),IF(AND($H30&gt;2.4,Z30&lt;&gt;"e",Z30&lt;&gt;"f"),CZ30*2.4/$H30,CZ30),IF($F30&lt;OFFSET($BN$9,$CL30+3,0,1,1),IF(AND($H30&gt;2.4,Z30&lt;&gt;"e",Z30&lt;&gt;"f"),CZ30*2.4/$H30,CZ30),0)))))*COS(RADIANS($G30)))</f>
        <v>0</v>
      </c>
      <c r="CW30" s="51">
        <f ca="1">IF(CT30&gt;CR30,CR30,CT30)</f>
        <v>0</v>
      </c>
      <c r="CX30" s="51">
        <f ca="1">IF(CS30&gt;$CR30,$CR30,CS30)</f>
        <v>0</v>
      </c>
      <c r="CY30" s="51">
        <f ca="1">CW30*F30</f>
        <v>0</v>
      </c>
      <c r="CZ30" s="51">
        <f ca="1">IF($CU30&gt;$CR30,$CR30,$CU30)</f>
        <v>0</v>
      </c>
      <c r="DA30" s="51">
        <f ca="1">IF(CV30&gt;CR30,CR30,CV30)</f>
        <v>0</v>
      </c>
      <c r="DB30" s="51">
        <f ca="1">DA30*F30</f>
        <v>0</v>
      </c>
      <c r="DC30" s="993">
        <v>1</v>
      </c>
      <c r="DD30" s="758" t="str">
        <f>IF(OR(D30=BG$12,D30=BG$13),"External",IF(D30=BG$14,"Internal"," "))</f>
        <v xml:space="preserve"> </v>
      </c>
      <c r="DE30" s="51" t="str">
        <f t="shared" ca="1" si="1"/>
        <v/>
      </c>
      <c r="DF30" s="52" t="str">
        <f t="shared" ca="1" si="2"/>
        <v xml:space="preserve"> </v>
      </c>
      <c r="DG30" s="51">
        <f ca="1">IF(F30&lt;OFFSET($BM$9,CN30-1,0,1,1),0,IF(F30&lt;OFFSET($BN$9,CN30-1,0,1,1),((F30-OFFSET($BM$9,CN30-1,0,1,1))*OFFSET($CH$9,CN30-1,0,1,1))+OFFSET($BO$9,CN30-1,CQ30,1,1),IF(F30&lt;OFFSET($BN$9,CN30+0,0,1,1),((F30-OFFSET($BM$9,CN30+0,0,1,1))*OFFSET($CH$9,CN30+0,0,1,1))+OFFSET($BO$9,CN30+0,CQ30,1,1),IF(F30&lt;OFFSET($BN$9,CN30+1,0,1,1),((F30-OFFSET($BM$9,CN30+1,0,1,1))*OFFSET($CH$9,CN30+1,0,1,1))+OFFSET($BO$9,CN30+1,CQ30,1,1),IF(F30&lt;OFFSET($BN$9,CN30+2,0,1,1),((F30-OFFSET($BM$9,CN30+2,0,1,1))*OFFSET($CH$9,CN30+2,0,1,1))+OFFSET($BO$9,CN30+2,CQ30,1,1),IF(F30&lt;OFFSET($BN$9,CN30+3,0,1,1),((F30-OFFSET($BM$9,CN30+3,0,1,1))*OFFSET($CH$9,CN30+3,0,1,1))+OFFSET($BO$9,CN30+3,CQ30,1,1),0))))))</f>
        <v>0</v>
      </c>
      <c r="DH30" s="51">
        <f ca="1">IF($F30&lt;OFFSET($BM$9,$CN30-1,0,1,1),0,IF($F30&lt;OFFSET($BN$9,$CN30-1,0,1,1),IF(AND($H30&gt;2.4,Z30&lt;&gt;"e",Z30&lt;&gt;"f"),DL30*2.4/$H30,DL30),IF($F30&lt;OFFSET($BN$9,$CN30+0,0,1,1),IF(AND($H30&gt;2.4,Z30&lt;&gt;"e",Z30&lt;&gt;"f"),DL30*2.4/$H30,DL30),IF($F30&lt;OFFSET($BN$9,$CN30+1,0,1,1),IF(AND($H30&gt;2.4,Z30&lt;&gt;"e",Z30&lt;&gt;"f"),DL30*2.4/$H30,DL30),IF($F30&lt;OFFSET($BN$9,$CN30+2,0,1,1),IF(AND($H30&gt;2.4,Z30&lt;&gt;"e",Z30&lt;&gt;"f"),DL30*2.4/$H30,DL30),IF($F30&lt;OFFSET($BN$9,$CN30+3,0,1,1),IF(AND($H30&gt;2.4,Z30&lt;&gt;"e",Z30&lt;&gt;"f"),DL30*2.4/$H30,DL30),0)))))*COS(RADIANS($G30)))</f>
        <v>0</v>
      </c>
      <c r="DI30" s="51">
        <f ca="1">IF(F30&lt;OFFSET($BM$9,CN30-1,0,1,1),0,IF(F30&lt;OFFSET($BN$9,CN30-1,0,1,1),((F30-OFFSET($BM$9,CN30-1,0,1,1))*OFFSET($CI$9,CN30-1,0,1,1))+OFFSET($BP$9,CN30-1,CQ30,1,1),IF(F30&lt;OFFSET($BN$9,CN30+0,0,1,1),((F30-OFFSET($BM$9,CN30+0,0,1,1))*OFFSET($CI$9,CN30+0,0,1,1))+OFFSET($BP$9,CN30+0,CQ30,1,1),IF(F30&lt;OFFSET($BN$9,CN30+1,0,1,1),((F30-OFFSET($BM$9,CN30+1,0,1,1))*OFFSET($CI$9,CN30+1,0,1,1))+OFFSET($BP$9,CN30+1,CQ30,1,1),IF(F30&lt;OFFSET($BN$9,CN30+2,0,1,1),((F30-OFFSET($BM$9,CN30+2,0,1,1))*OFFSET($CI$9,CN30+2,0,1,1))+OFFSET($BP$9,CN30+2,CQ30,1,1),IF(F30&lt;OFFSET($BN$9,CN30+3,0,1,1),((F30-OFFSET($BM$9,CN30+3,0,1,1))*OFFSET($CI$9,CN30+3,0,1,1))+OFFSET($BP$9,CN30+3,CQ30,1,1),0))))))</f>
        <v>0</v>
      </c>
      <c r="DJ30" s="51">
        <f ca="1">IF($F30&lt;OFFSET($BM$9,$CN30-1,0,1,1),0,IF($F30&lt;OFFSET($BN$9,$CN30-1,0,1,1),IF(AND($H30&gt;2.4,Z30&lt;&gt;"e",Z30&lt;&gt;"f"),DN30*2.4/$H30,DN30),IF($F30&lt;OFFSET($BN$9,$CN30+0,0,1,1),IF(AND($H30&gt;2.4,Z30&lt;&gt;"e",Z30&lt;&gt;"f"),DN30*2.4/$H30,DN30),IF($F30&lt;OFFSET($BN$9,$CN30+1,0,1,1),IF(AND($H30&gt;2.4,Z30&lt;&gt;"e",Z30&lt;&gt;"f"),DN30*2.4/$H30,DN30),IF($F30&lt;OFFSET($BN$9,$CN30+2,0,1,1),IF(AND($H30&gt;2.4,Z30&lt;&gt;"e",Z30&lt;&gt;"f"),DN30*2.4/$H30,DN30),IF($F30&lt;OFFSET($BN$9,$CN30+3,0,1,1),IF(AND($H30&gt;2.4,Z30&lt;&gt;"e",Z30&lt;&gt;"f"),DN30*2.4/$H30,DN30),0)))))*COS(RADIANS($G30)))</f>
        <v>0</v>
      </c>
      <c r="DK30" s="51"/>
      <c r="DL30" s="51">
        <f ca="1">IF(DG30&gt;$CR30,$CR30,DG30)</f>
        <v>0</v>
      </c>
      <c r="DM30" s="51"/>
      <c r="DN30" s="51">
        <f ca="1">IF(DI30&gt;$CR30,$CR30,DI30)</f>
        <v>0</v>
      </c>
      <c r="DO30" s="435">
        <f ca="1">IF(DH30&gt;$CR30,$CR30,DH30)</f>
        <v>0</v>
      </c>
      <c r="DP30" s="435">
        <f ca="1">DO30*F30</f>
        <v>0</v>
      </c>
      <c r="DQ30" s="436">
        <f ca="1">IF(DJ30&gt;$CR30,$CR30,DJ30)</f>
        <v>0</v>
      </c>
      <c r="DR30" s="437">
        <f ca="1">DQ30*F30</f>
        <v>0</v>
      </c>
      <c r="DS30" s="426">
        <f ca="1">OFFSET($CH$9,CL30-1,-15,1,1)</f>
        <v>0</v>
      </c>
      <c r="DT30" s="426">
        <f ca="1">VLOOKUP(DS30,Prodlink,2,0)</f>
        <v>0</v>
      </c>
      <c r="DU30" s="188">
        <f ca="1">IF(F30&lt;OFFSET($BM$9,DT30-1,0,1,1),0,IF(F30&lt;OFFSET($BN$9,DT30-1,0,1,1),((F30-OFFSET($BM$9,DT30-1,0,1,1))*OFFSET($CH$9,DT30-1,0,1,1))+OFFSET($BO$9,DT30-1,CQ30,1,1),IF(F30&lt;OFFSET($BN$9,DT30+0,0,1,1),((F30-OFFSET($BM$9,DT30+0,0,1,1))*OFFSET($CH$9,DT30+0,0,1,1))+OFFSET($BO$9,DT30+0,CQ30,1,1),IF(F30&lt;OFFSET($BN$9,DT30+1,0,1,1),((F30-OFFSET($BM$9,DT30+1,0,1,1))*OFFSET($CH$9,DT30+1,0,1,1))+OFFSET($BO$9,DT30+1,CQ30,1,1),IF(F30&lt;OFFSET($BN$9,DT30+2,0,1,1),((F30-OFFSET($BM$9,DT30+2,0,1,1))*OFFSET($CH$9,DT30+2,0,1,1))+OFFSET($BO$9,DT30+2,CQ30,1,1),IF(F30&lt;OFFSET($BN$9,DT30+3,0,1,1),((F30-OFFSET($BM$9,DT30+3,0,1,1))*OFFSET($CH$9,DT30+3,0,1,1))+OFFSET($BO$9,DT30+3,CQ30,1,1),0))))))</f>
        <v>0</v>
      </c>
      <c r="DV30" s="51">
        <f ca="1">IF($F30&lt;OFFSET($BM$9,$DT30-1,0,1,1),0,IF($F30&lt;OFFSET($BN$9,$DT30-1,0,1,1),IF(AND($H30&gt;2.4,Z30&lt;&gt;"e",Z30&lt;&gt;"f"),DZ30*2.4/$H30,DZ30),IF($F30&lt;OFFSET($BN$9,$DT30+0,0,1,1),IF(AND($H30&gt;2.4,Z30&lt;&gt;"e",Z30&lt;&gt;"f"),DZ30*2.4/$H30,DZ30),IF($F30&lt;OFFSET($BN$9,$DT30+1,0,1,1),IF(AND($H30&gt;2.4,Z30&lt;&gt;"e",Z30&lt;&gt;"f"),DZ30*2.4/$H30,DZ30),IF($F30&lt;OFFSET($BN$9,$DT30+2,0,1,1),IF(AND($H30&gt;2.4,Z30&lt;&gt;"e",Z30&lt;&gt;"f"),DZ30*2.4/$H30,DZ30),IF($F30&lt;OFFSET($BN$9,$DT30+3,0,1,1),IF(AND($H30&gt;2.4,Z30&lt;&gt;"e",Z30&lt;&gt;"f"),DZ30*2.4/$H30,DZ30),0)))))*COS(RADIANS($G30)))</f>
        <v>0</v>
      </c>
      <c r="DW30" s="188">
        <f ca="1">IF(F30&lt;OFFSET($BM$9,DT30-1,0,1,1),0,IF(F30&lt;OFFSET($BN$9,DT30-1,0,1,1),((F30-OFFSET($BM$9,DT30-1,0,1,1))*OFFSET($CI$9,DT30-1,0,1,1))+OFFSET($BP$9,DT30-1,CQ30,1,1),IF(F30&lt;OFFSET($BN$9,DT30+0,0,1,1),((F30-OFFSET($BM$9,DT30+0,0,1,1))*OFFSET($CI$9,DT30+0,0,1,1))+OFFSET($BP$9,DT30+0,CQ30,1,1),IF(F30&lt;OFFSET($BN$9,DT30+1,0,1,1),((F30-OFFSET($BM$9,DT30+1,0,1,1))*OFFSET($CI$9,DT30+1,0,1,1))+OFFSET($BP$9,DT30+1,CQ30,1,1),IF(F30&lt;OFFSET($BN$9,DT30+2,0,1,1),((F30-OFFSET($BM$9,DT30+2,0,1,1))*OFFSET($CI$9,DT30+2,0,1,1))+OFFSET($BP$9,DT30+2,CQ30,1,1),IF(F30&lt;OFFSET($BN$9,DT30+3,0,1,1),((F30-OFFSET($BM$9,DT30+3,0,1,1))*OFFSET($CI$9,DT30+3,0,1,1))+OFFSET($BP$9,DT30+3,CQ30,1,1),0))))))</f>
        <v>0</v>
      </c>
      <c r="DX30" s="51">
        <f ca="1">IF($F30&lt;OFFSET($BM$9,$DT30-1,0,1,1),0,IF($F30&lt;OFFSET($BN$9,$DT30-1,0,1,1),IF(AND($H30&gt;2.4,Z30&lt;&gt;"e",Z30&lt;&gt;"f"),EB30*2.4/$H30,EB30),IF($F30&lt;OFFSET($BN$9,$DT30+0,0,1,1),IF(AND($H30&gt;2.4,Z30&lt;&gt;"e",Z30&lt;&gt;"f"),EB30*2.4/$H30,EB30),IF($F30&lt;OFFSET($BN$9,$DT30+1,0,1,1),IF(AND($H30&gt;2.4,Z30&lt;&gt;"e",Z30&lt;&gt;"f"),EB30*2.4/$H30,EB30),IF($F30&lt;OFFSET($BN$9,$DT30+2,0,1,1),IF(AND($H30&gt;2.4,Z30&lt;&gt;"e",Z30&lt;&gt;"f"),EB30*2.4/$H30,EB30),IF($F30&lt;OFFSET($BN$9,$DT30+3,0,1,1),IF(AND($H30&gt;2.4,Z30&lt;&gt;"e",Z30&lt;&gt;"f"),EB30*2.4/$H30,EB30),0)))))*COS(RADIANS($G30)))</f>
        <v>0</v>
      </c>
      <c r="DY30" s="188"/>
      <c r="DZ30" s="188">
        <f ca="1">IF(DU30&gt;$CR30,$CR30,DU30)</f>
        <v>0</v>
      </c>
      <c r="EA30" s="188"/>
      <c r="EB30" s="188">
        <f ca="1">IF(DW30&gt;$CR30,$CR30,DW30)</f>
        <v>0</v>
      </c>
      <c r="EC30" s="435">
        <f ca="1">IF(DV30&gt;$CR30,$CR30,DV30)</f>
        <v>0</v>
      </c>
      <c r="ED30" s="435">
        <f ca="1">EC30*F30</f>
        <v>0</v>
      </c>
      <c r="EE30" s="436">
        <f ca="1">IF(DX30&gt;$CR30,$CR30,DX30)</f>
        <v>0</v>
      </c>
      <c r="EF30" s="437">
        <f ca="1">EE30*F30</f>
        <v>0</v>
      </c>
      <c r="EG30" s="613" t="str">
        <f>IF(D30=BG$12,BG$12,"")</f>
        <v/>
      </c>
      <c r="EH30" s="614" t="str">
        <f>IF(D30=BG$13,BG$13,"")</f>
        <v/>
      </c>
      <c r="EI30" s="611">
        <f>IF(EG30=BG$12,M30,0)</f>
        <v>0</v>
      </c>
      <c r="EJ30" s="451">
        <f>IF(EG30=BG$12,O30,0)</f>
        <v>0</v>
      </c>
      <c r="EK30" s="451">
        <f>IF(EH30=BG$13,M30,0)</f>
        <v>0</v>
      </c>
      <c r="EL30" s="612">
        <f>IF(EH30=BG$13,O30,0)</f>
        <v>0</v>
      </c>
      <c r="EM30" s="426" t="str">
        <f ca="1">IF(AND(Z30&lt;&gt;"t",Z30&lt;&gt;"f"),"",IF(AND(EN30=$BH$13,K30=$BH$12),"NotOpt",IF(K30&lt;&gt;EN30,"Error","")))</f>
        <v/>
      </c>
      <c r="EN30" s="490" t="str">
        <f>IF($BG$28=1,$BH$13,$BH$12)</f>
        <v>120 BU's</v>
      </c>
      <c r="EO30" s="426" t="str">
        <f>K30</f>
        <v xml:space="preserve"> </v>
      </c>
      <c r="EP30" s="430">
        <v>1</v>
      </c>
      <c r="EQ30" s="430" t="str">
        <f ca="1">IF(EP30=1," ",OFFSET(BF$16,EP30-2,0,1,1))</f>
        <v xml:space="preserve"> </v>
      </c>
      <c r="ER30" s="439" t="str">
        <f ca="1">IF(H30=0," ",H30)</f>
        <v xml:space="preserve"> </v>
      </c>
      <c r="ES30" s="440" t="str">
        <f ca="1">IF(ER30&lt;&gt;" ",IF(ER30&lt;&gt;ER$7,"Changed",""),"")</f>
        <v/>
      </c>
      <c r="ET30" s="440">
        <f ca="1">IF(ER30&lt;&gt;" ",IF(ER30&lt;&gt;ER$7,1,0),0)</f>
        <v>0</v>
      </c>
      <c r="EU30" s="957" t="str">
        <f ca="1">IF(I30=" "," ",IF(F30&lt;OFFSET($BM$9,CL30-1,0,1,1),1,""))</f>
        <v xml:space="preserve"> </v>
      </c>
      <c r="EW30" s="427"/>
      <c r="EX30"/>
      <c r="EY30"/>
      <c r="EZ30"/>
      <c r="FA30"/>
    </row>
    <row r="31" spans="2:157" ht="17.100000000000001" customHeight="1" thickBot="1">
      <c r="B31" s="2686" t="s">
        <v>8</v>
      </c>
      <c r="C31" s="2687"/>
      <c r="D31" s="1461" t="s">
        <v>8</v>
      </c>
      <c r="E31" s="659"/>
      <c r="F31" s="659"/>
      <c r="G31" s="659"/>
      <c r="H31" s="659"/>
      <c r="I31" s="1462"/>
      <c r="J31" s="1365" t="str">
        <f ca="1">(CONCATENATE(B26,$BE$54))</f>
        <v>P  Line:  Min. Requirement</v>
      </c>
      <c r="K31" s="23"/>
      <c r="L31" s="1019">
        <f ca="1">L$5</f>
        <v>0</v>
      </c>
      <c r="M31" s="48">
        <f ca="1">IF(B26=B20,SUM(M26:M30)+M25,SUM(M26:M30))</f>
        <v>0</v>
      </c>
      <c r="N31" s="1019">
        <f ca="1">N$5</f>
        <v>0</v>
      </c>
      <c r="O31" s="125">
        <f ca="1">IF(B26=B20,SUM(O26:O30)+O25,SUM(O26:O30))</f>
        <v>0</v>
      </c>
      <c r="P31" s="139"/>
      <c r="Q31" s="42" t="str">
        <f ca="1">IF(B26=B32,"",IF(AND(M31&gt;0,L31=L$5,OR(M31&lt;$M$105,M31&lt;$BF$3)),"Achieved &lt; Min Req per Line",IF(AND(O31&gt;0,N31=N$5,OR(O31&lt;$O$105,O31&lt;$BF$3)),"Achieved &lt; Min Req per Line",IF(AND(M31&gt;0,L31&gt;M31),"More Required on this line",IF(AND(O31&gt;0,N31&gt;O31),"More Required on this line",IF(AND(L31&gt;0,L31&lt;$BF$3),$BE$59,IF(AND(N31&gt;0,N31&lt;$BF$3),$BE$59,"")))))))</f>
        <v/>
      </c>
      <c r="R31" s="52"/>
      <c r="S31" s="52"/>
      <c r="T31" s="52"/>
      <c r="U31" s="1378"/>
      <c r="V31" s="52"/>
      <c r="W31" s="999"/>
      <c r="X31" s="999"/>
      <c r="Y31" s="896"/>
      <c r="Z31" s="52"/>
      <c r="AA31" s="51"/>
      <c r="AB31" s="1364"/>
      <c r="AC31" s="1"/>
      <c r="AJ31" s="2230"/>
      <c r="AK31" s="2779"/>
      <c r="AL31" s="2785"/>
      <c r="AM31" s="1177">
        <f>'Regular and QuickBrace Systems'!F46</f>
        <v>1.2</v>
      </c>
      <c r="AN31" s="1274">
        <f>'Regular and QuickBrace Systems'!G46</f>
        <v>150</v>
      </c>
      <c r="AO31" s="1275">
        <f>'Regular and QuickBrace Systems'!H46</f>
        <v>135</v>
      </c>
      <c r="AP31" s="1277"/>
      <c r="AQ31" s="2665"/>
      <c r="AR31" s="2666"/>
      <c r="AS31" s="2032"/>
      <c r="AT31" s="1339"/>
      <c r="AU31" s="2132"/>
      <c r="AW31" s="1570" t="str">
        <f>'Regular and QuickBrace Systems'!O46</f>
        <v>Yes</v>
      </c>
      <c r="AX31" s="1574" t="str">
        <f>'Regular and QuickBrace Systems'!Q46</f>
        <v>Yes</v>
      </c>
      <c r="BA31"/>
      <c r="BB31"/>
      <c r="BC31"/>
      <c r="BD31" s="2648"/>
      <c r="BF31" s="599" t="str">
        <f>'Custom Elements'!C15</f>
        <v>Custom7</v>
      </c>
      <c r="BI31" s="759"/>
      <c r="BJ31" s="897">
        <f t="shared" si="3"/>
        <v>23</v>
      </c>
      <c r="BK31" s="775" t="str">
        <f t="shared" si="6"/>
        <v xml:space="preserve"> </v>
      </c>
      <c r="BL31" s="772" t="str">
        <f t="shared" si="7"/>
        <v>Custom20</v>
      </c>
      <c r="BM31" s="776">
        <f t="shared" si="8"/>
        <v>9.9999999999999996E-76</v>
      </c>
      <c r="BN31" s="776">
        <v>999</v>
      </c>
      <c r="BO31" s="776">
        <f t="shared" si="9"/>
        <v>0</v>
      </c>
      <c r="BP31" s="926">
        <f t="shared" si="10"/>
        <v>0</v>
      </c>
      <c r="BR31" s="908"/>
      <c r="BS31" s="776"/>
      <c r="BT31" s="455" t="str">
        <f t="shared" si="11"/>
        <v>B</v>
      </c>
      <c r="BU31" s="925" t="str">
        <f t="shared" si="12"/>
        <v>T</v>
      </c>
      <c r="BV31" s="1030" t="str">
        <f t="shared" si="13"/>
        <v>Custom20</v>
      </c>
      <c r="BW31" s="1237">
        <f t="shared" si="16"/>
        <v>23</v>
      </c>
      <c r="BX31" s="925" t="str">
        <f t="shared" si="14"/>
        <v>Single</v>
      </c>
      <c r="CH31" s="908">
        <f>IF(BN31=999,0,(BO41-BO31)/(BN31-BM31))</f>
        <v>0</v>
      </c>
      <c r="CI31" s="926">
        <f>IF(BN31=999,0,(BP41-BP31)/(BN31-BM31))</f>
        <v>0</v>
      </c>
      <c r="CJ31" s="759"/>
      <c r="CK31" s="188"/>
      <c r="CL31" s="979"/>
      <c r="CN31" s="497"/>
      <c r="CO31" s="497"/>
      <c r="CQ31" s="51"/>
      <c r="CR31" s="51" t="s">
        <v>8</v>
      </c>
      <c r="CS31" s="51"/>
      <c r="CT31" s="51" t="s">
        <v>8</v>
      </c>
      <c r="CU31" s="51"/>
      <c r="CV31" s="51" t="s">
        <v>8</v>
      </c>
      <c r="CW31" s="51"/>
      <c r="CX31" s="51"/>
      <c r="CY31" s="51"/>
      <c r="CZ31" s="51"/>
      <c r="DD31" s="758"/>
      <c r="DF31" s="52"/>
      <c r="DG31" s="51"/>
      <c r="DH31" s="51"/>
      <c r="DI31" s="51"/>
      <c r="DJ31" s="51"/>
      <c r="DK31" s="51"/>
      <c r="DL31" s="51"/>
      <c r="DM31" s="51"/>
      <c r="DN31" s="51"/>
      <c r="DO31" s="435"/>
      <c r="DP31" s="435"/>
      <c r="DQ31" s="868"/>
      <c r="DR31" s="868"/>
      <c r="DU31" s="188"/>
      <c r="DV31" s="188" t="s">
        <v>8</v>
      </c>
      <c r="DW31" s="188"/>
      <c r="DX31" s="188" t="s">
        <v>8</v>
      </c>
      <c r="DY31" s="188"/>
      <c r="DZ31" s="188"/>
      <c r="EA31" s="188"/>
      <c r="EB31" s="188"/>
      <c r="EC31" s="435"/>
      <c r="ED31" s="435"/>
      <c r="EE31" s="868"/>
      <c r="EF31" s="868"/>
      <c r="EG31" s="613"/>
      <c r="EH31" s="435"/>
      <c r="EI31" s="613"/>
      <c r="EJ31" s="435"/>
      <c r="EK31" s="451"/>
      <c r="EL31" s="612"/>
      <c r="EN31" s="947"/>
      <c r="ER31" s="441"/>
      <c r="ES31" s="440"/>
      <c r="ET31" s="440"/>
      <c r="EU31" s="957"/>
      <c r="EW31" s="427"/>
      <c r="EX31"/>
      <c r="EY31"/>
      <c r="EZ31"/>
      <c r="FA31"/>
    </row>
    <row r="32" spans="2:157" ht="17.100000000000001" customHeight="1" thickBot="1">
      <c r="B32" s="1369" t="str">
        <f ca="1">S32</f>
        <v>Q</v>
      </c>
      <c r="C32" s="684" t="str">
        <f>IF(OR(F32=0,I32="",I32=" ")," ",$V32)</f>
        <v xml:space="preserve"> </v>
      </c>
      <c r="D32" s="1033"/>
      <c r="E32" s="1360" t="s">
        <v>8</v>
      </c>
      <c r="F32" s="202"/>
      <c r="G32" s="1416"/>
      <c r="H32" s="199" t="str">
        <f ca="1">IF(OR(F32=0,Z32="E",Z32="f")," ",'Project Demand'!E$45)</f>
        <v xml:space="preserve"> </v>
      </c>
      <c r="I32" s="631" t="str">
        <f>IF($I$6&lt;&gt;$BG$8," ",AB32)</f>
        <v xml:space="preserve"> </v>
      </c>
      <c r="J32" s="43" t="str">
        <f ca="1">IF(OR(I32=" ",I32="")," ",OFFSET($BO$9,CL32-1,0-4,1,1))</f>
        <v xml:space="preserve"> </v>
      </c>
      <c r="K32" s="55" t="str">
        <f>IF(OR(I32=" ",I32="")," ",IF(OR(Z32="e",Z32="h"),"SD",BG$24))</f>
        <v xml:space="preserve"> </v>
      </c>
      <c r="L32" s="49">
        <f ca="1">CW32</f>
        <v>0</v>
      </c>
      <c r="M32" s="49">
        <f ca="1">CY32</f>
        <v>0</v>
      </c>
      <c r="N32" s="50">
        <f t="shared" ref="N32:O36" ca="1" si="19">DA32</f>
        <v>0</v>
      </c>
      <c r="O32" s="126">
        <f t="shared" ca="1" si="19"/>
        <v>0</v>
      </c>
      <c r="P32" s="140"/>
      <c r="Q32" s="752" t="str">
        <f ca="1">IF(AND(OR(Z32="t",Z32="f"),K32=$BH$11),"No Floor!  Change Floor Type",IF(OR(I32=" ",I32="")," ",IF(F32&lt;OFFSET($BM$9,CL32-1,0,1,1),"check L(m)",DE32&amp;IF(AND(DP32&gt;=CY32,DR32&gt;=DB32),IF(AND(ED32&gt;=DP32,EF32&gt;=DR32),CONCATENATE(DS32," will provide same result"),CONCATENATE(CO32," will provide same result")),IF((DP32&gt;=CY32),CONCATENATE(CO32," provides same result in WIND"),IF((DR32&gt;=DB32),CONCATENATE(CO32," provides same result in EQ"),""))))))&amp;IF(ISERROR(FIND("pile",I32,1)),"",IF(INT(F32)&lt;&gt;F32,"Pile!  Use Whole Numbers Only",""))</f>
        <v xml:space="preserve"> </v>
      </c>
      <c r="R32" s="52">
        <f ca="1">IF(T26&lt;&gt;2,(COLUMN(INDIRECT(B26&amp;1))+1),U32)</f>
        <v>17</v>
      </c>
      <c r="S32" s="1372" t="str">
        <f ca="1">SUBSTITUTE(ADDRESS(1,R32,4),"1","")</f>
        <v>Q</v>
      </c>
      <c r="T32" s="451">
        <f ca="1">IF(AND(ISTEXT(B32),SUBSTITUTE(SUBSTITUTE(SUBSTITUTE(SUBSTITUTE(SUBSTITUTE(SUBSTITUTE(SUBSTITUTE(SUBSTITUTE(SUBSTITUTE(SUBSTITUTE(SUBSTITUTE(SUBSTITUTE(SUBSTITUTE(SUBSTITUTE(SUBSTITUTE(SUBSTITUTE(SUBSTITUTE(SUBSTITUTE(SUBSTITUTE(SUBSTITUTE(SUBSTITUTE(SUBSTITUTE(SUBSTITUTE(SUBSTITUTE(SUBSTITUTE(SUBSTITUTE(LOWER(B32),"a",),"b",),"c",),"d",),"e",),"f",),"g",),"h",),"i",),"j",),"k",),"l",),"m",),"n",),"o",),"p",),"q",),"r",),"s",),"t",),"u",),"v",),"w",),"x",),"y",),"z",)=""),1,2)</f>
        <v>1</v>
      </c>
      <c r="U32" s="1377">
        <v>17</v>
      </c>
      <c r="V32" s="52" t="str">
        <f ca="1">IF(AND(B$5=$BF$9,OR(I32=BH$16,I32=BH$17))," ",IF(ISNUMBER(B$32),(CONCATENATE(B$32,".",W32)),(CONCATENATE(B$32,W32))))</f>
        <v>Q0</v>
      </c>
      <c r="W32" s="9">
        <f ca="1">IF(B26=B32,W30+X32,X32)</f>
        <v>0</v>
      </c>
      <c r="X32" s="9">
        <f>IF(AND(B$5=$BF$9,OR($I32=$BH$16,$I32=$BH$17,$I32=" ",$I32="",$F32=0)),0,IF(OR($I32=" ",$I32="",$F32=0),0,1))</f>
        <v>0</v>
      </c>
      <c r="Y32" s="896">
        <f ca="1">IF(AND(M37&gt;0,B32&lt;&gt;B38),1,0)</f>
        <v>0</v>
      </c>
      <c r="Z32" s="52" t="str">
        <f ca="1">IF(I32=" "," ",OFFSET($BM$9,$CL32-1,8,1,1))</f>
        <v xml:space="preserve"> </v>
      </c>
      <c r="AA32" s="51" t="str">
        <f>IF(G32&gt;=45,"WA","")</f>
        <v/>
      </c>
      <c r="AB32" s="1364" t="str">
        <f>IF(F32&lt;&gt;"",IF(OR(D32=$BG$12,D32=$BG$13),IF(E32&lt;&gt;$BG$17,$BF$12,$BF$13),IF(E32&lt;&gt;$BG$17,$BF$12,$BF$13))," ")</f>
        <v xml:space="preserve"> </v>
      </c>
      <c r="AC32" s="1"/>
      <c r="AJ32" s="2230"/>
      <c r="AK32" s="2779"/>
      <c r="AL32" s="2783" t="str">
        <f>'Regular and QuickBrace Systems'!E47</f>
        <v>EMSH</v>
      </c>
      <c r="AM32" s="1176">
        <f>'Regular and QuickBrace Systems'!F47</f>
        <v>0.4</v>
      </c>
      <c r="AN32" s="1272">
        <f>'Regular and QuickBrace Systems'!G47</f>
        <v>110</v>
      </c>
      <c r="AO32" s="1273">
        <f>'Regular and QuickBrace Systems'!H47</f>
        <v>115</v>
      </c>
      <c r="AP32" s="1594"/>
      <c r="AQ32" s="2661" t="str">
        <f>'Regular and QuickBrace Systems'!I41</f>
        <v>Specialised QuickBrace Pattern</v>
      </c>
      <c r="AR32" s="2662"/>
      <c r="AS32" s="2030" t="str">
        <f>'Regular and QuickBrace Systems'!K44</f>
        <v>Yes</v>
      </c>
      <c r="AT32" s="1339"/>
      <c r="AU32" s="2133" t="str">
        <f>'Regular and QuickBrace Systems'!M47</f>
        <v>Elephant Multiboard One side,           Elephant Standard-Plus board the Other</v>
      </c>
      <c r="AW32" s="1567" t="str">
        <f>'Regular and QuickBrace Systems'!O47</f>
        <v>Yes</v>
      </c>
      <c r="AX32" s="1573" t="str">
        <f>'Regular and QuickBrace Systems'!Q47</f>
        <v>No</v>
      </c>
      <c r="BA32"/>
      <c r="BB32"/>
      <c r="BC32"/>
      <c r="BD32" s="2648"/>
      <c r="BF32" s="599" t="str">
        <f>'Custom Elements'!C16</f>
        <v>Custom8</v>
      </c>
      <c r="BG32" s="948" t="s">
        <v>640</v>
      </c>
      <c r="BI32" s="759"/>
      <c r="BJ32" s="897">
        <f t="shared" si="3"/>
        <v>24</v>
      </c>
      <c r="BW32" s="896"/>
      <c r="CH32" s="970"/>
      <c r="CI32" s="971"/>
      <c r="CJ32" s="759"/>
      <c r="CK32" s="188"/>
      <c r="CL32" s="979">
        <f>VLOOKUP(I32,Prodlink,2,0)</f>
        <v>0</v>
      </c>
      <c r="CN32" s="497">
        <f ca="1">VLOOKUP(CO32,Prodlink,2,0)</f>
        <v>0</v>
      </c>
      <c r="CO32" s="497">
        <f ca="1">OFFSET($CH$9,CL32-1,-15,1,1)</f>
        <v>0</v>
      </c>
      <c r="CQ32" s="51">
        <v>0</v>
      </c>
      <c r="CR32" s="51">
        <f>IF(K32=$BH$12,$BH$23,IF(K32=$BH$13,$BH$24,10000))</f>
        <v>10000</v>
      </c>
      <c r="CS32" s="51">
        <f ca="1">IF(F32&lt;OFFSET($BM$9,CL32-1,0,1,1),0,IF(F32&lt;OFFSET($BN$9,CL32-1,0,1,1),((F32-OFFSET($BM$9,CL32-1,0,1,1))*OFFSET($CH$9,CL32-1,0,1,1))+OFFSET($BO$9,CL32-1,CQ32,1,1),IF(F32&lt;OFFSET($BN$9,CL32+0,0,1,1),((F32-OFFSET($BM$9,CL32+0,0,1,1))*OFFSET($CH$9,CL32+0,0,1,1))+OFFSET($BO$9,CL32+0,CQ32,1,1),IF(F32&lt;OFFSET($BN$9,CL32+1,0,1,1),((F32-OFFSET($BM$9,CL32+1,0,1,1))*OFFSET($CH$9,CL32+1,0,1,1))+OFFSET($BO$9,CL32+1,CQ32,1,1),IF(F32&lt;OFFSET($BN$9,CL32+2,0,1,1),((F32-OFFSET($BM$9,CL32+2,0,1,1))*OFFSET($CH$9,CL32+2,0,1,1))+OFFSET($BO$9,CL32+2,CQ32,1,1),IF(F32&lt;OFFSET($BN$9,CL32+3,0,1,1),((F32-OFFSET($BM$9,CL32+3,0,1,1))*OFFSET($CH$9,CL32+3,0,1,1))+OFFSET($BO$9,CL32+3,CQ32,1,1),0))))))</f>
        <v>0</v>
      </c>
      <c r="CT32" s="51">
        <f ca="1">IF($F32&lt;OFFSET($BM$9,$CL32-1,0,1,1),0,IF($F32&lt;OFFSET($BN$9,$CL32-1,0,1,1),IF(AND($H32&gt;2.4,Z32&lt;&gt;"e",Z32&lt;&gt;"f"),CX32*2.4/$H32,CX32),IF($F32&lt;OFFSET($BN$9,$CL32+0,0,1,1),IF(AND($H32&gt;2.4,Z32&lt;&gt;"e",Z32&lt;&gt;"f"),CX32*2.4/$H32,CX32),IF($F32&lt;OFFSET($BN$9,$CL32+1,0,1,1),IF(AND($H32&gt;2.4,Z32&lt;&gt;"e",Z32&lt;&gt;"f"),CX32*2.4/$H32,CX32),IF($F32&lt;OFFSET($BN$9,CL32+2,0,1,1),IF(AND($H32&gt;2.4,Z32&lt;&gt;"e",Z32&lt;&gt;"f"),CX32*2.4/$H32,CX32),IF($F32&lt;OFFSET($BN$9,CL32+3,0,1,1),IF(AND($H32&gt;2.4,Z32&lt;&gt;"e",Z32&lt;&gt;"f"),CX32*2.4/$H32,CX32),0)))))*COS(RADIANS($G32)))</f>
        <v>0</v>
      </c>
      <c r="CU32" s="51">
        <f ca="1">IF(F32&lt;OFFSET($BM$9,CL32-1,0,1,1),0,IF(F32&lt;OFFSET($BN$9,CL32-1,0,1,1),((F32-OFFSET($BM$9,CL32-1,0,1,1))*OFFSET($CI$9,CL32-1,0,1,1))+OFFSET($BP$9,CL32-1,CQ32,1,1),IF(F32&lt;OFFSET($BN$9,CL32+0,0,1,1),((F32-OFFSET($BM$9,CL32+0,0,1,1))*OFFSET($CI$9,CL32+0,0,1,1))+OFFSET($BP$9,CL32+0,CQ32,1,1),IF(F32&lt;OFFSET($BN$9,CL32+1,0,1,1),((F32-OFFSET($BM$9,CL32+1,0,1,1))*OFFSET($CI$9,CL32+1,0,1,1))+OFFSET($BP$9,CL32+1,CQ32,1,1),IF(F32&lt;OFFSET($BN$9,CL32+2,0,1,1),((F32-OFFSET($BM$9,CL32+2,0,1,1))*OFFSET($CI$9,CL32+2,0,1,1))+OFFSET($BP$9,CL32+2,CQ32,1,1),IF(F32&lt;OFFSET($BN$9,CL32+3,0,1,1),((F32-OFFSET($BM$9,CL32+3,0,1,1))*OFFSET($CI$9,CL32+3,0,1,1))+OFFSET($BP$9,CL32+3,CQ32,1,1),0))))))</f>
        <v>0</v>
      </c>
      <c r="CV32" s="51">
        <f ca="1">IF($F32&lt;OFFSET($BM$9,$CL32-1,0,1,1),0,IF($F32&lt;OFFSET($BN$9,$CL32-1,0,1,1),IF(AND($H32&gt;2.4,Z32&lt;&gt;"e",Z32&lt;&gt;"f"),CZ32*2.4/$H32,CZ32),IF($F32&lt;OFFSET($BN$9,$CL32+0,0,1,1),IF(AND($H32&gt;2.4,Z32&lt;&gt;"e",Z32&lt;&gt;"f"),CZ32*2.4/$H32,CZ32),IF($F32&lt;OFFSET($BN$9,$CL32+1,0,1,1),IF(AND($H32&gt;2.4,Z32&lt;&gt;"e",Z32&lt;&gt;"f"),CZ32*2.4/$H32,CZ32),IF($F32&lt;OFFSET($BN$9,$CL32+2,0,1,1),IF(AND($H32&gt;2.4,Z32&lt;&gt;"e",Z32&lt;&gt;"f"),CZ32*2.4/$H32,CZ32),IF($F32&lt;OFFSET($BN$9,$CL32+3,0,1,1),IF(AND($H32&gt;2.4,Z32&lt;&gt;"e",Z32&lt;&gt;"f"),CZ32*2.4/$H32,CZ32),0)))))*COS(RADIANS($G32)))</f>
        <v>0</v>
      </c>
      <c r="CW32" s="51">
        <f ca="1">IF(CT32&gt;CR32,CR32,CT32)</f>
        <v>0</v>
      </c>
      <c r="CX32" s="51">
        <f ca="1">IF(CS32&gt;$CR32,$CR32,CS32)</f>
        <v>0</v>
      </c>
      <c r="CY32" s="51">
        <f ca="1">CW32*F32</f>
        <v>0</v>
      </c>
      <c r="CZ32" s="51">
        <f ca="1">IF($CU32&gt;$CR32,$CR32,$CU32)</f>
        <v>0</v>
      </c>
      <c r="DA32" s="51">
        <f ca="1">IF(CV32&gt;CR32,CR32,CV32)</f>
        <v>0</v>
      </c>
      <c r="DB32" s="51">
        <f ca="1">DA32*F32</f>
        <v>0</v>
      </c>
      <c r="DC32" s="993">
        <v>1</v>
      </c>
      <c r="DD32" s="758" t="str">
        <f>IF(OR(D32=BG$12,D32=BG$13),"External",IF(D32=BG$14,"Internal"," "))</f>
        <v xml:space="preserve"> </v>
      </c>
      <c r="DE32" s="51" t="str">
        <f t="shared" ca="1" si="1"/>
        <v/>
      </c>
      <c r="DF32" s="52" t="str">
        <f t="shared" ca="1" si="2"/>
        <v xml:space="preserve"> </v>
      </c>
      <c r="DG32" s="51">
        <f ca="1">IF(F32&lt;OFFSET($BM$9,CN32-1,0,1,1),0,IF(F32&lt;OFFSET($BN$9,CN32-1,0,1,1),((F32-OFFSET($BM$9,CN32-1,0,1,1))*OFFSET($CH$9,CN32-1,0,1,1))+OFFSET($BO$9,CN32-1,CQ32,1,1),IF(F32&lt;OFFSET($BN$9,CN32+0,0,1,1),((F32-OFFSET($BM$9,CN32+0,0,1,1))*OFFSET($CH$9,CN32+0,0,1,1))+OFFSET($BO$9,CN32+0,CQ32,1,1),IF(F32&lt;OFFSET($BN$9,CN32+1,0,1,1),((F32-OFFSET($BM$9,CN32+1,0,1,1))*OFFSET($CH$9,CN32+1,0,1,1))+OFFSET($BO$9,CN32+1,CQ32,1,1),IF(F32&lt;OFFSET($BN$9,CN32+2,0,1,1),((F32-OFFSET($BM$9,CN32+2,0,1,1))*OFFSET($CH$9,CN32+2,0,1,1))+OFFSET($BO$9,CN32+2,CQ32,1,1),IF(F32&lt;OFFSET($BN$9,CN32+3,0,1,1),((F32-OFFSET($BM$9,CN32+3,0,1,1))*OFFSET($CH$9,CN32+3,0,1,1))+OFFSET($BO$9,CN32+3,CQ32,1,1),0))))))</f>
        <v>0</v>
      </c>
      <c r="DH32" s="51">
        <f ca="1">IF($F32&lt;OFFSET($BM$9,$CN32-1,0,1,1),0,IF($F32&lt;OFFSET($BN$9,$CN32-1,0,1,1),IF(AND($H32&gt;2.4,Z32&lt;&gt;"e",Z32&lt;&gt;"f"),DL32*2.4/$H32,DL32),IF($F32&lt;OFFSET($BN$9,$CN32+0,0,1,1),IF(AND($H32&gt;2.4,Z32&lt;&gt;"e",Z32&lt;&gt;"f"),DL32*2.4/$H32,DL32),IF($F32&lt;OFFSET($BN$9,$CN32+1,0,1,1),IF(AND($H32&gt;2.4,Z32&lt;&gt;"e",Z32&lt;&gt;"f"),DL32*2.4/$H32,DL32),IF($F32&lt;OFFSET($BN$9,$CN32+2,0,1,1),IF(AND($H32&gt;2.4,Z32&lt;&gt;"e",Z32&lt;&gt;"f"),DL32*2.4/$H32,DL32),IF($F32&lt;OFFSET($BN$9,$CN32+3,0,1,1),IF(AND($H32&gt;2.4,Z32&lt;&gt;"e",Z32&lt;&gt;"f"),DL32*2.4/$H32,DL32),0)))))*COS(RADIANS($G32)))</f>
        <v>0</v>
      </c>
      <c r="DI32" s="51">
        <f ca="1">IF(F32&lt;OFFSET($BM$9,CN32-1,0,1,1),0,IF(F32&lt;OFFSET($BN$9,CN32-1,0,1,1),((F32-OFFSET($BM$9,CN32-1,0,1,1))*OFFSET($CI$9,CN32-1,0,1,1))+OFFSET($BP$9,CN32-1,CQ32,1,1),IF(F32&lt;OFFSET($BN$9,CN32+0,0,1,1),((F32-OFFSET($BM$9,CN32+0,0,1,1))*OFFSET($CI$9,CN32+0,0,1,1))+OFFSET($BP$9,CN32+0,CQ32,1,1),IF(F32&lt;OFFSET($BN$9,CN32+1,0,1,1),((F32-OFFSET($BM$9,CN32+1,0,1,1))*OFFSET($CI$9,CN32+1,0,1,1))+OFFSET($BP$9,CN32+1,CQ32,1,1),IF(F32&lt;OFFSET($BN$9,CN32+2,0,1,1),((F32-OFFSET($BM$9,CN32+2,0,1,1))*OFFSET($CI$9,CN32+2,0,1,1))+OFFSET($BP$9,CN32+2,CQ32,1,1),IF(F32&lt;OFFSET($BN$9,CN32+3,0,1,1),((F32-OFFSET($BM$9,CN32+3,0,1,1))*OFFSET($CI$9,CN32+3,0,1,1))+OFFSET($BP$9,CN32+3,CQ32,1,1),0))))))</f>
        <v>0</v>
      </c>
      <c r="DJ32" s="51">
        <f ca="1">IF($F32&lt;OFFSET($BM$9,$CN32-1,0,1,1),0,IF($F32&lt;OFFSET($BN$9,$CN32-1,0,1,1),IF(AND($H32&gt;2.4,Z32&lt;&gt;"e",Z32&lt;&gt;"f"),DN32*2.4/$H32,DN32),IF($F32&lt;OFFSET($BN$9,$CN32+0,0,1,1),IF(AND($H32&gt;2.4,Z32&lt;&gt;"e",Z32&lt;&gt;"f"),DN32*2.4/$H32,DN32),IF($F32&lt;OFFSET($BN$9,$CN32+1,0,1,1),IF(AND($H32&gt;2.4,Z32&lt;&gt;"e",Z32&lt;&gt;"f"),DN32*2.4/$H32,DN32),IF($F32&lt;OFFSET($BN$9,$CN32+2,0,1,1),IF(AND($H32&gt;2.4,Z32&lt;&gt;"e",Z32&lt;&gt;"f"),DN32*2.4/$H32,DN32),IF($F32&lt;OFFSET($BN$9,$CN32+3,0,1,1),IF(AND($H32&gt;2.4,Z32&lt;&gt;"e",Z32&lt;&gt;"f"),DN32*2.4/$H32,DN32),0)))))*COS(RADIANS($G32)))</f>
        <v>0</v>
      </c>
      <c r="DK32" s="51"/>
      <c r="DL32" s="51">
        <f ca="1">IF(DG32&gt;$CR32,$CR32,DG32)</f>
        <v>0</v>
      </c>
      <c r="DM32" s="51"/>
      <c r="DN32" s="51">
        <f ca="1">IF(DI32&gt;$CR32,$CR32,DI32)</f>
        <v>0</v>
      </c>
      <c r="DO32" s="435">
        <f ca="1">IF(DH32&gt;$CR32,$CR32,DH32)</f>
        <v>0</v>
      </c>
      <c r="DP32" s="435">
        <f ca="1">DO32*F32</f>
        <v>0</v>
      </c>
      <c r="DQ32" s="436">
        <f ca="1">IF(DJ32&gt;$CR32,$CR32,DJ32)</f>
        <v>0</v>
      </c>
      <c r="DR32" s="437">
        <f ca="1">DQ32*F32</f>
        <v>0</v>
      </c>
      <c r="DS32" s="426">
        <f ca="1">OFFSET($CH$9,CL32-1,-15,1,1)</f>
        <v>0</v>
      </c>
      <c r="DT32" s="426">
        <f ca="1">VLOOKUP(DS32,Prodlink,2,0)</f>
        <v>0</v>
      </c>
      <c r="DU32" s="188">
        <f ca="1">IF(F32&lt;OFFSET($BM$9,DT32-1,0,1,1),0,IF(F32&lt;OFFSET($BN$9,DT32-1,0,1,1),((F32-OFFSET($BM$9,DT32-1,0,1,1))*OFFSET($CH$9,DT32-1,0,1,1))+OFFSET($BO$9,DT32-1,CQ32,1,1),IF(F32&lt;OFFSET($BN$9,DT32+0,0,1,1),((F32-OFFSET($BM$9,DT32+0,0,1,1))*OFFSET($CH$9,DT32+0,0,1,1))+OFFSET($BO$9,DT32+0,CQ32,1,1),IF(F32&lt;OFFSET($BN$9,DT32+1,0,1,1),((F32-OFFSET($BM$9,DT32+1,0,1,1))*OFFSET($CH$9,DT32+1,0,1,1))+OFFSET($BO$9,DT32+1,CQ32,1,1),IF(F32&lt;OFFSET($BN$9,DT32+2,0,1,1),((F32-OFFSET($BM$9,DT32+2,0,1,1))*OFFSET($CH$9,DT32+2,0,1,1))+OFFSET($BO$9,DT32+2,CQ32,1,1),IF(F32&lt;OFFSET($BN$9,DT32+3,0,1,1),((F32-OFFSET($BM$9,DT32+3,0,1,1))*OFFSET($CH$9,DT32+3,0,1,1))+OFFSET($BO$9,DT32+3,CQ32,1,1),0))))))</f>
        <v>0</v>
      </c>
      <c r="DV32" s="51">
        <f ca="1">IF($F32&lt;OFFSET($BM$9,$DT32-1,0,1,1),0,IF($F32&lt;OFFSET($BN$9,$DT32-1,0,1,1),IF(AND($H32&gt;2.4,Z32&lt;&gt;"e",Z32&lt;&gt;"f"),DZ32*2.4/$H32,DZ32),IF($F32&lt;OFFSET($BN$9,$DT32+0,0,1,1),IF(AND($H32&gt;2.4,Z32&lt;&gt;"e",Z32&lt;&gt;"f"),DZ32*2.4/$H32,DZ32),IF($F32&lt;OFFSET($BN$9,$DT32+1,0,1,1),IF(AND($H32&gt;2.4,Z32&lt;&gt;"e",Z32&lt;&gt;"f"),DZ32*2.4/$H32,DZ32),IF($F32&lt;OFFSET($BN$9,$DT32+2,0,1,1),IF(AND($H32&gt;2.4,Z32&lt;&gt;"e",Z32&lt;&gt;"f"),DZ32*2.4/$H32,DZ32),IF($F32&lt;OFFSET($BN$9,$DT32+3,0,1,1),IF(AND($H32&gt;2.4,Z32&lt;&gt;"e",Z32&lt;&gt;"f"),DZ32*2.4/$H32,DZ32),0)))))*COS(RADIANS($G32)))</f>
        <v>0</v>
      </c>
      <c r="DW32" s="188">
        <f ca="1">IF(F32&lt;OFFSET($BM$9,DT32-1,0,1,1),0,IF(F32&lt;OFFSET($BN$9,DT32-1,0,1,1),((F32-OFFSET($BM$9,DT32-1,0,1,1))*OFFSET($CI$9,DT32-1,0,1,1))+OFFSET($BP$9,DT32-1,CQ32,1,1),IF(F32&lt;OFFSET($BN$9,DT32+0,0,1,1),((F32-OFFSET($BM$9,DT32+0,0,1,1))*OFFSET($CI$9,DT32+0,0,1,1))+OFFSET($BP$9,DT32+0,CQ32,1,1),IF(F32&lt;OFFSET($BN$9,DT32+1,0,1,1),((F32-OFFSET($BM$9,DT32+1,0,1,1))*OFFSET($CI$9,DT32+1,0,1,1))+OFFSET($BP$9,DT32+1,CQ32,1,1),IF(F32&lt;OFFSET($BN$9,DT32+2,0,1,1),((F32-OFFSET($BM$9,DT32+2,0,1,1))*OFFSET($CI$9,DT32+2,0,1,1))+OFFSET($BP$9,DT32+2,CQ32,1,1),IF(F32&lt;OFFSET($BN$9,DT32+3,0,1,1),((F32-OFFSET($BM$9,DT32+3,0,1,1))*OFFSET($CI$9,DT32+3,0,1,1))+OFFSET($BP$9,DT32+3,CQ32,1,1),0))))))</f>
        <v>0</v>
      </c>
      <c r="DX32" s="51">
        <f ca="1">IF($F32&lt;OFFSET($BM$9,$DT32-1,0,1,1),0,IF($F32&lt;OFFSET($BN$9,$DT32-1,0,1,1),IF(AND($H32&gt;2.4,Z32&lt;&gt;"e",Z32&lt;&gt;"f"),EB32*2.4/$H32,EB32),IF($F32&lt;OFFSET($BN$9,$DT32+0,0,1,1),IF(AND($H32&gt;2.4,Z32&lt;&gt;"e",Z32&lt;&gt;"f"),EB32*2.4/$H32,EB32),IF($F32&lt;OFFSET($BN$9,$DT32+1,0,1,1),IF(AND($H32&gt;2.4,Z32&lt;&gt;"e",Z32&lt;&gt;"f"),EB32*2.4/$H32,EB32),IF($F32&lt;OFFSET($BN$9,$DT32+2,0,1,1),IF(AND($H32&gt;2.4,Z32&lt;&gt;"e",Z32&lt;&gt;"f"),EB32*2.4/$H32,EB32),IF($F32&lt;OFFSET($BN$9,$DT32+3,0,1,1),IF(AND($H32&gt;2.4,Z32&lt;&gt;"e",Z32&lt;&gt;"f"),EB32*2.4/$H32,EB32),0)))))*COS(RADIANS($G32)))</f>
        <v>0</v>
      </c>
      <c r="DY32" s="188"/>
      <c r="DZ32" s="188">
        <f ca="1">IF(DU32&gt;$CR32,$CR32,DU32)</f>
        <v>0</v>
      </c>
      <c r="EA32" s="188"/>
      <c r="EB32" s="188">
        <f ca="1">IF(DW32&gt;$CR32,$CR32,DW32)</f>
        <v>0</v>
      </c>
      <c r="EC32" s="435">
        <f ca="1">IF(DV32&gt;$CR32,$CR32,DV32)</f>
        <v>0</v>
      </c>
      <c r="ED32" s="435">
        <f ca="1">EC32*F32</f>
        <v>0</v>
      </c>
      <c r="EE32" s="436">
        <f ca="1">IF(DX32&gt;$CR32,$CR32,DX32)</f>
        <v>0</v>
      </c>
      <c r="EF32" s="437">
        <f ca="1">EE32*F32</f>
        <v>0</v>
      </c>
      <c r="EG32" s="613" t="str">
        <f>IF(D32=BG$12,BG$12,"")</f>
        <v/>
      </c>
      <c r="EH32" s="614" t="str">
        <f>IF(D32=BG$13,BG$13,"")</f>
        <v/>
      </c>
      <c r="EI32" s="611">
        <f>IF(EG32=BG$12,M32,0)</f>
        <v>0</v>
      </c>
      <c r="EJ32" s="451">
        <f>IF(EG32=BG$12,O32,0)</f>
        <v>0</v>
      </c>
      <c r="EK32" s="451">
        <f>IF(EH32=BG$13,M32,0)</f>
        <v>0</v>
      </c>
      <c r="EL32" s="612">
        <f>IF(EH32=BG$13,O32,0)</f>
        <v>0</v>
      </c>
      <c r="EM32" s="426" t="str">
        <f ca="1">IF(AND(Z32&lt;&gt;"t",Z32&lt;&gt;"f"),"",IF(AND(EN32=$BH$13,K32=$BH$12),"NotOpt",IF(K32&lt;&gt;EN32,"Error","")))</f>
        <v/>
      </c>
      <c r="EN32" s="490" t="str">
        <f>IF($BG$28=1,$BH$13,$BH$12)</f>
        <v>120 BU's</v>
      </c>
      <c r="EO32" s="426" t="str">
        <f>K32</f>
        <v xml:space="preserve"> </v>
      </c>
      <c r="EP32" s="430">
        <v>1</v>
      </c>
      <c r="EQ32" s="430" t="str">
        <f ca="1">IF(EP32=1," ",OFFSET(BF$16,EP32-2,0,1,1))</f>
        <v xml:space="preserve"> </v>
      </c>
      <c r="ER32" s="439" t="str">
        <f ca="1">IF(H32=0," ",H32)</f>
        <v xml:space="preserve"> </v>
      </c>
      <c r="ES32" s="440" t="str">
        <f ca="1">IF(ER32&lt;&gt;" ",IF(ER32&lt;&gt;ER$7,"Changed",""),"")</f>
        <v/>
      </c>
      <c r="ET32" s="440">
        <f ca="1">IF(ER32&lt;&gt;" ",IF(ER32&lt;&gt;ER$7,1,0),0)</f>
        <v>0</v>
      </c>
      <c r="EU32" s="957" t="str">
        <f ca="1">IF(I32=" "," ",IF(F32&lt;OFFSET($BM$9,CL32-1,0,1,1),1,""))</f>
        <v xml:space="preserve"> </v>
      </c>
      <c r="EW32" s="427"/>
      <c r="EX32"/>
      <c r="EY32"/>
      <c r="EZ32"/>
      <c r="FA32"/>
    </row>
    <row r="33" spans="1:157" ht="17.100000000000001" customHeight="1">
      <c r="B33" s="689" t="s">
        <v>246</v>
      </c>
      <c r="C33" s="684" t="str">
        <f>IF(OR(F33=0,I33="",I33=" ")," ",$V33)</f>
        <v xml:space="preserve"> </v>
      </c>
      <c r="D33" s="1033"/>
      <c r="E33" s="1360" t="s">
        <v>8</v>
      </c>
      <c r="F33" s="202"/>
      <c r="G33" s="1416"/>
      <c r="H33" s="199" t="str">
        <f ca="1">IF(OR(F33=0,Z33="E",Z33="f")," ",'Project Demand'!E$45)</f>
        <v xml:space="preserve"> </v>
      </c>
      <c r="I33" s="631" t="str">
        <f>IF($I$6&lt;&gt;$BG$8," ",AB33)</f>
        <v xml:space="preserve"> </v>
      </c>
      <c r="J33" s="44" t="str">
        <f ca="1">IF(OR(I33=" ",I33="")," ",OFFSET($BO$9,CL33-1,0-4,1,1))</f>
        <v xml:space="preserve"> </v>
      </c>
      <c r="K33" s="55" t="str">
        <f>IF(OR(I33=" ",I33="")," ",IF(OR(Z33="e",Z33="h"),"SD",BG$24))</f>
        <v xml:space="preserve"> </v>
      </c>
      <c r="L33" s="49">
        <f ca="1">CW33</f>
        <v>0</v>
      </c>
      <c r="M33" s="49">
        <f ca="1">CY33</f>
        <v>0</v>
      </c>
      <c r="N33" s="50">
        <f t="shared" ca="1" si="19"/>
        <v>0</v>
      </c>
      <c r="O33" s="126">
        <f t="shared" ca="1" si="19"/>
        <v>0</v>
      </c>
      <c r="P33" s="140"/>
      <c r="Q33" s="752" t="str">
        <f ca="1">IF(AND(OR(Z33="t",Z33="f"),K33=$BH$11),"No Floor!  Change Floor Type",IF(OR(I33=" ",I33="")," ",IF(F33&lt;OFFSET($BM$9,CL33-1,0,1,1),"check L(m)",DE33&amp;IF(AND(DP33&gt;=CY33,DR33&gt;=DB33),IF(AND(ED33&gt;=DP33,EF33&gt;=DR33),CONCATENATE(DS33," will provide same result"),CONCATENATE(CO33," will provide same result")),IF((DP33&gt;=CY33),CONCATENATE(CO33," provides same result in WIND"),IF((DR33&gt;=DB33),CONCATENATE(CO33," provides same result in EQ"),""))))))&amp;IF(ISERROR(FIND("pile",I33,1)),"",IF(INT(F33)&lt;&gt;F33,"Pile!  Use Whole Numbers Only",""))</f>
        <v xml:space="preserve"> </v>
      </c>
      <c r="R33" s="52"/>
      <c r="S33" s="1372"/>
      <c r="T33" s="1372"/>
      <c r="U33" s="1377"/>
      <c r="V33" s="52" t="str">
        <f ca="1">IF(AND(B$5=$BF$9,OR(I33=BH$16,I33=BH$17))," ",IF(ISNUMBER(B$32),(CONCATENATE(B$32,".",W33)),(CONCATENATE(B$32,W33))))</f>
        <v>Q0</v>
      </c>
      <c r="W33" s="9">
        <f ca="1">W32+X33</f>
        <v>0</v>
      </c>
      <c r="X33" s="9">
        <f>IF(AND(B$5=$BF$9,OR($I33=$BH$16,$I33=$BH$17,$I33=" ",$I33="",$F33=0)),0,IF(OR($I33=" ",$I33="",$F33=0),0,1))</f>
        <v>0</v>
      </c>
      <c r="Y33" s="896"/>
      <c r="Z33" s="52" t="str">
        <f ca="1">IF(I33=" "," ",OFFSET($BM$9,$CL33-1,8,1,1))</f>
        <v xml:space="preserve"> </v>
      </c>
      <c r="AA33" s="51" t="str">
        <f>IF(G33&gt;=45,"WA","")</f>
        <v/>
      </c>
      <c r="AB33" s="1364" t="str">
        <f>IF(F33&lt;&gt;"",IF(OR(D33=$BG$12,D33=$BG$13),IF(E33&lt;&gt;$BG$17,$BF$12,$BF$13),IF(E33&lt;&gt;$BG$17,$BF$12,$BF$13))," ")</f>
        <v xml:space="preserve"> </v>
      </c>
      <c r="AC33" s="1"/>
      <c r="AJ33" s="2230"/>
      <c r="AK33" s="2779"/>
      <c r="AL33" s="2784"/>
      <c r="AM33" s="116">
        <f>'Regular and QuickBrace Systems'!F48</f>
        <v>0.8</v>
      </c>
      <c r="AN33" s="1336">
        <f>'Regular and QuickBrace Systems'!G48</f>
        <v>143</v>
      </c>
      <c r="AO33" s="26">
        <f>'Regular and QuickBrace Systems'!H48</f>
        <v>134</v>
      </c>
      <c r="AP33" s="1595"/>
      <c r="AQ33" s="2663"/>
      <c r="AR33" s="2664"/>
      <c r="AS33" s="2031"/>
      <c r="AT33" s="1339"/>
      <c r="AU33" s="2123"/>
      <c r="AW33" s="1586" t="str">
        <f>'Regular and QuickBrace Systems'!O48</f>
        <v>Yes</v>
      </c>
      <c r="AX33" s="1578" t="str">
        <f>'Regular and QuickBrace Systems'!Q48</f>
        <v>Yes</v>
      </c>
      <c r="BA33"/>
      <c r="BB33"/>
      <c r="BC33"/>
      <c r="BD33" s="2648"/>
      <c r="BF33" s="599" t="str">
        <f>'Custom Elements'!C17</f>
        <v>Custom9</v>
      </c>
      <c r="BG33" s="948" t="s">
        <v>641</v>
      </c>
      <c r="BI33" s="759"/>
      <c r="BJ33" s="897">
        <f t="shared" si="3"/>
        <v>25</v>
      </c>
      <c r="BK33" s="1247" t="str">
        <f>'Custom Elements'!O9</f>
        <v>NZS 3604</v>
      </c>
      <c r="BL33" s="770" t="str">
        <f>'Custom Elements'!P9</f>
        <v>Masonry 0.75</v>
      </c>
      <c r="BM33" s="454">
        <f>'Custom Elements'!Q9</f>
        <v>1.5</v>
      </c>
      <c r="BN33" s="454">
        <v>999</v>
      </c>
      <c r="BO33" s="454">
        <f>'Custom Elements'!R9</f>
        <v>42</v>
      </c>
      <c r="BP33" s="924">
        <f>'Custom Elements'!S9</f>
        <v>42</v>
      </c>
      <c r="BQ33" s="920"/>
      <c r="BR33" s="768"/>
      <c r="BS33" s="454"/>
      <c r="BT33" s="454" t="s">
        <v>7</v>
      </c>
      <c r="BU33" s="924" t="str">
        <f>'Custom Elements'!V9</f>
        <v>No</v>
      </c>
      <c r="BV33" s="1248" t="str">
        <f>BL33</f>
        <v>Masonry 0.75</v>
      </c>
      <c r="BW33" s="1182">
        <f t="shared" ref="BW33:BW39" si="20">BJ33</f>
        <v>25</v>
      </c>
      <c r="BX33" s="925" t="str">
        <f>'Custom Elements'!U9</f>
        <v>Single</v>
      </c>
      <c r="CH33" s="768">
        <f t="shared" ref="CH33:CH38" si="21">IF(BN33=999,0,(BO34-BO33)/(BN33-BM33))</f>
        <v>0</v>
      </c>
      <c r="CI33" s="924">
        <f t="shared" ref="CI33:CI38" si="22">IF(BN33=999,0,(BP34-BP33)/(BN33-BM33))</f>
        <v>0</v>
      </c>
      <c r="CJ33" s="759"/>
      <c r="CK33" s="188"/>
      <c r="CL33" s="979">
        <f>VLOOKUP(I33,Prodlink,2,0)</f>
        <v>0</v>
      </c>
      <c r="CN33" s="497">
        <f ca="1">VLOOKUP(CO33,Prodlink,2,0)</f>
        <v>0</v>
      </c>
      <c r="CO33" s="497">
        <f ca="1">OFFSET($CH$9,CL33-1,-15,1,1)</f>
        <v>0</v>
      </c>
      <c r="CQ33" s="51">
        <v>0</v>
      </c>
      <c r="CR33" s="51">
        <f>IF(K33=$BH$12,$BH$23,IF(K33=$BH$13,$BH$24,10000))</f>
        <v>10000</v>
      </c>
      <c r="CS33" s="51">
        <f ca="1">IF(F33&lt;OFFSET($BM$9,CL33-1,0,1,1),0,IF(F33&lt;OFFSET($BN$9,CL33-1,0,1,1),((F33-OFFSET($BM$9,CL33-1,0,1,1))*OFFSET($CH$9,CL33-1,0,1,1))+OFFSET($BO$9,CL33-1,CQ33,1,1),IF(F33&lt;OFFSET($BN$9,CL33+0,0,1,1),((F33-OFFSET($BM$9,CL33+0,0,1,1))*OFFSET($CH$9,CL33+0,0,1,1))+OFFSET($BO$9,CL33+0,CQ33,1,1),IF(F33&lt;OFFSET($BN$9,CL33+1,0,1,1),((F33-OFFSET($BM$9,CL33+1,0,1,1))*OFFSET($CH$9,CL33+1,0,1,1))+OFFSET($BO$9,CL33+1,CQ33,1,1),IF(F33&lt;OFFSET($BN$9,CL33+2,0,1,1),((F33-OFFSET($BM$9,CL33+2,0,1,1))*OFFSET($CH$9,CL33+2,0,1,1))+OFFSET($BO$9,CL33+2,CQ33,1,1),IF(F33&lt;OFFSET($BN$9,CL33+3,0,1,1),((F33-OFFSET($BM$9,CL33+3,0,1,1))*OFFSET($CH$9,CL33+3,0,1,1))+OFFSET($BO$9,CL33+3,CQ33,1,1),0))))))</f>
        <v>0</v>
      </c>
      <c r="CT33" s="51">
        <f ca="1">IF($F33&lt;OFFSET($BM$9,$CL33-1,0,1,1),0,IF($F33&lt;OFFSET($BN$9,$CL33-1,0,1,1),IF(AND($H33&gt;2.4,Z33&lt;&gt;"e",Z33&lt;&gt;"f"),CX33*2.4/$H33,CX33),IF($F33&lt;OFFSET($BN$9,$CL33+0,0,1,1),IF(AND($H33&gt;2.4,Z33&lt;&gt;"e",Z33&lt;&gt;"f"),CX33*2.4/$H33,CX33),IF($F33&lt;OFFSET($BN$9,$CL33+1,0,1,1),IF(AND($H33&gt;2.4,Z33&lt;&gt;"e",Z33&lt;&gt;"f"),CX33*2.4/$H33,CX33),IF($F33&lt;OFFSET($BN$9,CL33+2,0,1,1),IF(AND($H33&gt;2.4,Z33&lt;&gt;"e",Z33&lt;&gt;"f"),CX33*2.4/$H33,CX33),IF($F33&lt;OFFSET($BN$9,CL33+3,0,1,1),IF(AND($H33&gt;2.4,Z33&lt;&gt;"e",Z33&lt;&gt;"f"),CX33*2.4/$H33,CX33),0)))))*COS(RADIANS($G33)))</f>
        <v>0</v>
      </c>
      <c r="CU33" s="51">
        <f ca="1">IF(F33&lt;OFFSET($BM$9,CL33-1,0,1,1),0,IF(F33&lt;OFFSET($BN$9,CL33-1,0,1,1),((F33-OFFSET($BM$9,CL33-1,0,1,1))*OFFSET($CI$9,CL33-1,0,1,1))+OFFSET($BP$9,CL33-1,CQ33,1,1),IF(F33&lt;OFFSET($BN$9,CL33+0,0,1,1),((F33-OFFSET($BM$9,CL33+0,0,1,1))*OFFSET($CI$9,CL33+0,0,1,1))+OFFSET($BP$9,CL33+0,CQ33,1,1),IF(F33&lt;OFFSET($BN$9,CL33+1,0,1,1),((F33-OFFSET($BM$9,CL33+1,0,1,1))*OFFSET($CI$9,CL33+1,0,1,1))+OFFSET($BP$9,CL33+1,CQ33,1,1),IF(F33&lt;OFFSET($BN$9,CL33+2,0,1,1),((F33-OFFSET($BM$9,CL33+2,0,1,1))*OFFSET($CI$9,CL33+2,0,1,1))+OFFSET($BP$9,CL33+2,CQ33,1,1),IF(F33&lt;OFFSET($BN$9,CL33+3,0,1,1),((F33-OFFSET($BM$9,CL33+3,0,1,1))*OFFSET($CI$9,CL33+3,0,1,1))+OFFSET($BP$9,CL33+3,CQ33,1,1),0))))))</f>
        <v>0</v>
      </c>
      <c r="CV33" s="51">
        <f ca="1">IF($F33&lt;OFFSET($BM$9,$CL33-1,0,1,1),0,IF($F33&lt;OFFSET($BN$9,$CL33-1,0,1,1),IF(AND($H33&gt;2.4,Z33&lt;&gt;"e",Z33&lt;&gt;"f"),CZ33*2.4/$H33,CZ33),IF($F33&lt;OFFSET($BN$9,$CL33+0,0,1,1),IF(AND($H33&gt;2.4,Z33&lt;&gt;"e",Z33&lt;&gt;"f"),CZ33*2.4/$H33,CZ33),IF($F33&lt;OFFSET($BN$9,$CL33+1,0,1,1),IF(AND($H33&gt;2.4,Z33&lt;&gt;"e",Z33&lt;&gt;"f"),CZ33*2.4/$H33,CZ33),IF($F33&lt;OFFSET($BN$9,$CL33+2,0,1,1),IF(AND($H33&gt;2.4,Z33&lt;&gt;"e",Z33&lt;&gt;"f"),CZ33*2.4/$H33,CZ33),IF($F33&lt;OFFSET($BN$9,$CL33+3,0,1,1),IF(AND($H33&gt;2.4,Z33&lt;&gt;"e",Z33&lt;&gt;"f"),CZ33*2.4/$H33,CZ33),0)))))*COS(RADIANS($G33)))</f>
        <v>0</v>
      </c>
      <c r="CW33" s="51">
        <f ca="1">IF(CT33&gt;CR33,CR33,CT33)</f>
        <v>0</v>
      </c>
      <c r="CX33" s="51">
        <f ca="1">IF(CS33&gt;$CR33,$CR33,CS33)</f>
        <v>0</v>
      </c>
      <c r="CY33" s="51">
        <f ca="1">CW33*F33</f>
        <v>0</v>
      </c>
      <c r="CZ33" s="51">
        <f ca="1">IF($CU33&gt;$CR33,$CR33,$CU33)</f>
        <v>0</v>
      </c>
      <c r="DA33" s="51">
        <f ca="1">IF(CV33&gt;CR33,CR33,CV33)</f>
        <v>0</v>
      </c>
      <c r="DB33" s="51">
        <f ca="1">DA33*F33</f>
        <v>0</v>
      </c>
      <c r="DC33" s="993">
        <v>1</v>
      </c>
      <c r="DD33" s="758" t="str">
        <f>IF(OR(D33=BG$12,D33=BG$13),"External",IF(D33=BG$14,"Internal"," "))</f>
        <v xml:space="preserve"> </v>
      </c>
      <c r="DE33" s="51" t="str">
        <f t="shared" ca="1" si="1"/>
        <v/>
      </c>
      <c r="DF33" s="52" t="str">
        <f t="shared" ca="1" si="2"/>
        <v xml:space="preserve"> </v>
      </c>
      <c r="DG33" s="51">
        <f ca="1">IF(F33&lt;OFFSET($BM$9,CN33-1,0,1,1),0,IF(F33&lt;OFFSET($BN$9,CN33-1,0,1,1),((F33-OFFSET($BM$9,CN33-1,0,1,1))*OFFSET($CH$9,CN33-1,0,1,1))+OFFSET($BO$9,CN33-1,CQ33,1,1),IF(F33&lt;OFFSET($BN$9,CN33+0,0,1,1),((F33-OFFSET($BM$9,CN33+0,0,1,1))*OFFSET($CH$9,CN33+0,0,1,1))+OFFSET($BO$9,CN33+0,CQ33,1,1),IF(F33&lt;OFFSET($BN$9,CN33+1,0,1,1),((F33-OFFSET($BM$9,CN33+1,0,1,1))*OFFSET($CH$9,CN33+1,0,1,1))+OFFSET($BO$9,CN33+1,CQ33,1,1),IF(F33&lt;OFFSET($BN$9,CN33+2,0,1,1),((F33-OFFSET($BM$9,CN33+2,0,1,1))*OFFSET($CH$9,CN33+2,0,1,1))+OFFSET($BO$9,CN33+2,CQ33,1,1),IF(F33&lt;OFFSET($BN$9,CN33+3,0,1,1),((F33-OFFSET($BM$9,CN33+3,0,1,1))*OFFSET($CH$9,CN33+3,0,1,1))+OFFSET($BO$9,CN33+3,CQ33,1,1),0))))))</f>
        <v>0</v>
      </c>
      <c r="DH33" s="51">
        <f ca="1">IF($F33&lt;OFFSET($BM$9,$CN33-1,0,1,1),0,IF($F33&lt;OFFSET($BN$9,$CN33-1,0,1,1),IF(AND($H33&gt;2.4,Z33&lt;&gt;"e",Z33&lt;&gt;"f"),DL33*2.4/$H33,DL33),IF($F33&lt;OFFSET($BN$9,$CN33+0,0,1,1),IF(AND($H33&gt;2.4,Z33&lt;&gt;"e",Z33&lt;&gt;"f"),DL33*2.4/$H33,DL33),IF($F33&lt;OFFSET($BN$9,$CN33+1,0,1,1),IF(AND($H33&gt;2.4,Z33&lt;&gt;"e",Z33&lt;&gt;"f"),DL33*2.4/$H33,DL33),IF($F33&lt;OFFSET($BN$9,$CN33+2,0,1,1),IF(AND($H33&gt;2.4,Z33&lt;&gt;"e",Z33&lt;&gt;"f"),DL33*2.4/$H33,DL33),IF($F33&lt;OFFSET($BN$9,$CN33+3,0,1,1),IF(AND($H33&gt;2.4,Z33&lt;&gt;"e",Z33&lt;&gt;"f"),DL33*2.4/$H33,DL33),0)))))*COS(RADIANS($G33)))</f>
        <v>0</v>
      </c>
      <c r="DI33" s="51">
        <f ca="1">IF(F33&lt;OFFSET($BM$9,CN33-1,0,1,1),0,IF(F33&lt;OFFSET($BN$9,CN33-1,0,1,1),((F33-OFFSET($BM$9,CN33-1,0,1,1))*OFFSET($CI$9,CN33-1,0,1,1))+OFFSET($BP$9,CN33-1,CQ33,1,1),IF(F33&lt;OFFSET($BN$9,CN33+0,0,1,1),((F33-OFFSET($BM$9,CN33+0,0,1,1))*OFFSET($CI$9,CN33+0,0,1,1))+OFFSET($BP$9,CN33+0,CQ33,1,1),IF(F33&lt;OFFSET($BN$9,CN33+1,0,1,1),((F33-OFFSET($BM$9,CN33+1,0,1,1))*OFFSET($CI$9,CN33+1,0,1,1))+OFFSET($BP$9,CN33+1,CQ33,1,1),IF(F33&lt;OFFSET($BN$9,CN33+2,0,1,1),((F33-OFFSET($BM$9,CN33+2,0,1,1))*OFFSET($CI$9,CN33+2,0,1,1))+OFFSET($BP$9,CN33+2,CQ33,1,1),IF(F33&lt;OFFSET($BN$9,CN33+3,0,1,1),((F33-OFFSET($BM$9,CN33+3,0,1,1))*OFFSET($CI$9,CN33+3,0,1,1))+OFFSET($BP$9,CN33+3,CQ33,1,1),0))))))</f>
        <v>0</v>
      </c>
      <c r="DJ33" s="51">
        <f ca="1">IF($F33&lt;OFFSET($BM$9,$CN33-1,0,1,1),0,IF($F33&lt;OFFSET($BN$9,$CN33-1,0,1,1),IF(AND($H33&gt;2.4,Z33&lt;&gt;"e",Z33&lt;&gt;"f"),DN33*2.4/$H33,DN33),IF($F33&lt;OFFSET($BN$9,$CN33+0,0,1,1),IF(AND($H33&gt;2.4,Z33&lt;&gt;"e",Z33&lt;&gt;"f"),DN33*2.4/$H33,DN33),IF($F33&lt;OFFSET($BN$9,$CN33+1,0,1,1),IF(AND($H33&gt;2.4,Z33&lt;&gt;"e",Z33&lt;&gt;"f"),DN33*2.4/$H33,DN33),IF($F33&lt;OFFSET($BN$9,$CN33+2,0,1,1),IF(AND($H33&gt;2.4,Z33&lt;&gt;"e",Z33&lt;&gt;"f"),DN33*2.4/$H33,DN33),IF($F33&lt;OFFSET($BN$9,$CN33+3,0,1,1),IF(AND($H33&gt;2.4,Z33&lt;&gt;"e",Z33&lt;&gt;"f"),DN33*2.4/$H33,DN33),0)))))*COS(RADIANS($G33)))</f>
        <v>0</v>
      </c>
      <c r="DK33" s="51"/>
      <c r="DL33" s="51">
        <f ca="1">IF(DG33&gt;$CR33,$CR33,DG33)</f>
        <v>0</v>
      </c>
      <c r="DM33" s="51"/>
      <c r="DN33" s="51">
        <f ca="1">IF(DI33&gt;$CR33,$CR33,DI33)</f>
        <v>0</v>
      </c>
      <c r="DO33" s="435">
        <f ca="1">IF(DH33&gt;$CR33,$CR33,DH33)</f>
        <v>0</v>
      </c>
      <c r="DP33" s="435">
        <f ca="1">DO33*F33</f>
        <v>0</v>
      </c>
      <c r="DQ33" s="436">
        <f ca="1">IF(DJ33&gt;$CR33,$CR33,DJ33)</f>
        <v>0</v>
      </c>
      <c r="DR33" s="437">
        <f ca="1">DQ33*F33</f>
        <v>0</v>
      </c>
      <c r="DS33" s="426">
        <f ca="1">OFFSET($CH$9,CL33-1,-15,1,1)</f>
        <v>0</v>
      </c>
      <c r="DT33" s="426">
        <f ca="1">VLOOKUP(DS33,Prodlink,2,0)</f>
        <v>0</v>
      </c>
      <c r="DU33" s="188">
        <f ca="1">IF(F33&lt;OFFSET($BM$9,DT33-1,0,1,1),0,IF(F33&lt;OFFSET($BN$9,DT33-1,0,1,1),((F33-OFFSET($BM$9,DT33-1,0,1,1))*OFFSET($CH$9,DT33-1,0,1,1))+OFFSET($BO$9,DT33-1,CQ33,1,1),IF(F33&lt;OFFSET($BN$9,DT33+0,0,1,1),((F33-OFFSET($BM$9,DT33+0,0,1,1))*OFFSET($CH$9,DT33+0,0,1,1))+OFFSET($BO$9,DT33+0,CQ33,1,1),IF(F33&lt;OFFSET($BN$9,DT33+1,0,1,1),((F33-OFFSET($BM$9,DT33+1,0,1,1))*OFFSET($CH$9,DT33+1,0,1,1))+OFFSET($BO$9,DT33+1,CQ33,1,1),IF(F33&lt;OFFSET($BN$9,DT33+2,0,1,1),((F33-OFFSET($BM$9,DT33+2,0,1,1))*OFFSET($CH$9,DT33+2,0,1,1))+OFFSET($BO$9,DT33+2,CQ33,1,1),IF(F33&lt;OFFSET($BN$9,DT33+3,0,1,1),((F33-OFFSET($BM$9,DT33+3,0,1,1))*OFFSET($CH$9,DT33+3,0,1,1))+OFFSET($BO$9,DT33+3,CQ33,1,1),0))))))</f>
        <v>0</v>
      </c>
      <c r="DV33" s="51">
        <f ca="1">IF($F33&lt;OFFSET($BM$9,$DT33-1,0,1,1),0,IF($F33&lt;OFFSET($BN$9,$DT33-1,0,1,1),IF(AND($H33&gt;2.4,Z33&lt;&gt;"e",Z33&lt;&gt;"f"),DZ33*2.4/$H33,DZ33),IF($F33&lt;OFFSET($BN$9,$DT33+0,0,1,1),IF(AND($H33&gt;2.4,Z33&lt;&gt;"e",Z33&lt;&gt;"f"),DZ33*2.4/$H33,DZ33),IF($F33&lt;OFFSET($BN$9,$DT33+1,0,1,1),IF(AND($H33&gt;2.4,Z33&lt;&gt;"e",Z33&lt;&gt;"f"),DZ33*2.4/$H33,DZ33),IF($F33&lt;OFFSET($BN$9,$DT33+2,0,1,1),IF(AND($H33&gt;2.4,Z33&lt;&gt;"e",Z33&lt;&gt;"f"),DZ33*2.4/$H33,DZ33),IF($F33&lt;OFFSET($BN$9,$DT33+3,0,1,1),IF(AND($H33&gt;2.4,Z33&lt;&gt;"e",Z33&lt;&gt;"f"),DZ33*2.4/$H33,DZ33),0)))))*COS(RADIANS($G33)))</f>
        <v>0</v>
      </c>
      <c r="DW33" s="188">
        <f ca="1">IF(F33&lt;OFFSET($BM$9,DT33-1,0,1,1),0,IF(F33&lt;OFFSET($BN$9,DT33-1,0,1,1),((F33-OFFSET($BM$9,DT33-1,0,1,1))*OFFSET($CI$9,DT33-1,0,1,1))+OFFSET($BP$9,DT33-1,CQ33,1,1),IF(F33&lt;OFFSET($BN$9,DT33+0,0,1,1),((F33-OFFSET($BM$9,DT33+0,0,1,1))*OFFSET($CI$9,DT33+0,0,1,1))+OFFSET($BP$9,DT33+0,CQ33,1,1),IF(F33&lt;OFFSET($BN$9,DT33+1,0,1,1),((F33-OFFSET($BM$9,DT33+1,0,1,1))*OFFSET($CI$9,DT33+1,0,1,1))+OFFSET($BP$9,DT33+1,CQ33,1,1),IF(F33&lt;OFFSET($BN$9,DT33+2,0,1,1),((F33-OFFSET($BM$9,DT33+2,0,1,1))*OFFSET($CI$9,DT33+2,0,1,1))+OFFSET($BP$9,DT33+2,CQ33,1,1),IF(F33&lt;OFFSET($BN$9,DT33+3,0,1,1),((F33-OFFSET($BM$9,DT33+3,0,1,1))*OFFSET($CI$9,DT33+3,0,1,1))+OFFSET($BP$9,DT33+3,CQ33,1,1),0))))))</f>
        <v>0</v>
      </c>
      <c r="DX33" s="51">
        <f ca="1">IF($F33&lt;OFFSET($BM$9,$DT33-1,0,1,1),0,IF($F33&lt;OFFSET($BN$9,$DT33-1,0,1,1),IF(AND($H33&gt;2.4,Z33&lt;&gt;"e",Z33&lt;&gt;"f"),EB33*2.4/$H33,EB33),IF($F33&lt;OFFSET($BN$9,$DT33+0,0,1,1),IF(AND($H33&gt;2.4,Z33&lt;&gt;"e",Z33&lt;&gt;"f"),EB33*2.4/$H33,EB33),IF($F33&lt;OFFSET($BN$9,$DT33+1,0,1,1),IF(AND($H33&gt;2.4,Z33&lt;&gt;"e",Z33&lt;&gt;"f"),EB33*2.4/$H33,EB33),IF($F33&lt;OFFSET($BN$9,$DT33+2,0,1,1),IF(AND($H33&gt;2.4,Z33&lt;&gt;"e",Z33&lt;&gt;"f"),EB33*2.4/$H33,EB33),IF($F33&lt;OFFSET($BN$9,$DT33+3,0,1,1),IF(AND($H33&gt;2.4,Z33&lt;&gt;"e",Z33&lt;&gt;"f"),EB33*2.4/$H33,EB33),0)))))*COS(RADIANS($G33)))</f>
        <v>0</v>
      </c>
      <c r="DY33" s="188"/>
      <c r="DZ33" s="188">
        <f ca="1">IF(DU33&gt;$CR33,$CR33,DU33)</f>
        <v>0</v>
      </c>
      <c r="EA33" s="188"/>
      <c r="EB33" s="188">
        <f ca="1">IF(DW33&gt;$CR33,$CR33,DW33)</f>
        <v>0</v>
      </c>
      <c r="EC33" s="435">
        <f ca="1">IF(DV33&gt;$CR33,$CR33,DV33)</f>
        <v>0</v>
      </c>
      <c r="ED33" s="435">
        <f ca="1">EC33*F33</f>
        <v>0</v>
      </c>
      <c r="EE33" s="436">
        <f ca="1">IF(DX33&gt;$CR33,$CR33,DX33)</f>
        <v>0</v>
      </c>
      <c r="EF33" s="437">
        <f ca="1">EE33*F33</f>
        <v>0</v>
      </c>
      <c r="EG33" s="613" t="str">
        <f>IF(D33=BG$12,BG$12,"")</f>
        <v/>
      </c>
      <c r="EH33" s="614" t="str">
        <f>IF(D33=BG$13,BG$13,"")</f>
        <v/>
      </c>
      <c r="EI33" s="611">
        <f>IF(EG33=BG$12,M33,0)</f>
        <v>0</v>
      </c>
      <c r="EJ33" s="451">
        <f>IF(EG33=BG$12,O33,0)</f>
        <v>0</v>
      </c>
      <c r="EK33" s="451">
        <f>IF(EH33=BG$13,M33,0)</f>
        <v>0</v>
      </c>
      <c r="EL33" s="612">
        <f>IF(EH33=BG$13,O33,0)</f>
        <v>0</v>
      </c>
      <c r="EM33" s="426" t="str">
        <f ca="1">IF(AND(Z33&lt;&gt;"t",Z33&lt;&gt;"f"),"",IF(AND(EN33=$BH$13,K33=$BH$12),"NotOpt",IF(K33&lt;&gt;EN33,"Error","")))</f>
        <v/>
      </c>
      <c r="EN33" s="490" t="str">
        <f>IF($BG$28=1,$BH$13,$BH$12)</f>
        <v>120 BU's</v>
      </c>
      <c r="EO33" s="426" t="str">
        <f>K33</f>
        <v xml:space="preserve"> </v>
      </c>
      <c r="EP33" s="430">
        <v>1</v>
      </c>
      <c r="EQ33" s="430" t="str">
        <f ca="1">IF(EP33=1," ",OFFSET(BF$16,EP33-2,0,1,1))</f>
        <v xml:space="preserve"> </v>
      </c>
      <c r="ER33" s="439" t="str">
        <f ca="1">IF(H33=0," ",H33)</f>
        <v xml:space="preserve"> </v>
      </c>
      <c r="ES33" s="440" t="str">
        <f ca="1">IF(ER33&lt;&gt;" ",IF(ER33&lt;&gt;ER$7,"Changed",""),"")</f>
        <v/>
      </c>
      <c r="ET33" s="440">
        <f ca="1">IF(ER33&lt;&gt;" ",IF(ER33&lt;&gt;ER$7,1,0),0)</f>
        <v>0</v>
      </c>
      <c r="EU33" s="957" t="str">
        <f ca="1">IF(I33=" "," ",IF(F33&lt;OFFSET($BM$9,CL33-1,0,1,1),1,""))</f>
        <v xml:space="preserve"> </v>
      </c>
      <c r="EW33" s="427"/>
      <c r="EX33"/>
      <c r="EY33"/>
      <c r="EZ33"/>
      <c r="FA33"/>
    </row>
    <row r="34" spans="1:157" ht="17.100000000000001" customHeight="1" thickBot="1">
      <c r="B34" s="689" t="s">
        <v>246</v>
      </c>
      <c r="C34" s="684" t="str">
        <f>IF(OR(F34=0,I34="",I34=" ")," ",$V34)</f>
        <v xml:space="preserve"> </v>
      </c>
      <c r="D34" s="1033"/>
      <c r="E34" s="1360" t="s">
        <v>8</v>
      </c>
      <c r="F34" s="202"/>
      <c r="G34" s="1416"/>
      <c r="H34" s="199" t="str">
        <f ca="1">IF(OR(F34=0,Z34="E",Z34="f")," ",'Project Demand'!E$45)</f>
        <v xml:space="preserve"> </v>
      </c>
      <c r="I34" s="631" t="str">
        <f>IF($I$6&lt;&gt;$BG$8," ",AB34)</f>
        <v xml:space="preserve"> </v>
      </c>
      <c r="J34" s="44" t="str">
        <f ca="1">IF(OR(I34=" ",I34="")," ",OFFSET($BO$9,CL34-1,0-4,1,1))</f>
        <v xml:space="preserve"> </v>
      </c>
      <c r="K34" s="55" t="str">
        <f>IF(OR(I34=" ",I34="")," ",IF(OR(Z34="e",Z34="h"),"SD",BG$24))</f>
        <v xml:space="preserve"> </v>
      </c>
      <c r="L34" s="49">
        <f ca="1">CW34</f>
        <v>0</v>
      </c>
      <c r="M34" s="49">
        <f ca="1">CY34</f>
        <v>0</v>
      </c>
      <c r="N34" s="50">
        <f t="shared" ca="1" si="19"/>
        <v>0</v>
      </c>
      <c r="O34" s="126">
        <f t="shared" ca="1" si="19"/>
        <v>0</v>
      </c>
      <c r="P34" s="140"/>
      <c r="Q34" s="752" t="str">
        <f ca="1">IF(AND(OR(Z34="t",Z34="f"),K34=$BH$11),"No Floor!  Change Floor Type",IF(OR(I34=" ",I34="")," ",IF(F34&lt;OFFSET($BM$9,CL34-1,0,1,1),"check L(m)",DE34&amp;IF(AND(DP34&gt;=CY34,DR34&gt;=DB34),IF(AND(ED34&gt;=DP34,EF34&gt;=DR34),CONCATENATE(DS34," will provide same result"),CONCATENATE(CO34," will provide same result")),IF((DP34&gt;=CY34),CONCATENATE(CO34," provides same result in WIND"),IF((DR34&gt;=DB34),CONCATENATE(CO34," provides same result in EQ"),""))))))&amp;IF(ISERROR(FIND("pile",I34,1)),"",IF(INT(F34)&lt;&gt;F34,"Pile!  Use Whole Numbers Only",""))</f>
        <v xml:space="preserve"> </v>
      </c>
      <c r="R34" s="52"/>
      <c r="S34" s="1372"/>
      <c r="T34" s="1372"/>
      <c r="U34" s="1377"/>
      <c r="V34" s="52" t="str">
        <f ca="1">IF(AND(B$5=$BF$9,OR(I34=BH$16,I34=BH$17))," ",IF(ISNUMBER(B$32),(CONCATENATE(B$32,".",W34)),(CONCATENATE(B$32,W34))))</f>
        <v>Q0</v>
      </c>
      <c r="W34" s="9">
        <f ca="1">W33+X34</f>
        <v>0</v>
      </c>
      <c r="X34" s="9">
        <f>IF(AND(B$5=$BF$9,OR($I34=$BH$16,$I34=$BH$17,$I34=" ",$I34="",$F34=0)),0,IF(OR($I34=" ",$I34="",$F34=0),0,1))</f>
        <v>0</v>
      </c>
      <c r="Y34" s="896"/>
      <c r="Z34" s="52" t="str">
        <f ca="1">IF(I34=" "," ",OFFSET($BM$9,$CL34-1,8,1,1))</f>
        <v xml:space="preserve"> </v>
      </c>
      <c r="AA34" s="51" t="str">
        <f>IF(G34&gt;=45,"WA","")</f>
        <v/>
      </c>
      <c r="AB34" s="1364" t="str">
        <f>IF(F34&lt;&gt;"",IF(OR(D34=$BG$12,D34=$BG$13),IF(E34&lt;&gt;$BG$17,$BF$12,$BF$13),IF(E34&lt;&gt;$BG$17,$BF$12,$BF$13))," ")</f>
        <v xml:space="preserve"> </v>
      </c>
      <c r="AC34" s="1"/>
      <c r="AJ34" s="2230"/>
      <c r="AK34" s="2780"/>
      <c r="AL34" s="2785"/>
      <c r="AM34" s="1177">
        <f>'Regular and QuickBrace Systems'!F49</f>
        <v>1.2</v>
      </c>
      <c r="AN34" s="1274">
        <f>'Regular and QuickBrace Systems'!G49</f>
        <v>150</v>
      </c>
      <c r="AO34" s="1275">
        <f>'Regular and QuickBrace Systems'!H49</f>
        <v>148</v>
      </c>
      <c r="AP34" s="1277"/>
      <c r="AQ34" s="2665"/>
      <c r="AR34" s="2666"/>
      <c r="AS34" s="2032"/>
      <c r="AT34" s="1339"/>
      <c r="AU34" s="2124"/>
      <c r="AW34" s="1570" t="str">
        <f>'Regular and QuickBrace Systems'!O49</f>
        <v>Yes</v>
      </c>
      <c r="AX34" s="1574" t="str">
        <f>'Regular and QuickBrace Systems'!Q49</f>
        <v>Yes</v>
      </c>
      <c r="BA34"/>
      <c r="BB34"/>
      <c r="BC34"/>
      <c r="BD34" s="2648"/>
      <c r="BF34" s="599" t="str">
        <f>'Custom Elements'!C18</f>
        <v>Custom10</v>
      </c>
      <c r="BI34" s="759"/>
      <c r="BJ34" s="897">
        <f t="shared" si="3"/>
        <v>26</v>
      </c>
      <c r="BK34" s="769" t="str">
        <f>'Custom Elements'!O10</f>
        <v>NZS 3604</v>
      </c>
      <c r="BL34" s="771" t="str">
        <f>'Custom Elements'!P10</f>
        <v>Masonry 1.5</v>
      </c>
      <c r="BM34" s="455">
        <f>'Custom Elements'!Q10</f>
        <v>1.5</v>
      </c>
      <c r="BN34" s="455">
        <v>999</v>
      </c>
      <c r="BO34" s="455">
        <f>'Custom Elements'!R10</f>
        <v>100</v>
      </c>
      <c r="BP34" s="925">
        <f>'Custom Elements'!S10</f>
        <v>100</v>
      </c>
      <c r="BR34" s="764"/>
      <c r="BS34" s="455"/>
      <c r="BT34" s="455" t="s">
        <v>7</v>
      </c>
      <c r="BU34" s="925" t="str">
        <f>'Custom Elements'!V10</f>
        <v>No</v>
      </c>
      <c r="BV34" s="483" t="str">
        <f t="shared" ref="BV34:BV39" si="23">BL34</f>
        <v>Masonry 1.5</v>
      </c>
      <c r="BW34" s="910">
        <f t="shared" si="20"/>
        <v>26</v>
      </c>
      <c r="BX34" s="925" t="str">
        <f>'Custom Elements'!U10</f>
        <v>Single</v>
      </c>
      <c r="CH34" s="764">
        <f t="shared" si="21"/>
        <v>0</v>
      </c>
      <c r="CI34" s="925">
        <f t="shared" si="22"/>
        <v>0</v>
      </c>
      <c r="CJ34" s="759"/>
      <c r="CK34" s="188"/>
      <c r="CL34" s="979">
        <f>VLOOKUP(I34,Prodlink,2,0)</f>
        <v>0</v>
      </c>
      <c r="CN34" s="497">
        <f ca="1">VLOOKUP(CO34,Prodlink,2,0)</f>
        <v>0</v>
      </c>
      <c r="CO34" s="497">
        <f ca="1">OFFSET($CH$9,CL34-1,-15,1,1)</f>
        <v>0</v>
      </c>
      <c r="CQ34" s="51">
        <v>0</v>
      </c>
      <c r="CR34" s="51">
        <f>IF(K34=$BH$12,$BH$23,IF(K34=$BH$13,$BH$24,10000))</f>
        <v>10000</v>
      </c>
      <c r="CS34" s="51">
        <f ca="1">IF(F34&lt;OFFSET($BM$9,CL34-1,0,1,1),0,IF(F34&lt;OFFSET($BN$9,CL34-1,0,1,1),((F34-OFFSET($BM$9,CL34-1,0,1,1))*OFFSET($CH$9,CL34-1,0,1,1))+OFFSET($BO$9,CL34-1,CQ34,1,1),IF(F34&lt;OFFSET($BN$9,CL34+0,0,1,1),((F34-OFFSET($BM$9,CL34+0,0,1,1))*OFFSET($CH$9,CL34+0,0,1,1))+OFFSET($BO$9,CL34+0,CQ34,1,1),IF(F34&lt;OFFSET($BN$9,CL34+1,0,1,1),((F34-OFFSET($BM$9,CL34+1,0,1,1))*OFFSET($CH$9,CL34+1,0,1,1))+OFFSET($BO$9,CL34+1,CQ34,1,1),IF(F34&lt;OFFSET($BN$9,CL34+2,0,1,1),((F34-OFFSET($BM$9,CL34+2,0,1,1))*OFFSET($CH$9,CL34+2,0,1,1))+OFFSET($BO$9,CL34+2,CQ34,1,1),IF(F34&lt;OFFSET($BN$9,CL34+3,0,1,1),((F34-OFFSET($BM$9,CL34+3,0,1,1))*OFFSET($CH$9,CL34+3,0,1,1))+OFFSET($BO$9,CL34+3,CQ34,1,1),0))))))</f>
        <v>0</v>
      </c>
      <c r="CT34" s="51">
        <f ca="1">IF($F34&lt;OFFSET($BM$9,$CL34-1,0,1,1),0,IF($F34&lt;OFFSET($BN$9,$CL34-1,0,1,1),IF(AND($H34&gt;2.4,Z34&lt;&gt;"e",Z34&lt;&gt;"f"),CX34*2.4/$H34,CX34),IF($F34&lt;OFFSET($BN$9,$CL34+0,0,1,1),IF(AND($H34&gt;2.4,Z34&lt;&gt;"e",Z34&lt;&gt;"f"),CX34*2.4/$H34,CX34),IF($F34&lt;OFFSET($BN$9,$CL34+1,0,1,1),IF(AND($H34&gt;2.4,Z34&lt;&gt;"e",Z34&lt;&gt;"f"),CX34*2.4/$H34,CX34),IF($F34&lt;OFFSET($BN$9,CL34+2,0,1,1),IF(AND($H34&gt;2.4,Z34&lt;&gt;"e",Z34&lt;&gt;"f"),CX34*2.4/$H34,CX34),IF($F34&lt;OFFSET($BN$9,CL34+3,0,1,1),IF(AND($H34&gt;2.4,Z34&lt;&gt;"e",Z34&lt;&gt;"f"),CX34*2.4/$H34,CX34),0)))))*COS(RADIANS($G34)))</f>
        <v>0</v>
      </c>
      <c r="CU34" s="51">
        <f ca="1">IF(F34&lt;OFFSET($BM$9,CL34-1,0,1,1),0,IF(F34&lt;OFFSET($BN$9,CL34-1,0,1,1),((F34-OFFSET($BM$9,CL34-1,0,1,1))*OFFSET($CI$9,CL34-1,0,1,1))+OFFSET($BP$9,CL34-1,CQ34,1,1),IF(F34&lt;OFFSET($BN$9,CL34+0,0,1,1),((F34-OFFSET($BM$9,CL34+0,0,1,1))*OFFSET($CI$9,CL34+0,0,1,1))+OFFSET($BP$9,CL34+0,CQ34,1,1),IF(F34&lt;OFFSET($BN$9,CL34+1,0,1,1),((F34-OFFSET($BM$9,CL34+1,0,1,1))*OFFSET($CI$9,CL34+1,0,1,1))+OFFSET($BP$9,CL34+1,CQ34,1,1),IF(F34&lt;OFFSET($BN$9,CL34+2,0,1,1),((F34-OFFSET($BM$9,CL34+2,0,1,1))*OFFSET($CI$9,CL34+2,0,1,1))+OFFSET($BP$9,CL34+2,CQ34,1,1),IF(F34&lt;OFFSET($BN$9,CL34+3,0,1,1),((F34-OFFSET($BM$9,CL34+3,0,1,1))*OFFSET($CI$9,CL34+3,0,1,1))+OFFSET($BP$9,CL34+3,CQ34,1,1),0))))))</f>
        <v>0</v>
      </c>
      <c r="CV34" s="51">
        <f ca="1">IF($F34&lt;OFFSET($BM$9,$CL34-1,0,1,1),0,IF($F34&lt;OFFSET($BN$9,$CL34-1,0,1,1),IF(AND($H34&gt;2.4,Z34&lt;&gt;"e",Z34&lt;&gt;"f"),CZ34*2.4/$H34,CZ34),IF($F34&lt;OFFSET($BN$9,$CL34+0,0,1,1),IF(AND($H34&gt;2.4,Z34&lt;&gt;"e",Z34&lt;&gt;"f"),CZ34*2.4/$H34,CZ34),IF($F34&lt;OFFSET($BN$9,$CL34+1,0,1,1),IF(AND($H34&gt;2.4,Z34&lt;&gt;"e",Z34&lt;&gt;"f"),CZ34*2.4/$H34,CZ34),IF($F34&lt;OFFSET($BN$9,$CL34+2,0,1,1),IF(AND($H34&gt;2.4,Z34&lt;&gt;"e",Z34&lt;&gt;"f"),CZ34*2.4/$H34,CZ34),IF($F34&lt;OFFSET($BN$9,$CL34+3,0,1,1),IF(AND($H34&gt;2.4,Z34&lt;&gt;"e",Z34&lt;&gt;"f"),CZ34*2.4/$H34,CZ34),0)))))*COS(RADIANS($G34)))</f>
        <v>0</v>
      </c>
      <c r="CW34" s="51">
        <f ca="1">IF(CT34&gt;CR34,CR34,CT34)</f>
        <v>0</v>
      </c>
      <c r="CX34" s="51">
        <f ca="1">IF(CS34&gt;$CR34,$CR34,CS34)</f>
        <v>0</v>
      </c>
      <c r="CY34" s="51">
        <f ca="1">CW34*F34</f>
        <v>0</v>
      </c>
      <c r="CZ34" s="51">
        <f ca="1">IF($CU34&gt;$CR34,$CR34,$CU34)</f>
        <v>0</v>
      </c>
      <c r="DA34" s="51">
        <f ca="1">IF(CV34&gt;CR34,CR34,CV34)</f>
        <v>0</v>
      </c>
      <c r="DB34" s="51">
        <f ca="1">DA34*F34</f>
        <v>0</v>
      </c>
      <c r="DC34" s="993">
        <v>1</v>
      </c>
      <c r="DD34" s="758" t="str">
        <f>IF(OR(D34=BG$12,D34=BG$13),"External",IF(D34=BG$14,"Internal"," "))</f>
        <v xml:space="preserve"> </v>
      </c>
      <c r="DE34" s="51" t="str">
        <f t="shared" ca="1" si="1"/>
        <v/>
      </c>
      <c r="DF34" s="52" t="str">
        <f t="shared" ca="1" si="2"/>
        <v xml:space="preserve"> </v>
      </c>
      <c r="DG34" s="51">
        <f ca="1">IF(F34&lt;OFFSET($BM$9,CN34-1,0,1,1),0,IF(F34&lt;OFFSET($BN$9,CN34-1,0,1,1),((F34-OFFSET($BM$9,CN34-1,0,1,1))*OFFSET($CH$9,CN34-1,0,1,1))+OFFSET($BO$9,CN34-1,CQ34,1,1),IF(F34&lt;OFFSET($BN$9,CN34+0,0,1,1),((F34-OFFSET($BM$9,CN34+0,0,1,1))*OFFSET($CH$9,CN34+0,0,1,1))+OFFSET($BO$9,CN34+0,CQ34,1,1),IF(F34&lt;OFFSET($BN$9,CN34+1,0,1,1),((F34-OFFSET($BM$9,CN34+1,0,1,1))*OFFSET($CH$9,CN34+1,0,1,1))+OFFSET($BO$9,CN34+1,CQ34,1,1),IF(F34&lt;OFFSET($BN$9,CN34+2,0,1,1),((F34-OFFSET($BM$9,CN34+2,0,1,1))*OFFSET($CH$9,CN34+2,0,1,1))+OFFSET($BO$9,CN34+2,CQ34,1,1),IF(F34&lt;OFFSET($BN$9,CN34+3,0,1,1),((F34-OFFSET($BM$9,CN34+3,0,1,1))*OFFSET($CH$9,CN34+3,0,1,1))+OFFSET($BO$9,CN34+3,CQ34,1,1),0))))))</f>
        <v>0</v>
      </c>
      <c r="DH34" s="51">
        <f ca="1">IF($F34&lt;OFFSET($BM$9,$CN34-1,0,1,1),0,IF($F34&lt;OFFSET($BN$9,$CN34-1,0,1,1),IF(AND($H34&gt;2.4,Z34&lt;&gt;"e",Z34&lt;&gt;"f"),DL34*2.4/$H34,DL34),IF($F34&lt;OFFSET($BN$9,$CN34+0,0,1,1),IF(AND($H34&gt;2.4,Z34&lt;&gt;"e",Z34&lt;&gt;"f"),DL34*2.4/$H34,DL34),IF($F34&lt;OFFSET($BN$9,$CN34+1,0,1,1),IF(AND($H34&gt;2.4,Z34&lt;&gt;"e",Z34&lt;&gt;"f"),DL34*2.4/$H34,DL34),IF($F34&lt;OFFSET($BN$9,$CN34+2,0,1,1),IF(AND($H34&gt;2.4,Z34&lt;&gt;"e",Z34&lt;&gt;"f"),DL34*2.4/$H34,DL34),IF($F34&lt;OFFSET($BN$9,$CN34+3,0,1,1),IF(AND($H34&gt;2.4,Z34&lt;&gt;"e",Z34&lt;&gt;"f"),DL34*2.4/$H34,DL34),0)))))*COS(RADIANS($G34)))</f>
        <v>0</v>
      </c>
      <c r="DI34" s="51">
        <f ca="1">IF(F34&lt;OFFSET($BM$9,CN34-1,0,1,1),0,IF(F34&lt;OFFSET($BN$9,CN34-1,0,1,1),((F34-OFFSET($BM$9,CN34-1,0,1,1))*OFFSET($CI$9,CN34-1,0,1,1))+OFFSET($BP$9,CN34-1,CQ34,1,1),IF(F34&lt;OFFSET($BN$9,CN34+0,0,1,1),((F34-OFFSET($BM$9,CN34+0,0,1,1))*OFFSET($CI$9,CN34+0,0,1,1))+OFFSET($BP$9,CN34+0,CQ34,1,1),IF(F34&lt;OFFSET($BN$9,CN34+1,0,1,1),((F34-OFFSET($BM$9,CN34+1,0,1,1))*OFFSET($CI$9,CN34+1,0,1,1))+OFFSET($BP$9,CN34+1,CQ34,1,1),IF(F34&lt;OFFSET($BN$9,CN34+2,0,1,1),((F34-OFFSET($BM$9,CN34+2,0,1,1))*OFFSET($CI$9,CN34+2,0,1,1))+OFFSET($BP$9,CN34+2,CQ34,1,1),IF(F34&lt;OFFSET($BN$9,CN34+3,0,1,1),((F34-OFFSET($BM$9,CN34+3,0,1,1))*OFFSET($CI$9,CN34+3,0,1,1))+OFFSET($BP$9,CN34+3,CQ34,1,1),0))))))</f>
        <v>0</v>
      </c>
      <c r="DJ34" s="51">
        <f ca="1">IF($F34&lt;OFFSET($BM$9,$CN34-1,0,1,1),0,IF($F34&lt;OFFSET($BN$9,$CN34-1,0,1,1),IF(AND($H34&gt;2.4,Z34&lt;&gt;"e",Z34&lt;&gt;"f"),DN34*2.4/$H34,DN34),IF($F34&lt;OFFSET($BN$9,$CN34+0,0,1,1),IF(AND($H34&gt;2.4,Z34&lt;&gt;"e",Z34&lt;&gt;"f"),DN34*2.4/$H34,DN34),IF($F34&lt;OFFSET($BN$9,$CN34+1,0,1,1),IF(AND($H34&gt;2.4,Z34&lt;&gt;"e",Z34&lt;&gt;"f"),DN34*2.4/$H34,DN34),IF($F34&lt;OFFSET($BN$9,$CN34+2,0,1,1),IF(AND($H34&gt;2.4,Z34&lt;&gt;"e",Z34&lt;&gt;"f"),DN34*2.4/$H34,DN34),IF($F34&lt;OFFSET($BN$9,$CN34+3,0,1,1),IF(AND($H34&gt;2.4,Z34&lt;&gt;"e",Z34&lt;&gt;"f"),DN34*2.4/$H34,DN34),0)))))*COS(RADIANS($G34)))</f>
        <v>0</v>
      </c>
      <c r="DK34" s="51"/>
      <c r="DL34" s="51">
        <f ca="1">IF(DG34&gt;$CR34,$CR34,DG34)</f>
        <v>0</v>
      </c>
      <c r="DM34" s="51"/>
      <c r="DN34" s="51">
        <f ca="1">IF(DI34&gt;$CR34,$CR34,DI34)</f>
        <v>0</v>
      </c>
      <c r="DO34" s="435">
        <f ca="1">IF(DH34&gt;$CR34,$CR34,DH34)</f>
        <v>0</v>
      </c>
      <c r="DP34" s="435">
        <f ca="1">DO34*F34</f>
        <v>0</v>
      </c>
      <c r="DQ34" s="436">
        <f ca="1">IF(DJ34&gt;$CR34,$CR34,DJ34)</f>
        <v>0</v>
      </c>
      <c r="DR34" s="437">
        <f ca="1">DQ34*F34</f>
        <v>0</v>
      </c>
      <c r="DS34" s="426">
        <f ca="1">OFFSET($CH$9,CL34-1,-15,1,1)</f>
        <v>0</v>
      </c>
      <c r="DT34" s="426">
        <f ca="1">VLOOKUP(DS34,Prodlink,2,0)</f>
        <v>0</v>
      </c>
      <c r="DU34" s="188">
        <f ca="1">IF(F34&lt;OFFSET($BM$9,DT34-1,0,1,1),0,IF(F34&lt;OFFSET($BN$9,DT34-1,0,1,1),((F34-OFFSET($BM$9,DT34-1,0,1,1))*OFFSET($CH$9,DT34-1,0,1,1))+OFFSET($BO$9,DT34-1,CQ34,1,1),IF(F34&lt;OFFSET($BN$9,DT34+0,0,1,1),((F34-OFFSET($BM$9,DT34+0,0,1,1))*OFFSET($CH$9,DT34+0,0,1,1))+OFFSET($BO$9,DT34+0,CQ34,1,1),IF(F34&lt;OFFSET($BN$9,DT34+1,0,1,1),((F34-OFFSET($BM$9,DT34+1,0,1,1))*OFFSET($CH$9,DT34+1,0,1,1))+OFFSET($BO$9,DT34+1,CQ34,1,1),IF(F34&lt;OFFSET($BN$9,DT34+2,0,1,1),((F34-OFFSET($BM$9,DT34+2,0,1,1))*OFFSET($CH$9,DT34+2,0,1,1))+OFFSET($BO$9,DT34+2,CQ34,1,1),IF(F34&lt;OFFSET($BN$9,DT34+3,0,1,1),((F34-OFFSET($BM$9,DT34+3,0,1,1))*OFFSET($CH$9,DT34+3,0,1,1))+OFFSET($BO$9,DT34+3,CQ34,1,1),0))))))</f>
        <v>0</v>
      </c>
      <c r="DV34" s="51">
        <f ca="1">IF($F34&lt;OFFSET($BM$9,$DT34-1,0,1,1),0,IF($F34&lt;OFFSET($BN$9,$DT34-1,0,1,1),IF(AND($H34&gt;2.4,Z34&lt;&gt;"e",Z34&lt;&gt;"f"),DZ34*2.4/$H34,DZ34),IF($F34&lt;OFFSET($BN$9,$DT34+0,0,1,1),IF(AND($H34&gt;2.4,Z34&lt;&gt;"e",Z34&lt;&gt;"f"),DZ34*2.4/$H34,DZ34),IF($F34&lt;OFFSET($BN$9,$DT34+1,0,1,1),IF(AND($H34&gt;2.4,Z34&lt;&gt;"e",Z34&lt;&gt;"f"),DZ34*2.4/$H34,DZ34),IF($F34&lt;OFFSET($BN$9,$DT34+2,0,1,1),IF(AND($H34&gt;2.4,Z34&lt;&gt;"e",Z34&lt;&gt;"f"),DZ34*2.4/$H34,DZ34),IF($F34&lt;OFFSET($BN$9,$DT34+3,0,1,1),IF(AND($H34&gt;2.4,Z34&lt;&gt;"e",Z34&lt;&gt;"f"),DZ34*2.4/$H34,DZ34),0)))))*COS(RADIANS($G34)))</f>
        <v>0</v>
      </c>
      <c r="DW34" s="188">
        <f ca="1">IF(F34&lt;OFFSET($BM$9,DT34-1,0,1,1),0,IF(F34&lt;OFFSET($BN$9,DT34-1,0,1,1),((F34-OFFSET($BM$9,DT34-1,0,1,1))*OFFSET($CI$9,DT34-1,0,1,1))+OFFSET($BP$9,DT34-1,CQ34,1,1),IF(F34&lt;OFFSET($BN$9,DT34+0,0,1,1),((F34-OFFSET($BM$9,DT34+0,0,1,1))*OFFSET($CI$9,DT34+0,0,1,1))+OFFSET($BP$9,DT34+0,CQ34,1,1),IF(F34&lt;OFFSET($BN$9,DT34+1,0,1,1),((F34-OFFSET($BM$9,DT34+1,0,1,1))*OFFSET($CI$9,DT34+1,0,1,1))+OFFSET($BP$9,DT34+1,CQ34,1,1),IF(F34&lt;OFFSET($BN$9,DT34+2,0,1,1),((F34-OFFSET($BM$9,DT34+2,0,1,1))*OFFSET($CI$9,DT34+2,0,1,1))+OFFSET($BP$9,DT34+2,CQ34,1,1),IF(F34&lt;OFFSET($BN$9,DT34+3,0,1,1),((F34-OFFSET($BM$9,DT34+3,0,1,1))*OFFSET($CI$9,DT34+3,0,1,1))+OFFSET($BP$9,DT34+3,CQ34,1,1),0))))))</f>
        <v>0</v>
      </c>
      <c r="DX34" s="51">
        <f ca="1">IF($F34&lt;OFFSET($BM$9,$DT34-1,0,1,1),0,IF($F34&lt;OFFSET($BN$9,$DT34-1,0,1,1),IF(AND($H34&gt;2.4,Z34&lt;&gt;"e",Z34&lt;&gt;"f"),EB34*2.4/$H34,EB34),IF($F34&lt;OFFSET($BN$9,$DT34+0,0,1,1),IF(AND($H34&gt;2.4,Z34&lt;&gt;"e",Z34&lt;&gt;"f"),EB34*2.4/$H34,EB34),IF($F34&lt;OFFSET($BN$9,$DT34+1,0,1,1),IF(AND($H34&gt;2.4,Z34&lt;&gt;"e",Z34&lt;&gt;"f"),EB34*2.4/$H34,EB34),IF($F34&lt;OFFSET($BN$9,$DT34+2,0,1,1),IF(AND($H34&gt;2.4,Z34&lt;&gt;"e",Z34&lt;&gt;"f"),EB34*2.4/$H34,EB34),IF($F34&lt;OFFSET($BN$9,$DT34+3,0,1,1),IF(AND($H34&gt;2.4,Z34&lt;&gt;"e",Z34&lt;&gt;"f"),EB34*2.4/$H34,EB34),0)))))*COS(RADIANS($G34)))</f>
        <v>0</v>
      </c>
      <c r="DY34" s="188"/>
      <c r="DZ34" s="188">
        <f ca="1">IF(DU34&gt;$CR34,$CR34,DU34)</f>
        <v>0</v>
      </c>
      <c r="EA34" s="188"/>
      <c r="EB34" s="188">
        <f ca="1">IF(DW34&gt;$CR34,$CR34,DW34)</f>
        <v>0</v>
      </c>
      <c r="EC34" s="435">
        <f ca="1">IF(DV34&gt;$CR34,$CR34,DV34)</f>
        <v>0</v>
      </c>
      <c r="ED34" s="435">
        <f ca="1">EC34*F34</f>
        <v>0</v>
      </c>
      <c r="EE34" s="436">
        <f ca="1">IF(DX34&gt;$CR34,$CR34,DX34)</f>
        <v>0</v>
      </c>
      <c r="EF34" s="437">
        <f ca="1">EE34*F34</f>
        <v>0</v>
      </c>
      <c r="EG34" s="613" t="str">
        <f>IF(D34=BG$12,BG$12,"")</f>
        <v/>
      </c>
      <c r="EH34" s="614" t="str">
        <f>IF(D34=BG$13,BG$13,"")</f>
        <v/>
      </c>
      <c r="EI34" s="611">
        <f>IF(EG34=BG$12,M34,0)</f>
        <v>0</v>
      </c>
      <c r="EJ34" s="451">
        <f>IF(EG34=BG$12,O34,0)</f>
        <v>0</v>
      </c>
      <c r="EK34" s="451">
        <f>IF(EH34=BG$13,M34,0)</f>
        <v>0</v>
      </c>
      <c r="EL34" s="612">
        <f>IF(EH34=BG$13,O34,0)</f>
        <v>0</v>
      </c>
      <c r="EM34" s="426" t="str">
        <f ca="1">IF(AND(Z34&lt;&gt;"t",Z34&lt;&gt;"f"),"",IF(AND(EN34=$BH$13,K34=$BH$12),"NotOpt",IF(K34&lt;&gt;EN34,"Error","")))</f>
        <v/>
      </c>
      <c r="EN34" s="490" t="str">
        <f>IF($BG$28=1,$BH$13,$BH$12)</f>
        <v>120 BU's</v>
      </c>
      <c r="EO34" s="426" t="str">
        <f>K34</f>
        <v xml:space="preserve"> </v>
      </c>
      <c r="EP34" s="430">
        <v>1</v>
      </c>
      <c r="EQ34" s="430" t="str">
        <f ca="1">IF(EP34=1," ",OFFSET(BF$16,EP34-2,0,1,1))</f>
        <v xml:space="preserve"> </v>
      </c>
      <c r="ER34" s="439" t="str">
        <f ca="1">IF(H34=0," ",H34)</f>
        <v xml:space="preserve"> </v>
      </c>
      <c r="ES34" s="440" t="str">
        <f ca="1">IF(ER34&lt;&gt;" ",IF(ER34&lt;&gt;ER$7,"Changed",""),"")</f>
        <v/>
      </c>
      <c r="ET34" s="440">
        <f ca="1">IF(ER34&lt;&gt;" ",IF(ER34&lt;&gt;ER$7,1,0),0)</f>
        <v>0</v>
      </c>
      <c r="EU34" s="957" t="str">
        <f ca="1">IF(I34=" "," ",IF(F34&lt;OFFSET($BM$9,CL34-1,0,1,1),1,""))</f>
        <v xml:space="preserve"> </v>
      </c>
      <c r="EW34" s="427"/>
      <c r="EX34"/>
      <c r="EY34"/>
      <c r="EZ34"/>
      <c r="FA34"/>
    </row>
    <row r="35" spans="1:157" ht="17.100000000000001" customHeight="1" thickBot="1">
      <c r="B35" s="689" t="s">
        <v>246</v>
      </c>
      <c r="C35" s="684" t="str">
        <f>IF(OR(F35=0,I35="",I35=" ")," ",$V35)</f>
        <v xml:space="preserve"> </v>
      </c>
      <c r="D35" s="1033"/>
      <c r="E35" s="1360" t="s">
        <v>8</v>
      </c>
      <c r="F35" s="202"/>
      <c r="G35" s="1416"/>
      <c r="H35" s="199" t="str">
        <f ca="1">IF(OR(F35=0,Z35="E",Z35="f")," ",'Project Demand'!E$45)</f>
        <v xml:space="preserve"> </v>
      </c>
      <c r="I35" s="631" t="str">
        <f>IF($I$6&lt;&gt;$BG$8," ",AB35)</f>
        <v xml:space="preserve"> </v>
      </c>
      <c r="J35" s="44" t="str">
        <f ca="1">IF(OR(I35=" ",I35="")," ",OFFSET($BO$9,CL35-1,0-4,1,1))</f>
        <v xml:space="preserve"> </v>
      </c>
      <c r="K35" s="55" t="str">
        <f>IF(OR(I35=" ",I35="")," ",IF(OR(Z35="e",Z35="h"),"SD",BG$24))</f>
        <v xml:space="preserve"> </v>
      </c>
      <c r="L35" s="49">
        <f ca="1">CW35</f>
        <v>0</v>
      </c>
      <c r="M35" s="49">
        <f ca="1">CY35</f>
        <v>0</v>
      </c>
      <c r="N35" s="50">
        <f t="shared" ca="1" si="19"/>
        <v>0</v>
      </c>
      <c r="O35" s="126">
        <f t="shared" ca="1" si="19"/>
        <v>0</v>
      </c>
      <c r="P35" s="140"/>
      <c r="Q35" s="752" t="str">
        <f ca="1">IF(AND(OR(Z35="t",Z35="f"),K35=$BH$11),"No Floor!  Change Floor Type",IF(OR(I35=" ",I35="")," ",IF(F35&lt;OFFSET($BM$9,CL35-1,0,1,1),"check L(m)",DE35&amp;IF(AND(DP35&gt;=CY35,DR35&gt;=DB35),IF(AND(ED35&gt;=DP35,EF35&gt;=DR35),CONCATENATE(DS35," will provide same result"),CONCATENATE(CO35," will provide same result")),IF((DP35&gt;=CY35),CONCATENATE(CO35," provides same result in WIND"),IF((DR35&gt;=DB35),CONCATENATE(CO35," provides same result in EQ"),""))))))&amp;IF(ISERROR(FIND("pile",I35,1)),"",IF(INT(F35)&lt;&gt;F35,"Pile!  Use Whole Numbers Only",""))</f>
        <v xml:space="preserve"> </v>
      </c>
      <c r="R35" s="52"/>
      <c r="S35" s="1372"/>
      <c r="T35" s="1372"/>
      <c r="U35" s="1377"/>
      <c r="V35" s="52" t="str">
        <f ca="1">IF(AND(B$5=$BF$9,OR(I35=BH$16,I35=BH$17))," ",IF(ISNUMBER(B$32),(CONCATENATE(B$32,".",W35)),(CONCATENATE(B$32,W35))))</f>
        <v>Q0</v>
      </c>
      <c r="W35" s="9">
        <f ca="1">W34+X35</f>
        <v>0</v>
      </c>
      <c r="X35" s="9">
        <f>IF(AND(B$5=$BF$9,OR($I35=$BH$16,$I35=$BH$17,$I35=" ",$I35="",$F35=0)),0,IF(OR($I35=" ",$I35="",$F35=0),0,1))</f>
        <v>0</v>
      </c>
      <c r="Y35" s="896"/>
      <c r="Z35" s="52" t="str">
        <f ca="1">IF(I35=" "," ",OFFSET($BM$9,$CL35-1,8,1,1))</f>
        <v xml:space="preserve"> </v>
      </c>
      <c r="AA35" s="51" t="str">
        <f>IF(G35&gt;=45,"WA","")</f>
        <v/>
      </c>
      <c r="AB35" s="1364" t="str">
        <f>IF(F35&lt;&gt;"",IF(OR(D35=$BG$12,D35=$BG$13),IF(E35&lt;&gt;$BG$17,$BF$12,$BF$13),IF(E35&lt;&gt;$BG$17,$BF$12,$BF$13))," ")</f>
        <v xml:space="preserve"> </v>
      </c>
      <c r="AC35" s="1"/>
      <c r="AJ35" s="2230"/>
      <c r="AK35" s="2799" t="str">
        <f>'Regular and QuickBrace Systems'!D50</f>
        <v>Plasterboard One Side, Plywood the Other</v>
      </c>
      <c r="AL35" s="2800"/>
      <c r="AM35" s="2800"/>
      <c r="AN35" s="2800"/>
      <c r="AO35" s="2800"/>
      <c r="AP35" s="1551"/>
      <c r="AQ35" s="1306"/>
      <c r="AR35" s="1551"/>
      <c r="AS35" s="1338"/>
      <c r="AT35" s="1188"/>
      <c r="AU35" s="1333"/>
      <c r="AW35" s="1587"/>
      <c r="AX35" s="1579"/>
      <c r="BA35"/>
      <c r="BB35"/>
      <c r="BC35"/>
      <c r="BD35" s="2648"/>
      <c r="BF35" s="599" t="str">
        <f>'Custom Elements'!C19</f>
        <v>Custom11</v>
      </c>
      <c r="BG35" s="948" t="s">
        <v>775</v>
      </c>
      <c r="BI35" s="759"/>
      <c r="BJ35" s="897">
        <f t="shared" si="3"/>
        <v>27</v>
      </c>
      <c r="BK35" s="769" t="str">
        <f>'Custom Elements'!O11</f>
        <v>NZS 3604</v>
      </c>
      <c r="BL35" s="771" t="str">
        <f>'Custom Elements'!P11</f>
        <v>Masonry 3.0</v>
      </c>
      <c r="BM35" s="455">
        <f>'Custom Elements'!Q11</f>
        <v>1.5</v>
      </c>
      <c r="BN35" s="455">
        <v>999</v>
      </c>
      <c r="BO35" s="455">
        <f>'Custom Elements'!R11</f>
        <v>200</v>
      </c>
      <c r="BP35" s="925">
        <f>'Custom Elements'!S11</f>
        <v>200</v>
      </c>
      <c r="BR35" s="764"/>
      <c r="BS35" s="455"/>
      <c r="BT35" s="455" t="s">
        <v>7</v>
      </c>
      <c r="BU35" s="925" t="str">
        <f>'Custom Elements'!V11</f>
        <v>No</v>
      </c>
      <c r="BV35" s="483" t="str">
        <f t="shared" si="23"/>
        <v>Masonry 3.0</v>
      </c>
      <c r="BW35" s="910">
        <f t="shared" si="20"/>
        <v>27</v>
      </c>
      <c r="BX35" s="925" t="str">
        <f>'Custom Elements'!U11</f>
        <v>Single</v>
      </c>
      <c r="CH35" s="764">
        <f t="shared" si="21"/>
        <v>0</v>
      </c>
      <c r="CI35" s="925">
        <f t="shared" si="22"/>
        <v>0</v>
      </c>
      <c r="CJ35" s="759"/>
      <c r="CK35" s="188"/>
      <c r="CL35" s="979">
        <f>VLOOKUP(I35,Prodlink,2,0)</f>
        <v>0</v>
      </c>
      <c r="CN35" s="497">
        <f ca="1">VLOOKUP(CO35,Prodlink,2,0)</f>
        <v>0</v>
      </c>
      <c r="CO35" s="497">
        <f ca="1">OFFSET($CH$9,CL35-1,-15,1,1)</f>
        <v>0</v>
      </c>
      <c r="CQ35" s="51">
        <v>0</v>
      </c>
      <c r="CR35" s="51">
        <f>IF(K35=$BH$12,$BH$23,IF(K35=$BH$13,$BH$24,10000))</f>
        <v>10000</v>
      </c>
      <c r="CS35" s="51">
        <f ca="1">IF(F35&lt;OFFSET($BM$9,CL35-1,0,1,1),0,IF(F35&lt;OFFSET($BN$9,CL35-1,0,1,1),((F35-OFFSET($BM$9,CL35-1,0,1,1))*OFFSET($CH$9,CL35-1,0,1,1))+OFFSET($BO$9,CL35-1,CQ35,1,1),IF(F35&lt;OFFSET($BN$9,CL35+0,0,1,1),((F35-OFFSET($BM$9,CL35+0,0,1,1))*OFFSET($CH$9,CL35+0,0,1,1))+OFFSET($BO$9,CL35+0,CQ35,1,1),IF(F35&lt;OFFSET($BN$9,CL35+1,0,1,1),((F35-OFFSET($BM$9,CL35+1,0,1,1))*OFFSET($CH$9,CL35+1,0,1,1))+OFFSET($BO$9,CL35+1,CQ35,1,1),IF(F35&lt;OFFSET($BN$9,CL35+2,0,1,1),((F35-OFFSET($BM$9,CL35+2,0,1,1))*OFFSET($CH$9,CL35+2,0,1,1))+OFFSET($BO$9,CL35+2,CQ35,1,1),IF(F35&lt;OFFSET($BN$9,CL35+3,0,1,1),((F35-OFFSET($BM$9,CL35+3,0,1,1))*OFFSET($CH$9,CL35+3,0,1,1))+OFFSET($BO$9,CL35+3,CQ35,1,1),0))))))</f>
        <v>0</v>
      </c>
      <c r="CT35" s="51">
        <f ca="1">IF($F35&lt;OFFSET($BM$9,$CL35-1,0,1,1),0,IF($F35&lt;OFFSET($BN$9,$CL35-1,0,1,1),IF(AND($H35&gt;2.4,Z35&lt;&gt;"e",Z35&lt;&gt;"f"),CX35*2.4/$H35,CX35),IF($F35&lt;OFFSET($BN$9,$CL35+0,0,1,1),IF(AND($H35&gt;2.4,Z35&lt;&gt;"e",Z35&lt;&gt;"f"),CX35*2.4/$H35,CX35),IF($F35&lt;OFFSET($BN$9,$CL35+1,0,1,1),IF(AND($H35&gt;2.4,Z35&lt;&gt;"e",Z35&lt;&gt;"f"),CX35*2.4/$H35,CX35),IF($F35&lt;OFFSET($BN$9,CL35+2,0,1,1),IF(AND($H35&gt;2.4,Z35&lt;&gt;"e",Z35&lt;&gt;"f"),CX35*2.4/$H35,CX35),IF($F35&lt;OFFSET($BN$9,CL35+3,0,1,1),IF(AND($H35&gt;2.4,Z35&lt;&gt;"e",Z35&lt;&gt;"f"),CX35*2.4/$H35,CX35),0)))))*COS(RADIANS($G35)))</f>
        <v>0</v>
      </c>
      <c r="CU35" s="51">
        <f ca="1">IF(F35&lt;OFFSET($BM$9,CL35-1,0,1,1),0,IF(F35&lt;OFFSET($BN$9,CL35-1,0,1,1),((F35-OFFSET($BM$9,CL35-1,0,1,1))*OFFSET($CI$9,CL35-1,0,1,1))+OFFSET($BP$9,CL35-1,CQ35,1,1),IF(F35&lt;OFFSET($BN$9,CL35+0,0,1,1),((F35-OFFSET($BM$9,CL35+0,0,1,1))*OFFSET($CI$9,CL35+0,0,1,1))+OFFSET($BP$9,CL35+0,CQ35,1,1),IF(F35&lt;OFFSET($BN$9,CL35+1,0,1,1),((F35-OFFSET($BM$9,CL35+1,0,1,1))*OFFSET($CI$9,CL35+1,0,1,1))+OFFSET($BP$9,CL35+1,CQ35,1,1),IF(F35&lt;OFFSET($BN$9,CL35+2,0,1,1),((F35-OFFSET($BM$9,CL35+2,0,1,1))*OFFSET($CI$9,CL35+2,0,1,1))+OFFSET($BP$9,CL35+2,CQ35,1,1),IF(F35&lt;OFFSET($BN$9,CL35+3,0,1,1),((F35-OFFSET($BM$9,CL35+3,0,1,1))*OFFSET($CI$9,CL35+3,0,1,1))+OFFSET($BP$9,CL35+3,CQ35,1,1),0))))))</f>
        <v>0</v>
      </c>
      <c r="CV35" s="51">
        <f ca="1">IF($F35&lt;OFFSET($BM$9,$CL35-1,0,1,1),0,IF($F35&lt;OFFSET($BN$9,$CL35-1,0,1,1),IF(AND($H35&gt;2.4,Z35&lt;&gt;"e",Z35&lt;&gt;"f"),CZ35*2.4/$H35,CZ35),IF($F35&lt;OFFSET($BN$9,$CL35+0,0,1,1),IF(AND($H35&gt;2.4,Z35&lt;&gt;"e",Z35&lt;&gt;"f"),CZ35*2.4/$H35,CZ35),IF($F35&lt;OFFSET($BN$9,$CL35+1,0,1,1),IF(AND($H35&gt;2.4,Z35&lt;&gt;"e",Z35&lt;&gt;"f"),CZ35*2.4/$H35,CZ35),IF($F35&lt;OFFSET($BN$9,$CL35+2,0,1,1),IF(AND($H35&gt;2.4,Z35&lt;&gt;"e",Z35&lt;&gt;"f"),CZ35*2.4/$H35,CZ35),IF($F35&lt;OFFSET($BN$9,$CL35+3,0,1,1),IF(AND($H35&gt;2.4,Z35&lt;&gt;"e",Z35&lt;&gt;"f"),CZ35*2.4/$H35,CZ35),0)))))*COS(RADIANS($G35)))</f>
        <v>0</v>
      </c>
      <c r="CW35" s="51">
        <f ca="1">IF(CT35&gt;CR35,CR35,CT35)</f>
        <v>0</v>
      </c>
      <c r="CX35" s="51">
        <f ca="1">IF(CS35&gt;$CR35,$CR35,CS35)</f>
        <v>0</v>
      </c>
      <c r="CY35" s="51">
        <f ca="1">CW35*F35</f>
        <v>0</v>
      </c>
      <c r="CZ35" s="51">
        <f ca="1">IF($CU35&gt;$CR35,$CR35,$CU35)</f>
        <v>0</v>
      </c>
      <c r="DA35" s="51">
        <f ca="1">IF(CV35&gt;CR35,CR35,CV35)</f>
        <v>0</v>
      </c>
      <c r="DB35" s="51">
        <f ca="1">DA35*F35</f>
        <v>0</v>
      </c>
      <c r="DC35" s="993">
        <v>1</v>
      </c>
      <c r="DD35" s="758" t="str">
        <f>IF(OR(D35=BG$12,D35=BG$13),"External",IF(D35=BG$14,"Internal"," "))</f>
        <v xml:space="preserve"> </v>
      </c>
      <c r="DE35" s="51" t="str">
        <f t="shared" ca="1" si="1"/>
        <v/>
      </c>
      <c r="DF35" s="52" t="str">
        <f t="shared" ca="1" si="2"/>
        <v xml:space="preserve"> </v>
      </c>
      <c r="DG35" s="51">
        <f ca="1">IF(F35&lt;OFFSET($BM$9,CN35-1,0,1,1),0,IF(F35&lt;OFFSET($BN$9,CN35-1,0,1,1),((F35-OFFSET($BM$9,CN35-1,0,1,1))*OFFSET($CH$9,CN35-1,0,1,1))+OFFSET($BO$9,CN35-1,CQ35,1,1),IF(F35&lt;OFFSET($BN$9,CN35+0,0,1,1),((F35-OFFSET($BM$9,CN35+0,0,1,1))*OFFSET($CH$9,CN35+0,0,1,1))+OFFSET($BO$9,CN35+0,CQ35,1,1),IF(F35&lt;OFFSET($BN$9,CN35+1,0,1,1),((F35-OFFSET($BM$9,CN35+1,0,1,1))*OFFSET($CH$9,CN35+1,0,1,1))+OFFSET($BO$9,CN35+1,CQ35,1,1),IF(F35&lt;OFFSET($BN$9,CN35+2,0,1,1),((F35-OFFSET($BM$9,CN35+2,0,1,1))*OFFSET($CH$9,CN35+2,0,1,1))+OFFSET($BO$9,CN35+2,CQ35,1,1),IF(F35&lt;OFFSET($BN$9,CN35+3,0,1,1),((F35-OFFSET($BM$9,CN35+3,0,1,1))*OFFSET($CH$9,CN35+3,0,1,1))+OFFSET($BO$9,CN35+3,CQ35,1,1),0))))))</f>
        <v>0</v>
      </c>
      <c r="DH35" s="51">
        <f ca="1">IF($F35&lt;OFFSET($BM$9,$CN35-1,0,1,1),0,IF($F35&lt;OFFSET($BN$9,$CN35-1,0,1,1),IF(AND($H35&gt;2.4,Z35&lt;&gt;"e",Z35&lt;&gt;"f"),DL35*2.4/$H35,DL35),IF($F35&lt;OFFSET($BN$9,$CN35+0,0,1,1),IF(AND($H35&gt;2.4,Z35&lt;&gt;"e",Z35&lt;&gt;"f"),DL35*2.4/$H35,DL35),IF($F35&lt;OFFSET($BN$9,$CN35+1,0,1,1),IF(AND($H35&gt;2.4,Z35&lt;&gt;"e",Z35&lt;&gt;"f"),DL35*2.4/$H35,DL35),IF($F35&lt;OFFSET($BN$9,$CN35+2,0,1,1),IF(AND($H35&gt;2.4,Z35&lt;&gt;"e",Z35&lt;&gt;"f"),DL35*2.4/$H35,DL35),IF($F35&lt;OFFSET($BN$9,$CN35+3,0,1,1),IF(AND($H35&gt;2.4,Z35&lt;&gt;"e",Z35&lt;&gt;"f"),DL35*2.4/$H35,DL35),0)))))*COS(RADIANS($G35)))</f>
        <v>0</v>
      </c>
      <c r="DI35" s="51">
        <f ca="1">IF(F35&lt;OFFSET($BM$9,CN35-1,0,1,1),0,IF(F35&lt;OFFSET($BN$9,CN35-1,0,1,1),((F35-OFFSET($BM$9,CN35-1,0,1,1))*OFFSET($CI$9,CN35-1,0,1,1))+OFFSET($BP$9,CN35-1,CQ35,1,1),IF(F35&lt;OFFSET($BN$9,CN35+0,0,1,1),((F35-OFFSET($BM$9,CN35+0,0,1,1))*OFFSET($CI$9,CN35+0,0,1,1))+OFFSET($BP$9,CN35+0,CQ35,1,1),IF(F35&lt;OFFSET($BN$9,CN35+1,0,1,1),((F35-OFFSET($BM$9,CN35+1,0,1,1))*OFFSET($CI$9,CN35+1,0,1,1))+OFFSET($BP$9,CN35+1,CQ35,1,1),IF(F35&lt;OFFSET($BN$9,CN35+2,0,1,1),((F35-OFFSET($BM$9,CN35+2,0,1,1))*OFFSET($CI$9,CN35+2,0,1,1))+OFFSET($BP$9,CN35+2,CQ35,1,1),IF(F35&lt;OFFSET($BN$9,CN35+3,0,1,1),((F35-OFFSET($BM$9,CN35+3,0,1,1))*OFFSET($CI$9,CN35+3,0,1,1))+OFFSET($BP$9,CN35+3,CQ35,1,1),0))))))</f>
        <v>0</v>
      </c>
      <c r="DJ35" s="51">
        <f ca="1">IF($F35&lt;OFFSET($BM$9,$CN35-1,0,1,1),0,IF($F35&lt;OFFSET($BN$9,$CN35-1,0,1,1),IF(AND($H35&gt;2.4,Z35&lt;&gt;"e",Z35&lt;&gt;"f"),DN35*2.4/$H35,DN35),IF($F35&lt;OFFSET($BN$9,$CN35+0,0,1,1),IF(AND($H35&gt;2.4,Z35&lt;&gt;"e",Z35&lt;&gt;"f"),DN35*2.4/$H35,DN35),IF($F35&lt;OFFSET($BN$9,$CN35+1,0,1,1),IF(AND($H35&gt;2.4,Z35&lt;&gt;"e",Z35&lt;&gt;"f"),DN35*2.4/$H35,DN35),IF($F35&lt;OFFSET($BN$9,$CN35+2,0,1,1),IF(AND($H35&gt;2.4,Z35&lt;&gt;"e",Z35&lt;&gt;"f"),DN35*2.4/$H35,DN35),IF($F35&lt;OFFSET($BN$9,$CN35+3,0,1,1),IF(AND($H35&gt;2.4,Z35&lt;&gt;"e",Z35&lt;&gt;"f"),DN35*2.4/$H35,DN35),0)))))*COS(RADIANS($G35)))</f>
        <v>0</v>
      </c>
      <c r="DK35" s="51"/>
      <c r="DL35" s="51">
        <f ca="1">IF(DG35&gt;$CR35,$CR35,DG35)</f>
        <v>0</v>
      </c>
      <c r="DM35" s="51"/>
      <c r="DN35" s="51">
        <f ca="1">IF(DI35&gt;$CR35,$CR35,DI35)</f>
        <v>0</v>
      </c>
      <c r="DO35" s="435">
        <f ca="1">IF(DH35&gt;$CR35,$CR35,DH35)</f>
        <v>0</v>
      </c>
      <c r="DP35" s="435">
        <f ca="1">DO35*F35</f>
        <v>0</v>
      </c>
      <c r="DQ35" s="436">
        <f ca="1">IF(DJ35&gt;$CR35,$CR35,DJ35)</f>
        <v>0</v>
      </c>
      <c r="DR35" s="437">
        <f ca="1">DQ35*F35</f>
        <v>0</v>
      </c>
      <c r="DS35" s="426">
        <f ca="1">OFFSET($CH$9,CL35-1,-15,1,1)</f>
        <v>0</v>
      </c>
      <c r="DT35" s="426">
        <f ca="1">VLOOKUP(DS35,Prodlink,2,0)</f>
        <v>0</v>
      </c>
      <c r="DU35" s="188">
        <f ca="1">IF(F35&lt;OFFSET($BM$9,DT35-1,0,1,1),0,IF(F35&lt;OFFSET($BN$9,DT35-1,0,1,1),((F35-OFFSET($BM$9,DT35-1,0,1,1))*OFFSET($CH$9,DT35-1,0,1,1))+OFFSET($BO$9,DT35-1,CQ35,1,1),IF(F35&lt;OFFSET($BN$9,DT35+0,0,1,1),((F35-OFFSET($BM$9,DT35+0,0,1,1))*OFFSET($CH$9,DT35+0,0,1,1))+OFFSET($BO$9,DT35+0,CQ35,1,1),IF(F35&lt;OFFSET($BN$9,DT35+1,0,1,1),((F35-OFFSET($BM$9,DT35+1,0,1,1))*OFFSET($CH$9,DT35+1,0,1,1))+OFFSET($BO$9,DT35+1,CQ35,1,1),IF(F35&lt;OFFSET($BN$9,DT35+2,0,1,1),((F35-OFFSET($BM$9,DT35+2,0,1,1))*OFFSET($CH$9,DT35+2,0,1,1))+OFFSET($BO$9,DT35+2,CQ35,1,1),IF(F35&lt;OFFSET($BN$9,DT35+3,0,1,1),((F35-OFFSET($BM$9,DT35+3,0,1,1))*OFFSET($CH$9,DT35+3,0,1,1))+OFFSET($BO$9,DT35+3,CQ35,1,1),0))))))</f>
        <v>0</v>
      </c>
      <c r="DV35" s="51">
        <f ca="1">IF($F35&lt;OFFSET($BM$9,$DT35-1,0,1,1),0,IF($F35&lt;OFFSET($BN$9,$DT35-1,0,1,1),IF(AND($H35&gt;2.4,Z35&lt;&gt;"e",Z35&lt;&gt;"f"),DZ35*2.4/$H35,DZ35),IF($F35&lt;OFFSET($BN$9,$DT35+0,0,1,1),IF(AND($H35&gt;2.4,Z35&lt;&gt;"e",Z35&lt;&gt;"f"),DZ35*2.4/$H35,DZ35),IF($F35&lt;OFFSET($BN$9,$DT35+1,0,1,1),IF(AND($H35&gt;2.4,Z35&lt;&gt;"e",Z35&lt;&gt;"f"),DZ35*2.4/$H35,DZ35),IF($F35&lt;OFFSET($BN$9,$DT35+2,0,1,1),IF(AND($H35&gt;2.4,Z35&lt;&gt;"e",Z35&lt;&gt;"f"),DZ35*2.4/$H35,DZ35),IF($F35&lt;OFFSET($BN$9,$DT35+3,0,1,1),IF(AND($H35&gt;2.4,Z35&lt;&gt;"e",Z35&lt;&gt;"f"),DZ35*2.4/$H35,DZ35),0)))))*COS(RADIANS($G35)))</f>
        <v>0</v>
      </c>
      <c r="DW35" s="188">
        <f ca="1">IF(F35&lt;OFFSET($BM$9,DT35-1,0,1,1),0,IF(F35&lt;OFFSET($BN$9,DT35-1,0,1,1),((F35-OFFSET($BM$9,DT35-1,0,1,1))*OFFSET($CI$9,DT35-1,0,1,1))+OFFSET($BP$9,DT35-1,CQ35,1,1),IF(F35&lt;OFFSET($BN$9,DT35+0,0,1,1),((F35-OFFSET($BM$9,DT35+0,0,1,1))*OFFSET($CI$9,DT35+0,0,1,1))+OFFSET($BP$9,DT35+0,CQ35,1,1),IF(F35&lt;OFFSET($BN$9,DT35+1,0,1,1),((F35-OFFSET($BM$9,DT35+1,0,1,1))*OFFSET($CI$9,DT35+1,0,1,1))+OFFSET($BP$9,DT35+1,CQ35,1,1),IF(F35&lt;OFFSET($BN$9,DT35+2,0,1,1),((F35-OFFSET($BM$9,DT35+2,0,1,1))*OFFSET($CI$9,DT35+2,0,1,1))+OFFSET($BP$9,DT35+2,CQ35,1,1),IF(F35&lt;OFFSET($BN$9,DT35+3,0,1,1),((F35-OFFSET($BM$9,DT35+3,0,1,1))*OFFSET($CI$9,DT35+3,0,1,1))+OFFSET($BP$9,DT35+3,CQ35,1,1),0))))))</f>
        <v>0</v>
      </c>
      <c r="DX35" s="51">
        <f ca="1">IF($F35&lt;OFFSET($BM$9,$DT35-1,0,1,1),0,IF($F35&lt;OFFSET($BN$9,$DT35-1,0,1,1),IF(AND($H35&gt;2.4,Z35&lt;&gt;"e",Z35&lt;&gt;"f"),EB35*2.4/$H35,EB35),IF($F35&lt;OFFSET($BN$9,$DT35+0,0,1,1),IF(AND($H35&gt;2.4,Z35&lt;&gt;"e",Z35&lt;&gt;"f"),EB35*2.4/$H35,EB35),IF($F35&lt;OFFSET($BN$9,$DT35+1,0,1,1),IF(AND($H35&gt;2.4,Z35&lt;&gt;"e",Z35&lt;&gt;"f"),EB35*2.4/$H35,EB35),IF($F35&lt;OFFSET($BN$9,$DT35+2,0,1,1),IF(AND($H35&gt;2.4,Z35&lt;&gt;"e",Z35&lt;&gt;"f"),EB35*2.4/$H35,EB35),IF($F35&lt;OFFSET($BN$9,$DT35+3,0,1,1),IF(AND($H35&gt;2.4,Z35&lt;&gt;"e",Z35&lt;&gt;"f"),EB35*2.4/$H35,EB35),0)))))*COS(RADIANS($G35)))</f>
        <v>0</v>
      </c>
      <c r="DY35" s="188"/>
      <c r="DZ35" s="188">
        <f ca="1">IF(DU35&gt;$CR35,$CR35,DU35)</f>
        <v>0</v>
      </c>
      <c r="EA35" s="188"/>
      <c r="EB35" s="188">
        <f ca="1">IF(DW35&gt;$CR35,$CR35,DW35)</f>
        <v>0</v>
      </c>
      <c r="EC35" s="435">
        <f ca="1">IF(DV35&gt;$CR35,$CR35,DV35)</f>
        <v>0</v>
      </c>
      <c r="ED35" s="435">
        <f ca="1">EC35*F35</f>
        <v>0</v>
      </c>
      <c r="EE35" s="436">
        <f ca="1">IF(DX35&gt;$CR35,$CR35,DX35)</f>
        <v>0</v>
      </c>
      <c r="EF35" s="437">
        <f ca="1">EE35*F35</f>
        <v>0</v>
      </c>
      <c r="EG35" s="613" t="str">
        <f>IF(D35=BG$12,BG$12,"")</f>
        <v/>
      </c>
      <c r="EH35" s="614" t="str">
        <f>IF(D35=BG$13,BG$13,"")</f>
        <v/>
      </c>
      <c r="EI35" s="611">
        <f>IF(EG35=BG$12,M35,0)</f>
        <v>0</v>
      </c>
      <c r="EJ35" s="451">
        <f>IF(EG35=BG$12,O35,0)</f>
        <v>0</v>
      </c>
      <c r="EK35" s="451">
        <f>IF(EH35=BG$13,M35,0)</f>
        <v>0</v>
      </c>
      <c r="EL35" s="612">
        <f>IF(EH35=BG$13,O35,0)</f>
        <v>0</v>
      </c>
      <c r="EM35" s="426" t="str">
        <f ca="1">IF(AND(Z35&lt;&gt;"t",Z35&lt;&gt;"f"),"",IF(AND(EN35=$BH$13,K35=$BH$12),"NotOpt",IF(K35&lt;&gt;EN35,"Error","")))</f>
        <v/>
      </c>
      <c r="EN35" s="490" t="str">
        <f>IF($BG$28=1,$BH$13,$BH$12)</f>
        <v>120 BU's</v>
      </c>
      <c r="EO35" s="426" t="str">
        <f>K35</f>
        <v xml:space="preserve"> </v>
      </c>
      <c r="EP35" s="430">
        <v>1</v>
      </c>
      <c r="EQ35" s="430" t="str">
        <f ca="1">IF(EP35=1," ",OFFSET(BF$16,EP35-2,0,1,1))</f>
        <v xml:space="preserve"> </v>
      </c>
      <c r="ER35" s="439" t="str">
        <f ca="1">IF(H35=0," ",H35)</f>
        <v xml:space="preserve"> </v>
      </c>
      <c r="ES35" s="440" t="str">
        <f ca="1">IF(ER35&lt;&gt;" ",IF(ER35&lt;&gt;ER$7,"Changed",""),"")</f>
        <v/>
      </c>
      <c r="ET35" s="440">
        <f ca="1">IF(ER35&lt;&gt;" ",IF(ER35&lt;&gt;ER$7,1,0),0)</f>
        <v>0</v>
      </c>
      <c r="EU35" s="957" t="str">
        <f ca="1">IF(I35=" "," ",IF(F35&lt;OFFSET($BM$9,CL35-1,0,1,1),1,""))</f>
        <v xml:space="preserve"> </v>
      </c>
      <c r="EW35" s="427"/>
      <c r="EX35"/>
      <c r="EY35"/>
      <c r="EZ35"/>
      <c r="FA35"/>
    </row>
    <row r="36" spans="1:157" ht="17.100000000000001" customHeight="1" thickBot="1">
      <c r="B36" s="689" t="s">
        <v>246</v>
      </c>
      <c r="C36" s="684" t="str">
        <f>IF(OR(F36=0,I36="",I36=" ")," ",$V36)</f>
        <v xml:space="preserve"> </v>
      </c>
      <c r="D36" s="1033"/>
      <c r="E36" s="1360" t="s">
        <v>8</v>
      </c>
      <c r="F36" s="202"/>
      <c r="G36" s="1416"/>
      <c r="H36" s="199" t="str">
        <f ca="1">IF(OR(F36=0,Z36="E",Z36="f")," ",'Project Demand'!E$45)</f>
        <v xml:space="preserve"> </v>
      </c>
      <c r="I36" s="631" t="str">
        <f>IF($I$6&lt;&gt;$BG$8," ",AB36)</f>
        <v xml:space="preserve"> </v>
      </c>
      <c r="J36" s="44" t="str">
        <f ca="1">IF(OR(I36=" ",I36="")," ",OFFSET($BO$9,CL36-1,0-4,1,1))</f>
        <v xml:space="preserve"> </v>
      </c>
      <c r="K36" s="55" t="str">
        <f>IF(OR(I36=" ",I36="")," ",IF(OR(Z36="e",Z36="h"),"SD",BG$24))</f>
        <v xml:space="preserve"> </v>
      </c>
      <c r="L36" s="49">
        <f ca="1">CW36</f>
        <v>0</v>
      </c>
      <c r="M36" s="49">
        <f ca="1">CY36</f>
        <v>0</v>
      </c>
      <c r="N36" s="50">
        <f t="shared" ca="1" si="19"/>
        <v>0</v>
      </c>
      <c r="O36" s="126">
        <f t="shared" ca="1" si="19"/>
        <v>0</v>
      </c>
      <c r="P36" s="140"/>
      <c r="Q36" s="752" t="str">
        <f ca="1">IF(AND(OR(Z36="t",Z36="f"),K36=$BH$11),"No Floor!  Change Floor Type",IF(OR(I36=" ",I36="")," ",IF(F36&lt;OFFSET($BM$9,CL36-1,0,1,1),"check L(m)",DE36&amp;IF(AND(DP36&gt;=CY36,DR36&gt;=DB36),IF(AND(ED36&gt;=DP36,EF36&gt;=DR36),CONCATENATE(DS36," will provide same result"),CONCATENATE(CO36," will provide same result")),IF((DP36&gt;=CY36),CONCATENATE(CO36," provides same result in WIND"),IF((DR36&gt;=DB36),CONCATENATE(CO36," provides same result in EQ"),""))))))&amp;IF(ISERROR(FIND("pile",I36,1)),"",IF(INT(F36)&lt;&gt;F36,"Pile!  Use Whole Numbers Only",""))</f>
        <v xml:space="preserve"> </v>
      </c>
      <c r="U36" s="1377"/>
      <c r="V36" s="52" t="str">
        <f ca="1">IF(AND(B$5=$BF$9,OR(I36=BH$16,I36=BH$17))," ",IF(ISNUMBER(B$32),(CONCATENATE(B$32,".",W36)),(CONCATENATE(B$32,W36))))</f>
        <v>Q0</v>
      </c>
      <c r="W36" s="9">
        <f ca="1">W35+X36</f>
        <v>0</v>
      </c>
      <c r="X36" s="9">
        <f>IF(AND(B$5=$BF$9,OR($I36=$BH$16,$I36=$BH$17,$I36=" ",$I36="",$F36=0)),0,IF(OR($I36=" ",$I36="",$F36=0),0,1))</f>
        <v>0</v>
      </c>
      <c r="Y36" s="896"/>
      <c r="Z36" s="52" t="str">
        <f ca="1">IF(I36=" "," ",OFFSET($BM$9,$CL36-1,8,1,1))</f>
        <v xml:space="preserve"> </v>
      </c>
      <c r="AA36" s="51" t="str">
        <f>IF(G36&gt;=45,"WA","")</f>
        <v/>
      </c>
      <c r="AB36" s="1364" t="str">
        <f>IF(F36&lt;&gt;"",IF(OR(D36=$BG$12,D36=$BG$13),IF(E36&lt;&gt;$BG$17,$BF$12,$BF$13),IF(E36&lt;&gt;$BG$17,$BF$12,$BF$13))," ")</f>
        <v xml:space="preserve"> </v>
      </c>
      <c r="AC36" s="1"/>
      <c r="AJ36" s="2230"/>
      <c r="AK36" s="2797" t="str">
        <f>'Regular and QuickBrace Systems'!D54</f>
        <v>External</v>
      </c>
      <c r="AL36" s="2783" t="str">
        <f>'Regular and QuickBrace Systems'!E54</f>
        <v>ESPH</v>
      </c>
      <c r="AM36" s="1176">
        <f>'Regular and QuickBrace Systems'!F54</f>
        <v>0.4</v>
      </c>
      <c r="AN36" s="1272">
        <f>'Regular and QuickBrace Systems'!G54</f>
        <v>102</v>
      </c>
      <c r="AO36" s="1273">
        <f>'Regular and QuickBrace Systems'!H54</f>
        <v>114</v>
      </c>
      <c r="AP36" s="1594"/>
      <c r="AQ36" s="2661" t="str">
        <f>'Regular and QuickBrace Systems'!I54</f>
        <v>Specialised QuickBrace Pattern</v>
      </c>
      <c r="AR36" s="2662"/>
      <c r="AS36" s="2826" t="str">
        <f>'Regular and QuickBrace Systems'!K54</f>
        <v>Yes</v>
      </c>
      <c r="AT36" s="1340"/>
      <c r="AU36" s="2131" t="str">
        <f>'Regular and QuickBrace Systems'!M54</f>
        <v>Elephant Standard-Plus board One side,       Plywood the Other</v>
      </c>
      <c r="AW36" s="1567" t="str">
        <f>'Regular and QuickBrace Systems'!O54</f>
        <v>Yes</v>
      </c>
      <c r="AX36" s="1573" t="str">
        <f>'Regular and QuickBrace Systems'!Q54</f>
        <v>No</v>
      </c>
      <c r="BA36"/>
      <c r="BB36"/>
      <c r="BC36"/>
      <c r="BD36" s="2648"/>
      <c r="BF36" s="599" t="str">
        <f>'Custom Elements'!C20</f>
        <v>Custom12</v>
      </c>
      <c r="BG36" s="948" t="s">
        <v>774</v>
      </c>
      <c r="BI36" s="759"/>
      <c r="BJ36" s="897">
        <f t="shared" si="3"/>
        <v>28</v>
      </c>
      <c r="BK36" s="769" t="str">
        <f>'Custom Elements'!O12</f>
        <v>NZS 3604</v>
      </c>
      <c r="BL36" s="771" t="str">
        <f>'Custom Elements'!P12</f>
        <v>Masonry 4.5</v>
      </c>
      <c r="BM36" s="455">
        <f>'Custom Elements'!Q12</f>
        <v>1.5</v>
      </c>
      <c r="BN36" s="455">
        <v>999</v>
      </c>
      <c r="BO36" s="455">
        <f>'Custom Elements'!R12</f>
        <v>300</v>
      </c>
      <c r="BP36" s="925">
        <f>'Custom Elements'!S12</f>
        <v>300</v>
      </c>
      <c r="BR36" s="764"/>
      <c r="BS36" s="455"/>
      <c r="BT36" s="455" t="s">
        <v>7</v>
      </c>
      <c r="BU36" s="925" t="str">
        <f>'Custom Elements'!V12</f>
        <v>No</v>
      </c>
      <c r="BV36" s="483" t="str">
        <f t="shared" si="23"/>
        <v>Masonry 4.5</v>
      </c>
      <c r="BW36" s="910">
        <f t="shared" si="20"/>
        <v>28</v>
      </c>
      <c r="BX36" s="925" t="str">
        <f>'Custom Elements'!U12</f>
        <v>Single</v>
      </c>
      <c r="CH36" s="764">
        <f t="shared" si="21"/>
        <v>0</v>
      </c>
      <c r="CI36" s="925">
        <f t="shared" si="22"/>
        <v>0</v>
      </c>
      <c r="CJ36" s="759"/>
      <c r="CK36" s="188"/>
      <c r="CL36" s="979">
        <f>VLOOKUP(I36,Prodlink,2,0)</f>
        <v>0</v>
      </c>
      <c r="CN36" s="497">
        <f ca="1">VLOOKUP(CO36,Prodlink,2,0)</f>
        <v>0</v>
      </c>
      <c r="CO36" s="497">
        <f ca="1">OFFSET($CH$9,CL36-1,-15,1,1)</f>
        <v>0</v>
      </c>
      <c r="CQ36" s="51">
        <v>0</v>
      </c>
      <c r="CR36" s="51">
        <f>IF(K36=$BH$12,$BH$23,IF(K36=$BH$13,$BH$24,10000))</f>
        <v>10000</v>
      </c>
      <c r="CS36" s="51">
        <f ca="1">IF(F36&lt;OFFSET($BM$9,CL36-1,0,1,1),0,IF(F36&lt;OFFSET($BN$9,CL36-1,0,1,1),((F36-OFFSET($BM$9,CL36-1,0,1,1))*OFFSET($CH$9,CL36-1,0,1,1))+OFFSET($BO$9,CL36-1,CQ36,1,1),IF(F36&lt;OFFSET($BN$9,CL36+0,0,1,1),((F36-OFFSET($BM$9,CL36+0,0,1,1))*OFFSET($CH$9,CL36+0,0,1,1))+OFFSET($BO$9,CL36+0,CQ36,1,1),IF(F36&lt;OFFSET($BN$9,CL36+1,0,1,1),((F36-OFFSET($BM$9,CL36+1,0,1,1))*OFFSET($CH$9,CL36+1,0,1,1))+OFFSET($BO$9,CL36+1,CQ36,1,1),IF(F36&lt;OFFSET($BN$9,CL36+2,0,1,1),((F36-OFFSET($BM$9,CL36+2,0,1,1))*OFFSET($CH$9,CL36+2,0,1,1))+OFFSET($BO$9,CL36+2,CQ36,1,1),IF(F36&lt;OFFSET($BN$9,CL36+3,0,1,1),((F36-OFFSET($BM$9,CL36+3,0,1,1))*OFFSET($CH$9,CL36+3,0,1,1))+OFFSET($BO$9,CL36+3,CQ36,1,1),0))))))</f>
        <v>0</v>
      </c>
      <c r="CT36" s="51">
        <f ca="1">IF($F36&lt;OFFSET($BM$9,$CL36-1,0,1,1),0,IF($F36&lt;OFFSET($BN$9,$CL36-1,0,1,1),IF(AND($H36&gt;2.4,Z36&lt;&gt;"e",Z36&lt;&gt;"f"),CX36*2.4/$H36,CX36),IF($F36&lt;OFFSET($BN$9,$CL36+0,0,1,1),IF(AND($H36&gt;2.4,Z36&lt;&gt;"e",Z36&lt;&gt;"f"),CX36*2.4/$H36,CX36),IF($F36&lt;OFFSET($BN$9,$CL36+1,0,1,1),IF(AND($H36&gt;2.4,Z36&lt;&gt;"e",Z36&lt;&gt;"f"),CX36*2.4/$H36,CX36),IF($F36&lt;OFFSET($BN$9,CL36+2,0,1,1),IF(AND($H36&gt;2.4,Z36&lt;&gt;"e",Z36&lt;&gt;"f"),CX36*2.4/$H36,CX36),IF($F36&lt;OFFSET($BN$9,CL36+3,0,1,1),IF(AND($H36&gt;2.4,Z36&lt;&gt;"e",Z36&lt;&gt;"f"),CX36*2.4/$H36,CX36),0)))))*COS(RADIANS($G36)))</f>
        <v>0</v>
      </c>
      <c r="CU36" s="51">
        <f ca="1">IF(F36&lt;OFFSET($BM$9,CL36-1,0,1,1),0,IF(F36&lt;OFFSET($BN$9,CL36-1,0,1,1),((F36-OFFSET($BM$9,CL36-1,0,1,1))*OFFSET($CI$9,CL36-1,0,1,1))+OFFSET($BP$9,CL36-1,CQ36,1,1),IF(F36&lt;OFFSET($BN$9,CL36+0,0,1,1),((F36-OFFSET($BM$9,CL36+0,0,1,1))*OFFSET($CI$9,CL36+0,0,1,1))+OFFSET($BP$9,CL36+0,CQ36,1,1),IF(F36&lt;OFFSET($BN$9,CL36+1,0,1,1),((F36-OFFSET($BM$9,CL36+1,0,1,1))*OFFSET($CI$9,CL36+1,0,1,1))+OFFSET($BP$9,CL36+1,CQ36,1,1),IF(F36&lt;OFFSET($BN$9,CL36+2,0,1,1),((F36-OFFSET($BM$9,CL36+2,0,1,1))*OFFSET($CI$9,CL36+2,0,1,1))+OFFSET($BP$9,CL36+2,CQ36,1,1),IF(F36&lt;OFFSET($BN$9,CL36+3,0,1,1),((F36-OFFSET($BM$9,CL36+3,0,1,1))*OFFSET($CI$9,CL36+3,0,1,1))+OFFSET($BP$9,CL36+3,CQ36,1,1),0))))))</f>
        <v>0</v>
      </c>
      <c r="CV36" s="51">
        <f ca="1">IF($F36&lt;OFFSET($BM$9,$CL36-1,0,1,1),0,IF($F36&lt;OFFSET($BN$9,$CL36-1,0,1,1),IF(AND($H36&gt;2.4,Z36&lt;&gt;"e",Z36&lt;&gt;"f"),CZ36*2.4/$H36,CZ36),IF($F36&lt;OFFSET($BN$9,$CL36+0,0,1,1),IF(AND($H36&gt;2.4,Z36&lt;&gt;"e",Z36&lt;&gt;"f"),CZ36*2.4/$H36,CZ36),IF($F36&lt;OFFSET($BN$9,$CL36+1,0,1,1),IF(AND($H36&gt;2.4,Z36&lt;&gt;"e",Z36&lt;&gt;"f"),CZ36*2.4/$H36,CZ36),IF($F36&lt;OFFSET($BN$9,$CL36+2,0,1,1),IF(AND($H36&gt;2.4,Z36&lt;&gt;"e",Z36&lt;&gt;"f"),CZ36*2.4/$H36,CZ36),IF($F36&lt;OFFSET($BN$9,$CL36+3,0,1,1),IF(AND($H36&gt;2.4,Z36&lt;&gt;"e",Z36&lt;&gt;"f"),CZ36*2.4/$H36,CZ36),0)))))*COS(RADIANS($G36)))</f>
        <v>0</v>
      </c>
      <c r="CW36" s="51">
        <f ca="1">IF(CT36&gt;CR36,CR36,CT36)</f>
        <v>0</v>
      </c>
      <c r="CX36" s="51">
        <f ca="1">IF(CS36&gt;$CR36,$CR36,CS36)</f>
        <v>0</v>
      </c>
      <c r="CY36" s="51">
        <f ca="1">CW36*F36</f>
        <v>0</v>
      </c>
      <c r="CZ36" s="51">
        <f ca="1">IF($CU36&gt;$CR36,$CR36,$CU36)</f>
        <v>0</v>
      </c>
      <c r="DA36" s="51">
        <f ca="1">IF(CV36&gt;CR36,CR36,CV36)</f>
        <v>0</v>
      </c>
      <c r="DB36" s="51">
        <f ca="1">DA36*F36</f>
        <v>0</v>
      </c>
      <c r="DC36" s="993">
        <v>1</v>
      </c>
      <c r="DD36" s="758" t="str">
        <f>IF(OR(D36=BG$12,D36=BG$13),"External",IF(D36=BG$14,"Internal"," "))</f>
        <v xml:space="preserve"> </v>
      </c>
      <c r="DE36" s="51" t="str">
        <f t="shared" ca="1" si="1"/>
        <v/>
      </c>
      <c r="DF36" s="52" t="str">
        <f t="shared" ca="1" si="2"/>
        <v xml:space="preserve"> </v>
      </c>
      <c r="DG36" s="51">
        <f ca="1">IF(F36&lt;OFFSET($BM$9,CN36-1,0,1,1),0,IF(F36&lt;OFFSET($BN$9,CN36-1,0,1,1),((F36-OFFSET($BM$9,CN36-1,0,1,1))*OFFSET($CH$9,CN36-1,0,1,1))+OFFSET($BO$9,CN36-1,CQ36,1,1),IF(F36&lt;OFFSET($BN$9,CN36+0,0,1,1),((F36-OFFSET($BM$9,CN36+0,0,1,1))*OFFSET($CH$9,CN36+0,0,1,1))+OFFSET($BO$9,CN36+0,CQ36,1,1),IF(F36&lt;OFFSET($BN$9,CN36+1,0,1,1),((F36-OFFSET($BM$9,CN36+1,0,1,1))*OFFSET($CH$9,CN36+1,0,1,1))+OFFSET($BO$9,CN36+1,CQ36,1,1),IF(F36&lt;OFFSET($BN$9,CN36+2,0,1,1),((F36-OFFSET($BM$9,CN36+2,0,1,1))*OFFSET($CH$9,CN36+2,0,1,1))+OFFSET($BO$9,CN36+2,CQ36,1,1),IF(F36&lt;OFFSET($BN$9,CN36+3,0,1,1),((F36-OFFSET($BM$9,CN36+3,0,1,1))*OFFSET($CH$9,CN36+3,0,1,1))+OFFSET($BO$9,CN36+3,CQ36,1,1),0))))))</f>
        <v>0</v>
      </c>
      <c r="DH36" s="51">
        <f ca="1">IF($F36&lt;OFFSET($BM$9,$CN36-1,0,1,1),0,IF($F36&lt;OFFSET($BN$9,$CN36-1,0,1,1),IF(AND($H36&gt;2.4,Z36&lt;&gt;"e",Z36&lt;&gt;"f"),DL36*2.4/$H36,DL36),IF($F36&lt;OFFSET($BN$9,$CN36+0,0,1,1),IF(AND($H36&gt;2.4,Z36&lt;&gt;"e",Z36&lt;&gt;"f"),DL36*2.4/$H36,DL36),IF($F36&lt;OFFSET($BN$9,$CN36+1,0,1,1),IF(AND($H36&gt;2.4,Z36&lt;&gt;"e",Z36&lt;&gt;"f"),DL36*2.4/$H36,DL36),IF($F36&lt;OFFSET($BN$9,$CN36+2,0,1,1),IF(AND($H36&gt;2.4,Z36&lt;&gt;"e",Z36&lt;&gt;"f"),DL36*2.4/$H36,DL36),IF($F36&lt;OFFSET($BN$9,$CN36+3,0,1,1),IF(AND($H36&gt;2.4,Z36&lt;&gt;"e",Z36&lt;&gt;"f"),DL36*2.4/$H36,DL36),0)))))*COS(RADIANS($G36)))</f>
        <v>0</v>
      </c>
      <c r="DI36" s="51">
        <f ca="1">IF(F36&lt;OFFSET($BM$9,CN36-1,0,1,1),0,IF(F36&lt;OFFSET($BN$9,CN36-1,0,1,1),((F36-OFFSET($BM$9,CN36-1,0,1,1))*OFFSET($CI$9,CN36-1,0,1,1))+OFFSET($BP$9,CN36-1,CQ36,1,1),IF(F36&lt;OFFSET($BN$9,CN36+0,0,1,1),((F36-OFFSET($BM$9,CN36+0,0,1,1))*OFFSET($CI$9,CN36+0,0,1,1))+OFFSET($BP$9,CN36+0,CQ36,1,1),IF(F36&lt;OFFSET($BN$9,CN36+1,0,1,1),((F36-OFFSET($BM$9,CN36+1,0,1,1))*OFFSET($CI$9,CN36+1,0,1,1))+OFFSET($BP$9,CN36+1,CQ36,1,1),IF(F36&lt;OFFSET($BN$9,CN36+2,0,1,1),((F36-OFFSET($BM$9,CN36+2,0,1,1))*OFFSET($CI$9,CN36+2,0,1,1))+OFFSET($BP$9,CN36+2,CQ36,1,1),IF(F36&lt;OFFSET($BN$9,CN36+3,0,1,1),((F36-OFFSET($BM$9,CN36+3,0,1,1))*OFFSET($CI$9,CN36+3,0,1,1))+OFFSET($BP$9,CN36+3,CQ36,1,1),0))))))</f>
        <v>0</v>
      </c>
      <c r="DJ36" s="51">
        <f ca="1">IF($F36&lt;OFFSET($BM$9,$CN36-1,0,1,1),0,IF($F36&lt;OFFSET($BN$9,$CN36-1,0,1,1),IF(AND($H36&gt;2.4,Z36&lt;&gt;"e",Z36&lt;&gt;"f"),DN36*2.4/$H36,DN36),IF($F36&lt;OFFSET($BN$9,$CN36+0,0,1,1),IF(AND($H36&gt;2.4,Z36&lt;&gt;"e",Z36&lt;&gt;"f"),DN36*2.4/$H36,DN36),IF($F36&lt;OFFSET($BN$9,$CN36+1,0,1,1),IF(AND($H36&gt;2.4,Z36&lt;&gt;"e",Z36&lt;&gt;"f"),DN36*2.4/$H36,DN36),IF($F36&lt;OFFSET($BN$9,$CN36+2,0,1,1),IF(AND($H36&gt;2.4,Z36&lt;&gt;"e",Z36&lt;&gt;"f"),DN36*2.4/$H36,DN36),IF($F36&lt;OFFSET($BN$9,$CN36+3,0,1,1),IF(AND($H36&gt;2.4,Z36&lt;&gt;"e",Z36&lt;&gt;"f"),DN36*2.4/$H36,DN36),0)))))*COS(RADIANS($G36)))</f>
        <v>0</v>
      </c>
      <c r="DK36" s="51"/>
      <c r="DL36" s="51">
        <f ca="1">IF(DG36&gt;$CR36,$CR36,DG36)</f>
        <v>0</v>
      </c>
      <c r="DM36" s="51"/>
      <c r="DN36" s="51">
        <f ca="1">IF(DI36&gt;$CR36,$CR36,DI36)</f>
        <v>0</v>
      </c>
      <c r="DO36" s="435">
        <f ca="1">IF(DH36&gt;$CR36,$CR36,DH36)</f>
        <v>0</v>
      </c>
      <c r="DP36" s="435">
        <f ca="1">DO36*F36</f>
        <v>0</v>
      </c>
      <c r="DQ36" s="436">
        <f ca="1">IF(DJ36&gt;$CR36,$CR36,DJ36)</f>
        <v>0</v>
      </c>
      <c r="DR36" s="437">
        <f ca="1">DQ36*F36</f>
        <v>0</v>
      </c>
      <c r="DS36" s="426">
        <f ca="1">OFFSET($CH$9,CL36-1,-15,1,1)</f>
        <v>0</v>
      </c>
      <c r="DT36" s="426">
        <f ca="1">VLOOKUP(DS36,Prodlink,2,0)</f>
        <v>0</v>
      </c>
      <c r="DU36" s="188">
        <f ca="1">IF(F36&lt;OFFSET($BM$9,DT36-1,0,1,1),0,IF(F36&lt;OFFSET($BN$9,DT36-1,0,1,1),((F36-OFFSET($BM$9,DT36-1,0,1,1))*OFFSET($CH$9,DT36-1,0,1,1))+OFFSET($BO$9,DT36-1,CQ36,1,1),IF(F36&lt;OFFSET($BN$9,DT36+0,0,1,1),((F36-OFFSET($BM$9,DT36+0,0,1,1))*OFFSET($CH$9,DT36+0,0,1,1))+OFFSET($BO$9,DT36+0,CQ36,1,1),IF(F36&lt;OFFSET($BN$9,DT36+1,0,1,1),((F36-OFFSET($BM$9,DT36+1,0,1,1))*OFFSET($CH$9,DT36+1,0,1,1))+OFFSET($BO$9,DT36+1,CQ36,1,1),IF(F36&lt;OFFSET($BN$9,DT36+2,0,1,1),((F36-OFFSET($BM$9,DT36+2,0,1,1))*OFFSET($CH$9,DT36+2,0,1,1))+OFFSET($BO$9,DT36+2,CQ36,1,1),IF(F36&lt;OFFSET($BN$9,DT36+3,0,1,1),((F36-OFFSET($BM$9,DT36+3,0,1,1))*OFFSET($CH$9,DT36+3,0,1,1))+OFFSET($BO$9,DT36+3,CQ36,1,1),0))))))</f>
        <v>0</v>
      </c>
      <c r="DV36" s="51">
        <f ca="1">IF($F36&lt;OFFSET($BM$9,$DT36-1,0,1,1),0,IF($F36&lt;OFFSET($BN$9,$DT36-1,0,1,1),IF(AND($H36&gt;2.4,Z36&lt;&gt;"e",Z36&lt;&gt;"f"),DZ36*2.4/$H36,DZ36),IF($F36&lt;OFFSET($BN$9,$DT36+0,0,1,1),IF(AND($H36&gt;2.4,Z36&lt;&gt;"e",Z36&lt;&gt;"f"),DZ36*2.4/$H36,DZ36),IF($F36&lt;OFFSET($BN$9,$DT36+1,0,1,1),IF(AND($H36&gt;2.4,Z36&lt;&gt;"e",Z36&lt;&gt;"f"),DZ36*2.4/$H36,DZ36),IF($F36&lt;OFFSET($BN$9,$DT36+2,0,1,1),IF(AND($H36&gt;2.4,Z36&lt;&gt;"e",Z36&lt;&gt;"f"),DZ36*2.4/$H36,DZ36),IF($F36&lt;OFFSET($BN$9,$DT36+3,0,1,1),IF(AND($H36&gt;2.4,Z36&lt;&gt;"e",Z36&lt;&gt;"f"),DZ36*2.4/$H36,DZ36),0)))))*COS(RADIANS($G36)))</f>
        <v>0</v>
      </c>
      <c r="DW36" s="188">
        <f ca="1">IF(F36&lt;OFFSET($BM$9,DT36-1,0,1,1),0,IF(F36&lt;OFFSET($BN$9,DT36-1,0,1,1),((F36-OFFSET($BM$9,DT36-1,0,1,1))*OFFSET($CI$9,DT36-1,0,1,1))+OFFSET($BP$9,DT36-1,CQ36,1,1),IF(F36&lt;OFFSET($BN$9,DT36+0,0,1,1),((F36-OFFSET($BM$9,DT36+0,0,1,1))*OFFSET($CI$9,DT36+0,0,1,1))+OFFSET($BP$9,DT36+0,CQ36,1,1),IF(F36&lt;OFFSET($BN$9,DT36+1,0,1,1),((F36-OFFSET($BM$9,DT36+1,0,1,1))*OFFSET($CI$9,DT36+1,0,1,1))+OFFSET($BP$9,DT36+1,CQ36,1,1),IF(F36&lt;OFFSET($BN$9,DT36+2,0,1,1),((F36-OFFSET($BM$9,DT36+2,0,1,1))*OFFSET($CI$9,DT36+2,0,1,1))+OFFSET($BP$9,DT36+2,CQ36,1,1),IF(F36&lt;OFFSET($BN$9,DT36+3,0,1,1),((F36-OFFSET($BM$9,DT36+3,0,1,1))*OFFSET($CI$9,DT36+3,0,1,1))+OFFSET($BP$9,DT36+3,CQ36,1,1),0))))))</f>
        <v>0</v>
      </c>
      <c r="DX36" s="51">
        <f ca="1">IF($F36&lt;OFFSET($BM$9,$DT36-1,0,1,1),0,IF($F36&lt;OFFSET($BN$9,$DT36-1,0,1,1),IF(AND($H36&gt;2.4,Z36&lt;&gt;"e",Z36&lt;&gt;"f"),EB36*2.4/$H36,EB36),IF($F36&lt;OFFSET($BN$9,$DT36+0,0,1,1),IF(AND($H36&gt;2.4,Z36&lt;&gt;"e",Z36&lt;&gt;"f"),EB36*2.4/$H36,EB36),IF($F36&lt;OFFSET($BN$9,$DT36+1,0,1,1),IF(AND($H36&gt;2.4,Z36&lt;&gt;"e",Z36&lt;&gt;"f"),EB36*2.4/$H36,EB36),IF($F36&lt;OFFSET($BN$9,$DT36+2,0,1,1),IF(AND($H36&gt;2.4,Z36&lt;&gt;"e",Z36&lt;&gt;"f"),EB36*2.4/$H36,EB36),IF($F36&lt;OFFSET($BN$9,$DT36+3,0,1,1),IF(AND($H36&gt;2.4,Z36&lt;&gt;"e",Z36&lt;&gt;"f"),EB36*2.4/$H36,EB36),0)))))*COS(RADIANS($G36)))</f>
        <v>0</v>
      </c>
      <c r="DY36" s="188"/>
      <c r="DZ36" s="188">
        <f ca="1">IF(DU36&gt;$CR36,$CR36,DU36)</f>
        <v>0</v>
      </c>
      <c r="EA36" s="188"/>
      <c r="EB36" s="188">
        <f ca="1">IF(DW36&gt;$CR36,$CR36,DW36)</f>
        <v>0</v>
      </c>
      <c r="EC36" s="435">
        <f ca="1">IF(DV36&gt;$CR36,$CR36,DV36)</f>
        <v>0</v>
      </c>
      <c r="ED36" s="435">
        <f ca="1">EC36*F36</f>
        <v>0</v>
      </c>
      <c r="EE36" s="436">
        <f ca="1">IF(DX36&gt;$CR36,$CR36,DX36)</f>
        <v>0</v>
      </c>
      <c r="EF36" s="437">
        <f ca="1">EE36*F36</f>
        <v>0</v>
      </c>
      <c r="EG36" s="613" t="str">
        <f>IF(D36=BG$12,BG$12,"")</f>
        <v/>
      </c>
      <c r="EH36" s="614" t="str">
        <f>IF(D36=BG$13,BG$13,"")</f>
        <v/>
      </c>
      <c r="EI36" s="611">
        <f>IF(EG36=BG$12,M36,0)</f>
        <v>0</v>
      </c>
      <c r="EJ36" s="451">
        <f>IF(EG36=BG$12,O36,0)</f>
        <v>0</v>
      </c>
      <c r="EK36" s="451">
        <f>IF(EH36=BG$13,M36,0)</f>
        <v>0</v>
      </c>
      <c r="EL36" s="612">
        <f>IF(EH36=BG$13,O36,0)</f>
        <v>0</v>
      </c>
      <c r="EM36" s="426" t="str">
        <f ca="1">IF(AND(Z36&lt;&gt;"t",Z36&lt;&gt;"f"),"",IF(AND(EN36=$BH$13,K36=$BH$12),"NotOpt",IF(K36&lt;&gt;EN36,"Error","")))</f>
        <v/>
      </c>
      <c r="EN36" s="490" t="str">
        <f>IF($BG$28=1,$BH$13,$BH$12)</f>
        <v>120 BU's</v>
      </c>
      <c r="EO36" s="426" t="str">
        <f>K36</f>
        <v xml:space="preserve"> </v>
      </c>
      <c r="EP36" s="430">
        <v>1</v>
      </c>
      <c r="EQ36" s="430" t="str">
        <f ca="1">IF(EP36=1," ",OFFSET(BF$16,EP36-2,0,1,1))</f>
        <v xml:space="preserve"> </v>
      </c>
      <c r="ER36" s="439" t="str">
        <f ca="1">IF(H36=0," ",H36)</f>
        <v xml:space="preserve"> </v>
      </c>
      <c r="ES36" s="440" t="str">
        <f ca="1">IF(ER36&lt;&gt;" ",IF(ER36&lt;&gt;ER$7,"Changed",""),"")</f>
        <v/>
      </c>
      <c r="ET36" s="440">
        <f ca="1">IF(ER36&lt;&gt;" ",IF(ER36&lt;&gt;ER$7,1,0),0)</f>
        <v>0</v>
      </c>
      <c r="EU36" s="957" t="str">
        <f ca="1">IF(I36=" "," ",IF(F36&lt;OFFSET($BM$9,CL36-1,0,1,1),1,""))</f>
        <v xml:space="preserve"> </v>
      </c>
      <c r="EW36" s="427"/>
      <c r="EX36"/>
      <c r="EY36"/>
      <c r="EZ36"/>
      <c r="FA36"/>
    </row>
    <row r="37" spans="1:157" ht="17.100000000000001" customHeight="1" thickBot="1">
      <c r="B37" s="2686" t="s">
        <v>8</v>
      </c>
      <c r="C37" s="2687"/>
      <c r="D37" s="1461" t="s">
        <v>8</v>
      </c>
      <c r="E37" s="659"/>
      <c r="F37" s="659"/>
      <c r="G37" s="659"/>
      <c r="H37" s="659"/>
      <c r="I37" s="1462"/>
      <c r="J37" s="1365" t="str">
        <f ca="1">(CONCATENATE(B32,$BE$54))</f>
        <v>Q  Line:  Min. Requirement</v>
      </c>
      <c r="K37" s="23"/>
      <c r="L37" s="1019">
        <f ca="1">L$5</f>
        <v>0</v>
      </c>
      <c r="M37" s="48">
        <f ca="1">IF(B32=B26,SUM(M32:M36)+M31,SUM(M32:M36))</f>
        <v>0</v>
      </c>
      <c r="N37" s="1019">
        <f ca="1">N$5</f>
        <v>0</v>
      </c>
      <c r="O37" s="125">
        <f ca="1">IF(B32=B26,SUM(O32:O36)+O31,SUM(O32:O36))</f>
        <v>0</v>
      </c>
      <c r="P37" s="139"/>
      <c r="Q37" s="42" t="str">
        <f ca="1">IF(B32=B38,"",IF(AND(M37&gt;0,L37=L$5,OR(M37&lt;$M$105,M37&lt;$BF$3)),"Achieved &lt; Min Req per Line",IF(AND(O37&gt;0,N37=N$5,OR(O37&lt;$O$105,O37&lt;$BF$3)),"Achieved &lt; Min Req per Line",IF(AND(M37&gt;0,L37&gt;M37),"More Required on this line",IF(AND(O37&gt;0,N37&gt;O37),"More Required on this line",IF(AND(L37&gt;0,L37&lt;$BF$3),$BE$59,IF(AND(N37&gt;0,N37&lt;$BF$3),$BE$59,"")))))))</f>
        <v/>
      </c>
      <c r="R37" s="52"/>
      <c r="S37" s="52"/>
      <c r="T37" s="52"/>
      <c r="U37" s="1378"/>
      <c r="V37" s="52"/>
      <c r="W37" s="999"/>
      <c r="X37" s="999"/>
      <c r="Y37" s="896"/>
      <c r="Z37" s="52"/>
      <c r="AA37" s="51"/>
      <c r="AB37" s="1364"/>
      <c r="AJ37" s="2230"/>
      <c r="AK37" s="2797"/>
      <c r="AL37" s="2784"/>
      <c r="AM37" s="191">
        <f>'Regular and QuickBrace Systems'!F55</f>
        <v>0.8</v>
      </c>
      <c r="AN37" s="1336">
        <f>'Regular and QuickBrace Systems'!G55</f>
        <v>140</v>
      </c>
      <c r="AO37" s="26">
        <f>'Regular and QuickBrace Systems'!H55</f>
        <v>140</v>
      </c>
      <c r="AP37" s="1595"/>
      <c r="AQ37" s="2663"/>
      <c r="AR37" s="2664"/>
      <c r="AS37" s="2827"/>
      <c r="AT37" s="1340"/>
      <c r="AU37" s="2090"/>
      <c r="AW37" s="1588" t="str">
        <f>'Regular and QuickBrace Systems'!O55</f>
        <v>Yes</v>
      </c>
      <c r="AX37" s="1580" t="str">
        <f>'Regular and QuickBrace Systems'!Q55</f>
        <v>Yes</v>
      </c>
      <c r="BA37"/>
      <c r="BB37"/>
      <c r="BC37"/>
      <c r="BD37" s="2648"/>
      <c r="BF37" s="599" t="str">
        <f>'Custom Elements'!C21</f>
        <v>Custom13</v>
      </c>
      <c r="BI37" s="759"/>
      <c r="BJ37" s="897">
        <f t="shared" si="3"/>
        <v>29</v>
      </c>
      <c r="BK37" s="769" t="str">
        <f>'Custom Elements'!O13</f>
        <v>NZS 3604</v>
      </c>
      <c r="BL37" s="771" t="str">
        <f>'Custom Elements'!P13</f>
        <v>Braced pile</v>
      </c>
      <c r="BM37" s="455">
        <f>'Custom Elements'!Q13</f>
        <v>1</v>
      </c>
      <c r="BN37" s="455">
        <v>999</v>
      </c>
      <c r="BO37" s="455">
        <f>'Custom Elements'!R13</f>
        <v>160</v>
      </c>
      <c r="BP37" s="925">
        <f>'Custom Elements'!S13</f>
        <v>120</v>
      </c>
      <c r="BR37" s="764"/>
      <c r="BS37" s="455"/>
      <c r="BT37" s="455" t="s">
        <v>3</v>
      </c>
      <c r="BU37" s="925" t="s">
        <v>34</v>
      </c>
      <c r="BV37" s="483" t="str">
        <f t="shared" si="23"/>
        <v>Braced pile</v>
      </c>
      <c r="BW37" s="910">
        <f t="shared" si="20"/>
        <v>29</v>
      </c>
      <c r="BX37" s="925" t="str">
        <f>'Custom Elements'!U13</f>
        <v>Single</v>
      </c>
      <c r="CH37" s="764">
        <f t="shared" si="21"/>
        <v>0</v>
      </c>
      <c r="CI37" s="925">
        <f t="shared" si="22"/>
        <v>0</v>
      </c>
      <c r="CJ37" s="759"/>
      <c r="CK37" s="188"/>
      <c r="CL37" s="979"/>
      <c r="CN37" s="497"/>
      <c r="CO37" s="497"/>
      <c r="CQ37" s="51"/>
      <c r="CR37" s="51" t="s">
        <v>8</v>
      </c>
      <c r="CS37" s="51"/>
      <c r="CT37" s="51" t="s">
        <v>8</v>
      </c>
      <c r="CU37" s="51"/>
      <c r="CV37" s="51" t="s">
        <v>8</v>
      </c>
      <c r="CW37" s="51"/>
      <c r="CX37" s="51"/>
      <c r="CY37" s="51"/>
      <c r="CZ37" s="51"/>
      <c r="DD37" s="758"/>
      <c r="DF37" s="52"/>
      <c r="DG37" s="51"/>
      <c r="DH37" s="51"/>
      <c r="DI37" s="51"/>
      <c r="DJ37" s="51"/>
      <c r="DK37" s="51"/>
      <c r="DL37" s="51"/>
      <c r="DM37" s="51"/>
      <c r="DN37" s="51"/>
      <c r="DO37" s="435"/>
      <c r="DP37" s="435"/>
      <c r="DQ37" s="868"/>
      <c r="DR37" s="868"/>
      <c r="DU37" s="188"/>
      <c r="DV37" s="188" t="s">
        <v>8</v>
      </c>
      <c r="DW37" s="188"/>
      <c r="DX37" s="188" t="s">
        <v>8</v>
      </c>
      <c r="DY37" s="188"/>
      <c r="DZ37" s="188"/>
      <c r="EA37" s="188"/>
      <c r="EB37" s="188"/>
      <c r="EC37" s="435"/>
      <c r="ED37" s="435"/>
      <c r="EE37" s="868"/>
      <c r="EF37" s="868"/>
      <c r="EG37" s="613"/>
      <c r="EH37" s="435"/>
      <c r="EI37" s="613"/>
      <c r="EJ37" s="435"/>
      <c r="EK37" s="451"/>
      <c r="EL37" s="612"/>
      <c r="EN37" s="947"/>
      <c r="ER37" s="441"/>
      <c r="ES37" s="440"/>
      <c r="ET37" s="440"/>
      <c r="EU37" s="957"/>
      <c r="EW37" s="427"/>
      <c r="EX37"/>
      <c r="EY37"/>
      <c r="EZ37"/>
      <c r="FA37"/>
    </row>
    <row r="38" spans="1:157" ht="17.100000000000001" customHeight="1" thickBot="1">
      <c r="B38" s="1369" t="str">
        <f ca="1">S38</f>
        <v>R</v>
      </c>
      <c r="C38" s="684" t="str">
        <f>IF(OR(F38=0,I38="",I38=" ")," ",$V38)</f>
        <v xml:space="preserve"> </v>
      </c>
      <c r="D38" s="1033"/>
      <c r="E38" s="1360" t="s">
        <v>8</v>
      </c>
      <c r="F38" s="202"/>
      <c r="G38" s="1416"/>
      <c r="H38" s="199" t="str">
        <f ca="1">IF(OR(F38=0,Z38="E",Z38="f")," ",'Project Demand'!E$45)</f>
        <v xml:space="preserve"> </v>
      </c>
      <c r="I38" s="631" t="str">
        <f>IF($I$6&lt;&gt;$BG$8," ",AB38)</f>
        <v xml:space="preserve"> </v>
      </c>
      <c r="J38" s="43" t="str">
        <f ca="1">IF(OR(I38=" ",I38="")," ",OFFSET($BO$9,CL38-1,0-4,1,1))</f>
        <v xml:space="preserve"> </v>
      </c>
      <c r="K38" s="55" t="str">
        <f>IF(OR(I38=" ",I38="")," ",IF(OR(Z38="e",Z38="h"),"SD",BG$24))</f>
        <v xml:space="preserve"> </v>
      </c>
      <c r="L38" s="49">
        <f ca="1">CW38</f>
        <v>0</v>
      </c>
      <c r="M38" s="49">
        <f ca="1">CY38</f>
        <v>0</v>
      </c>
      <c r="N38" s="50">
        <f t="shared" ref="N38:O42" ca="1" si="24">DA38</f>
        <v>0</v>
      </c>
      <c r="O38" s="126">
        <f t="shared" ca="1" si="24"/>
        <v>0</v>
      </c>
      <c r="P38" s="140"/>
      <c r="Q38" s="752" t="str">
        <f ca="1">IF(AND(OR(Z38="t",Z38="f"),K38=$BH$11),"No Floor!  Change Floor Type",IF(OR(I38=" ",I38="")," ",IF(F38&lt;OFFSET($BM$9,CL38-1,0,1,1),"check L(m)",DE38&amp;IF(AND(DP38&gt;=CY38,DR38&gt;=DB38),IF(AND(ED38&gt;=DP38,EF38&gt;=DR38),CONCATENATE(DS38," will provide same result"),CONCATENATE(CO38," will provide same result")),IF((DP38&gt;=CY38),CONCATENATE(CO38," provides same result in WIND"),IF((DR38&gt;=DB38),CONCATENATE(CO38," provides same result in EQ"),""))))))&amp;IF(ISERROR(FIND("pile",I38,1)),"",IF(INT(F38)&lt;&gt;F38,"Pile!  Use Whole Numbers Only",""))</f>
        <v xml:space="preserve"> </v>
      </c>
      <c r="R38" s="52">
        <f ca="1">IF(T32&lt;&gt;2,(COLUMN(INDIRECT(B32&amp;1))+1),U38)</f>
        <v>18</v>
      </c>
      <c r="S38" s="1372" t="str">
        <f ca="1">SUBSTITUTE(ADDRESS(1,R38,4),"1","")</f>
        <v>R</v>
      </c>
      <c r="T38" s="451">
        <f ca="1">IF(AND(ISTEXT(B38),SUBSTITUTE(SUBSTITUTE(SUBSTITUTE(SUBSTITUTE(SUBSTITUTE(SUBSTITUTE(SUBSTITUTE(SUBSTITUTE(SUBSTITUTE(SUBSTITUTE(SUBSTITUTE(SUBSTITUTE(SUBSTITUTE(SUBSTITUTE(SUBSTITUTE(SUBSTITUTE(SUBSTITUTE(SUBSTITUTE(SUBSTITUTE(SUBSTITUTE(SUBSTITUTE(SUBSTITUTE(SUBSTITUTE(SUBSTITUTE(SUBSTITUTE(SUBSTITUTE(LOWER(B38),"a",),"b",),"c",),"d",),"e",),"f",),"g",),"h",),"i",),"j",),"k",),"l",),"m",),"n",),"o",),"p",),"q",),"r",),"s",),"t",),"u",),"v",),"w",),"x",),"y",),"z",)=""),1,2)</f>
        <v>1</v>
      </c>
      <c r="U38" s="1377">
        <v>18</v>
      </c>
      <c r="V38" s="52" t="str">
        <f ca="1">IF(AND(B$5=$BF$9,OR(I38=BH$16,I38=BH$17))," ",IF(ISNUMBER(B$38),(CONCATENATE(B$38,".",W38)),(CONCATENATE(B$38,W38))))</f>
        <v>R0</v>
      </c>
      <c r="W38" s="9">
        <f ca="1">IF(B32=B38,W36+X38,X38)</f>
        <v>0</v>
      </c>
      <c r="X38" s="9">
        <f>IF(AND(B$5=$BF$9,OR($I38=$BH$16,$I38=$BH$17,$I38=" ",$I38="",$F38=0)),0,IF(OR($I38=" ",$I38="",$F38=0),0,1))</f>
        <v>0</v>
      </c>
      <c r="Y38" s="896">
        <f ca="1">IF(AND(M43&gt;0,B38&lt;&gt;B44),1,0)</f>
        <v>0</v>
      </c>
      <c r="Z38" s="52" t="str">
        <f ca="1">IF(I38=" "," ",OFFSET($BM$9,$CL38-1,8,1,1))</f>
        <v xml:space="preserve"> </v>
      </c>
      <c r="AA38" s="51" t="str">
        <f>IF(G38&gt;=45,"WA","")</f>
        <v/>
      </c>
      <c r="AB38" s="1364" t="str">
        <f>IF(F38&lt;&gt;"",IF(OR(D38=$BG$12,D38=$BG$13),IF(E38&lt;&gt;$BG$17,$BF$12,$BF$13),IF(E38&lt;&gt;$BG$17,$BF$12,$BF$13))," ")</f>
        <v xml:space="preserve"> </v>
      </c>
      <c r="AC38" s="1"/>
      <c r="AJ38" s="2230"/>
      <c r="AK38" s="2797"/>
      <c r="AL38" s="2785"/>
      <c r="AM38" s="1179">
        <f>'Regular and QuickBrace Systems'!F56</f>
        <v>1.2</v>
      </c>
      <c r="AN38" s="1274">
        <f>'Regular and QuickBrace Systems'!G56</f>
        <v>150</v>
      </c>
      <c r="AO38" s="1275">
        <f>'Regular and QuickBrace Systems'!H56</f>
        <v>150</v>
      </c>
      <c r="AP38" s="1277"/>
      <c r="AQ38" s="2665"/>
      <c r="AR38" s="2666"/>
      <c r="AS38" s="2828"/>
      <c r="AT38" s="1340"/>
      <c r="AU38" s="2132"/>
      <c r="AW38" s="1589" t="str">
        <f>'Regular and QuickBrace Systems'!O56</f>
        <v>Yes</v>
      </c>
      <c r="AX38" s="1581" t="str">
        <f>'Regular and QuickBrace Systems'!Q56</f>
        <v>Yes</v>
      </c>
      <c r="BA38"/>
      <c r="BB38"/>
      <c r="BC38"/>
      <c r="BD38" s="635"/>
      <c r="BF38" s="599" t="str">
        <f>'Custom Elements'!C22</f>
        <v>Custom14</v>
      </c>
      <c r="BI38" s="759"/>
      <c r="BJ38" s="897">
        <f t="shared" si="3"/>
        <v>30</v>
      </c>
      <c r="BK38" s="769" t="str">
        <f>'Custom Elements'!O14</f>
        <v>NZS 3604</v>
      </c>
      <c r="BL38" s="771" t="str">
        <f>'Custom Elements'!P14</f>
        <v>Cantilever pile</v>
      </c>
      <c r="BM38" s="455">
        <f>'Custom Elements'!Q14</f>
        <v>1</v>
      </c>
      <c r="BN38" s="455">
        <v>999</v>
      </c>
      <c r="BO38" s="455">
        <f>'Custom Elements'!R14</f>
        <v>70</v>
      </c>
      <c r="BP38" s="925">
        <f>'Custom Elements'!S14</f>
        <v>30</v>
      </c>
      <c r="BR38" s="764"/>
      <c r="BS38" s="455"/>
      <c r="BT38" s="455" t="s">
        <v>3</v>
      </c>
      <c r="BU38" s="925" t="s">
        <v>44</v>
      </c>
      <c r="BV38" s="483" t="str">
        <f t="shared" si="23"/>
        <v>Cantilever pile</v>
      </c>
      <c r="BW38" s="910">
        <f t="shared" si="20"/>
        <v>30</v>
      </c>
      <c r="BX38" s="925" t="str">
        <f>'Custom Elements'!U14</f>
        <v>Single</v>
      </c>
      <c r="CH38" s="764">
        <f t="shared" si="21"/>
        <v>0</v>
      </c>
      <c r="CI38" s="925">
        <f t="shared" si="22"/>
        <v>0</v>
      </c>
      <c r="CJ38" s="759"/>
      <c r="CK38" s="188"/>
      <c r="CL38" s="979">
        <f>VLOOKUP(I38,Prodlink,2,0)</f>
        <v>0</v>
      </c>
      <c r="CN38" s="497">
        <f ca="1">VLOOKUP(CO38,Prodlink,2,0)</f>
        <v>0</v>
      </c>
      <c r="CO38" s="497">
        <f ca="1">OFFSET($CH$9,CL38-1,-15,1,1)</f>
        <v>0</v>
      </c>
      <c r="CQ38" s="51">
        <v>0</v>
      </c>
      <c r="CR38" s="51">
        <f>IF(K38=$BH$12,$BH$23,IF(K38=$BH$13,$BH$24,10000))</f>
        <v>10000</v>
      </c>
      <c r="CS38" s="51">
        <f ca="1">IF(F38&lt;OFFSET($BM$9,CL38-1,0,1,1),0,IF(F38&lt;OFFSET($BN$9,CL38-1,0,1,1),((F38-OFFSET($BM$9,CL38-1,0,1,1))*OFFSET($CH$9,CL38-1,0,1,1))+OFFSET($BO$9,CL38-1,CQ38,1,1),IF(F38&lt;OFFSET($BN$9,CL38+0,0,1,1),((F38-OFFSET($BM$9,CL38+0,0,1,1))*OFFSET($CH$9,CL38+0,0,1,1))+OFFSET($BO$9,CL38+0,CQ38,1,1),IF(F38&lt;OFFSET($BN$9,CL38+1,0,1,1),((F38-OFFSET($BM$9,CL38+1,0,1,1))*OFFSET($CH$9,CL38+1,0,1,1))+OFFSET($BO$9,CL38+1,CQ38,1,1),IF(F38&lt;OFFSET($BN$9,CL38+2,0,1,1),((F38-OFFSET($BM$9,CL38+2,0,1,1))*OFFSET($CH$9,CL38+2,0,1,1))+OFFSET($BO$9,CL38+2,CQ38,1,1),IF(F38&lt;OFFSET($BN$9,CL38+3,0,1,1),((F38-OFFSET($BM$9,CL38+3,0,1,1))*OFFSET($CH$9,CL38+3,0,1,1))+OFFSET($BO$9,CL38+3,CQ38,1,1),0))))))</f>
        <v>0</v>
      </c>
      <c r="CT38" s="51">
        <f ca="1">IF($F38&lt;OFFSET($BM$9,$CL38-1,0,1,1),0,IF($F38&lt;OFFSET($BN$9,$CL38-1,0,1,1),IF(AND($H38&gt;2.4,Z38&lt;&gt;"e",Z38&lt;&gt;"f"),CX38*2.4/$H38,CX38),IF($F38&lt;OFFSET($BN$9,$CL38+0,0,1,1),IF(AND($H38&gt;2.4,Z38&lt;&gt;"e",Z38&lt;&gt;"f"),CX38*2.4/$H38,CX38),IF($F38&lt;OFFSET($BN$9,$CL38+1,0,1,1),IF(AND($H38&gt;2.4,Z38&lt;&gt;"e",Z38&lt;&gt;"f"),CX38*2.4/$H38,CX38),IF($F38&lt;OFFSET($BN$9,CL38+2,0,1,1),IF(AND($H38&gt;2.4,Z38&lt;&gt;"e",Z38&lt;&gt;"f"),CX38*2.4/$H38,CX38),IF($F38&lt;OFFSET($BN$9,CL38+3,0,1,1),IF(AND($H38&gt;2.4,Z38&lt;&gt;"e",Z38&lt;&gt;"f"),CX38*2.4/$H38,CX38),0)))))*COS(RADIANS($G38)))</f>
        <v>0</v>
      </c>
      <c r="CU38" s="51">
        <f ca="1">IF(F38&lt;OFFSET($BM$9,CL38-1,0,1,1),0,IF(F38&lt;OFFSET($BN$9,CL38-1,0,1,1),((F38-OFFSET($BM$9,CL38-1,0,1,1))*OFFSET($CI$9,CL38-1,0,1,1))+OFFSET($BP$9,CL38-1,CQ38,1,1),IF(F38&lt;OFFSET($BN$9,CL38+0,0,1,1),((F38-OFFSET($BM$9,CL38+0,0,1,1))*OFFSET($CI$9,CL38+0,0,1,1))+OFFSET($BP$9,CL38+0,CQ38,1,1),IF(F38&lt;OFFSET($BN$9,CL38+1,0,1,1),((F38-OFFSET($BM$9,CL38+1,0,1,1))*OFFSET($CI$9,CL38+1,0,1,1))+OFFSET($BP$9,CL38+1,CQ38,1,1),IF(F38&lt;OFFSET($BN$9,CL38+2,0,1,1),((F38-OFFSET($BM$9,CL38+2,0,1,1))*OFFSET($CI$9,CL38+2,0,1,1))+OFFSET($BP$9,CL38+2,CQ38,1,1),IF(F38&lt;OFFSET($BN$9,CL38+3,0,1,1),((F38-OFFSET($BM$9,CL38+3,0,1,1))*OFFSET($CI$9,CL38+3,0,1,1))+OFFSET($BP$9,CL38+3,CQ38,1,1),0))))))</f>
        <v>0</v>
      </c>
      <c r="CV38" s="51">
        <f ca="1">IF($F38&lt;OFFSET($BM$9,$CL38-1,0,1,1),0,IF($F38&lt;OFFSET($BN$9,$CL38-1,0,1,1),IF(AND($H38&gt;2.4,Z38&lt;&gt;"e",Z38&lt;&gt;"f"),CZ38*2.4/$H38,CZ38),IF($F38&lt;OFFSET($BN$9,$CL38+0,0,1,1),IF(AND($H38&gt;2.4,Z38&lt;&gt;"e",Z38&lt;&gt;"f"),CZ38*2.4/$H38,CZ38),IF($F38&lt;OFFSET($BN$9,$CL38+1,0,1,1),IF(AND($H38&gt;2.4,Z38&lt;&gt;"e",Z38&lt;&gt;"f"),CZ38*2.4/$H38,CZ38),IF($F38&lt;OFFSET($BN$9,$CL38+2,0,1,1),IF(AND($H38&gt;2.4,Z38&lt;&gt;"e",Z38&lt;&gt;"f"),CZ38*2.4/$H38,CZ38),IF($F38&lt;OFFSET($BN$9,$CL38+3,0,1,1),IF(AND($H38&gt;2.4,Z38&lt;&gt;"e",Z38&lt;&gt;"f"),CZ38*2.4/$H38,CZ38),0)))))*COS(RADIANS($G38)))</f>
        <v>0</v>
      </c>
      <c r="CW38" s="51">
        <f ca="1">IF(CT38&gt;CR38,CR38,CT38)</f>
        <v>0</v>
      </c>
      <c r="CX38" s="51">
        <f ca="1">IF(CS38&gt;$CR38,$CR38,CS38)</f>
        <v>0</v>
      </c>
      <c r="CY38" s="51">
        <f ca="1">CW38*F38</f>
        <v>0</v>
      </c>
      <c r="CZ38" s="51">
        <f ca="1">IF($CU38&gt;$CR38,$CR38,$CU38)</f>
        <v>0</v>
      </c>
      <c r="DA38" s="51">
        <f ca="1">IF(CV38&gt;CR38,CR38,CV38)</f>
        <v>0</v>
      </c>
      <c r="DB38" s="51">
        <f ca="1">DA38*F38</f>
        <v>0</v>
      </c>
      <c r="DC38" s="993">
        <v>1</v>
      </c>
      <c r="DD38" s="758" t="str">
        <f>IF(OR(D38=BG$12,D38=BG$13),"External",IF(D38=BG$14,"Internal"," "))</f>
        <v xml:space="preserve"> </v>
      </c>
      <c r="DE38" s="51" t="str">
        <f t="shared" ca="1" si="1"/>
        <v/>
      </c>
      <c r="DF38" s="52" t="str">
        <f t="shared" ca="1" si="2"/>
        <v xml:space="preserve"> </v>
      </c>
      <c r="DG38" s="51">
        <f ca="1">IF(F38&lt;OFFSET($BM$9,CN38-1,0,1,1),0,IF(F38&lt;OFFSET($BN$9,CN38-1,0,1,1),((F38-OFFSET($BM$9,CN38-1,0,1,1))*OFFSET($CH$9,CN38-1,0,1,1))+OFFSET($BO$9,CN38-1,CQ38,1,1),IF(F38&lt;OFFSET($BN$9,CN38+0,0,1,1),((F38-OFFSET($BM$9,CN38+0,0,1,1))*OFFSET($CH$9,CN38+0,0,1,1))+OFFSET($BO$9,CN38+0,CQ38,1,1),IF(F38&lt;OFFSET($BN$9,CN38+1,0,1,1),((F38-OFFSET($BM$9,CN38+1,0,1,1))*OFFSET($CH$9,CN38+1,0,1,1))+OFFSET($BO$9,CN38+1,CQ38,1,1),IF(F38&lt;OFFSET($BN$9,CN38+2,0,1,1),((F38-OFFSET($BM$9,CN38+2,0,1,1))*OFFSET($CH$9,CN38+2,0,1,1))+OFFSET($BO$9,CN38+2,CQ38,1,1),IF(F38&lt;OFFSET($BN$9,CN38+3,0,1,1),((F38-OFFSET($BM$9,CN38+3,0,1,1))*OFFSET($CH$9,CN38+3,0,1,1))+OFFSET($BO$9,CN38+3,CQ38,1,1),0))))))</f>
        <v>0</v>
      </c>
      <c r="DH38" s="51">
        <f ca="1">IF($F38&lt;OFFSET($BM$9,$CN38-1,0,1,1),0,IF($F38&lt;OFFSET($BN$9,$CN38-1,0,1,1),IF(AND($H38&gt;2.4,Z38&lt;&gt;"e",Z38&lt;&gt;"f"),DL38*2.4/$H38,DL38),IF($F38&lt;OFFSET($BN$9,$CN38+0,0,1,1),IF(AND($H38&gt;2.4,Z38&lt;&gt;"e",Z38&lt;&gt;"f"),DL38*2.4/$H38,DL38),IF($F38&lt;OFFSET($BN$9,$CN38+1,0,1,1),IF(AND($H38&gt;2.4,Z38&lt;&gt;"e",Z38&lt;&gt;"f"),DL38*2.4/$H38,DL38),IF($F38&lt;OFFSET($BN$9,$CN38+2,0,1,1),IF(AND($H38&gt;2.4,Z38&lt;&gt;"e",Z38&lt;&gt;"f"),DL38*2.4/$H38,DL38),IF($F38&lt;OFFSET($BN$9,$CN38+3,0,1,1),IF(AND($H38&gt;2.4,Z38&lt;&gt;"e",Z38&lt;&gt;"f"),DL38*2.4/$H38,DL38),0)))))*COS(RADIANS($G38)))</f>
        <v>0</v>
      </c>
      <c r="DI38" s="51">
        <f ca="1">IF(F38&lt;OFFSET($BM$9,CN38-1,0,1,1),0,IF(F38&lt;OFFSET($BN$9,CN38-1,0,1,1),((F38-OFFSET($BM$9,CN38-1,0,1,1))*OFFSET($CI$9,CN38-1,0,1,1))+OFFSET($BP$9,CN38-1,CQ38,1,1),IF(F38&lt;OFFSET($BN$9,CN38+0,0,1,1),((F38-OFFSET($BM$9,CN38+0,0,1,1))*OFFSET($CI$9,CN38+0,0,1,1))+OFFSET($BP$9,CN38+0,CQ38,1,1),IF(F38&lt;OFFSET($BN$9,CN38+1,0,1,1),((F38-OFFSET($BM$9,CN38+1,0,1,1))*OFFSET($CI$9,CN38+1,0,1,1))+OFFSET($BP$9,CN38+1,CQ38,1,1),IF(F38&lt;OFFSET($BN$9,CN38+2,0,1,1),((F38-OFFSET($BM$9,CN38+2,0,1,1))*OFFSET($CI$9,CN38+2,0,1,1))+OFFSET($BP$9,CN38+2,CQ38,1,1),IF(F38&lt;OFFSET($BN$9,CN38+3,0,1,1),((F38-OFFSET($BM$9,CN38+3,0,1,1))*OFFSET($CI$9,CN38+3,0,1,1))+OFFSET($BP$9,CN38+3,CQ38,1,1),0))))))</f>
        <v>0</v>
      </c>
      <c r="DJ38" s="51">
        <f ca="1">IF($F38&lt;OFFSET($BM$9,$CN38-1,0,1,1),0,IF($F38&lt;OFFSET($BN$9,$CN38-1,0,1,1),IF(AND($H38&gt;2.4,Z38&lt;&gt;"e",Z38&lt;&gt;"f"),DN38*2.4/$H38,DN38),IF($F38&lt;OFFSET($BN$9,$CN38+0,0,1,1),IF(AND($H38&gt;2.4,Z38&lt;&gt;"e",Z38&lt;&gt;"f"),DN38*2.4/$H38,DN38),IF($F38&lt;OFFSET($BN$9,$CN38+1,0,1,1),IF(AND($H38&gt;2.4,Z38&lt;&gt;"e",Z38&lt;&gt;"f"),DN38*2.4/$H38,DN38),IF($F38&lt;OFFSET($BN$9,$CN38+2,0,1,1),IF(AND($H38&gt;2.4,Z38&lt;&gt;"e",Z38&lt;&gt;"f"),DN38*2.4/$H38,DN38),IF($F38&lt;OFFSET($BN$9,$CN38+3,0,1,1),IF(AND($H38&gt;2.4,Z38&lt;&gt;"e",Z38&lt;&gt;"f"),DN38*2.4/$H38,DN38),0)))))*COS(RADIANS($G38)))</f>
        <v>0</v>
      </c>
      <c r="DK38" s="51"/>
      <c r="DL38" s="51">
        <f ca="1">IF(DG38&gt;$CR38,$CR38,DG38)</f>
        <v>0</v>
      </c>
      <c r="DM38" s="51"/>
      <c r="DN38" s="51">
        <f ca="1">IF(DI38&gt;$CR38,$CR38,DI38)</f>
        <v>0</v>
      </c>
      <c r="DO38" s="435">
        <f ca="1">IF(DH38&gt;$CR38,$CR38,DH38)</f>
        <v>0</v>
      </c>
      <c r="DP38" s="435">
        <f ca="1">DO38*F38</f>
        <v>0</v>
      </c>
      <c r="DQ38" s="436">
        <f ca="1">IF(DJ38&gt;$CR38,$CR38,DJ38)</f>
        <v>0</v>
      </c>
      <c r="DR38" s="437">
        <f ca="1">DQ38*F38</f>
        <v>0</v>
      </c>
      <c r="DS38" s="426">
        <f ca="1">OFFSET($CH$9,CL38-1,-15,1,1)</f>
        <v>0</v>
      </c>
      <c r="DT38" s="426">
        <f ca="1">VLOOKUP(DS38,Prodlink,2,0)</f>
        <v>0</v>
      </c>
      <c r="DU38" s="188">
        <f ca="1">IF(F38&lt;OFFSET($BM$9,DT38-1,0,1,1),0,IF(F38&lt;OFFSET($BN$9,DT38-1,0,1,1),((F38-OFFSET($BM$9,DT38-1,0,1,1))*OFFSET($CH$9,DT38-1,0,1,1))+OFFSET($BO$9,DT38-1,CQ38,1,1),IF(F38&lt;OFFSET($BN$9,DT38+0,0,1,1),((F38-OFFSET($BM$9,DT38+0,0,1,1))*OFFSET($CH$9,DT38+0,0,1,1))+OFFSET($BO$9,DT38+0,CQ38,1,1),IF(F38&lt;OFFSET($BN$9,DT38+1,0,1,1),((F38-OFFSET($BM$9,DT38+1,0,1,1))*OFFSET($CH$9,DT38+1,0,1,1))+OFFSET($BO$9,DT38+1,CQ38,1,1),IF(F38&lt;OFFSET($BN$9,DT38+2,0,1,1),((F38-OFFSET($BM$9,DT38+2,0,1,1))*OFFSET($CH$9,DT38+2,0,1,1))+OFFSET($BO$9,DT38+2,CQ38,1,1),IF(F38&lt;OFFSET($BN$9,DT38+3,0,1,1),((F38-OFFSET($BM$9,DT38+3,0,1,1))*OFFSET($CH$9,DT38+3,0,1,1))+OFFSET($BO$9,DT38+3,CQ38,1,1),0))))))</f>
        <v>0</v>
      </c>
      <c r="DV38" s="51">
        <f ca="1">IF($F38&lt;OFFSET($BM$9,$DT38-1,0,1,1),0,IF($F38&lt;OFFSET($BN$9,$DT38-1,0,1,1),IF(AND($H38&gt;2.4,Z38&lt;&gt;"e",Z38&lt;&gt;"f"),DZ38*2.4/$H38,DZ38),IF($F38&lt;OFFSET($BN$9,$DT38+0,0,1,1),IF(AND($H38&gt;2.4,Z38&lt;&gt;"e",Z38&lt;&gt;"f"),DZ38*2.4/$H38,DZ38),IF($F38&lt;OFFSET($BN$9,$DT38+1,0,1,1),IF(AND($H38&gt;2.4,Z38&lt;&gt;"e",Z38&lt;&gt;"f"),DZ38*2.4/$H38,DZ38),IF($F38&lt;OFFSET($BN$9,$DT38+2,0,1,1),IF(AND($H38&gt;2.4,Z38&lt;&gt;"e",Z38&lt;&gt;"f"),DZ38*2.4/$H38,DZ38),IF($F38&lt;OFFSET($BN$9,$DT38+3,0,1,1),IF(AND($H38&gt;2.4,Z38&lt;&gt;"e",Z38&lt;&gt;"f"),DZ38*2.4/$H38,DZ38),0)))))*COS(RADIANS($G38)))</f>
        <v>0</v>
      </c>
      <c r="DW38" s="188">
        <f ca="1">IF(F38&lt;OFFSET($BM$9,DT38-1,0,1,1),0,IF(F38&lt;OFFSET($BN$9,DT38-1,0,1,1),((F38-OFFSET($BM$9,DT38-1,0,1,1))*OFFSET($CI$9,DT38-1,0,1,1))+OFFSET($BP$9,DT38-1,CQ38,1,1),IF(F38&lt;OFFSET($BN$9,DT38+0,0,1,1),((F38-OFFSET($BM$9,DT38+0,0,1,1))*OFFSET($CI$9,DT38+0,0,1,1))+OFFSET($BP$9,DT38+0,CQ38,1,1),IF(F38&lt;OFFSET($BN$9,DT38+1,0,1,1),((F38-OFFSET($BM$9,DT38+1,0,1,1))*OFFSET($CI$9,DT38+1,0,1,1))+OFFSET($BP$9,DT38+1,CQ38,1,1),IF(F38&lt;OFFSET($BN$9,DT38+2,0,1,1),((F38-OFFSET($BM$9,DT38+2,0,1,1))*OFFSET($CI$9,DT38+2,0,1,1))+OFFSET($BP$9,DT38+2,CQ38,1,1),IF(F38&lt;OFFSET($BN$9,DT38+3,0,1,1),((F38-OFFSET($BM$9,DT38+3,0,1,1))*OFFSET($CI$9,DT38+3,0,1,1))+OFFSET($BP$9,DT38+3,CQ38,1,1),0))))))</f>
        <v>0</v>
      </c>
      <c r="DX38" s="51">
        <f ca="1">IF($F38&lt;OFFSET($BM$9,$DT38-1,0,1,1),0,IF($F38&lt;OFFSET($BN$9,$DT38-1,0,1,1),IF(AND($H38&gt;2.4,Z38&lt;&gt;"e",Z38&lt;&gt;"f"),EB38*2.4/$H38,EB38),IF($F38&lt;OFFSET($BN$9,$DT38+0,0,1,1),IF(AND($H38&gt;2.4,Z38&lt;&gt;"e",Z38&lt;&gt;"f"),EB38*2.4/$H38,EB38),IF($F38&lt;OFFSET($BN$9,$DT38+1,0,1,1),IF(AND($H38&gt;2.4,Z38&lt;&gt;"e",Z38&lt;&gt;"f"),EB38*2.4/$H38,EB38),IF($F38&lt;OFFSET($BN$9,$DT38+2,0,1,1),IF(AND($H38&gt;2.4,Z38&lt;&gt;"e",Z38&lt;&gt;"f"),EB38*2.4/$H38,EB38),IF($F38&lt;OFFSET($BN$9,$DT38+3,0,1,1),IF(AND($H38&gt;2.4,Z38&lt;&gt;"e",Z38&lt;&gt;"f"),EB38*2.4/$H38,EB38),0)))))*COS(RADIANS($G38)))</f>
        <v>0</v>
      </c>
      <c r="DY38" s="188"/>
      <c r="DZ38" s="188">
        <f ca="1">IF(DU38&gt;$CR38,$CR38,DU38)</f>
        <v>0</v>
      </c>
      <c r="EA38" s="188"/>
      <c r="EB38" s="188">
        <f ca="1">IF(DW38&gt;$CR38,$CR38,DW38)</f>
        <v>0</v>
      </c>
      <c r="EC38" s="435">
        <f ca="1">IF(DV38&gt;$CR38,$CR38,DV38)</f>
        <v>0</v>
      </c>
      <c r="ED38" s="435">
        <f ca="1">EC38*F38</f>
        <v>0</v>
      </c>
      <c r="EE38" s="436">
        <f ca="1">IF(DX38&gt;$CR38,$CR38,DX38)</f>
        <v>0</v>
      </c>
      <c r="EF38" s="437">
        <f ca="1">EE38*F38</f>
        <v>0</v>
      </c>
      <c r="EG38" s="613" t="str">
        <f>IF(D38=BG$12,BG$12,"")</f>
        <v/>
      </c>
      <c r="EH38" s="614" t="str">
        <f>IF(D38=BG$13,BG$13,"")</f>
        <v/>
      </c>
      <c r="EI38" s="611">
        <f>IF(EG38=BG$12,M38,0)</f>
        <v>0</v>
      </c>
      <c r="EJ38" s="451">
        <f>IF(EG38=BG$12,O38,0)</f>
        <v>0</v>
      </c>
      <c r="EK38" s="451">
        <f>IF(EH38=BG$13,M38,0)</f>
        <v>0</v>
      </c>
      <c r="EL38" s="612">
        <f>IF(EH38=BG$13,O38,0)</f>
        <v>0</v>
      </c>
      <c r="EM38" s="426" t="str">
        <f ca="1">IF(AND(Z38&lt;&gt;"t",Z38&lt;&gt;"f"),"",IF(AND(EN38=$BH$13,K38=$BH$12),"NotOpt",IF(K38&lt;&gt;EN38,"Error","")))</f>
        <v/>
      </c>
      <c r="EN38" s="490" t="str">
        <f>IF($BG$28=1,$BH$13,$BH$12)</f>
        <v>120 BU's</v>
      </c>
      <c r="EO38" s="426" t="str">
        <f>K38</f>
        <v xml:space="preserve"> </v>
      </c>
      <c r="EP38" s="430">
        <v>1</v>
      </c>
      <c r="EQ38" s="430" t="str">
        <f ca="1">IF(EP38=1," ",OFFSET(BF$16,EP38-2,0,1,1))</f>
        <v xml:space="preserve"> </v>
      </c>
      <c r="ER38" s="439" t="str">
        <f ca="1">IF(H38=0," ",H38)</f>
        <v xml:space="preserve"> </v>
      </c>
      <c r="ES38" s="440" t="str">
        <f ca="1">IF(ER38&lt;&gt;" ",IF(ER38&lt;&gt;ER$7,"Changed",""),"")</f>
        <v/>
      </c>
      <c r="ET38" s="440">
        <f ca="1">IF(ER38&lt;&gt;" ",IF(ER38&lt;&gt;ER$7,1,0),0)</f>
        <v>0</v>
      </c>
      <c r="EU38" s="957" t="str">
        <f ca="1">IF(I38=" "," ",IF(F38&lt;OFFSET($BM$9,CL38-1,0,1,1),1,""))</f>
        <v xml:space="preserve"> </v>
      </c>
      <c r="EW38" s="427"/>
      <c r="EX38"/>
      <c r="EY38"/>
      <c r="EZ38"/>
      <c r="FA38"/>
    </row>
    <row r="39" spans="1:157" ht="17.100000000000001" customHeight="1" thickBot="1">
      <c r="B39" s="689" t="s">
        <v>246</v>
      </c>
      <c r="C39" s="684" t="str">
        <f>IF(OR(F39=0,I39="",I39=" ")," ",$V39)</f>
        <v xml:space="preserve"> </v>
      </c>
      <c r="D39" s="1033"/>
      <c r="E39" s="1360" t="s">
        <v>8</v>
      </c>
      <c r="F39" s="202"/>
      <c r="G39" s="1416"/>
      <c r="H39" s="199" t="str">
        <f ca="1">IF(OR(F39=0,Z39="E",Z39="f")," ",'Project Demand'!E$45)</f>
        <v xml:space="preserve"> </v>
      </c>
      <c r="I39" s="631" t="str">
        <f>IF($I$6&lt;&gt;$BG$8," ",AB39)</f>
        <v xml:space="preserve"> </v>
      </c>
      <c r="J39" s="44" t="str">
        <f ca="1">IF(OR(I39=" ",I39="")," ",OFFSET($BO$9,CL39-1,0-4,1,1))</f>
        <v xml:space="preserve"> </v>
      </c>
      <c r="K39" s="55" t="str">
        <f>IF(OR(I39=" ",I39="")," ",IF(OR(Z39="e",Z39="h"),"SD",BG$24))</f>
        <v xml:space="preserve"> </v>
      </c>
      <c r="L39" s="49">
        <f ca="1">CW39</f>
        <v>0</v>
      </c>
      <c r="M39" s="49">
        <f ca="1">CY39</f>
        <v>0</v>
      </c>
      <c r="N39" s="50">
        <f t="shared" ca="1" si="24"/>
        <v>0</v>
      </c>
      <c r="O39" s="126">
        <f t="shared" ca="1" si="24"/>
        <v>0</v>
      </c>
      <c r="P39" s="140"/>
      <c r="Q39" s="752" t="str">
        <f ca="1">IF(AND(OR(Z39="t",Z39="f"),K39=$BH$11),"No Floor!  Change Floor Type",IF(OR(I39=" ",I39="")," ",IF(F39&lt;OFFSET($BM$9,CL39-1,0,1,1),"check L(m)",DE39&amp;IF(AND(DP39&gt;=CY39,DR39&gt;=DB39),IF(AND(ED39&gt;=DP39,EF39&gt;=DR39),CONCATENATE(DS39," will provide same result"),CONCATENATE(CO39," will provide same result")),IF((DP39&gt;=CY39),CONCATENATE(CO39," provides same result in WIND"),IF((DR39&gt;=DB39),CONCATENATE(CO39," provides same result in EQ"),""))))))&amp;IF(ISERROR(FIND("pile",I39,1)),"",IF(INT(F39)&lt;&gt;F39,"Pile!  Use Whole Numbers Only",""))</f>
        <v xml:space="preserve"> </v>
      </c>
      <c r="R39" s="52"/>
      <c r="S39" s="1372"/>
      <c r="T39" s="1372"/>
      <c r="U39" s="1377"/>
      <c r="V39" s="52" t="str">
        <f ca="1">IF(AND(B$5=$BF$9,OR(I39=BH$16,I39=BH$17))," ",IF(ISNUMBER(B$38),(CONCATENATE(B$38,".",W39)),(CONCATENATE(B$38,W39))))</f>
        <v>R0</v>
      </c>
      <c r="W39" s="9">
        <f ca="1">W38+X39</f>
        <v>0</v>
      </c>
      <c r="X39" s="9">
        <f>IF(AND(B$5=$BF$9,OR($I39=$BH$16,$I39=$BH$17,$I39=" ",$I39="",$F39=0)),0,IF(OR($I39=" ",$I39="",$F39=0),0,1))</f>
        <v>0</v>
      </c>
      <c r="Y39" s="896"/>
      <c r="Z39" s="52" t="str">
        <f ca="1">IF(I39=" "," ",OFFSET($BM$9,$CL39-1,8,1,1))</f>
        <v xml:space="preserve"> </v>
      </c>
      <c r="AA39" s="51" t="str">
        <f>IF(G39&gt;=45,"WA","")</f>
        <v/>
      </c>
      <c r="AB39" s="1364" t="str">
        <f>IF(F39&lt;&gt;"",IF(OR(D39=$BG$12,D39=$BG$13),IF(E39&lt;&gt;$BG$17,$BF$12,$BF$13),IF(E39&lt;&gt;$BG$17,$BF$12,$BF$13))," ")</f>
        <v xml:space="preserve"> </v>
      </c>
      <c r="AC39" s="1"/>
      <c r="AJ39" s="2230"/>
      <c r="AK39" s="2797"/>
      <c r="AL39" s="2783" t="str">
        <f>'Regular and QuickBrace Systems'!E57</f>
        <v>EMPH</v>
      </c>
      <c r="AM39" s="116">
        <f>'Regular and QuickBrace Systems'!F57</f>
        <v>0.4</v>
      </c>
      <c r="AN39" s="1278">
        <f>'Regular and QuickBrace Systems'!G57</f>
        <v>121</v>
      </c>
      <c r="AO39" s="1279">
        <f>'Regular and QuickBrace Systems'!H57</f>
        <v>138</v>
      </c>
      <c r="AP39" s="1595"/>
      <c r="AQ39" s="2661" t="str">
        <f>'Regular and QuickBrace Systems'!I54</f>
        <v>Specialised QuickBrace Pattern</v>
      </c>
      <c r="AR39" s="2662"/>
      <c r="AS39" s="2826" t="str">
        <f>'Regular and QuickBrace Systems'!K54</f>
        <v>Yes</v>
      </c>
      <c r="AT39" s="1340"/>
      <c r="AU39" s="2133" t="str">
        <f>'Regular and QuickBrace Systems'!M57</f>
        <v>Elephant Multiboard One side,               Plywood the Other</v>
      </c>
      <c r="AW39" s="1586" t="str">
        <f>'Regular and QuickBrace Systems'!O57</f>
        <v>Yes</v>
      </c>
      <c r="AX39" s="1578" t="str">
        <f>'Regular and QuickBrace Systems'!Q57</f>
        <v>Yes</v>
      </c>
      <c r="BA39"/>
      <c r="BB39"/>
      <c r="BC39"/>
      <c r="BD39" s="635"/>
      <c r="BF39" s="599" t="str">
        <f>'Custom Elements'!C23</f>
        <v>Custom15</v>
      </c>
      <c r="BG39" s="430" t="s">
        <v>933</v>
      </c>
      <c r="BI39" s="759"/>
      <c r="BJ39" s="897">
        <f t="shared" si="3"/>
        <v>31</v>
      </c>
      <c r="BK39" s="775" t="str">
        <f>'Custom Elements'!O15</f>
        <v>NZS 3604</v>
      </c>
      <c r="BL39" s="772" t="str">
        <f>'Custom Elements'!P15</f>
        <v>Anchor pile</v>
      </c>
      <c r="BM39" s="776">
        <f>'Custom Elements'!Q15</f>
        <v>1</v>
      </c>
      <c r="BN39" s="776">
        <v>999</v>
      </c>
      <c r="BO39" s="776">
        <f>'Custom Elements'!R15</f>
        <v>160</v>
      </c>
      <c r="BP39" s="926">
        <f>'Custom Elements'!S15</f>
        <v>120</v>
      </c>
      <c r="BQ39" s="1183"/>
      <c r="BR39" s="908"/>
      <c r="BS39" s="776"/>
      <c r="BT39" s="776" t="s">
        <v>3</v>
      </c>
      <c r="BU39" s="926" t="s">
        <v>44</v>
      </c>
      <c r="BV39" s="484" t="str">
        <f t="shared" si="23"/>
        <v>Anchor pile</v>
      </c>
      <c r="BW39" s="911">
        <f t="shared" si="20"/>
        <v>31</v>
      </c>
      <c r="BX39" s="925" t="str">
        <f>'Custom Elements'!U15</f>
        <v>Single</v>
      </c>
      <c r="CH39" s="908">
        <f>IF(BN39=999,0,(#REF!-BO39)/(BN39-BM39))</f>
        <v>0</v>
      </c>
      <c r="CI39" s="926">
        <f>IF(BN39=999,0,(#REF!-BP39)/(BN39-BM39))</f>
        <v>0</v>
      </c>
      <c r="CJ39" s="759"/>
      <c r="CK39" s="188"/>
      <c r="CL39" s="979">
        <f>VLOOKUP(I39,Prodlink,2,0)</f>
        <v>0</v>
      </c>
      <c r="CN39" s="497">
        <f ca="1">VLOOKUP(CO39,Prodlink,2,0)</f>
        <v>0</v>
      </c>
      <c r="CO39" s="497">
        <f ca="1">OFFSET($CH$9,CL39-1,-15,1,1)</f>
        <v>0</v>
      </c>
      <c r="CQ39" s="51">
        <v>0</v>
      </c>
      <c r="CR39" s="51">
        <f>IF(K39=$BH$12,$BH$23,IF(K39=$BH$13,$BH$24,10000))</f>
        <v>10000</v>
      </c>
      <c r="CS39" s="51">
        <f ca="1">IF(F39&lt;OFFSET($BM$9,CL39-1,0,1,1),0,IF(F39&lt;OFFSET($BN$9,CL39-1,0,1,1),((F39-OFFSET($BM$9,CL39-1,0,1,1))*OFFSET($CH$9,CL39-1,0,1,1))+OFFSET($BO$9,CL39-1,CQ39,1,1),IF(F39&lt;OFFSET($BN$9,CL39+0,0,1,1),((F39-OFFSET($BM$9,CL39+0,0,1,1))*OFFSET($CH$9,CL39+0,0,1,1))+OFFSET($BO$9,CL39+0,CQ39,1,1),IF(F39&lt;OFFSET($BN$9,CL39+1,0,1,1),((F39-OFFSET($BM$9,CL39+1,0,1,1))*OFFSET($CH$9,CL39+1,0,1,1))+OFFSET($BO$9,CL39+1,CQ39,1,1),IF(F39&lt;OFFSET($BN$9,CL39+2,0,1,1),((F39-OFFSET($BM$9,CL39+2,0,1,1))*OFFSET($CH$9,CL39+2,0,1,1))+OFFSET($BO$9,CL39+2,CQ39,1,1),IF(F39&lt;OFFSET($BN$9,CL39+3,0,1,1),((F39-OFFSET($BM$9,CL39+3,0,1,1))*OFFSET($CH$9,CL39+3,0,1,1))+OFFSET($BO$9,CL39+3,CQ39,1,1),0))))))</f>
        <v>0</v>
      </c>
      <c r="CT39" s="51">
        <f ca="1">IF($F39&lt;OFFSET($BM$9,$CL39-1,0,1,1),0,IF($F39&lt;OFFSET($BN$9,$CL39-1,0,1,1),IF(AND($H39&gt;2.4,Z39&lt;&gt;"e",Z39&lt;&gt;"f"),CX39*2.4/$H39,CX39),IF($F39&lt;OFFSET($BN$9,$CL39+0,0,1,1),IF(AND($H39&gt;2.4,Z39&lt;&gt;"e",Z39&lt;&gt;"f"),CX39*2.4/$H39,CX39),IF($F39&lt;OFFSET($BN$9,$CL39+1,0,1,1),IF(AND($H39&gt;2.4,Z39&lt;&gt;"e",Z39&lt;&gt;"f"),CX39*2.4/$H39,CX39),IF($F39&lt;OFFSET($BN$9,CL39+2,0,1,1),IF(AND($H39&gt;2.4,Z39&lt;&gt;"e",Z39&lt;&gt;"f"),CX39*2.4/$H39,CX39),IF($F39&lt;OFFSET($BN$9,CL39+3,0,1,1),IF(AND($H39&gt;2.4,Z39&lt;&gt;"e",Z39&lt;&gt;"f"),CX39*2.4/$H39,CX39),0)))))*COS(RADIANS($G39)))</f>
        <v>0</v>
      </c>
      <c r="CU39" s="51">
        <f ca="1">IF(F39&lt;OFFSET($BM$9,CL39-1,0,1,1),0,IF(F39&lt;OFFSET($BN$9,CL39-1,0,1,1),((F39-OFFSET($BM$9,CL39-1,0,1,1))*OFFSET($CI$9,CL39-1,0,1,1))+OFFSET($BP$9,CL39-1,CQ39,1,1),IF(F39&lt;OFFSET($BN$9,CL39+0,0,1,1),((F39-OFFSET($BM$9,CL39+0,0,1,1))*OFFSET($CI$9,CL39+0,0,1,1))+OFFSET($BP$9,CL39+0,CQ39,1,1),IF(F39&lt;OFFSET($BN$9,CL39+1,0,1,1),((F39-OFFSET($BM$9,CL39+1,0,1,1))*OFFSET($CI$9,CL39+1,0,1,1))+OFFSET($BP$9,CL39+1,CQ39,1,1),IF(F39&lt;OFFSET($BN$9,CL39+2,0,1,1),((F39-OFFSET($BM$9,CL39+2,0,1,1))*OFFSET($CI$9,CL39+2,0,1,1))+OFFSET($BP$9,CL39+2,CQ39,1,1),IF(F39&lt;OFFSET($BN$9,CL39+3,0,1,1),((F39-OFFSET($BM$9,CL39+3,0,1,1))*OFFSET($CI$9,CL39+3,0,1,1))+OFFSET($BP$9,CL39+3,CQ39,1,1),0))))))</f>
        <v>0</v>
      </c>
      <c r="CV39" s="51">
        <f ca="1">IF($F39&lt;OFFSET($BM$9,$CL39-1,0,1,1),0,IF($F39&lt;OFFSET($BN$9,$CL39-1,0,1,1),IF(AND($H39&gt;2.4,Z39&lt;&gt;"e",Z39&lt;&gt;"f"),CZ39*2.4/$H39,CZ39),IF($F39&lt;OFFSET($BN$9,$CL39+0,0,1,1),IF(AND($H39&gt;2.4,Z39&lt;&gt;"e",Z39&lt;&gt;"f"),CZ39*2.4/$H39,CZ39),IF($F39&lt;OFFSET($BN$9,$CL39+1,0,1,1),IF(AND($H39&gt;2.4,Z39&lt;&gt;"e",Z39&lt;&gt;"f"),CZ39*2.4/$H39,CZ39),IF($F39&lt;OFFSET($BN$9,$CL39+2,0,1,1),IF(AND($H39&gt;2.4,Z39&lt;&gt;"e",Z39&lt;&gt;"f"),CZ39*2.4/$H39,CZ39),IF($F39&lt;OFFSET($BN$9,$CL39+3,0,1,1),IF(AND($H39&gt;2.4,Z39&lt;&gt;"e",Z39&lt;&gt;"f"),CZ39*2.4/$H39,CZ39),0)))))*COS(RADIANS($G39)))</f>
        <v>0</v>
      </c>
      <c r="CW39" s="51">
        <f ca="1">IF(CT39&gt;CR39,CR39,CT39)</f>
        <v>0</v>
      </c>
      <c r="CX39" s="51">
        <f ca="1">IF(CS39&gt;$CR39,$CR39,CS39)</f>
        <v>0</v>
      </c>
      <c r="CY39" s="51">
        <f ca="1">CW39*F39</f>
        <v>0</v>
      </c>
      <c r="CZ39" s="51">
        <f ca="1">IF($CU39&gt;$CR39,$CR39,$CU39)</f>
        <v>0</v>
      </c>
      <c r="DA39" s="51">
        <f ca="1">IF(CV39&gt;CR39,CR39,CV39)</f>
        <v>0</v>
      </c>
      <c r="DB39" s="51">
        <f ca="1">DA39*F39</f>
        <v>0</v>
      </c>
      <c r="DC39" s="993">
        <v>1</v>
      </c>
      <c r="DD39" s="758" t="str">
        <f>IF(OR(D39=BG$12,D39=BG$13),"External",IF(D39=BG$14,"Internal"," "))</f>
        <v xml:space="preserve"> </v>
      </c>
      <c r="DE39" s="51" t="str">
        <f t="shared" ca="1" si="1"/>
        <v/>
      </c>
      <c r="DF39" s="52" t="str">
        <f t="shared" ca="1" si="2"/>
        <v xml:space="preserve"> </v>
      </c>
      <c r="DG39" s="51">
        <f ca="1">IF(F39&lt;OFFSET($BM$9,CN39-1,0,1,1),0,IF(F39&lt;OFFSET($BN$9,CN39-1,0,1,1),((F39-OFFSET($BM$9,CN39-1,0,1,1))*OFFSET($CH$9,CN39-1,0,1,1))+OFFSET($BO$9,CN39-1,CQ39,1,1),IF(F39&lt;OFFSET($BN$9,CN39+0,0,1,1),((F39-OFFSET($BM$9,CN39+0,0,1,1))*OFFSET($CH$9,CN39+0,0,1,1))+OFFSET($BO$9,CN39+0,CQ39,1,1),IF(F39&lt;OFFSET($BN$9,CN39+1,0,1,1),((F39-OFFSET($BM$9,CN39+1,0,1,1))*OFFSET($CH$9,CN39+1,0,1,1))+OFFSET($BO$9,CN39+1,CQ39,1,1),IF(F39&lt;OFFSET($BN$9,CN39+2,0,1,1),((F39-OFFSET($BM$9,CN39+2,0,1,1))*OFFSET($CH$9,CN39+2,0,1,1))+OFFSET($BO$9,CN39+2,CQ39,1,1),IF(F39&lt;OFFSET($BN$9,CN39+3,0,1,1),((F39-OFFSET($BM$9,CN39+3,0,1,1))*OFFSET($CH$9,CN39+3,0,1,1))+OFFSET($BO$9,CN39+3,CQ39,1,1),0))))))</f>
        <v>0</v>
      </c>
      <c r="DH39" s="51">
        <f ca="1">IF($F39&lt;OFFSET($BM$9,$CN39-1,0,1,1),0,IF($F39&lt;OFFSET($BN$9,$CN39-1,0,1,1),IF(AND($H39&gt;2.4,Z39&lt;&gt;"e",Z39&lt;&gt;"f"),DL39*2.4/$H39,DL39),IF($F39&lt;OFFSET($BN$9,$CN39+0,0,1,1),IF(AND($H39&gt;2.4,Z39&lt;&gt;"e",Z39&lt;&gt;"f"),DL39*2.4/$H39,DL39),IF($F39&lt;OFFSET($BN$9,$CN39+1,0,1,1),IF(AND($H39&gt;2.4,Z39&lt;&gt;"e",Z39&lt;&gt;"f"),DL39*2.4/$H39,DL39),IF($F39&lt;OFFSET($BN$9,$CN39+2,0,1,1),IF(AND($H39&gt;2.4,Z39&lt;&gt;"e",Z39&lt;&gt;"f"),DL39*2.4/$H39,DL39),IF($F39&lt;OFFSET($BN$9,$CN39+3,0,1,1),IF(AND($H39&gt;2.4,Z39&lt;&gt;"e",Z39&lt;&gt;"f"),DL39*2.4/$H39,DL39),0)))))*COS(RADIANS($G39)))</f>
        <v>0</v>
      </c>
      <c r="DI39" s="51">
        <f ca="1">IF(F39&lt;OFFSET($BM$9,CN39-1,0,1,1),0,IF(F39&lt;OFFSET($BN$9,CN39-1,0,1,1),((F39-OFFSET($BM$9,CN39-1,0,1,1))*OFFSET($CI$9,CN39-1,0,1,1))+OFFSET($BP$9,CN39-1,CQ39,1,1),IF(F39&lt;OFFSET($BN$9,CN39+0,0,1,1),((F39-OFFSET($BM$9,CN39+0,0,1,1))*OFFSET($CI$9,CN39+0,0,1,1))+OFFSET($BP$9,CN39+0,CQ39,1,1),IF(F39&lt;OFFSET($BN$9,CN39+1,0,1,1),((F39-OFFSET($BM$9,CN39+1,0,1,1))*OFFSET($CI$9,CN39+1,0,1,1))+OFFSET($BP$9,CN39+1,CQ39,1,1),IF(F39&lt;OFFSET($BN$9,CN39+2,0,1,1),((F39-OFFSET($BM$9,CN39+2,0,1,1))*OFFSET($CI$9,CN39+2,0,1,1))+OFFSET($BP$9,CN39+2,CQ39,1,1),IF(F39&lt;OFFSET($BN$9,CN39+3,0,1,1),((F39-OFFSET($BM$9,CN39+3,0,1,1))*OFFSET($CI$9,CN39+3,0,1,1))+OFFSET($BP$9,CN39+3,CQ39,1,1),0))))))</f>
        <v>0</v>
      </c>
      <c r="DJ39" s="51">
        <f ca="1">IF($F39&lt;OFFSET($BM$9,$CN39-1,0,1,1),0,IF($F39&lt;OFFSET($BN$9,$CN39-1,0,1,1),IF(AND($H39&gt;2.4,Z39&lt;&gt;"e",Z39&lt;&gt;"f"),DN39*2.4/$H39,DN39),IF($F39&lt;OFFSET($BN$9,$CN39+0,0,1,1),IF(AND($H39&gt;2.4,Z39&lt;&gt;"e",Z39&lt;&gt;"f"),DN39*2.4/$H39,DN39),IF($F39&lt;OFFSET($BN$9,$CN39+1,0,1,1),IF(AND($H39&gt;2.4,Z39&lt;&gt;"e",Z39&lt;&gt;"f"),DN39*2.4/$H39,DN39),IF($F39&lt;OFFSET($BN$9,$CN39+2,0,1,1),IF(AND($H39&gt;2.4,Z39&lt;&gt;"e",Z39&lt;&gt;"f"),DN39*2.4/$H39,DN39),IF($F39&lt;OFFSET($BN$9,$CN39+3,0,1,1),IF(AND($H39&gt;2.4,Z39&lt;&gt;"e",Z39&lt;&gt;"f"),DN39*2.4/$H39,DN39),0)))))*COS(RADIANS($G39)))</f>
        <v>0</v>
      </c>
      <c r="DK39" s="51"/>
      <c r="DL39" s="51">
        <f ca="1">IF(DG39&gt;$CR39,$CR39,DG39)</f>
        <v>0</v>
      </c>
      <c r="DM39" s="51"/>
      <c r="DN39" s="51">
        <f ca="1">IF(DI39&gt;$CR39,$CR39,DI39)</f>
        <v>0</v>
      </c>
      <c r="DO39" s="435">
        <f ca="1">IF(DH39&gt;$CR39,$CR39,DH39)</f>
        <v>0</v>
      </c>
      <c r="DP39" s="435">
        <f ca="1">DO39*F39</f>
        <v>0</v>
      </c>
      <c r="DQ39" s="436">
        <f ca="1">IF(DJ39&gt;$CR39,$CR39,DJ39)</f>
        <v>0</v>
      </c>
      <c r="DR39" s="437">
        <f ca="1">DQ39*F39</f>
        <v>0</v>
      </c>
      <c r="DS39" s="426">
        <f ca="1">OFFSET($CH$9,CL39-1,-15,1,1)</f>
        <v>0</v>
      </c>
      <c r="DT39" s="426">
        <f ca="1">VLOOKUP(DS39,Prodlink,2,0)</f>
        <v>0</v>
      </c>
      <c r="DU39" s="188">
        <f ca="1">IF(F39&lt;OFFSET($BM$9,DT39-1,0,1,1),0,IF(F39&lt;OFFSET($BN$9,DT39-1,0,1,1),((F39-OFFSET($BM$9,DT39-1,0,1,1))*OFFSET($CH$9,DT39-1,0,1,1))+OFFSET($BO$9,DT39-1,CQ39,1,1),IF(F39&lt;OFFSET($BN$9,DT39+0,0,1,1),((F39-OFFSET($BM$9,DT39+0,0,1,1))*OFFSET($CH$9,DT39+0,0,1,1))+OFFSET($BO$9,DT39+0,CQ39,1,1),IF(F39&lt;OFFSET($BN$9,DT39+1,0,1,1),((F39-OFFSET($BM$9,DT39+1,0,1,1))*OFFSET($CH$9,DT39+1,0,1,1))+OFFSET($BO$9,DT39+1,CQ39,1,1),IF(F39&lt;OFFSET($BN$9,DT39+2,0,1,1),((F39-OFFSET($BM$9,DT39+2,0,1,1))*OFFSET($CH$9,DT39+2,0,1,1))+OFFSET($BO$9,DT39+2,CQ39,1,1),IF(F39&lt;OFFSET($BN$9,DT39+3,0,1,1),((F39-OFFSET($BM$9,DT39+3,0,1,1))*OFFSET($CH$9,DT39+3,0,1,1))+OFFSET($BO$9,DT39+3,CQ39,1,1),0))))))</f>
        <v>0</v>
      </c>
      <c r="DV39" s="51">
        <f ca="1">IF($F39&lt;OFFSET($BM$9,$DT39-1,0,1,1),0,IF($F39&lt;OFFSET($BN$9,$DT39-1,0,1,1),IF(AND($H39&gt;2.4,Z39&lt;&gt;"e",Z39&lt;&gt;"f"),DZ39*2.4/$H39,DZ39),IF($F39&lt;OFFSET($BN$9,$DT39+0,0,1,1),IF(AND($H39&gt;2.4,Z39&lt;&gt;"e",Z39&lt;&gt;"f"),DZ39*2.4/$H39,DZ39),IF($F39&lt;OFFSET($BN$9,$DT39+1,0,1,1),IF(AND($H39&gt;2.4,Z39&lt;&gt;"e",Z39&lt;&gt;"f"),DZ39*2.4/$H39,DZ39),IF($F39&lt;OFFSET($BN$9,$DT39+2,0,1,1),IF(AND($H39&gt;2.4,Z39&lt;&gt;"e",Z39&lt;&gt;"f"),DZ39*2.4/$H39,DZ39),IF($F39&lt;OFFSET($BN$9,$DT39+3,0,1,1),IF(AND($H39&gt;2.4,Z39&lt;&gt;"e",Z39&lt;&gt;"f"),DZ39*2.4/$H39,DZ39),0)))))*COS(RADIANS($G39)))</f>
        <v>0</v>
      </c>
      <c r="DW39" s="188">
        <f ca="1">IF(F39&lt;OFFSET($BM$9,DT39-1,0,1,1),0,IF(F39&lt;OFFSET($BN$9,DT39-1,0,1,1),((F39-OFFSET($BM$9,DT39-1,0,1,1))*OFFSET($CI$9,DT39-1,0,1,1))+OFFSET($BP$9,DT39-1,CQ39,1,1),IF(F39&lt;OFFSET($BN$9,DT39+0,0,1,1),((F39-OFFSET($BM$9,DT39+0,0,1,1))*OFFSET($CI$9,DT39+0,0,1,1))+OFFSET($BP$9,DT39+0,CQ39,1,1),IF(F39&lt;OFFSET($BN$9,DT39+1,0,1,1),((F39-OFFSET($BM$9,DT39+1,0,1,1))*OFFSET($CI$9,DT39+1,0,1,1))+OFFSET($BP$9,DT39+1,CQ39,1,1),IF(F39&lt;OFFSET($BN$9,DT39+2,0,1,1),((F39-OFFSET($BM$9,DT39+2,0,1,1))*OFFSET($CI$9,DT39+2,0,1,1))+OFFSET($BP$9,DT39+2,CQ39,1,1),IF(F39&lt;OFFSET($BN$9,DT39+3,0,1,1),((F39-OFFSET($BM$9,DT39+3,0,1,1))*OFFSET($CI$9,DT39+3,0,1,1))+OFFSET($BP$9,DT39+3,CQ39,1,1),0))))))</f>
        <v>0</v>
      </c>
      <c r="DX39" s="51">
        <f ca="1">IF($F39&lt;OFFSET($BM$9,$DT39-1,0,1,1),0,IF($F39&lt;OFFSET($BN$9,$DT39-1,0,1,1),IF(AND($H39&gt;2.4,Z39&lt;&gt;"e",Z39&lt;&gt;"f"),EB39*2.4/$H39,EB39),IF($F39&lt;OFFSET($BN$9,$DT39+0,0,1,1),IF(AND($H39&gt;2.4,Z39&lt;&gt;"e",Z39&lt;&gt;"f"),EB39*2.4/$H39,EB39),IF($F39&lt;OFFSET($BN$9,$DT39+1,0,1,1),IF(AND($H39&gt;2.4,Z39&lt;&gt;"e",Z39&lt;&gt;"f"),EB39*2.4/$H39,EB39),IF($F39&lt;OFFSET($BN$9,$DT39+2,0,1,1),IF(AND($H39&gt;2.4,Z39&lt;&gt;"e",Z39&lt;&gt;"f"),EB39*2.4/$H39,EB39),IF($F39&lt;OFFSET($BN$9,$DT39+3,0,1,1),IF(AND($H39&gt;2.4,Z39&lt;&gt;"e",Z39&lt;&gt;"f"),EB39*2.4/$H39,EB39),0)))))*COS(RADIANS($G39)))</f>
        <v>0</v>
      </c>
      <c r="DY39" s="188"/>
      <c r="DZ39" s="188">
        <f ca="1">IF(DU39&gt;$CR39,$CR39,DU39)</f>
        <v>0</v>
      </c>
      <c r="EA39" s="188"/>
      <c r="EB39" s="188">
        <f ca="1">IF(DW39&gt;$CR39,$CR39,DW39)</f>
        <v>0</v>
      </c>
      <c r="EC39" s="435">
        <f ca="1">IF(DV39&gt;$CR39,$CR39,DV39)</f>
        <v>0</v>
      </c>
      <c r="ED39" s="435">
        <f ca="1">EC39*F39</f>
        <v>0</v>
      </c>
      <c r="EE39" s="436">
        <f ca="1">IF(DX39&gt;$CR39,$CR39,DX39)</f>
        <v>0</v>
      </c>
      <c r="EF39" s="437">
        <f ca="1">EE39*F39</f>
        <v>0</v>
      </c>
      <c r="EG39" s="613" t="str">
        <f>IF(D39=BG$12,BG$12,"")</f>
        <v/>
      </c>
      <c r="EH39" s="614" t="str">
        <f>IF(D39=BG$13,BG$13,"")</f>
        <v/>
      </c>
      <c r="EI39" s="611">
        <f>IF(EG39=BG$12,M39,0)</f>
        <v>0</v>
      </c>
      <c r="EJ39" s="451">
        <f>IF(EG39=BG$12,O39,0)</f>
        <v>0</v>
      </c>
      <c r="EK39" s="451">
        <f>IF(EH39=BG$13,M39,0)</f>
        <v>0</v>
      </c>
      <c r="EL39" s="612">
        <f>IF(EH39=BG$13,O39,0)</f>
        <v>0</v>
      </c>
      <c r="EM39" s="426" t="str">
        <f ca="1">IF(AND(Z39&lt;&gt;"t",Z39&lt;&gt;"f"),"",IF(AND(EN39=$BH$13,K39=$BH$12),"NotOpt",IF(K39&lt;&gt;EN39,"Error","")))</f>
        <v/>
      </c>
      <c r="EN39" s="490" t="str">
        <f>IF($BG$28=1,$BH$13,$BH$12)</f>
        <v>120 BU's</v>
      </c>
      <c r="EO39" s="426" t="str">
        <f>K39</f>
        <v xml:space="preserve"> </v>
      </c>
      <c r="EP39" s="430">
        <v>1</v>
      </c>
      <c r="EQ39" s="430" t="str">
        <f ca="1">IF(EP39=1," ",OFFSET(BF$16,EP39-2,0,1,1))</f>
        <v xml:space="preserve"> </v>
      </c>
      <c r="ER39" s="439" t="str">
        <f ca="1">IF(H39=0," ",H39)</f>
        <v xml:space="preserve"> </v>
      </c>
      <c r="ES39" s="440" t="str">
        <f ca="1">IF(ER39&lt;&gt;" ",IF(ER39&lt;&gt;ER$7,"Changed",""),"")</f>
        <v/>
      </c>
      <c r="ET39" s="440">
        <f ca="1">IF(ER39&lt;&gt;" ",IF(ER39&lt;&gt;ER$7,1,0),0)</f>
        <v>0</v>
      </c>
      <c r="EU39" s="957" t="str">
        <f ca="1">IF(I39=" "," ",IF(F39&lt;OFFSET($BM$9,CL39-1,0,1,1),1,""))</f>
        <v xml:space="preserve"> </v>
      </c>
      <c r="EW39" s="427"/>
      <c r="EX39"/>
      <c r="EY39"/>
      <c r="EZ39"/>
      <c r="FA39"/>
    </row>
    <row r="40" spans="1:157" ht="17.100000000000001" customHeight="1" thickBot="1">
      <c r="B40" s="689" t="s">
        <v>246</v>
      </c>
      <c r="C40" s="684" t="str">
        <f>IF(OR(F40=0,I40="",I40=" ")," ",$V40)</f>
        <v xml:space="preserve"> </v>
      </c>
      <c r="D40" s="1033"/>
      <c r="E40" s="1360" t="s">
        <v>8</v>
      </c>
      <c r="F40" s="202"/>
      <c r="G40" s="1416"/>
      <c r="H40" s="199" t="str">
        <f ca="1">IF(OR(F40=0,Z40="E",Z40="f")," ",'Project Demand'!E$45)</f>
        <v xml:space="preserve"> </v>
      </c>
      <c r="I40" s="631" t="str">
        <f>IF($I$6&lt;&gt;$BG$8," ",AB40)</f>
        <v xml:space="preserve"> </v>
      </c>
      <c r="J40" s="44" t="str">
        <f ca="1">IF(OR(I40=" ",I40="")," ",OFFSET($BO$9,CL40-1,0-4,1,1))</f>
        <v xml:space="preserve"> </v>
      </c>
      <c r="K40" s="55" t="str">
        <f>IF(OR(I40=" ",I40="")," ",IF(OR(Z40="e",Z40="h"),"SD",BG$24))</f>
        <v xml:space="preserve"> </v>
      </c>
      <c r="L40" s="49">
        <f ca="1">CW40</f>
        <v>0</v>
      </c>
      <c r="M40" s="49">
        <f ca="1">CY40</f>
        <v>0</v>
      </c>
      <c r="N40" s="50">
        <f t="shared" ca="1" si="24"/>
        <v>0</v>
      </c>
      <c r="O40" s="126">
        <f t="shared" ca="1" si="24"/>
        <v>0</v>
      </c>
      <c r="P40" s="140"/>
      <c r="Q40" s="752" t="str">
        <f ca="1">IF(AND(OR(Z40="t",Z40="f"),K40=$BH$11),"No Floor!  Change Floor Type",IF(OR(I40=" ",I40="")," ",IF(F40&lt;OFFSET($BM$9,CL40-1,0,1,1),"check L(m)",DE40&amp;IF(AND(DP40&gt;=CY40,DR40&gt;=DB40),IF(AND(ED40&gt;=DP40,EF40&gt;=DR40),CONCATENATE(DS40," will provide same result"),CONCATENATE(CO40," will provide same result")),IF((DP40&gt;=CY40),CONCATENATE(CO40," provides same result in WIND"),IF((DR40&gt;=DB40),CONCATENATE(CO40," provides same result in EQ"),""))))))&amp;IF(ISERROR(FIND("pile",I40,1)),"",IF(INT(F40)&lt;&gt;F40,"Pile!  Use Whole Numbers Only",""))</f>
        <v xml:space="preserve"> </v>
      </c>
      <c r="R40" s="52"/>
      <c r="S40" s="1372"/>
      <c r="T40" s="1372"/>
      <c r="U40" s="1377"/>
      <c r="V40" s="52" t="str">
        <f ca="1">IF(AND(B$5=$BF$9,OR(I40=BH$16,I40=BH$17))," ",IF(ISNUMBER(B$38),(CONCATENATE(B$38,".",W40)),(CONCATENATE(B$38,W40))))</f>
        <v>R0</v>
      </c>
      <c r="W40" s="9">
        <f ca="1">W39+X40</f>
        <v>0</v>
      </c>
      <c r="X40" s="9">
        <f>IF(AND(B$5=$BF$9,OR($I40=$BH$16,$I40=$BH$17,$I40=" ",$I40="",$F40=0)),0,IF(OR($I40=" ",$I40="",$F40=0),0,1))</f>
        <v>0</v>
      </c>
      <c r="Y40" s="896"/>
      <c r="Z40" s="52" t="str">
        <f ca="1">IF(I40=" "," ",OFFSET($BM$9,$CL40-1,8,1,1))</f>
        <v xml:space="preserve"> </v>
      </c>
      <c r="AA40" s="51" t="str">
        <f>IF(G40&gt;=45,"WA","")</f>
        <v/>
      </c>
      <c r="AB40" s="1364" t="str">
        <f>IF(F40&lt;&gt;"",IF(OR(D40=$BG$12,D40=$BG$13),IF(E40&lt;&gt;$BG$17,$BF$12,$BF$13),IF(E40&lt;&gt;$BG$17,$BF$12,$BF$13))," ")</f>
        <v xml:space="preserve"> </v>
      </c>
      <c r="AC40" s="1"/>
      <c r="AJ40" s="2230"/>
      <c r="AK40" s="2797"/>
      <c r="AL40" s="2784"/>
      <c r="AM40" s="11">
        <f>'Regular and QuickBrace Systems'!F58</f>
        <v>0.8</v>
      </c>
      <c r="AN40" s="1336">
        <f>'Regular and QuickBrace Systems'!G58</f>
        <v>148</v>
      </c>
      <c r="AO40" s="26">
        <f>'Regular and QuickBrace Systems'!H58</f>
        <v>150</v>
      </c>
      <c r="AP40" s="1595"/>
      <c r="AQ40" s="2663"/>
      <c r="AR40" s="2664"/>
      <c r="AS40" s="2827"/>
      <c r="AT40" s="1340"/>
      <c r="AU40" s="2123"/>
      <c r="AW40" s="1569" t="str">
        <f>'Regular and QuickBrace Systems'!O58</f>
        <v>Yes</v>
      </c>
      <c r="AX40" s="442" t="str">
        <f>'Regular and QuickBrace Systems'!Q58</f>
        <v>Yes</v>
      </c>
      <c r="BA40"/>
      <c r="BB40"/>
      <c r="BC40"/>
      <c r="BD40" s="641"/>
      <c r="BF40" s="599" t="str">
        <f>'Custom Elements'!C24</f>
        <v>Custom16</v>
      </c>
      <c r="BG40" s="430" t="s">
        <v>776</v>
      </c>
      <c r="BI40" s="759"/>
      <c r="BJ40" s="897">
        <f t="shared" si="3"/>
        <v>32</v>
      </c>
      <c r="CJ40" s="759"/>
      <c r="CK40" s="188"/>
      <c r="CL40" s="979">
        <f>VLOOKUP(I40,Prodlink,2,0)</f>
        <v>0</v>
      </c>
      <c r="CN40" s="497">
        <f ca="1">VLOOKUP(CO40,Prodlink,2,0)</f>
        <v>0</v>
      </c>
      <c r="CO40" s="497">
        <f ca="1">OFFSET($CH$9,CL40-1,-15,1,1)</f>
        <v>0</v>
      </c>
      <c r="CQ40" s="51">
        <v>0</v>
      </c>
      <c r="CR40" s="51">
        <f>IF(K40=$BH$12,$BH$23,IF(K40=$BH$13,$BH$24,10000))</f>
        <v>10000</v>
      </c>
      <c r="CS40" s="51">
        <f ca="1">IF(F40&lt;OFFSET($BM$9,CL40-1,0,1,1),0,IF(F40&lt;OFFSET($BN$9,CL40-1,0,1,1),((F40-OFFSET($BM$9,CL40-1,0,1,1))*OFFSET($CH$9,CL40-1,0,1,1))+OFFSET($BO$9,CL40-1,CQ40,1,1),IF(F40&lt;OFFSET($BN$9,CL40+0,0,1,1),((F40-OFFSET($BM$9,CL40+0,0,1,1))*OFFSET($CH$9,CL40+0,0,1,1))+OFFSET($BO$9,CL40+0,CQ40,1,1),IF(F40&lt;OFFSET($BN$9,CL40+1,0,1,1),((F40-OFFSET($BM$9,CL40+1,0,1,1))*OFFSET($CH$9,CL40+1,0,1,1))+OFFSET($BO$9,CL40+1,CQ40,1,1),IF(F40&lt;OFFSET($BN$9,CL40+2,0,1,1),((F40-OFFSET($BM$9,CL40+2,0,1,1))*OFFSET($CH$9,CL40+2,0,1,1))+OFFSET($BO$9,CL40+2,CQ40,1,1),IF(F40&lt;OFFSET($BN$9,CL40+3,0,1,1),((F40-OFFSET($BM$9,CL40+3,0,1,1))*OFFSET($CH$9,CL40+3,0,1,1))+OFFSET($BO$9,CL40+3,CQ40,1,1),0))))))</f>
        <v>0</v>
      </c>
      <c r="CT40" s="51">
        <f ca="1">IF($F40&lt;OFFSET($BM$9,$CL40-1,0,1,1),0,IF($F40&lt;OFFSET($BN$9,$CL40-1,0,1,1),IF(AND($H40&gt;2.4,Z40&lt;&gt;"e",Z40&lt;&gt;"f"),CX40*2.4/$H40,CX40),IF($F40&lt;OFFSET($BN$9,$CL40+0,0,1,1),IF(AND($H40&gt;2.4,Z40&lt;&gt;"e",Z40&lt;&gt;"f"),CX40*2.4/$H40,CX40),IF($F40&lt;OFFSET($BN$9,$CL40+1,0,1,1),IF(AND($H40&gt;2.4,Z40&lt;&gt;"e",Z40&lt;&gt;"f"),CX40*2.4/$H40,CX40),IF($F40&lt;OFFSET($BN$9,CL40+2,0,1,1),IF(AND($H40&gt;2.4,Z40&lt;&gt;"e",Z40&lt;&gt;"f"),CX40*2.4/$H40,CX40),IF($F40&lt;OFFSET($BN$9,CL40+3,0,1,1),IF(AND($H40&gt;2.4,Z40&lt;&gt;"e",Z40&lt;&gt;"f"),CX40*2.4/$H40,CX40),0)))))*COS(RADIANS($G40)))</f>
        <v>0</v>
      </c>
      <c r="CU40" s="51">
        <f ca="1">IF(F40&lt;OFFSET($BM$9,CL40-1,0,1,1),0,IF(F40&lt;OFFSET($BN$9,CL40-1,0,1,1),((F40-OFFSET($BM$9,CL40-1,0,1,1))*OFFSET($CI$9,CL40-1,0,1,1))+OFFSET($BP$9,CL40-1,CQ40,1,1),IF(F40&lt;OFFSET($BN$9,CL40+0,0,1,1),((F40-OFFSET($BM$9,CL40+0,0,1,1))*OFFSET($CI$9,CL40+0,0,1,1))+OFFSET($BP$9,CL40+0,CQ40,1,1),IF(F40&lt;OFFSET($BN$9,CL40+1,0,1,1),((F40-OFFSET($BM$9,CL40+1,0,1,1))*OFFSET($CI$9,CL40+1,0,1,1))+OFFSET($BP$9,CL40+1,CQ40,1,1),IF(F40&lt;OFFSET($BN$9,CL40+2,0,1,1),((F40-OFFSET($BM$9,CL40+2,0,1,1))*OFFSET($CI$9,CL40+2,0,1,1))+OFFSET($BP$9,CL40+2,CQ40,1,1),IF(F40&lt;OFFSET($BN$9,CL40+3,0,1,1),((F40-OFFSET($BM$9,CL40+3,0,1,1))*OFFSET($CI$9,CL40+3,0,1,1))+OFFSET($BP$9,CL40+3,CQ40,1,1),0))))))</f>
        <v>0</v>
      </c>
      <c r="CV40" s="51">
        <f ca="1">IF($F40&lt;OFFSET($BM$9,$CL40-1,0,1,1),0,IF($F40&lt;OFFSET($BN$9,$CL40-1,0,1,1),IF(AND($H40&gt;2.4,Z40&lt;&gt;"e",Z40&lt;&gt;"f"),CZ40*2.4/$H40,CZ40),IF($F40&lt;OFFSET($BN$9,$CL40+0,0,1,1),IF(AND($H40&gt;2.4,Z40&lt;&gt;"e",Z40&lt;&gt;"f"),CZ40*2.4/$H40,CZ40),IF($F40&lt;OFFSET($BN$9,$CL40+1,0,1,1),IF(AND($H40&gt;2.4,Z40&lt;&gt;"e",Z40&lt;&gt;"f"),CZ40*2.4/$H40,CZ40),IF($F40&lt;OFFSET($BN$9,$CL40+2,0,1,1),IF(AND($H40&gt;2.4,Z40&lt;&gt;"e",Z40&lt;&gt;"f"),CZ40*2.4/$H40,CZ40),IF($F40&lt;OFFSET($BN$9,$CL40+3,0,1,1),IF(AND($H40&gt;2.4,Z40&lt;&gt;"e",Z40&lt;&gt;"f"),CZ40*2.4/$H40,CZ40),0)))))*COS(RADIANS($G40)))</f>
        <v>0</v>
      </c>
      <c r="CW40" s="51">
        <f ca="1">IF(CT40&gt;CR40,CR40,CT40)</f>
        <v>0</v>
      </c>
      <c r="CX40" s="51">
        <f ca="1">IF(CS40&gt;$CR40,$CR40,CS40)</f>
        <v>0</v>
      </c>
      <c r="CY40" s="51">
        <f ca="1">CW40*F40</f>
        <v>0</v>
      </c>
      <c r="CZ40" s="51">
        <f ca="1">IF($CU40&gt;$CR40,$CR40,$CU40)</f>
        <v>0</v>
      </c>
      <c r="DA40" s="51">
        <f ca="1">IF(CV40&gt;CR40,CR40,CV40)</f>
        <v>0</v>
      </c>
      <c r="DB40" s="51">
        <f ca="1">DA40*F40</f>
        <v>0</v>
      </c>
      <c r="DC40" s="993">
        <v>1</v>
      </c>
      <c r="DD40" s="758" t="str">
        <f>IF(OR(D40=BG$12,D40=BG$13),"External",IF(D40=BG$14,"Internal"," "))</f>
        <v xml:space="preserve"> </v>
      </c>
      <c r="DE40" s="51" t="str">
        <f t="shared" ca="1" si="1"/>
        <v/>
      </c>
      <c r="DF40" s="52" t="str">
        <f t="shared" ca="1" si="2"/>
        <v xml:space="preserve"> </v>
      </c>
      <c r="DG40" s="51">
        <f ca="1">IF(F40&lt;OFFSET($BM$9,CN40-1,0,1,1),0,IF(F40&lt;OFFSET($BN$9,CN40-1,0,1,1),((F40-OFFSET($BM$9,CN40-1,0,1,1))*OFFSET($CH$9,CN40-1,0,1,1))+OFFSET($BO$9,CN40-1,CQ40,1,1),IF(F40&lt;OFFSET($BN$9,CN40+0,0,1,1),((F40-OFFSET($BM$9,CN40+0,0,1,1))*OFFSET($CH$9,CN40+0,0,1,1))+OFFSET($BO$9,CN40+0,CQ40,1,1),IF(F40&lt;OFFSET($BN$9,CN40+1,0,1,1),((F40-OFFSET($BM$9,CN40+1,0,1,1))*OFFSET($CH$9,CN40+1,0,1,1))+OFFSET($BO$9,CN40+1,CQ40,1,1),IF(F40&lt;OFFSET($BN$9,CN40+2,0,1,1),((F40-OFFSET($BM$9,CN40+2,0,1,1))*OFFSET($CH$9,CN40+2,0,1,1))+OFFSET($BO$9,CN40+2,CQ40,1,1),IF(F40&lt;OFFSET($BN$9,CN40+3,0,1,1),((F40-OFFSET($BM$9,CN40+3,0,1,1))*OFFSET($CH$9,CN40+3,0,1,1))+OFFSET($BO$9,CN40+3,CQ40,1,1),0))))))</f>
        <v>0</v>
      </c>
      <c r="DH40" s="51">
        <f ca="1">IF($F40&lt;OFFSET($BM$9,$CN40-1,0,1,1),0,IF($F40&lt;OFFSET($BN$9,$CN40-1,0,1,1),IF(AND($H40&gt;2.4,Z40&lt;&gt;"e",Z40&lt;&gt;"f"),DL40*2.4/$H40,DL40),IF($F40&lt;OFFSET($BN$9,$CN40+0,0,1,1),IF(AND($H40&gt;2.4,Z40&lt;&gt;"e",Z40&lt;&gt;"f"),DL40*2.4/$H40,DL40),IF($F40&lt;OFFSET($BN$9,$CN40+1,0,1,1),IF(AND($H40&gt;2.4,Z40&lt;&gt;"e",Z40&lt;&gt;"f"),DL40*2.4/$H40,DL40),IF($F40&lt;OFFSET($BN$9,$CN40+2,0,1,1),IF(AND($H40&gt;2.4,Z40&lt;&gt;"e",Z40&lt;&gt;"f"),DL40*2.4/$H40,DL40),IF($F40&lt;OFFSET($BN$9,$CN40+3,0,1,1),IF(AND($H40&gt;2.4,Z40&lt;&gt;"e",Z40&lt;&gt;"f"),DL40*2.4/$H40,DL40),0)))))*COS(RADIANS($G40)))</f>
        <v>0</v>
      </c>
      <c r="DI40" s="51">
        <f ca="1">IF(F40&lt;OFFSET($BM$9,CN40-1,0,1,1),0,IF(F40&lt;OFFSET($BN$9,CN40-1,0,1,1),((F40-OFFSET($BM$9,CN40-1,0,1,1))*OFFSET($CI$9,CN40-1,0,1,1))+OFFSET($BP$9,CN40-1,CQ40,1,1),IF(F40&lt;OFFSET($BN$9,CN40+0,0,1,1),((F40-OFFSET($BM$9,CN40+0,0,1,1))*OFFSET($CI$9,CN40+0,0,1,1))+OFFSET($BP$9,CN40+0,CQ40,1,1),IF(F40&lt;OFFSET($BN$9,CN40+1,0,1,1),((F40-OFFSET($BM$9,CN40+1,0,1,1))*OFFSET($CI$9,CN40+1,0,1,1))+OFFSET($BP$9,CN40+1,CQ40,1,1),IF(F40&lt;OFFSET($BN$9,CN40+2,0,1,1),((F40-OFFSET($BM$9,CN40+2,0,1,1))*OFFSET($CI$9,CN40+2,0,1,1))+OFFSET($BP$9,CN40+2,CQ40,1,1),IF(F40&lt;OFFSET($BN$9,CN40+3,0,1,1),((F40-OFFSET($BM$9,CN40+3,0,1,1))*OFFSET($CI$9,CN40+3,0,1,1))+OFFSET($BP$9,CN40+3,CQ40,1,1),0))))))</f>
        <v>0</v>
      </c>
      <c r="DJ40" s="51">
        <f ca="1">IF($F40&lt;OFFSET($BM$9,$CN40-1,0,1,1),0,IF($F40&lt;OFFSET($BN$9,$CN40-1,0,1,1),IF(AND($H40&gt;2.4,Z40&lt;&gt;"e",Z40&lt;&gt;"f"),DN40*2.4/$H40,DN40),IF($F40&lt;OFFSET($BN$9,$CN40+0,0,1,1),IF(AND($H40&gt;2.4,Z40&lt;&gt;"e",Z40&lt;&gt;"f"),DN40*2.4/$H40,DN40),IF($F40&lt;OFFSET($BN$9,$CN40+1,0,1,1),IF(AND($H40&gt;2.4,Z40&lt;&gt;"e",Z40&lt;&gt;"f"),DN40*2.4/$H40,DN40),IF($F40&lt;OFFSET($BN$9,$CN40+2,0,1,1),IF(AND($H40&gt;2.4,Z40&lt;&gt;"e",Z40&lt;&gt;"f"),DN40*2.4/$H40,DN40),IF($F40&lt;OFFSET($BN$9,$CN40+3,0,1,1),IF(AND($H40&gt;2.4,Z40&lt;&gt;"e",Z40&lt;&gt;"f"),DN40*2.4/$H40,DN40),0)))))*COS(RADIANS($G40)))</f>
        <v>0</v>
      </c>
      <c r="DK40" s="51"/>
      <c r="DL40" s="51">
        <f ca="1">IF(DG40&gt;$CR40,$CR40,DG40)</f>
        <v>0</v>
      </c>
      <c r="DM40" s="51"/>
      <c r="DN40" s="51">
        <f ca="1">IF(DI40&gt;$CR40,$CR40,DI40)</f>
        <v>0</v>
      </c>
      <c r="DO40" s="435">
        <f ca="1">IF(DH40&gt;$CR40,$CR40,DH40)</f>
        <v>0</v>
      </c>
      <c r="DP40" s="435">
        <f ca="1">DO40*F40</f>
        <v>0</v>
      </c>
      <c r="DQ40" s="436">
        <f ca="1">IF(DJ40&gt;$CR40,$CR40,DJ40)</f>
        <v>0</v>
      </c>
      <c r="DR40" s="437">
        <f ca="1">DQ40*F40</f>
        <v>0</v>
      </c>
      <c r="DS40" s="426">
        <f ca="1">OFFSET($CH$9,CL40-1,-15,1,1)</f>
        <v>0</v>
      </c>
      <c r="DT40" s="426">
        <f ca="1">VLOOKUP(DS40,Prodlink,2,0)</f>
        <v>0</v>
      </c>
      <c r="DU40" s="188">
        <f ca="1">IF(F40&lt;OFFSET($BM$9,DT40-1,0,1,1),0,IF(F40&lt;OFFSET($BN$9,DT40-1,0,1,1),((F40-OFFSET($BM$9,DT40-1,0,1,1))*OFFSET($CH$9,DT40-1,0,1,1))+OFFSET($BO$9,DT40-1,CQ40,1,1),IF(F40&lt;OFFSET($BN$9,DT40+0,0,1,1),((F40-OFFSET($BM$9,DT40+0,0,1,1))*OFFSET($CH$9,DT40+0,0,1,1))+OFFSET($BO$9,DT40+0,CQ40,1,1),IF(F40&lt;OFFSET($BN$9,DT40+1,0,1,1),((F40-OFFSET($BM$9,DT40+1,0,1,1))*OFFSET($CH$9,DT40+1,0,1,1))+OFFSET($BO$9,DT40+1,CQ40,1,1),IF(F40&lt;OFFSET($BN$9,DT40+2,0,1,1),((F40-OFFSET($BM$9,DT40+2,0,1,1))*OFFSET($CH$9,DT40+2,0,1,1))+OFFSET($BO$9,DT40+2,CQ40,1,1),IF(F40&lt;OFFSET($BN$9,DT40+3,0,1,1),((F40-OFFSET($BM$9,DT40+3,0,1,1))*OFFSET($CH$9,DT40+3,0,1,1))+OFFSET($BO$9,DT40+3,CQ40,1,1),0))))))</f>
        <v>0</v>
      </c>
      <c r="DV40" s="51">
        <f ca="1">IF($F40&lt;OFFSET($BM$9,$DT40-1,0,1,1),0,IF($F40&lt;OFFSET($BN$9,$DT40-1,0,1,1),IF(AND($H40&gt;2.4,Z40&lt;&gt;"e",Z40&lt;&gt;"f"),DZ40*2.4/$H40,DZ40),IF($F40&lt;OFFSET($BN$9,$DT40+0,0,1,1),IF(AND($H40&gt;2.4,Z40&lt;&gt;"e",Z40&lt;&gt;"f"),DZ40*2.4/$H40,DZ40),IF($F40&lt;OFFSET($BN$9,$DT40+1,0,1,1),IF(AND($H40&gt;2.4,Z40&lt;&gt;"e",Z40&lt;&gt;"f"),DZ40*2.4/$H40,DZ40),IF($F40&lt;OFFSET($BN$9,$DT40+2,0,1,1),IF(AND($H40&gt;2.4,Z40&lt;&gt;"e",Z40&lt;&gt;"f"),DZ40*2.4/$H40,DZ40),IF($F40&lt;OFFSET($BN$9,$DT40+3,0,1,1),IF(AND($H40&gt;2.4,Z40&lt;&gt;"e",Z40&lt;&gt;"f"),DZ40*2.4/$H40,DZ40),0)))))*COS(RADIANS($G40)))</f>
        <v>0</v>
      </c>
      <c r="DW40" s="188">
        <f ca="1">IF(F40&lt;OFFSET($BM$9,DT40-1,0,1,1),0,IF(F40&lt;OFFSET($BN$9,DT40-1,0,1,1),((F40-OFFSET($BM$9,DT40-1,0,1,1))*OFFSET($CI$9,DT40-1,0,1,1))+OFFSET($BP$9,DT40-1,CQ40,1,1),IF(F40&lt;OFFSET($BN$9,DT40+0,0,1,1),((F40-OFFSET($BM$9,DT40+0,0,1,1))*OFFSET($CI$9,DT40+0,0,1,1))+OFFSET($BP$9,DT40+0,CQ40,1,1),IF(F40&lt;OFFSET($BN$9,DT40+1,0,1,1),((F40-OFFSET($BM$9,DT40+1,0,1,1))*OFFSET($CI$9,DT40+1,0,1,1))+OFFSET($BP$9,DT40+1,CQ40,1,1),IF(F40&lt;OFFSET($BN$9,DT40+2,0,1,1),((F40-OFFSET($BM$9,DT40+2,0,1,1))*OFFSET($CI$9,DT40+2,0,1,1))+OFFSET($BP$9,DT40+2,CQ40,1,1),IF(F40&lt;OFFSET($BN$9,DT40+3,0,1,1),((F40-OFFSET($BM$9,DT40+3,0,1,1))*OFFSET($CI$9,DT40+3,0,1,1))+OFFSET($BP$9,DT40+3,CQ40,1,1),0))))))</f>
        <v>0</v>
      </c>
      <c r="DX40" s="51">
        <f ca="1">IF($F40&lt;OFFSET($BM$9,$DT40-1,0,1,1),0,IF($F40&lt;OFFSET($BN$9,$DT40-1,0,1,1),IF(AND($H40&gt;2.4,Z40&lt;&gt;"e",Z40&lt;&gt;"f"),EB40*2.4/$H40,EB40),IF($F40&lt;OFFSET($BN$9,$DT40+0,0,1,1),IF(AND($H40&gt;2.4,Z40&lt;&gt;"e",Z40&lt;&gt;"f"),EB40*2.4/$H40,EB40),IF($F40&lt;OFFSET($BN$9,$DT40+1,0,1,1),IF(AND($H40&gt;2.4,Z40&lt;&gt;"e",Z40&lt;&gt;"f"),EB40*2.4/$H40,EB40),IF($F40&lt;OFFSET($BN$9,$DT40+2,0,1,1),IF(AND($H40&gt;2.4,Z40&lt;&gt;"e",Z40&lt;&gt;"f"),EB40*2.4/$H40,EB40),IF($F40&lt;OFFSET($BN$9,$DT40+3,0,1,1),IF(AND($H40&gt;2.4,Z40&lt;&gt;"e",Z40&lt;&gt;"f"),EB40*2.4/$H40,EB40),0)))))*COS(RADIANS($G40)))</f>
        <v>0</v>
      </c>
      <c r="DY40" s="188"/>
      <c r="DZ40" s="188">
        <f ca="1">IF(DU40&gt;$CR40,$CR40,DU40)</f>
        <v>0</v>
      </c>
      <c r="EA40" s="188"/>
      <c r="EB40" s="188">
        <f ca="1">IF(DW40&gt;$CR40,$CR40,DW40)</f>
        <v>0</v>
      </c>
      <c r="EC40" s="435">
        <f ca="1">IF(DV40&gt;$CR40,$CR40,DV40)</f>
        <v>0</v>
      </c>
      <c r="ED40" s="435">
        <f ca="1">EC40*F40</f>
        <v>0</v>
      </c>
      <c r="EE40" s="436">
        <f ca="1">IF(DX40&gt;$CR40,$CR40,DX40)</f>
        <v>0</v>
      </c>
      <c r="EF40" s="437">
        <f ca="1">EE40*F40</f>
        <v>0</v>
      </c>
      <c r="EG40" s="613" t="str">
        <f>IF(D40=BG$12,BG$12,"")</f>
        <v/>
      </c>
      <c r="EH40" s="614" t="str">
        <f>IF(D40=BG$13,BG$13,"")</f>
        <v/>
      </c>
      <c r="EI40" s="611">
        <f>IF(EG40=BG$12,M40,0)</f>
        <v>0</v>
      </c>
      <c r="EJ40" s="451">
        <f>IF(EG40=BG$12,O40,0)</f>
        <v>0</v>
      </c>
      <c r="EK40" s="451">
        <f>IF(EH40=BG$13,M40,0)</f>
        <v>0</v>
      </c>
      <c r="EL40" s="612">
        <f>IF(EH40=BG$13,O40,0)</f>
        <v>0</v>
      </c>
      <c r="EM40" s="426" t="str">
        <f ca="1">IF(AND(Z40&lt;&gt;"t",Z40&lt;&gt;"f"),"",IF(AND(EN40=$BH$13,K40=$BH$12),"NotOpt",IF(K40&lt;&gt;EN40,"Error","")))</f>
        <v/>
      </c>
      <c r="EN40" s="490" t="str">
        <f>IF($BG$28=1,$BH$13,$BH$12)</f>
        <v>120 BU's</v>
      </c>
      <c r="EO40" s="426" t="str">
        <f>K40</f>
        <v xml:space="preserve"> </v>
      </c>
      <c r="EP40" s="430">
        <v>1</v>
      </c>
      <c r="EQ40" s="430" t="str">
        <f ca="1">IF(EP40=1," ",OFFSET(BF$16,EP40-2,0,1,1))</f>
        <v xml:space="preserve"> </v>
      </c>
      <c r="ER40" s="439" t="str">
        <f ca="1">IF(H40=0," ",H40)</f>
        <v xml:space="preserve"> </v>
      </c>
      <c r="ES40" s="440" t="str">
        <f ca="1">IF(ER40&lt;&gt;" ",IF(ER40&lt;&gt;ER$7,"Changed",""),"")</f>
        <v/>
      </c>
      <c r="ET40" s="440">
        <f ca="1">IF(ER40&lt;&gt;" ",IF(ER40&lt;&gt;ER$7,1,0),0)</f>
        <v>0</v>
      </c>
      <c r="EU40" s="957" t="str">
        <f ca="1">IF(I40=" "," ",IF(F40&lt;OFFSET($BM$9,CL40-1,0,1,1),1,""))</f>
        <v xml:space="preserve"> </v>
      </c>
      <c r="EW40" s="427"/>
      <c r="EX40"/>
      <c r="EY40"/>
      <c r="EZ40"/>
      <c r="FA40"/>
    </row>
    <row r="41" spans="1:157" ht="17.100000000000001" customHeight="1" thickBot="1">
      <c r="B41" s="689" t="s">
        <v>246</v>
      </c>
      <c r="C41" s="684" t="str">
        <f>IF(OR(F41=0,I41="",I41=" ")," ",$V41)</f>
        <v xml:space="preserve"> </v>
      </c>
      <c r="D41" s="1033"/>
      <c r="E41" s="1360" t="s">
        <v>8</v>
      </c>
      <c r="F41" s="202"/>
      <c r="G41" s="1416"/>
      <c r="H41" s="199" t="str">
        <f ca="1">IF(OR(F41=0,Z41="E",Z41="f")," ",'Project Demand'!E$45)</f>
        <v xml:space="preserve"> </v>
      </c>
      <c r="I41" s="631" t="str">
        <f>IF($I$6&lt;&gt;$BG$8," ",AB41)</f>
        <v xml:space="preserve"> </v>
      </c>
      <c r="J41" s="44" t="str">
        <f ca="1">IF(OR(I41=" ",I41="")," ",OFFSET($BO$9,CL41-1,0-4,1,1))</f>
        <v xml:space="preserve"> </v>
      </c>
      <c r="K41" s="55" t="str">
        <f>IF(OR(I41=" ",I41="")," ",IF(OR(Z41="e",Z41="h"),"SD",BG$24))</f>
        <v xml:space="preserve"> </v>
      </c>
      <c r="L41" s="49">
        <f ca="1">CW41</f>
        <v>0</v>
      </c>
      <c r="M41" s="49">
        <f ca="1">CY41</f>
        <v>0</v>
      </c>
      <c r="N41" s="50">
        <f t="shared" ca="1" si="24"/>
        <v>0</v>
      </c>
      <c r="O41" s="126">
        <f t="shared" ca="1" si="24"/>
        <v>0</v>
      </c>
      <c r="P41" s="140"/>
      <c r="Q41" s="752" t="str">
        <f ca="1">IF(AND(OR(Z41="t",Z41="f"),K41=$BH$11),"No Floor!  Change Floor Type",IF(OR(I41=" ",I41="")," ",IF(F41&lt;OFFSET($BM$9,CL41-1,0,1,1),"check L(m)",DE41&amp;IF(AND(DP41&gt;=CY41,DR41&gt;=DB41),IF(AND(ED41&gt;=DP41,EF41&gt;=DR41),CONCATENATE(DS41," will provide same result"),CONCATENATE(CO41," will provide same result")),IF((DP41&gt;=CY41),CONCATENATE(CO41," provides same result in WIND"),IF((DR41&gt;=DB41),CONCATENATE(CO41," provides same result in EQ"),""))))))&amp;IF(ISERROR(FIND("pile",I41,1)),"",IF(INT(F41)&lt;&gt;F41,"Pile!  Use Whole Numbers Only",""))</f>
        <v xml:space="preserve"> </v>
      </c>
      <c r="R41" s="52"/>
      <c r="S41" s="1372"/>
      <c r="T41" s="1372"/>
      <c r="U41" s="1377"/>
      <c r="V41" s="52" t="str">
        <f ca="1">IF(AND(B$5=$BF$9,OR(I41=BH$16,I41=BH$17))," ",IF(ISNUMBER(B$38),(CONCATENATE(B$38,".",W41)),(CONCATENATE(B$38,W41))))</f>
        <v>R0</v>
      </c>
      <c r="W41" s="9">
        <f ca="1">W40+X41</f>
        <v>0</v>
      </c>
      <c r="X41" s="9">
        <f>IF(AND(B$5=$BF$9,OR($I41=$BH$16,$I41=$BH$17,$I41=" ",$I41="",$F41=0)),0,IF(OR($I41=" ",$I41="",$F41=0),0,1))</f>
        <v>0</v>
      </c>
      <c r="Y41" s="896"/>
      <c r="Z41" s="52" t="str">
        <f ca="1">IF(I41=" "," ",OFFSET($BM$9,$CL41-1,8,1,1))</f>
        <v xml:space="preserve"> </v>
      </c>
      <c r="AA41" s="51" t="str">
        <f>IF(G41&gt;=45,"WA","")</f>
        <v/>
      </c>
      <c r="AB41" s="1364" t="str">
        <f>IF(F41&lt;&gt;"",IF(OR(D41=$BG$12,D41=$BG$13),IF(E41&lt;&gt;$BG$17,$BF$12,$BF$13),IF(E41&lt;&gt;$BG$17,$BF$12,$BF$13))," ")</f>
        <v xml:space="preserve"> </v>
      </c>
      <c r="AC41" s="1"/>
      <c r="AJ41" s="2231"/>
      <c r="AK41" s="2798"/>
      <c r="AL41" s="2829"/>
      <c r="AM41" s="117">
        <f>'Regular and QuickBrace Systems'!F59</f>
        <v>1.2</v>
      </c>
      <c r="AN41" s="1280">
        <f>'Regular and QuickBrace Systems'!G59</f>
        <v>150</v>
      </c>
      <c r="AO41" s="61">
        <f>'Regular and QuickBrace Systems'!H59</f>
        <v>150</v>
      </c>
      <c r="AP41" s="1596"/>
      <c r="AQ41" s="2801"/>
      <c r="AR41" s="2802"/>
      <c r="AS41" s="2830"/>
      <c r="AT41" s="1341"/>
      <c r="AU41" s="2204"/>
      <c r="AW41" s="1590" t="str">
        <f>'Regular and QuickBrace Systems'!O59</f>
        <v>Yes</v>
      </c>
      <c r="AX41" s="443" t="str">
        <f>'Regular and QuickBrace Systems'!Q59</f>
        <v>Yes</v>
      </c>
      <c r="BA41"/>
      <c r="BB41"/>
      <c r="BC41"/>
      <c r="BD41" s="641"/>
      <c r="BF41" s="599" t="str">
        <f>'Custom Elements'!C25</f>
        <v>Custom17</v>
      </c>
      <c r="BI41" s="759"/>
      <c r="BJ41" s="897">
        <f t="shared" ref="BJ41:BJ81" si="25">BJ40+1</f>
        <v>33</v>
      </c>
      <c r="BK41" s="1222" t="str">
        <f>BK50</f>
        <v xml:space="preserve">EPB </v>
      </c>
      <c r="BL41" s="1181" t="str">
        <f>Table!I4</f>
        <v>ER1</v>
      </c>
      <c r="BM41" s="454">
        <f>Table!J4</f>
        <v>0.4</v>
      </c>
      <c r="BN41" s="454">
        <f>BM42</f>
        <v>1</v>
      </c>
      <c r="BO41" s="454">
        <f>Table!K4</f>
        <v>40</v>
      </c>
      <c r="BP41" s="924">
        <f>Table!L4</f>
        <v>30</v>
      </c>
      <c r="BQ41" s="920"/>
      <c r="BR41" s="768" t="str">
        <f>Table!M4</f>
        <v xml:space="preserve"> </v>
      </c>
      <c r="BS41" s="454" t="str">
        <f>Table!M5</f>
        <v xml:space="preserve"> </v>
      </c>
      <c r="BT41" s="454" t="str">
        <f>Table!N4</f>
        <v>B</v>
      </c>
      <c r="BU41" s="924" t="s">
        <v>242</v>
      </c>
      <c r="BV41" s="1230" t="str">
        <f>Table!AI72</f>
        <v>ER1</v>
      </c>
      <c r="BW41" s="1229">
        <f>BJ41</f>
        <v>33</v>
      </c>
      <c r="BX41" s="924" t="str">
        <f>Table!N5</f>
        <v>Single</v>
      </c>
      <c r="CH41" s="768">
        <f>IF(BN41=999,0,(BO42-BO41)/(BN41-BM41))</f>
        <v>0</v>
      </c>
      <c r="CI41" s="924">
        <f>IF(BN41=999,0,(BP42-BP41)/(BN41-BM41))</f>
        <v>0</v>
      </c>
      <c r="CJ41" s="759"/>
      <c r="CK41" s="188"/>
      <c r="CL41" s="979">
        <f>VLOOKUP(I41,Prodlink,2,0)</f>
        <v>0</v>
      </c>
      <c r="CN41" s="497">
        <f ca="1">VLOOKUP(CO41,Prodlink,2,0)</f>
        <v>0</v>
      </c>
      <c r="CO41" s="497">
        <f ca="1">OFFSET($CH$9,CL41-1,-15,1,1)</f>
        <v>0</v>
      </c>
      <c r="CQ41" s="51">
        <v>0</v>
      </c>
      <c r="CR41" s="51">
        <f>IF(K41=$BH$12,$BH$23,IF(K41=$BH$13,$BH$24,10000))</f>
        <v>10000</v>
      </c>
      <c r="CS41" s="51">
        <f ca="1">IF(F41&lt;OFFSET($BM$9,CL41-1,0,1,1),0,IF(F41&lt;OFFSET($BN$9,CL41-1,0,1,1),((F41-OFFSET($BM$9,CL41-1,0,1,1))*OFFSET($CH$9,CL41-1,0,1,1))+OFFSET($BO$9,CL41-1,CQ41,1,1),IF(F41&lt;OFFSET($BN$9,CL41+0,0,1,1),((F41-OFFSET($BM$9,CL41+0,0,1,1))*OFFSET($CH$9,CL41+0,0,1,1))+OFFSET($BO$9,CL41+0,CQ41,1,1),IF(F41&lt;OFFSET($BN$9,CL41+1,0,1,1),((F41-OFFSET($BM$9,CL41+1,0,1,1))*OFFSET($CH$9,CL41+1,0,1,1))+OFFSET($BO$9,CL41+1,CQ41,1,1),IF(F41&lt;OFFSET($BN$9,CL41+2,0,1,1),((F41-OFFSET($BM$9,CL41+2,0,1,1))*OFFSET($CH$9,CL41+2,0,1,1))+OFFSET($BO$9,CL41+2,CQ41,1,1),IF(F41&lt;OFFSET($BN$9,CL41+3,0,1,1),((F41-OFFSET($BM$9,CL41+3,0,1,1))*OFFSET($CH$9,CL41+3,0,1,1))+OFFSET($BO$9,CL41+3,CQ41,1,1),0))))))</f>
        <v>0</v>
      </c>
      <c r="CT41" s="51">
        <f ca="1">IF($F41&lt;OFFSET($BM$9,$CL41-1,0,1,1),0,IF($F41&lt;OFFSET($BN$9,$CL41-1,0,1,1),IF(AND($H41&gt;2.4,Z41&lt;&gt;"e",Z41&lt;&gt;"f"),CX41*2.4/$H41,CX41),IF($F41&lt;OFFSET($BN$9,$CL41+0,0,1,1),IF(AND($H41&gt;2.4,Z41&lt;&gt;"e",Z41&lt;&gt;"f"),CX41*2.4/$H41,CX41),IF($F41&lt;OFFSET($BN$9,$CL41+1,0,1,1),IF(AND($H41&gt;2.4,Z41&lt;&gt;"e",Z41&lt;&gt;"f"),CX41*2.4/$H41,CX41),IF($F41&lt;OFFSET($BN$9,CL41+2,0,1,1),IF(AND($H41&gt;2.4,Z41&lt;&gt;"e",Z41&lt;&gt;"f"),CX41*2.4/$H41,CX41),IF($F41&lt;OFFSET($BN$9,CL41+3,0,1,1),IF(AND($H41&gt;2.4,Z41&lt;&gt;"e",Z41&lt;&gt;"f"),CX41*2.4/$H41,CX41),0)))))*COS(RADIANS($G41)))</f>
        <v>0</v>
      </c>
      <c r="CU41" s="51">
        <f ca="1">IF(F41&lt;OFFSET($BM$9,CL41-1,0,1,1),0,IF(F41&lt;OFFSET($BN$9,CL41-1,0,1,1),((F41-OFFSET($BM$9,CL41-1,0,1,1))*OFFSET($CI$9,CL41-1,0,1,1))+OFFSET($BP$9,CL41-1,CQ41,1,1),IF(F41&lt;OFFSET($BN$9,CL41+0,0,1,1),((F41-OFFSET($BM$9,CL41+0,0,1,1))*OFFSET($CI$9,CL41+0,0,1,1))+OFFSET($BP$9,CL41+0,CQ41,1,1),IF(F41&lt;OFFSET($BN$9,CL41+1,0,1,1),((F41-OFFSET($BM$9,CL41+1,0,1,1))*OFFSET($CI$9,CL41+1,0,1,1))+OFFSET($BP$9,CL41+1,CQ41,1,1),IF(F41&lt;OFFSET($BN$9,CL41+2,0,1,1),((F41-OFFSET($BM$9,CL41+2,0,1,1))*OFFSET($CI$9,CL41+2,0,1,1))+OFFSET($BP$9,CL41+2,CQ41,1,1),IF(F41&lt;OFFSET($BN$9,CL41+3,0,1,1),((F41-OFFSET($BM$9,CL41+3,0,1,1))*OFFSET($CI$9,CL41+3,0,1,1))+OFFSET($BP$9,CL41+3,CQ41,1,1),0))))))</f>
        <v>0</v>
      </c>
      <c r="CV41" s="51">
        <f ca="1">IF($F41&lt;OFFSET($BM$9,$CL41-1,0,1,1),0,IF($F41&lt;OFFSET($BN$9,$CL41-1,0,1,1),IF(AND($H41&gt;2.4,Z41&lt;&gt;"e",Z41&lt;&gt;"f"),CZ41*2.4/$H41,CZ41),IF($F41&lt;OFFSET($BN$9,$CL41+0,0,1,1),IF(AND($H41&gt;2.4,Z41&lt;&gt;"e",Z41&lt;&gt;"f"),CZ41*2.4/$H41,CZ41),IF($F41&lt;OFFSET($BN$9,$CL41+1,0,1,1),IF(AND($H41&gt;2.4,Z41&lt;&gt;"e",Z41&lt;&gt;"f"),CZ41*2.4/$H41,CZ41),IF($F41&lt;OFFSET($BN$9,$CL41+2,0,1,1),IF(AND($H41&gt;2.4,Z41&lt;&gt;"e",Z41&lt;&gt;"f"),CZ41*2.4/$H41,CZ41),IF($F41&lt;OFFSET($BN$9,$CL41+3,0,1,1),IF(AND($H41&gt;2.4,Z41&lt;&gt;"e",Z41&lt;&gt;"f"),CZ41*2.4/$H41,CZ41),0)))))*COS(RADIANS($G41)))</f>
        <v>0</v>
      </c>
      <c r="CW41" s="51">
        <f ca="1">IF(CT41&gt;CR41,CR41,CT41)</f>
        <v>0</v>
      </c>
      <c r="CX41" s="51">
        <f ca="1">IF(CS41&gt;$CR41,$CR41,CS41)</f>
        <v>0</v>
      </c>
      <c r="CY41" s="51">
        <f ca="1">CW41*F41</f>
        <v>0</v>
      </c>
      <c r="CZ41" s="51">
        <f ca="1">IF($CU41&gt;$CR41,$CR41,$CU41)</f>
        <v>0</v>
      </c>
      <c r="DA41" s="51">
        <f ca="1">IF(CV41&gt;CR41,CR41,CV41)</f>
        <v>0</v>
      </c>
      <c r="DB41" s="51">
        <f ca="1">DA41*F41</f>
        <v>0</v>
      </c>
      <c r="DC41" s="993">
        <v>1</v>
      </c>
      <c r="DD41" s="758" t="str">
        <f>IF(OR(D41=BG$12,D41=BG$13),"External",IF(D41=BG$14,"Internal"," "))</f>
        <v xml:space="preserve"> </v>
      </c>
      <c r="DE41" s="51" t="str">
        <f t="shared" ca="1" si="1"/>
        <v/>
      </c>
      <c r="DF41" s="52" t="str">
        <f t="shared" ca="1" si="2"/>
        <v xml:space="preserve"> </v>
      </c>
      <c r="DG41" s="51">
        <f ca="1">IF(F41&lt;OFFSET($BM$9,CN41-1,0,1,1),0,IF(F41&lt;OFFSET($BN$9,CN41-1,0,1,1),((F41-OFFSET($BM$9,CN41-1,0,1,1))*OFFSET($CH$9,CN41-1,0,1,1))+OFFSET($BO$9,CN41-1,CQ41,1,1),IF(F41&lt;OFFSET($BN$9,CN41+0,0,1,1),((F41-OFFSET($BM$9,CN41+0,0,1,1))*OFFSET($CH$9,CN41+0,0,1,1))+OFFSET($BO$9,CN41+0,CQ41,1,1),IF(F41&lt;OFFSET($BN$9,CN41+1,0,1,1),((F41-OFFSET($BM$9,CN41+1,0,1,1))*OFFSET($CH$9,CN41+1,0,1,1))+OFFSET($BO$9,CN41+1,CQ41,1,1),IF(F41&lt;OFFSET($BN$9,CN41+2,0,1,1),((F41-OFFSET($BM$9,CN41+2,0,1,1))*OFFSET($CH$9,CN41+2,0,1,1))+OFFSET($BO$9,CN41+2,CQ41,1,1),IF(F41&lt;OFFSET($BN$9,CN41+3,0,1,1),((F41-OFFSET($BM$9,CN41+3,0,1,1))*OFFSET($CH$9,CN41+3,0,1,1))+OFFSET($BO$9,CN41+3,CQ41,1,1),0))))))</f>
        <v>0</v>
      </c>
      <c r="DH41" s="51">
        <f ca="1">IF($F41&lt;OFFSET($BM$9,$CN41-1,0,1,1),0,IF($F41&lt;OFFSET($BN$9,$CN41-1,0,1,1),IF(AND($H41&gt;2.4,Z41&lt;&gt;"e",Z41&lt;&gt;"f"),DL41*2.4/$H41,DL41),IF($F41&lt;OFFSET($BN$9,$CN41+0,0,1,1),IF(AND($H41&gt;2.4,Z41&lt;&gt;"e",Z41&lt;&gt;"f"),DL41*2.4/$H41,DL41),IF($F41&lt;OFFSET($BN$9,$CN41+1,0,1,1),IF(AND($H41&gt;2.4,Z41&lt;&gt;"e",Z41&lt;&gt;"f"),DL41*2.4/$H41,DL41),IF($F41&lt;OFFSET($BN$9,$CN41+2,0,1,1),IF(AND($H41&gt;2.4,Z41&lt;&gt;"e",Z41&lt;&gt;"f"),DL41*2.4/$H41,DL41),IF($F41&lt;OFFSET($BN$9,$CN41+3,0,1,1),IF(AND($H41&gt;2.4,Z41&lt;&gt;"e",Z41&lt;&gt;"f"),DL41*2.4/$H41,DL41),0)))))*COS(RADIANS($G41)))</f>
        <v>0</v>
      </c>
      <c r="DI41" s="51">
        <f ca="1">IF(F41&lt;OFFSET($BM$9,CN41-1,0,1,1),0,IF(F41&lt;OFFSET($BN$9,CN41-1,0,1,1),((F41-OFFSET($BM$9,CN41-1,0,1,1))*OFFSET($CI$9,CN41-1,0,1,1))+OFFSET($BP$9,CN41-1,CQ41,1,1),IF(F41&lt;OFFSET($BN$9,CN41+0,0,1,1),((F41-OFFSET($BM$9,CN41+0,0,1,1))*OFFSET($CI$9,CN41+0,0,1,1))+OFFSET($BP$9,CN41+0,CQ41,1,1),IF(F41&lt;OFFSET($BN$9,CN41+1,0,1,1),((F41-OFFSET($BM$9,CN41+1,0,1,1))*OFFSET($CI$9,CN41+1,0,1,1))+OFFSET($BP$9,CN41+1,CQ41,1,1),IF(F41&lt;OFFSET($BN$9,CN41+2,0,1,1),((F41-OFFSET($BM$9,CN41+2,0,1,1))*OFFSET($CI$9,CN41+2,0,1,1))+OFFSET($BP$9,CN41+2,CQ41,1,1),IF(F41&lt;OFFSET($BN$9,CN41+3,0,1,1),((F41-OFFSET($BM$9,CN41+3,0,1,1))*OFFSET($CI$9,CN41+3,0,1,1))+OFFSET($BP$9,CN41+3,CQ41,1,1),0))))))</f>
        <v>0</v>
      </c>
      <c r="DJ41" s="51">
        <f ca="1">IF($F41&lt;OFFSET($BM$9,$CN41-1,0,1,1),0,IF($F41&lt;OFFSET($BN$9,$CN41-1,0,1,1),IF(AND($H41&gt;2.4,Z41&lt;&gt;"e",Z41&lt;&gt;"f"),DN41*2.4/$H41,DN41),IF($F41&lt;OFFSET($BN$9,$CN41+0,0,1,1),IF(AND($H41&gt;2.4,Z41&lt;&gt;"e",Z41&lt;&gt;"f"),DN41*2.4/$H41,DN41),IF($F41&lt;OFFSET($BN$9,$CN41+1,0,1,1),IF(AND($H41&gt;2.4,Z41&lt;&gt;"e",Z41&lt;&gt;"f"),DN41*2.4/$H41,DN41),IF($F41&lt;OFFSET($BN$9,$CN41+2,0,1,1),IF(AND($H41&gt;2.4,Z41&lt;&gt;"e",Z41&lt;&gt;"f"),DN41*2.4/$H41,DN41),IF($F41&lt;OFFSET($BN$9,$CN41+3,0,1,1),IF(AND($H41&gt;2.4,Z41&lt;&gt;"e",Z41&lt;&gt;"f"),DN41*2.4/$H41,DN41),0)))))*COS(RADIANS($G41)))</f>
        <v>0</v>
      </c>
      <c r="DK41" s="51"/>
      <c r="DL41" s="51">
        <f ca="1">IF(DG41&gt;$CR41,$CR41,DG41)</f>
        <v>0</v>
      </c>
      <c r="DM41" s="51"/>
      <c r="DN41" s="51">
        <f ca="1">IF(DI41&gt;$CR41,$CR41,DI41)</f>
        <v>0</v>
      </c>
      <c r="DO41" s="435">
        <f ca="1">IF(DH41&gt;$CR41,$CR41,DH41)</f>
        <v>0</v>
      </c>
      <c r="DP41" s="435">
        <f ca="1">DO41*F41</f>
        <v>0</v>
      </c>
      <c r="DQ41" s="436">
        <f ca="1">IF(DJ41&gt;$CR41,$CR41,DJ41)</f>
        <v>0</v>
      </c>
      <c r="DR41" s="437">
        <f ca="1">DQ41*F41</f>
        <v>0</v>
      </c>
      <c r="DS41" s="426">
        <f ca="1">OFFSET($CH$9,CL41-1,-15,1,1)</f>
        <v>0</v>
      </c>
      <c r="DT41" s="426">
        <f ca="1">VLOOKUP(DS41,Prodlink,2,0)</f>
        <v>0</v>
      </c>
      <c r="DU41" s="188">
        <f ca="1">IF(F41&lt;OFFSET($BM$9,DT41-1,0,1,1),0,IF(F41&lt;OFFSET($BN$9,DT41-1,0,1,1),((F41-OFFSET($BM$9,DT41-1,0,1,1))*OFFSET($CH$9,DT41-1,0,1,1))+OFFSET($BO$9,DT41-1,CQ41,1,1),IF(F41&lt;OFFSET($BN$9,DT41+0,0,1,1),((F41-OFFSET($BM$9,DT41+0,0,1,1))*OFFSET($CH$9,DT41+0,0,1,1))+OFFSET($BO$9,DT41+0,CQ41,1,1),IF(F41&lt;OFFSET($BN$9,DT41+1,0,1,1),((F41-OFFSET($BM$9,DT41+1,0,1,1))*OFFSET($CH$9,DT41+1,0,1,1))+OFFSET($BO$9,DT41+1,CQ41,1,1),IF(F41&lt;OFFSET($BN$9,DT41+2,0,1,1),((F41-OFFSET($BM$9,DT41+2,0,1,1))*OFFSET($CH$9,DT41+2,0,1,1))+OFFSET($BO$9,DT41+2,CQ41,1,1),IF(F41&lt;OFFSET($BN$9,DT41+3,0,1,1),((F41-OFFSET($BM$9,DT41+3,0,1,1))*OFFSET($CH$9,DT41+3,0,1,1))+OFFSET($BO$9,DT41+3,CQ41,1,1),0))))))</f>
        <v>0</v>
      </c>
      <c r="DV41" s="51">
        <f ca="1">IF($F41&lt;OFFSET($BM$9,$DT41-1,0,1,1),0,IF($F41&lt;OFFSET($BN$9,$DT41-1,0,1,1),IF(AND($H41&gt;2.4,Z41&lt;&gt;"e",Z41&lt;&gt;"f"),DZ41*2.4/$H41,DZ41),IF($F41&lt;OFFSET($BN$9,$DT41+0,0,1,1),IF(AND($H41&gt;2.4,Z41&lt;&gt;"e",Z41&lt;&gt;"f"),DZ41*2.4/$H41,DZ41),IF($F41&lt;OFFSET($BN$9,$DT41+1,0,1,1),IF(AND($H41&gt;2.4,Z41&lt;&gt;"e",Z41&lt;&gt;"f"),DZ41*2.4/$H41,DZ41),IF($F41&lt;OFFSET($BN$9,$DT41+2,0,1,1),IF(AND($H41&gt;2.4,Z41&lt;&gt;"e",Z41&lt;&gt;"f"),DZ41*2.4/$H41,DZ41),IF($F41&lt;OFFSET($BN$9,$DT41+3,0,1,1),IF(AND($H41&gt;2.4,Z41&lt;&gt;"e",Z41&lt;&gt;"f"),DZ41*2.4/$H41,DZ41),0)))))*COS(RADIANS($G41)))</f>
        <v>0</v>
      </c>
      <c r="DW41" s="188">
        <f ca="1">IF(F41&lt;OFFSET($BM$9,DT41-1,0,1,1),0,IF(F41&lt;OFFSET($BN$9,DT41-1,0,1,1),((F41-OFFSET($BM$9,DT41-1,0,1,1))*OFFSET($CI$9,DT41-1,0,1,1))+OFFSET($BP$9,DT41-1,CQ41,1,1),IF(F41&lt;OFFSET($BN$9,DT41+0,0,1,1),((F41-OFFSET($BM$9,DT41+0,0,1,1))*OFFSET($CI$9,DT41+0,0,1,1))+OFFSET($BP$9,DT41+0,CQ41,1,1),IF(F41&lt;OFFSET($BN$9,DT41+1,0,1,1),((F41-OFFSET($BM$9,DT41+1,0,1,1))*OFFSET($CI$9,DT41+1,0,1,1))+OFFSET($BP$9,DT41+1,CQ41,1,1),IF(F41&lt;OFFSET($BN$9,DT41+2,0,1,1),((F41-OFFSET($BM$9,DT41+2,0,1,1))*OFFSET($CI$9,DT41+2,0,1,1))+OFFSET($BP$9,DT41+2,CQ41,1,1),IF(F41&lt;OFFSET($BN$9,DT41+3,0,1,1),((F41-OFFSET($BM$9,DT41+3,0,1,1))*OFFSET($CI$9,DT41+3,0,1,1))+OFFSET($BP$9,DT41+3,CQ41,1,1),0))))))</f>
        <v>0</v>
      </c>
      <c r="DX41" s="51">
        <f ca="1">IF($F41&lt;OFFSET($BM$9,$DT41-1,0,1,1),0,IF($F41&lt;OFFSET($BN$9,$DT41-1,0,1,1),IF(AND($H41&gt;2.4,Z41&lt;&gt;"e",Z41&lt;&gt;"f"),EB41*2.4/$H41,EB41),IF($F41&lt;OFFSET($BN$9,$DT41+0,0,1,1),IF(AND($H41&gt;2.4,Z41&lt;&gt;"e",Z41&lt;&gt;"f"),EB41*2.4/$H41,EB41),IF($F41&lt;OFFSET($BN$9,$DT41+1,0,1,1),IF(AND($H41&gt;2.4,Z41&lt;&gt;"e",Z41&lt;&gt;"f"),EB41*2.4/$H41,EB41),IF($F41&lt;OFFSET($BN$9,$DT41+2,0,1,1),IF(AND($H41&gt;2.4,Z41&lt;&gt;"e",Z41&lt;&gt;"f"),EB41*2.4/$H41,EB41),IF($F41&lt;OFFSET($BN$9,$DT41+3,0,1,1),IF(AND($H41&gt;2.4,Z41&lt;&gt;"e",Z41&lt;&gt;"f"),EB41*2.4/$H41,EB41),0)))))*COS(RADIANS($G41)))</f>
        <v>0</v>
      </c>
      <c r="DY41" s="188"/>
      <c r="DZ41" s="188">
        <f ca="1">IF(DU41&gt;$CR41,$CR41,DU41)</f>
        <v>0</v>
      </c>
      <c r="EA41" s="188"/>
      <c r="EB41" s="188">
        <f ca="1">IF(DW41&gt;$CR41,$CR41,DW41)</f>
        <v>0</v>
      </c>
      <c r="EC41" s="435">
        <f ca="1">IF(DV41&gt;$CR41,$CR41,DV41)</f>
        <v>0</v>
      </c>
      <c r="ED41" s="435">
        <f ca="1">EC41*F41</f>
        <v>0</v>
      </c>
      <c r="EE41" s="436">
        <f ca="1">IF(DX41&gt;$CR41,$CR41,DX41)</f>
        <v>0</v>
      </c>
      <c r="EF41" s="437">
        <f ca="1">EE41*F41</f>
        <v>0</v>
      </c>
      <c r="EG41" s="613" t="str">
        <f>IF(D41=BG$12,BG$12,"")</f>
        <v/>
      </c>
      <c r="EH41" s="614" t="str">
        <f>IF(D41=BG$13,BG$13,"")</f>
        <v/>
      </c>
      <c r="EI41" s="611">
        <f>IF(EG41=BG$12,M41,0)</f>
        <v>0</v>
      </c>
      <c r="EJ41" s="451">
        <f>IF(EG41=BG$12,O41,0)</f>
        <v>0</v>
      </c>
      <c r="EK41" s="451">
        <f>IF(EH41=BG$13,M41,0)</f>
        <v>0</v>
      </c>
      <c r="EL41" s="612">
        <f>IF(EH41=BG$13,O41,0)</f>
        <v>0</v>
      </c>
      <c r="EM41" s="426" t="str">
        <f ca="1">IF(AND(Z41&lt;&gt;"t",Z41&lt;&gt;"f"),"",IF(AND(EN41=$BH$13,K41=$BH$12),"NotOpt",IF(K41&lt;&gt;EN41,"Error","")))</f>
        <v/>
      </c>
      <c r="EN41" s="490" t="str">
        <f>IF($BG$28=1,$BH$13,$BH$12)</f>
        <v>120 BU's</v>
      </c>
      <c r="EO41" s="426" t="str">
        <f>K41</f>
        <v xml:space="preserve"> </v>
      </c>
      <c r="EP41" s="430">
        <v>1</v>
      </c>
      <c r="EQ41" s="430" t="str">
        <f ca="1">IF(EP41=1," ",OFFSET(BF$16,EP41-2,0,1,1))</f>
        <v xml:space="preserve"> </v>
      </c>
      <c r="ER41" s="439" t="str">
        <f ca="1">IF(H41=0," ",H41)</f>
        <v xml:space="preserve"> </v>
      </c>
      <c r="ES41" s="440" t="str">
        <f ca="1">IF(ER41&lt;&gt;" ",IF(ER41&lt;&gt;ER$7,"Changed",""),"")</f>
        <v/>
      </c>
      <c r="ET41" s="440">
        <f ca="1">IF(ER41&lt;&gt;" ",IF(ER41&lt;&gt;ER$7,1,0),0)</f>
        <v>0</v>
      </c>
      <c r="EU41" s="957" t="str">
        <f ca="1">IF(I41=" "," ",IF(F41&lt;OFFSET($BM$9,CL41-1,0,1,1),1,""))</f>
        <v xml:space="preserve"> </v>
      </c>
      <c r="EW41" s="427"/>
      <c r="EX41"/>
      <c r="EY41"/>
      <c r="EZ41"/>
      <c r="FA41"/>
    </row>
    <row r="42" spans="1:157" ht="17.100000000000001" customHeight="1" thickBot="1">
      <c r="A42" s="2685" t="s">
        <v>929</v>
      </c>
      <c r="B42" s="689" t="s">
        <v>246</v>
      </c>
      <c r="C42" s="684" t="str">
        <f>IF(OR(F42=0,I42="",I42=" ")," ",$V42)</f>
        <v xml:space="preserve"> </v>
      </c>
      <c r="D42" s="1033"/>
      <c r="E42" s="1360" t="s">
        <v>8</v>
      </c>
      <c r="F42" s="202"/>
      <c r="G42" s="1416"/>
      <c r="H42" s="199" t="str">
        <f ca="1">IF(OR(F42=0,Z42="E",Z42="f")," ",'Project Demand'!E$45)</f>
        <v xml:space="preserve"> </v>
      </c>
      <c r="I42" s="631" t="str">
        <f>IF($I$6&lt;&gt;$BG$8," ",AB42)</f>
        <v xml:space="preserve"> </v>
      </c>
      <c r="J42" s="44" t="str">
        <f ca="1">IF(OR(I42=" ",I42="")," ",OFFSET($BO$9,CL42-1,0-4,1,1))</f>
        <v xml:space="preserve"> </v>
      </c>
      <c r="K42" s="55" t="str">
        <f>IF(OR(I42=" ",I42="")," ",IF(OR(Z42="e",Z42="h"),"SD",BG$24))</f>
        <v xml:space="preserve"> </v>
      </c>
      <c r="L42" s="49">
        <f ca="1">CW42</f>
        <v>0</v>
      </c>
      <c r="M42" s="49">
        <f ca="1">CY42</f>
        <v>0</v>
      </c>
      <c r="N42" s="50">
        <f t="shared" ca="1" si="24"/>
        <v>0</v>
      </c>
      <c r="O42" s="126">
        <f t="shared" ca="1" si="24"/>
        <v>0</v>
      </c>
      <c r="P42" s="140"/>
      <c r="Q42" s="752" t="str">
        <f ca="1">IF(AND(OR(Z42="t",Z42="f"),K42=$BH$11),"No Floor!  Change Floor Type",IF(OR(I42=" ",I42="")," ",IF(F42&lt;OFFSET($BM$9,CL42-1,0,1,1),"check L(m)",DE42&amp;IF(AND(DP42&gt;=CY42,DR42&gt;=DB42),IF(AND(ED42&gt;=DP42,EF42&gt;=DR42),CONCATENATE(DS42," will provide same result"),CONCATENATE(CO42," will provide same result")),IF((DP42&gt;=CY42),CONCATENATE(CO42," provides same result in WIND"),IF((DR42&gt;=DB42),CONCATENATE(CO42," provides same result in EQ"),""))))))&amp;IF(ISERROR(FIND("pile",I42,1)),"",IF(INT(F42)&lt;&gt;F42,"Pile!  Use Whole Numbers Only",""))</f>
        <v xml:space="preserve"> </v>
      </c>
      <c r="U42" s="1377"/>
      <c r="V42" s="52" t="str">
        <f ca="1">IF(AND(B$5=$BF$9,OR(I42=BH$16,I42=BH$17))," ",IF(ISNUMBER(B$38),(CONCATENATE(B$38,".",W42)),(CONCATENATE(B$38,W42))))</f>
        <v>R0</v>
      </c>
      <c r="W42" s="9">
        <f ca="1">W41+X42</f>
        <v>0</v>
      </c>
      <c r="X42" s="9">
        <f>IF(AND(B$5=$BF$9,OR($I42=$BH$16,$I42=$BH$17,$I42=" ",$I42="",$F42=0)),0,IF(OR($I42=" ",$I42="",$F42=0),0,1))</f>
        <v>0</v>
      </c>
      <c r="Y42" s="896"/>
      <c r="Z42" s="52" t="str">
        <f ca="1">IF(I42=" "," ",OFFSET($BM$9,$CL42-1,8,1,1))</f>
        <v xml:space="preserve"> </v>
      </c>
      <c r="AA42" s="51" t="str">
        <f>IF(G42&gt;=45,"WA","")</f>
        <v/>
      </c>
      <c r="AB42" s="1364" t="str">
        <f>IF(F42&lt;&gt;"",IF(OR(D42=$BG$12,D42=$BG$13),IF(E42&lt;&gt;$BG$17,$BF$12,$BF$13),IF(E42&lt;&gt;$BG$17,$BF$12,$BF$13))," ")</f>
        <v xml:space="preserve"> </v>
      </c>
      <c r="AC42" s="1"/>
      <c r="AJ42" s="955" t="str">
        <f>'Regular and QuickBrace Systems'!C61</f>
        <v>NB: The Elephant Regular Fixing Code &amp; the Elephant QuickBrace© Numbering System (and the sub-components thereof), are protected by copyright.</v>
      </c>
      <c r="AK42" s="955"/>
      <c r="AL42" s="955"/>
      <c r="AM42" s="955"/>
      <c r="AN42" s="955"/>
      <c r="AO42" s="955"/>
      <c r="AP42" s="955"/>
      <c r="AQ42" s="955"/>
      <c r="AR42" s="955"/>
      <c r="AS42" s="955"/>
      <c r="AT42" s="426"/>
      <c r="AU42" s="955"/>
      <c r="AW42" s="426"/>
      <c r="BA42"/>
      <c r="BB42"/>
      <c r="BC42"/>
      <c r="BD42" s="641"/>
      <c r="BF42" s="599" t="str">
        <f>'Custom Elements'!C26</f>
        <v>Custom18</v>
      </c>
      <c r="BG42" s="989" t="s">
        <v>934</v>
      </c>
      <c r="BH42" s="995" t="s">
        <v>901</v>
      </c>
      <c r="BI42" s="759"/>
      <c r="BJ42" s="897">
        <f t="shared" si="25"/>
        <v>34</v>
      </c>
      <c r="BK42" s="1223"/>
      <c r="BL42" s="767"/>
      <c r="BM42" s="776">
        <f>Table!J7</f>
        <v>1</v>
      </c>
      <c r="BN42" s="776">
        <v>999</v>
      </c>
      <c r="BO42" s="776">
        <f>Table!K7</f>
        <v>40</v>
      </c>
      <c r="BP42" s="926">
        <f>Table!L7</f>
        <v>30</v>
      </c>
      <c r="BQ42" s="1183"/>
      <c r="BR42" s="908"/>
      <c r="BS42" s="776"/>
      <c r="BT42" s="776"/>
      <c r="BU42" s="926" t="s">
        <v>242</v>
      </c>
      <c r="BV42" s="1183"/>
      <c r="BW42" s="602"/>
      <c r="BX42" s="926" t="str">
        <f>Table!N5</f>
        <v>Single</v>
      </c>
      <c r="CH42" s="908">
        <f>IF(BN42=999,0,(BO43-BO42)/(BN42-BM42))</f>
        <v>0</v>
      </c>
      <c r="CI42" s="926">
        <f>IF(BN42=999,0,(BP43-BP42)/(BN42-BM42))</f>
        <v>0</v>
      </c>
      <c r="CJ42" s="759"/>
      <c r="CK42" s="188"/>
      <c r="CL42" s="979">
        <f>VLOOKUP(I42,Prodlink,2,0)</f>
        <v>0</v>
      </c>
      <c r="CN42" s="497">
        <f ca="1">VLOOKUP(CO42,Prodlink,2,0)</f>
        <v>0</v>
      </c>
      <c r="CO42" s="497">
        <f ca="1">OFFSET($CH$9,CL42-1,-15,1,1)</f>
        <v>0</v>
      </c>
      <c r="CQ42" s="51">
        <v>0</v>
      </c>
      <c r="CR42" s="51">
        <f>IF(K42=$BH$12,$BH$23,IF(K42=$BH$13,$BH$24,10000))</f>
        <v>10000</v>
      </c>
      <c r="CS42" s="51">
        <f ca="1">IF(F42&lt;OFFSET($BM$9,CL42-1,0,1,1),0,IF(F42&lt;OFFSET($BN$9,CL42-1,0,1,1),((F42-OFFSET($BM$9,CL42-1,0,1,1))*OFFSET($CH$9,CL42-1,0,1,1))+OFFSET($BO$9,CL42-1,CQ42,1,1),IF(F42&lt;OFFSET($BN$9,CL42+0,0,1,1),((F42-OFFSET($BM$9,CL42+0,0,1,1))*OFFSET($CH$9,CL42+0,0,1,1))+OFFSET($BO$9,CL42+0,CQ42,1,1),IF(F42&lt;OFFSET($BN$9,CL42+1,0,1,1),((F42-OFFSET($BM$9,CL42+1,0,1,1))*OFFSET($CH$9,CL42+1,0,1,1))+OFFSET($BO$9,CL42+1,CQ42,1,1),IF(F42&lt;OFFSET($BN$9,CL42+2,0,1,1),((F42-OFFSET($BM$9,CL42+2,0,1,1))*OFFSET($CH$9,CL42+2,0,1,1))+OFFSET($BO$9,CL42+2,CQ42,1,1),IF(F42&lt;OFFSET($BN$9,CL42+3,0,1,1),((F42-OFFSET($BM$9,CL42+3,0,1,1))*OFFSET($CH$9,CL42+3,0,1,1))+OFFSET($BO$9,CL42+3,CQ42,1,1),0))))))</f>
        <v>0</v>
      </c>
      <c r="CT42" s="51">
        <f ca="1">IF($F42&lt;OFFSET($BM$9,$CL42-1,0,1,1),0,IF($F42&lt;OFFSET($BN$9,$CL42-1,0,1,1),IF(AND($H42&gt;2.4,Z42&lt;&gt;"e",Z42&lt;&gt;"f"),CX42*2.4/$H42,CX42),IF($F42&lt;OFFSET($BN$9,$CL42+0,0,1,1),IF(AND($H42&gt;2.4,Z42&lt;&gt;"e",Z42&lt;&gt;"f"),CX42*2.4/$H42,CX42),IF($F42&lt;OFFSET($BN$9,$CL42+1,0,1,1),IF(AND($H42&gt;2.4,Z42&lt;&gt;"e",Z42&lt;&gt;"f"),CX42*2.4/$H42,CX42),IF($F42&lt;OFFSET($BN$9,CL42+2,0,1,1),IF(AND($H42&gt;2.4,Z42&lt;&gt;"e",Z42&lt;&gt;"f"),CX42*2.4/$H42,CX42),IF($F42&lt;OFFSET($BN$9,CL42+3,0,1,1),IF(AND($H42&gt;2.4,Z42&lt;&gt;"e",Z42&lt;&gt;"f"),CX42*2.4/$H42,CX42),0)))))*COS(RADIANS($G42)))</f>
        <v>0</v>
      </c>
      <c r="CU42" s="51">
        <f ca="1">IF(F42&lt;OFFSET($BM$9,CL42-1,0,1,1),0,IF(F42&lt;OFFSET($BN$9,CL42-1,0,1,1),((F42-OFFSET($BM$9,CL42-1,0,1,1))*OFFSET($CI$9,CL42-1,0,1,1))+OFFSET($BP$9,CL42-1,CQ42,1,1),IF(F42&lt;OFFSET($BN$9,CL42+0,0,1,1),((F42-OFFSET($BM$9,CL42+0,0,1,1))*OFFSET($CI$9,CL42+0,0,1,1))+OFFSET($BP$9,CL42+0,CQ42,1,1),IF(F42&lt;OFFSET($BN$9,CL42+1,0,1,1),((F42-OFFSET($BM$9,CL42+1,0,1,1))*OFFSET($CI$9,CL42+1,0,1,1))+OFFSET($BP$9,CL42+1,CQ42,1,1),IF(F42&lt;OFFSET($BN$9,CL42+2,0,1,1),((F42-OFFSET($BM$9,CL42+2,0,1,1))*OFFSET($CI$9,CL42+2,0,1,1))+OFFSET($BP$9,CL42+2,CQ42,1,1),IF(F42&lt;OFFSET($BN$9,CL42+3,0,1,1),((F42-OFFSET($BM$9,CL42+3,0,1,1))*OFFSET($CI$9,CL42+3,0,1,1))+OFFSET($BP$9,CL42+3,CQ42,1,1),0))))))</f>
        <v>0</v>
      </c>
      <c r="CV42" s="51">
        <f ca="1">IF($F42&lt;OFFSET($BM$9,$CL42-1,0,1,1),0,IF($F42&lt;OFFSET($BN$9,$CL42-1,0,1,1),IF(AND($H42&gt;2.4,Z42&lt;&gt;"e",Z42&lt;&gt;"f"),CZ42*2.4/$H42,CZ42),IF($F42&lt;OFFSET($BN$9,$CL42+0,0,1,1),IF(AND($H42&gt;2.4,Z42&lt;&gt;"e",Z42&lt;&gt;"f"),CZ42*2.4/$H42,CZ42),IF($F42&lt;OFFSET($BN$9,$CL42+1,0,1,1),IF(AND($H42&gt;2.4,Z42&lt;&gt;"e",Z42&lt;&gt;"f"),CZ42*2.4/$H42,CZ42),IF($F42&lt;OFFSET($BN$9,$CL42+2,0,1,1),IF(AND($H42&gt;2.4,Z42&lt;&gt;"e",Z42&lt;&gt;"f"),CZ42*2.4/$H42,CZ42),IF($F42&lt;OFFSET($BN$9,$CL42+3,0,1,1),IF(AND($H42&gt;2.4,Z42&lt;&gt;"e",Z42&lt;&gt;"f"),CZ42*2.4/$H42,CZ42),0)))))*COS(RADIANS($G42)))</f>
        <v>0</v>
      </c>
      <c r="CW42" s="51">
        <f ca="1">IF(CT42&gt;CR42,CR42,CT42)</f>
        <v>0</v>
      </c>
      <c r="CX42" s="51">
        <f ca="1">IF(CS42&gt;$CR42,$CR42,CS42)</f>
        <v>0</v>
      </c>
      <c r="CY42" s="51">
        <f ca="1">CW42*F42</f>
        <v>0</v>
      </c>
      <c r="CZ42" s="51">
        <f ca="1">IF($CU42&gt;$CR42,$CR42,$CU42)</f>
        <v>0</v>
      </c>
      <c r="DA42" s="51">
        <f ca="1">IF(CV42&gt;CR42,CR42,CV42)</f>
        <v>0</v>
      </c>
      <c r="DB42" s="51">
        <f ca="1">DA42*F42</f>
        <v>0</v>
      </c>
      <c r="DC42" s="993">
        <v>1</v>
      </c>
      <c r="DD42" s="758" t="str">
        <f>IF(OR(D42=BG$12,D42=BG$13),"External",IF(D42=BG$14,"Internal"," "))</f>
        <v xml:space="preserve"> </v>
      </c>
      <c r="DE42" s="51" t="str">
        <f t="shared" ca="1" si="1"/>
        <v/>
      </c>
      <c r="DF42" s="52" t="str">
        <f t="shared" ca="1" si="2"/>
        <v xml:space="preserve"> </v>
      </c>
      <c r="DG42" s="51">
        <f ca="1">IF(F42&lt;OFFSET($BM$9,CN42-1,0,1,1),0,IF(F42&lt;OFFSET($BN$9,CN42-1,0,1,1),((F42-OFFSET($BM$9,CN42-1,0,1,1))*OFFSET($CH$9,CN42-1,0,1,1))+OFFSET($BO$9,CN42-1,CQ42,1,1),IF(F42&lt;OFFSET($BN$9,CN42+0,0,1,1),((F42-OFFSET($BM$9,CN42+0,0,1,1))*OFFSET($CH$9,CN42+0,0,1,1))+OFFSET($BO$9,CN42+0,CQ42,1,1),IF(F42&lt;OFFSET($BN$9,CN42+1,0,1,1),((F42-OFFSET($BM$9,CN42+1,0,1,1))*OFFSET($CH$9,CN42+1,0,1,1))+OFFSET($BO$9,CN42+1,CQ42,1,1),IF(F42&lt;OFFSET($BN$9,CN42+2,0,1,1),((F42-OFFSET($BM$9,CN42+2,0,1,1))*OFFSET($CH$9,CN42+2,0,1,1))+OFFSET($BO$9,CN42+2,CQ42,1,1),IF(F42&lt;OFFSET($BN$9,CN42+3,0,1,1),((F42-OFFSET($BM$9,CN42+3,0,1,1))*OFFSET($CH$9,CN42+3,0,1,1))+OFFSET($BO$9,CN42+3,CQ42,1,1),0))))))</f>
        <v>0</v>
      </c>
      <c r="DH42" s="51">
        <f ca="1">IF($F42&lt;OFFSET($BM$9,$CN42-1,0,1,1),0,IF($F42&lt;OFFSET($BN$9,$CN42-1,0,1,1),IF(AND($H42&gt;2.4,Z42&lt;&gt;"e",Z42&lt;&gt;"f"),DL42*2.4/$H42,DL42),IF($F42&lt;OFFSET($BN$9,$CN42+0,0,1,1),IF(AND($H42&gt;2.4,Z42&lt;&gt;"e",Z42&lt;&gt;"f"),DL42*2.4/$H42,DL42),IF($F42&lt;OFFSET($BN$9,$CN42+1,0,1,1),IF(AND($H42&gt;2.4,Z42&lt;&gt;"e",Z42&lt;&gt;"f"),DL42*2.4/$H42,DL42),IF($F42&lt;OFFSET($BN$9,$CN42+2,0,1,1),IF(AND($H42&gt;2.4,Z42&lt;&gt;"e",Z42&lt;&gt;"f"),DL42*2.4/$H42,DL42),IF($F42&lt;OFFSET($BN$9,$CN42+3,0,1,1),IF(AND($H42&gt;2.4,Z42&lt;&gt;"e",Z42&lt;&gt;"f"),DL42*2.4/$H42,DL42),0)))))*COS(RADIANS($G42)))</f>
        <v>0</v>
      </c>
      <c r="DI42" s="51">
        <f ca="1">IF(F42&lt;OFFSET($BM$9,CN42-1,0,1,1),0,IF(F42&lt;OFFSET($BN$9,CN42-1,0,1,1),((F42-OFFSET($BM$9,CN42-1,0,1,1))*OFFSET($CI$9,CN42-1,0,1,1))+OFFSET($BP$9,CN42-1,CQ42,1,1),IF(F42&lt;OFFSET($BN$9,CN42+0,0,1,1),((F42-OFFSET($BM$9,CN42+0,0,1,1))*OFFSET($CI$9,CN42+0,0,1,1))+OFFSET($BP$9,CN42+0,CQ42,1,1),IF(F42&lt;OFFSET($BN$9,CN42+1,0,1,1),((F42-OFFSET($BM$9,CN42+1,0,1,1))*OFFSET($CI$9,CN42+1,0,1,1))+OFFSET($BP$9,CN42+1,CQ42,1,1),IF(F42&lt;OFFSET($BN$9,CN42+2,0,1,1),((F42-OFFSET($BM$9,CN42+2,0,1,1))*OFFSET($CI$9,CN42+2,0,1,1))+OFFSET($BP$9,CN42+2,CQ42,1,1),IF(F42&lt;OFFSET($BN$9,CN42+3,0,1,1),((F42-OFFSET($BM$9,CN42+3,0,1,1))*OFFSET($CI$9,CN42+3,0,1,1))+OFFSET($BP$9,CN42+3,CQ42,1,1),0))))))</f>
        <v>0</v>
      </c>
      <c r="DJ42" s="51">
        <f ca="1">IF($F42&lt;OFFSET($BM$9,$CN42-1,0,1,1),0,IF($F42&lt;OFFSET($BN$9,$CN42-1,0,1,1),IF(AND($H42&gt;2.4,Z42&lt;&gt;"e",Z42&lt;&gt;"f"),DN42*2.4/$H42,DN42),IF($F42&lt;OFFSET($BN$9,$CN42+0,0,1,1),IF(AND($H42&gt;2.4,Z42&lt;&gt;"e",Z42&lt;&gt;"f"),DN42*2.4/$H42,DN42),IF($F42&lt;OFFSET($BN$9,$CN42+1,0,1,1),IF(AND($H42&gt;2.4,Z42&lt;&gt;"e",Z42&lt;&gt;"f"),DN42*2.4/$H42,DN42),IF($F42&lt;OFFSET($BN$9,$CN42+2,0,1,1),IF(AND($H42&gt;2.4,Z42&lt;&gt;"e",Z42&lt;&gt;"f"),DN42*2.4/$H42,DN42),IF($F42&lt;OFFSET($BN$9,$CN42+3,0,1,1),IF(AND($H42&gt;2.4,Z42&lt;&gt;"e",Z42&lt;&gt;"f"),DN42*2.4/$H42,DN42),0)))))*COS(RADIANS($G42)))</f>
        <v>0</v>
      </c>
      <c r="DK42" s="51"/>
      <c r="DL42" s="51">
        <f ca="1">IF(DG42&gt;$CR42,$CR42,DG42)</f>
        <v>0</v>
      </c>
      <c r="DM42" s="51"/>
      <c r="DN42" s="51">
        <f ca="1">IF(DI42&gt;$CR42,$CR42,DI42)</f>
        <v>0</v>
      </c>
      <c r="DO42" s="435">
        <f ca="1">IF(DH42&gt;$CR42,$CR42,DH42)</f>
        <v>0</v>
      </c>
      <c r="DP42" s="435">
        <f ca="1">DO42*F42</f>
        <v>0</v>
      </c>
      <c r="DQ42" s="436">
        <f ca="1">IF(DJ42&gt;$CR42,$CR42,DJ42)</f>
        <v>0</v>
      </c>
      <c r="DR42" s="437">
        <f ca="1">DQ42*F42</f>
        <v>0</v>
      </c>
      <c r="DS42" s="426">
        <f ca="1">OFFSET($CH$9,CL42-1,-15,1,1)</f>
        <v>0</v>
      </c>
      <c r="DT42" s="426">
        <f ca="1">VLOOKUP(DS42,Prodlink,2,0)</f>
        <v>0</v>
      </c>
      <c r="DU42" s="188">
        <f ca="1">IF(F42&lt;OFFSET($BM$9,DT42-1,0,1,1),0,IF(F42&lt;OFFSET($BN$9,DT42-1,0,1,1),((F42-OFFSET($BM$9,DT42-1,0,1,1))*OFFSET($CH$9,DT42-1,0,1,1))+OFFSET($BO$9,DT42-1,CQ42,1,1),IF(F42&lt;OFFSET($BN$9,DT42+0,0,1,1),((F42-OFFSET($BM$9,DT42+0,0,1,1))*OFFSET($CH$9,DT42+0,0,1,1))+OFFSET($BO$9,DT42+0,CQ42,1,1),IF(F42&lt;OFFSET($BN$9,DT42+1,0,1,1),((F42-OFFSET($BM$9,DT42+1,0,1,1))*OFFSET($CH$9,DT42+1,0,1,1))+OFFSET($BO$9,DT42+1,CQ42,1,1),IF(F42&lt;OFFSET($BN$9,DT42+2,0,1,1),((F42-OFFSET($BM$9,DT42+2,0,1,1))*OFFSET($CH$9,DT42+2,0,1,1))+OFFSET($BO$9,DT42+2,CQ42,1,1),IF(F42&lt;OFFSET($BN$9,DT42+3,0,1,1),((F42-OFFSET($BM$9,DT42+3,0,1,1))*OFFSET($CH$9,DT42+3,0,1,1))+OFFSET($BO$9,DT42+3,CQ42,1,1),0))))))</f>
        <v>0</v>
      </c>
      <c r="DV42" s="51">
        <f ca="1">IF($F42&lt;OFFSET($BM$9,$DT42-1,0,1,1),0,IF($F42&lt;OFFSET($BN$9,$DT42-1,0,1,1),IF(AND($H42&gt;2.4,Z42&lt;&gt;"e",Z42&lt;&gt;"f"),DZ42*2.4/$H42,DZ42),IF($F42&lt;OFFSET($BN$9,$DT42+0,0,1,1),IF(AND($H42&gt;2.4,Z42&lt;&gt;"e",Z42&lt;&gt;"f"),DZ42*2.4/$H42,DZ42),IF($F42&lt;OFFSET($BN$9,$DT42+1,0,1,1),IF(AND($H42&gt;2.4,Z42&lt;&gt;"e",Z42&lt;&gt;"f"),DZ42*2.4/$H42,DZ42),IF($F42&lt;OFFSET($BN$9,$DT42+2,0,1,1),IF(AND($H42&gt;2.4,Z42&lt;&gt;"e",Z42&lt;&gt;"f"),DZ42*2.4/$H42,DZ42),IF($F42&lt;OFFSET($BN$9,$DT42+3,0,1,1),IF(AND($H42&gt;2.4,Z42&lt;&gt;"e",Z42&lt;&gt;"f"),DZ42*2.4/$H42,DZ42),0)))))*COS(RADIANS($G42)))</f>
        <v>0</v>
      </c>
      <c r="DW42" s="188">
        <f ca="1">IF(F42&lt;OFFSET($BM$9,DT42-1,0,1,1),0,IF(F42&lt;OFFSET($BN$9,DT42-1,0,1,1),((F42-OFFSET($BM$9,DT42-1,0,1,1))*OFFSET($CI$9,DT42-1,0,1,1))+OFFSET($BP$9,DT42-1,CQ42,1,1),IF(F42&lt;OFFSET($BN$9,DT42+0,0,1,1),((F42-OFFSET($BM$9,DT42+0,0,1,1))*OFFSET($CI$9,DT42+0,0,1,1))+OFFSET($BP$9,DT42+0,CQ42,1,1),IF(F42&lt;OFFSET($BN$9,DT42+1,0,1,1),((F42-OFFSET($BM$9,DT42+1,0,1,1))*OFFSET($CI$9,DT42+1,0,1,1))+OFFSET($BP$9,DT42+1,CQ42,1,1),IF(F42&lt;OFFSET($BN$9,DT42+2,0,1,1),((F42-OFFSET($BM$9,DT42+2,0,1,1))*OFFSET($CI$9,DT42+2,0,1,1))+OFFSET($BP$9,DT42+2,CQ42,1,1),IF(F42&lt;OFFSET($BN$9,DT42+3,0,1,1),((F42-OFFSET($BM$9,DT42+3,0,1,1))*OFFSET($CI$9,DT42+3,0,1,1))+OFFSET($BP$9,DT42+3,CQ42,1,1),0))))))</f>
        <v>0</v>
      </c>
      <c r="DX42" s="51">
        <f ca="1">IF($F42&lt;OFFSET($BM$9,$DT42-1,0,1,1),0,IF($F42&lt;OFFSET($BN$9,$DT42-1,0,1,1),IF(AND($H42&gt;2.4,Z42&lt;&gt;"e",Z42&lt;&gt;"f"),EB42*2.4/$H42,EB42),IF($F42&lt;OFFSET($BN$9,$DT42+0,0,1,1),IF(AND($H42&gt;2.4,Z42&lt;&gt;"e",Z42&lt;&gt;"f"),EB42*2.4/$H42,EB42),IF($F42&lt;OFFSET($BN$9,$DT42+1,0,1,1),IF(AND($H42&gt;2.4,Z42&lt;&gt;"e",Z42&lt;&gt;"f"),EB42*2.4/$H42,EB42),IF($F42&lt;OFFSET($BN$9,$DT42+2,0,1,1),IF(AND($H42&gt;2.4,Z42&lt;&gt;"e",Z42&lt;&gt;"f"),EB42*2.4/$H42,EB42),IF($F42&lt;OFFSET($BN$9,$DT42+3,0,1,1),IF(AND($H42&gt;2.4,Z42&lt;&gt;"e",Z42&lt;&gt;"f"),EB42*2.4/$H42,EB42),0)))))*COS(RADIANS($G42)))</f>
        <v>0</v>
      </c>
      <c r="DY42" s="188"/>
      <c r="DZ42" s="188">
        <f ca="1">IF(DU42&gt;$CR42,$CR42,DU42)</f>
        <v>0</v>
      </c>
      <c r="EA42" s="188"/>
      <c r="EB42" s="188">
        <f ca="1">IF(DW42&gt;$CR42,$CR42,DW42)</f>
        <v>0</v>
      </c>
      <c r="EC42" s="435">
        <f ca="1">IF(DV42&gt;$CR42,$CR42,DV42)</f>
        <v>0</v>
      </c>
      <c r="ED42" s="435">
        <f ca="1">EC42*F42</f>
        <v>0</v>
      </c>
      <c r="EE42" s="436">
        <f ca="1">IF(DX42&gt;$CR42,$CR42,DX42)</f>
        <v>0</v>
      </c>
      <c r="EF42" s="437">
        <f ca="1">EE42*F42</f>
        <v>0</v>
      </c>
      <c r="EG42" s="613" t="str">
        <f>IF(D42=BG$12,BG$12,"")</f>
        <v/>
      </c>
      <c r="EH42" s="614" t="str">
        <f>IF(D42=BG$13,BG$13,"")</f>
        <v/>
      </c>
      <c r="EI42" s="611">
        <f>IF(EG42=BG$12,M42,0)</f>
        <v>0</v>
      </c>
      <c r="EJ42" s="451">
        <f>IF(EG42=BG$12,O42,0)</f>
        <v>0</v>
      </c>
      <c r="EK42" s="451">
        <f>IF(EH42=BG$13,M42,0)</f>
        <v>0</v>
      </c>
      <c r="EL42" s="612">
        <f>IF(EH42=BG$13,O42,0)</f>
        <v>0</v>
      </c>
      <c r="EM42" s="426" t="str">
        <f ca="1">IF(AND(Z42&lt;&gt;"t",Z42&lt;&gt;"f"),"",IF(AND(EN42=$BH$13,K42=$BH$12),"NotOpt",IF(K42&lt;&gt;EN42,"Error","")))</f>
        <v/>
      </c>
      <c r="EN42" s="490" t="str">
        <f>IF($BG$28=1,$BH$13,$BH$12)</f>
        <v>120 BU's</v>
      </c>
      <c r="EO42" s="426" t="str">
        <f>K42</f>
        <v xml:space="preserve"> </v>
      </c>
      <c r="EP42" s="430">
        <v>1</v>
      </c>
      <c r="EQ42" s="430" t="str">
        <f ca="1">IF(EP42=1," ",OFFSET(BF$16,EP42-2,0,1,1))</f>
        <v xml:space="preserve"> </v>
      </c>
      <c r="ER42" s="439" t="str">
        <f ca="1">IF(H42=0," ",H42)</f>
        <v xml:space="preserve"> </v>
      </c>
      <c r="ES42" s="440" t="str">
        <f ca="1">IF(ER42&lt;&gt;" ",IF(ER42&lt;&gt;ER$7,"Changed",""),"")</f>
        <v/>
      </c>
      <c r="ET42" s="440">
        <f ca="1">IF(ER42&lt;&gt;" ",IF(ER42&lt;&gt;ER$7,1,0),0)</f>
        <v>0</v>
      </c>
      <c r="EU42" s="957" t="str">
        <f ca="1">IF(I42=" "," ",IF(F42&lt;OFFSET($BM$9,CL42-1,0,1,1),1,""))</f>
        <v xml:space="preserve"> </v>
      </c>
      <c r="EW42" s="427"/>
      <c r="EX42"/>
      <c r="EY42"/>
      <c r="EZ42"/>
      <c r="FA42"/>
    </row>
    <row r="43" spans="1:157" ht="17.100000000000001" customHeight="1" thickBot="1">
      <c r="A43" s="2685"/>
      <c r="B43" s="2686" t="s">
        <v>8</v>
      </c>
      <c r="C43" s="2687"/>
      <c r="D43" s="1461" t="s">
        <v>8</v>
      </c>
      <c r="E43" s="659"/>
      <c r="F43" s="659"/>
      <c r="G43" s="659"/>
      <c r="H43" s="659"/>
      <c r="I43" s="1462"/>
      <c r="J43" s="1365" t="str">
        <f ca="1">(CONCATENATE(B38,$BE$54))</f>
        <v>R  Line:  Min. Requirement</v>
      </c>
      <c r="K43" s="23"/>
      <c r="L43" s="1019">
        <f ca="1">L$5</f>
        <v>0</v>
      </c>
      <c r="M43" s="48">
        <f ca="1">IF(B38=B32,SUM(M38:M42)+M37,SUM(M38:M42))</f>
        <v>0</v>
      </c>
      <c r="N43" s="1019">
        <f ca="1">N$5</f>
        <v>0</v>
      </c>
      <c r="O43" s="125">
        <f ca="1">IF(B38=B32,SUM(O38:O42)+O37,SUM(O38:O42))</f>
        <v>0</v>
      </c>
      <c r="P43" s="139"/>
      <c r="Q43" s="42" t="str">
        <f ca="1">IF(B38=B44,"",IF(AND(M43&gt;0,L43=L$5,OR(M43&lt;$M$105,M43&lt;$BF$3)),"Achieved &lt; Min Req per Line",IF(AND(O43&gt;0,N43=N$5,OR(O43&lt;$O$105,O43&lt;$BF$3)),"Achieved &lt; Min Req per Line",IF(AND(M43&gt;0,L43&gt;M43),"More Required on this line",IF(AND(O43&gt;0,N43&gt;O43),"More Required on this line",IF(AND(L43&gt;0,L43&lt;$BF$3),$BE$59,IF(AND(N43&gt;0,N43&lt;$BF$3),$BE$59,"")))))))</f>
        <v/>
      </c>
      <c r="R43" s="52"/>
      <c r="S43" s="52"/>
      <c r="T43" s="52"/>
      <c r="U43" s="1378"/>
      <c r="V43" s="52"/>
      <c r="W43" s="9"/>
      <c r="X43" s="9"/>
      <c r="Y43" s="896"/>
      <c r="Z43" s="52"/>
      <c r="AA43" s="51"/>
      <c r="AB43" s="1364"/>
      <c r="AC43"/>
      <c r="AJ43" s="13"/>
      <c r="AK43" s="13"/>
      <c r="AL43" s="1"/>
      <c r="AM43" s="1"/>
      <c r="AN43" s="1"/>
      <c r="AO43" s="1"/>
      <c r="AP43" s="1"/>
      <c r="AQ43" s="1"/>
      <c r="AR43" s="1"/>
      <c r="AS43" s="6"/>
      <c r="AT43" s="6"/>
      <c r="AW43" s="1"/>
      <c r="BA43"/>
      <c r="BB43"/>
      <c r="BC43"/>
      <c r="BD43" s="636"/>
      <c r="BF43" s="599" t="str">
        <f>'Custom Elements'!C27</f>
        <v>Custom19</v>
      </c>
      <c r="BG43" s="485" t="s">
        <v>935</v>
      </c>
      <c r="BH43" s="996" t="s">
        <v>902</v>
      </c>
      <c r="BI43" s="759"/>
      <c r="BJ43" s="897">
        <f t="shared" si="25"/>
        <v>35</v>
      </c>
      <c r="BX43" s="52"/>
      <c r="CJ43" s="759"/>
      <c r="CK43" s="188"/>
      <c r="CL43" s="979"/>
      <c r="CN43" s="497"/>
      <c r="CO43" s="497"/>
      <c r="CQ43" s="51"/>
      <c r="CR43" s="51" t="s">
        <v>8</v>
      </c>
      <c r="CS43" s="51"/>
      <c r="CT43" s="51"/>
      <c r="CU43" s="51"/>
      <c r="CV43" s="51" t="s">
        <v>8</v>
      </c>
      <c r="CW43" s="51"/>
      <c r="CX43" s="51"/>
      <c r="CY43" s="51"/>
      <c r="CZ43" s="51"/>
      <c r="DD43" s="758"/>
      <c r="DF43" s="52"/>
      <c r="DG43" s="51"/>
      <c r="DH43" s="51"/>
      <c r="DI43" s="51"/>
      <c r="DJ43" s="51"/>
      <c r="DK43" s="51"/>
      <c r="DL43" s="51"/>
      <c r="DM43" s="51"/>
      <c r="DN43" s="51"/>
      <c r="DO43" s="435"/>
      <c r="DP43" s="435"/>
      <c r="DQ43" s="868"/>
      <c r="DR43" s="868"/>
      <c r="DU43" s="188"/>
      <c r="DV43" s="188" t="s">
        <v>8</v>
      </c>
      <c r="DW43" s="188"/>
      <c r="DX43" s="188" t="s">
        <v>8</v>
      </c>
      <c r="DY43" s="188"/>
      <c r="DZ43" s="188"/>
      <c r="EA43" s="188"/>
      <c r="EB43" s="188"/>
      <c r="EC43" s="435"/>
      <c r="ED43" s="435"/>
      <c r="EE43" s="868"/>
      <c r="EF43" s="868"/>
      <c r="EG43" s="613"/>
      <c r="EH43" s="435"/>
      <c r="EI43" s="613"/>
      <c r="EJ43" s="435"/>
      <c r="EK43" s="451"/>
      <c r="EL43" s="612"/>
      <c r="EN43" s="947"/>
      <c r="ER43" s="441"/>
      <c r="ES43" s="440"/>
      <c r="ET43" s="440"/>
      <c r="EU43" s="957"/>
      <c r="EW43" s="427"/>
      <c r="EX43"/>
      <c r="EY43"/>
      <c r="EZ43"/>
      <c r="FA43"/>
    </row>
    <row r="44" spans="1:157" ht="17.100000000000001" customHeight="1" thickBot="1">
      <c r="A44" s="2685"/>
      <c r="B44" s="1369" t="str">
        <f ca="1">S44</f>
        <v>S</v>
      </c>
      <c r="C44" s="684" t="str">
        <f>IF(OR(F44=0,I44="",I44=" ")," ",$V44)</f>
        <v xml:space="preserve"> </v>
      </c>
      <c r="D44" s="1033"/>
      <c r="E44" s="1360" t="s">
        <v>8</v>
      </c>
      <c r="F44" s="202"/>
      <c r="G44" s="1416"/>
      <c r="H44" s="199" t="str">
        <f ca="1">IF(OR(F44=0,Z44="E",Z44="f")," ",'Project Demand'!E$45)</f>
        <v xml:space="preserve"> </v>
      </c>
      <c r="I44" s="631" t="str">
        <f>IF($I$6&lt;&gt;$BG$8," ",AB44)</f>
        <v xml:space="preserve"> </v>
      </c>
      <c r="J44" s="43" t="str">
        <f ca="1">IF(OR(I44=" ",I44="")," ",OFFSET($BO$9,CL44-1,0-4,1,1))</f>
        <v xml:space="preserve"> </v>
      </c>
      <c r="K44" s="55" t="str">
        <f>IF(OR(I44=" ",I44="")," ",IF(OR(Z44="e",Z44="h"),"SD",BG$24))</f>
        <v xml:space="preserve"> </v>
      </c>
      <c r="L44" s="49">
        <f ca="1">CW44</f>
        <v>0</v>
      </c>
      <c r="M44" s="49">
        <f ca="1">CY44</f>
        <v>0</v>
      </c>
      <c r="N44" s="50">
        <f t="shared" ref="N44:O48" ca="1" si="26">DA44</f>
        <v>0</v>
      </c>
      <c r="O44" s="126">
        <f t="shared" ca="1" si="26"/>
        <v>0</v>
      </c>
      <c r="P44" s="140"/>
      <c r="Q44" s="752" t="str">
        <f ca="1">IF(AND(OR(Z44="t",Z44="f"),K44=$BH$11),"No Floor!  Change Floor Type",IF(OR(I44=" ",I44="")," ",IF(F44&lt;OFFSET($BM$9,CL44-1,0,1,1),"check L(m)",DE44&amp;IF(AND(DP44&gt;=CY44,DR44&gt;=DB44),IF(AND(ED44&gt;=DP44,EF44&gt;=DR44),CONCATENATE(DS44," will provide same result"),CONCATENATE(CO44," will provide same result")),IF((DP44&gt;=CY44),CONCATENATE(CO44," provides same result in WIND"),IF((DR44&gt;=DB44),CONCATENATE(CO44," provides same result in EQ"),""))))))&amp;IF(ISERROR(FIND("pile",I44,1)),"",IF(INT(F44)&lt;&gt;F44,"Pile!  Use Whole Numbers Only",""))</f>
        <v xml:space="preserve"> </v>
      </c>
      <c r="R44" s="52">
        <f ca="1">IF(T38&lt;&gt;2,(COLUMN(INDIRECT(B38&amp;1))+1),U44)</f>
        <v>19</v>
      </c>
      <c r="S44" s="1372" t="str">
        <f ca="1">SUBSTITUTE(ADDRESS(1,R44,4),"1","")</f>
        <v>S</v>
      </c>
      <c r="T44" s="451">
        <f ca="1">IF(AND(ISTEXT(B44),SUBSTITUTE(SUBSTITUTE(SUBSTITUTE(SUBSTITUTE(SUBSTITUTE(SUBSTITUTE(SUBSTITUTE(SUBSTITUTE(SUBSTITUTE(SUBSTITUTE(SUBSTITUTE(SUBSTITUTE(SUBSTITUTE(SUBSTITUTE(SUBSTITUTE(SUBSTITUTE(SUBSTITUTE(SUBSTITUTE(SUBSTITUTE(SUBSTITUTE(SUBSTITUTE(SUBSTITUTE(SUBSTITUTE(SUBSTITUTE(SUBSTITUTE(SUBSTITUTE(LOWER(B44),"a",),"b",),"c",),"d",),"e",),"f",),"g",),"h",),"i",),"j",),"k",),"l",),"m",),"n",),"o",),"p",),"q",),"r",),"s",),"t",),"u",),"v",),"w",),"x",),"y",),"z",)=""),1,2)</f>
        <v>1</v>
      </c>
      <c r="U44" s="1377">
        <v>19</v>
      </c>
      <c r="V44" s="52" t="str">
        <f ca="1">IF(AND(B$5=$BF$9,OR(I44=BH$16,I44=BH$17))," ",IF(ISNUMBER(B$44),(CONCATENATE(B$44,".",W44)),(CONCATENATE(B$44,W44))))</f>
        <v>S0</v>
      </c>
      <c r="W44" s="9">
        <f ca="1">IF(B38=B44,W42+X44,X44)</f>
        <v>0</v>
      </c>
      <c r="X44" s="9">
        <f>IF(AND(B$5=$BF$9,OR($I44=$BH$16,$I44=$BH$17,$I44=" ",$I44="",$F44=0)),0,IF(OR($I44=" ",$I44="",$F44=0),0,1))</f>
        <v>0</v>
      </c>
      <c r="Y44" s="896">
        <f ca="1">IF(AND(M49&gt;0,B44&lt;&gt;B50),1,0)</f>
        <v>0</v>
      </c>
      <c r="Z44" s="52" t="str">
        <f ca="1">IF(I44=" "," ",OFFSET($BM$9,$CL44-1,8,1,1))</f>
        <v xml:space="preserve"> </v>
      </c>
      <c r="AA44" s="51" t="str">
        <f>IF(G44&gt;=45,"WA","")</f>
        <v/>
      </c>
      <c r="AB44" s="1364" t="str">
        <f>IF(F44&lt;&gt;"",IF(OR(D44=$BG$12,D44=$BG$13),IF(E44&lt;&gt;$BG$17,$BF$12,$BF$13),IF(E44&lt;&gt;$BG$17,$BF$12,$BF$13))," ")</f>
        <v xml:space="preserve"> </v>
      </c>
      <c r="AC44" s="1"/>
      <c r="AJ44" s="1690" t="s">
        <v>1111</v>
      </c>
      <c r="AK44" s="12"/>
      <c r="AL44" s="1"/>
      <c r="AM44" s="47"/>
      <c r="AN44" s="1"/>
      <c r="AO44" s="1"/>
      <c r="AP44" s="1"/>
      <c r="AQ44" s="33"/>
      <c r="AR44" s="33"/>
      <c r="AS44" s="1"/>
      <c r="AT44" s="1"/>
      <c r="AU44" s="1"/>
      <c r="AW44" s="33"/>
      <c r="BA44"/>
      <c r="BB44"/>
      <c r="BC44"/>
      <c r="BD44" s="637"/>
      <c r="BF44" s="599" t="str">
        <f>'Custom Elements'!C28</f>
        <v>Custom20</v>
      </c>
      <c r="BI44" s="759"/>
      <c r="BJ44" s="897">
        <f t="shared" si="25"/>
        <v>36</v>
      </c>
      <c r="BK44" s="1222" t="str">
        <f>BK50</f>
        <v xml:space="preserve">EPB </v>
      </c>
      <c r="BL44" s="1181" t="str">
        <f>Table!I10</f>
        <v>ER2</v>
      </c>
      <c r="BM44" s="1210">
        <f>Table!J10</f>
        <v>0.4</v>
      </c>
      <c r="BN44" s="454">
        <f>BM45</f>
        <v>0.6</v>
      </c>
      <c r="BO44" s="454">
        <f>Table!K10</f>
        <v>56</v>
      </c>
      <c r="BP44" s="924">
        <f>Table!L10</f>
        <v>51</v>
      </c>
      <c r="BQ44" s="920"/>
      <c r="BR44" s="768">
        <f>Table!M10</f>
        <v>0</v>
      </c>
      <c r="BS44" s="454">
        <f>Table!M11</f>
        <v>0</v>
      </c>
      <c r="BT44" s="454" t="str">
        <f>Table!N10</f>
        <v>I</v>
      </c>
      <c r="BU44" s="924" t="s">
        <v>242</v>
      </c>
      <c r="BV44" s="1230" t="str">
        <f>Table!AI77</f>
        <v>ER2</v>
      </c>
      <c r="BW44" s="1229">
        <f>BJ44</f>
        <v>36</v>
      </c>
      <c r="BX44" s="924" t="str">
        <f>Table!N11</f>
        <v>Double</v>
      </c>
      <c r="CH44" s="768">
        <f>IF(BN44=999,0,(BO45-BO44)/(BN44-BM44))</f>
        <v>5.0000000000000009</v>
      </c>
      <c r="CI44" s="924">
        <f>IF(BN44=999,0,(BP45-BP44)/(BN44-BM44))</f>
        <v>5.0000000000000009</v>
      </c>
      <c r="CJ44" s="759"/>
      <c r="CK44" s="188"/>
      <c r="CL44" s="979">
        <f>VLOOKUP(I44,Prodlink,2,0)</f>
        <v>0</v>
      </c>
      <c r="CN44" s="497">
        <f ca="1">VLOOKUP(CO44,Prodlink,2,0)</f>
        <v>0</v>
      </c>
      <c r="CO44" s="497">
        <f ca="1">OFFSET($CH$9,CL44-1,-15,1,1)</f>
        <v>0</v>
      </c>
      <c r="CQ44" s="51">
        <v>0</v>
      </c>
      <c r="CR44" s="51">
        <f>IF(K44=$BH$12,$BH$23,IF(K44=$BH$13,$BH$24,10000))</f>
        <v>10000</v>
      </c>
      <c r="CS44" s="51">
        <f ca="1">IF(F44&lt;OFFSET($BM$9,CL44-1,0,1,1),0,IF(F44&lt;OFFSET($BN$9,CL44-1,0,1,1),((F44-OFFSET($BM$9,CL44-1,0,1,1))*OFFSET($CH$9,CL44-1,0,1,1))+OFFSET($BO$9,CL44-1,CQ44,1,1),IF(F44&lt;OFFSET($BN$9,CL44+0,0,1,1),((F44-OFFSET($BM$9,CL44+0,0,1,1))*OFFSET($CH$9,CL44+0,0,1,1))+OFFSET($BO$9,CL44+0,CQ44,1,1),IF(F44&lt;OFFSET($BN$9,CL44+1,0,1,1),((F44-OFFSET($BM$9,CL44+1,0,1,1))*OFFSET($CH$9,CL44+1,0,1,1))+OFFSET($BO$9,CL44+1,CQ44,1,1),IF(F44&lt;OFFSET($BN$9,CL44+2,0,1,1),((F44-OFFSET($BM$9,CL44+2,0,1,1))*OFFSET($CH$9,CL44+2,0,1,1))+OFFSET($BO$9,CL44+2,CQ44,1,1),IF(F44&lt;OFFSET($BN$9,CL44+3,0,1,1),((F44-OFFSET($BM$9,CL44+3,0,1,1))*OFFSET($CH$9,CL44+3,0,1,1))+OFFSET($BO$9,CL44+3,CQ44,1,1),0))))))</f>
        <v>0</v>
      </c>
      <c r="CT44" s="1552">
        <f ca="1">IF($F44&lt;OFFSET($BM$9,$CL44-1,0,1,1),0,IF($F44&lt;OFFSET($BN$9,$CL44-1,0,1,1),IF(AND($H44&gt;2.4,Z44&lt;&gt;"e",Z44&lt;&gt;"f"),CX44*2.4/$H44,CX44),IF($F44&lt;OFFSET($BN$9,$CL44+0,0,1,1),IF(AND($H44&gt;2.4,Z44&lt;&gt;"e",Z44&lt;&gt;"f"),CX44*2.4/$H44,CX44),IF($F44&lt;OFFSET($BN$9,$CL44+1,0,1,1),IF(AND($H44&gt;2.4,Z44&lt;&gt;"e",Z44&lt;&gt;"f"),CX44*2.4/$H44,CX44),IF($F44&lt;OFFSET($BN$9,CL44+2,0,1,1),IF(AND($H44&gt;2.4,Z44&lt;&gt;"e",Z44&lt;&gt;"f"),CX44*2.4/$H44,CX44),IF($F44&lt;OFFSET($BN$9,CL44+3,0,1,1),IF(AND($H44&gt;2.4,Z44&lt;&gt;"e",Z44&lt;&gt;"f"),CX44*2.4/$H44,CX44),0)))))*COS(RADIANS($G44)))</f>
        <v>0</v>
      </c>
      <c r="CU44" s="51">
        <f ca="1">IF(F44&lt;OFFSET($BM$9,CL44-1,0,1,1),0,IF(F44&lt;OFFSET($BN$9,CL44-1,0,1,1),((F44-OFFSET($BM$9,CL44-1,0,1,1))*OFFSET($CI$9,CL44-1,0,1,1))+OFFSET($BP$9,CL44-1,CQ44,1,1),IF(F44&lt;OFFSET($BN$9,CL44+0,0,1,1),((F44-OFFSET($BM$9,CL44+0,0,1,1))*OFFSET($CI$9,CL44+0,0,1,1))+OFFSET($BP$9,CL44+0,CQ44,1,1),IF(F44&lt;OFFSET($BN$9,CL44+1,0,1,1),((F44-OFFSET($BM$9,CL44+1,0,1,1))*OFFSET($CI$9,CL44+1,0,1,1))+OFFSET($BP$9,CL44+1,CQ44,1,1),IF(F44&lt;OFFSET($BN$9,CL44+2,0,1,1),((F44-OFFSET($BM$9,CL44+2,0,1,1))*OFFSET($CI$9,CL44+2,0,1,1))+OFFSET($BP$9,CL44+2,CQ44,1,1),IF(F44&lt;OFFSET($BN$9,CL44+3,0,1,1),((F44-OFFSET($BM$9,CL44+3,0,1,1))*OFFSET($CI$9,CL44+3,0,1,1))+OFFSET($BP$9,CL44+3,CQ44,1,1),0))))))</f>
        <v>0</v>
      </c>
      <c r="CV44" s="1552">
        <f ca="1">IF($F44&lt;OFFSET($BM$9,$CL44-1,0,1,1),0,IF($F44&lt;OFFSET($BN$9,$CL44-1,0,1,1),IF(AND($H44&gt;2.4,Z44&lt;&gt;"e",Z44&lt;&gt;"f"),CZ44*2.4/$H44,CZ44),IF($F44&lt;OFFSET($BN$9,$CL44+0,0,1,1),IF(AND($H44&gt;2.4,Z44&lt;&gt;"e",Z44&lt;&gt;"f"),CZ44*2.4/$H44,CZ44),IF($F44&lt;OFFSET($BN$9,$CL44+1,0,1,1),IF(AND($H44&gt;2.4,Z44&lt;&gt;"e",Z44&lt;&gt;"f"),CZ44*2.4/$H44,CZ44),IF($F44&lt;OFFSET($BN$9,$CL44+2,0,1,1),IF(AND($H44&gt;2.4,Z44&lt;&gt;"e",Z44&lt;&gt;"f"),CZ44*2.4/$H44,CZ44),IF($F44&lt;OFFSET($BN$9,$CL44+3,0,1,1),IF(AND($H44&gt;2.4,Z44&lt;&gt;"e",Z44&lt;&gt;"f"),CZ44*2.4/$H44,CZ44),0)))))*COS(RADIANS($G44)))</f>
        <v>0</v>
      </c>
      <c r="CW44" s="51">
        <f ca="1">IF(CT44&gt;CR44,CR44,CT44)</f>
        <v>0</v>
      </c>
      <c r="CX44" s="51">
        <f ca="1">IF(CS44&gt;$CR44,$CR44,CS44)</f>
        <v>0</v>
      </c>
      <c r="CY44" s="51">
        <f ca="1">CW44*F44</f>
        <v>0</v>
      </c>
      <c r="CZ44" s="51">
        <f ca="1">IF($CU44&gt;$CR44,$CR44,$CU44)</f>
        <v>0</v>
      </c>
      <c r="DA44" s="51">
        <f ca="1">IF(CV44&gt;CR44,CR44,CV44)</f>
        <v>0</v>
      </c>
      <c r="DB44" s="51">
        <f ca="1">DA44*F44</f>
        <v>0</v>
      </c>
      <c r="DC44" s="993">
        <v>1</v>
      </c>
      <c r="DD44" s="758" t="str">
        <f>IF(OR(D44=BG$12,D44=BG$13),"External",IF(D44=BG$14,"Internal"," "))</f>
        <v xml:space="preserve"> </v>
      </c>
      <c r="DE44" s="51" t="str">
        <f t="shared" ca="1" si="1"/>
        <v/>
      </c>
      <c r="DF44" s="52" t="str">
        <f t="shared" ca="1" si="2"/>
        <v xml:space="preserve"> </v>
      </c>
      <c r="DG44" s="51">
        <f ca="1">IF(F44&lt;OFFSET($BM$9,CN44-1,0,1,1),0,IF(F44&lt;OFFSET($BN$9,CN44-1,0,1,1),((F44-OFFSET($BM$9,CN44-1,0,1,1))*OFFSET($CH$9,CN44-1,0,1,1))+OFFSET($BO$9,CN44-1,CQ44,1,1),IF(F44&lt;OFFSET($BN$9,CN44+0,0,1,1),((F44-OFFSET($BM$9,CN44+0,0,1,1))*OFFSET($CH$9,CN44+0,0,1,1))+OFFSET($BO$9,CN44+0,CQ44,1,1),IF(F44&lt;OFFSET($BN$9,CN44+1,0,1,1),((F44-OFFSET($BM$9,CN44+1,0,1,1))*OFFSET($CH$9,CN44+1,0,1,1))+OFFSET($BO$9,CN44+1,CQ44,1,1),IF(F44&lt;OFFSET($BN$9,CN44+2,0,1,1),((F44-OFFSET($BM$9,CN44+2,0,1,1))*OFFSET($CH$9,CN44+2,0,1,1))+OFFSET($BO$9,CN44+2,CQ44,1,1),IF(F44&lt;OFFSET($BN$9,CN44+3,0,1,1),((F44-OFFSET($BM$9,CN44+3,0,1,1))*OFFSET($CH$9,CN44+3,0,1,1))+OFFSET($BO$9,CN44+3,CQ44,1,1),0))))))</f>
        <v>0</v>
      </c>
      <c r="DH44" s="1552">
        <f ca="1">IF($F44&lt;OFFSET($BM$9,$CN44-1,0,1,1),0,IF($F44&lt;OFFSET($BN$9,$CN44-1,0,1,1),IF(AND($H44&gt;2.4,Z44&lt;&gt;"e",Z44&lt;&gt;"f"),DL44*2.4/$H44,DL44),IF($F44&lt;OFFSET($BN$9,$CN44+0,0,1,1),IF(AND($H44&gt;2.4,Z44&lt;&gt;"e",Z44&lt;&gt;"f"),DL44*2.4/$H44,DL44),IF($F44&lt;OFFSET($BN$9,$CN44+1,0,1,1),IF(AND($H44&gt;2.4,Z44&lt;&gt;"e",Z44&lt;&gt;"f"),DL44*2.4/$H44,DL44),IF($F44&lt;OFFSET($BN$9,$CN44+2,0,1,1),IF(AND($H44&gt;2.4,Z44&lt;&gt;"e",Z44&lt;&gt;"f"),DL44*2.4/$H44,DL44),IF($F44&lt;OFFSET($BN$9,$CN44+3,0,1,1),IF(AND($H44&gt;2.4,Z44&lt;&gt;"e",Z44&lt;&gt;"f"),DL44*2.4/$H44,DL44),0)))))*COS(RADIANS($G44)))</f>
        <v>0</v>
      </c>
      <c r="DI44" s="51">
        <f ca="1">IF(F44&lt;OFFSET($BM$9,CN44-1,0,1,1),0,IF(F44&lt;OFFSET($BN$9,CN44-1,0,1,1),((F44-OFFSET($BM$9,CN44-1,0,1,1))*OFFSET($CI$9,CN44-1,0,1,1))+OFFSET($BP$9,CN44-1,CQ44,1,1),IF(F44&lt;OFFSET($BN$9,CN44+0,0,1,1),((F44-OFFSET($BM$9,CN44+0,0,1,1))*OFFSET($CI$9,CN44+0,0,1,1))+OFFSET($BP$9,CN44+0,CQ44,1,1),IF(F44&lt;OFFSET($BN$9,CN44+1,0,1,1),((F44-OFFSET($BM$9,CN44+1,0,1,1))*OFFSET($CI$9,CN44+1,0,1,1))+OFFSET($BP$9,CN44+1,CQ44,1,1),IF(F44&lt;OFFSET($BN$9,CN44+2,0,1,1),((F44-OFFSET($BM$9,CN44+2,0,1,1))*OFFSET($CI$9,CN44+2,0,1,1))+OFFSET($BP$9,CN44+2,CQ44,1,1),IF(F44&lt;OFFSET($BN$9,CN44+3,0,1,1),((F44-OFFSET($BM$9,CN44+3,0,1,1))*OFFSET($CI$9,CN44+3,0,1,1))+OFFSET($BP$9,CN44+3,CQ44,1,1),0))))))</f>
        <v>0</v>
      </c>
      <c r="DJ44" s="1552">
        <f ca="1">IF($F44&lt;OFFSET($BM$9,$CN44-1,0,1,1),0,IF($F44&lt;OFFSET($BN$9,$CN44-1,0,1,1),IF(AND($H44&gt;2.4,Z44&lt;&gt;"e",Z44&lt;&gt;"f"),DN44*2.4/$H44,DN44),IF($F44&lt;OFFSET($BN$9,$CN44+0,0,1,1),IF(AND($H44&gt;2.4,Z44&lt;&gt;"e",Z44&lt;&gt;"f"),DN44*2.4/$H44,DN44),IF($F44&lt;OFFSET($BN$9,$CN44+1,0,1,1),IF(AND($H44&gt;2.4,Z44&lt;&gt;"e",Z44&lt;&gt;"f"),DN44*2.4/$H44,DN44),IF($F44&lt;OFFSET($BN$9,$CN44+2,0,1,1),IF(AND($H44&gt;2.4,Z44&lt;&gt;"e",Z44&lt;&gt;"f"),DN44*2.4/$H44,DN44),IF($F44&lt;OFFSET($BN$9,$CN44+3,0,1,1),IF(AND($H44&gt;2.4,Z44&lt;&gt;"e",Z44&lt;&gt;"f"),DN44*2.4/$H44,DN44),0)))))*COS(RADIANS($G44)))</f>
        <v>0</v>
      </c>
      <c r="DK44" s="51"/>
      <c r="DL44" s="51">
        <f ca="1">IF(DG44&gt;$CR44,$CR44,DG44)</f>
        <v>0</v>
      </c>
      <c r="DM44" s="51"/>
      <c r="DN44" s="51">
        <f ca="1">IF(DI44&gt;$CR44,$CR44,DI44)</f>
        <v>0</v>
      </c>
      <c r="DO44" s="435">
        <f ca="1">IF(DH44&gt;$CR44,$CR44,DH44)</f>
        <v>0</v>
      </c>
      <c r="DP44" s="435">
        <f ca="1">DO44*F44</f>
        <v>0</v>
      </c>
      <c r="DQ44" s="436">
        <f ca="1">IF(DJ44&gt;$CR44,$CR44,DJ44)</f>
        <v>0</v>
      </c>
      <c r="DR44" s="437">
        <f ca="1">DQ44*F44</f>
        <v>0</v>
      </c>
      <c r="DS44" s="426">
        <f ca="1">OFFSET($CH$9,CL44-1,-15,1,1)</f>
        <v>0</v>
      </c>
      <c r="DT44" s="426">
        <f ca="1">VLOOKUP(DS44,Prodlink,2,0)</f>
        <v>0</v>
      </c>
      <c r="DU44" s="188">
        <f ca="1">IF(F44&lt;OFFSET($BM$9,DT44-1,0,1,1),0,IF(F44&lt;OFFSET($BN$9,DT44-1,0,1,1),((F44-OFFSET($BM$9,DT44-1,0,1,1))*OFFSET($CH$9,DT44-1,0,1,1))+OFFSET($BO$9,DT44-1,CQ44,1,1),IF(F44&lt;OFFSET($BN$9,DT44+0,0,1,1),((F44-OFFSET($BM$9,DT44+0,0,1,1))*OFFSET($CH$9,DT44+0,0,1,1))+OFFSET($BO$9,DT44+0,CQ44,1,1),IF(F44&lt;OFFSET($BN$9,DT44+1,0,1,1),((F44-OFFSET($BM$9,DT44+1,0,1,1))*OFFSET($CH$9,DT44+1,0,1,1))+OFFSET($BO$9,DT44+1,CQ44,1,1),IF(F44&lt;OFFSET($BN$9,DT44+2,0,1,1),((F44-OFFSET($BM$9,DT44+2,0,1,1))*OFFSET($CH$9,DT44+2,0,1,1))+OFFSET($BO$9,DT44+2,CQ44,1,1),IF(F44&lt;OFFSET($BN$9,DT44+3,0,1,1),((F44-OFFSET($BM$9,DT44+3,0,1,1))*OFFSET($CH$9,DT44+3,0,1,1))+OFFSET($BO$9,DT44+3,CQ44,1,1),0))))))</f>
        <v>0</v>
      </c>
      <c r="DV44" s="1552">
        <f ca="1">IF($F44&lt;OFFSET($BM$9,$DT44-1,0,1,1),0,IF($F44&lt;OFFSET($BN$9,$DT44-1,0,1,1),IF(AND($H44&gt;2.4,Z44&lt;&gt;"e",Z44&lt;&gt;"f"),DZ44*2.4/$H44,DZ44),IF($F44&lt;OFFSET($BN$9,$DT44+0,0,1,1),IF(AND($H44&gt;2.4,Z44&lt;&gt;"e",Z44&lt;&gt;"f"),DZ44*2.4/$H44,DZ44),IF($F44&lt;OFFSET($BN$9,$DT44+1,0,1,1),IF(AND($H44&gt;2.4,Z44&lt;&gt;"e",Z44&lt;&gt;"f"),DZ44*2.4/$H44,DZ44),IF($F44&lt;OFFSET($BN$9,$DT44+2,0,1,1),IF(AND($H44&gt;2.4,Z44&lt;&gt;"e",Z44&lt;&gt;"f"),DZ44*2.4/$H44,DZ44),IF($F44&lt;OFFSET($BN$9,$DT44+3,0,1,1),IF(AND($H44&gt;2.4,Z44&lt;&gt;"e",Z44&lt;&gt;"f"),DZ44*2.4/$H44,DZ44),0)))))*COS(RADIANS($G44)))</f>
        <v>0</v>
      </c>
      <c r="DW44" s="188">
        <f ca="1">IF(F44&lt;OFFSET($BM$9,DT44-1,0,1,1),0,IF(F44&lt;OFFSET($BN$9,DT44-1,0,1,1),((F44-OFFSET($BM$9,DT44-1,0,1,1))*OFFSET($CI$9,DT44-1,0,1,1))+OFFSET($BP$9,DT44-1,CQ44,1,1),IF(F44&lt;OFFSET($BN$9,DT44+0,0,1,1),((F44-OFFSET($BM$9,DT44+0,0,1,1))*OFFSET($CI$9,DT44+0,0,1,1))+OFFSET($BP$9,DT44+0,CQ44,1,1),IF(F44&lt;OFFSET($BN$9,DT44+1,0,1,1),((F44-OFFSET($BM$9,DT44+1,0,1,1))*OFFSET($CI$9,DT44+1,0,1,1))+OFFSET($BP$9,DT44+1,CQ44,1,1),IF(F44&lt;OFFSET($BN$9,DT44+2,0,1,1),((F44-OFFSET($BM$9,DT44+2,0,1,1))*OFFSET($CI$9,DT44+2,0,1,1))+OFFSET($BP$9,DT44+2,CQ44,1,1),IF(F44&lt;OFFSET($BN$9,DT44+3,0,1,1),((F44-OFFSET($BM$9,DT44+3,0,1,1))*OFFSET($CI$9,DT44+3,0,1,1))+OFFSET($BP$9,DT44+3,CQ44,1,1),0))))))</f>
        <v>0</v>
      </c>
      <c r="DX44" s="1552">
        <f ca="1">IF($F44&lt;OFFSET($BM$9,$DT44-1,0,1,1),0,IF($F44&lt;OFFSET($BN$9,$DT44-1,0,1,1),IF(AND($H44&gt;2.4,Z44&lt;&gt;"e",Z44&lt;&gt;"f"),EB44*2.4/$H44,EB44),IF($F44&lt;OFFSET($BN$9,$DT44+0,0,1,1),IF(AND($H44&gt;2.4,Z44&lt;&gt;"e",Z44&lt;&gt;"f"),EB44*2.4/$H44,EB44),IF($F44&lt;OFFSET($BN$9,$DT44+1,0,1,1),IF(AND($H44&gt;2.4,Z44&lt;&gt;"e",Z44&lt;&gt;"f"),EB44*2.4/$H44,EB44),IF($F44&lt;OFFSET($BN$9,$DT44+2,0,1,1),IF(AND($H44&gt;2.4,Z44&lt;&gt;"e",Z44&lt;&gt;"f"),EB44*2.4/$H44,EB44),IF($F44&lt;OFFSET($BN$9,$DT44+3,0,1,1),IF(AND($H44&gt;2.4,Z44&lt;&gt;"e",Z44&lt;&gt;"f"),EB44*2.4/$H44,EB44),0)))))*COS(RADIANS($G44)))</f>
        <v>0</v>
      </c>
      <c r="DY44" s="188"/>
      <c r="DZ44" s="188">
        <f ca="1">IF(DU44&gt;$CR44,$CR44,DU44)</f>
        <v>0</v>
      </c>
      <c r="EA44" s="188"/>
      <c r="EB44" s="188">
        <f ca="1">IF(DW44&gt;$CR44,$CR44,DW44)</f>
        <v>0</v>
      </c>
      <c r="EC44" s="435">
        <f ca="1">IF(DV44&gt;$CR44,$CR44,DV44)</f>
        <v>0</v>
      </c>
      <c r="ED44" s="435">
        <f ca="1">EC44*F44</f>
        <v>0</v>
      </c>
      <c r="EE44" s="436">
        <f ca="1">IF(DX44&gt;$CR44,$CR44,DX44)</f>
        <v>0</v>
      </c>
      <c r="EF44" s="437">
        <f ca="1">EE44*F44</f>
        <v>0</v>
      </c>
      <c r="EG44" s="613" t="str">
        <f>IF(D44=BG$12,BG$12,"")</f>
        <v/>
      </c>
      <c r="EH44" s="614" t="str">
        <f>IF(D44=BG$13,BG$13,"")</f>
        <v/>
      </c>
      <c r="EI44" s="611">
        <f>IF(EG44=BG$12,M44,0)</f>
        <v>0</v>
      </c>
      <c r="EJ44" s="451">
        <f>IF(EG44=BG$12,O44,0)</f>
        <v>0</v>
      </c>
      <c r="EK44" s="451">
        <f>IF(EH44=BG$13,M44,0)</f>
        <v>0</v>
      </c>
      <c r="EL44" s="612">
        <f>IF(EH44=BG$13,O44,0)</f>
        <v>0</v>
      </c>
      <c r="EM44" s="426" t="str">
        <f ca="1">IF(AND(Z44&lt;&gt;"t",Z44&lt;&gt;"f"),"",IF(AND(EN44=$BH$13,K44=$BH$12),"NotOpt",IF(K44&lt;&gt;EN44,"Error","")))</f>
        <v/>
      </c>
      <c r="EN44" s="490" t="str">
        <f>IF($BG$28=1,$BH$13,$BH$12)</f>
        <v>120 BU's</v>
      </c>
      <c r="EO44" s="426" t="str">
        <f>K44</f>
        <v xml:space="preserve"> </v>
      </c>
      <c r="EP44" s="430">
        <v>1</v>
      </c>
      <c r="EQ44" s="430" t="str">
        <f ca="1">IF(EP44=1," ",OFFSET(BF$16,EP44-2,0,1,1))</f>
        <v xml:space="preserve"> </v>
      </c>
      <c r="ER44" s="439" t="str">
        <f ca="1">IF(H44=0," ",H44)</f>
        <v xml:space="preserve"> </v>
      </c>
      <c r="ES44" s="440" t="str">
        <f ca="1">IF(ER44&lt;&gt;" ",IF(ER44&lt;&gt;ER$7,"Changed",""),"")</f>
        <v/>
      </c>
      <c r="ET44" s="440">
        <f ca="1">IF(ER44&lt;&gt;" ",IF(ER44&lt;&gt;ER$7,1,0),0)</f>
        <v>0</v>
      </c>
      <c r="EU44" s="957" t="str">
        <f ca="1">IF(I44=" "," ",IF(F44&lt;OFFSET($BM$9,CL44-1,0,1,1),1,""))</f>
        <v xml:space="preserve"> </v>
      </c>
      <c r="EW44" s="427"/>
      <c r="EX44"/>
      <c r="EY44"/>
      <c r="EZ44"/>
      <c r="FA44"/>
    </row>
    <row r="45" spans="1:157" ht="17.100000000000001" customHeight="1" thickBot="1">
      <c r="A45" s="2685"/>
      <c r="B45" s="689" t="s">
        <v>246</v>
      </c>
      <c r="C45" s="684" t="str">
        <f>IF(OR(F45=0,I45="",I45=" ")," ",$V45)</f>
        <v xml:space="preserve"> </v>
      </c>
      <c r="D45" s="1033"/>
      <c r="E45" s="1360" t="s">
        <v>8</v>
      </c>
      <c r="F45" s="202"/>
      <c r="G45" s="1416"/>
      <c r="H45" s="199" t="str">
        <f ca="1">IF(OR(F45=0,Z45="E",Z45="f")," ",'Project Demand'!E$45)</f>
        <v xml:space="preserve"> </v>
      </c>
      <c r="I45" s="631" t="str">
        <f>IF($I$6&lt;&gt;$BG$8," ",AB45)</f>
        <v xml:space="preserve"> </v>
      </c>
      <c r="J45" s="44" t="str">
        <f ca="1">IF(OR(I45=" ",I45="")," ",OFFSET($BO$9,CL45-1,0-4,1,1))</f>
        <v xml:space="preserve"> </v>
      </c>
      <c r="K45" s="55" t="str">
        <f>IF(OR(I45=" ",I45="")," ",IF(OR(Z45="e",Z45="h"),"SD",BG$24))</f>
        <v xml:space="preserve"> </v>
      </c>
      <c r="L45" s="49">
        <f ca="1">CW45</f>
        <v>0</v>
      </c>
      <c r="M45" s="49">
        <f ca="1">CY45</f>
        <v>0</v>
      </c>
      <c r="N45" s="50">
        <f t="shared" ca="1" si="26"/>
        <v>0</v>
      </c>
      <c r="O45" s="126">
        <f t="shared" ca="1" si="26"/>
        <v>0</v>
      </c>
      <c r="P45" s="140"/>
      <c r="Q45" s="752" t="str">
        <f ca="1">IF(AND(OR(Z45="t",Z45="f"),K45=$BH$11),"No Floor!  Change Floor Type",IF(OR(I45=" ",I45="")," ",IF(F45&lt;OFFSET($BM$9,CL45-1,0,1,1),"check L(m)",DE45&amp;IF(AND(DP45&gt;=CY45,DR45&gt;=DB45),IF(AND(ED45&gt;=DP45,EF45&gt;=DR45),CONCATENATE(DS45," will provide same result"),CONCATENATE(CO45," will provide same result")),IF((DP45&gt;=CY45),CONCATENATE(CO45," provides same result in WIND"),IF((DR45&gt;=DB45),CONCATENATE(CO45," provides same result in EQ"),""))))))&amp;IF(ISERROR(FIND("pile",I45,1)),"",IF(INT(F45)&lt;&gt;F45,"Pile!  Use Whole Numbers Only",""))</f>
        <v xml:space="preserve"> </v>
      </c>
      <c r="R45" s="52"/>
      <c r="S45" s="1372"/>
      <c r="T45" s="1372"/>
      <c r="U45" s="1377"/>
      <c r="V45" s="52" t="str">
        <f ca="1">IF(AND(B$5=$BF$9,OR(I45=BH$16,I45=BH$17))," ",IF(ISNUMBER(B$44),(CONCATENATE(B$44,".",W45)),(CONCATENATE(B$44,W45))))</f>
        <v>S0</v>
      </c>
      <c r="W45" s="9">
        <f ca="1">W44+X45</f>
        <v>0</v>
      </c>
      <c r="X45" s="9">
        <f>IF(AND(B$5=$BF$9,OR($I45=$BH$16,$I45=$BH$17,$I45=" ",$I45="",$F45=0)),0,IF(OR($I45=" ",$I45="",$F45=0),0,1))</f>
        <v>0</v>
      </c>
      <c r="Y45" s="896"/>
      <c r="Z45" s="52" t="str">
        <f ca="1">IF(I45=" "," ",OFFSET($BM$9,$CL45-1,8,1,1))</f>
        <v xml:space="preserve"> </v>
      </c>
      <c r="AA45" s="51" t="str">
        <f>IF(G45&gt;=45,"WA","")</f>
        <v/>
      </c>
      <c r="AB45" s="1364" t="str">
        <f>IF(F45&lt;&gt;"",IF(OR(D45=$BG$12,D45=$BG$13),IF(E45&lt;&gt;$BG$17,$BF$12,$BF$13),IF(E45&lt;&gt;$BG$17,$BF$12,$BF$13))," ")</f>
        <v xml:space="preserve"> </v>
      </c>
      <c r="AC45" s="1"/>
      <c r="AK45" s="2184" t="str">
        <f>'Custom Elements'!B6</f>
        <v>Supplier or Type</v>
      </c>
      <c r="AL45" s="2823" t="str">
        <f>'Custom Elements'!C6</f>
        <v xml:space="preserve"> Custom System Number</v>
      </c>
      <c r="AM45" s="1862" t="str">
        <f>'Custom Elements'!D6</f>
        <v>Min Length (m) or #</v>
      </c>
      <c r="AN45" s="2565" t="str">
        <f>'Custom Elements'!E6</f>
        <v>BU's/m   Wind</v>
      </c>
      <c r="AO45" s="2565" t="str">
        <f>'Custom Elements'!F6</f>
        <v>BU's/m   EQ</v>
      </c>
      <c r="AP45" s="1244"/>
      <c r="AQ45" s="1862" t="str">
        <f>'Custom Elements'!H6</f>
        <v>Single or Double Sided System</v>
      </c>
      <c r="AR45" s="1866" t="str">
        <f>'Custom Elements'!I6</f>
        <v>Height Dependant</v>
      </c>
      <c r="AS45" s="2232" t="str">
        <f>'Custom Elements'!J6</f>
        <v>Foundation Dependant</v>
      </c>
      <c r="AT45" s="1164"/>
      <c r="AU45" s="1164"/>
      <c r="AZ45" s="2232" t="s">
        <v>1102</v>
      </c>
      <c r="BA45"/>
      <c r="BB45"/>
      <c r="BC45"/>
      <c r="BD45" s="637"/>
      <c r="BF45" s="600" t="s">
        <v>8</v>
      </c>
      <c r="BI45" s="759"/>
      <c r="BJ45" s="897">
        <f t="shared" si="25"/>
        <v>37</v>
      </c>
      <c r="BK45" s="1224"/>
      <c r="BL45" s="1209"/>
      <c r="BM45" s="969">
        <f>Table!J11</f>
        <v>0.6</v>
      </c>
      <c r="BN45" s="455">
        <f t="shared" ref="BN45:BN47" si="27">BM46</f>
        <v>0.8</v>
      </c>
      <c r="BO45" s="455">
        <f>Table!K11</f>
        <v>57</v>
      </c>
      <c r="BP45" s="925">
        <f>Table!L11</f>
        <v>52</v>
      </c>
      <c r="BR45" s="1225"/>
      <c r="BS45" s="1212"/>
      <c r="BT45" s="1212"/>
      <c r="BU45" s="1226" t="s">
        <v>242</v>
      </c>
      <c r="BV45" s="895"/>
      <c r="BW45" s="603"/>
      <c r="BX45" s="1226" t="str">
        <f>Table!N11</f>
        <v>Double</v>
      </c>
      <c r="CH45" s="764">
        <f>IF(BN45=999,0,(BO46-BO45)/(BN45-BM45))</f>
        <v>4.9999999999999982</v>
      </c>
      <c r="CI45" s="925">
        <f>IF(BN45=999,0,(BP46-BP45)/(BN45-BM45))</f>
        <v>4.9999999999999982</v>
      </c>
      <c r="CJ45" s="759"/>
      <c r="CK45" s="188"/>
      <c r="CL45" s="979">
        <f>VLOOKUP(I45,Prodlink,2,0)</f>
        <v>0</v>
      </c>
      <c r="CN45" s="497">
        <f ca="1">VLOOKUP(CO45,Prodlink,2,0)</f>
        <v>0</v>
      </c>
      <c r="CO45" s="497">
        <f ca="1">OFFSET($CH$9,CL45-1,-15,1,1)</f>
        <v>0</v>
      </c>
      <c r="CQ45" s="51">
        <v>0</v>
      </c>
      <c r="CR45" s="51">
        <f>IF(K45=$BH$12,$BH$23,IF(K45=$BH$13,$BH$24,10000))</f>
        <v>10000</v>
      </c>
      <c r="CS45" s="51">
        <f ca="1">IF(F45&lt;OFFSET($BM$9,CL45-1,0,1,1),0,IF(F45&lt;OFFSET($BN$9,CL45-1,0,1,1),((F45-OFFSET($BM$9,CL45-1,0,1,1))*OFFSET($CH$9,CL45-1,0,1,1))+OFFSET($BO$9,CL45-1,CQ45,1,1),IF(F45&lt;OFFSET($BN$9,CL45+0,0,1,1),((F45-OFFSET($BM$9,CL45+0,0,1,1))*OFFSET($CH$9,CL45+0,0,1,1))+OFFSET($BO$9,CL45+0,CQ45,1,1),IF(F45&lt;OFFSET($BN$9,CL45+1,0,1,1),((F45-OFFSET($BM$9,CL45+1,0,1,1))*OFFSET($CH$9,CL45+1,0,1,1))+OFFSET($BO$9,CL45+1,CQ45,1,1),IF(F45&lt;OFFSET($BN$9,CL45+2,0,1,1),((F45-OFFSET($BM$9,CL45+2,0,1,1))*OFFSET($CH$9,CL45+2,0,1,1))+OFFSET($BO$9,CL45+2,CQ45,1,1),IF(F45&lt;OFFSET($BN$9,CL45+3,0,1,1),((F45-OFFSET($BM$9,CL45+3,0,1,1))*OFFSET($CH$9,CL45+3,0,1,1))+OFFSET($BO$9,CL45+3,CQ45,1,1),0))))))</f>
        <v>0</v>
      </c>
      <c r="CT45" s="51">
        <f ca="1">IF($F45&lt;OFFSET($BM$9,$CL45-1,0,1,1),0,IF($F45&lt;OFFSET($BN$9,$CL45-1,0,1,1),IF(AND($H45&gt;2.4,Z45&lt;&gt;"e",Z45&lt;&gt;"f"),CX45*2.4/$H45,CX45),IF($F45&lt;OFFSET($BN$9,$CL45+0,0,1,1),IF(AND($H45&gt;2.4,Z45&lt;&gt;"e",Z45&lt;&gt;"f"),CX45*2.4/$H45,CX45),IF($F45&lt;OFFSET($BN$9,$CL45+1,0,1,1),IF(AND($H45&gt;2.4,Z45&lt;&gt;"e",Z45&lt;&gt;"f"),CX45*2.4/$H45,CX45),IF($F45&lt;OFFSET($BN$9,CL45+2,0,1,1),IF(AND($H45&gt;2.4,Z45&lt;&gt;"e",Z45&lt;&gt;"f"),CX45*2.4/$H45,CX45),IF($F45&lt;OFFSET($BN$9,CL45+3,0,1,1),IF(AND($H45&gt;2.4,Z45&lt;&gt;"e",Z45&lt;&gt;"f"),CX45*2.4/$H45,CX45),0)))))*COS(RADIANS($G45)))</f>
        <v>0</v>
      </c>
      <c r="CU45" s="51">
        <f ca="1">IF(F45&lt;OFFSET($BM$9,CL45-1,0,1,1),0,IF(F45&lt;OFFSET($BN$9,CL45-1,0,1,1),((F45-OFFSET($BM$9,CL45-1,0,1,1))*OFFSET($CI$9,CL45-1,0,1,1))+OFFSET($BP$9,CL45-1,CQ45,1,1),IF(F45&lt;OFFSET($BN$9,CL45+0,0,1,1),((F45-OFFSET($BM$9,CL45+0,0,1,1))*OFFSET($CI$9,CL45+0,0,1,1))+OFFSET($BP$9,CL45+0,CQ45,1,1),IF(F45&lt;OFFSET($BN$9,CL45+1,0,1,1),((F45-OFFSET($BM$9,CL45+1,0,1,1))*OFFSET($CI$9,CL45+1,0,1,1))+OFFSET($BP$9,CL45+1,CQ45,1,1),IF(F45&lt;OFFSET($BN$9,CL45+2,0,1,1),((F45-OFFSET($BM$9,CL45+2,0,1,1))*OFFSET($CI$9,CL45+2,0,1,1))+OFFSET($BP$9,CL45+2,CQ45,1,1),IF(F45&lt;OFFSET($BN$9,CL45+3,0,1,1),((F45-OFFSET($BM$9,CL45+3,0,1,1))*OFFSET($CI$9,CL45+3,0,1,1))+OFFSET($BP$9,CL45+3,CQ45,1,1),0))))))</f>
        <v>0</v>
      </c>
      <c r="CV45" s="51">
        <f ca="1">IF($F45&lt;OFFSET($BM$9,$CL45-1,0,1,1),0,IF($F45&lt;OFFSET($BN$9,$CL45-1,0,1,1),IF(AND($H45&gt;2.4,Z45&lt;&gt;"e",Z45&lt;&gt;"f"),CZ45*2.4/$H45,CZ45),IF($F45&lt;OFFSET($BN$9,$CL45+0,0,1,1),IF(AND($H45&gt;2.4,Z45&lt;&gt;"e",Z45&lt;&gt;"f"),CZ45*2.4/$H45,CZ45),IF($F45&lt;OFFSET($BN$9,$CL45+1,0,1,1),IF(AND($H45&gt;2.4,Z45&lt;&gt;"e",Z45&lt;&gt;"f"),CZ45*2.4/$H45,CZ45),IF($F45&lt;OFFSET($BN$9,$CL45+2,0,1,1),IF(AND($H45&gt;2.4,Z45&lt;&gt;"e",Z45&lt;&gt;"f"),CZ45*2.4/$H45,CZ45),IF($F45&lt;OFFSET($BN$9,$CL45+3,0,1,1),IF(AND($H45&gt;2.4,Z45&lt;&gt;"e",Z45&lt;&gt;"f"),CZ45*2.4/$H45,CZ45),0)))))*COS(RADIANS($G45)))</f>
        <v>0</v>
      </c>
      <c r="CW45" s="51">
        <f ca="1">IF(CT45&gt;CR45,CR45,CT45)</f>
        <v>0</v>
      </c>
      <c r="CX45" s="51">
        <f ca="1">IF(CS45&gt;$CR45,$CR45,CS45)</f>
        <v>0</v>
      </c>
      <c r="CY45" s="51">
        <f ca="1">CW45*F45</f>
        <v>0</v>
      </c>
      <c r="CZ45" s="51">
        <f ca="1">IF($CU45&gt;$CR45,$CR45,$CU45)</f>
        <v>0</v>
      </c>
      <c r="DA45" s="51">
        <f ca="1">IF(CV45&gt;CR45,CR45,CV45)</f>
        <v>0</v>
      </c>
      <c r="DB45" s="51">
        <f ca="1">DA45*F45</f>
        <v>0</v>
      </c>
      <c r="DC45" s="993">
        <v>1</v>
      </c>
      <c r="DD45" s="758" t="str">
        <f>IF(OR(D45=BG$12,D45=BG$13),"External",IF(D45=BG$14,"Internal"," "))</f>
        <v xml:space="preserve"> </v>
      </c>
      <c r="DE45" s="51" t="str">
        <f t="shared" ca="1" si="1"/>
        <v/>
      </c>
      <c r="DF45" s="52" t="str">
        <f t="shared" ca="1" si="2"/>
        <v xml:space="preserve"> </v>
      </c>
      <c r="DG45" s="51">
        <f ca="1">IF(F45&lt;OFFSET($BM$9,CN45-1,0,1,1),0,IF(F45&lt;OFFSET($BN$9,CN45-1,0,1,1),((F45-OFFSET($BM$9,CN45-1,0,1,1))*OFFSET($CH$9,CN45-1,0,1,1))+OFFSET($BO$9,CN45-1,CQ45,1,1),IF(F45&lt;OFFSET($BN$9,CN45+0,0,1,1),((F45-OFFSET($BM$9,CN45+0,0,1,1))*OFFSET($CH$9,CN45+0,0,1,1))+OFFSET($BO$9,CN45+0,CQ45,1,1),IF(F45&lt;OFFSET($BN$9,CN45+1,0,1,1),((F45-OFFSET($BM$9,CN45+1,0,1,1))*OFFSET($CH$9,CN45+1,0,1,1))+OFFSET($BO$9,CN45+1,CQ45,1,1),IF(F45&lt;OFFSET($BN$9,CN45+2,0,1,1),((F45-OFFSET($BM$9,CN45+2,0,1,1))*OFFSET($CH$9,CN45+2,0,1,1))+OFFSET($BO$9,CN45+2,CQ45,1,1),IF(F45&lt;OFFSET($BN$9,CN45+3,0,1,1),((F45-OFFSET($BM$9,CN45+3,0,1,1))*OFFSET($CH$9,CN45+3,0,1,1))+OFFSET($BO$9,CN45+3,CQ45,1,1),0))))))</f>
        <v>0</v>
      </c>
      <c r="DH45" s="51">
        <f ca="1">IF($F45&lt;OFFSET($BM$9,$CN45-1,0,1,1),0,IF($F45&lt;OFFSET($BN$9,$CN45-1,0,1,1),IF(AND($H45&gt;2.4,Z45&lt;&gt;"e",Z45&lt;&gt;"f"),DL45*2.4/$H45,DL45),IF($F45&lt;OFFSET($BN$9,$CN45+0,0,1,1),IF(AND($H45&gt;2.4,Z45&lt;&gt;"e",Z45&lt;&gt;"f"),DL45*2.4/$H45,DL45),IF($F45&lt;OFFSET($BN$9,$CN45+1,0,1,1),IF(AND($H45&gt;2.4,Z45&lt;&gt;"e",Z45&lt;&gt;"f"),DL45*2.4/$H45,DL45),IF($F45&lt;OFFSET($BN$9,$CN45+2,0,1,1),IF(AND($H45&gt;2.4,Z45&lt;&gt;"e",Z45&lt;&gt;"f"),DL45*2.4/$H45,DL45),IF($F45&lt;OFFSET($BN$9,$CN45+3,0,1,1),IF(AND($H45&gt;2.4,Z45&lt;&gt;"e",Z45&lt;&gt;"f"),DL45*2.4/$H45,DL45),0)))))*COS(RADIANS($G45)))</f>
        <v>0</v>
      </c>
      <c r="DI45" s="51">
        <f ca="1">IF(F45&lt;OFFSET($BM$9,CN45-1,0,1,1),0,IF(F45&lt;OFFSET($BN$9,CN45-1,0,1,1),((F45-OFFSET($BM$9,CN45-1,0,1,1))*OFFSET($CI$9,CN45-1,0,1,1))+OFFSET($BP$9,CN45-1,CQ45,1,1),IF(F45&lt;OFFSET($BN$9,CN45+0,0,1,1),((F45-OFFSET($BM$9,CN45+0,0,1,1))*OFFSET($CI$9,CN45+0,0,1,1))+OFFSET($BP$9,CN45+0,CQ45,1,1),IF(F45&lt;OFFSET($BN$9,CN45+1,0,1,1),((F45-OFFSET($BM$9,CN45+1,0,1,1))*OFFSET($CI$9,CN45+1,0,1,1))+OFFSET($BP$9,CN45+1,CQ45,1,1),IF(F45&lt;OFFSET($BN$9,CN45+2,0,1,1),((F45-OFFSET($BM$9,CN45+2,0,1,1))*OFFSET($CI$9,CN45+2,0,1,1))+OFFSET($BP$9,CN45+2,CQ45,1,1),IF(F45&lt;OFFSET($BN$9,CN45+3,0,1,1),((F45-OFFSET($BM$9,CN45+3,0,1,1))*OFFSET($CI$9,CN45+3,0,1,1))+OFFSET($BP$9,CN45+3,CQ45,1,1),0))))))</f>
        <v>0</v>
      </c>
      <c r="DJ45" s="51">
        <f ca="1">IF($F45&lt;OFFSET($BM$9,$CN45-1,0,1,1),0,IF($F45&lt;OFFSET($BN$9,$CN45-1,0,1,1),IF(AND($H45&gt;2.4,Z45&lt;&gt;"e",Z45&lt;&gt;"f"),DN45*2.4/$H45,DN45),IF($F45&lt;OFFSET($BN$9,$CN45+0,0,1,1),IF(AND($H45&gt;2.4,Z45&lt;&gt;"e",Z45&lt;&gt;"f"),DN45*2.4/$H45,DN45),IF($F45&lt;OFFSET($BN$9,$CN45+1,0,1,1),IF(AND($H45&gt;2.4,Z45&lt;&gt;"e",Z45&lt;&gt;"f"),DN45*2.4/$H45,DN45),IF($F45&lt;OFFSET($BN$9,$CN45+2,0,1,1),IF(AND($H45&gt;2.4,Z45&lt;&gt;"e",Z45&lt;&gt;"f"),DN45*2.4/$H45,DN45),IF($F45&lt;OFFSET($BN$9,$CN45+3,0,1,1),IF(AND($H45&gt;2.4,Z45&lt;&gt;"e",Z45&lt;&gt;"f"),DN45*2.4/$H45,DN45),0)))))*COS(RADIANS($G45)))</f>
        <v>0</v>
      </c>
      <c r="DK45" s="51"/>
      <c r="DL45" s="51">
        <f ca="1">IF(DG45&gt;$CR45,$CR45,DG45)</f>
        <v>0</v>
      </c>
      <c r="DM45" s="51"/>
      <c r="DN45" s="51">
        <f ca="1">IF(DI45&gt;$CR45,$CR45,DI45)</f>
        <v>0</v>
      </c>
      <c r="DO45" s="435">
        <f ca="1">IF(DH45&gt;$CR45,$CR45,DH45)</f>
        <v>0</v>
      </c>
      <c r="DP45" s="435">
        <f ca="1">DO45*F45</f>
        <v>0</v>
      </c>
      <c r="DQ45" s="436">
        <f ca="1">IF(DJ45&gt;$CR45,$CR45,DJ45)</f>
        <v>0</v>
      </c>
      <c r="DR45" s="437">
        <f ca="1">DQ45*F45</f>
        <v>0</v>
      </c>
      <c r="DS45" s="426">
        <f ca="1">OFFSET($CH$9,CL45-1,-15,1,1)</f>
        <v>0</v>
      </c>
      <c r="DT45" s="426">
        <f ca="1">VLOOKUP(DS45,Prodlink,2,0)</f>
        <v>0</v>
      </c>
      <c r="DU45" s="188">
        <f ca="1">IF(F45&lt;OFFSET($BM$9,DT45-1,0,1,1),0,IF(F45&lt;OFFSET($BN$9,DT45-1,0,1,1),((F45-OFFSET($BM$9,DT45-1,0,1,1))*OFFSET($CH$9,DT45-1,0,1,1))+OFFSET($BO$9,DT45-1,CQ45,1,1),IF(F45&lt;OFFSET($BN$9,DT45+0,0,1,1),((F45-OFFSET($BM$9,DT45+0,0,1,1))*OFFSET($CH$9,DT45+0,0,1,1))+OFFSET($BO$9,DT45+0,CQ45,1,1),IF(F45&lt;OFFSET($BN$9,DT45+1,0,1,1),((F45-OFFSET($BM$9,DT45+1,0,1,1))*OFFSET($CH$9,DT45+1,0,1,1))+OFFSET($BO$9,DT45+1,CQ45,1,1),IF(F45&lt;OFFSET($BN$9,DT45+2,0,1,1),((F45-OFFSET($BM$9,DT45+2,0,1,1))*OFFSET($CH$9,DT45+2,0,1,1))+OFFSET($BO$9,DT45+2,CQ45,1,1),IF(F45&lt;OFFSET($BN$9,DT45+3,0,1,1),((F45-OFFSET($BM$9,DT45+3,0,1,1))*OFFSET($CH$9,DT45+3,0,1,1))+OFFSET($BO$9,DT45+3,CQ45,1,1),0))))))</f>
        <v>0</v>
      </c>
      <c r="DV45" s="51">
        <f ca="1">IF($F45&lt;OFFSET($BM$9,$DT45-1,0,1,1),0,IF($F45&lt;OFFSET($BN$9,$DT45-1,0,1,1),IF(AND($H45&gt;2.4,Z45&lt;&gt;"e",Z45&lt;&gt;"f"),DZ45*2.4/$H45,DZ45),IF($F45&lt;OFFSET($BN$9,$DT45+0,0,1,1),IF(AND($H45&gt;2.4,Z45&lt;&gt;"e",Z45&lt;&gt;"f"),DZ45*2.4/$H45,DZ45),IF($F45&lt;OFFSET($BN$9,$DT45+1,0,1,1),IF(AND($H45&gt;2.4,Z45&lt;&gt;"e",Z45&lt;&gt;"f"),DZ45*2.4/$H45,DZ45),IF($F45&lt;OFFSET($BN$9,$DT45+2,0,1,1),IF(AND($H45&gt;2.4,Z45&lt;&gt;"e",Z45&lt;&gt;"f"),DZ45*2.4/$H45,DZ45),IF($F45&lt;OFFSET($BN$9,$DT45+3,0,1,1),IF(AND($H45&gt;2.4,Z45&lt;&gt;"e",Z45&lt;&gt;"f"),DZ45*2.4/$H45,DZ45),0)))))*COS(RADIANS($G45)))</f>
        <v>0</v>
      </c>
      <c r="DW45" s="188">
        <f ca="1">IF(F45&lt;OFFSET($BM$9,DT45-1,0,1,1),0,IF(F45&lt;OFFSET($BN$9,DT45-1,0,1,1),((F45-OFFSET($BM$9,DT45-1,0,1,1))*OFFSET($CI$9,DT45-1,0,1,1))+OFFSET($BP$9,DT45-1,CQ45,1,1),IF(F45&lt;OFFSET($BN$9,DT45+0,0,1,1),((F45-OFFSET($BM$9,DT45+0,0,1,1))*OFFSET($CI$9,DT45+0,0,1,1))+OFFSET($BP$9,DT45+0,CQ45,1,1),IF(F45&lt;OFFSET($BN$9,DT45+1,0,1,1),((F45-OFFSET($BM$9,DT45+1,0,1,1))*OFFSET($CI$9,DT45+1,0,1,1))+OFFSET($BP$9,DT45+1,CQ45,1,1),IF(F45&lt;OFFSET($BN$9,DT45+2,0,1,1),((F45-OFFSET($BM$9,DT45+2,0,1,1))*OFFSET($CI$9,DT45+2,0,1,1))+OFFSET($BP$9,DT45+2,CQ45,1,1),IF(F45&lt;OFFSET($BN$9,DT45+3,0,1,1),((F45-OFFSET($BM$9,DT45+3,0,1,1))*OFFSET($CI$9,DT45+3,0,1,1))+OFFSET($BP$9,DT45+3,CQ45,1,1),0))))))</f>
        <v>0</v>
      </c>
      <c r="DX45" s="51">
        <f ca="1">IF($F45&lt;OFFSET($BM$9,$DT45-1,0,1,1),0,IF($F45&lt;OFFSET($BN$9,$DT45-1,0,1,1),IF(AND($H45&gt;2.4,Z45&lt;&gt;"e",Z45&lt;&gt;"f"),EB45*2.4/$H45,EB45),IF($F45&lt;OFFSET($BN$9,$DT45+0,0,1,1),IF(AND($H45&gt;2.4,Z45&lt;&gt;"e",Z45&lt;&gt;"f"),EB45*2.4/$H45,EB45),IF($F45&lt;OFFSET($BN$9,$DT45+1,0,1,1),IF(AND($H45&gt;2.4,Z45&lt;&gt;"e",Z45&lt;&gt;"f"),EB45*2.4/$H45,EB45),IF($F45&lt;OFFSET($BN$9,$DT45+2,0,1,1),IF(AND($H45&gt;2.4,Z45&lt;&gt;"e",Z45&lt;&gt;"f"),EB45*2.4/$H45,EB45),IF($F45&lt;OFFSET($BN$9,$DT45+3,0,1,1),IF(AND($H45&gt;2.4,Z45&lt;&gt;"e",Z45&lt;&gt;"f"),EB45*2.4/$H45,EB45),0)))))*COS(RADIANS($G45)))</f>
        <v>0</v>
      </c>
      <c r="DY45" s="188"/>
      <c r="DZ45" s="188">
        <f ca="1">IF(DU45&gt;$CR45,$CR45,DU45)</f>
        <v>0</v>
      </c>
      <c r="EA45" s="188"/>
      <c r="EB45" s="188">
        <f ca="1">IF(DW45&gt;$CR45,$CR45,DW45)</f>
        <v>0</v>
      </c>
      <c r="EC45" s="435">
        <f ca="1">IF(DV45&gt;$CR45,$CR45,DV45)</f>
        <v>0</v>
      </c>
      <c r="ED45" s="435">
        <f ca="1">EC45*F45</f>
        <v>0</v>
      </c>
      <c r="EE45" s="436">
        <f ca="1">IF(DX45&gt;$CR45,$CR45,DX45)</f>
        <v>0</v>
      </c>
      <c r="EF45" s="437">
        <f ca="1">EE45*F45</f>
        <v>0</v>
      </c>
      <c r="EG45" s="613" t="str">
        <f>IF(D45=BG$12,BG$12,"")</f>
        <v/>
      </c>
      <c r="EH45" s="614" t="str">
        <f>IF(D45=BG$13,BG$13,"")</f>
        <v/>
      </c>
      <c r="EI45" s="611">
        <f>IF(EG45=BG$12,M45,0)</f>
        <v>0</v>
      </c>
      <c r="EJ45" s="451">
        <f>IF(EG45=BG$12,O45,0)</f>
        <v>0</v>
      </c>
      <c r="EK45" s="451">
        <f>IF(EH45=BG$13,M45,0)</f>
        <v>0</v>
      </c>
      <c r="EL45" s="612">
        <f>IF(EH45=BG$13,O45,0)</f>
        <v>0</v>
      </c>
      <c r="EM45" s="426" t="str">
        <f ca="1">IF(AND(Z45&lt;&gt;"t",Z45&lt;&gt;"f"),"",IF(AND(EN45=$BH$13,K45=$BH$12),"NotOpt",IF(K45&lt;&gt;EN45,"Error","")))</f>
        <v/>
      </c>
      <c r="EN45" s="490" t="str">
        <f>IF($BG$28=1,$BH$13,$BH$12)</f>
        <v>120 BU's</v>
      </c>
      <c r="EO45" s="426" t="str">
        <f>K45</f>
        <v xml:space="preserve"> </v>
      </c>
      <c r="EP45" s="430">
        <v>1</v>
      </c>
      <c r="EQ45" s="430" t="str">
        <f ca="1">IF(EP45=1," ",OFFSET(BF$16,EP45-2,0,1,1))</f>
        <v xml:space="preserve"> </v>
      </c>
      <c r="ER45" s="439" t="str">
        <f ca="1">IF(H45=0," ",H45)</f>
        <v xml:space="preserve"> </v>
      </c>
      <c r="ES45" s="440" t="str">
        <f ca="1">IF(ER45&lt;&gt;" ",IF(ER45&lt;&gt;ER$7,"Changed",""),"")</f>
        <v/>
      </c>
      <c r="ET45" s="440">
        <f ca="1">IF(ER45&lt;&gt;" ",IF(ER45&lt;&gt;ER$7,1,0),0)</f>
        <v>0</v>
      </c>
      <c r="EU45" s="957" t="str">
        <f ca="1">IF(I45=" "," ",IF(F45&lt;OFFSET($BM$9,CL45-1,0,1,1),1,""))</f>
        <v xml:space="preserve"> </v>
      </c>
      <c r="EW45" s="427"/>
      <c r="EX45"/>
      <c r="EY45"/>
      <c r="EZ45"/>
      <c r="FA45"/>
    </row>
    <row r="46" spans="1:157" ht="17.100000000000001" customHeight="1">
      <c r="A46" s="2685"/>
      <c r="B46" s="689" t="s">
        <v>246</v>
      </c>
      <c r="C46" s="684" t="str">
        <f>IF(OR(F46=0,I46="",I46=" ")," ",$V46)</f>
        <v xml:space="preserve"> </v>
      </c>
      <c r="D46" s="1033"/>
      <c r="E46" s="1360" t="s">
        <v>8</v>
      </c>
      <c r="F46" s="202"/>
      <c r="G46" s="1416"/>
      <c r="H46" s="199" t="str">
        <f ca="1">IF(OR(F46=0,Z46="E",Z46="f")," ",'Project Demand'!E$45)</f>
        <v xml:space="preserve"> </v>
      </c>
      <c r="I46" s="631" t="str">
        <f>IF($I$6&lt;&gt;$BG$8," ",AB46)</f>
        <v xml:space="preserve"> </v>
      </c>
      <c r="J46" s="44" t="str">
        <f ca="1">IF(OR(I46=" ",I46="")," ",OFFSET($BO$9,CL46-1,0-4,1,1))</f>
        <v xml:space="preserve"> </v>
      </c>
      <c r="K46" s="55" t="str">
        <f>IF(OR(I46=" ",I46="")," ",IF(OR(Z46="e",Z46="h"),"SD",BG$24))</f>
        <v xml:space="preserve"> </v>
      </c>
      <c r="L46" s="49">
        <f ca="1">CW46</f>
        <v>0</v>
      </c>
      <c r="M46" s="49">
        <f ca="1">CY46</f>
        <v>0</v>
      </c>
      <c r="N46" s="50">
        <f t="shared" ca="1" si="26"/>
        <v>0</v>
      </c>
      <c r="O46" s="126">
        <f t="shared" ca="1" si="26"/>
        <v>0</v>
      </c>
      <c r="P46" s="140"/>
      <c r="Q46" s="752" t="str">
        <f ca="1">IF(AND(OR(Z46="t",Z46="f"),K46=$BH$11),"No Floor!  Change Floor Type",IF(OR(I46=" ",I46="")," ",IF(F46&lt;OFFSET($BM$9,CL46-1,0,1,1),"check L(m)",DE46&amp;IF(AND(DP46&gt;=CY46,DR46&gt;=DB46),IF(AND(ED46&gt;=DP46,EF46&gt;=DR46),CONCATENATE(DS46," will provide same result"),CONCATENATE(CO46," will provide same result")),IF((DP46&gt;=CY46),CONCATENATE(CO46," provides same result in WIND"),IF((DR46&gt;=DB46),CONCATENATE(CO46," provides same result in EQ"),""))))))&amp;IF(ISERROR(FIND("pile",I46,1)),"",IF(INT(F46)&lt;&gt;F46,"Pile!  Use Whole Numbers Only",""))</f>
        <v xml:space="preserve"> </v>
      </c>
      <c r="R46" s="52"/>
      <c r="S46" s="1372"/>
      <c r="T46" s="1372"/>
      <c r="U46" s="1377"/>
      <c r="V46" s="52" t="str">
        <f ca="1">IF(AND(B$5=$BF$9,OR(I46=BH$16,I46=BH$17))," ",IF(ISNUMBER(B$44),(CONCATENATE(B$44,".",W46)),(CONCATENATE(B$44,W46))))</f>
        <v>S0</v>
      </c>
      <c r="W46" s="9">
        <f ca="1">W45+X46</f>
        <v>0</v>
      </c>
      <c r="X46" s="9">
        <f>IF(AND(B$5=$BF$9,OR($I46=$BH$16,$I46=$BH$17,$I46=" ",$I46="",$F46=0)),0,IF(OR($I46=" ",$I46="",$F46=0),0,1))</f>
        <v>0</v>
      </c>
      <c r="Y46" s="896"/>
      <c r="Z46" s="52" t="str">
        <f ca="1">IF(I46=" "," ",OFFSET($BM$9,$CL46-1,8,1,1))</f>
        <v xml:space="preserve"> </v>
      </c>
      <c r="AA46" s="51" t="str">
        <f>IF(G46&gt;=45,"WA","")</f>
        <v/>
      </c>
      <c r="AB46" s="1364" t="str">
        <f>IF(F46&lt;&gt;"",IF(OR(D46=$BG$12,D46=$BG$13),IF(E46&lt;&gt;$BG$17,$BF$12,$BF$13),IF(E46&lt;&gt;$BG$17,$BF$12,$BF$13))," ")</f>
        <v xml:space="preserve"> </v>
      </c>
      <c r="AC46" s="1"/>
      <c r="AK46" s="2185"/>
      <c r="AL46" s="2246"/>
      <c r="AM46" s="1863"/>
      <c r="AN46" s="2252"/>
      <c r="AO46" s="2252"/>
      <c r="AP46" s="1244"/>
      <c r="AQ46" s="1863"/>
      <c r="AR46" s="2218"/>
      <c r="AS46" s="2233"/>
      <c r="AT46" s="1164"/>
      <c r="AU46" s="1164"/>
      <c r="AZ46" s="2233"/>
      <c r="BA46"/>
      <c r="BB46"/>
      <c r="BC46"/>
      <c r="BD46" s="637"/>
      <c r="BI46" s="759"/>
      <c r="BJ46" s="897">
        <f t="shared" si="25"/>
        <v>38</v>
      </c>
      <c r="BK46" s="1224"/>
      <c r="BL46" s="1209"/>
      <c r="BM46" s="969">
        <f>Table!J12</f>
        <v>0.8</v>
      </c>
      <c r="BN46" s="455">
        <f t="shared" si="27"/>
        <v>1</v>
      </c>
      <c r="BO46" s="455">
        <f>Table!K12</f>
        <v>58</v>
      </c>
      <c r="BP46" s="925">
        <f>Table!L12</f>
        <v>53</v>
      </c>
      <c r="BR46" s="1225"/>
      <c r="BS46" s="1212"/>
      <c r="BT46" s="1212"/>
      <c r="BU46" s="1226" t="s">
        <v>242</v>
      </c>
      <c r="BV46" s="895"/>
      <c r="BW46" s="603"/>
      <c r="BX46" s="1226" t="str">
        <f>Table!N11</f>
        <v>Double</v>
      </c>
      <c r="CH46" s="764">
        <f>IF(BN46=999,0,(BO47-BO46)/(BN46-BM46))</f>
        <v>5.0000000000000009</v>
      </c>
      <c r="CI46" s="925">
        <f>IF(BN46=999,0,(BP47-BP46)/(BN46-BM46))</f>
        <v>5.0000000000000009</v>
      </c>
      <c r="CJ46" s="759"/>
      <c r="CK46" s="188"/>
      <c r="CL46" s="979">
        <f>VLOOKUP(I46,Prodlink,2,0)</f>
        <v>0</v>
      </c>
      <c r="CN46" s="497">
        <f ca="1">VLOOKUP(CO46,Prodlink,2,0)</f>
        <v>0</v>
      </c>
      <c r="CO46" s="497">
        <f ca="1">OFFSET($CH$9,CL46-1,-15,1,1)</f>
        <v>0</v>
      </c>
      <c r="CQ46" s="51">
        <v>0</v>
      </c>
      <c r="CR46" s="51">
        <f>IF(K46=$BH$12,$BH$23,IF(K46=$BH$13,$BH$24,10000))</f>
        <v>10000</v>
      </c>
      <c r="CS46" s="51">
        <f ca="1">IF(F46&lt;OFFSET($BM$9,CL46-1,0,1,1),0,IF(F46&lt;OFFSET($BN$9,CL46-1,0,1,1),((F46-OFFSET($BM$9,CL46-1,0,1,1))*OFFSET($CH$9,CL46-1,0,1,1))+OFFSET($BO$9,CL46-1,CQ46,1,1),IF(F46&lt;OFFSET($BN$9,CL46+0,0,1,1),((F46-OFFSET($BM$9,CL46+0,0,1,1))*OFFSET($CH$9,CL46+0,0,1,1))+OFFSET($BO$9,CL46+0,CQ46,1,1),IF(F46&lt;OFFSET($BN$9,CL46+1,0,1,1),((F46-OFFSET($BM$9,CL46+1,0,1,1))*OFFSET($CH$9,CL46+1,0,1,1))+OFFSET($BO$9,CL46+1,CQ46,1,1),IF(F46&lt;OFFSET($BN$9,CL46+2,0,1,1),((F46-OFFSET($BM$9,CL46+2,0,1,1))*OFFSET($CH$9,CL46+2,0,1,1))+OFFSET($BO$9,CL46+2,CQ46,1,1),IF(F46&lt;OFFSET($BN$9,CL46+3,0,1,1),((F46-OFFSET($BM$9,CL46+3,0,1,1))*OFFSET($CH$9,CL46+3,0,1,1))+OFFSET($BO$9,CL46+3,CQ46,1,1),0))))))</f>
        <v>0</v>
      </c>
      <c r="CT46" s="51">
        <f ca="1">IF($F46&lt;OFFSET($BM$9,$CL46-1,0,1,1),0,IF($F46&lt;OFFSET($BN$9,$CL46-1,0,1,1),IF(AND($H46&gt;2.4,Z46&lt;&gt;"e",Z46&lt;&gt;"f"),CX46*2.4/$H46,CX46),IF($F46&lt;OFFSET($BN$9,$CL46+0,0,1,1),IF(AND($H46&gt;2.4,Z46&lt;&gt;"e",Z46&lt;&gt;"f"),CX46*2.4/$H46,CX46),IF($F46&lt;OFFSET($BN$9,$CL46+1,0,1,1),IF(AND($H46&gt;2.4,Z46&lt;&gt;"e",Z46&lt;&gt;"f"),CX46*2.4/$H46,CX46),IF($F46&lt;OFFSET($BN$9,CL46+2,0,1,1),IF(AND($H46&gt;2.4,Z46&lt;&gt;"e",Z46&lt;&gt;"f"),CX46*2.4/$H46,CX46),IF($F46&lt;OFFSET($BN$9,CL46+3,0,1,1),IF(AND($H46&gt;2.4,Z46&lt;&gt;"e",Z46&lt;&gt;"f"),CX46*2.4/$H46,CX46),0)))))*COS(RADIANS($G46)))</f>
        <v>0</v>
      </c>
      <c r="CU46" s="51">
        <f ca="1">IF(F46&lt;OFFSET($BM$9,CL46-1,0,1,1),0,IF(F46&lt;OFFSET($BN$9,CL46-1,0,1,1),((F46-OFFSET($BM$9,CL46-1,0,1,1))*OFFSET($CI$9,CL46-1,0,1,1))+OFFSET($BP$9,CL46-1,CQ46,1,1),IF(F46&lt;OFFSET($BN$9,CL46+0,0,1,1),((F46-OFFSET($BM$9,CL46+0,0,1,1))*OFFSET($CI$9,CL46+0,0,1,1))+OFFSET($BP$9,CL46+0,CQ46,1,1),IF(F46&lt;OFFSET($BN$9,CL46+1,0,1,1),((F46-OFFSET($BM$9,CL46+1,0,1,1))*OFFSET($CI$9,CL46+1,0,1,1))+OFFSET($BP$9,CL46+1,CQ46,1,1),IF(F46&lt;OFFSET($BN$9,CL46+2,0,1,1),((F46-OFFSET($BM$9,CL46+2,0,1,1))*OFFSET($CI$9,CL46+2,0,1,1))+OFFSET($BP$9,CL46+2,CQ46,1,1),IF(F46&lt;OFFSET($BN$9,CL46+3,0,1,1),((F46-OFFSET($BM$9,CL46+3,0,1,1))*OFFSET($CI$9,CL46+3,0,1,1))+OFFSET($BP$9,CL46+3,CQ46,1,1),0))))))</f>
        <v>0</v>
      </c>
      <c r="CV46" s="51">
        <f ca="1">IF($F46&lt;OFFSET($BM$9,$CL46-1,0,1,1),0,IF($F46&lt;OFFSET($BN$9,$CL46-1,0,1,1),IF(AND($H46&gt;2.4,Z46&lt;&gt;"e",Z46&lt;&gt;"f"),CZ46*2.4/$H46,CZ46),IF($F46&lt;OFFSET($BN$9,$CL46+0,0,1,1),IF(AND($H46&gt;2.4,Z46&lt;&gt;"e",Z46&lt;&gt;"f"),CZ46*2.4/$H46,CZ46),IF($F46&lt;OFFSET($BN$9,$CL46+1,0,1,1),IF(AND($H46&gt;2.4,Z46&lt;&gt;"e",Z46&lt;&gt;"f"),CZ46*2.4/$H46,CZ46),IF($F46&lt;OFFSET($BN$9,$CL46+2,0,1,1),IF(AND($H46&gt;2.4,Z46&lt;&gt;"e",Z46&lt;&gt;"f"),CZ46*2.4/$H46,CZ46),IF($F46&lt;OFFSET($BN$9,$CL46+3,0,1,1),IF(AND($H46&gt;2.4,Z46&lt;&gt;"e",Z46&lt;&gt;"f"),CZ46*2.4/$H46,CZ46),0)))))*COS(RADIANS($G46)))</f>
        <v>0</v>
      </c>
      <c r="CW46" s="51">
        <f ca="1">IF(CT46&gt;CR46,CR46,CT46)</f>
        <v>0</v>
      </c>
      <c r="CX46" s="51">
        <f ca="1">IF(CS46&gt;$CR46,$CR46,CS46)</f>
        <v>0</v>
      </c>
      <c r="CY46" s="51">
        <f ca="1">CW46*F46</f>
        <v>0</v>
      </c>
      <c r="CZ46" s="51">
        <f ca="1">IF($CU46&gt;$CR46,$CR46,$CU46)</f>
        <v>0</v>
      </c>
      <c r="DA46" s="51">
        <f ca="1">IF(CV46&gt;CR46,CR46,CV46)</f>
        <v>0</v>
      </c>
      <c r="DB46" s="51">
        <f ca="1">DA46*F46</f>
        <v>0</v>
      </c>
      <c r="DC46" s="993">
        <v>1</v>
      </c>
      <c r="DD46" s="758" t="str">
        <f>IF(OR(D46=BG$12,D46=BG$13),"External",IF(D46=BG$14,"Internal"," "))</f>
        <v xml:space="preserve"> </v>
      </c>
      <c r="DE46" s="51" t="str">
        <f t="shared" ca="1" si="1"/>
        <v/>
      </c>
      <c r="DF46" s="52" t="str">
        <f t="shared" ca="1" si="2"/>
        <v xml:space="preserve"> </v>
      </c>
      <c r="DG46" s="51">
        <f ca="1">IF(F46&lt;OFFSET($BM$9,CN46-1,0,1,1),0,IF(F46&lt;OFFSET($BN$9,CN46-1,0,1,1),((F46-OFFSET($BM$9,CN46-1,0,1,1))*OFFSET($CH$9,CN46-1,0,1,1))+OFFSET($BO$9,CN46-1,CQ46,1,1),IF(F46&lt;OFFSET($BN$9,CN46+0,0,1,1),((F46-OFFSET($BM$9,CN46+0,0,1,1))*OFFSET($CH$9,CN46+0,0,1,1))+OFFSET($BO$9,CN46+0,CQ46,1,1),IF(F46&lt;OFFSET($BN$9,CN46+1,0,1,1),((F46-OFFSET($BM$9,CN46+1,0,1,1))*OFFSET($CH$9,CN46+1,0,1,1))+OFFSET($BO$9,CN46+1,CQ46,1,1),IF(F46&lt;OFFSET($BN$9,CN46+2,0,1,1),((F46-OFFSET($BM$9,CN46+2,0,1,1))*OFFSET($CH$9,CN46+2,0,1,1))+OFFSET($BO$9,CN46+2,CQ46,1,1),IF(F46&lt;OFFSET($BN$9,CN46+3,0,1,1),((F46-OFFSET($BM$9,CN46+3,0,1,1))*OFFSET($CH$9,CN46+3,0,1,1))+OFFSET($BO$9,CN46+3,CQ46,1,1),0))))))</f>
        <v>0</v>
      </c>
      <c r="DH46" s="51">
        <f ca="1">IF($F46&lt;OFFSET($BM$9,$CN46-1,0,1,1),0,IF($F46&lt;OFFSET($BN$9,$CN46-1,0,1,1),IF(AND($H46&gt;2.4,Z46&lt;&gt;"e",Z46&lt;&gt;"f"),DL46*2.4/$H46,DL46),IF($F46&lt;OFFSET($BN$9,$CN46+0,0,1,1),IF(AND($H46&gt;2.4,Z46&lt;&gt;"e",Z46&lt;&gt;"f"),DL46*2.4/$H46,DL46),IF($F46&lt;OFFSET($BN$9,$CN46+1,0,1,1),IF(AND($H46&gt;2.4,Z46&lt;&gt;"e",Z46&lt;&gt;"f"),DL46*2.4/$H46,DL46),IF($F46&lt;OFFSET($BN$9,$CN46+2,0,1,1),IF(AND($H46&gt;2.4,Z46&lt;&gt;"e",Z46&lt;&gt;"f"),DL46*2.4/$H46,DL46),IF($F46&lt;OFFSET($BN$9,$CN46+3,0,1,1),IF(AND($H46&gt;2.4,Z46&lt;&gt;"e",Z46&lt;&gt;"f"),DL46*2.4/$H46,DL46),0)))))*COS(RADIANS($G46)))</f>
        <v>0</v>
      </c>
      <c r="DI46" s="51">
        <f ca="1">IF(F46&lt;OFFSET($BM$9,CN46-1,0,1,1),0,IF(F46&lt;OFFSET($BN$9,CN46-1,0,1,1),((F46-OFFSET($BM$9,CN46-1,0,1,1))*OFFSET($CI$9,CN46-1,0,1,1))+OFFSET($BP$9,CN46-1,CQ46,1,1),IF(F46&lt;OFFSET($BN$9,CN46+0,0,1,1),((F46-OFFSET($BM$9,CN46+0,0,1,1))*OFFSET($CI$9,CN46+0,0,1,1))+OFFSET($BP$9,CN46+0,CQ46,1,1),IF(F46&lt;OFFSET($BN$9,CN46+1,0,1,1),((F46-OFFSET($BM$9,CN46+1,0,1,1))*OFFSET($CI$9,CN46+1,0,1,1))+OFFSET($BP$9,CN46+1,CQ46,1,1),IF(F46&lt;OFFSET($BN$9,CN46+2,0,1,1),((F46-OFFSET($BM$9,CN46+2,0,1,1))*OFFSET($CI$9,CN46+2,0,1,1))+OFFSET($BP$9,CN46+2,CQ46,1,1),IF(F46&lt;OFFSET($BN$9,CN46+3,0,1,1),((F46-OFFSET($BM$9,CN46+3,0,1,1))*OFFSET($CI$9,CN46+3,0,1,1))+OFFSET($BP$9,CN46+3,CQ46,1,1),0))))))</f>
        <v>0</v>
      </c>
      <c r="DJ46" s="51">
        <f ca="1">IF($F46&lt;OFFSET($BM$9,$CN46-1,0,1,1),0,IF($F46&lt;OFFSET($BN$9,$CN46-1,0,1,1),IF(AND($H46&gt;2.4,Z46&lt;&gt;"e",Z46&lt;&gt;"f"),DN46*2.4/$H46,DN46),IF($F46&lt;OFFSET($BN$9,$CN46+0,0,1,1),IF(AND($H46&gt;2.4,Z46&lt;&gt;"e",Z46&lt;&gt;"f"),DN46*2.4/$H46,DN46),IF($F46&lt;OFFSET($BN$9,$CN46+1,0,1,1),IF(AND($H46&gt;2.4,Z46&lt;&gt;"e",Z46&lt;&gt;"f"),DN46*2.4/$H46,DN46),IF($F46&lt;OFFSET($BN$9,$CN46+2,0,1,1),IF(AND($H46&gt;2.4,Z46&lt;&gt;"e",Z46&lt;&gt;"f"),DN46*2.4/$H46,DN46),IF($F46&lt;OFFSET($BN$9,$CN46+3,0,1,1),IF(AND($H46&gt;2.4,Z46&lt;&gt;"e",Z46&lt;&gt;"f"),DN46*2.4/$H46,DN46),0)))))*COS(RADIANS($G46)))</f>
        <v>0</v>
      </c>
      <c r="DK46" s="51"/>
      <c r="DL46" s="51">
        <f ca="1">IF(DG46&gt;$CR46,$CR46,DG46)</f>
        <v>0</v>
      </c>
      <c r="DM46" s="51"/>
      <c r="DN46" s="51">
        <f ca="1">IF(DI46&gt;$CR46,$CR46,DI46)</f>
        <v>0</v>
      </c>
      <c r="DO46" s="435">
        <f ca="1">IF(DH46&gt;$CR46,$CR46,DH46)</f>
        <v>0</v>
      </c>
      <c r="DP46" s="435">
        <f ca="1">DO46*F46</f>
        <v>0</v>
      </c>
      <c r="DQ46" s="436">
        <f ca="1">IF(DJ46&gt;$CR46,$CR46,DJ46)</f>
        <v>0</v>
      </c>
      <c r="DR46" s="437">
        <f ca="1">DQ46*F46</f>
        <v>0</v>
      </c>
      <c r="DS46" s="426">
        <f ca="1">OFFSET($CH$9,CL46-1,-15,1,1)</f>
        <v>0</v>
      </c>
      <c r="DT46" s="426">
        <f ca="1">VLOOKUP(DS46,Prodlink,2,0)</f>
        <v>0</v>
      </c>
      <c r="DU46" s="188">
        <f ca="1">IF(F46&lt;OFFSET($BM$9,DT46-1,0,1,1),0,IF(F46&lt;OFFSET($BN$9,DT46-1,0,1,1),((F46-OFFSET($BM$9,DT46-1,0,1,1))*OFFSET($CH$9,DT46-1,0,1,1))+OFFSET($BO$9,DT46-1,CQ46,1,1),IF(F46&lt;OFFSET($BN$9,DT46+0,0,1,1),((F46-OFFSET($BM$9,DT46+0,0,1,1))*OFFSET($CH$9,DT46+0,0,1,1))+OFFSET($BO$9,DT46+0,CQ46,1,1),IF(F46&lt;OFFSET($BN$9,DT46+1,0,1,1),((F46-OFFSET($BM$9,DT46+1,0,1,1))*OFFSET($CH$9,DT46+1,0,1,1))+OFFSET($BO$9,DT46+1,CQ46,1,1),IF(F46&lt;OFFSET($BN$9,DT46+2,0,1,1),((F46-OFFSET($BM$9,DT46+2,0,1,1))*OFFSET($CH$9,DT46+2,0,1,1))+OFFSET($BO$9,DT46+2,CQ46,1,1),IF(F46&lt;OFFSET($BN$9,DT46+3,0,1,1),((F46-OFFSET($BM$9,DT46+3,0,1,1))*OFFSET($CH$9,DT46+3,0,1,1))+OFFSET($BO$9,DT46+3,CQ46,1,1),0))))))</f>
        <v>0</v>
      </c>
      <c r="DV46" s="51">
        <f ca="1">IF($F46&lt;OFFSET($BM$9,$DT46-1,0,1,1),0,IF($F46&lt;OFFSET($BN$9,$DT46-1,0,1,1),IF(AND($H46&gt;2.4,Z46&lt;&gt;"e",Z46&lt;&gt;"f"),DZ46*2.4/$H46,DZ46),IF($F46&lt;OFFSET($BN$9,$DT46+0,0,1,1),IF(AND($H46&gt;2.4,Z46&lt;&gt;"e",Z46&lt;&gt;"f"),DZ46*2.4/$H46,DZ46),IF($F46&lt;OFFSET($BN$9,$DT46+1,0,1,1),IF(AND($H46&gt;2.4,Z46&lt;&gt;"e",Z46&lt;&gt;"f"),DZ46*2.4/$H46,DZ46),IF($F46&lt;OFFSET($BN$9,$DT46+2,0,1,1),IF(AND($H46&gt;2.4,Z46&lt;&gt;"e",Z46&lt;&gt;"f"),DZ46*2.4/$H46,DZ46),IF($F46&lt;OFFSET($BN$9,$DT46+3,0,1,1),IF(AND($H46&gt;2.4,Z46&lt;&gt;"e",Z46&lt;&gt;"f"),DZ46*2.4/$H46,DZ46),0)))))*COS(RADIANS($G46)))</f>
        <v>0</v>
      </c>
      <c r="DW46" s="188">
        <f ca="1">IF(F46&lt;OFFSET($BM$9,DT46-1,0,1,1),0,IF(F46&lt;OFFSET($BN$9,DT46-1,0,1,1),((F46-OFFSET($BM$9,DT46-1,0,1,1))*OFFSET($CI$9,DT46-1,0,1,1))+OFFSET($BP$9,DT46-1,CQ46,1,1),IF(F46&lt;OFFSET($BN$9,DT46+0,0,1,1),((F46-OFFSET($BM$9,DT46+0,0,1,1))*OFFSET($CI$9,DT46+0,0,1,1))+OFFSET($BP$9,DT46+0,CQ46,1,1),IF(F46&lt;OFFSET($BN$9,DT46+1,0,1,1),((F46-OFFSET($BM$9,DT46+1,0,1,1))*OFFSET($CI$9,DT46+1,0,1,1))+OFFSET($BP$9,DT46+1,CQ46,1,1),IF(F46&lt;OFFSET($BN$9,DT46+2,0,1,1),((F46-OFFSET($BM$9,DT46+2,0,1,1))*OFFSET($CI$9,DT46+2,0,1,1))+OFFSET($BP$9,DT46+2,CQ46,1,1),IF(F46&lt;OFFSET($BN$9,DT46+3,0,1,1),((F46-OFFSET($BM$9,DT46+3,0,1,1))*OFFSET($CI$9,DT46+3,0,1,1))+OFFSET($BP$9,DT46+3,CQ46,1,1),0))))))</f>
        <v>0</v>
      </c>
      <c r="DX46" s="51">
        <f ca="1">IF($F46&lt;OFFSET($BM$9,$DT46-1,0,1,1),0,IF($F46&lt;OFFSET($BN$9,$DT46-1,0,1,1),IF(AND($H46&gt;2.4,Z46&lt;&gt;"e",Z46&lt;&gt;"f"),EB46*2.4/$H46,EB46),IF($F46&lt;OFFSET($BN$9,$DT46+0,0,1,1),IF(AND($H46&gt;2.4,Z46&lt;&gt;"e",Z46&lt;&gt;"f"),EB46*2.4/$H46,EB46),IF($F46&lt;OFFSET($BN$9,$DT46+1,0,1,1),IF(AND($H46&gt;2.4,Z46&lt;&gt;"e",Z46&lt;&gt;"f"),EB46*2.4/$H46,EB46),IF($F46&lt;OFFSET($BN$9,$DT46+2,0,1,1),IF(AND($H46&gt;2.4,Z46&lt;&gt;"e",Z46&lt;&gt;"f"),EB46*2.4/$H46,EB46),IF($F46&lt;OFFSET($BN$9,$DT46+3,0,1,1),IF(AND($H46&gt;2.4,Z46&lt;&gt;"e",Z46&lt;&gt;"f"),EB46*2.4/$H46,EB46),0)))))*COS(RADIANS($G46)))</f>
        <v>0</v>
      </c>
      <c r="DY46" s="188"/>
      <c r="DZ46" s="188">
        <f ca="1">IF(DU46&gt;$CR46,$CR46,DU46)</f>
        <v>0</v>
      </c>
      <c r="EA46" s="188"/>
      <c r="EB46" s="188">
        <f ca="1">IF(DW46&gt;$CR46,$CR46,DW46)</f>
        <v>0</v>
      </c>
      <c r="EC46" s="435">
        <f ca="1">IF(DV46&gt;$CR46,$CR46,DV46)</f>
        <v>0</v>
      </c>
      <c r="ED46" s="435">
        <f ca="1">EC46*F46</f>
        <v>0</v>
      </c>
      <c r="EE46" s="436">
        <f ca="1">IF(DX46&gt;$CR46,$CR46,DX46)</f>
        <v>0</v>
      </c>
      <c r="EF46" s="437">
        <f ca="1">EE46*F46</f>
        <v>0</v>
      </c>
      <c r="EG46" s="613" t="str">
        <f>IF(D46=BG$12,BG$12,"")</f>
        <v/>
      </c>
      <c r="EH46" s="614" t="str">
        <f>IF(D46=BG$13,BG$13,"")</f>
        <v/>
      </c>
      <c r="EI46" s="611">
        <f>IF(EG46=BG$12,M46,0)</f>
        <v>0</v>
      </c>
      <c r="EJ46" s="451">
        <f>IF(EG46=BG$12,O46,0)</f>
        <v>0</v>
      </c>
      <c r="EK46" s="451">
        <f>IF(EH46=BG$13,M46,0)</f>
        <v>0</v>
      </c>
      <c r="EL46" s="612">
        <f>IF(EH46=BG$13,O46,0)</f>
        <v>0</v>
      </c>
      <c r="EM46" s="426" t="str">
        <f ca="1">IF(AND(Z46&lt;&gt;"t",Z46&lt;&gt;"f"),"",IF(AND(EN46=$BH$13,K46=$BH$12),"NotOpt",IF(K46&lt;&gt;EN46,"Error","")))</f>
        <v/>
      </c>
      <c r="EN46" s="490" t="str">
        <f>IF($BG$28=1,$BH$13,$BH$12)</f>
        <v>120 BU's</v>
      </c>
      <c r="EO46" s="426" t="str">
        <f>K46</f>
        <v xml:space="preserve"> </v>
      </c>
      <c r="EP46" s="430">
        <v>1</v>
      </c>
      <c r="EQ46" s="430" t="str">
        <f ca="1">IF(EP46=1," ",OFFSET(BF$16,EP46-2,0,1,1))</f>
        <v xml:space="preserve"> </v>
      </c>
      <c r="ER46" s="439" t="str">
        <f ca="1">IF(H46=0," ",H46)</f>
        <v xml:space="preserve"> </v>
      </c>
      <c r="ES46" s="440" t="str">
        <f ca="1">IF(ER46&lt;&gt;" ",IF(ER46&lt;&gt;ER$7,"Changed",""),"")</f>
        <v/>
      </c>
      <c r="ET46" s="440">
        <f ca="1">IF(ER46&lt;&gt;" ",IF(ER46&lt;&gt;ER$7,1,0),0)</f>
        <v>0</v>
      </c>
      <c r="EU46" s="957" t="str">
        <f ca="1">IF(I46=" "," ",IF(F46&lt;OFFSET($BM$9,CL46-1,0,1,1),1,""))</f>
        <v xml:space="preserve"> </v>
      </c>
      <c r="EW46" s="427"/>
      <c r="EX46"/>
      <c r="EY46"/>
      <c r="EZ46"/>
      <c r="FA46"/>
    </row>
    <row r="47" spans="1:157" ht="17.100000000000001" customHeight="1">
      <c r="A47" s="2685"/>
      <c r="B47" s="689" t="s">
        <v>246</v>
      </c>
      <c r="C47" s="684" t="str">
        <f>IF(OR(F47=0,I47="",I47=" ")," ",$V47)</f>
        <v xml:space="preserve"> </v>
      </c>
      <c r="D47" s="1033"/>
      <c r="E47" s="1360" t="s">
        <v>8</v>
      </c>
      <c r="F47" s="202"/>
      <c r="G47" s="1416"/>
      <c r="H47" s="199" t="str">
        <f ca="1">IF(OR(F47=0,Z47="E",Z47="f")," ",'Project Demand'!E$45)</f>
        <v xml:space="preserve"> </v>
      </c>
      <c r="I47" s="631" t="str">
        <f>IF($I$6&lt;&gt;$BG$8," ",AB47)</f>
        <v xml:space="preserve"> </v>
      </c>
      <c r="J47" s="44" t="str">
        <f ca="1">IF(OR(I47=" ",I47="")," ",OFFSET($BO$9,CL47-1,0-4,1,1))</f>
        <v xml:space="preserve"> </v>
      </c>
      <c r="K47" s="55" t="str">
        <f>IF(OR(I47=" ",I47="")," ",IF(OR(Z47="e",Z47="h"),"SD",BG$24))</f>
        <v xml:space="preserve"> </v>
      </c>
      <c r="L47" s="49">
        <f ca="1">CW47</f>
        <v>0</v>
      </c>
      <c r="M47" s="49">
        <f ca="1">CY47</f>
        <v>0</v>
      </c>
      <c r="N47" s="50">
        <f t="shared" ca="1" si="26"/>
        <v>0</v>
      </c>
      <c r="O47" s="126">
        <f t="shared" ca="1" si="26"/>
        <v>0</v>
      </c>
      <c r="P47" s="140"/>
      <c r="Q47" s="752" t="str">
        <f ca="1">IF(AND(OR(Z47="t",Z47="f"),K47=$BH$11),"No Floor!  Change Floor Type",IF(OR(I47=" ",I47="")," ",IF(F47&lt;OFFSET($BM$9,CL47-1,0,1,1),"check L(m)",DE47&amp;IF(AND(DP47&gt;=CY47,DR47&gt;=DB47),IF(AND(ED47&gt;=DP47,EF47&gt;=DR47),CONCATENATE(DS47," will provide same result"),CONCATENATE(CO47," will provide same result")),IF((DP47&gt;=CY47),CONCATENATE(CO47," provides same result in WIND"),IF((DR47&gt;=DB47),CONCATENATE(CO47," provides same result in EQ"),""))))))&amp;IF(ISERROR(FIND("pile",I47,1)),"",IF(INT(F47)&lt;&gt;F47,"Pile!  Use Whole Numbers Only",""))</f>
        <v xml:space="preserve"> </v>
      </c>
      <c r="R47" s="52"/>
      <c r="S47" s="1372"/>
      <c r="T47" s="1372"/>
      <c r="U47" s="1377"/>
      <c r="V47" s="52" t="str">
        <f ca="1">IF(AND(B$5=$BF$9,OR(I47=BH$16,I47=BH$17))," ",IF(ISNUMBER(B$44),(CONCATENATE(B$44,".",W47)),(CONCATENATE(B$44,W47))))</f>
        <v>S0</v>
      </c>
      <c r="W47" s="9">
        <f ca="1">W46+X47</f>
        <v>0</v>
      </c>
      <c r="X47" s="9">
        <f>IF(AND(B$5=$BF$9,OR($I47=$BH$16,$I47=$BH$17,$I47=" ",$I47="",$F47=0)),0,IF(OR($I47=" ",$I47="",$F47=0),0,1))</f>
        <v>0</v>
      </c>
      <c r="Y47" s="896"/>
      <c r="Z47" s="52" t="str">
        <f ca="1">IF(I47=" "," ",OFFSET($BM$9,$CL47-1,8,1,1))</f>
        <v xml:space="preserve"> </v>
      </c>
      <c r="AA47" s="51" t="str">
        <f>IF(G47&gt;=45,"WA","")</f>
        <v/>
      </c>
      <c r="AB47" s="1364" t="str">
        <f>IF(F47&lt;&gt;"",IF(OR(D47=$BG$12,D47=$BG$13),IF(E47&lt;&gt;$BG$17,$BF$12,$BF$13),IF(E47&lt;&gt;$BG$17,$BF$12,$BF$13))," ")</f>
        <v xml:space="preserve"> </v>
      </c>
      <c r="AC47" s="1"/>
      <c r="AK47" s="2822"/>
      <c r="AL47" s="2824"/>
      <c r="AM47" s="2144"/>
      <c r="AN47" s="2825"/>
      <c r="AO47" s="2825"/>
      <c r="AP47" s="1244"/>
      <c r="AQ47" s="2812"/>
      <c r="AR47" s="2807"/>
      <c r="AS47" s="2796"/>
      <c r="AT47" s="1164"/>
      <c r="AU47" s="1164"/>
      <c r="AZ47" s="2778"/>
      <c r="BA47"/>
      <c r="BB47"/>
      <c r="BC47"/>
      <c r="BD47" s="638"/>
      <c r="BE47" s="430"/>
      <c r="BF47" s="1021"/>
      <c r="BI47" s="759"/>
      <c r="BJ47" s="897">
        <f t="shared" si="25"/>
        <v>39</v>
      </c>
      <c r="BK47" s="1224"/>
      <c r="BL47" s="1209"/>
      <c r="BM47" s="969">
        <f>Table!J13</f>
        <v>1</v>
      </c>
      <c r="BN47" s="455">
        <f t="shared" si="27"/>
        <v>1.2</v>
      </c>
      <c r="BO47" s="455">
        <f>Table!K13</f>
        <v>59</v>
      </c>
      <c r="BP47" s="925">
        <f>Table!L13</f>
        <v>54</v>
      </c>
      <c r="BR47" s="1225"/>
      <c r="BS47" s="1212"/>
      <c r="BT47" s="1212"/>
      <c r="BU47" s="1226" t="s">
        <v>242</v>
      </c>
      <c r="BV47" s="895"/>
      <c r="BW47" s="603"/>
      <c r="BX47" s="1226" t="str">
        <f>Table!N11</f>
        <v>Double</v>
      </c>
      <c r="CH47" s="764">
        <f>IF(BN47=999,0,(BO48-BO47)/(BN47-BM47))</f>
        <v>5.0000000000000009</v>
      </c>
      <c r="CI47" s="925">
        <f>IF(BN47=999,0,(BP48-BP47)/(BN47-BM47))</f>
        <v>5.0000000000000009</v>
      </c>
      <c r="CJ47" s="759"/>
      <c r="CK47" s="188"/>
      <c r="CL47" s="979">
        <f>VLOOKUP(I47,Prodlink,2,0)</f>
        <v>0</v>
      </c>
      <c r="CN47" s="497">
        <f ca="1">VLOOKUP(CO47,Prodlink,2,0)</f>
        <v>0</v>
      </c>
      <c r="CO47" s="497">
        <f ca="1">OFFSET($CH$9,CL47-1,-15,1,1)</f>
        <v>0</v>
      </c>
      <c r="CQ47" s="51">
        <v>0</v>
      </c>
      <c r="CR47" s="51">
        <f>IF(K47=$BH$12,$BH$23,IF(K47=$BH$13,$BH$24,10000))</f>
        <v>10000</v>
      </c>
      <c r="CS47" s="51">
        <f ca="1">IF(F47&lt;OFFSET($BM$9,CL47-1,0,1,1),0,IF(F47&lt;OFFSET($BN$9,CL47-1,0,1,1),((F47-OFFSET($BM$9,CL47-1,0,1,1))*OFFSET($CH$9,CL47-1,0,1,1))+OFFSET($BO$9,CL47-1,CQ47,1,1),IF(F47&lt;OFFSET($BN$9,CL47+0,0,1,1),((F47-OFFSET($BM$9,CL47+0,0,1,1))*OFFSET($CH$9,CL47+0,0,1,1))+OFFSET($BO$9,CL47+0,CQ47,1,1),IF(F47&lt;OFFSET($BN$9,CL47+1,0,1,1),((F47-OFFSET($BM$9,CL47+1,0,1,1))*OFFSET($CH$9,CL47+1,0,1,1))+OFFSET($BO$9,CL47+1,CQ47,1,1),IF(F47&lt;OFFSET($BN$9,CL47+2,0,1,1),((F47-OFFSET($BM$9,CL47+2,0,1,1))*OFFSET($CH$9,CL47+2,0,1,1))+OFFSET($BO$9,CL47+2,CQ47,1,1),IF(F47&lt;OFFSET($BN$9,CL47+3,0,1,1),((F47-OFFSET($BM$9,CL47+3,0,1,1))*OFFSET($CH$9,CL47+3,0,1,1))+OFFSET($BO$9,CL47+3,CQ47,1,1),0))))))</f>
        <v>0</v>
      </c>
      <c r="CT47" s="51">
        <f ca="1">IF($F47&lt;OFFSET($BM$9,$CL47-1,0,1,1),0,IF($F47&lt;OFFSET($BN$9,$CL47-1,0,1,1),IF(AND($H47&gt;2.4,Z47&lt;&gt;"e",Z47&lt;&gt;"f"),CX47*2.4/$H47,CX47),IF($F47&lt;OFFSET($BN$9,$CL47+0,0,1,1),IF(AND($H47&gt;2.4,Z47&lt;&gt;"e",Z47&lt;&gt;"f"),CX47*2.4/$H47,CX47),IF($F47&lt;OFFSET($BN$9,$CL47+1,0,1,1),IF(AND($H47&gt;2.4,Z47&lt;&gt;"e",Z47&lt;&gt;"f"),CX47*2.4/$H47,CX47),IF($F47&lt;OFFSET($BN$9,CL47+2,0,1,1),IF(AND($H47&gt;2.4,Z47&lt;&gt;"e",Z47&lt;&gt;"f"),CX47*2.4/$H47,CX47),IF($F47&lt;OFFSET($BN$9,CL47+3,0,1,1),IF(AND($H47&gt;2.4,Z47&lt;&gt;"e",Z47&lt;&gt;"f"),CX47*2.4/$H47,CX47),0)))))*COS(RADIANS($G47)))</f>
        <v>0</v>
      </c>
      <c r="CU47" s="51">
        <f ca="1">IF(F47&lt;OFFSET($BM$9,CL47-1,0,1,1),0,IF(F47&lt;OFFSET($BN$9,CL47-1,0,1,1),((F47-OFFSET($BM$9,CL47-1,0,1,1))*OFFSET($CI$9,CL47-1,0,1,1))+OFFSET($BP$9,CL47-1,CQ47,1,1),IF(F47&lt;OFFSET($BN$9,CL47+0,0,1,1),((F47-OFFSET($BM$9,CL47+0,0,1,1))*OFFSET($CI$9,CL47+0,0,1,1))+OFFSET($BP$9,CL47+0,CQ47,1,1),IF(F47&lt;OFFSET($BN$9,CL47+1,0,1,1),((F47-OFFSET($BM$9,CL47+1,0,1,1))*OFFSET($CI$9,CL47+1,0,1,1))+OFFSET($BP$9,CL47+1,CQ47,1,1),IF(F47&lt;OFFSET($BN$9,CL47+2,0,1,1),((F47-OFFSET($BM$9,CL47+2,0,1,1))*OFFSET($CI$9,CL47+2,0,1,1))+OFFSET($BP$9,CL47+2,CQ47,1,1),IF(F47&lt;OFFSET($BN$9,CL47+3,0,1,1),((F47-OFFSET($BM$9,CL47+3,0,1,1))*OFFSET($CI$9,CL47+3,0,1,1))+OFFSET($BP$9,CL47+3,CQ47,1,1),0))))))</f>
        <v>0</v>
      </c>
      <c r="CV47" s="51">
        <f ca="1">IF($F47&lt;OFFSET($BM$9,$CL47-1,0,1,1),0,IF($F47&lt;OFFSET($BN$9,$CL47-1,0,1,1),IF(AND($H47&gt;2.4,Z47&lt;&gt;"e",Z47&lt;&gt;"f"),CZ47*2.4/$H47,CZ47),IF($F47&lt;OFFSET($BN$9,$CL47+0,0,1,1),IF(AND($H47&gt;2.4,Z47&lt;&gt;"e",Z47&lt;&gt;"f"),CZ47*2.4/$H47,CZ47),IF($F47&lt;OFFSET($BN$9,$CL47+1,0,1,1),IF(AND($H47&gt;2.4,Z47&lt;&gt;"e",Z47&lt;&gt;"f"),CZ47*2.4/$H47,CZ47),IF($F47&lt;OFFSET($BN$9,$CL47+2,0,1,1),IF(AND($H47&gt;2.4,Z47&lt;&gt;"e",Z47&lt;&gt;"f"),CZ47*2.4/$H47,CZ47),IF($F47&lt;OFFSET($BN$9,$CL47+3,0,1,1),IF(AND($H47&gt;2.4,Z47&lt;&gt;"e",Z47&lt;&gt;"f"),CZ47*2.4/$H47,CZ47),0)))))*COS(RADIANS($G47)))</f>
        <v>0</v>
      </c>
      <c r="CW47" s="51">
        <f ca="1">IF(CT47&gt;CR47,CR47,CT47)</f>
        <v>0</v>
      </c>
      <c r="CX47" s="51">
        <f ca="1">IF(CS47&gt;$CR47,$CR47,CS47)</f>
        <v>0</v>
      </c>
      <c r="CY47" s="51">
        <f ca="1">CW47*F47</f>
        <v>0</v>
      </c>
      <c r="CZ47" s="51">
        <f ca="1">IF($CU47&gt;$CR47,$CR47,$CU47)</f>
        <v>0</v>
      </c>
      <c r="DA47" s="51">
        <f ca="1">IF(CV47&gt;CR47,CR47,CV47)</f>
        <v>0</v>
      </c>
      <c r="DB47" s="51">
        <f ca="1">DA47*F47</f>
        <v>0</v>
      </c>
      <c r="DC47" s="993">
        <v>1</v>
      </c>
      <c r="DD47" s="758" t="str">
        <f>IF(OR(D47=BG$12,D47=BG$13),"External",IF(D47=BG$14,"Internal"," "))</f>
        <v xml:space="preserve"> </v>
      </c>
      <c r="DE47" s="51" t="str">
        <f t="shared" ca="1" si="1"/>
        <v/>
      </c>
      <c r="DF47" s="52" t="str">
        <f t="shared" ca="1" si="2"/>
        <v xml:space="preserve"> </v>
      </c>
      <c r="DG47" s="51">
        <f ca="1">IF(F47&lt;OFFSET($BM$9,CN47-1,0,1,1),0,IF(F47&lt;OFFSET($BN$9,CN47-1,0,1,1),((F47-OFFSET($BM$9,CN47-1,0,1,1))*OFFSET($CH$9,CN47-1,0,1,1))+OFFSET($BO$9,CN47-1,CQ47,1,1),IF(F47&lt;OFFSET($BN$9,CN47+0,0,1,1),((F47-OFFSET($BM$9,CN47+0,0,1,1))*OFFSET($CH$9,CN47+0,0,1,1))+OFFSET($BO$9,CN47+0,CQ47,1,1),IF(F47&lt;OFFSET($BN$9,CN47+1,0,1,1),((F47-OFFSET($BM$9,CN47+1,0,1,1))*OFFSET($CH$9,CN47+1,0,1,1))+OFFSET($BO$9,CN47+1,CQ47,1,1),IF(F47&lt;OFFSET($BN$9,CN47+2,0,1,1),((F47-OFFSET($BM$9,CN47+2,0,1,1))*OFFSET($CH$9,CN47+2,0,1,1))+OFFSET($BO$9,CN47+2,CQ47,1,1),IF(F47&lt;OFFSET($BN$9,CN47+3,0,1,1),((F47-OFFSET($BM$9,CN47+3,0,1,1))*OFFSET($CH$9,CN47+3,0,1,1))+OFFSET($BO$9,CN47+3,CQ47,1,1),0))))))</f>
        <v>0</v>
      </c>
      <c r="DH47" s="51">
        <f ca="1">IF($F47&lt;OFFSET($BM$9,$CN47-1,0,1,1),0,IF($F47&lt;OFFSET($BN$9,$CN47-1,0,1,1),IF(AND($H47&gt;2.4,Z47&lt;&gt;"e",Z47&lt;&gt;"f"),DL47*2.4/$H47,DL47),IF($F47&lt;OFFSET($BN$9,$CN47+0,0,1,1),IF(AND($H47&gt;2.4,Z47&lt;&gt;"e",Z47&lt;&gt;"f"),DL47*2.4/$H47,DL47),IF($F47&lt;OFFSET($BN$9,$CN47+1,0,1,1),IF(AND($H47&gt;2.4,Z47&lt;&gt;"e",Z47&lt;&gt;"f"),DL47*2.4/$H47,DL47),IF($F47&lt;OFFSET($BN$9,$CN47+2,0,1,1),IF(AND($H47&gt;2.4,Z47&lt;&gt;"e",Z47&lt;&gt;"f"),DL47*2.4/$H47,DL47),IF($F47&lt;OFFSET($BN$9,$CN47+3,0,1,1),IF(AND($H47&gt;2.4,Z47&lt;&gt;"e",Z47&lt;&gt;"f"),DL47*2.4/$H47,DL47),0)))))*COS(RADIANS($G47)))</f>
        <v>0</v>
      </c>
      <c r="DI47" s="51">
        <f ca="1">IF(F47&lt;OFFSET($BM$9,CN47-1,0,1,1),0,IF(F47&lt;OFFSET($BN$9,CN47-1,0,1,1),((F47-OFFSET($BM$9,CN47-1,0,1,1))*OFFSET($CI$9,CN47-1,0,1,1))+OFFSET($BP$9,CN47-1,CQ47,1,1),IF(F47&lt;OFFSET($BN$9,CN47+0,0,1,1),((F47-OFFSET($BM$9,CN47+0,0,1,1))*OFFSET($CI$9,CN47+0,0,1,1))+OFFSET($BP$9,CN47+0,CQ47,1,1),IF(F47&lt;OFFSET($BN$9,CN47+1,0,1,1),((F47-OFFSET($BM$9,CN47+1,0,1,1))*OFFSET($CI$9,CN47+1,0,1,1))+OFFSET($BP$9,CN47+1,CQ47,1,1),IF(F47&lt;OFFSET($BN$9,CN47+2,0,1,1),((F47-OFFSET($BM$9,CN47+2,0,1,1))*OFFSET($CI$9,CN47+2,0,1,1))+OFFSET($BP$9,CN47+2,CQ47,1,1),IF(F47&lt;OFFSET($BN$9,CN47+3,0,1,1),((F47-OFFSET($BM$9,CN47+3,0,1,1))*OFFSET($CI$9,CN47+3,0,1,1))+OFFSET($BP$9,CN47+3,CQ47,1,1),0))))))</f>
        <v>0</v>
      </c>
      <c r="DJ47" s="51">
        <f ca="1">IF($F47&lt;OFFSET($BM$9,$CN47-1,0,1,1),0,IF($F47&lt;OFFSET($BN$9,$CN47-1,0,1,1),IF(AND($H47&gt;2.4,Z47&lt;&gt;"e",Z47&lt;&gt;"f"),DN47*2.4/$H47,DN47),IF($F47&lt;OFFSET($BN$9,$CN47+0,0,1,1),IF(AND($H47&gt;2.4,Z47&lt;&gt;"e",Z47&lt;&gt;"f"),DN47*2.4/$H47,DN47),IF($F47&lt;OFFSET($BN$9,$CN47+1,0,1,1),IF(AND($H47&gt;2.4,Z47&lt;&gt;"e",Z47&lt;&gt;"f"),DN47*2.4/$H47,DN47),IF($F47&lt;OFFSET($BN$9,$CN47+2,0,1,1),IF(AND($H47&gt;2.4,Z47&lt;&gt;"e",Z47&lt;&gt;"f"),DN47*2.4/$H47,DN47),IF($F47&lt;OFFSET($BN$9,$CN47+3,0,1,1),IF(AND($H47&gt;2.4,Z47&lt;&gt;"e",Z47&lt;&gt;"f"),DN47*2.4/$H47,DN47),0)))))*COS(RADIANS($G47)))</f>
        <v>0</v>
      </c>
      <c r="DK47" s="51"/>
      <c r="DL47" s="51">
        <f ca="1">IF(DG47&gt;$CR47,$CR47,DG47)</f>
        <v>0</v>
      </c>
      <c r="DM47" s="51"/>
      <c r="DN47" s="51">
        <f ca="1">IF(DI47&gt;$CR47,$CR47,DI47)</f>
        <v>0</v>
      </c>
      <c r="DO47" s="435">
        <f ca="1">IF(DH47&gt;$CR47,$CR47,DH47)</f>
        <v>0</v>
      </c>
      <c r="DP47" s="435">
        <f ca="1">DO47*F47</f>
        <v>0</v>
      </c>
      <c r="DQ47" s="436">
        <f ca="1">IF(DJ47&gt;$CR47,$CR47,DJ47)</f>
        <v>0</v>
      </c>
      <c r="DR47" s="437">
        <f ca="1">DQ47*F47</f>
        <v>0</v>
      </c>
      <c r="DS47" s="426">
        <f ca="1">OFFSET($CH$9,CL47-1,-15,1,1)</f>
        <v>0</v>
      </c>
      <c r="DT47" s="426">
        <f ca="1">VLOOKUP(DS47,Prodlink,2,0)</f>
        <v>0</v>
      </c>
      <c r="DU47" s="188">
        <f ca="1">IF(F47&lt;OFFSET($BM$9,DT47-1,0,1,1),0,IF(F47&lt;OFFSET($BN$9,DT47-1,0,1,1),((F47-OFFSET($BM$9,DT47-1,0,1,1))*OFFSET($CH$9,DT47-1,0,1,1))+OFFSET($BO$9,DT47-1,CQ47,1,1),IF(F47&lt;OFFSET($BN$9,DT47+0,0,1,1),((F47-OFFSET($BM$9,DT47+0,0,1,1))*OFFSET($CH$9,DT47+0,0,1,1))+OFFSET($BO$9,DT47+0,CQ47,1,1),IF(F47&lt;OFFSET($BN$9,DT47+1,0,1,1),((F47-OFFSET($BM$9,DT47+1,0,1,1))*OFFSET($CH$9,DT47+1,0,1,1))+OFFSET($BO$9,DT47+1,CQ47,1,1),IF(F47&lt;OFFSET($BN$9,DT47+2,0,1,1),((F47-OFFSET($BM$9,DT47+2,0,1,1))*OFFSET($CH$9,DT47+2,0,1,1))+OFFSET($BO$9,DT47+2,CQ47,1,1),IF(F47&lt;OFFSET($BN$9,DT47+3,0,1,1),((F47-OFFSET($BM$9,DT47+3,0,1,1))*OFFSET($CH$9,DT47+3,0,1,1))+OFFSET($BO$9,DT47+3,CQ47,1,1),0))))))</f>
        <v>0</v>
      </c>
      <c r="DV47" s="51">
        <f ca="1">IF($F47&lt;OFFSET($BM$9,$DT47-1,0,1,1),0,IF($F47&lt;OFFSET($BN$9,$DT47-1,0,1,1),IF(AND($H47&gt;2.4,Z47&lt;&gt;"e",Z47&lt;&gt;"f"),DZ47*2.4/$H47,DZ47),IF($F47&lt;OFFSET($BN$9,$DT47+0,0,1,1),IF(AND($H47&gt;2.4,Z47&lt;&gt;"e",Z47&lt;&gt;"f"),DZ47*2.4/$H47,DZ47),IF($F47&lt;OFFSET($BN$9,$DT47+1,0,1,1),IF(AND($H47&gt;2.4,Z47&lt;&gt;"e",Z47&lt;&gt;"f"),DZ47*2.4/$H47,DZ47),IF($F47&lt;OFFSET($BN$9,$DT47+2,0,1,1),IF(AND($H47&gt;2.4,Z47&lt;&gt;"e",Z47&lt;&gt;"f"),DZ47*2.4/$H47,DZ47),IF($F47&lt;OFFSET($BN$9,$DT47+3,0,1,1),IF(AND($H47&gt;2.4,Z47&lt;&gt;"e",Z47&lt;&gt;"f"),DZ47*2.4/$H47,DZ47),0)))))*COS(RADIANS($G47)))</f>
        <v>0</v>
      </c>
      <c r="DW47" s="188">
        <f ca="1">IF(F47&lt;OFFSET($BM$9,DT47-1,0,1,1),0,IF(F47&lt;OFFSET($BN$9,DT47-1,0,1,1),((F47-OFFSET($BM$9,DT47-1,0,1,1))*OFFSET($CI$9,DT47-1,0,1,1))+OFFSET($BP$9,DT47-1,CQ47,1,1),IF(F47&lt;OFFSET($BN$9,DT47+0,0,1,1),((F47-OFFSET($BM$9,DT47+0,0,1,1))*OFFSET($CI$9,DT47+0,0,1,1))+OFFSET($BP$9,DT47+0,CQ47,1,1),IF(F47&lt;OFFSET($BN$9,DT47+1,0,1,1),((F47-OFFSET($BM$9,DT47+1,0,1,1))*OFFSET($CI$9,DT47+1,0,1,1))+OFFSET($BP$9,DT47+1,CQ47,1,1),IF(F47&lt;OFFSET($BN$9,DT47+2,0,1,1),((F47-OFFSET($BM$9,DT47+2,0,1,1))*OFFSET($CI$9,DT47+2,0,1,1))+OFFSET($BP$9,DT47+2,CQ47,1,1),IF(F47&lt;OFFSET($BN$9,DT47+3,0,1,1),((F47-OFFSET($BM$9,DT47+3,0,1,1))*OFFSET($CI$9,DT47+3,0,1,1))+OFFSET($BP$9,DT47+3,CQ47,1,1),0))))))</f>
        <v>0</v>
      </c>
      <c r="DX47" s="51">
        <f ca="1">IF($F47&lt;OFFSET($BM$9,$DT47-1,0,1,1),0,IF($F47&lt;OFFSET($BN$9,$DT47-1,0,1,1),IF(AND($H47&gt;2.4,Z47&lt;&gt;"e",Z47&lt;&gt;"f"),EB47*2.4/$H47,EB47),IF($F47&lt;OFFSET($BN$9,$DT47+0,0,1,1),IF(AND($H47&gt;2.4,Z47&lt;&gt;"e",Z47&lt;&gt;"f"),EB47*2.4/$H47,EB47),IF($F47&lt;OFFSET($BN$9,$DT47+1,0,1,1),IF(AND($H47&gt;2.4,Z47&lt;&gt;"e",Z47&lt;&gt;"f"),EB47*2.4/$H47,EB47),IF($F47&lt;OFFSET($BN$9,$DT47+2,0,1,1),IF(AND($H47&gt;2.4,Z47&lt;&gt;"e",Z47&lt;&gt;"f"),EB47*2.4/$H47,EB47),IF($F47&lt;OFFSET($BN$9,$DT47+3,0,1,1),IF(AND($H47&gt;2.4,Z47&lt;&gt;"e",Z47&lt;&gt;"f"),EB47*2.4/$H47,EB47),0)))))*COS(RADIANS($G47)))</f>
        <v>0</v>
      </c>
      <c r="DY47" s="188"/>
      <c r="DZ47" s="188">
        <f ca="1">IF(DU47&gt;$CR47,$CR47,DU47)</f>
        <v>0</v>
      </c>
      <c r="EA47" s="188"/>
      <c r="EB47" s="188">
        <f ca="1">IF(DW47&gt;$CR47,$CR47,DW47)</f>
        <v>0</v>
      </c>
      <c r="EC47" s="435">
        <f ca="1">IF(DV47&gt;$CR47,$CR47,DV47)</f>
        <v>0</v>
      </c>
      <c r="ED47" s="435">
        <f ca="1">EC47*F47</f>
        <v>0</v>
      </c>
      <c r="EE47" s="436">
        <f ca="1">IF(DX47&gt;$CR47,$CR47,DX47)</f>
        <v>0</v>
      </c>
      <c r="EF47" s="437">
        <f ca="1">EE47*F47</f>
        <v>0</v>
      </c>
      <c r="EG47" s="613" t="str">
        <f>IF(D47=BG$12,BG$12,"")</f>
        <v/>
      </c>
      <c r="EH47" s="614" t="str">
        <f>IF(D47=BG$13,BG$13,"")</f>
        <v/>
      </c>
      <c r="EI47" s="611">
        <f>IF(EG47=BG$12,M47,0)</f>
        <v>0</v>
      </c>
      <c r="EJ47" s="451">
        <f>IF(EG47=BG$12,O47,0)</f>
        <v>0</v>
      </c>
      <c r="EK47" s="451">
        <f>IF(EH47=BG$13,M47,0)</f>
        <v>0</v>
      </c>
      <c r="EL47" s="612">
        <f>IF(EH47=BG$13,O47,0)</f>
        <v>0</v>
      </c>
      <c r="EM47" s="426" t="str">
        <f ca="1">IF(AND(Z47&lt;&gt;"t",Z47&lt;&gt;"f"),"",IF(AND(EN47=$BH$13,K47=$BH$12),"NotOpt",IF(K47&lt;&gt;EN47,"Error","")))</f>
        <v/>
      </c>
      <c r="EN47" s="490" t="str">
        <f>IF($BG$28=1,$BH$13,$BH$12)</f>
        <v>120 BU's</v>
      </c>
      <c r="EO47" s="426" t="str">
        <f>K47</f>
        <v xml:space="preserve"> </v>
      </c>
      <c r="EP47" s="430">
        <v>1</v>
      </c>
      <c r="EQ47" s="430" t="str">
        <f ca="1">IF(EP47=1," ",OFFSET(BF$16,EP47-2,0,1,1))</f>
        <v xml:space="preserve"> </v>
      </c>
      <c r="ER47" s="439" t="str">
        <f ca="1">IF(H47=0," ",H47)</f>
        <v xml:space="preserve"> </v>
      </c>
      <c r="ES47" s="440" t="str">
        <f ca="1">IF(ER47&lt;&gt;" ",IF(ER47&lt;&gt;ER$7,"Changed",""),"")</f>
        <v/>
      </c>
      <c r="ET47" s="440">
        <f ca="1">IF(ER47&lt;&gt;" ",IF(ER47&lt;&gt;ER$7,1,0),0)</f>
        <v>0</v>
      </c>
      <c r="EU47" s="957" t="str">
        <f ca="1">IF(I47=" "," ",IF(F47&lt;OFFSET($BM$9,CL47-1,0,1,1),1,""))</f>
        <v xml:space="preserve"> </v>
      </c>
      <c r="EW47" s="427"/>
      <c r="EX47"/>
      <c r="EY47"/>
      <c r="EZ47"/>
      <c r="FA47"/>
    </row>
    <row r="48" spans="1:157" ht="17.100000000000001" customHeight="1" thickBot="1">
      <c r="A48" s="2685"/>
      <c r="B48" s="689" t="s">
        <v>8</v>
      </c>
      <c r="C48" s="684" t="str">
        <f>IF(OR(F48=0,I48="",I48=" ")," ",$V48)</f>
        <v xml:space="preserve"> </v>
      </c>
      <c r="D48" s="1033"/>
      <c r="E48" s="1360" t="s">
        <v>8</v>
      </c>
      <c r="F48" s="202"/>
      <c r="G48" s="1416"/>
      <c r="H48" s="199" t="str">
        <f ca="1">IF(OR(F48=0,Z48="E",Z48="f")," ",'Project Demand'!E$45)</f>
        <v xml:space="preserve"> </v>
      </c>
      <c r="I48" s="631" t="str">
        <f>IF($I$6&lt;&gt;$BG$8," ",AB48)</f>
        <v xml:space="preserve"> </v>
      </c>
      <c r="J48" s="44" t="str">
        <f ca="1">IF(OR(I48=" ",I48="")," ",OFFSET($BO$9,CL48-1,0-4,1,1))</f>
        <v xml:space="preserve"> </v>
      </c>
      <c r="K48" s="55" t="str">
        <f>IF(OR(I48=" ",I48="")," ",IF(OR(Z48="e",Z48="h"),"SD",BG$24))</f>
        <v xml:space="preserve"> </v>
      </c>
      <c r="L48" s="49">
        <f ca="1">CW48</f>
        <v>0</v>
      </c>
      <c r="M48" s="49">
        <f ca="1">CY48</f>
        <v>0</v>
      </c>
      <c r="N48" s="50">
        <f t="shared" ca="1" si="26"/>
        <v>0</v>
      </c>
      <c r="O48" s="126">
        <f t="shared" ca="1" si="26"/>
        <v>0</v>
      </c>
      <c r="P48" s="140"/>
      <c r="Q48" s="752" t="str">
        <f ca="1">IF(AND(OR(Z48="t",Z48="f"),K48=$BH$11),"No Floor!  Change Floor Type",IF(OR(I48=" ",I48="")," ",IF(F48&lt;OFFSET($BM$9,CL48-1,0,1,1),"check L(m)",DE48&amp;IF(AND(DP48&gt;=CY48,DR48&gt;=DB48),IF(AND(ED48&gt;=DP48,EF48&gt;=DR48),CONCATENATE(DS48," will provide same result"),CONCATENATE(CO48," will provide same result")),IF((DP48&gt;=CY48),CONCATENATE(CO48," provides same result in WIND"),IF((DR48&gt;=DB48),CONCATENATE(CO48," provides same result in EQ"),""))))))&amp;IF(ISERROR(FIND("pile",I48,1)),"",IF(INT(F48)&lt;&gt;F48,"Pile!  Use Whole Numbers Only",""))</f>
        <v xml:space="preserve"> </v>
      </c>
      <c r="R48" s="52"/>
      <c r="S48" s="1372"/>
      <c r="T48" s="1372"/>
      <c r="U48" s="1377"/>
      <c r="V48" s="52" t="str">
        <f ca="1">IF(AND(B$5=$BF$9,OR(I48=BH$16,I48=BH$17))," ",IF(ISNUMBER(B$44),(CONCATENATE(B$44,".",W48)),(CONCATENATE(B$44,W48))))</f>
        <v>S0</v>
      </c>
      <c r="W48" s="9">
        <f ca="1">W47+X48</f>
        <v>0</v>
      </c>
      <c r="X48" s="9">
        <f>IF(AND(B$5=$BF$9,OR($I48=$BH$16,$I48=$BH$17,$I48=" ",$I48="",$F48=0)),0,IF(OR($I48=" ",$I48="",$F48=0),0,1))</f>
        <v>0</v>
      </c>
      <c r="Y48" s="896"/>
      <c r="Z48" s="52" t="str">
        <f ca="1">IF(I48=" "," ",OFFSET($BM$9,$CL48-1,8,1,1))</f>
        <v xml:space="preserve"> </v>
      </c>
      <c r="AA48" s="51" t="str">
        <f>IF(G48&gt;=45,"WA","")</f>
        <v/>
      </c>
      <c r="AB48" s="1364" t="str">
        <f>IF(F48&lt;&gt;"",IF(OR(D48=$BG$12,D48=$BG$13),IF(E48&lt;&gt;$BG$17,$BF$12,$BF$13),IF(E48&lt;&gt;$BG$17,$BF$12,$BF$13))," ")</f>
        <v xml:space="preserve"> </v>
      </c>
      <c r="AC48" s="1"/>
      <c r="AK48" s="63" t="str">
        <f>'Custom Elements'!B9</f>
        <v xml:space="preserve">  </v>
      </c>
      <c r="AL48" s="860" t="str">
        <f>'Custom Elements'!C9</f>
        <v>Custom1</v>
      </c>
      <c r="AM48" s="11">
        <f>'Custom Elements'!D9</f>
        <v>9.9999999999999996E-76</v>
      </c>
      <c r="AN48" s="7">
        <f>'Custom Elements'!E9</f>
        <v>0</v>
      </c>
      <c r="AO48" s="7">
        <f>'Custom Elements'!F9</f>
        <v>0</v>
      </c>
      <c r="AP48" s="762" t="str">
        <f>'Custom Elements'!G9</f>
        <v>B</v>
      </c>
      <c r="AQ48" s="1777" t="str">
        <f>'Custom Elements'!H9</f>
        <v>Single</v>
      </c>
      <c r="AR48" s="1775" t="str">
        <f>'Custom Elements'!I9</f>
        <v>Yes</v>
      </c>
      <c r="AS48" s="442" t="str">
        <f>'Custom Elements'!J9</f>
        <v>Yes</v>
      </c>
      <c r="AT48" s="1150"/>
      <c r="AU48" s="1150"/>
      <c r="AZ48" s="442" t="str">
        <f>IF(AND('Custom Elements'!J9="Yes",'Custom Elements'!I9="Yes"),"T",IF('Custom Elements'!J9="Yes","F",IF('Custom Elements'!I9="Yes","H","E")))</f>
        <v>T</v>
      </c>
      <c r="BA48"/>
      <c r="BB48"/>
      <c r="BC48"/>
      <c r="BD48" s="638"/>
      <c r="BF48" s="1374"/>
      <c r="BI48" s="759"/>
      <c r="BJ48" s="897">
        <f t="shared" si="25"/>
        <v>40</v>
      </c>
      <c r="BK48" s="1223"/>
      <c r="BL48" s="1208"/>
      <c r="BM48" s="1211">
        <f>Table!J14</f>
        <v>1.2</v>
      </c>
      <c r="BN48" s="776">
        <v>999</v>
      </c>
      <c r="BO48" s="776">
        <f>Table!K14</f>
        <v>60</v>
      </c>
      <c r="BP48" s="926">
        <f>Table!L14</f>
        <v>55</v>
      </c>
      <c r="BQ48" s="1183"/>
      <c r="BR48" s="908"/>
      <c r="BS48" s="776"/>
      <c r="BT48" s="776"/>
      <c r="BU48" s="926" t="s">
        <v>242</v>
      </c>
      <c r="BV48" s="433"/>
      <c r="BW48" s="1184"/>
      <c r="BX48" s="926" t="str">
        <f>Table!N11</f>
        <v>Double</v>
      </c>
      <c r="CH48" s="908">
        <f>IF(BN48=999,0,(BO49-BO48)/(BN48-BM48))</f>
        <v>0</v>
      </c>
      <c r="CI48" s="926">
        <f>IF(BN48=999,0,(BP49-BP48)/(BN48-BM48))</f>
        <v>0</v>
      </c>
      <c r="CJ48" s="759"/>
      <c r="CK48" s="188"/>
      <c r="CL48" s="979">
        <f>VLOOKUP(I48,Prodlink,2,0)</f>
        <v>0</v>
      </c>
      <c r="CN48" s="497">
        <f ca="1">VLOOKUP(CO48,Prodlink,2,0)</f>
        <v>0</v>
      </c>
      <c r="CO48" s="497">
        <f ca="1">OFFSET($CH$9,CL48-1,-15,1,1)</f>
        <v>0</v>
      </c>
      <c r="CQ48" s="51">
        <v>0</v>
      </c>
      <c r="CR48" s="51">
        <f>IF(K48=$BH$12,$BH$23,IF(K48=$BH$13,$BH$24,10000))</f>
        <v>10000</v>
      </c>
      <c r="CS48" s="51">
        <f ca="1">IF(F48&lt;OFFSET($BM$9,CL48-1,0,1,1),0,IF(F48&lt;OFFSET($BN$9,CL48-1,0,1,1),((F48-OFFSET($BM$9,CL48-1,0,1,1))*OFFSET($CH$9,CL48-1,0,1,1))+OFFSET($BO$9,CL48-1,CQ48,1,1),IF(F48&lt;OFFSET($BN$9,CL48+0,0,1,1),((F48-OFFSET($BM$9,CL48+0,0,1,1))*OFFSET($CH$9,CL48+0,0,1,1))+OFFSET($BO$9,CL48+0,CQ48,1,1),IF(F48&lt;OFFSET($BN$9,CL48+1,0,1,1),((F48-OFFSET($BM$9,CL48+1,0,1,1))*OFFSET($CH$9,CL48+1,0,1,1))+OFFSET($BO$9,CL48+1,CQ48,1,1),IF(F48&lt;OFFSET($BN$9,CL48+2,0,1,1),((F48-OFFSET($BM$9,CL48+2,0,1,1))*OFFSET($CH$9,CL48+2,0,1,1))+OFFSET($BO$9,CL48+2,CQ48,1,1),IF(F48&lt;OFFSET($BN$9,CL48+3,0,1,1),((F48-OFFSET($BM$9,CL48+3,0,1,1))*OFFSET($CH$9,CL48+3,0,1,1))+OFFSET($BO$9,CL48+3,CQ48,1,1),0))))))</f>
        <v>0</v>
      </c>
      <c r="CT48" s="51">
        <f ca="1">IF($F48&lt;OFFSET($BM$9,$CL48-1,0,1,1),0,IF($F48&lt;OFFSET($BN$9,$CL48-1,0,1,1),IF(AND($H48&gt;2.4,Z48&lt;&gt;"e",Z48&lt;&gt;"f"),CX48*2.4/$H48,CX48),IF($F48&lt;OFFSET($BN$9,$CL48+0,0,1,1),IF(AND($H48&gt;2.4,Z48&lt;&gt;"e",Z48&lt;&gt;"f"),CX48*2.4/$H48,CX48),IF($F48&lt;OFFSET($BN$9,$CL48+1,0,1,1),IF(AND($H48&gt;2.4,Z48&lt;&gt;"e",Z48&lt;&gt;"f"),CX48*2.4/$H48,CX48),IF($F48&lt;OFFSET($BN$9,CL48+2,0,1,1),IF(AND($H48&gt;2.4,Z48&lt;&gt;"e",Z48&lt;&gt;"f"),CX48*2.4/$H48,CX48),IF($F48&lt;OFFSET($BN$9,CL48+3,0,1,1),IF(AND($H48&gt;2.4,Z48&lt;&gt;"e",Z48&lt;&gt;"f"),CX48*2.4/$H48,CX48),0)))))*COS(RADIANS($G48)))</f>
        <v>0</v>
      </c>
      <c r="CU48" s="51">
        <f ca="1">IF(F48&lt;OFFSET($BM$9,CL48-1,0,1,1),0,IF(F48&lt;OFFSET($BN$9,CL48-1,0,1,1),((F48-OFFSET($BM$9,CL48-1,0,1,1))*OFFSET($CI$9,CL48-1,0,1,1))+OFFSET($BP$9,CL48-1,CQ48,1,1),IF(F48&lt;OFFSET($BN$9,CL48+0,0,1,1),((F48-OFFSET($BM$9,CL48+0,0,1,1))*OFFSET($CI$9,CL48+0,0,1,1))+OFFSET($BP$9,CL48+0,CQ48,1,1),IF(F48&lt;OFFSET($BN$9,CL48+1,0,1,1),((F48-OFFSET($BM$9,CL48+1,0,1,1))*OFFSET($CI$9,CL48+1,0,1,1))+OFFSET($BP$9,CL48+1,CQ48,1,1),IF(F48&lt;OFFSET($BN$9,CL48+2,0,1,1),((F48-OFFSET($BM$9,CL48+2,0,1,1))*OFFSET($CI$9,CL48+2,0,1,1))+OFFSET($BP$9,CL48+2,CQ48,1,1),IF(F48&lt;OFFSET($BN$9,CL48+3,0,1,1),((F48-OFFSET($BM$9,CL48+3,0,1,1))*OFFSET($CI$9,CL48+3,0,1,1))+OFFSET($BP$9,CL48+3,CQ48,1,1),0))))))</f>
        <v>0</v>
      </c>
      <c r="CV48" s="51">
        <f ca="1">IF($F48&lt;OFFSET($BM$9,$CL48-1,0,1,1),0,IF($F48&lt;OFFSET($BN$9,$CL48-1,0,1,1),IF(AND($H48&gt;2.4,Z48&lt;&gt;"e",Z48&lt;&gt;"f"),CZ48*2.4/$H48,CZ48),IF($F48&lt;OFFSET($BN$9,$CL48+0,0,1,1),IF(AND($H48&gt;2.4,Z48&lt;&gt;"e",Z48&lt;&gt;"f"),CZ48*2.4/$H48,CZ48),IF($F48&lt;OFFSET($BN$9,$CL48+1,0,1,1),IF(AND($H48&gt;2.4,Z48&lt;&gt;"e",Z48&lt;&gt;"f"),CZ48*2.4/$H48,CZ48),IF($F48&lt;OFFSET($BN$9,$CL48+2,0,1,1),IF(AND($H48&gt;2.4,Z48&lt;&gt;"e",Z48&lt;&gt;"f"),CZ48*2.4/$H48,CZ48),IF($F48&lt;OFFSET($BN$9,$CL48+3,0,1,1),IF(AND($H48&gt;2.4,Z48&lt;&gt;"e",Z48&lt;&gt;"f"),CZ48*2.4/$H48,CZ48),0)))))*COS(RADIANS($G48)))</f>
        <v>0</v>
      </c>
      <c r="CW48" s="51">
        <f ca="1">IF(CT48&gt;CR48,CR48,CT48)</f>
        <v>0</v>
      </c>
      <c r="CX48" s="51">
        <f ca="1">IF(CS48&gt;$CR48,$CR48,CS48)</f>
        <v>0</v>
      </c>
      <c r="CY48" s="51">
        <f ca="1">CW48*F48</f>
        <v>0</v>
      </c>
      <c r="CZ48" s="51">
        <f ca="1">IF($CU48&gt;$CR48,$CR48,$CU48)</f>
        <v>0</v>
      </c>
      <c r="DA48" s="51">
        <f ca="1">IF(CV48&gt;CR48,CR48,CV48)</f>
        <v>0</v>
      </c>
      <c r="DB48" s="51">
        <f ca="1">DA48*F48</f>
        <v>0</v>
      </c>
      <c r="DC48" s="993">
        <v>1</v>
      </c>
      <c r="DD48" s="758" t="str">
        <f>IF(OR(D48=BG$12,D48=BG$13),"External",IF(D48=BG$14,"Internal"," "))</f>
        <v xml:space="preserve"> </v>
      </c>
      <c r="DE48" s="51" t="str">
        <f t="shared" ca="1" si="1"/>
        <v/>
      </c>
      <c r="DF48" s="52" t="str">
        <f t="shared" ca="1" si="2"/>
        <v xml:space="preserve"> </v>
      </c>
      <c r="DG48" s="51">
        <f ca="1">IF(F48&lt;OFFSET($BM$9,CN48-1,0,1,1),0,IF(F48&lt;OFFSET($BN$9,CN48-1,0,1,1),((F48-OFFSET($BM$9,CN48-1,0,1,1))*OFFSET($CH$9,CN48-1,0,1,1))+OFFSET($BO$9,CN48-1,CQ48,1,1),IF(F48&lt;OFFSET($BN$9,CN48+0,0,1,1),((F48-OFFSET($BM$9,CN48+0,0,1,1))*OFFSET($CH$9,CN48+0,0,1,1))+OFFSET($BO$9,CN48+0,CQ48,1,1),IF(F48&lt;OFFSET($BN$9,CN48+1,0,1,1),((F48-OFFSET($BM$9,CN48+1,0,1,1))*OFFSET($CH$9,CN48+1,0,1,1))+OFFSET($BO$9,CN48+1,CQ48,1,1),IF(F48&lt;OFFSET($BN$9,CN48+2,0,1,1),((F48-OFFSET($BM$9,CN48+2,0,1,1))*OFFSET($CH$9,CN48+2,0,1,1))+OFFSET($BO$9,CN48+2,CQ48,1,1),IF(F48&lt;OFFSET($BN$9,CN48+3,0,1,1),((F48-OFFSET($BM$9,CN48+3,0,1,1))*OFFSET($CH$9,CN48+3,0,1,1))+OFFSET($BO$9,CN48+3,CQ48,1,1),0))))))</f>
        <v>0</v>
      </c>
      <c r="DH48" s="51">
        <f ca="1">IF($F48&lt;OFFSET($BM$9,$CN48-1,0,1,1),0,IF($F48&lt;OFFSET($BN$9,$CN48-1,0,1,1),IF(AND($H48&gt;2.4,Z48&lt;&gt;"e",Z48&lt;&gt;"f"),DL48*2.4/$H48,DL48),IF($F48&lt;OFFSET($BN$9,$CN48+0,0,1,1),IF(AND($H48&gt;2.4,Z48&lt;&gt;"e",Z48&lt;&gt;"f"),DL48*2.4/$H48,DL48),IF($F48&lt;OFFSET($BN$9,$CN48+1,0,1,1),IF(AND($H48&gt;2.4,Z48&lt;&gt;"e",Z48&lt;&gt;"f"),DL48*2.4/$H48,DL48),IF($F48&lt;OFFSET($BN$9,$CN48+2,0,1,1),IF(AND($H48&gt;2.4,Z48&lt;&gt;"e",Z48&lt;&gt;"f"),DL48*2.4/$H48,DL48),IF($F48&lt;OFFSET($BN$9,$CN48+3,0,1,1),IF(AND($H48&gt;2.4,Z48&lt;&gt;"e",Z48&lt;&gt;"f"),DL48*2.4/$H48,DL48),0)))))*COS(RADIANS($G48)))</f>
        <v>0</v>
      </c>
      <c r="DI48" s="51">
        <f ca="1">IF(F48&lt;OFFSET($BM$9,CN48-1,0,1,1),0,IF(F48&lt;OFFSET($BN$9,CN48-1,0,1,1),((F48-OFFSET($BM$9,CN48-1,0,1,1))*OFFSET($CI$9,CN48-1,0,1,1))+OFFSET($BP$9,CN48-1,CQ48,1,1),IF(F48&lt;OFFSET($BN$9,CN48+0,0,1,1),((F48-OFFSET($BM$9,CN48+0,0,1,1))*OFFSET($CI$9,CN48+0,0,1,1))+OFFSET($BP$9,CN48+0,CQ48,1,1),IF(F48&lt;OFFSET($BN$9,CN48+1,0,1,1),((F48-OFFSET($BM$9,CN48+1,0,1,1))*OFFSET($CI$9,CN48+1,0,1,1))+OFFSET($BP$9,CN48+1,CQ48,1,1),IF(F48&lt;OFFSET($BN$9,CN48+2,0,1,1),((F48-OFFSET($BM$9,CN48+2,0,1,1))*OFFSET($CI$9,CN48+2,0,1,1))+OFFSET($BP$9,CN48+2,CQ48,1,1),IF(F48&lt;OFFSET($BN$9,CN48+3,0,1,1),((F48-OFFSET($BM$9,CN48+3,0,1,1))*OFFSET($CI$9,CN48+3,0,1,1))+OFFSET($BP$9,CN48+3,CQ48,1,1),0))))))</f>
        <v>0</v>
      </c>
      <c r="DJ48" s="51">
        <f ca="1">IF($F48&lt;OFFSET($BM$9,$CN48-1,0,1,1),0,IF($F48&lt;OFFSET($BN$9,$CN48-1,0,1,1),IF(AND($H48&gt;2.4,Z48&lt;&gt;"e",Z48&lt;&gt;"f"),DN48*2.4/$H48,DN48),IF($F48&lt;OFFSET($BN$9,$CN48+0,0,1,1),IF(AND($H48&gt;2.4,Z48&lt;&gt;"e",Z48&lt;&gt;"f"),DN48*2.4/$H48,DN48),IF($F48&lt;OFFSET($BN$9,$CN48+1,0,1,1),IF(AND($H48&gt;2.4,Z48&lt;&gt;"e",Z48&lt;&gt;"f"),DN48*2.4/$H48,DN48),IF($F48&lt;OFFSET($BN$9,$CN48+2,0,1,1),IF(AND($H48&gt;2.4,Z48&lt;&gt;"e",Z48&lt;&gt;"f"),DN48*2.4/$H48,DN48),IF($F48&lt;OFFSET($BN$9,$CN48+3,0,1,1),IF(AND($H48&gt;2.4,Z48&lt;&gt;"e",Z48&lt;&gt;"f"),DN48*2.4/$H48,DN48),0)))))*COS(RADIANS($G48)))</f>
        <v>0</v>
      </c>
      <c r="DK48" s="51"/>
      <c r="DL48" s="51">
        <f ca="1">IF(DG48&gt;$CR48,$CR48,DG48)</f>
        <v>0</v>
      </c>
      <c r="DM48" s="51"/>
      <c r="DN48" s="51">
        <f ca="1">IF(DI48&gt;$CR48,$CR48,DI48)</f>
        <v>0</v>
      </c>
      <c r="DO48" s="435">
        <f ca="1">IF(DH48&gt;$CR48,$CR48,DH48)</f>
        <v>0</v>
      </c>
      <c r="DP48" s="435">
        <f ca="1">DO48*F48</f>
        <v>0</v>
      </c>
      <c r="DQ48" s="436">
        <f ca="1">IF(DJ48&gt;$CR48,$CR48,DJ48)</f>
        <v>0</v>
      </c>
      <c r="DR48" s="437">
        <f ca="1">DQ48*F48</f>
        <v>0</v>
      </c>
      <c r="DS48" s="426">
        <f ca="1">OFFSET($CH$9,CL48-1,-15,1,1)</f>
        <v>0</v>
      </c>
      <c r="DT48" s="426">
        <f ca="1">VLOOKUP(DS48,Prodlink,2,0)</f>
        <v>0</v>
      </c>
      <c r="DU48" s="188">
        <f ca="1">IF(F48&lt;OFFSET($BM$9,DT48-1,0,1,1),0,IF(F48&lt;OFFSET($BN$9,DT48-1,0,1,1),((F48-OFFSET($BM$9,DT48-1,0,1,1))*OFFSET($CH$9,DT48-1,0,1,1))+OFFSET($BO$9,DT48-1,CQ48,1,1),IF(F48&lt;OFFSET($BN$9,DT48+0,0,1,1),((F48-OFFSET($BM$9,DT48+0,0,1,1))*OFFSET($CH$9,DT48+0,0,1,1))+OFFSET($BO$9,DT48+0,CQ48,1,1),IF(F48&lt;OFFSET($BN$9,DT48+1,0,1,1),((F48-OFFSET($BM$9,DT48+1,0,1,1))*OFFSET($CH$9,DT48+1,0,1,1))+OFFSET($BO$9,DT48+1,CQ48,1,1),IF(F48&lt;OFFSET($BN$9,DT48+2,0,1,1),((F48-OFFSET($BM$9,DT48+2,0,1,1))*OFFSET($CH$9,DT48+2,0,1,1))+OFFSET($BO$9,DT48+2,CQ48,1,1),IF(F48&lt;OFFSET($BN$9,DT48+3,0,1,1),((F48-OFFSET($BM$9,DT48+3,0,1,1))*OFFSET($CH$9,DT48+3,0,1,1))+OFFSET($BO$9,DT48+3,CQ48,1,1),0))))))</f>
        <v>0</v>
      </c>
      <c r="DV48" s="51">
        <f ca="1">IF($F48&lt;OFFSET($BM$9,$DT48-1,0,1,1),0,IF($F48&lt;OFFSET($BN$9,$DT48-1,0,1,1),IF(AND($H48&gt;2.4,Z48&lt;&gt;"e",Z48&lt;&gt;"f"),DZ48*2.4/$H48,DZ48),IF($F48&lt;OFFSET($BN$9,$DT48+0,0,1,1),IF(AND($H48&gt;2.4,Z48&lt;&gt;"e",Z48&lt;&gt;"f"),DZ48*2.4/$H48,DZ48),IF($F48&lt;OFFSET($BN$9,$DT48+1,0,1,1),IF(AND($H48&gt;2.4,Z48&lt;&gt;"e",Z48&lt;&gt;"f"),DZ48*2.4/$H48,DZ48),IF($F48&lt;OFFSET($BN$9,$DT48+2,0,1,1),IF(AND($H48&gt;2.4,Z48&lt;&gt;"e",Z48&lt;&gt;"f"),DZ48*2.4/$H48,DZ48),IF($F48&lt;OFFSET($BN$9,$DT48+3,0,1,1),IF(AND($H48&gt;2.4,Z48&lt;&gt;"e",Z48&lt;&gt;"f"),DZ48*2.4/$H48,DZ48),0)))))*COS(RADIANS($G48)))</f>
        <v>0</v>
      </c>
      <c r="DW48" s="188">
        <f ca="1">IF(F48&lt;OFFSET($BM$9,DT48-1,0,1,1),0,IF(F48&lt;OFFSET($BN$9,DT48-1,0,1,1),((F48-OFFSET($BM$9,DT48-1,0,1,1))*OFFSET($CI$9,DT48-1,0,1,1))+OFFSET($BP$9,DT48-1,CQ48,1,1),IF(F48&lt;OFFSET($BN$9,DT48+0,0,1,1),((F48-OFFSET($BM$9,DT48+0,0,1,1))*OFFSET($CI$9,DT48+0,0,1,1))+OFFSET($BP$9,DT48+0,CQ48,1,1),IF(F48&lt;OFFSET($BN$9,DT48+1,0,1,1),((F48-OFFSET($BM$9,DT48+1,0,1,1))*OFFSET($CI$9,DT48+1,0,1,1))+OFFSET($BP$9,DT48+1,CQ48,1,1),IF(F48&lt;OFFSET($BN$9,DT48+2,0,1,1),((F48-OFFSET($BM$9,DT48+2,0,1,1))*OFFSET($CI$9,DT48+2,0,1,1))+OFFSET($BP$9,DT48+2,CQ48,1,1),IF(F48&lt;OFFSET($BN$9,DT48+3,0,1,1),((F48-OFFSET($BM$9,DT48+3,0,1,1))*OFFSET($CI$9,DT48+3,0,1,1))+OFFSET($BP$9,DT48+3,CQ48,1,1),0))))))</f>
        <v>0</v>
      </c>
      <c r="DX48" s="51">
        <f ca="1">IF($F48&lt;OFFSET($BM$9,$DT48-1,0,1,1),0,IF($F48&lt;OFFSET($BN$9,$DT48-1,0,1,1),IF(AND($H48&gt;2.4,Z48&lt;&gt;"e",Z48&lt;&gt;"f"),EB48*2.4/$H48,EB48),IF($F48&lt;OFFSET($BN$9,$DT48+0,0,1,1),IF(AND($H48&gt;2.4,Z48&lt;&gt;"e",Z48&lt;&gt;"f"),EB48*2.4/$H48,EB48),IF($F48&lt;OFFSET($BN$9,$DT48+1,0,1,1),IF(AND($H48&gt;2.4,Z48&lt;&gt;"e",Z48&lt;&gt;"f"),EB48*2.4/$H48,EB48),IF($F48&lt;OFFSET($BN$9,$DT48+2,0,1,1),IF(AND($H48&gt;2.4,Z48&lt;&gt;"e",Z48&lt;&gt;"f"),EB48*2.4/$H48,EB48),IF($F48&lt;OFFSET($BN$9,$DT48+3,0,1,1),IF(AND($H48&gt;2.4,Z48&lt;&gt;"e",Z48&lt;&gt;"f"),EB48*2.4/$H48,EB48),0)))))*COS(RADIANS($G48)))</f>
        <v>0</v>
      </c>
      <c r="DY48" s="188"/>
      <c r="DZ48" s="188">
        <f ca="1">IF(DU48&gt;$CR48,$CR48,DU48)</f>
        <v>0</v>
      </c>
      <c r="EA48" s="188"/>
      <c r="EB48" s="188">
        <f ca="1">IF(DW48&gt;$CR48,$CR48,DW48)</f>
        <v>0</v>
      </c>
      <c r="EC48" s="435">
        <f ca="1">IF(DV48&gt;$CR48,$CR48,DV48)</f>
        <v>0</v>
      </c>
      <c r="ED48" s="435">
        <f ca="1">EC48*F48</f>
        <v>0</v>
      </c>
      <c r="EE48" s="436">
        <f ca="1">IF(DX48&gt;$CR48,$CR48,DX48)</f>
        <v>0</v>
      </c>
      <c r="EF48" s="437">
        <f ca="1">EE48*F48</f>
        <v>0</v>
      </c>
      <c r="EG48" s="613" t="str">
        <f>IF(D48=BG$12,BG$12,"")</f>
        <v/>
      </c>
      <c r="EH48" s="614" t="str">
        <f>IF(D48=BG$13,BG$13,"")</f>
        <v/>
      </c>
      <c r="EI48" s="611">
        <f>IF(EG48=BG$12,M48,0)</f>
        <v>0</v>
      </c>
      <c r="EJ48" s="451">
        <f>IF(EG48=BG$12,O48,0)</f>
        <v>0</v>
      </c>
      <c r="EK48" s="451">
        <f>IF(EH48=BG$13,M48,0)</f>
        <v>0</v>
      </c>
      <c r="EL48" s="612">
        <f>IF(EH48=BG$13,O48,0)</f>
        <v>0</v>
      </c>
      <c r="EM48" s="426" t="str">
        <f ca="1">IF(AND(Z48&lt;&gt;"t",Z48&lt;&gt;"f"),"",IF(AND(EN48=$BH$13,K48=$BH$12),"NotOpt",IF(K48&lt;&gt;EN48,"Error","")))</f>
        <v/>
      </c>
      <c r="EN48" s="490" t="str">
        <f>IF($BG$28=1,$BH$13,$BH$12)</f>
        <v>120 BU's</v>
      </c>
      <c r="EO48" s="426" t="str">
        <f>K48</f>
        <v xml:space="preserve"> </v>
      </c>
      <c r="EP48" s="430">
        <v>1</v>
      </c>
      <c r="EQ48" s="430" t="str">
        <f ca="1">IF(EP48=1," ",OFFSET(BF$16,EP48-2,0,1,1))</f>
        <v xml:space="preserve"> </v>
      </c>
      <c r="ER48" s="439" t="str">
        <f ca="1">IF(H48=0," ",H48)</f>
        <v xml:space="preserve"> </v>
      </c>
      <c r="ES48" s="440" t="str">
        <f ca="1">IF(ER48&lt;&gt;" ",IF(ER48&lt;&gt;ER$7,"Changed",""),"")</f>
        <v/>
      </c>
      <c r="ET48" s="440">
        <f ca="1">IF(ER48&lt;&gt;" ",IF(ER48&lt;&gt;ER$7,1,0),0)</f>
        <v>0</v>
      </c>
      <c r="EU48" s="957" t="str">
        <f ca="1">IF(I48=" "," ",IF(F48&lt;OFFSET($BM$9,CL48-1,0,1,1),1,""))</f>
        <v xml:space="preserve"> </v>
      </c>
      <c r="EW48" s="427"/>
      <c r="EX48"/>
      <c r="EY48"/>
      <c r="EZ48"/>
      <c r="FA48"/>
    </row>
    <row r="49" spans="1:157" ht="17.100000000000001" customHeight="1" thickBot="1">
      <c r="A49" s="2685"/>
      <c r="B49" s="2686" t="s">
        <v>8</v>
      </c>
      <c r="C49" s="2687"/>
      <c r="D49" s="1461" t="s">
        <v>8</v>
      </c>
      <c r="E49" s="659"/>
      <c r="F49" s="659"/>
      <c r="G49" s="659"/>
      <c r="H49" s="659"/>
      <c r="I49" s="1462"/>
      <c r="J49" s="1365" t="str">
        <f ca="1">(CONCATENATE(B44,$BE$54))</f>
        <v>S  Line:  Min. Requirement</v>
      </c>
      <c r="K49" s="23"/>
      <c r="L49" s="1019">
        <f ca="1">L$5</f>
        <v>0</v>
      </c>
      <c r="M49" s="48">
        <f ca="1">IF(B44=B38,SUM(M44:M48)+M43,SUM(M44:M48))</f>
        <v>0</v>
      </c>
      <c r="N49" s="1019">
        <f ca="1">N$5</f>
        <v>0</v>
      </c>
      <c r="O49" s="125">
        <f ca="1">IF(B44=B38,SUM(O44:O48)+O43,SUM(O44:O48))</f>
        <v>0</v>
      </c>
      <c r="P49" s="139"/>
      <c r="Q49" s="42" t="str">
        <f ca="1">IF(B44=B50,"",IF(AND(M49&gt;0,L49&gt;M49),"More Required on this line",IF(AND(O49&gt;0,N49&gt;O49),"More Required on this line",IF(AND(M49&gt;0,L49=0,OR(M49&lt;$M$105,M49&lt;$BF$3)),"Achieved &lt; Min Req per Line",IF(AND(O49&gt;0,N49=0,OR(O49&lt;$O$105,O49&lt;$BF$3)),"Achieved &lt; Min Req per Line",IF(AND(L49&gt;0,L49&lt;$BF$3),$BE$59,IF(AND(N49&gt;0,N49&lt;$BF$3),$BE$59,"")))))))</f>
        <v/>
      </c>
      <c r="R49" s="52"/>
      <c r="S49" s="52"/>
      <c r="T49" s="52"/>
      <c r="U49" s="1378"/>
      <c r="V49" s="52"/>
      <c r="W49" s="898"/>
      <c r="X49" s="898"/>
      <c r="Y49" s="896"/>
      <c r="Z49" s="52"/>
      <c r="AA49" s="51"/>
      <c r="AB49" s="1364"/>
      <c r="AC49"/>
      <c r="AK49" s="63" t="str">
        <f>'Custom Elements'!B10</f>
        <v xml:space="preserve">  </v>
      </c>
      <c r="AL49" s="860" t="str">
        <f>'Custom Elements'!C10</f>
        <v>Custom2</v>
      </c>
      <c r="AM49" s="11">
        <f>'Custom Elements'!D10</f>
        <v>9.9999999999999996E-76</v>
      </c>
      <c r="AN49" s="7">
        <f>'Custom Elements'!E10</f>
        <v>0</v>
      </c>
      <c r="AO49" s="7">
        <f>'Custom Elements'!F10</f>
        <v>0</v>
      </c>
      <c r="AP49" s="762" t="str">
        <f>'Custom Elements'!G10</f>
        <v>B</v>
      </c>
      <c r="AQ49" s="1777" t="str">
        <f>'Custom Elements'!H10</f>
        <v>Single</v>
      </c>
      <c r="AR49" s="1775" t="str">
        <f>'Custom Elements'!I10</f>
        <v>Yes</v>
      </c>
      <c r="AS49" s="442" t="str">
        <f>'Custom Elements'!J10</f>
        <v>Yes</v>
      </c>
      <c r="AT49" s="1150"/>
      <c r="AU49" s="1150"/>
      <c r="AZ49" s="442" t="str">
        <f>IF(AND('Custom Elements'!J10="Yes",'Custom Elements'!I10="Yes"),"T",IF('Custom Elements'!J10="Yes","F",IF('Custom Elements'!I10="Yes","H","E")))</f>
        <v>T</v>
      </c>
      <c r="BA49"/>
      <c r="BB49"/>
      <c r="BC49"/>
      <c r="BD49" s="638"/>
      <c r="BF49" s="1363"/>
      <c r="BG49" s="651"/>
      <c r="BH49" s="651"/>
      <c r="BI49" s="759"/>
      <c r="BJ49" s="897">
        <f t="shared" si="25"/>
        <v>41</v>
      </c>
      <c r="BX49" s="52"/>
      <c r="CH49" s="970"/>
      <c r="CI49" s="971"/>
      <c r="CJ49" s="759"/>
      <c r="CK49" s="188"/>
      <c r="CL49" s="979"/>
      <c r="CN49" s="497"/>
      <c r="CO49" s="497"/>
      <c r="CQ49" s="51"/>
      <c r="CR49" s="51" t="s">
        <v>8</v>
      </c>
      <c r="CS49" s="51"/>
      <c r="CT49" s="51" t="s">
        <v>8</v>
      </c>
      <c r="CU49" s="51"/>
      <c r="CV49" s="51" t="s">
        <v>8</v>
      </c>
      <c r="CW49" s="51"/>
      <c r="CX49" s="51"/>
      <c r="CY49" s="51"/>
      <c r="CZ49" s="51"/>
      <c r="DD49" s="758"/>
      <c r="DF49" s="52"/>
      <c r="DG49" s="51"/>
      <c r="DH49" s="51"/>
      <c r="DI49" s="51"/>
      <c r="DJ49" s="51"/>
      <c r="DK49" s="51"/>
      <c r="DL49" s="51"/>
      <c r="DM49" s="51"/>
      <c r="DN49" s="51"/>
      <c r="DO49" s="435"/>
      <c r="DP49" s="435"/>
      <c r="DQ49" s="868"/>
      <c r="DR49" s="868"/>
      <c r="DU49" s="188"/>
      <c r="DV49" s="188" t="s">
        <v>8</v>
      </c>
      <c r="DW49" s="188"/>
      <c r="DX49" s="188" t="s">
        <v>8</v>
      </c>
      <c r="DY49" s="188"/>
      <c r="DZ49" s="188"/>
      <c r="EA49" s="188"/>
      <c r="EB49" s="188"/>
      <c r="EC49" s="435"/>
      <c r="ED49" s="435"/>
      <c r="EE49" s="868"/>
      <c r="EF49" s="868"/>
      <c r="EG49" s="613"/>
      <c r="EH49" s="435"/>
      <c r="EI49" s="613"/>
      <c r="EJ49" s="435"/>
      <c r="EK49" s="451"/>
      <c r="EL49" s="612"/>
      <c r="EN49" s="947"/>
      <c r="ER49" s="441"/>
      <c r="ES49" s="440"/>
      <c r="ET49" s="440"/>
      <c r="EU49" s="957"/>
      <c r="EW49" s="427"/>
      <c r="EX49"/>
      <c r="EY49"/>
      <c r="EZ49"/>
      <c r="FA49"/>
    </row>
    <row r="50" spans="1:157" ht="17.100000000000001" customHeight="1" thickBot="1">
      <c r="A50" s="2685"/>
      <c r="B50" s="1369" t="str">
        <f ca="1">S50</f>
        <v>T</v>
      </c>
      <c r="C50" s="684" t="str">
        <f>IF(OR(F50=0,I50="",I50=" ")," ",$V50)</f>
        <v xml:space="preserve"> </v>
      </c>
      <c r="D50" s="1033"/>
      <c r="E50" s="1360" t="s">
        <v>8</v>
      </c>
      <c r="F50" s="202"/>
      <c r="G50" s="1416"/>
      <c r="H50" s="199" t="str">
        <f ca="1">IF(OR(F50=0,Z50="E",Z50="f")," ",'Project Demand'!E$45)</f>
        <v xml:space="preserve"> </v>
      </c>
      <c r="I50" s="631" t="str">
        <f>IF($I$6&lt;&gt;$BG$8," ",AB50)</f>
        <v xml:space="preserve"> </v>
      </c>
      <c r="J50" s="43" t="str">
        <f ca="1">IF(OR(I50=" ",I50="")," ",OFFSET($BO$9,CL50-1,0-4,1,1))</f>
        <v xml:space="preserve"> </v>
      </c>
      <c r="K50" s="55" t="str">
        <f>IF(OR(I50=" ",I50="")," ",IF(OR(Z50="e",Z50="h"),"SD",BG$24))</f>
        <v xml:space="preserve"> </v>
      </c>
      <c r="L50" s="49">
        <f ca="1">CW50</f>
        <v>0</v>
      </c>
      <c r="M50" s="49">
        <f ca="1">CY50</f>
        <v>0</v>
      </c>
      <c r="N50" s="50">
        <f t="shared" ref="N50:O54" ca="1" si="28">DA50</f>
        <v>0</v>
      </c>
      <c r="O50" s="126">
        <f t="shared" ca="1" si="28"/>
        <v>0</v>
      </c>
      <c r="P50" s="140"/>
      <c r="Q50" s="752" t="str">
        <f ca="1">IF(AND(OR(Z50="t",Z50="f"),K50=$BH$11),"No Floor!  Change Floor Type",IF(OR(I50=" ",I50="")," ",IF(F50&lt;OFFSET($BM$9,CL50-1,0,1,1),"check L(m)",DE50&amp;IF(AND(DP50&gt;=CY50,DR50&gt;=DB50),IF(AND(ED50&gt;=DP50,EF50&gt;=DR50),CONCATENATE(DS50," will provide same result"),CONCATENATE(CO50," will provide same result")),IF((DP50&gt;=CY50),CONCATENATE(CO50," provides same result in WIND"),IF((DR50&gt;=DB50),CONCATENATE(CO50," provides same result in EQ"),""))))))&amp;IF(ISERROR(FIND("pile",I50,1)),"",IF(INT(F50)&lt;&gt;F50,"Pile!  Use Whole Numbers Only",""))</f>
        <v xml:space="preserve"> </v>
      </c>
      <c r="R50" s="52">
        <f ca="1">IF(T44&lt;&gt;2,(COLUMN(INDIRECT(B44&amp;1))+1),U50)</f>
        <v>20</v>
      </c>
      <c r="S50" s="1372" t="str">
        <f ca="1">SUBSTITUTE(ADDRESS(1,R50,4),"1","")</f>
        <v>T</v>
      </c>
      <c r="T50" s="451">
        <f ca="1">IF(AND(ISTEXT(B50),SUBSTITUTE(SUBSTITUTE(SUBSTITUTE(SUBSTITUTE(SUBSTITUTE(SUBSTITUTE(SUBSTITUTE(SUBSTITUTE(SUBSTITUTE(SUBSTITUTE(SUBSTITUTE(SUBSTITUTE(SUBSTITUTE(SUBSTITUTE(SUBSTITUTE(SUBSTITUTE(SUBSTITUTE(SUBSTITUTE(SUBSTITUTE(SUBSTITUTE(SUBSTITUTE(SUBSTITUTE(SUBSTITUTE(SUBSTITUTE(SUBSTITUTE(SUBSTITUTE(LOWER(B50),"a",),"b",),"c",),"d",),"e",),"f",),"g",),"h",),"i",),"j",),"k",),"l",),"m",),"n",),"o",),"p",),"q",),"r",),"s",),"t",),"u",),"v",),"w",),"x",),"y",),"z",)=""),1,2)</f>
        <v>1</v>
      </c>
      <c r="U50" s="1377">
        <v>20</v>
      </c>
      <c r="V50" s="52" t="str">
        <f ca="1">IF(AND(B$5=$BF$9,OR(I50=BH$16,I50=BH$17))," ",IF(ISNUMBER(B$50),(CONCATENATE(B$50,".",W50)),(CONCATENATE(B$50,W50))))</f>
        <v>T0</v>
      </c>
      <c r="W50" s="9">
        <f ca="1">IF(B44=B50,W48+X50,X50)</f>
        <v>0</v>
      </c>
      <c r="X50" s="9">
        <f>IF(AND(B$5=$BF$9,OR($I50=$BH$16,$I50=$BH$17,$I50=" ",$I50="",$F50=0)),0,IF(OR($I50=" ",$I50="",$F50=0),0,1))</f>
        <v>0</v>
      </c>
      <c r="Y50" s="896">
        <f ca="1">IF(AND(M55&gt;0,B50&lt;&gt;B56),1,0)</f>
        <v>0</v>
      </c>
      <c r="Z50" s="52" t="str">
        <f ca="1">IF(I50=" "," ",OFFSET($BM$9,$CL50-1,8,1,1))</f>
        <v xml:space="preserve"> </v>
      </c>
      <c r="AA50" s="51" t="str">
        <f>IF(G50&gt;=45,"WA","")</f>
        <v/>
      </c>
      <c r="AB50" s="1364" t="str">
        <f>IF(F50&lt;&gt;"",IF(OR(D50=$BG$12,D50=$BG$13),IF(E50&lt;&gt;$BG$17,$BF$12,$BF$13),IF(E50&lt;&gt;$BG$17,$BF$12,$BF$13))," ")</f>
        <v xml:space="preserve"> </v>
      </c>
      <c r="AC50" s="1"/>
      <c r="AK50" s="63" t="str">
        <f>'Custom Elements'!B11</f>
        <v xml:space="preserve">  </v>
      </c>
      <c r="AL50" s="860" t="str">
        <f>'Custom Elements'!C11</f>
        <v>Custom3</v>
      </c>
      <c r="AM50" s="11">
        <f>'Custom Elements'!D11</f>
        <v>9.9999999999999996E-76</v>
      </c>
      <c r="AN50" s="7">
        <f>'Custom Elements'!E11</f>
        <v>0</v>
      </c>
      <c r="AO50" s="7">
        <f>'Custom Elements'!F11</f>
        <v>0</v>
      </c>
      <c r="AP50" s="762" t="str">
        <f>'Custom Elements'!G11</f>
        <v>B</v>
      </c>
      <c r="AQ50" s="1777" t="str">
        <f>'Custom Elements'!H11</f>
        <v>Single</v>
      </c>
      <c r="AR50" s="1775" t="str">
        <f>'Custom Elements'!I11</f>
        <v>Yes</v>
      </c>
      <c r="AS50" s="442" t="str">
        <f>'Custom Elements'!J11</f>
        <v>Yes</v>
      </c>
      <c r="AT50" s="1150"/>
      <c r="AU50" s="1150"/>
      <c r="AZ50" s="442" t="str">
        <f>IF(AND('Custom Elements'!J11="Yes",'Custom Elements'!I11="Yes"),"T",IF('Custom Elements'!J11="Yes","F",IF('Custom Elements'!I11="Yes","H","E")))</f>
        <v>T</v>
      </c>
      <c r="BA50"/>
      <c r="BB50"/>
      <c r="BC50"/>
      <c r="BD50" s="638"/>
      <c r="BI50" s="759"/>
      <c r="BJ50" s="897">
        <f t="shared" si="25"/>
        <v>42</v>
      </c>
      <c r="BK50" s="1219" t="str">
        <f>Table!AH71</f>
        <v xml:space="preserve">EPB </v>
      </c>
      <c r="BL50" s="765" t="str">
        <f>Table!C4</f>
        <v>ES-N</v>
      </c>
      <c r="BM50" s="454">
        <f>Table!D4</f>
        <v>0.4</v>
      </c>
      <c r="BN50" s="454">
        <f>BM51</f>
        <v>0.6</v>
      </c>
      <c r="BO50" s="454">
        <f>Table!E4</f>
        <v>66</v>
      </c>
      <c r="BP50" s="924">
        <f>Table!F4</f>
        <v>61</v>
      </c>
      <c r="BQ50" s="920"/>
      <c r="BR50" s="768">
        <f>Table!G4</f>
        <v>0</v>
      </c>
      <c r="BS50" s="454">
        <f>Table!G5</f>
        <v>0</v>
      </c>
      <c r="BT50" s="454" t="str">
        <f>Table!H4</f>
        <v>B</v>
      </c>
      <c r="BU50" s="924" t="s">
        <v>242</v>
      </c>
      <c r="BV50" s="1230" t="str">
        <f>Table!AI73</f>
        <v>ES-N</v>
      </c>
      <c r="BW50" s="1229">
        <f>BJ50</f>
        <v>42</v>
      </c>
      <c r="BX50" s="924" t="str">
        <f>Table!H5</f>
        <v>Single</v>
      </c>
      <c r="CH50" s="768">
        <f>IF(BN50=999,0,(BO51-BO50)/(BN50-BM50))</f>
        <v>15.000000000000004</v>
      </c>
      <c r="CI50" s="924">
        <f>IF(BN50=999,0,(BP51-BP50)/(BN50-BM50))</f>
        <v>0</v>
      </c>
      <c r="CJ50" s="759"/>
      <c r="CK50" s="188"/>
      <c r="CL50" s="979">
        <f>VLOOKUP(I50,Prodlink,2,0)</f>
        <v>0</v>
      </c>
      <c r="CN50" s="497">
        <f ca="1">VLOOKUP(CO50,Prodlink,2,0)</f>
        <v>0</v>
      </c>
      <c r="CO50" s="497">
        <f ca="1">OFFSET($CH$9,CL50-1,-15,1,1)</f>
        <v>0</v>
      </c>
      <c r="CQ50" s="51">
        <v>0</v>
      </c>
      <c r="CR50" s="51">
        <f>IF(K50=$BH$12,$BH$23,IF(K50=$BH$13,$BH$24,10000))</f>
        <v>10000</v>
      </c>
      <c r="CS50" s="51">
        <f ca="1">IF(F50&lt;OFFSET($BM$9,CL50-1,0,1,1),0,IF(F50&lt;OFFSET($BN$9,CL50-1,0,1,1),((F50-OFFSET($BM$9,CL50-1,0,1,1))*OFFSET($CH$9,CL50-1,0,1,1))+OFFSET($BO$9,CL50-1,CQ50,1,1),IF(F50&lt;OFFSET($BN$9,CL50+0,0,1,1),((F50-OFFSET($BM$9,CL50+0,0,1,1))*OFFSET($CH$9,CL50+0,0,1,1))+OFFSET($BO$9,CL50+0,CQ50,1,1),IF(F50&lt;OFFSET($BN$9,CL50+1,0,1,1),((F50-OFFSET($BM$9,CL50+1,0,1,1))*OFFSET($CH$9,CL50+1,0,1,1))+OFFSET($BO$9,CL50+1,CQ50,1,1),IF(F50&lt;OFFSET($BN$9,CL50+2,0,1,1),((F50-OFFSET($BM$9,CL50+2,0,1,1))*OFFSET($CH$9,CL50+2,0,1,1))+OFFSET($BO$9,CL50+2,CQ50,1,1),IF(F50&lt;OFFSET($BN$9,CL50+3,0,1,1),((F50-OFFSET($BM$9,CL50+3,0,1,1))*OFFSET($CH$9,CL50+3,0,1,1))+OFFSET($BO$9,CL50+3,CQ50,1,1),0))))))</f>
        <v>0</v>
      </c>
      <c r="CT50" s="51">
        <f ca="1">IF($F50&lt;OFFSET($BM$9,$CL50-1,0,1,1),0,IF($F50&lt;OFFSET($BN$9,$CL50-1,0,1,1),IF(AND($H50&gt;2.4,Z50&lt;&gt;"e",Z50&lt;&gt;"f"),CX50*2.4/$H50,CX50),IF($F50&lt;OFFSET($BN$9,$CL50+0,0,1,1),IF(AND($H50&gt;2.4,Z50&lt;&gt;"e",Z50&lt;&gt;"f"),CX50*2.4/$H50,CX50),IF($F50&lt;OFFSET($BN$9,$CL50+1,0,1,1),IF(AND($H50&gt;2.4,Z50&lt;&gt;"e",Z50&lt;&gt;"f"),CX50*2.4/$H50,CX50),IF($F50&lt;OFFSET($BN$9,CL50+2,0,1,1),IF(AND($H50&gt;2.4,Z50&lt;&gt;"e",Z50&lt;&gt;"f"),CX50*2.4/$H50,CX50),IF($F50&lt;OFFSET($BN$9,CL50+3,0,1,1),IF(AND($H50&gt;2.4,Z50&lt;&gt;"e",Z50&lt;&gt;"f"),CX50*2.4/$H50,CX50),0)))))*COS(RADIANS($G50)))</f>
        <v>0</v>
      </c>
      <c r="CU50" s="51">
        <f ca="1">IF(F50&lt;OFFSET($BM$9,CL50-1,0,1,1),0,IF(F50&lt;OFFSET($BN$9,CL50-1,0,1,1),((F50-OFFSET($BM$9,CL50-1,0,1,1))*OFFSET($CI$9,CL50-1,0,1,1))+OFFSET($BP$9,CL50-1,CQ50,1,1),IF(F50&lt;OFFSET($BN$9,CL50+0,0,1,1),((F50-OFFSET($BM$9,CL50+0,0,1,1))*OFFSET($CI$9,CL50+0,0,1,1))+OFFSET($BP$9,CL50+0,CQ50,1,1),IF(F50&lt;OFFSET($BN$9,CL50+1,0,1,1),((F50-OFFSET($BM$9,CL50+1,0,1,1))*OFFSET($CI$9,CL50+1,0,1,1))+OFFSET($BP$9,CL50+1,CQ50,1,1),IF(F50&lt;OFFSET($BN$9,CL50+2,0,1,1),((F50-OFFSET($BM$9,CL50+2,0,1,1))*OFFSET($CI$9,CL50+2,0,1,1))+OFFSET($BP$9,CL50+2,CQ50,1,1),IF(F50&lt;OFFSET($BN$9,CL50+3,0,1,1),((F50-OFFSET($BM$9,CL50+3,0,1,1))*OFFSET($CI$9,CL50+3,0,1,1))+OFFSET($BP$9,CL50+3,CQ50,1,1),0))))))</f>
        <v>0</v>
      </c>
      <c r="CV50" s="51">
        <f ca="1">IF($F50&lt;OFFSET($BM$9,$CL50-1,0,1,1),0,IF($F50&lt;OFFSET($BN$9,$CL50-1,0,1,1),IF(AND($H50&gt;2.4,Z50&lt;&gt;"e",Z50&lt;&gt;"f"),CZ50*2.4/$H50,CZ50),IF($F50&lt;OFFSET($BN$9,$CL50+0,0,1,1),IF(AND($H50&gt;2.4,Z50&lt;&gt;"e",Z50&lt;&gt;"f"),CZ50*2.4/$H50,CZ50),IF($F50&lt;OFFSET($BN$9,$CL50+1,0,1,1),IF(AND($H50&gt;2.4,Z50&lt;&gt;"e",Z50&lt;&gt;"f"),CZ50*2.4/$H50,CZ50),IF($F50&lt;OFFSET($BN$9,$CL50+2,0,1,1),IF(AND($H50&gt;2.4,Z50&lt;&gt;"e",Z50&lt;&gt;"f"),CZ50*2.4/$H50,CZ50),IF($F50&lt;OFFSET($BN$9,$CL50+3,0,1,1),IF(AND($H50&gt;2.4,Z50&lt;&gt;"e",Z50&lt;&gt;"f"),CZ50*2.4/$H50,CZ50),0)))))*COS(RADIANS($G50)))</f>
        <v>0</v>
      </c>
      <c r="CW50" s="51">
        <f ca="1">IF(CT50&gt;CR50,CR50,CT50)</f>
        <v>0</v>
      </c>
      <c r="CX50" s="51">
        <f ca="1">IF(CS50&gt;$CR50,$CR50,CS50)</f>
        <v>0</v>
      </c>
      <c r="CY50" s="51">
        <f ca="1">CW50*F50</f>
        <v>0</v>
      </c>
      <c r="CZ50" s="51">
        <f ca="1">IF($CU50&gt;$CR50,$CR50,$CU50)</f>
        <v>0</v>
      </c>
      <c r="DA50" s="51">
        <f ca="1">IF(CV50&gt;CR50,CR50,CV50)</f>
        <v>0</v>
      </c>
      <c r="DB50" s="51">
        <f ca="1">DA50*F50</f>
        <v>0</v>
      </c>
      <c r="DC50" s="993">
        <v>1</v>
      </c>
      <c r="DD50" s="758" t="str">
        <f>IF(OR(D50=BG$12,D50=BG$13),"External",IF(D50=BG$14,"Internal"," "))</f>
        <v xml:space="preserve"> </v>
      </c>
      <c r="DE50" s="51" t="str">
        <f t="shared" ca="1" si="1"/>
        <v/>
      </c>
      <c r="DF50" s="52" t="str">
        <f t="shared" ca="1" si="2"/>
        <v xml:space="preserve"> </v>
      </c>
      <c r="DG50" s="51">
        <f ca="1">IF(F50&lt;OFFSET($BM$9,CN50-1,0,1,1),0,IF(F50&lt;OFFSET($BN$9,CN50-1,0,1,1),((F50-OFFSET($BM$9,CN50-1,0,1,1))*OFFSET($CH$9,CN50-1,0,1,1))+OFFSET($BO$9,CN50-1,CQ50,1,1),IF(F50&lt;OFFSET($BN$9,CN50+0,0,1,1),((F50-OFFSET($BM$9,CN50+0,0,1,1))*OFFSET($CH$9,CN50+0,0,1,1))+OFFSET($BO$9,CN50+0,CQ50,1,1),IF(F50&lt;OFFSET($BN$9,CN50+1,0,1,1),((F50-OFFSET($BM$9,CN50+1,0,1,1))*OFFSET($CH$9,CN50+1,0,1,1))+OFFSET($BO$9,CN50+1,CQ50,1,1),IF(F50&lt;OFFSET($BN$9,CN50+2,0,1,1),((F50-OFFSET($BM$9,CN50+2,0,1,1))*OFFSET($CH$9,CN50+2,0,1,1))+OFFSET($BO$9,CN50+2,CQ50,1,1),IF(F50&lt;OFFSET($BN$9,CN50+3,0,1,1),((F50-OFFSET($BM$9,CN50+3,0,1,1))*OFFSET($CH$9,CN50+3,0,1,1))+OFFSET($BO$9,CN50+3,CQ50,1,1),0))))))</f>
        <v>0</v>
      </c>
      <c r="DH50" s="51">
        <f ca="1">IF($F50&lt;OFFSET($BM$9,$CN50-1,0,1,1),0,IF($F50&lt;OFFSET($BN$9,$CN50-1,0,1,1),IF(AND($H50&gt;2.4,Z50&lt;&gt;"e",Z50&lt;&gt;"f"),DL50*2.4/$H50,DL50),IF($F50&lt;OFFSET($BN$9,$CN50+0,0,1,1),IF(AND($H50&gt;2.4,Z50&lt;&gt;"e",Z50&lt;&gt;"f"),DL50*2.4/$H50,DL50),IF($F50&lt;OFFSET($BN$9,$CN50+1,0,1,1),IF(AND($H50&gt;2.4,Z50&lt;&gt;"e",Z50&lt;&gt;"f"),DL50*2.4/$H50,DL50),IF($F50&lt;OFFSET($BN$9,$CN50+2,0,1,1),IF(AND($H50&gt;2.4,Z50&lt;&gt;"e",Z50&lt;&gt;"f"),DL50*2.4/$H50,DL50),IF($F50&lt;OFFSET($BN$9,$CN50+3,0,1,1),IF(AND($H50&gt;2.4,Z50&lt;&gt;"e",Z50&lt;&gt;"f"),DL50*2.4/$H50,DL50),0)))))*COS(RADIANS($G50)))</f>
        <v>0</v>
      </c>
      <c r="DI50" s="51">
        <f ca="1">IF(F50&lt;OFFSET($BM$9,CN50-1,0,1,1),0,IF(F50&lt;OFFSET($BN$9,CN50-1,0,1,1),((F50-OFFSET($BM$9,CN50-1,0,1,1))*OFFSET($CI$9,CN50-1,0,1,1))+OFFSET($BP$9,CN50-1,CQ50,1,1),IF(F50&lt;OFFSET($BN$9,CN50+0,0,1,1),((F50-OFFSET($BM$9,CN50+0,0,1,1))*OFFSET($CI$9,CN50+0,0,1,1))+OFFSET($BP$9,CN50+0,CQ50,1,1),IF(F50&lt;OFFSET($BN$9,CN50+1,0,1,1),((F50-OFFSET($BM$9,CN50+1,0,1,1))*OFFSET($CI$9,CN50+1,0,1,1))+OFFSET($BP$9,CN50+1,CQ50,1,1),IF(F50&lt;OFFSET($BN$9,CN50+2,0,1,1),((F50-OFFSET($BM$9,CN50+2,0,1,1))*OFFSET($CI$9,CN50+2,0,1,1))+OFFSET($BP$9,CN50+2,CQ50,1,1),IF(F50&lt;OFFSET($BN$9,CN50+3,0,1,1),((F50-OFFSET($BM$9,CN50+3,0,1,1))*OFFSET($CI$9,CN50+3,0,1,1))+OFFSET($BP$9,CN50+3,CQ50,1,1),0))))))</f>
        <v>0</v>
      </c>
      <c r="DJ50" s="51">
        <f ca="1">IF($F50&lt;OFFSET($BM$9,$CN50-1,0,1,1),0,IF($F50&lt;OFFSET($BN$9,$CN50-1,0,1,1),IF(AND($H50&gt;2.4,Z50&lt;&gt;"e",Z50&lt;&gt;"f"),DN50*2.4/$H50,DN50),IF($F50&lt;OFFSET($BN$9,$CN50+0,0,1,1),IF(AND($H50&gt;2.4,Z50&lt;&gt;"e",Z50&lt;&gt;"f"),DN50*2.4/$H50,DN50),IF($F50&lt;OFFSET($BN$9,$CN50+1,0,1,1),IF(AND($H50&gt;2.4,Z50&lt;&gt;"e",Z50&lt;&gt;"f"),DN50*2.4/$H50,DN50),IF($F50&lt;OFFSET($BN$9,$CN50+2,0,1,1),IF(AND($H50&gt;2.4,Z50&lt;&gt;"e",Z50&lt;&gt;"f"),DN50*2.4/$H50,DN50),IF($F50&lt;OFFSET($BN$9,$CN50+3,0,1,1),IF(AND($H50&gt;2.4,Z50&lt;&gt;"e",Z50&lt;&gt;"f"),DN50*2.4/$H50,DN50),0)))))*COS(RADIANS($G50)))</f>
        <v>0</v>
      </c>
      <c r="DK50" s="51"/>
      <c r="DL50" s="51">
        <f ca="1">IF(DG50&gt;$CR50,$CR50,DG50)</f>
        <v>0</v>
      </c>
      <c r="DM50" s="51"/>
      <c r="DN50" s="51">
        <f ca="1">IF(DI50&gt;$CR50,$CR50,DI50)</f>
        <v>0</v>
      </c>
      <c r="DO50" s="435">
        <f ca="1">IF(DH50&gt;$CR50,$CR50,DH50)</f>
        <v>0</v>
      </c>
      <c r="DP50" s="435">
        <f ca="1">DO50*F50</f>
        <v>0</v>
      </c>
      <c r="DQ50" s="436">
        <f ca="1">IF(DJ50&gt;$CR50,$CR50,DJ50)</f>
        <v>0</v>
      </c>
      <c r="DR50" s="437">
        <f ca="1">DQ50*F50</f>
        <v>0</v>
      </c>
      <c r="DS50" s="426">
        <f ca="1">OFFSET($CH$9,CL50-1,-15,1,1)</f>
        <v>0</v>
      </c>
      <c r="DT50" s="426">
        <f ca="1">VLOOKUP(DS50,Prodlink,2,0)</f>
        <v>0</v>
      </c>
      <c r="DU50" s="188">
        <f ca="1">IF(F50&lt;OFFSET($BM$9,DT50-1,0,1,1),0,IF(F50&lt;OFFSET($BN$9,DT50-1,0,1,1),((F50-OFFSET($BM$9,DT50-1,0,1,1))*OFFSET($CH$9,DT50-1,0,1,1))+OFFSET($BO$9,DT50-1,CQ50,1,1),IF(F50&lt;OFFSET($BN$9,DT50+0,0,1,1),((F50-OFFSET($BM$9,DT50+0,0,1,1))*OFFSET($CH$9,DT50+0,0,1,1))+OFFSET($BO$9,DT50+0,CQ50,1,1),IF(F50&lt;OFFSET($BN$9,DT50+1,0,1,1),((F50-OFFSET($BM$9,DT50+1,0,1,1))*OFFSET($CH$9,DT50+1,0,1,1))+OFFSET($BO$9,DT50+1,CQ50,1,1),IF(F50&lt;OFFSET($BN$9,DT50+2,0,1,1),((F50-OFFSET($BM$9,DT50+2,0,1,1))*OFFSET($CH$9,DT50+2,0,1,1))+OFFSET($BO$9,DT50+2,CQ50,1,1),IF(F50&lt;OFFSET($BN$9,DT50+3,0,1,1),((F50-OFFSET($BM$9,DT50+3,0,1,1))*OFFSET($CH$9,DT50+3,0,1,1))+OFFSET($BO$9,DT50+3,CQ50,1,1),0))))))</f>
        <v>0</v>
      </c>
      <c r="DV50" s="51">
        <f ca="1">IF($F50&lt;OFFSET($BM$9,$DT50-1,0,1,1),0,IF($F50&lt;OFFSET($BN$9,$DT50-1,0,1,1),IF(AND($H50&gt;2.4,Z50&lt;&gt;"e",Z50&lt;&gt;"f"),DZ50*2.4/$H50,DZ50),IF($F50&lt;OFFSET($BN$9,$DT50+0,0,1,1),IF(AND($H50&gt;2.4,Z50&lt;&gt;"e",Z50&lt;&gt;"f"),DZ50*2.4/$H50,DZ50),IF($F50&lt;OFFSET($BN$9,$DT50+1,0,1,1),IF(AND($H50&gt;2.4,Z50&lt;&gt;"e",Z50&lt;&gt;"f"),DZ50*2.4/$H50,DZ50),IF($F50&lt;OFFSET($BN$9,$DT50+2,0,1,1),IF(AND($H50&gt;2.4,Z50&lt;&gt;"e",Z50&lt;&gt;"f"),DZ50*2.4/$H50,DZ50),IF($F50&lt;OFFSET($BN$9,$DT50+3,0,1,1),IF(AND($H50&gt;2.4,Z50&lt;&gt;"e",Z50&lt;&gt;"f"),DZ50*2.4/$H50,DZ50),0)))))*COS(RADIANS($G50)))</f>
        <v>0</v>
      </c>
      <c r="DW50" s="188">
        <f ca="1">IF(F50&lt;OFFSET($BM$9,DT50-1,0,1,1),0,IF(F50&lt;OFFSET($BN$9,DT50-1,0,1,1),((F50-OFFSET($BM$9,DT50-1,0,1,1))*OFFSET($CI$9,DT50-1,0,1,1))+OFFSET($BP$9,DT50-1,CQ50,1,1),IF(F50&lt;OFFSET($BN$9,DT50+0,0,1,1),((F50-OFFSET($BM$9,DT50+0,0,1,1))*OFFSET($CI$9,DT50+0,0,1,1))+OFFSET($BP$9,DT50+0,CQ50,1,1),IF(F50&lt;OFFSET($BN$9,DT50+1,0,1,1),((F50-OFFSET($BM$9,DT50+1,0,1,1))*OFFSET($CI$9,DT50+1,0,1,1))+OFFSET($BP$9,DT50+1,CQ50,1,1),IF(F50&lt;OFFSET($BN$9,DT50+2,0,1,1),((F50-OFFSET($BM$9,DT50+2,0,1,1))*OFFSET($CI$9,DT50+2,0,1,1))+OFFSET($BP$9,DT50+2,CQ50,1,1),IF(F50&lt;OFFSET($BN$9,DT50+3,0,1,1),((F50-OFFSET($BM$9,DT50+3,0,1,1))*OFFSET($CI$9,DT50+3,0,1,1))+OFFSET($BP$9,DT50+3,CQ50,1,1),0))))))</f>
        <v>0</v>
      </c>
      <c r="DX50" s="51">
        <f ca="1">IF($F50&lt;OFFSET($BM$9,$DT50-1,0,1,1),0,IF($F50&lt;OFFSET($BN$9,$DT50-1,0,1,1),IF(AND($H50&gt;2.4,Z50&lt;&gt;"e",Z50&lt;&gt;"f"),EB50*2.4/$H50,EB50),IF($F50&lt;OFFSET($BN$9,$DT50+0,0,1,1),IF(AND($H50&gt;2.4,Z50&lt;&gt;"e",Z50&lt;&gt;"f"),EB50*2.4/$H50,EB50),IF($F50&lt;OFFSET($BN$9,$DT50+1,0,1,1),IF(AND($H50&gt;2.4,Z50&lt;&gt;"e",Z50&lt;&gt;"f"),EB50*2.4/$H50,EB50),IF($F50&lt;OFFSET($BN$9,$DT50+2,0,1,1),IF(AND($H50&gt;2.4,Z50&lt;&gt;"e",Z50&lt;&gt;"f"),EB50*2.4/$H50,EB50),IF($F50&lt;OFFSET($BN$9,$DT50+3,0,1,1),IF(AND($H50&gt;2.4,Z50&lt;&gt;"e",Z50&lt;&gt;"f"),EB50*2.4/$H50,EB50),0)))))*COS(RADIANS($G50)))</f>
        <v>0</v>
      </c>
      <c r="DY50" s="188"/>
      <c r="DZ50" s="188">
        <f ca="1">IF(DU50&gt;$CR50,$CR50,DU50)</f>
        <v>0</v>
      </c>
      <c r="EA50" s="188"/>
      <c r="EB50" s="188">
        <f ca="1">IF(DW50&gt;$CR50,$CR50,DW50)</f>
        <v>0</v>
      </c>
      <c r="EC50" s="435">
        <f ca="1">IF(DV50&gt;$CR50,$CR50,DV50)</f>
        <v>0</v>
      </c>
      <c r="ED50" s="435">
        <f ca="1">EC50*F50</f>
        <v>0</v>
      </c>
      <c r="EE50" s="436">
        <f ca="1">IF(DX50&gt;$CR50,$CR50,DX50)</f>
        <v>0</v>
      </c>
      <c r="EF50" s="437">
        <f ca="1">EE50*F50</f>
        <v>0</v>
      </c>
      <c r="EG50" s="613" t="str">
        <f>IF(D50=BG$12,BG$12,"")</f>
        <v/>
      </c>
      <c r="EH50" s="614" t="str">
        <f>IF(D50=BG$13,BG$13,"")</f>
        <v/>
      </c>
      <c r="EI50" s="611">
        <f>IF(EG50=BG$12,M50,0)</f>
        <v>0</v>
      </c>
      <c r="EJ50" s="451">
        <f>IF(EG50=BG$12,O50,0)</f>
        <v>0</v>
      </c>
      <c r="EK50" s="451">
        <f>IF(EH50=BG$13,M50,0)</f>
        <v>0</v>
      </c>
      <c r="EL50" s="612">
        <f>IF(EH50=BG$13,O50,0)</f>
        <v>0</v>
      </c>
      <c r="EM50" s="426" t="str">
        <f ca="1">IF(AND(Z50&lt;&gt;"t",Z50&lt;&gt;"f"),"",IF(AND(EN50=$BH$13,K50=$BH$12),"NotOpt",IF(K50&lt;&gt;EN50,"Error","")))</f>
        <v/>
      </c>
      <c r="EN50" s="490" t="str">
        <f>IF($BG$28=1,$BH$13,$BH$12)</f>
        <v>120 BU's</v>
      </c>
      <c r="EO50" s="426" t="str">
        <f>K50</f>
        <v xml:space="preserve"> </v>
      </c>
      <c r="EP50" s="430">
        <v>1</v>
      </c>
      <c r="EQ50" s="430" t="str">
        <f ca="1">IF(EP50=1," ",OFFSET(BF$16,EP50-2,0,1,1))</f>
        <v xml:space="preserve"> </v>
      </c>
      <c r="ER50" s="439" t="str">
        <f ca="1">IF(H50=0," ",H50)</f>
        <v xml:space="preserve"> </v>
      </c>
      <c r="ES50" s="440" t="str">
        <f ca="1">IF(ER50&lt;&gt;" ",IF(ER50&lt;&gt;ER$7,"Changed",""),"")</f>
        <v/>
      </c>
      <c r="ET50" s="440">
        <f ca="1">IF(ER50&lt;&gt;" ",IF(ER50&lt;&gt;ER$7,1,0),0)</f>
        <v>0</v>
      </c>
      <c r="EU50" s="957" t="str">
        <f ca="1">IF(I50=" "," ",IF(F50&lt;OFFSET($BM$9,CL50-1,0,1,1),1,""))</f>
        <v xml:space="preserve"> </v>
      </c>
      <c r="EW50" s="427"/>
      <c r="EX50"/>
      <c r="EY50"/>
      <c r="EZ50"/>
      <c r="FA50"/>
    </row>
    <row r="51" spans="1:157" ht="17.100000000000001" customHeight="1">
      <c r="A51" s="2685"/>
      <c r="B51" s="689" t="s">
        <v>246</v>
      </c>
      <c r="C51" s="684" t="str">
        <f>IF(OR(F51=0,I51="",I51=" ")," ",$V51)</f>
        <v xml:space="preserve"> </v>
      </c>
      <c r="D51" s="1033"/>
      <c r="E51" s="1360" t="s">
        <v>8</v>
      </c>
      <c r="F51" s="202"/>
      <c r="G51" s="1416"/>
      <c r="H51" s="199" t="str">
        <f ca="1">IF(OR(F51=0,Z51="E",Z51="f")," ",'Project Demand'!E$45)</f>
        <v xml:space="preserve"> </v>
      </c>
      <c r="I51" s="631" t="str">
        <f>IF($I$6&lt;&gt;$BG$8," ",AB51)</f>
        <v xml:space="preserve"> </v>
      </c>
      <c r="J51" s="44" t="str">
        <f ca="1">IF(OR(I51=" ",I51="")," ",OFFSET($BO$9,CL51-1,0-4,1,1))</f>
        <v xml:space="preserve"> </v>
      </c>
      <c r="K51" s="55" t="str">
        <f>IF(OR(I51=" ",I51="")," ",IF(OR(Z51="e",Z51="h"),"SD",BG$24))</f>
        <v xml:space="preserve"> </v>
      </c>
      <c r="L51" s="49">
        <f ca="1">CW51</f>
        <v>0</v>
      </c>
      <c r="M51" s="49">
        <f ca="1">CY51</f>
        <v>0</v>
      </c>
      <c r="N51" s="50">
        <f t="shared" ca="1" si="28"/>
        <v>0</v>
      </c>
      <c r="O51" s="126">
        <f t="shared" ca="1" si="28"/>
        <v>0</v>
      </c>
      <c r="P51" s="140"/>
      <c r="Q51" s="752" t="str">
        <f ca="1">IF(AND(OR(Z51="t",Z51="f"),K51=$BH$11),"No Floor!  Change Floor Type",IF(OR(I51=" ",I51="")," ",IF(F51&lt;OFFSET($BM$9,CL51-1,0,1,1),"check L(m)",DE51&amp;IF(AND(DP51&gt;=CY51,DR51&gt;=DB51),IF(AND(ED51&gt;=DP51,EF51&gt;=DR51),CONCATENATE(DS51," will provide same result"),CONCATENATE(CO51," will provide same result")),IF((DP51&gt;=CY51),CONCATENATE(CO51," provides same result in WIND"),IF((DR51&gt;=DB51),CONCATENATE(CO51," provides same result in EQ"),""))))))&amp;IF(ISERROR(FIND("pile",I51,1)),"",IF(INT(F51)&lt;&gt;F51,"Pile!  Use Whole Numbers Only",""))</f>
        <v xml:space="preserve"> </v>
      </c>
      <c r="R51" s="52"/>
      <c r="S51" s="1372"/>
      <c r="T51" s="1372"/>
      <c r="U51" s="1377"/>
      <c r="V51" s="52" t="str">
        <f ca="1">IF(AND(B$5=$BF$9,OR(I51=BH$16,I51=BH$17))," ",IF(ISNUMBER(B$50),(CONCATENATE(B$50,".",W51)),(CONCATENATE(B$50,W51))))</f>
        <v>T0</v>
      </c>
      <c r="W51" s="9">
        <f ca="1">W50+X51</f>
        <v>0</v>
      </c>
      <c r="X51" s="9">
        <f>IF(AND(B$5=$BF$9,OR($I51=$BH$16,$I51=$BH$17,$I51=" ",$I51="",$F51=0)),0,IF(OR($I51=" ",$I51="",$F51=0),0,1))</f>
        <v>0</v>
      </c>
      <c r="Y51" s="896"/>
      <c r="Z51" s="52" t="str">
        <f ca="1">IF(I51=" "," ",OFFSET($BM$9,$CL51-1,8,1,1))</f>
        <v xml:space="preserve"> </v>
      </c>
      <c r="AA51" s="51" t="str">
        <f>IF(G51&gt;=45,"WA","")</f>
        <v/>
      </c>
      <c r="AB51" s="1364" t="str">
        <f>IF(F51&lt;&gt;"",IF(OR(D51=$BG$12,D51=$BG$13),IF(E51&lt;&gt;$BG$17,$BF$12,$BF$13),IF(E51&lt;&gt;$BG$17,$BF$12,$BF$13))," ")</f>
        <v xml:space="preserve"> </v>
      </c>
      <c r="AC51" s="1"/>
      <c r="AK51" s="63" t="str">
        <f>'Custom Elements'!B12</f>
        <v xml:space="preserve">  </v>
      </c>
      <c r="AL51" s="860" t="str">
        <f>'Custom Elements'!C12</f>
        <v>Custom4</v>
      </c>
      <c r="AM51" s="11">
        <f>'Custom Elements'!D12</f>
        <v>9.9999999999999996E-76</v>
      </c>
      <c r="AN51" s="7">
        <f>'Custom Elements'!E12</f>
        <v>0</v>
      </c>
      <c r="AO51" s="7">
        <f>'Custom Elements'!F12</f>
        <v>0</v>
      </c>
      <c r="AP51" s="762" t="str">
        <f>'Custom Elements'!G12</f>
        <v>B</v>
      </c>
      <c r="AQ51" s="1777" t="str">
        <f>'Custom Elements'!H12</f>
        <v>Single</v>
      </c>
      <c r="AR51" s="1775" t="str">
        <f>'Custom Elements'!I12</f>
        <v>Yes</v>
      </c>
      <c r="AS51" s="442" t="str">
        <f>'Custom Elements'!J12</f>
        <v>Yes</v>
      </c>
      <c r="AT51" s="1150"/>
      <c r="AU51" s="1150"/>
      <c r="AZ51" s="442" t="str">
        <f>IF(AND('Custom Elements'!J12="Yes",'Custom Elements'!I12="Yes"),"T",IF('Custom Elements'!J12="Yes","F",IF('Custom Elements'!I12="Yes","H","E")))</f>
        <v>T</v>
      </c>
      <c r="BA51"/>
      <c r="BB51"/>
      <c r="BC51"/>
      <c r="BD51" s="638"/>
      <c r="BI51" s="759"/>
      <c r="BJ51" s="897">
        <f t="shared" si="25"/>
        <v>43</v>
      </c>
      <c r="BK51" s="1220"/>
      <c r="BL51" s="766"/>
      <c r="BM51" s="455">
        <f>Table!D5</f>
        <v>0.6</v>
      </c>
      <c r="BN51" s="455">
        <f>BM52</f>
        <v>0.8</v>
      </c>
      <c r="BO51" s="455">
        <f>Table!E5</f>
        <v>69</v>
      </c>
      <c r="BP51" s="925">
        <f>Table!F5</f>
        <v>61</v>
      </c>
      <c r="BR51" s="764"/>
      <c r="BS51" s="455"/>
      <c r="BT51" s="455"/>
      <c r="BU51" s="925" t="s">
        <v>242</v>
      </c>
      <c r="BV51" s="895"/>
      <c r="BW51" s="912"/>
      <c r="BX51" s="925" t="str">
        <f>Table!H5</f>
        <v>Single</v>
      </c>
      <c r="CH51" s="764">
        <f>IF(BN51=999,0,(BO52-BO51)/(BN51-BM51))</f>
        <v>14.999999999999995</v>
      </c>
      <c r="CI51" s="925">
        <f>IF(BN51=999,0,(BP52-BP51)/(BN51-BM51))</f>
        <v>0</v>
      </c>
      <c r="CJ51" s="759"/>
      <c r="CK51" s="188"/>
      <c r="CL51" s="979">
        <f>VLOOKUP(I51,Prodlink,2,0)</f>
        <v>0</v>
      </c>
      <c r="CN51" s="497">
        <f ca="1">VLOOKUP(CO51,Prodlink,2,0)</f>
        <v>0</v>
      </c>
      <c r="CO51" s="497">
        <f ca="1">OFFSET($CH$9,CL51-1,-15,1,1)</f>
        <v>0</v>
      </c>
      <c r="CQ51" s="51">
        <v>0</v>
      </c>
      <c r="CR51" s="51">
        <f>IF(K51=$BH$12,$BH$23,IF(K51=$BH$13,$BH$24,10000))</f>
        <v>10000</v>
      </c>
      <c r="CS51" s="51">
        <f ca="1">IF(F51&lt;OFFSET($BM$9,CL51-1,0,1,1),0,IF(F51&lt;OFFSET($BN$9,CL51-1,0,1,1),((F51-OFFSET($BM$9,CL51-1,0,1,1))*OFFSET($CH$9,CL51-1,0,1,1))+OFFSET($BO$9,CL51-1,CQ51,1,1),IF(F51&lt;OFFSET($BN$9,CL51+0,0,1,1),((F51-OFFSET($BM$9,CL51+0,0,1,1))*OFFSET($CH$9,CL51+0,0,1,1))+OFFSET($BO$9,CL51+0,CQ51,1,1),IF(F51&lt;OFFSET($BN$9,CL51+1,0,1,1),((F51-OFFSET($BM$9,CL51+1,0,1,1))*OFFSET($CH$9,CL51+1,0,1,1))+OFFSET($BO$9,CL51+1,CQ51,1,1),IF(F51&lt;OFFSET($BN$9,CL51+2,0,1,1),((F51-OFFSET($BM$9,CL51+2,0,1,1))*OFFSET($CH$9,CL51+2,0,1,1))+OFFSET($BO$9,CL51+2,CQ51,1,1),IF(F51&lt;OFFSET($BN$9,CL51+3,0,1,1),((F51-OFFSET($BM$9,CL51+3,0,1,1))*OFFSET($CH$9,CL51+3,0,1,1))+OFFSET($BO$9,CL51+3,CQ51,1,1),0))))))</f>
        <v>0</v>
      </c>
      <c r="CT51" s="51">
        <f ca="1">IF($F51&lt;OFFSET($BM$9,$CL51-1,0,1,1),0,IF($F51&lt;OFFSET($BN$9,$CL51-1,0,1,1),IF(AND($H51&gt;2.4,Z51&lt;&gt;"e",Z51&lt;&gt;"f"),CX51*2.4/$H51,CX51),IF($F51&lt;OFFSET($BN$9,$CL51+0,0,1,1),IF(AND($H51&gt;2.4,Z51&lt;&gt;"e",Z51&lt;&gt;"f"),CX51*2.4/$H51,CX51),IF($F51&lt;OFFSET($BN$9,$CL51+1,0,1,1),IF(AND($H51&gt;2.4,Z51&lt;&gt;"e",Z51&lt;&gt;"f"),CX51*2.4/$H51,CX51),IF($F51&lt;OFFSET($BN$9,CL51+2,0,1,1),IF(AND($H51&gt;2.4,Z51&lt;&gt;"e",Z51&lt;&gt;"f"),CX51*2.4/$H51,CX51),IF($F51&lt;OFFSET($BN$9,CL51+3,0,1,1),IF(AND($H51&gt;2.4,Z51&lt;&gt;"e",Z51&lt;&gt;"f"),CX51*2.4/$H51,CX51),0)))))*COS(RADIANS($G51)))</f>
        <v>0</v>
      </c>
      <c r="CU51" s="51">
        <f ca="1">IF(F51&lt;OFFSET($BM$9,CL51-1,0,1,1),0,IF(F51&lt;OFFSET($BN$9,CL51-1,0,1,1),((F51-OFFSET($BM$9,CL51-1,0,1,1))*OFFSET($CI$9,CL51-1,0,1,1))+OFFSET($BP$9,CL51-1,CQ51,1,1),IF(F51&lt;OFFSET($BN$9,CL51+0,0,1,1),((F51-OFFSET($BM$9,CL51+0,0,1,1))*OFFSET($CI$9,CL51+0,0,1,1))+OFFSET($BP$9,CL51+0,CQ51,1,1),IF(F51&lt;OFFSET($BN$9,CL51+1,0,1,1),((F51-OFFSET($BM$9,CL51+1,0,1,1))*OFFSET($CI$9,CL51+1,0,1,1))+OFFSET($BP$9,CL51+1,CQ51,1,1),IF(F51&lt;OFFSET($BN$9,CL51+2,0,1,1),((F51-OFFSET($BM$9,CL51+2,0,1,1))*OFFSET($CI$9,CL51+2,0,1,1))+OFFSET($BP$9,CL51+2,CQ51,1,1),IF(F51&lt;OFFSET($BN$9,CL51+3,0,1,1),((F51-OFFSET($BM$9,CL51+3,0,1,1))*OFFSET($CI$9,CL51+3,0,1,1))+OFFSET($BP$9,CL51+3,CQ51,1,1),0))))))</f>
        <v>0</v>
      </c>
      <c r="CV51" s="51">
        <f ca="1">IF($F51&lt;OFFSET($BM$9,$CL51-1,0,1,1),0,IF($F51&lt;OFFSET($BN$9,$CL51-1,0,1,1),IF(AND($H51&gt;2.4,Z51&lt;&gt;"e",Z51&lt;&gt;"f"),CZ51*2.4/$H51,CZ51),IF($F51&lt;OFFSET($BN$9,$CL51+0,0,1,1),IF(AND($H51&gt;2.4,Z51&lt;&gt;"e",Z51&lt;&gt;"f"),CZ51*2.4/$H51,CZ51),IF($F51&lt;OFFSET($BN$9,$CL51+1,0,1,1),IF(AND($H51&gt;2.4,Z51&lt;&gt;"e",Z51&lt;&gt;"f"),CZ51*2.4/$H51,CZ51),IF($F51&lt;OFFSET($BN$9,$CL51+2,0,1,1),IF(AND($H51&gt;2.4,Z51&lt;&gt;"e",Z51&lt;&gt;"f"),CZ51*2.4/$H51,CZ51),IF($F51&lt;OFFSET($BN$9,$CL51+3,0,1,1),IF(AND($H51&gt;2.4,Z51&lt;&gt;"e",Z51&lt;&gt;"f"),CZ51*2.4/$H51,CZ51),0)))))*COS(RADIANS($G51)))</f>
        <v>0</v>
      </c>
      <c r="CW51" s="51">
        <f ca="1">IF(CT51&gt;CR51,CR51,CT51)</f>
        <v>0</v>
      </c>
      <c r="CX51" s="51">
        <f ca="1">IF(CS51&gt;$CR51,$CR51,CS51)</f>
        <v>0</v>
      </c>
      <c r="CY51" s="51">
        <f ca="1">CW51*F51</f>
        <v>0</v>
      </c>
      <c r="CZ51" s="51">
        <f ca="1">IF($CU51&gt;$CR51,$CR51,$CU51)</f>
        <v>0</v>
      </c>
      <c r="DA51" s="51">
        <f ca="1">IF(CV51&gt;CR51,CR51,CV51)</f>
        <v>0</v>
      </c>
      <c r="DB51" s="51">
        <f ca="1">DA51*F51</f>
        <v>0</v>
      </c>
      <c r="DC51" s="993">
        <v>1</v>
      </c>
      <c r="DD51" s="758" t="str">
        <f>IF(OR(D51=BG$12,D51=BG$13),"External",IF(D51=BG$14,"Internal"," "))</f>
        <v xml:space="preserve"> </v>
      </c>
      <c r="DE51" s="51" t="str">
        <f t="shared" ca="1" si="1"/>
        <v/>
      </c>
      <c r="DF51" s="52" t="str">
        <f t="shared" ca="1" si="2"/>
        <v xml:space="preserve"> </v>
      </c>
      <c r="DG51" s="51">
        <f ca="1">IF(F51&lt;OFFSET($BM$9,CN51-1,0,1,1),0,IF(F51&lt;OFFSET($BN$9,CN51-1,0,1,1),((F51-OFFSET($BM$9,CN51-1,0,1,1))*OFFSET($CH$9,CN51-1,0,1,1))+OFFSET($BO$9,CN51-1,CQ51,1,1),IF(F51&lt;OFFSET($BN$9,CN51+0,0,1,1),((F51-OFFSET($BM$9,CN51+0,0,1,1))*OFFSET($CH$9,CN51+0,0,1,1))+OFFSET($BO$9,CN51+0,CQ51,1,1),IF(F51&lt;OFFSET($BN$9,CN51+1,0,1,1),((F51-OFFSET($BM$9,CN51+1,0,1,1))*OFFSET($CH$9,CN51+1,0,1,1))+OFFSET($BO$9,CN51+1,CQ51,1,1),IF(F51&lt;OFFSET($BN$9,CN51+2,0,1,1),((F51-OFFSET($BM$9,CN51+2,0,1,1))*OFFSET($CH$9,CN51+2,0,1,1))+OFFSET($BO$9,CN51+2,CQ51,1,1),IF(F51&lt;OFFSET($BN$9,CN51+3,0,1,1),((F51-OFFSET($BM$9,CN51+3,0,1,1))*OFFSET($CH$9,CN51+3,0,1,1))+OFFSET($BO$9,CN51+3,CQ51,1,1),0))))))</f>
        <v>0</v>
      </c>
      <c r="DH51" s="51">
        <f ca="1">IF($F51&lt;OFFSET($BM$9,$CN51-1,0,1,1),0,IF($F51&lt;OFFSET($BN$9,$CN51-1,0,1,1),IF(AND($H51&gt;2.4,Z51&lt;&gt;"e",Z51&lt;&gt;"f"),DL51*2.4/$H51,DL51),IF($F51&lt;OFFSET($BN$9,$CN51+0,0,1,1),IF(AND($H51&gt;2.4,Z51&lt;&gt;"e",Z51&lt;&gt;"f"),DL51*2.4/$H51,DL51),IF($F51&lt;OFFSET($BN$9,$CN51+1,0,1,1),IF(AND($H51&gt;2.4,Z51&lt;&gt;"e",Z51&lt;&gt;"f"),DL51*2.4/$H51,DL51),IF($F51&lt;OFFSET($BN$9,$CN51+2,0,1,1),IF(AND($H51&gt;2.4,Z51&lt;&gt;"e",Z51&lt;&gt;"f"),DL51*2.4/$H51,DL51),IF($F51&lt;OFFSET($BN$9,$CN51+3,0,1,1),IF(AND($H51&gt;2.4,Z51&lt;&gt;"e",Z51&lt;&gt;"f"),DL51*2.4/$H51,DL51),0)))))*COS(RADIANS($G51)))</f>
        <v>0</v>
      </c>
      <c r="DI51" s="51">
        <f ca="1">IF(F51&lt;OFFSET($BM$9,CN51-1,0,1,1),0,IF(F51&lt;OFFSET($BN$9,CN51-1,0,1,1),((F51-OFFSET($BM$9,CN51-1,0,1,1))*OFFSET($CI$9,CN51-1,0,1,1))+OFFSET($BP$9,CN51-1,CQ51,1,1),IF(F51&lt;OFFSET($BN$9,CN51+0,0,1,1),((F51-OFFSET($BM$9,CN51+0,0,1,1))*OFFSET($CI$9,CN51+0,0,1,1))+OFFSET($BP$9,CN51+0,CQ51,1,1),IF(F51&lt;OFFSET($BN$9,CN51+1,0,1,1),((F51-OFFSET($BM$9,CN51+1,0,1,1))*OFFSET($CI$9,CN51+1,0,1,1))+OFFSET($BP$9,CN51+1,CQ51,1,1),IF(F51&lt;OFFSET($BN$9,CN51+2,0,1,1),((F51-OFFSET($BM$9,CN51+2,0,1,1))*OFFSET($CI$9,CN51+2,0,1,1))+OFFSET($BP$9,CN51+2,CQ51,1,1),IF(F51&lt;OFFSET($BN$9,CN51+3,0,1,1),((F51-OFFSET($BM$9,CN51+3,0,1,1))*OFFSET($CI$9,CN51+3,0,1,1))+OFFSET($BP$9,CN51+3,CQ51,1,1),0))))))</f>
        <v>0</v>
      </c>
      <c r="DJ51" s="51">
        <f ca="1">IF($F51&lt;OFFSET($BM$9,$CN51-1,0,1,1),0,IF($F51&lt;OFFSET($BN$9,$CN51-1,0,1,1),IF(AND($H51&gt;2.4,Z51&lt;&gt;"e",Z51&lt;&gt;"f"),DN51*2.4/$H51,DN51),IF($F51&lt;OFFSET($BN$9,$CN51+0,0,1,1),IF(AND($H51&gt;2.4,Z51&lt;&gt;"e",Z51&lt;&gt;"f"),DN51*2.4/$H51,DN51),IF($F51&lt;OFFSET($BN$9,$CN51+1,0,1,1),IF(AND($H51&gt;2.4,Z51&lt;&gt;"e",Z51&lt;&gt;"f"),DN51*2.4/$H51,DN51),IF($F51&lt;OFFSET($BN$9,$CN51+2,0,1,1),IF(AND($H51&gt;2.4,Z51&lt;&gt;"e",Z51&lt;&gt;"f"),DN51*2.4/$H51,DN51),IF($F51&lt;OFFSET($BN$9,$CN51+3,0,1,1),IF(AND($H51&gt;2.4,Z51&lt;&gt;"e",Z51&lt;&gt;"f"),DN51*2.4/$H51,DN51),0)))))*COS(RADIANS($G51)))</f>
        <v>0</v>
      </c>
      <c r="DK51" s="51"/>
      <c r="DL51" s="51">
        <f ca="1">IF(DG51&gt;$CR51,$CR51,DG51)</f>
        <v>0</v>
      </c>
      <c r="DM51" s="51"/>
      <c r="DN51" s="51">
        <f ca="1">IF(DI51&gt;$CR51,$CR51,DI51)</f>
        <v>0</v>
      </c>
      <c r="DO51" s="435">
        <f ca="1">IF(DH51&gt;$CR51,$CR51,DH51)</f>
        <v>0</v>
      </c>
      <c r="DP51" s="435">
        <f ca="1">DO51*F51</f>
        <v>0</v>
      </c>
      <c r="DQ51" s="436">
        <f ca="1">IF(DJ51&gt;$CR51,$CR51,DJ51)</f>
        <v>0</v>
      </c>
      <c r="DR51" s="437">
        <f ca="1">DQ51*F51</f>
        <v>0</v>
      </c>
      <c r="DS51" s="426">
        <f ca="1">OFFSET($CH$9,CL51-1,-15,1,1)</f>
        <v>0</v>
      </c>
      <c r="DT51" s="426">
        <f ca="1">VLOOKUP(DS51,Prodlink,2,0)</f>
        <v>0</v>
      </c>
      <c r="DU51" s="188">
        <f ca="1">IF(F51&lt;OFFSET($BM$9,DT51-1,0,1,1),0,IF(F51&lt;OFFSET($BN$9,DT51-1,0,1,1),((F51-OFFSET($BM$9,DT51-1,0,1,1))*OFFSET($CH$9,DT51-1,0,1,1))+OFFSET($BO$9,DT51-1,CQ51,1,1),IF(F51&lt;OFFSET($BN$9,DT51+0,0,1,1),((F51-OFFSET($BM$9,DT51+0,0,1,1))*OFFSET($CH$9,DT51+0,0,1,1))+OFFSET($BO$9,DT51+0,CQ51,1,1),IF(F51&lt;OFFSET($BN$9,DT51+1,0,1,1),((F51-OFFSET($BM$9,DT51+1,0,1,1))*OFFSET($CH$9,DT51+1,0,1,1))+OFFSET($BO$9,DT51+1,CQ51,1,1),IF(F51&lt;OFFSET($BN$9,DT51+2,0,1,1),((F51-OFFSET($BM$9,DT51+2,0,1,1))*OFFSET($CH$9,DT51+2,0,1,1))+OFFSET($BO$9,DT51+2,CQ51,1,1),IF(F51&lt;OFFSET($BN$9,DT51+3,0,1,1),((F51-OFFSET($BM$9,DT51+3,0,1,1))*OFFSET($CH$9,DT51+3,0,1,1))+OFFSET($BO$9,DT51+3,CQ51,1,1),0))))))</f>
        <v>0</v>
      </c>
      <c r="DV51" s="51">
        <f ca="1">IF($F51&lt;OFFSET($BM$9,$DT51-1,0,1,1),0,IF($F51&lt;OFFSET($BN$9,$DT51-1,0,1,1),IF(AND($H51&gt;2.4,Z51&lt;&gt;"e",Z51&lt;&gt;"f"),DZ51*2.4/$H51,DZ51),IF($F51&lt;OFFSET($BN$9,$DT51+0,0,1,1),IF(AND($H51&gt;2.4,Z51&lt;&gt;"e",Z51&lt;&gt;"f"),DZ51*2.4/$H51,DZ51),IF($F51&lt;OFFSET($BN$9,$DT51+1,0,1,1),IF(AND($H51&gt;2.4,Z51&lt;&gt;"e",Z51&lt;&gt;"f"),DZ51*2.4/$H51,DZ51),IF($F51&lt;OFFSET($BN$9,$DT51+2,0,1,1),IF(AND($H51&gt;2.4,Z51&lt;&gt;"e",Z51&lt;&gt;"f"),DZ51*2.4/$H51,DZ51),IF($F51&lt;OFFSET($BN$9,$DT51+3,0,1,1),IF(AND($H51&gt;2.4,Z51&lt;&gt;"e",Z51&lt;&gt;"f"),DZ51*2.4/$H51,DZ51),0)))))*COS(RADIANS($G51)))</f>
        <v>0</v>
      </c>
      <c r="DW51" s="188">
        <f ca="1">IF(F51&lt;OFFSET($BM$9,DT51-1,0,1,1),0,IF(F51&lt;OFFSET($BN$9,DT51-1,0,1,1),((F51-OFFSET($BM$9,DT51-1,0,1,1))*OFFSET($CI$9,DT51-1,0,1,1))+OFFSET($BP$9,DT51-1,CQ51,1,1),IF(F51&lt;OFFSET($BN$9,DT51+0,0,1,1),((F51-OFFSET($BM$9,DT51+0,0,1,1))*OFFSET($CI$9,DT51+0,0,1,1))+OFFSET($BP$9,DT51+0,CQ51,1,1),IF(F51&lt;OFFSET($BN$9,DT51+1,0,1,1),((F51-OFFSET($BM$9,DT51+1,0,1,1))*OFFSET($CI$9,DT51+1,0,1,1))+OFFSET($BP$9,DT51+1,CQ51,1,1),IF(F51&lt;OFFSET($BN$9,DT51+2,0,1,1),((F51-OFFSET($BM$9,DT51+2,0,1,1))*OFFSET($CI$9,DT51+2,0,1,1))+OFFSET($BP$9,DT51+2,CQ51,1,1),IF(F51&lt;OFFSET($BN$9,DT51+3,0,1,1),((F51-OFFSET($BM$9,DT51+3,0,1,1))*OFFSET($CI$9,DT51+3,0,1,1))+OFFSET($BP$9,DT51+3,CQ51,1,1),0))))))</f>
        <v>0</v>
      </c>
      <c r="DX51" s="51">
        <f ca="1">IF($F51&lt;OFFSET($BM$9,$DT51-1,0,1,1),0,IF($F51&lt;OFFSET($BN$9,$DT51-1,0,1,1),IF(AND($H51&gt;2.4,Z51&lt;&gt;"e",Z51&lt;&gt;"f"),EB51*2.4/$H51,EB51),IF($F51&lt;OFFSET($BN$9,$DT51+0,0,1,1),IF(AND($H51&gt;2.4,Z51&lt;&gt;"e",Z51&lt;&gt;"f"),EB51*2.4/$H51,EB51),IF($F51&lt;OFFSET($BN$9,$DT51+1,0,1,1),IF(AND($H51&gt;2.4,Z51&lt;&gt;"e",Z51&lt;&gt;"f"),EB51*2.4/$H51,EB51),IF($F51&lt;OFFSET($BN$9,$DT51+2,0,1,1),IF(AND($H51&gt;2.4,Z51&lt;&gt;"e",Z51&lt;&gt;"f"),EB51*2.4/$H51,EB51),IF($F51&lt;OFFSET($BN$9,$DT51+3,0,1,1),IF(AND($H51&gt;2.4,Z51&lt;&gt;"e",Z51&lt;&gt;"f"),EB51*2.4/$H51,EB51),0)))))*COS(RADIANS($G51)))</f>
        <v>0</v>
      </c>
      <c r="DY51" s="188"/>
      <c r="DZ51" s="188">
        <f ca="1">IF(DU51&gt;$CR51,$CR51,DU51)</f>
        <v>0</v>
      </c>
      <c r="EA51" s="188"/>
      <c r="EB51" s="188">
        <f ca="1">IF(DW51&gt;$CR51,$CR51,DW51)</f>
        <v>0</v>
      </c>
      <c r="EC51" s="435">
        <f ca="1">IF(DV51&gt;$CR51,$CR51,DV51)</f>
        <v>0</v>
      </c>
      <c r="ED51" s="435">
        <f ca="1">EC51*F51</f>
        <v>0</v>
      </c>
      <c r="EE51" s="436">
        <f ca="1">IF(DX51&gt;$CR51,$CR51,DX51)</f>
        <v>0</v>
      </c>
      <c r="EF51" s="437">
        <f ca="1">EE51*F51</f>
        <v>0</v>
      </c>
      <c r="EG51" s="613" t="str">
        <f>IF(D51=BG$12,BG$12,"")</f>
        <v/>
      </c>
      <c r="EH51" s="614" t="str">
        <f>IF(D51=BG$13,BG$13,"")</f>
        <v/>
      </c>
      <c r="EI51" s="611">
        <f>IF(EG51=BG$12,M51,0)</f>
        <v>0</v>
      </c>
      <c r="EJ51" s="451">
        <f>IF(EG51=BG$12,O51,0)</f>
        <v>0</v>
      </c>
      <c r="EK51" s="451">
        <f>IF(EH51=BG$13,M51,0)</f>
        <v>0</v>
      </c>
      <c r="EL51" s="612">
        <f>IF(EH51=BG$13,O51,0)</f>
        <v>0</v>
      </c>
      <c r="EM51" s="426" t="str">
        <f ca="1">IF(AND(Z51&lt;&gt;"t",Z51&lt;&gt;"f"),"",IF(AND(EN51=$BH$13,K51=$BH$12),"NotOpt",IF(K51&lt;&gt;EN51,"Error","")))</f>
        <v/>
      </c>
      <c r="EN51" s="490" t="str">
        <f>IF($BG$28=1,$BH$13,$BH$12)</f>
        <v>120 BU's</v>
      </c>
      <c r="EO51" s="426" t="str">
        <f>K51</f>
        <v xml:space="preserve"> </v>
      </c>
      <c r="EP51" s="430">
        <v>1</v>
      </c>
      <c r="EQ51" s="430" t="str">
        <f ca="1">IF(EP51=1," ",OFFSET(BF$16,EP51-2,0,1,1))</f>
        <v xml:space="preserve"> </v>
      </c>
      <c r="ER51" s="439" t="str">
        <f ca="1">IF(H51=0," ",H51)</f>
        <v xml:space="preserve"> </v>
      </c>
      <c r="ES51" s="440" t="str">
        <f ca="1">IF(ER51&lt;&gt;" ",IF(ER51&lt;&gt;ER$7,"Changed",""),"")</f>
        <v/>
      </c>
      <c r="ET51" s="440">
        <f ca="1">IF(ER51&lt;&gt;" ",IF(ER51&lt;&gt;ER$7,1,0),0)</f>
        <v>0</v>
      </c>
      <c r="EU51" s="957" t="str">
        <f ca="1">IF(I51=" "," ",IF(F51&lt;OFFSET($BM$9,CL51-1,0,1,1),1,""))</f>
        <v xml:space="preserve"> </v>
      </c>
      <c r="EW51" s="427"/>
      <c r="EX51"/>
      <c r="EY51"/>
      <c r="EZ51"/>
      <c r="FA51"/>
    </row>
    <row r="52" spans="1:157" ht="17.100000000000001" customHeight="1">
      <c r="A52" s="2685"/>
      <c r="B52" s="689" t="s">
        <v>246</v>
      </c>
      <c r="C52" s="684" t="str">
        <f>IF(OR(F52=0,I52="",I52=" ")," ",$V52)</f>
        <v xml:space="preserve"> </v>
      </c>
      <c r="D52" s="1033"/>
      <c r="E52" s="1360" t="s">
        <v>8</v>
      </c>
      <c r="F52" s="202"/>
      <c r="G52" s="1416"/>
      <c r="H52" s="199" t="str">
        <f ca="1">IF(OR(F52=0,Z52="E",Z52="f")," ",'Project Demand'!E$45)</f>
        <v xml:space="preserve"> </v>
      </c>
      <c r="I52" s="631" t="str">
        <f>IF($I$6&lt;&gt;$BG$8," ",AB52)</f>
        <v xml:space="preserve"> </v>
      </c>
      <c r="J52" s="44" t="str">
        <f ca="1">IF(OR(I52=" ",I52="")," ",OFFSET($BO$9,CL52-1,0-4,1,1))</f>
        <v xml:space="preserve"> </v>
      </c>
      <c r="K52" s="55" t="str">
        <f>IF(OR(I52=" ",I52="")," ",IF(OR(Z52="e",Z52="h"),"SD",BG$24))</f>
        <v xml:space="preserve"> </v>
      </c>
      <c r="L52" s="49">
        <f ca="1">CW52</f>
        <v>0</v>
      </c>
      <c r="M52" s="49">
        <f ca="1">CY52</f>
        <v>0</v>
      </c>
      <c r="N52" s="50">
        <f t="shared" ca="1" si="28"/>
        <v>0</v>
      </c>
      <c r="O52" s="126">
        <f t="shared" ca="1" si="28"/>
        <v>0</v>
      </c>
      <c r="P52" s="140"/>
      <c r="Q52" s="752" t="str">
        <f ca="1">IF(AND(OR(Z52="t",Z52="f"),K52=$BH$11),"No Floor!  Change Floor Type",IF(OR(I52=" ",I52="")," ",IF(F52&lt;OFFSET($BM$9,CL52-1,0,1,1),"check L(m)",DE52&amp;IF(AND(DP52&gt;=CY52,DR52&gt;=DB52),IF(AND(ED52&gt;=DP52,EF52&gt;=DR52),CONCATENATE(DS52," will provide same result"),CONCATENATE(CO52," will provide same result")),IF((DP52&gt;=CY52),CONCATENATE(CO52," provides same result in WIND"),IF((DR52&gt;=DB52),CONCATENATE(CO52," provides same result in EQ"),""))))))&amp;IF(ISERROR(FIND("pile",I52,1)),"",IF(INT(F52)&lt;&gt;F52,"Pile!  Use Whole Numbers Only",""))</f>
        <v xml:space="preserve"> </v>
      </c>
      <c r="R52" s="52"/>
      <c r="S52" s="1372"/>
      <c r="T52" s="1372"/>
      <c r="U52" s="1377"/>
      <c r="V52" s="52" t="str">
        <f ca="1">IF(AND(B$5=$BF$9,OR(I52=BH$16,I52=BH$17))," ",IF(ISNUMBER(B$50),(CONCATENATE(B$50,".",W52)),(CONCATENATE(B$50,W52))))</f>
        <v>T0</v>
      </c>
      <c r="W52" s="9">
        <f ca="1">W51+X52</f>
        <v>0</v>
      </c>
      <c r="X52" s="9">
        <f>IF(AND(B$5=$BF$9,OR($I52=$BH$16,$I52=$BH$17,$I52=" ",$I52="",$F52=0)),0,IF(OR($I52=" ",$I52="",$F52=0),0,1))</f>
        <v>0</v>
      </c>
      <c r="Y52" s="896"/>
      <c r="Z52" s="52" t="str">
        <f ca="1">IF(I52=" "," ",OFFSET($BM$9,$CL52-1,8,1,1))</f>
        <v xml:space="preserve"> </v>
      </c>
      <c r="AA52" s="51" t="str">
        <f>IF(G52&gt;=45,"WA","")</f>
        <v/>
      </c>
      <c r="AB52" s="1364" t="str">
        <f>IF(F52&lt;&gt;"",IF(OR(D52=$BG$12,D52=$BG$13),IF(E52&lt;&gt;$BG$17,$BF$12,$BF$13),IF(E52&lt;&gt;$BG$17,$BF$12,$BF$13))," ")</f>
        <v xml:space="preserve"> </v>
      </c>
      <c r="AC52" s="1"/>
      <c r="AK52" s="63" t="str">
        <f>'Custom Elements'!B13</f>
        <v xml:space="preserve">  </v>
      </c>
      <c r="AL52" s="860" t="str">
        <f>'Custom Elements'!C13</f>
        <v>Custom5</v>
      </c>
      <c r="AM52" s="11">
        <f>'Custom Elements'!D13</f>
        <v>9.9999999999999996E-76</v>
      </c>
      <c r="AN52" s="7">
        <f>'Custom Elements'!E13</f>
        <v>0</v>
      </c>
      <c r="AO52" s="7">
        <f>'Custom Elements'!F13</f>
        <v>0</v>
      </c>
      <c r="AP52" s="762" t="str">
        <f>'Custom Elements'!G13</f>
        <v>B</v>
      </c>
      <c r="AQ52" s="1777" t="str">
        <f>'Custom Elements'!H13</f>
        <v>Single</v>
      </c>
      <c r="AR52" s="1775" t="str">
        <f>'Custom Elements'!I13</f>
        <v>Yes</v>
      </c>
      <c r="AS52" s="442" t="str">
        <f>'Custom Elements'!J13</f>
        <v>Yes</v>
      </c>
      <c r="AT52" s="1150"/>
      <c r="AU52" s="1150"/>
      <c r="AZ52" s="442" t="str">
        <f>IF(AND('Custom Elements'!J13="Yes",'Custom Elements'!I13="Yes"),"T",IF('Custom Elements'!J13="Yes","F",IF('Custom Elements'!I13="Yes","H","E")))</f>
        <v>T</v>
      </c>
      <c r="BA52"/>
      <c r="BB52"/>
      <c r="BC52"/>
      <c r="BD52" s="638"/>
      <c r="BI52" s="759"/>
      <c r="BJ52" s="897">
        <f t="shared" si="25"/>
        <v>44</v>
      </c>
      <c r="BK52" s="1220"/>
      <c r="BL52" s="766"/>
      <c r="BM52" s="455">
        <f>Table!D6</f>
        <v>0.8</v>
      </c>
      <c r="BN52" s="455">
        <f>BM53</f>
        <v>1.2</v>
      </c>
      <c r="BO52" s="455">
        <f>Table!E6</f>
        <v>72</v>
      </c>
      <c r="BP52" s="925">
        <f>Table!F6</f>
        <v>61</v>
      </c>
      <c r="BR52" s="764"/>
      <c r="BS52" s="455"/>
      <c r="BT52" s="455"/>
      <c r="BU52" s="925" t="s">
        <v>242</v>
      </c>
      <c r="BV52" s="895"/>
      <c r="BW52" s="912"/>
      <c r="BX52" s="925" t="str">
        <f>Table!H5</f>
        <v>Single</v>
      </c>
      <c r="CH52" s="764">
        <f>IF(BN52=999,0,(BO53-BO52)/(BN52-BM52))</f>
        <v>0</v>
      </c>
      <c r="CI52" s="925">
        <f>IF(BN52=999,0,(BP53-BP52)/(BN52-BM52))</f>
        <v>7.5000000000000018</v>
      </c>
      <c r="CJ52" s="759"/>
      <c r="CK52" s="188"/>
      <c r="CL52" s="979">
        <f>VLOOKUP(I52,Prodlink,2,0)</f>
        <v>0</v>
      </c>
      <c r="CN52" s="497">
        <f ca="1">VLOOKUP(CO52,Prodlink,2,0)</f>
        <v>0</v>
      </c>
      <c r="CO52" s="497">
        <f ca="1">OFFSET($CH$9,CL52-1,-15,1,1)</f>
        <v>0</v>
      </c>
      <c r="CQ52" s="51">
        <v>0</v>
      </c>
      <c r="CR52" s="51">
        <f>IF(K52=$BH$12,$BH$23,IF(K52=$BH$13,$BH$24,10000))</f>
        <v>10000</v>
      </c>
      <c r="CS52" s="51">
        <f ca="1">IF(F52&lt;OFFSET($BM$9,CL52-1,0,1,1),0,IF(F52&lt;OFFSET($BN$9,CL52-1,0,1,1),((F52-OFFSET($BM$9,CL52-1,0,1,1))*OFFSET($CH$9,CL52-1,0,1,1))+OFFSET($BO$9,CL52-1,CQ52,1,1),IF(F52&lt;OFFSET($BN$9,CL52+0,0,1,1),((F52-OFFSET($BM$9,CL52+0,0,1,1))*OFFSET($CH$9,CL52+0,0,1,1))+OFFSET($BO$9,CL52+0,CQ52,1,1),IF(F52&lt;OFFSET($BN$9,CL52+1,0,1,1),((F52-OFFSET($BM$9,CL52+1,0,1,1))*OFFSET($CH$9,CL52+1,0,1,1))+OFFSET($BO$9,CL52+1,CQ52,1,1),IF(F52&lt;OFFSET($BN$9,CL52+2,0,1,1),((F52-OFFSET($BM$9,CL52+2,0,1,1))*OFFSET($CH$9,CL52+2,0,1,1))+OFFSET($BO$9,CL52+2,CQ52,1,1),IF(F52&lt;OFFSET($BN$9,CL52+3,0,1,1),((F52-OFFSET($BM$9,CL52+3,0,1,1))*OFFSET($CH$9,CL52+3,0,1,1))+OFFSET($BO$9,CL52+3,CQ52,1,1),0))))))</f>
        <v>0</v>
      </c>
      <c r="CT52" s="51">
        <f ca="1">IF($F52&lt;OFFSET($BM$9,$CL52-1,0,1,1),0,IF($F52&lt;OFFSET($BN$9,$CL52-1,0,1,1),IF(AND($H52&gt;2.4,Z52&lt;&gt;"e",Z52&lt;&gt;"f"),CX52*2.4/$H52,CX52),IF($F52&lt;OFFSET($BN$9,$CL52+0,0,1,1),IF(AND($H52&gt;2.4,Z52&lt;&gt;"e",Z52&lt;&gt;"f"),CX52*2.4/$H52,CX52),IF($F52&lt;OFFSET($BN$9,$CL52+1,0,1,1),IF(AND($H52&gt;2.4,Z52&lt;&gt;"e",Z52&lt;&gt;"f"),CX52*2.4/$H52,CX52),IF($F52&lt;OFFSET($BN$9,CL52+2,0,1,1),IF(AND($H52&gt;2.4,Z52&lt;&gt;"e",Z52&lt;&gt;"f"),CX52*2.4/$H52,CX52),IF($F52&lt;OFFSET($BN$9,CL52+3,0,1,1),IF(AND($H52&gt;2.4,Z52&lt;&gt;"e",Z52&lt;&gt;"f"),CX52*2.4/$H52,CX52),0)))))*COS(RADIANS($G52)))</f>
        <v>0</v>
      </c>
      <c r="CU52" s="51">
        <f ca="1">IF(F52&lt;OFFSET($BM$9,CL52-1,0,1,1),0,IF(F52&lt;OFFSET($BN$9,CL52-1,0,1,1),((F52-OFFSET($BM$9,CL52-1,0,1,1))*OFFSET($CI$9,CL52-1,0,1,1))+OFFSET($BP$9,CL52-1,CQ52,1,1),IF(F52&lt;OFFSET($BN$9,CL52+0,0,1,1),((F52-OFFSET($BM$9,CL52+0,0,1,1))*OFFSET($CI$9,CL52+0,0,1,1))+OFFSET($BP$9,CL52+0,CQ52,1,1),IF(F52&lt;OFFSET($BN$9,CL52+1,0,1,1),((F52-OFFSET($BM$9,CL52+1,0,1,1))*OFFSET($CI$9,CL52+1,0,1,1))+OFFSET($BP$9,CL52+1,CQ52,1,1),IF(F52&lt;OFFSET($BN$9,CL52+2,0,1,1),((F52-OFFSET($BM$9,CL52+2,0,1,1))*OFFSET($CI$9,CL52+2,0,1,1))+OFFSET($BP$9,CL52+2,CQ52,1,1),IF(F52&lt;OFFSET($BN$9,CL52+3,0,1,1),((F52-OFFSET($BM$9,CL52+3,0,1,1))*OFFSET($CI$9,CL52+3,0,1,1))+OFFSET($BP$9,CL52+3,CQ52,1,1),0))))))</f>
        <v>0</v>
      </c>
      <c r="CV52" s="51">
        <f ca="1">IF($F52&lt;OFFSET($BM$9,$CL52-1,0,1,1),0,IF($F52&lt;OFFSET($BN$9,$CL52-1,0,1,1),IF(AND($H52&gt;2.4,Z52&lt;&gt;"e",Z52&lt;&gt;"f"),CZ52*2.4/$H52,CZ52),IF($F52&lt;OFFSET($BN$9,$CL52+0,0,1,1),IF(AND($H52&gt;2.4,Z52&lt;&gt;"e",Z52&lt;&gt;"f"),CZ52*2.4/$H52,CZ52),IF($F52&lt;OFFSET($BN$9,$CL52+1,0,1,1),IF(AND($H52&gt;2.4,Z52&lt;&gt;"e",Z52&lt;&gt;"f"),CZ52*2.4/$H52,CZ52),IF($F52&lt;OFFSET($BN$9,$CL52+2,0,1,1),IF(AND($H52&gt;2.4,Z52&lt;&gt;"e",Z52&lt;&gt;"f"),CZ52*2.4/$H52,CZ52),IF($F52&lt;OFFSET($BN$9,$CL52+3,0,1,1),IF(AND($H52&gt;2.4,Z52&lt;&gt;"e",Z52&lt;&gt;"f"),CZ52*2.4/$H52,CZ52),0)))))*COS(RADIANS($G52)))</f>
        <v>0</v>
      </c>
      <c r="CW52" s="51">
        <f ca="1">IF(CT52&gt;CR52,CR52,CT52)</f>
        <v>0</v>
      </c>
      <c r="CX52" s="51">
        <f ca="1">IF(CS52&gt;$CR52,$CR52,CS52)</f>
        <v>0</v>
      </c>
      <c r="CY52" s="51">
        <f ca="1">CW52*F52</f>
        <v>0</v>
      </c>
      <c r="CZ52" s="51">
        <f ca="1">IF($CU52&gt;$CR52,$CR52,$CU52)</f>
        <v>0</v>
      </c>
      <c r="DA52" s="51">
        <f ca="1">IF(CV52&gt;CR52,CR52,CV52)</f>
        <v>0</v>
      </c>
      <c r="DB52" s="51">
        <f ca="1">DA52*F52</f>
        <v>0</v>
      </c>
      <c r="DC52" s="993">
        <v>1</v>
      </c>
      <c r="DD52" s="758" t="str">
        <f>IF(OR(D52=BG$12,D52=BG$13),"External",IF(D52=BG$14,"Internal"," "))</f>
        <v xml:space="preserve"> </v>
      </c>
      <c r="DE52" s="51" t="str">
        <f t="shared" ca="1" si="1"/>
        <v/>
      </c>
      <c r="DF52" s="52" t="str">
        <f t="shared" ca="1" si="2"/>
        <v xml:space="preserve"> </v>
      </c>
      <c r="DG52" s="51">
        <f ca="1">IF(F52&lt;OFFSET($BM$9,CN52-1,0,1,1),0,IF(F52&lt;OFFSET($BN$9,CN52-1,0,1,1),((F52-OFFSET($BM$9,CN52-1,0,1,1))*OFFSET($CH$9,CN52-1,0,1,1))+OFFSET($BO$9,CN52-1,CQ52,1,1),IF(F52&lt;OFFSET($BN$9,CN52+0,0,1,1),((F52-OFFSET($BM$9,CN52+0,0,1,1))*OFFSET($CH$9,CN52+0,0,1,1))+OFFSET($BO$9,CN52+0,CQ52,1,1),IF(F52&lt;OFFSET($BN$9,CN52+1,0,1,1),((F52-OFFSET($BM$9,CN52+1,0,1,1))*OFFSET($CH$9,CN52+1,0,1,1))+OFFSET($BO$9,CN52+1,CQ52,1,1),IF(F52&lt;OFFSET($BN$9,CN52+2,0,1,1),((F52-OFFSET($BM$9,CN52+2,0,1,1))*OFFSET($CH$9,CN52+2,0,1,1))+OFFSET($BO$9,CN52+2,CQ52,1,1),IF(F52&lt;OFFSET($BN$9,CN52+3,0,1,1),((F52-OFFSET($BM$9,CN52+3,0,1,1))*OFFSET($CH$9,CN52+3,0,1,1))+OFFSET($BO$9,CN52+3,CQ52,1,1),0))))))</f>
        <v>0</v>
      </c>
      <c r="DH52" s="51">
        <f ca="1">IF($F52&lt;OFFSET($BM$9,$CN52-1,0,1,1),0,IF($F52&lt;OFFSET($BN$9,$CN52-1,0,1,1),IF(AND($H52&gt;2.4,Z52&lt;&gt;"e",Z52&lt;&gt;"f"),DL52*2.4/$H52,DL52),IF($F52&lt;OFFSET($BN$9,$CN52+0,0,1,1),IF(AND($H52&gt;2.4,Z52&lt;&gt;"e",Z52&lt;&gt;"f"),DL52*2.4/$H52,DL52),IF($F52&lt;OFFSET($BN$9,$CN52+1,0,1,1),IF(AND($H52&gt;2.4,Z52&lt;&gt;"e",Z52&lt;&gt;"f"),DL52*2.4/$H52,DL52),IF($F52&lt;OFFSET($BN$9,$CN52+2,0,1,1),IF(AND($H52&gt;2.4,Z52&lt;&gt;"e",Z52&lt;&gt;"f"),DL52*2.4/$H52,DL52),IF($F52&lt;OFFSET($BN$9,$CN52+3,0,1,1),IF(AND($H52&gt;2.4,Z52&lt;&gt;"e",Z52&lt;&gt;"f"),DL52*2.4/$H52,DL52),0)))))*COS(RADIANS($G52)))</f>
        <v>0</v>
      </c>
      <c r="DI52" s="51">
        <f ca="1">IF(F52&lt;OFFSET($BM$9,CN52-1,0,1,1),0,IF(F52&lt;OFFSET($BN$9,CN52-1,0,1,1),((F52-OFFSET($BM$9,CN52-1,0,1,1))*OFFSET($CI$9,CN52-1,0,1,1))+OFFSET($BP$9,CN52-1,CQ52,1,1),IF(F52&lt;OFFSET($BN$9,CN52+0,0,1,1),((F52-OFFSET($BM$9,CN52+0,0,1,1))*OFFSET($CI$9,CN52+0,0,1,1))+OFFSET($BP$9,CN52+0,CQ52,1,1),IF(F52&lt;OFFSET($BN$9,CN52+1,0,1,1),((F52-OFFSET($BM$9,CN52+1,0,1,1))*OFFSET($CI$9,CN52+1,0,1,1))+OFFSET($BP$9,CN52+1,CQ52,1,1),IF(F52&lt;OFFSET($BN$9,CN52+2,0,1,1),((F52-OFFSET($BM$9,CN52+2,0,1,1))*OFFSET($CI$9,CN52+2,0,1,1))+OFFSET($BP$9,CN52+2,CQ52,1,1),IF(F52&lt;OFFSET($BN$9,CN52+3,0,1,1),((F52-OFFSET($BM$9,CN52+3,0,1,1))*OFFSET($CI$9,CN52+3,0,1,1))+OFFSET($BP$9,CN52+3,CQ52,1,1),0))))))</f>
        <v>0</v>
      </c>
      <c r="DJ52" s="51">
        <f ca="1">IF($F52&lt;OFFSET($BM$9,$CN52-1,0,1,1),0,IF($F52&lt;OFFSET($BN$9,$CN52-1,0,1,1),IF(AND($H52&gt;2.4,Z52&lt;&gt;"e",Z52&lt;&gt;"f"),DN52*2.4/$H52,DN52),IF($F52&lt;OFFSET($BN$9,$CN52+0,0,1,1),IF(AND($H52&gt;2.4,Z52&lt;&gt;"e",Z52&lt;&gt;"f"),DN52*2.4/$H52,DN52),IF($F52&lt;OFFSET($BN$9,$CN52+1,0,1,1),IF(AND($H52&gt;2.4,Z52&lt;&gt;"e",Z52&lt;&gt;"f"),DN52*2.4/$H52,DN52),IF($F52&lt;OFFSET($BN$9,$CN52+2,0,1,1),IF(AND($H52&gt;2.4,Z52&lt;&gt;"e",Z52&lt;&gt;"f"),DN52*2.4/$H52,DN52),IF($F52&lt;OFFSET($BN$9,$CN52+3,0,1,1),IF(AND($H52&gt;2.4,Z52&lt;&gt;"e",Z52&lt;&gt;"f"),DN52*2.4/$H52,DN52),0)))))*COS(RADIANS($G52)))</f>
        <v>0</v>
      </c>
      <c r="DK52" s="51"/>
      <c r="DL52" s="51">
        <f ca="1">IF(DG52&gt;$CR52,$CR52,DG52)</f>
        <v>0</v>
      </c>
      <c r="DM52" s="51"/>
      <c r="DN52" s="51">
        <f ca="1">IF(DI52&gt;$CR52,$CR52,DI52)</f>
        <v>0</v>
      </c>
      <c r="DO52" s="435">
        <f ca="1">IF(DH52&gt;$CR52,$CR52,DH52)</f>
        <v>0</v>
      </c>
      <c r="DP52" s="435">
        <f ca="1">DO52*F52</f>
        <v>0</v>
      </c>
      <c r="DQ52" s="436">
        <f ca="1">IF(DJ52&gt;$CR52,$CR52,DJ52)</f>
        <v>0</v>
      </c>
      <c r="DR52" s="437">
        <f ca="1">DQ52*F52</f>
        <v>0</v>
      </c>
      <c r="DS52" s="426">
        <f ca="1">OFFSET($CH$9,CL52-1,-15,1,1)</f>
        <v>0</v>
      </c>
      <c r="DT52" s="426">
        <f ca="1">VLOOKUP(DS52,Prodlink,2,0)</f>
        <v>0</v>
      </c>
      <c r="DU52" s="188">
        <f ca="1">IF(F52&lt;OFFSET($BM$9,DT52-1,0,1,1),0,IF(F52&lt;OFFSET($BN$9,DT52-1,0,1,1),((F52-OFFSET($BM$9,DT52-1,0,1,1))*OFFSET($CH$9,DT52-1,0,1,1))+OFFSET($BO$9,DT52-1,CQ52,1,1),IF(F52&lt;OFFSET($BN$9,DT52+0,0,1,1),((F52-OFFSET($BM$9,DT52+0,0,1,1))*OFFSET($CH$9,DT52+0,0,1,1))+OFFSET($BO$9,DT52+0,CQ52,1,1),IF(F52&lt;OFFSET($BN$9,DT52+1,0,1,1),((F52-OFFSET($BM$9,DT52+1,0,1,1))*OFFSET($CH$9,DT52+1,0,1,1))+OFFSET($BO$9,DT52+1,CQ52,1,1),IF(F52&lt;OFFSET($BN$9,DT52+2,0,1,1),((F52-OFFSET($BM$9,DT52+2,0,1,1))*OFFSET($CH$9,DT52+2,0,1,1))+OFFSET($BO$9,DT52+2,CQ52,1,1),IF(F52&lt;OFFSET($BN$9,DT52+3,0,1,1),((F52-OFFSET($BM$9,DT52+3,0,1,1))*OFFSET($CH$9,DT52+3,0,1,1))+OFFSET($BO$9,DT52+3,CQ52,1,1),0))))))</f>
        <v>0</v>
      </c>
      <c r="DV52" s="51">
        <f ca="1">IF($F52&lt;OFFSET($BM$9,$DT52-1,0,1,1),0,IF($F52&lt;OFFSET($BN$9,$DT52-1,0,1,1),IF(AND($H52&gt;2.4,Z52&lt;&gt;"e",Z52&lt;&gt;"f"),DZ52*2.4/$H52,DZ52),IF($F52&lt;OFFSET($BN$9,$DT52+0,0,1,1),IF(AND($H52&gt;2.4,Z52&lt;&gt;"e",Z52&lt;&gt;"f"),DZ52*2.4/$H52,DZ52),IF($F52&lt;OFFSET($BN$9,$DT52+1,0,1,1),IF(AND($H52&gt;2.4,Z52&lt;&gt;"e",Z52&lt;&gt;"f"),DZ52*2.4/$H52,DZ52),IF($F52&lt;OFFSET($BN$9,$DT52+2,0,1,1),IF(AND($H52&gt;2.4,Z52&lt;&gt;"e",Z52&lt;&gt;"f"),DZ52*2.4/$H52,DZ52),IF($F52&lt;OFFSET($BN$9,$DT52+3,0,1,1),IF(AND($H52&gt;2.4,Z52&lt;&gt;"e",Z52&lt;&gt;"f"),DZ52*2.4/$H52,DZ52),0)))))*COS(RADIANS($G52)))</f>
        <v>0</v>
      </c>
      <c r="DW52" s="188">
        <f ca="1">IF(F52&lt;OFFSET($BM$9,DT52-1,0,1,1),0,IF(F52&lt;OFFSET($BN$9,DT52-1,0,1,1),((F52-OFFSET($BM$9,DT52-1,0,1,1))*OFFSET($CI$9,DT52-1,0,1,1))+OFFSET($BP$9,DT52-1,CQ52,1,1),IF(F52&lt;OFFSET($BN$9,DT52+0,0,1,1),((F52-OFFSET($BM$9,DT52+0,0,1,1))*OFFSET($CI$9,DT52+0,0,1,1))+OFFSET($BP$9,DT52+0,CQ52,1,1),IF(F52&lt;OFFSET($BN$9,DT52+1,0,1,1),((F52-OFFSET($BM$9,DT52+1,0,1,1))*OFFSET($CI$9,DT52+1,0,1,1))+OFFSET($BP$9,DT52+1,CQ52,1,1),IF(F52&lt;OFFSET($BN$9,DT52+2,0,1,1),((F52-OFFSET($BM$9,DT52+2,0,1,1))*OFFSET($CI$9,DT52+2,0,1,1))+OFFSET($BP$9,DT52+2,CQ52,1,1),IF(F52&lt;OFFSET($BN$9,DT52+3,0,1,1),((F52-OFFSET($BM$9,DT52+3,0,1,1))*OFFSET($CI$9,DT52+3,0,1,1))+OFFSET($BP$9,DT52+3,CQ52,1,1),0))))))</f>
        <v>0</v>
      </c>
      <c r="DX52" s="51">
        <f ca="1">IF($F52&lt;OFFSET($BM$9,$DT52-1,0,1,1),0,IF($F52&lt;OFFSET($BN$9,$DT52-1,0,1,1),IF(AND($H52&gt;2.4,Z52&lt;&gt;"e",Z52&lt;&gt;"f"),EB52*2.4/$H52,EB52),IF($F52&lt;OFFSET($BN$9,$DT52+0,0,1,1),IF(AND($H52&gt;2.4,Z52&lt;&gt;"e",Z52&lt;&gt;"f"),EB52*2.4/$H52,EB52),IF($F52&lt;OFFSET($BN$9,$DT52+1,0,1,1),IF(AND($H52&gt;2.4,Z52&lt;&gt;"e",Z52&lt;&gt;"f"),EB52*2.4/$H52,EB52),IF($F52&lt;OFFSET($BN$9,$DT52+2,0,1,1),IF(AND($H52&gt;2.4,Z52&lt;&gt;"e",Z52&lt;&gt;"f"),EB52*2.4/$H52,EB52),IF($F52&lt;OFFSET($BN$9,$DT52+3,0,1,1),IF(AND($H52&gt;2.4,Z52&lt;&gt;"e",Z52&lt;&gt;"f"),EB52*2.4/$H52,EB52),0)))))*COS(RADIANS($G52)))</f>
        <v>0</v>
      </c>
      <c r="DY52" s="188"/>
      <c r="DZ52" s="188">
        <f ca="1">IF(DU52&gt;$CR52,$CR52,DU52)</f>
        <v>0</v>
      </c>
      <c r="EA52" s="188"/>
      <c r="EB52" s="188">
        <f ca="1">IF(DW52&gt;$CR52,$CR52,DW52)</f>
        <v>0</v>
      </c>
      <c r="EC52" s="435">
        <f ca="1">IF(DV52&gt;$CR52,$CR52,DV52)</f>
        <v>0</v>
      </c>
      <c r="ED52" s="435">
        <f ca="1">EC52*F52</f>
        <v>0</v>
      </c>
      <c r="EE52" s="436">
        <f ca="1">IF(DX52&gt;$CR52,$CR52,DX52)</f>
        <v>0</v>
      </c>
      <c r="EF52" s="437">
        <f ca="1">EE52*F52</f>
        <v>0</v>
      </c>
      <c r="EG52" s="613" t="str">
        <f>IF(D52=BG$12,BG$12,"")</f>
        <v/>
      </c>
      <c r="EH52" s="614" t="str">
        <f>IF(D52=BG$13,BG$13,"")</f>
        <v/>
      </c>
      <c r="EI52" s="611">
        <f>IF(EG52=BG$12,M52,0)</f>
        <v>0</v>
      </c>
      <c r="EJ52" s="451">
        <f>IF(EG52=BG$12,O52,0)</f>
        <v>0</v>
      </c>
      <c r="EK52" s="451">
        <f>IF(EH52=BG$13,M52,0)</f>
        <v>0</v>
      </c>
      <c r="EL52" s="612">
        <f>IF(EH52=BG$13,O52,0)</f>
        <v>0</v>
      </c>
      <c r="EM52" s="426" t="str">
        <f ca="1">IF(AND(Z52&lt;&gt;"t",Z52&lt;&gt;"f"),"",IF(AND(EN52=$BH$13,K52=$BH$12),"NotOpt",IF(K52&lt;&gt;EN52,"Error","")))</f>
        <v/>
      </c>
      <c r="EN52" s="490" t="str">
        <f>IF($BG$28=1,$BH$13,$BH$12)</f>
        <v>120 BU's</v>
      </c>
      <c r="EO52" s="426" t="str">
        <f>K52</f>
        <v xml:space="preserve"> </v>
      </c>
      <c r="EP52" s="430">
        <v>1</v>
      </c>
      <c r="EQ52" s="430" t="str">
        <f ca="1">IF(EP52=1," ",OFFSET(BF$16,EP52-2,0,1,1))</f>
        <v xml:space="preserve"> </v>
      </c>
      <c r="ER52" s="439" t="str">
        <f ca="1">IF(H52=0," ",H52)</f>
        <v xml:space="preserve"> </v>
      </c>
      <c r="ES52" s="440" t="str">
        <f ca="1">IF(ER52&lt;&gt;" ",IF(ER52&lt;&gt;ER$7,"Changed",""),"")</f>
        <v/>
      </c>
      <c r="ET52" s="440">
        <f ca="1">IF(ER52&lt;&gt;" ",IF(ER52&lt;&gt;ER$7,1,0),0)</f>
        <v>0</v>
      </c>
      <c r="EU52" s="957" t="str">
        <f ca="1">IF(I52=" "," ",IF(F52&lt;OFFSET($BM$9,CL52-1,0,1,1),1,""))</f>
        <v xml:space="preserve"> </v>
      </c>
      <c r="EW52" s="427"/>
      <c r="EX52"/>
      <c r="EY52"/>
      <c r="EZ52"/>
      <c r="FA52"/>
    </row>
    <row r="53" spans="1:157" ht="17.100000000000001" customHeight="1">
      <c r="A53" s="2685"/>
      <c r="B53" s="689" t="s">
        <v>246</v>
      </c>
      <c r="C53" s="684" t="str">
        <f>IF(OR(F53=0,I53="",I53=" ")," ",$V53)</f>
        <v xml:space="preserve"> </v>
      </c>
      <c r="D53" s="1033"/>
      <c r="E53" s="1360" t="s">
        <v>8</v>
      </c>
      <c r="F53" s="202"/>
      <c r="G53" s="1416"/>
      <c r="H53" s="199" t="str">
        <f ca="1">IF(OR(F53=0,Z53="E",Z53="f")," ",'Project Demand'!E$45)</f>
        <v xml:space="preserve"> </v>
      </c>
      <c r="I53" s="631" t="str">
        <f>IF($I$6&lt;&gt;$BG$8," ",AB53)</f>
        <v xml:space="preserve"> </v>
      </c>
      <c r="J53" s="44" t="str">
        <f ca="1">IF(OR(I53=" ",I53="")," ",OFFSET($BO$9,CL53-1,0-4,1,1))</f>
        <v xml:space="preserve"> </v>
      </c>
      <c r="K53" s="55" t="str">
        <f>IF(OR(I53=" ",I53="")," ",IF(OR(Z53="e",Z53="h"),"SD",BG$24))</f>
        <v xml:space="preserve"> </v>
      </c>
      <c r="L53" s="49">
        <f ca="1">CW53</f>
        <v>0</v>
      </c>
      <c r="M53" s="49">
        <f ca="1">CY53</f>
        <v>0</v>
      </c>
      <c r="N53" s="50">
        <f t="shared" ca="1" si="28"/>
        <v>0</v>
      </c>
      <c r="O53" s="126">
        <f t="shared" ca="1" si="28"/>
        <v>0</v>
      </c>
      <c r="P53" s="140"/>
      <c r="Q53" s="752" t="str">
        <f ca="1">IF(AND(OR(Z53="t",Z53="f"),K53=$BH$11),"No Floor!  Change Floor Type",IF(OR(I53=" ",I53="")," ",IF(F53&lt;OFFSET($BM$9,CL53-1,0,1,1),"check L(m)",DE53&amp;IF(AND(DP53&gt;=CY53,DR53&gt;=DB53),IF(AND(ED53&gt;=DP53,EF53&gt;=DR53),CONCATENATE(DS53," will provide same result"),CONCATENATE(CO53," will provide same result")),IF((DP53&gt;=CY53),CONCATENATE(CO53," provides same result in WIND"),IF((DR53&gt;=DB53),CONCATENATE(CO53," provides same result in EQ"),""))))))&amp;IF(ISERROR(FIND("pile",I53,1)),"",IF(INT(F53)&lt;&gt;F53,"Pile!  Use Whole Numbers Only",""))</f>
        <v xml:space="preserve"> </v>
      </c>
      <c r="R53" s="52"/>
      <c r="S53" s="1372"/>
      <c r="T53" s="1372"/>
      <c r="U53" s="1377"/>
      <c r="V53" s="52" t="str">
        <f ca="1">IF(AND(B$5=$BF$9,OR(I53=BH$16,I53=BH$17))," ",IF(ISNUMBER(B$50),(CONCATENATE(B$50,".",W53)),(CONCATENATE(B$50,W53))))</f>
        <v>T0</v>
      </c>
      <c r="W53" s="9">
        <f ca="1">W52+X53</f>
        <v>0</v>
      </c>
      <c r="X53" s="9">
        <f>IF(AND(B$5=$BF$9,OR($I53=$BH$16,$I53=$BH$17,$I53=" ",$I53="",$F53=0)),0,IF(OR($I53=" ",$I53="",$F53=0),0,1))</f>
        <v>0</v>
      </c>
      <c r="Y53" s="896"/>
      <c r="Z53" s="52" t="str">
        <f ca="1">IF(I53=" "," ",OFFSET($BM$9,$CL53-1,8,1,1))</f>
        <v xml:space="preserve"> </v>
      </c>
      <c r="AA53" s="51" t="str">
        <f>IF(G53&gt;=45,"WA","")</f>
        <v/>
      </c>
      <c r="AB53" s="1364" t="str">
        <f>IF(F53&lt;&gt;"",IF(OR(D53=$BG$12,D53=$BG$13),IF(E53&lt;&gt;$BG$17,$BF$12,$BF$13),IF(E53&lt;&gt;$BG$17,$BF$12,$BF$13))," ")</f>
        <v xml:space="preserve"> </v>
      </c>
      <c r="AC53" s="1"/>
      <c r="AK53" s="63" t="str">
        <f>'Custom Elements'!B14</f>
        <v xml:space="preserve">  </v>
      </c>
      <c r="AL53" s="860" t="str">
        <f>'Custom Elements'!C14</f>
        <v>Custom6</v>
      </c>
      <c r="AM53" s="11">
        <f>'Custom Elements'!D14</f>
        <v>9.9999999999999996E-76</v>
      </c>
      <c r="AN53" s="7">
        <f>'Custom Elements'!E14</f>
        <v>0</v>
      </c>
      <c r="AO53" s="7">
        <f>'Custom Elements'!F14</f>
        <v>0</v>
      </c>
      <c r="AP53" s="762" t="str">
        <f>'Custom Elements'!G14</f>
        <v>B</v>
      </c>
      <c r="AQ53" s="1777" t="str">
        <f>'Custom Elements'!H14</f>
        <v>Single</v>
      </c>
      <c r="AR53" s="1775" t="str">
        <f>'Custom Elements'!I14</f>
        <v>Yes</v>
      </c>
      <c r="AS53" s="442" t="str">
        <f>'Custom Elements'!J14</f>
        <v>Yes</v>
      </c>
      <c r="AT53" s="1150"/>
      <c r="AU53" s="1150"/>
      <c r="AZ53" s="442" t="str">
        <f>IF(AND('Custom Elements'!J14="Yes",'Custom Elements'!I14="Yes"),"T",IF('Custom Elements'!J14="Yes","F",IF('Custom Elements'!I14="Yes","H","E")))</f>
        <v>T</v>
      </c>
      <c r="BA53"/>
      <c r="BB53"/>
      <c r="BC53"/>
      <c r="BD53" s="638"/>
      <c r="BI53" s="759"/>
      <c r="BJ53" s="897">
        <f t="shared" si="25"/>
        <v>45</v>
      </c>
      <c r="BK53" s="1220"/>
      <c r="BL53" s="766"/>
      <c r="BM53" s="455">
        <f>Table!D7</f>
        <v>1.2</v>
      </c>
      <c r="BN53" s="455">
        <f>BM54</f>
        <v>1.8</v>
      </c>
      <c r="BO53" s="455">
        <f>Table!E7</f>
        <v>72</v>
      </c>
      <c r="BP53" s="925">
        <f>Table!F7</f>
        <v>64</v>
      </c>
      <c r="BR53" s="764"/>
      <c r="BS53" s="455"/>
      <c r="BT53" s="455"/>
      <c r="BU53" s="925" t="s">
        <v>242</v>
      </c>
      <c r="BV53" s="913"/>
      <c r="BW53" s="912"/>
      <c r="BX53" s="925" t="str">
        <f>Table!H5</f>
        <v>Single</v>
      </c>
      <c r="CH53" s="764">
        <f>IF(BN53=999,0,(BO54-BO53)/(BN53-BM53))</f>
        <v>18.333333333333332</v>
      </c>
      <c r="CI53" s="925">
        <f>IF(BN53=999,0,(BP54-BP53)/(BN53-BM53))</f>
        <v>0</v>
      </c>
      <c r="CJ53" s="759"/>
      <c r="CK53" s="188"/>
      <c r="CL53" s="979">
        <f>VLOOKUP(I53,Prodlink,2,0)</f>
        <v>0</v>
      </c>
      <c r="CN53" s="497">
        <f ca="1">VLOOKUP(CO53,Prodlink,2,0)</f>
        <v>0</v>
      </c>
      <c r="CO53" s="497">
        <f ca="1">OFFSET($CH$9,CL53-1,-15,1,1)</f>
        <v>0</v>
      </c>
      <c r="CQ53" s="51">
        <v>0</v>
      </c>
      <c r="CR53" s="51">
        <f>IF(K53=$BH$12,$BH$23,IF(K53=$BH$13,$BH$24,10000))</f>
        <v>10000</v>
      </c>
      <c r="CS53" s="51">
        <f ca="1">IF(F53&lt;OFFSET($BM$9,CL53-1,0,1,1),0,IF(F53&lt;OFFSET($BN$9,CL53-1,0,1,1),((F53-OFFSET($BM$9,CL53-1,0,1,1))*OFFSET($CH$9,CL53-1,0,1,1))+OFFSET($BO$9,CL53-1,CQ53,1,1),IF(F53&lt;OFFSET($BN$9,CL53+0,0,1,1),((F53-OFFSET($BM$9,CL53+0,0,1,1))*OFFSET($CH$9,CL53+0,0,1,1))+OFFSET($BO$9,CL53+0,CQ53,1,1),IF(F53&lt;OFFSET($BN$9,CL53+1,0,1,1),((F53-OFFSET($BM$9,CL53+1,0,1,1))*OFFSET($CH$9,CL53+1,0,1,1))+OFFSET($BO$9,CL53+1,CQ53,1,1),IF(F53&lt;OFFSET($BN$9,CL53+2,0,1,1),((F53-OFFSET($BM$9,CL53+2,0,1,1))*OFFSET($CH$9,CL53+2,0,1,1))+OFFSET($BO$9,CL53+2,CQ53,1,1),IF(F53&lt;OFFSET($BN$9,CL53+3,0,1,1),((F53-OFFSET($BM$9,CL53+3,0,1,1))*OFFSET($CH$9,CL53+3,0,1,1))+OFFSET($BO$9,CL53+3,CQ53,1,1),0))))))</f>
        <v>0</v>
      </c>
      <c r="CT53" s="51">
        <f ca="1">IF($F53&lt;OFFSET($BM$9,$CL53-1,0,1,1),0,IF($F53&lt;OFFSET($BN$9,$CL53-1,0,1,1),IF(AND($H53&gt;2.4,Z53&lt;&gt;"e",Z53&lt;&gt;"f"),CX53*2.4/$H53,CX53),IF($F53&lt;OFFSET($BN$9,$CL53+0,0,1,1),IF(AND($H53&gt;2.4,Z53&lt;&gt;"e",Z53&lt;&gt;"f"),CX53*2.4/$H53,CX53),IF($F53&lt;OFFSET($BN$9,$CL53+1,0,1,1),IF(AND($H53&gt;2.4,Z53&lt;&gt;"e",Z53&lt;&gt;"f"),CX53*2.4/$H53,CX53),IF($F53&lt;OFFSET($BN$9,CL53+2,0,1,1),IF(AND($H53&gt;2.4,Z53&lt;&gt;"e",Z53&lt;&gt;"f"),CX53*2.4/$H53,CX53),IF($F53&lt;OFFSET($BN$9,CL53+3,0,1,1),IF(AND($H53&gt;2.4,Z53&lt;&gt;"e",Z53&lt;&gt;"f"),CX53*2.4/$H53,CX53),0)))))*COS(RADIANS($G53)))</f>
        <v>0</v>
      </c>
      <c r="CU53" s="51">
        <f ca="1">IF(F53&lt;OFFSET($BM$9,CL53-1,0,1,1),0,IF(F53&lt;OFFSET($BN$9,CL53-1,0,1,1),((F53-OFFSET($BM$9,CL53-1,0,1,1))*OFFSET($CI$9,CL53-1,0,1,1))+OFFSET($BP$9,CL53-1,CQ53,1,1),IF(F53&lt;OFFSET($BN$9,CL53+0,0,1,1),((F53-OFFSET($BM$9,CL53+0,0,1,1))*OFFSET($CI$9,CL53+0,0,1,1))+OFFSET($BP$9,CL53+0,CQ53,1,1),IF(F53&lt;OFFSET($BN$9,CL53+1,0,1,1),((F53-OFFSET($BM$9,CL53+1,0,1,1))*OFFSET($CI$9,CL53+1,0,1,1))+OFFSET($BP$9,CL53+1,CQ53,1,1),IF(F53&lt;OFFSET($BN$9,CL53+2,0,1,1),((F53-OFFSET($BM$9,CL53+2,0,1,1))*OFFSET($CI$9,CL53+2,0,1,1))+OFFSET($BP$9,CL53+2,CQ53,1,1),IF(F53&lt;OFFSET($BN$9,CL53+3,0,1,1),((F53-OFFSET($BM$9,CL53+3,0,1,1))*OFFSET($CI$9,CL53+3,0,1,1))+OFFSET($BP$9,CL53+3,CQ53,1,1),0))))))</f>
        <v>0</v>
      </c>
      <c r="CV53" s="51">
        <f ca="1">IF($F53&lt;OFFSET($BM$9,$CL53-1,0,1,1),0,IF($F53&lt;OFFSET($BN$9,$CL53-1,0,1,1),IF(AND($H53&gt;2.4,Z53&lt;&gt;"e",Z53&lt;&gt;"f"),CZ53*2.4/$H53,CZ53),IF($F53&lt;OFFSET($BN$9,$CL53+0,0,1,1),IF(AND($H53&gt;2.4,Z53&lt;&gt;"e",Z53&lt;&gt;"f"),CZ53*2.4/$H53,CZ53),IF($F53&lt;OFFSET($BN$9,$CL53+1,0,1,1),IF(AND($H53&gt;2.4,Z53&lt;&gt;"e",Z53&lt;&gt;"f"),CZ53*2.4/$H53,CZ53),IF($F53&lt;OFFSET($BN$9,$CL53+2,0,1,1),IF(AND($H53&gt;2.4,Z53&lt;&gt;"e",Z53&lt;&gt;"f"),CZ53*2.4/$H53,CZ53),IF($F53&lt;OFFSET($BN$9,$CL53+3,0,1,1),IF(AND($H53&gt;2.4,Z53&lt;&gt;"e",Z53&lt;&gt;"f"),CZ53*2.4/$H53,CZ53),0)))))*COS(RADIANS($G53)))</f>
        <v>0</v>
      </c>
      <c r="CW53" s="51">
        <f ca="1">IF(CT53&gt;CR53,CR53,CT53)</f>
        <v>0</v>
      </c>
      <c r="CX53" s="51">
        <f ca="1">IF(CS53&gt;$CR53,$CR53,CS53)</f>
        <v>0</v>
      </c>
      <c r="CY53" s="51">
        <f ca="1">CW53*F53</f>
        <v>0</v>
      </c>
      <c r="CZ53" s="51">
        <f ca="1">IF($CU53&gt;$CR53,$CR53,$CU53)</f>
        <v>0</v>
      </c>
      <c r="DA53" s="51">
        <f ca="1">IF(CV53&gt;CR53,CR53,CV53)</f>
        <v>0</v>
      </c>
      <c r="DB53" s="51">
        <f ca="1">DA53*F53</f>
        <v>0</v>
      </c>
      <c r="DC53" s="993">
        <v>1</v>
      </c>
      <c r="DD53" s="758" t="str">
        <f>IF(OR(D53=BG$12,D53=BG$13),"External",IF(D53=BG$14,"Internal"," "))</f>
        <v xml:space="preserve"> </v>
      </c>
      <c r="DE53" s="51" t="str">
        <f t="shared" ca="1" si="1"/>
        <v/>
      </c>
      <c r="DF53" s="52" t="str">
        <f t="shared" ca="1" si="2"/>
        <v xml:space="preserve"> </v>
      </c>
      <c r="DG53" s="51">
        <f ca="1">IF(F53&lt;OFFSET($BM$9,CN53-1,0,1,1),0,IF(F53&lt;OFFSET($BN$9,CN53-1,0,1,1),((F53-OFFSET($BM$9,CN53-1,0,1,1))*OFFSET($CH$9,CN53-1,0,1,1))+OFFSET($BO$9,CN53-1,CQ53,1,1),IF(F53&lt;OFFSET($BN$9,CN53+0,0,1,1),((F53-OFFSET($BM$9,CN53+0,0,1,1))*OFFSET($CH$9,CN53+0,0,1,1))+OFFSET($BO$9,CN53+0,CQ53,1,1),IF(F53&lt;OFFSET($BN$9,CN53+1,0,1,1),((F53-OFFSET($BM$9,CN53+1,0,1,1))*OFFSET($CH$9,CN53+1,0,1,1))+OFFSET($BO$9,CN53+1,CQ53,1,1),IF(F53&lt;OFFSET($BN$9,CN53+2,0,1,1),((F53-OFFSET($BM$9,CN53+2,0,1,1))*OFFSET($CH$9,CN53+2,0,1,1))+OFFSET($BO$9,CN53+2,CQ53,1,1),IF(F53&lt;OFFSET($BN$9,CN53+3,0,1,1),((F53-OFFSET($BM$9,CN53+3,0,1,1))*OFFSET($CH$9,CN53+3,0,1,1))+OFFSET($BO$9,CN53+3,CQ53,1,1),0))))))</f>
        <v>0</v>
      </c>
      <c r="DH53" s="51">
        <f ca="1">IF($F53&lt;OFFSET($BM$9,$CN53-1,0,1,1),0,IF($F53&lt;OFFSET($BN$9,$CN53-1,0,1,1),IF(AND($H53&gt;2.4,Z53&lt;&gt;"e",Z53&lt;&gt;"f"),DL53*2.4/$H53,DL53),IF($F53&lt;OFFSET($BN$9,$CN53+0,0,1,1),IF(AND($H53&gt;2.4,Z53&lt;&gt;"e",Z53&lt;&gt;"f"),DL53*2.4/$H53,DL53),IF($F53&lt;OFFSET($BN$9,$CN53+1,0,1,1),IF(AND($H53&gt;2.4,Z53&lt;&gt;"e",Z53&lt;&gt;"f"),DL53*2.4/$H53,DL53),IF($F53&lt;OFFSET($BN$9,$CN53+2,0,1,1),IF(AND($H53&gt;2.4,Z53&lt;&gt;"e",Z53&lt;&gt;"f"),DL53*2.4/$H53,DL53),IF($F53&lt;OFFSET($BN$9,$CN53+3,0,1,1),IF(AND($H53&gt;2.4,Z53&lt;&gt;"e",Z53&lt;&gt;"f"),DL53*2.4/$H53,DL53),0)))))*COS(RADIANS($G53)))</f>
        <v>0</v>
      </c>
      <c r="DI53" s="51">
        <f ca="1">IF(F53&lt;OFFSET($BM$9,CN53-1,0,1,1),0,IF(F53&lt;OFFSET($BN$9,CN53-1,0,1,1),((F53-OFFSET($BM$9,CN53-1,0,1,1))*OFFSET($CI$9,CN53-1,0,1,1))+OFFSET($BP$9,CN53-1,CQ53,1,1),IF(F53&lt;OFFSET($BN$9,CN53+0,0,1,1),((F53-OFFSET($BM$9,CN53+0,0,1,1))*OFFSET($CI$9,CN53+0,0,1,1))+OFFSET($BP$9,CN53+0,CQ53,1,1),IF(F53&lt;OFFSET($BN$9,CN53+1,0,1,1),((F53-OFFSET($BM$9,CN53+1,0,1,1))*OFFSET($CI$9,CN53+1,0,1,1))+OFFSET($BP$9,CN53+1,CQ53,1,1),IF(F53&lt;OFFSET($BN$9,CN53+2,0,1,1),((F53-OFFSET($BM$9,CN53+2,0,1,1))*OFFSET($CI$9,CN53+2,0,1,1))+OFFSET($BP$9,CN53+2,CQ53,1,1),IF(F53&lt;OFFSET($BN$9,CN53+3,0,1,1),((F53-OFFSET($BM$9,CN53+3,0,1,1))*OFFSET($CI$9,CN53+3,0,1,1))+OFFSET($BP$9,CN53+3,CQ53,1,1),0))))))</f>
        <v>0</v>
      </c>
      <c r="DJ53" s="51">
        <f ca="1">IF($F53&lt;OFFSET($BM$9,$CN53-1,0,1,1),0,IF($F53&lt;OFFSET($BN$9,$CN53-1,0,1,1),IF(AND($H53&gt;2.4,Z53&lt;&gt;"e",Z53&lt;&gt;"f"),DN53*2.4/$H53,DN53),IF($F53&lt;OFFSET($BN$9,$CN53+0,0,1,1),IF(AND($H53&gt;2.4,Z53&lt;&gt;"e",Z53&lt;&gt;"f"),DN53*2.4/$H53,DN53),IF($F53&lt;OFFSET($BN$9,$CN53+1,0,1,1),IF(AND($H53&gt;2.4,Z53&lt;&gt;"e",Z53&lt;&gt;"f"),DN53*2.4/$H53,DN53),IF($F53&lt;OFFSET($BN$9,$CN53+2,0,1,1),IF(AND($H53&gt;2.4,Z53&lt;&gt;"e",Z53&lt;&gt;"f"),DN53*2.4/$H53,DN53),IF($F53&lt;OFFSET($BN$9,$CN53+3,0,1,1),IF(AND($H53&gt;2.4,Z53&lt;&gt;"e",Z53&lt;&gt;"f"),DN53*2.4/$H53,DN53),0)))))*COS(RADIANS($G53)))</f>
        <v>0</v>
      </c>
      <c r="DK53" s="51"/>
      <c r="DL53" s="51">
        <f ca="1">IF(DG53&gt;$CR53,$CR53,DG53)</f>
        <v>0</v>
      </c>
      <c r="DM53" s="51"/>
      <c r="DN53" s="51">
        <f ca="1">IF(DI53&gt;$CR53,$CR53,DI53)</f>
        <v>0</v>
      </c>
      <c r="DO53" s="435">
        <f ca="1">IF(DH53&gt;$CR53,$CR53,DH53)</f>
        <v>0</v>
      </c>
      <c r="DP53" s="435">
        <f ca="1">DO53*F53</f>
        <v>0</v>
      </c>
      <c r="DQ53" s="436">
        <f ca="1">IF(DJ53&gt;$CR53,$CR53,DJ53)</f>
        <v>0</v>
      </c>
      <c r="DR53" s="437">
        <f ca="1">DQ53*F53</f>
        <v>0</v>
      </c>
      <c r="DS53" s="426">
        <f ca="1">OFFSET($CH$9,CL53-1,-15,1,1)</f>
        <v>0</v>
      </c>
      <c r="DT53" s="426">
        <f ca="1">VLOOKUP(DS53,Prodlink,2,0)</f>
        <v>0</v>
      </c>
      <c r="DU53" s="188">
        <f ca="1">IF(F53&lt;OFFSET($BM$9,DT53-1,0,1,1),0,IF(F53&lt;OFFSET($BN$9,DT53-1,0,1,1),((F53-OFFSET($BM$9,DT53-1,0,1,1))*OFFSET($CH$9,DT53-1,0,1,1))+OFFSET($BO$9,DT53-1,CQ53,1,1),IF(F53&lt;OFFSET($BN$9,DT53+0,0,1,1),((F53-OFFSET($BM$9,DT53+0,0,1,1))*OFFSET($CH$9,DT53+0,0,1,1))+OFFSET($BO$9,DT53+0,CQ53,1,1),IF(F53&lt;OFFSET($BN$9,DT53+1,0,1,1),((F53-OFFSET($BM$9,DT53+1,0,1,1))*OFFSET($CH$9,DT53+1,0,1,1))+OFFSET($BO$9,DT53+1,CQ53,1,1),IF(F53&lt;OFFSET($BN$9,DT53+2,0,1,1),((F53-OFFSET($BM$9,DT53+2,0,1,1))*OFFSET($CH$9,DT53+2,0,1,1))+OFFSET($BO$9,DT53+2,CQ53,1,1),IF(F53&lt;OFFSET($BN$9,DT53+3,0,1,1),((F53-OFFSET($BM$9,DT53+3,0,1,1))*OFFSET($CH$9,DT53+3,0,1,1))+OFFSET($BO$9,DT53+3,CQ53,1,1),0))))))</f>
        <v>0</v>
      </c>
      <c r="DV53" s="51">
        <f ca="1">IF($F53&lt;OFFSET($BM$9,$DT53-1,0,1,1),0,IF($F53&lt;OFFSET($BN$9,$DT53-1,0,1,1),IF(AND($H53&gt;2.4,Z53&lt;&gt;"e",Z53&lt;&gt;"f"),DZ53*2.4/$H53,DZ53),IF($F53&lt;OFFSET($BN$9,$DT53+0,0,1,1),IF(AND($H53&gt;2.4,Z53&lt;&gt;"e",Z53&lt;&gt;"f"),DZ53*2.4/$H53,DZ53),IF($F53&lt;OFFSET($BN$9,$DT53+1,0,1,1),IF(AND($H53&gt;2.4,Z53&lt;&gt;"e",Z53&lt;&gt;"f"),DZ53*2.4/$H53,DZ53),IF($F53&lt;OFFSET($BN$9,$DT53+2,0,1,1),IF(AND($H53&gt;2.4,Z53&lt;&gt;"e",Z53&lt;&gt;"f"),DZ53*2.4/$H53,DZ53),IF($F53&lt;OFFSET($BN$9,$DT53+3,0,1,1),IF(AND($H53&gt;2.4,Z53&lt;&gt;"e",Z53&lt;&gt;"f"),DZ53*2.4/$H53,DZ53),0)))))*COS(RADIANS($G53)))</f>
        <v>0</v>
      </c>
      <c r="DW53" s="188">
        <f ca="1">IF(F53&lt;OFFSET($BM$9,DT53-1,0,1,1),0,IF(F53&lt;OFFSET($BN$9,DT53-1,0,1,1),((F53-OFFSET($BM$9,DT53-1,0,1,1))*OFFSET($CI$9,DT53-1,0,1,1))+OFFSET($BP$9,DT53-1,CQ53,1,1),IF(F53&lt;OFFSET($BN$9,DT53+0,0,1,1),((F53-OFFSET($BM$9,DT53+0,0,1,1))*OFFSET($CI$9,DT53+0,0,1,1))+OFFSET($BP$9,DT53+0,CQ53,1,1),IF(F53&lt;OFFSET($BN$9,DT53+1,0,1,1),((F53-OFFSET($BM$9,DT53+1,0,1,1))*OFFSET($CI$9,DT53+1,0,1,1))+OFFSET($BP$9,DT53+1,CQ53,1,1),IF(F53&lt;OFFSET($BN$9,DT53+2,0,1,1),((F53-OFFSET($BM$9,DT53+2,0,1,1))*OFFSET($CI$9,DT53+2,0,1,1))+OFFSET($BP$9,DT53+2,CQ53,1,1),IF(F53&lt;OFFSET($BN$9,DT53+3,0,1,1),((F53-OFFSET($BM$9,DT53+3,0,1,1))*OFFSET($CI$9,DT53+3,0,1,1))+OFFSET($BP$9,DT53+3,CQ53,1,1),0))))))</f>
        <v>0</v>
      </c>
      <c r="DX53" s="51">
        <f ca="1">IF($F53&lt;OFFSET($BM$9,$DT53-1,0,1,1),0,IF($F53&lt;OFFSET($BN$9,$DT53-1,0,1,1),IF(AND($H53&gt;2.4,Z53&lt;&gt;"e",Z53&lt;&gt;"f"),EB53*2.4/$H53,EB53),IF($F53&lt;OFFSET($BN$9,$DT53+0,0,1,1),IF(AND($H53&gt;2.4,Z53&lt;&gt;"e",Z53&lt;&gt;"f"),EB53*2.4/$H53,EB53),IF($F53&lt;OFFSET($BN$9,$DT53+1,0,1,1),IF(AND($H53&gt;2.4,Z53&lt;&gt;"e",Z53&lt;&gt;"f"),EB53*2.4/$H53,EB53),IF($F53&lt;OFFSET($BN$9,$DT53+2,0,1,1),IF(AND($H53&gt;2.4,Z53&lt;&gt;"e",Z53&lt;&gt;"f"),EB53*2.4/$H53,EB53),IF($F53&lt;OFFSET($BN$9,$DT53+3,0,1,1),IF(AND($H53&gt;2.4,Z53&lt;&gt;"e",Z53&lt;&gt;"f"),EB53*2.4/$H53,EB53),0)))))*COS(RADIANS($G53)))</f>
        <v>0</v>
      </c>
      <c r="DY53" s="188"/>
      <c r="DZ53" s="188">
        <f ca="1">IF(DU53&gt;$CR53,$CR53,DU53)</f>
        <v>0</v>
      </c>
      <c r="EA53" s="188"/>
      <c r="EB53" s="188">
        <f ca="1">IF(DW53&gt;$CR53,$CR53,DW53)</f>
        <v>0</v>
      </c>
      <c r="EC53" s="435">
        <f ca="1">IF(DV53&gt;$CR53,$CR53,DV53)</f>
        <v>0</v>
      </c>
      <c r="ED53" s="435">
        <f ca="1">EC53*F53</f>
        <v>0</v>
      </c>
      <c r="EE53" s="436">
        <f ca="1">IF(DX53&gt;$CR53,$CR53,DX53)</f>
        <v>0</v>
      </c>
      <c r="EF53" s="437">
        <f ca="1">EE53*F53</f>
        <v>0</v>
      </c>
      <c r="EG53" s="613" t="str">
        <f>IF(D53=BG$12,BG$12,"")</f>
        <v/>
      </c>
      <c r="EH53" s="614" t="str">
        <f>IF(D53=BG$13,BG$13,"")</f>
        <v/>
      </c>
      <c r="EI53" s="611">
        <f>IF(EG53=BG$12,M53,0)</f>
        <v>0</v>
      </c>
      <c r="EJ53" s="451">
        <f>IF(EG53=BG$12,O53,0)</f>
        <v>0</v>
      </c>
      <c r="EK53" s="451">
        <f>IF(EH53=BG$13,M53,0)</f>
        <v>0</v>
      </c>
      <c r="EL53" s="612">
        <f>IF(EH53=BG$13,O53,0)</f>
        <v>0</v>
      </c>
      <c r="EM53" s="426" t="str">
        <f ca="1">IF(AND(Z53&lt;&gt;"t",Z53&lt;&gt;"f"),"",IF(AND(EN53=$BH$13,K53=$BH$12),"NotOpt",IF(K53&lt;&gt;EN53,"Error","")))</f>
        <v/>
      </c>
      <c r="EN53" s="490" t="str">
        <f>IF($BG$28=1,$BH$13,$BH$12)</f>
        <v>120 BU's</v>
      </c>
      <c r="EO53" s="426" t="str">
        <f>K53</f>
        <v xml:space="preserve"> </v>
      </c>
      <c r="EP53" s="430">
        <v>1</v>
      </c>
      <c r="EQ53" s="430" t="str">
        <f ca="1">IF(EP53=1," ",OFFSET(BF$16,EP53-2,0,1,1))</f>
        <v xml:space="preserve"> </v>
      </c>
      <c r="ER53" s="439" t="str">
        <f ca="1">IF(H53=0," ",H53)</f>
        <v xml:space="preserve"> </v>
      </c>
      <c r="ES53" s="440" t="str">
        <f ca="1">IF(ER53&lt;&gt;" ",IF(ER53&lt;&gt;ER$7,"Changed",""),"")</f>
        <v/>
      </c>
      <c r="ET53" s="440">
        <f ca="1">IF(ER53&lt;&gt;" ",IF(ER53&lt;&gt;ER$7,1,0),0)</f>
        <v>0</v>
      </c>
      <c r="EU53" s="957" t="str">
        <f ca="1">IF(I53=" "," ",IF(F53&lt;OFFSET($BM$9,CL53-1,0,1,1),1,""))</f>
        <v xml:space="preserve"> </v>
      </c>
      <c r="EW53" s="427"/>
      <c r="EX53"/>
      <c r="EY53"/>
      <c r="EZ53"/>
      <c r="FA53"/>
    </row>
    <row r="54" spans="1:157" ht="17.100000000000001" customHeight="1" thickBot="1">
      <c r="A54" s="2685"/>
      <c r="B54" s="689" t="s">
        <v>246</v>
      </c>
      <c r="C54" s="684" t="str">
        <f>IF(OR(F54=0,I54="",I54=" ")," ",$V54)</f>
        <v xml:space="preserve"> </v>
      </c>
      <c r="D54" s="1033"/>
      <c r="E54" s="1360" t="s">
        <v>8</v>
      </c>
      <c r="F54" s="202"/>
      <c r="G54" s="1416"/>
      <c r="H54" s="199" t="str">
        <f ca="1">IF(OR(F54=0,Z54="E",Z54="f")," ",'Project Demand'!E$45)</f>
        <v xml:space="preserve"> </v>
      </c>
      <c r="I54" s="631" t="str">
        <f>IF($I$6&lt;&gt;$BG$8," ",AB54)</f>
        <v xml:space="preserve"> </v>
      </c>
      <c r="J54" s="44" t="str">
        <f ca="1">IF(OR(I54=" ",I54="")," ",OFFSET($BO$9,CL54-1,0-4,1,1))</f>
        <v xml:space="preserve"> </v>
      </c>
      <c r="K54" s="55" t="str">
        <f>IF(OR(I54=" ",I54="")," ",IF(OR(Z54="e",Z54="h"),"SD",BG$24))</f>
        <v xml:space="preserve"> </v>
      </c>
      <c r="L54" s="49">
        <f ca="1">CW54</f>
        <v>0</v>
      </c>
      <c r="M54" s="49">
        <f ca="1">CY54</f>
        <v>0</v>
      </c>
      <c r="N54" s="50">
        <f t="shared" ca="1" si="28"/>
        <v>0</v>
      </c>
      <c r="O54" s="126">
        <f t="shared" ca="1" si="28"/>
        <v>0</v>
      </c>
      <c r="P54" s="140"/>
      <c r="Q54" s="752" t="str">
        <f ca="1">IF(AND(OR(Z54="t",Z54="f"),K54=$BH$11),"No Floor!  Change Floor Type",IF(OR(I54=" ",I54="")," ",IF(F54&lt;OFFSET($BM$9,CL54-1,0,1,1),"check L(m)",DE54&amp;IF(AND(DP54&gt;=CY54,DR54&gt;=DB54),IF(AND(ED54&gt;=DP54,EF54&gt;=DR54),CONCATENATE(DS54," will provide same result"),CONCATENATE(CO54," will provide same result")),IF((DP54&gt;=CY54),CONCATENATE(CO54," provides same result in WIND"),IF((DR54&gt;=DB54),CONCATENATE(CO54," provides same result in EQ"),""))))))&amp;IF(ISERROR(FIND("pile",I54,1)),"",IF(INT(F54)&lt;&gt;F54,"Pile!  Use Whole Numbers Only",""))</f>
        <v xml:space="preserve"> </v>
      </c>
      <c r="R54" s="52"/>
      <c r="S54" s="1372"/>
      <c r="T54" s="1372"/>
      <c r="U54" s="1377"/>
      <c r="V54" s="52" t="str">
        <f ca="1">IF(AND(B$5=$BF$9,OR(I54=BH$16,I54=BH$17))," ",IF(ISNUMBER(B$50),(CONCATENATE(B$50,".",W54)),(CONCATENATE(B$50,W54))))</f>
        <v>T0</v>
      </c>
      <c r="W54" s="9">
        <f ca="1">W53+X54</f>
        <v>0</v>
      </c>
      <c r="X54" s="9">
        <f>IF(AND(B$5=$BF$9,OR($I54=$BH$16,$I54=$BH$17,$I54=" ",$I54="",$F54=0)),0,IF(OR($I54=" ",$I54="",$F54=0),0,1))</f>
        <v>0</v>
      </c>
      <c r="Y54" s="896"/>
      <c r="Z54" s="52" t="str">
        <f ca="1">IF(I54=" "," ",OFFSET($BM$9,$CL54-1,8,1,1))</f>
        <v xml:space="preserve"> </v>
      </c>
      <c r="AA54" s="51" t="str">
        <f>IF(G54&gt;=45,"WA","")</f>
        <v/>
      </c>
      <c r="AB54" s="1364" t="str">
        <f>IF(F54&lt;&gt;"",IF(OR(D54=$BG$12,D54=$BG$13),IF(E54&lt;&gt;$BG$17,$BF$12,$BF$13),IF(E54&lt;&gt;$BG$17,$BF$12,$BF$13))," ")</f>
        <v xml:space="preserve"> </v>
      </c>
      <c r="AC54" s="1"/>
      <c r="AK54" s="63" t="str">
        <f>'Custom Elements'!B15</f>
        <v xml:space="preserve">  </v>
      </c>
      <c r="AL54" s="860" t="str">
        <f>'Custom Elements'!C15</f>
        <v>Custom7</v>
      </c>
      <c r="AM54" s="11">
        <f>'Custom Elements'!D15</f>
        <v>9.9999999999999996E-76</v>
      </c>
      <c r="AN54" s="7">
        <f>'Custom Elements'!E15</f>
        <v>0</v>
      </c>
      <c r="AO54" s="7">
        <f>'Custom Elements'!F15</f>
        <v>0</v>
      </c>
      <c r="AP54" s="762" t="str">
        <f>'Custom Elements'!G15</f>
        <v>B</v>
      </c>
      <c r="AQ54" s="1777" t="str">
        <f>'Custom Elements'!H15</f>
        <v>Single</v>
      </c>
      <c r="AR54" s="1775" t="str">
        <f>'Custom Elements'!I15</f>
        <v>Yes</v>
      </c>
      <c r="AS54" s="442" t="str">
        <f>'Custom Elements'!J15</f>
        <v>Yes</v>
      </c>
      <c r="AT54" s="1150"/>
      <c r="AU54" s="1150"/>
      <c r="AZ54" s="442" t="str">
        <f>IF(AND('Custom Elements'!J15="Yes",'Custom Elements'!I15="Yes"),"T",IF('Custom Elements'!J15="Yes","F",IF('Custom Elements'!I15="Yes","H","E")))</f>
        <v>T</v>
      </c>
      <c r="BA54"/>
      <c r="BB54"/>
      <c r="BC54"/>
      <c r="BD54" s="638"/>
      <c r="BE54" s="2714" t="s">
        <v>956</v>
      </c>
      <c r="BF54" s="2714"/>
      <c r="BG54" s="2714"/>
      <c r="BH54" s="2714"/>
      <c r="BI54" s="759"/>
      <c r="BJ54" s="897">
        <f t="shared" si="25"/>
        <v>46</v>
      </c>
      <c r="BK54" s="1221"/>
      <c r="BL54" s="767"/>
      <c r="BM54" s="776">
        <f>Table!D8</f>
        <v>1.8</v>
      </c>
      <c r="BN54" s="776">
        <v>999</v>
      </c>
      <c r="BO54" s="776">
        <f>Table!E8</f>
        <v>83</v>
      </c>
      <c r="BP54" s="926">
        <f>Table!F8</f>
        <v>64</v>
      </c>
      <c r="BQ54" s="1183"/>
      <c r="BR54" s="908"/>
      <c r="BS54" s="776"/>
      <c r="BT54" s="776"/>
      <c r="BU54" s="926" t="s">
        <v>242</v>
      </c>
      <c r="BV54" s="433"/>
      <c r="BW54" s="914"/>
      <c r="BX54" s="926" t="str">
        <f>Table!H5</f>
        <v>Single</v>
      </c>
      <c r="CH54" s="908">
        <f>IF(BN54=999,0,(BO55-BO54)/(BN54-BM54))</f>
        <v>0</v>
      </c>
      <c r="CI54" s="926">
        <f>IF(BN54=999,0,(BP55-BP54)/(BN54-BM54))</f>
        <v>0</v>
      </c>
      <c r="CJ54" s="759"/>
      <c r="CK54" s="188"/>
      <c r="CL54" s="979">
        <f>VLOOKUP(I54,Prodlink,2,0)</f>
        <v>0</v>
      </c>
      <c r="CN54" s="497">
        <f ca="1">VLOOKUP(CO54,Prodlink,2,0)</f>
        <v>0</v>
      </c>
      <c r="CO54" s="497">
        <f ca="1">OFFSET($CH$9,CL54-1,-15,1,1)</f>
        <v>0</v>
      </c>
      <c r="CQ54" s="51">
        <v>0</v>
      </c>
      <c r="CR54" s="51">
        <f>IF(K54=$BH$12,$BH$23,IF(K54=$BH$13,$BH$24,10000))</f>
        <v>10000</v>
      </c>
      <c r="CS54" s="51">
        <f ca="1">IF(F54&lt;OFFSET($BM$9,CL54-1,0,1,1),0,IF(F54&lt;OFFSET($BN$9,CL54-1,0,1,1),((F54-OFFSET($BM$9,CL54-1,0,1,1))*OFFSET($CH$9,CL54-1,0,1,1))+OFFSET($BO$9,CL54-1,CQ54,1,1),IF(F54&lt;OFFSET($BN$9,CL54+0,0,1,1),((F54-OFFSET($BM$9,CL54+0,0,1,1))*OFFSET($CH$9,CL54+0,0,1,1))+OFFSET($BO$9,CL54+0,CQ54,1,1),IF(F54&lt;OFFSET($BN$9,CL54+1,0,1,1),((F54-OFFSET($BM$9,CL54+1,0,1,1))*OFFSET($CH$9,CL54+1,0,1,1))+OFFSET($BO$9,CL54+1,CQ54,1,1),IF(F54&lt;OFFSET($BN$9,CL54+2,0,1,1),((F54-OFFSET($BM$9,CL54+2,0,1,1))*OFFSET($CH$9,CL54+2,0,1,1))+OFFSET($BO$9,CL54+2,CQ54,1,1),IF(F54&lt;OFFSET($BN$9,CL54+3,0,1,1),((F54-OFFSET($BM$9,CL54+3,0,1,1))*OFFSET($CH$9,CL54+3,0,1,1))+OFFSET($BO$9,CL54+3,CQ54,1,1),0))))))</f>
        <v>0</v>
      </c>
      <c r="CT54" s="51">
        <f ca="1">IF($F54&lt;OFFSET($BM$9,$CL54-1,0,1,1),0,IF($F54&lt;OFFSET($BN$9,$CL54-1,0,1,1),IF(AND($H54&gt;2.4,Z54&lt;&gt;"e",Z54&lt;&gt;"f"),CX54*2.4/$H54,CX54),IF($F54&lt;OFFSET($BN$9,$CL54+0,0,1,1),IF(AND($H54&gt;2.4,Z54&lt;&gt;"e",Z54&lt;&gt;"f"),CX54*2.4/$H54,CX54),IF($F54&lt;OFFSET($BN$9,$CL54+1,0,1,1),IF(AND($H54&gt;2.4,Z54&lt;&gt;"e",Z54&lt;&gt;"f"),CX54*2.4/$H54,CX54),IF($F54&lt;OFFSET($BN$9,CL54+2,0,1,1),IF(AND($H54&gt;2.4,Z54&lt;&gt;"e",Z54&lt;&gt;"f"),CX54*2.4/$H54,CX54),IF($F54&lt;OFFSET($BN$9,CL54+3,0,1,1),IF(AND($H54&gt;2.4,Z54&lt;&gt;"e",Z54&lt;&gt;"f"),CX54*2.4/$H54,CX54),0)))))*COS(RADIANS($G54)))</f>
        <v>0</v>
      </c>
      <c r="CU54" s="51">
        <f ca="1">IF(F54&lt;OFFSET($BM$9,CL54-1,0,1,1),0,IF(F54&lt;OFFSET($BN$9,CL54-1,0,1,1),((F54-OFFSET($BM$9,CL54-1,0,1,1))*OFFSET($CI$9,CL54-1,0,1,1))+OFFSET($BP$9,CL54-1,CQ54,1,1),IF(F54&lt;OFFSET($BN$9,CL54+0,0,1,1),((F54-OFFSET($BM$9,CL54+0,0,1,1))*OFFSET($CI$9,CL54+0,0,1,1))+OFFSET($BP$9,CL54+0,CQ54,1,1),IF(F54&lt;OFFSET($BN$9,CL54+1,0,1,1),((F54-OFFSET($BM$9,CL54+1,0,1,1))*OFFSET($CI$9,CL54+1,0,1,1))+OFFSET($BP$9,CL54+1,CQ54,1,1),IF(F54&lt;OFFSET($BN$9,CL54+2,0,1,1),((F54-OFFSET($BM$9,CL54+2,0,1,1))*OFFSET($CI$9,CL54+2,0,1,1))+OFFSET($BP$9,CL54+2,CQ54,1,1),IF(F54&lt;OFFSET($BN$9,CL54+3,0,1,1),((F54-OFFSET($BM$9,CL54+3,0,1,1))*OFFSET($CI$9,CL54+3,0,1,1))+OFFSET($BP$9,CL54+3,CQ54,1,1),0))))))</f>
        <v>0</v>
      </c>
      <c r="CV54" s="51">
        <f ca="1">IF($F54&lt;OFFSET($BM$9,$CL54-1,0,1,1),0,IF($F54&lt;OFFSET($BN$9,$CL54-1,0,1,1),IF(AND($H54&gt;2.4,Z54&lt;&gt;"e",Z54&lt;&gt;"f"),CZ54*2.4/$H54,CZ54),IF($F54&lt;OFFSET($BN$9,$CL54+0,0,1,1),IF(AND($H54&gt;2.4,Z54&lt;&gt;"e",Z54&lt;&gt;"f"),CZ54*2.4/$H54,CZ54),IF($F54&lt;OFFSET($BN$9,$CL54+1,0,1,1),IF(AND($H54&gt;2.4,Z54&lt;&gt;"e",Z54&lt;&gt;"f"),CZ54*2.4/$H54,CZ54),IF($F54&lt;OFFSET($BN$9,$CL54+2,0,1,1),IF(AND($H54&gt;2.4,Z54&lt;&gt;"e",Z54&lt;&gt;"f"),CZ54*2.4/$H54,CZ54),IF($F54&lt;OFFSET($BN$9,$CL54+3,0,1,1),IF(AND($H54&gt;2.4,Z54&lt;&gt;"e",Z54&lt;&gt;"f"),CZ54*2.4/$H54,CZ54),0)))))*COS(RADIANS($G54)))</f>
        <v>0</v>
      </c>
      <c r="CW54" s="51">
        <f ca="1">IF(CT54&gt;CR54,CR54,CT54)</f>
        <v>0</v>
      </c>
      <c r="CX54" s="51">
        <f ca="1">IF(CS54&gt;$CR54,$CR54,CS54)</f>
        <v>0</v>
      </c>
      <c r="CY54" s="51">
        <f ca="1">CW54*F54</f>
        <v>0</v>
      </c>
      <c r="CZ54" s="51">
        <f ca="1">IF($CU54&gt;$CR54,$CR54,$CU54)</f>
        <v>0</v>
      </c>
      <c r="DA54" s="51">
        <f ca="1">IF(CV54&gt;CR54,CR54,CV54)</f>
        <v>0</v>
      </c>
      <c r="DB54" s="51">
        <f ca="1">DA54*F54</f>
        <v>0</v>
      </c>
      <c r="DC54" s="993">
        <v>1</v>
      </c>
      <c r="DD54" s="758" t="str">
        <f>IF(OR(D54=BG$12,D54=BG$13),"External",IF(D54=BG$14,"Internal"," "))</f>
        <v xml:space="preserve"> </v>
      </c>
      <c r="DE54" s="51" t="str">
        <f t="shared" ca="1" si="1"/>
        <v/>
      </c>
      <c r="DF54" s="52" t="str">
        <f t="shared" ca="1" si="2"/>
        <v xml:space="preserve"> </v>
      </c>
      <c r="DG54" s="51">
        <f ca="1">IF(F54&lt;OFFSET($BM$9,CN54-1,0,1,1),0,IF(F54&lt;OFFSET($BN$9,CN54-1,0,1,1),((F54-OFFSET($BM$9,CN54-1,0,1,1))*OFFSET($CH$9,CN54-1,0,1,1))+OFFSET($BO$9,CN54-1,CQ54,1,1),IF(F54&lt;OFFSET($BN$9,CN54+0,0,1,1),((F54-OFFSET($BM$9,CN54+0,0,1,1))*OFFSET($CH$9,CN54+0,0,1,1))+OFFSET($BO$9,CN54+0,CQ54,1,1),IF(F54&lt;OFFSET($BN$9,CN54+1,0,1,1),((F54-OFFSET($BM$9,CN54+1,0,1,1))*OFFSET($CH$9,CN54+1,0,1,1))+OFFSET($BO$9,CN54+1,CQ54,1,1),IF(F54&lt;OFFSET($BN$9,CN54+2,0,1,1),((F54-OFFSET($BM$9,CN54+2,0,1,1))*OFFSET($CH$9,CN54+2,0,1,1))+OFFSET($BO$9,CN54+2,CQ54,1,1),IF(F54&lt;OFFSET($BN$9,CN54+3,0,1,1),((F54-OFFSET($BM$9,CN54+3,0,1,1))*OFFSET($CH$9,CN54+3,0,1,1))+OFFSET($BO$9,CN54+3,CQ54,1,1),0))))))</f>
        <v>0</v>
      </c>
      <c r="DH54" s="51">
        <f ca="1">IF($F54&lt;OFFSET($BM$9,$CN54-1,0,1,1),0,IF($F54&lt;OFFSET($BN$9,$CN54-1,0,1,1),IF(AND($H54&gt;2.4,Z54&lt;&gt;"e",Z54&lt;&gt;"f"),DL54*2.4/$H54,DL54),IF($F54&lt;OFFSET($BN$9,$CN54+0,0,1,1),IF(AND($H54&gt;2.4,Z54&lt;&gt;"e",Z54&lt;&gt;"f"),DL54*2.4/$H54,DL54),IF($F54&lt;OFFSET($BN$9,$CN54+1,0,1,1),IF(AND($H54&gt;2.4,Z54&lt;&gt;"e",Z54&lt;&gt;"f"),DL54*2.4/$H54,DL54),IF($F54&lt;OFFSET($BN$9,$CN54+2,0,1,1),IF(AND($H54&gt;2.4,Z54&lt;&gt;"e",Z54&lt;&gt;"f"),DL54*2.4/$H54,DL54),IF($F54&lt;OFFSET($BN$9,$CN54+3,0,1,1),IF(AND($H54&gt;2.4,Z54&lt;&gt;"e",Z54&lt;&gt;"f"),DL54*2.4/$H54,DL54),0)))))*COS(RADIANS($G54)))</f>
        <v>0</v>
      </c>
      <c r="DI54" s="51">
        <f ca="1">IF(F54&lt;OFFSET($BM$9,CN54-1,0,1,1),0,IF(F54&lt;OFFSET($BN$9,CN54-1,0,1,1),((F54-OFFSET($BM$9,CN54-1,0,1,1))*OFFSET($CI$9,CN54-1,0,1,1))+OFFSET($BP$9,CN54-1,CQ54,1,1),IF(F54&lt;OFFSET($BN$9,CN54+0,0,1,1),((F54-OFFSET($BM$9,CN54+0,0,1,1))*OFFSET($CI$9,CN54+0,0,1,1))+OFFSET($BP$9,CN54+0,CQ54,1,1),IF(F54&lt;OFFSET($BN$9,CN54+1,0,1,1),((F54-OFFSET($BM$9,CN54+1,0,1,1))*OFFSET($CI$9,CN54+1,0,1,1))+OFFSET($BP$9,CN54+1,CQ54,1,1),IF(F54&lt;OFFSET($BN$9,CN54+2,0,1,1),((F54-OFFSET($BM$9,CN54+2,0,1,1))*OFFSET($CI$9,CN54+2,0,1,1))+OFFSET($BP$9,CN54+2,CQ54,1,1),IF(F54&lt;OFFSET($BN$9,CN54+3,0,1,1),((F54-OFFSET($BM$9,CN54+3,0,1,1))*OFFSET($CI$9,CN54+3,0,1,1))+OFFSET($BP$9,CN54+3,CQ54,1,1),0))))))</f>
        <v>0</v>
      </c>
      <c r="DJ54" s="51">
        <f ca="1">IF($F54&lt;OFFSET($BM$9,$CN54-1,0,1,1),0,IF($F54&lt;OFFSET($BN$9,$CN54-1,0,1,1),IF(AND($H54&gt;2.4,Z54&lt;&gt;"e",Z54&lt;&gt;"f"),DN54*2.4/$H54,DN54),IF($F54&lt;OFFSET($BN$9,$CN54+0,0,1,1),IF(AND($H54&gt;2.4,Z54&lt;&gt;"e",Z54&lt;&gt;"f"),DN54*2.4/$H54,DN54),IF($F54&lt;OFFSET($BN$9,$CN54+1,0,1,1),IF(AND($H54&gt;2.4,Z54&lt;&gt;"e",Z54&lt;&gt;"f"),DN54*2.4/$H54,DN54),IF($F54&lt;OFFSET($BN$9,$CN54+2,0,1,1),IF(AND($H54&gt;2.4,Z54&lt;&gt;"e",Z54&lt;&gt;"f"),DN54*2.4/$H54,DN54),IF($F54&lt;OFFSET($BN$9,$CN54+3,0,1,1),IF(AND($H54&gt;2.4,Z54&lt;&gt;"e",Z54&lt;&gt;"f"),DN54*2.4/$H54,DN54),0)))))*COS(RADIANS($G54)))</f>
        <v>0</v>
      </c>
      <c r="DK54" s="51"/>
      <c r="DL54" s="51">
        <f ca="1">IF(DG54&gt;$CR54,$CR54,DG54)</f>
        <v>0</v>
      </c>
      <c r="DM54" s="51"/>
      <c r="DN54" s="51">
        <f ca="1">IF(DI54&gt;$CR54,$CR54,DI54)</f>
        <v>0</v>
      </c>
      <c r="DO54" s="435">
        <f ca="1">IF(DH54&gt;$CR54,$CR54,DH54)</f>
        <v>0</v>
      </c>
      <c r="DP54" s="435">
        <f ca="1">DO54*F54</f>
        <v>0</v>
      </c>
      <c r="DQ54" s="436">
        <f ca="1">IF(DJ54&gt;$CR54,$CR54,DJ54)</f>
        <v>0</v>
      </c>
      <c r="DR54" s="437">
        <f ca="1">DQ54*F54</f>
        <v>0</v>
      </c>
      <c r="DS54" s="426">
        <f ca="1">OFFSET($CH$9,CL54-1,-15,1,1)</f>
        <v>0</v>
      </c>
      <c r="DT54" s="426">
        <f ca="1">VLOOKUP(DS54,Prodlink,2,0)</f>
        <v>0</v>
      </c>
      <c r="DU54" s="188">
        <f ca="1">IF(F54&lt;OFFSET($BM$9,DT54-1,0,1,1),0,IF(F54&lt;OFFSET($BN$9,DT54-1,0,1,1),((F54-OFFSET($BM$9,DT54-1,0,1,1))*OFFSET($CH$9,DT54-1,0,1,1))+OFFSET($BO$9,DT54-1,CQ54,1,1),IF(F54&lt;OFFSET($BN$9,DT54+0,0,1,1),((F54-OFFSET($BM$9,DT54+0,0,1,1))*OFFSET($CH$9,DT54+0,0,1,1))+OFFSET($BO$9,DT54+0,CQ54,1,1),IF(F54&lt;OFFSET($BN$9,DT54+1,0,1,1),((F54-OFFSET($BM$9,DT54+1,0,1,1))*OFFSET($CH$9,DT54+1,0,1,1))+OFFSET($BO$9,DT54+1,CQ54,1,1),IF(F54&lt;OFFSET($BN$9,DT54+2,0,1,1),((F54-OFFSET($BM$9,DT54+2,0,1,1))*OFFSET($CH$9,DT54+2,0,1,1))+OFFSET($BO$9,DT54+2,CQ54,1,1),IF(F54&lt;OFFSET($BN$9,DT54+3,0,1,1),((F54-OFFSET($BM$9,DT54+3,0,1,1))*OFFSET($CH$9,DT54+3,0,1,1))+OFFSET($BO$9,DT54+3,CQ54,1,1),0))))))</f>
        <v>0</v>
      </c>
      <c r="DV54" s="51">
        <f ca="1">IF($F54&lt;OFFSET($BM$9,$DT54-1,0,1,1),0,IF($F54&lt;OFFSET($BN$9,$DT54-1,0,1,1),IF(AND($H54&gt;2.4,Z54&lt;&gt;"e",Z54&lt;&gt;"f"),DZ54*2.4/$H54,DZ54),IF($F54&lt;OFFSET($BN$9,$DT54+0,0,1,1),IF(AND($H54&gt;2.4,Z54&lt;&gt;"e",Z54&lt;&gt;"f"),DZ54*2.4/$H54,DZ54),IF($F54&lt;OFFSET($BN$9,$DT54+1,0,1,1),IF(AND($H54&gt;2.4,Z54&lt;&gt;"e",Z54&lt;&gt;"f"),DZ54*2.4/$H54,DZ54),IF($F54&lt;OFFSET($BN$9,$DT54+2,0,1,1),IF(AND($H54&gt;2.4,Z54&lt;&gt;"e",Z54&lt;&gt;"f"),DZ54*2.4/$H54,DZ54),IF($F54&lt;OFFSET($BN$9,$DT54+3,0,1,1),IF(AND($H54&gt;2.4,Z54&lt;&gt;"e",Z54&lt;&gt;"f"),DZ54*2.4/$H54,DZ54),0)))))*COS(RADIANS($G54)))</f>
        <v>0</v>
      </c>
      <c r="DW54" s="188">
        <f ca="1">IF(F54&lt;OFFSET($BM$9,DT54-1,0,1,1),0,IF(F54&lt;OFFSET($BN$9,DT54-1,0,1,1),((F54-OFFSET($BM$9,DT54-1,0,1,1))*OFFSET($CI$9,DT54-1,0,1,1))+OFFSET($BP$9,DT54-1,CQ54,1,1),IF(F54&lt;OFFSET($BN$9,DT54+0,0,1,1),((F54-OFFSET($BM$9,DT54+0,0,1,1))*OFFSET($CI$9,DT54+0,0,1,1))+OFFSET($BP$9,DT54+0,CQ54,1,1),IF(F54&lt;OFFSET($BN$9,DT54+1,0,1,1),((F54-OFFSET($BM$9,DT54+1,0,1,1))*OFFSET($CI$9,DT54+1,0,1,1))+OFFSET($BP$9,DT54+1,CQ54,1,1),IF(F54&lt;OFFSET($BN$9,DT54+2,0,1,1),((F54-OFFSET($BM$9,DT54+2,0,1,1))*OFFSET($CI$9,DT54+2,0,1,1))+OFFSET($BP$9,DT54+2,CQ54,1,1),IF(F54&lt;OFFSET($BN$9,DT54+3,0,1,1),((F54-OFFSET($BM$9,DT54+3,0,1,1))*OFFSET($CI$9,DT54+3,0,1,1))+OFFSET($BP$9,DT54+3,CQ54,1,1),0))))))</f>
        <v>0</v>
      </c>
      <c r="DX54" s="51">
        <f ca="1">IF($F54&lt;OFFSET($BM$9,$DT54-1,0,1,1),0,IF($F54&lt;OFFSET($BN$9,$DT54-1,0,1,1),IF(AND($H54&gt;2.4,Z54&lt;&gt;"e",Z54&lt;&gt;"f"),EB54*2.4/$H54,EB54),IF($F54&lt;OFFSET($BN$9,$DT54+0,0,1,1),IF(AND($H54&gt;2.4,Z54&lt;&gt;"e",Z54&lt;&gt;"f"),EB54*2.4/$H54,EB54),IF($F54&lt;OFFSET($BN$9,$DT54+1,0,1,1),IF(AND($H54&gt;2.4,Z54&lt;&gt;"e",Z54&lt;&gt;"f"),EB54*2.4/$H54,EB54),IF($F54&lt;OFFSET($BN$9,$DT54+2,0,1,1),IF(AND($H54&gt;2.4,Z54&lt;&gt;"e",Z54&lt;&gt;"f"),EB54*2.4/$H54,EB54),IF($F54&lt;OFFSET($BN$9,$DT54+3,0,1,1),IF(AND($H54&gt;2.4,Z54&lt;&gt;"e",Z54&lt;&gt;"f"),EB54*2.4/$H54,EB54),0)))))*COS(RADIANS($G54)))</f>
        <v>0</v>
      </c>
      <c r="DY54" s="188"/>
      <c r="DZ54" s="188">
        <f ca="1">IF(DU54&gt;$CR54,$CR54,DU54)</f>
        <v>0</v>
      </c>
      <c r="EA54" s="188"/>
      <c r="EB54" s="188">
        <f ca="1">IF(DW54&gt;$CR54,$CR54,DW54)</f>
        <v>0</v>
      </c>
      <c r="EC54" s="435">
        <f ca="1">IF(DV54&gt;$CR54,$CR54,DV54)</f>
        <v>0</v>
      </c>
      <c r="ED54" s="435">
        <f ca="1">EC54*F54</f>
        <v>0</v>
      </c>
      <c r="EE54" s="436">
        <f ca="1">IF(DX54&gt;$CR54,$CR54,DX54)</f>
        <v>0</v>
      </c>
      <c r="EF54" s="437">
        <f ca="1">EE54*F54</f>
        <v>0</v>
      </c>
      <c r="EG54" s="613" t="str">
        <f>IF(D54=BG$12,BG$12,"")</f>
        <v/>
      </c>
      <c r="EH54" s="614" t="str">
        <f>IF(D54=BG$13,BG$13,"")</f>
        <v/>
      </c>
      <c r="EI54" s="611">
        <f>IF(EG54=BG$12,M54,0)</f>
        <v>0</v>
      </c>
      <c r="EJ54" s="451">
        <f>IF(EG54=BG$12,O54,0)</f>
        <v>0</v>
      </c>
      <c r="EK54" s="451">
        <f>IF(EH54=BG$13,M54,0)</f>
        <v>0</v>
      </c>
      <c r="EL54" s="612">
        <f>IF(EH54=BG$13,O54,0)</f>
        <v>0</v>
      </c>
      <c r="EM54" s="426" t="str">
        <f ca="1">IF(AND(Z54&lt;&gt;"t",Z54&lt;&gt;"f"),"",IF(AND(EN54=$BH$13,K54=$BH$12),"NotOpt",IF(K54&lt;&gt;EN54,"Error","")))</f>
        <v/>
      </c>
      <c r="EN54" s="490" t="str">
        <f>IF($BG$28=1,$BH$13,$BH$12)</f>
        <v>120 BU's</v>
      </c>
      <c r="EO54" s="426" t="str">
        <f>K54</f>
        <v xml:space="preserve"> </v>
      </c>
      <c r="EP54" s="430">
        <v>1</v>
      </c>
      <c r="EQ54" s="430" t="str">
        <f ca="1">IF(EP54=1," ",OFFSET(BF$16,EP54-2,0,1,1))</f>
        <v xml:space="preserve"> </v>
      </c>
      <c r="ER54" s="439" t="str">
        <f ca="1">IF(H54=0," ",H54)</f>
        <v xml:space="preserve"> </v>
      </c>
      <c r="ES54" s="440" t="str">
        <f ca="1">IF(ER54&lt;&gt;" ",IF(ER54&lt;&gt;ER$7,"Changed",""),"")</f>
        <v/>
      </c>
      <c r="ET54" s="440">
        <f ca="1">IF(ER54&lt;&gt;" ",IF(ER54&lt;&gt;ER$7,1,0),0)</f>
        <v>0</v>
      </c>
      <c r="EU54" s="957" t="str">
        <f ca="1">IF(I54=" "," ",IF(F54&lt;OFFSET($BM$9,CL54-1,0,1,1),1,""))</f>
        <v xml:space="preserve"> </v>
      </c>
      <c r="EW54" s="427"/>
      <c r="EX54"/>
      <c r="EY54"/>
      <c r="EZ54"/>
      <c r="FA54"/>
    </row>
    <row r="55" spans="1:157" ht="17.100000000000001" customHeight="1" thickBot="1">
      <c r="A55" s="2685"/>
      <c r="B55" s="2686" t="s">
        <v>8</v>
      </c>
      <c r="C55" s="2687"/>
      <c r="D55" s="1461" t="s">
        <v>8</v>
      </c>
      <c r="E55" s="659"/>
      <c r="F55" s="659"/>
      <c r="G55" s="659"/>
      <c r="H55" s="659"/>
      <c r="I55" s="1462"/>
      <c r="J55" s="1365" t="str">
        <f ca="1">(CONCATENATE(B50,$BE$54))</f>
        <v>T  Line:  Min. Requirement</v>
      </c>
      <c r="K55" s="23"/>
      <c r="L55" s="1019">
        <f ca="1">L$5</f>
        <v>0</v>
      </c>
      <c r="M55" s="48">
        <f ca="1">IF(B50=B44,SUM(M50:M54)+M49,SUM(M50:M54))</f>
        <v>0</v>
      </c>
      <c r="N55" s="1019">
        <f ca="1">N$5</f>
        <v>0</v>
      </c>
      <c r="O55" s="125">
        <f ca="1">IF(B50=B44,SUM(O50:O54)+O49,SUM(O50:O54))</f>
        <v>0</v>
      </c>
      <c r="P55" s="139"/>
      <c r="Q55" s="42" t="str">
        <f ca="1">IF(B50=B56,"",IF(AND(M55&gt;0,L55=L$5,OR(M55&lt;$M$105,M55&lt;$BF$3)),"Achieved &lt; Min Req per Line",IF(AND(O55&gt;0,N55=N$5,OR(O55&lt;$O$105,O55&lt;$BF$3)),"Achieved &lt; Min Req per Line",IF(AND(M55&gt;0,L55&gt;M55),"More Required on this line",IF(AND(O55&gt;0,N55&gt;O55),"More Required on this line",IF(AND(L55&gt;0,L55&lt;$BF$3),$BE$59,IF(AND(N55&gt;0,N55&lt;$BF$3),$BE$59,"")))))))</f>
        <v/>
      </c>
      <c r="R55" s="52"/>
      <c r="S55" s="52"/>
      <c r="T55" s="52"/>
      <c r="U55" s="1378"/>
      <c r="V55" s="52"/>
      <c r="W55" s="898"/>
      <c r="X55" s="898"/>
      <c r="Y55" s="896"/>
      <c r="Z55" s="52"/>
      <c r="AA55" s="51"/>
      <c r="AB55" s="1364"/>
      <c r="AK55" s="63" t="str">
        <f>'Custom Elements'!B16</f>
        <v xml:space="preserve">  </v>
      </c>
      <c r="AL55" s="860" t="str">
        <f>'Custom Elements'!C16</f>
        <v>Custom8</v>
      </c>
      <c r="AM55" s="11">
        <f>'Custom Elements'!D16</f>
        <v>9.9999999999999996E-76</v>
      </c>
      <c r="AN55" s="7">
        <f>'Custom Elements'!E16</f>
        <v>0</v>
      </c>
      <c r="AO55" s="7">
        <f>'Custom Elements'!F16</f>
        <v>0</v>
      </c>
      <c r="AP55" s="762" t="str">
        <f>'Custom Elements'!G16</f>
        <v>B</v>
      </c>
      <c r="AQ55" s="1777" t="str">
        <f>'Custom Elements'!H16</f>
        <v>Single</v>
      </c>
      <c r="AR55" s="1775" t="str">
        <f>'Custom Elements'!I16</f>
        <v>Yes</v>
      </c>
      <c r="AS55" s="442" t="str">
        <f>'Custom Elements'!J16</f>
        <v>Yes</v>
      </c>
      <c r="AT55" s="1150"/>
      <c r="AU55" s="1150"/>
      <c r="AZ55" s="442" t="str">
        <f>IF(AND('Custom Elements'!J16="Yes",'Custom Elements'!I16="Yes"),"T",IF('Custom Elements'!J16="Yes","F",IF('Custom Elements'!I16="Yes","H","E")))</f>
        <v>T</v>
      </c>
      <c r="BA55"/>
      <c r="BB55"/>
      <c r="BC55"/>
      <c r="BD55" s="638"/>
      <c r="BE55" s="1020"/>
      <c r="BF55" s="1020"/>
      <c r="BG55" s="1020"/>
      <c r="BH55" s="479"/>
      <c r="BI55" s="759"/>
      <c r="BJ55" s="897">
        <f t="shared" si="25"/>
        <v>47</v>
      </c>
      <c r="BK55" s="1213"/>
      <c r="BL55" s="1214"/>
      <c r="BM55" s="1215"/>
      <c r="BN55" s="1215"/>
      <c r="BO55" s="1215"/>
      <c r="BP55" s="1215"/>
      <c r="BQ55" s="1216"/>
      <c r="BR55" s="1215"/>
      <c r="BS55" s="1215"/>
      <c r="BT55" s="1215"/>
      <c r="BU55" s="1215"/>
      <c r="BV55" s="1216"/>
      <c r="BW55" s="1217"/>
      <c r="BX55" s="1215"/>
      <c r="BY55" s="1216"/>
      <c r="BZ55" s="1216"/>
      <c r="CA55" s="1216"/>
      <c r="CB55" s="1216"/>
      <c r="CC55" s="1216"/>
      <c r="CD55" s="1216"/>
      <c r="CE55" s="1216"/>
      <c r="CF55" s="1216"/>
      <c r="CG55" s="1216"/>
      <c r="CH55" s="1215"/>
      <c r="CI55" s="1218"/>
      <c r="CJ55" s="759"/>
      <c r="CK55" s="188"/>
      <c r="CL55" s="979"/>
      <c r="CN55" s="497"/>
      <c r="CO55" s="497"/>
      <c r="CQ55" s="51"/>
      <c r="CR55" s="51" t="s">
        <v>8</v>
      </c>
      <c r="CS55" s="51"/>
      <c r="CT55" s="51" t="s">
        <v>8</v>
      </c>
      <c r="CU55" s="51"/>
      <c r="CV55" s="51" t="s">
        <v>8</v>
      </c>
      <c r="CW55" s="51"/>
      <c r="CX55" s="51"/>
      <c r="CY55" s="51"/>
      <c r="CZ55" s="51"/>
      <c r="DD55" s="758"/>
      <c r="DF55" s="52"/>
      <c r="DG55" s="51"/>
      <c r="DH55" s="51"/>
      <c r="DI55" s="51"/>
      <c r="DJ55" s="51"/>
      <c r="DK55" s="51"/>
      <c r="DL55" s="51"/>
      <c r="DM55" s="51"/>
      <c r="DN55" s="51"/>
      <c r="DO55" s="435"/>
      <c r="DP55" s="435"/>
      <c r="DQ55" s="868"/>
      <c r="DR55" s="868"/>
      <c r="DU55" s="188"/>
      <c r="DV55" s="188" t="s">
        <v>8</v>
      </c>
      <c r="DW55" s="188"/>
      <c r="DX55" s="188" t="s">
        <v>8</v>
      </c>
      <c r="DY55" s="188"/>
      <c r="DZ55" s="188"/>
      <c r="EA55" s="188"/>
      <c r="EB55" s="188"/>
      <c r="EC55" s="435"/>
      <c r="ED55" s="435"/>
      <c r="EE55" s="868"/>
      <c r="EF55" s="868"/>
      <c r="EG55" s="613"/>
      <c r="EH55" s="435"/>
      <c r="EI55" s="613"/>
      <c r="EJ55" s="435"/>
      <c r="EK55" s="451"/>
      <c r="EL55" s="612"/>
      <c r="EN55" s="947"/>
      <c r="ER55" s="441"/>
      <c r="ES55" s="440"/>
      <c r="ET55" s="440"/>
      <c r="EU55" s="957"/>
      <c r="EW55" s="427"/>
      <c r="EX55"/>
      <c r="EY55"/>
      <c r="EZ55"/>
      <c r="FA55"/>
    </row>
    <row r="56" spans="1:157" ht="17.100000000000001" customHeight="1" thickBot="1">
      <c r="A56" s="2685"/>
      <c r="B56" s="1369" t="str">
        <f ca="1">S56</f>
        <v>U</v>
      </c>
      <c r="C56" s="684" t="str">
        <f>IF(OR(F56=0,I56="",I56=" ")," ",$V56)</f>
        <v xml:space="preserve"> </v>
      </c>
      <c r="D56" s="1033"/>
      <c r="E56" s="1360" t="s">
        <v>8</v>
      </c>
      <c r="F56" s="202"/>
      <c r="G56" s="1416"/>
      <c r="H56" s="199" t="str">
        <f ca="1">IF(OR(F56=0,Z56="E",Z56="f")," ",'Project Demand'!E$45)</f>
        <v xml:space="preserve"> </v>
      </c>
      <c r="I56" s="631" t="str">
        <f>IF($I$6&lt;&gt;$BG$8," ",AB56)</f>
        <v xml:space="preserve"> </v>
      </c>
      <c r="J56" s="43" t="str">
        <f ca="1">IF(OR(I56=" ",I56="")," ",OFFSET($BO$9,CL56-1,0-4,1,1))</f>
        <v xml:space="preserve"> </v>
      </c>
      <c r="K56" s="55" t="str">
        <f>IF(OR(I56=" ",I56="")," ",IF(OR(Z56="e",Z56="h"),"SD",BG$24))</f>
        <v xml:space="preserve"> </v>
      </c>
      <c r="L56" s="49">
        <f ca="1">CW56</f>
        <v>0</v>
      </c>
      <c r="M56" s="49">
        <f ca="1">CY56</f>
        <v>0</v>
      </c>
      <c r="N56" s="50">
        <f t="shared" ref="N56:O60" ca="1" si="29">DA56</f>
        <v>0</v>
      </c>
      <c r="O56" s="126">
        <f t="shared" ca="1" si="29"/>
        <v>0</v>
      </c>
      <c r="P56" s="140"/>
      <c r="Q56" s="752" t="str">
        <f ca="1">IF(AND(OR(Z56="t",Z56="f"),K56=$BH$11),"No Floor!  Change Floor Type",IF(OR(I56=" ",I56="")," ",IF(F56&lt;OFFSET($BM$9,CL56-1,0,1,1),"check L(m)",DE56&amp;IF(AND(DP56&gt;=CY56,DR56&gt;=DB56),IF(AND(ED56&gt;=DP56,EF56&gt;=DR56),CONCATENATE(DS56," will provide same result"),CONCATENATE(CO56," will provide same result")),IF((DP56&gt;=CY56),CONCATENATE(CO56," provides same result in WIND"),IF((DR56&gt;=DB56),CONCATENATE(CO56," provides same result in EQ"),""))))))&amp;IF(ISERROR(FIND("pile",I56,1)),"",IF(INT(F56)&lt;&gt;F56,"Pile!  Use Whole Numbers Only",""))</f>
        <v xml:space="preserve"> </v>
      </c>
      <c r="R56" s="52">
        <f ca="1">IF(T50&lt;&gt;2,(COLUMN(INDIRECT(B50&amp;1))+1),U56)</f>
        <v>21</v>
      </c>
      <c r="S56" s="1372" t="str">
        <f ca="1">SUBSTITUTE(ADDRESS(1,R56,4),"1","")</f>
        <v>U</v>
      </c>
      <c r="T56" s="451">
        <f ca="1">IF(AND(ISTEXT(B56),SUBSTITUTE(SUBSTITUTE(SUBSTITUTE(SUBSTITUTE(SUBSTITUTE(SUBSTITUTE(SUBSTITUTE(SUBSTITUTE(SUBSTITUTE(SUBSTITUTE(SUBSTITUTE(SUBSTITUTE(SUBSTITUTE(SUBSTITUTE(SUBSTITUTE(SUBSTITUTE(SUBSTITUTE(SUBSTITUTE(SUBSTITUTE(SUBSTITUTE(SUBSTITUTE(SUBSTITUTE(SUBSTITUTE(SUBSTITUTE(SUBSTITUTE(SUBSTITUTE(LOWER(B56),"a",),"b",),"c",),"d",),"e",),"f",),"g",),"h",),"i",),"j",),"k",),"l",),"m",),"n",),"o",),"p",),"q",),"r",),"s",),"t",),"u",),"v",),"w",),"x",),"y",),"z",)=""),1,2)</f>
        <v>1</v>
      </c>
      <c r="U56" s="1377">
        <v>21</v>
      </c>
      <c r="V56" s="52" t="str">
        <f ca="1">IF(AND(B$5=$BF$9,OR(I56=BH$16,I56=BH$17))," ",IF(ISNUMBER(B$56),(CONCATENATE(B$56,".",W56)),(CONCATENATE(B$56,W56))))</f>
        <v>U0</v>
      </c>
      <c r="W56" s="9">
        <f ca="1">IF(B50=B56,W54+X56,X56)</f>
        <v>0</v>
      </c>
      <c r="X56" s="9">
        <f>IF(AND(B$5=$BF$9,OR($I56=$BH$16,$I56=$BH$17,$I56=" ",$I56="",$F56=0)),0,IF(OR($I56=" ",$I56="",$F56=0),0,1))</f>
        <v>0</v>
      </c>
      <c r="Y56" s="896">
        <f ca="1">IF(AND(M61&gt;0,B56&lt;&gt;B62),1,0)</f>
        <v>0</v>
      </c>
      <c r="Z56" s="52" t="str">
        <f ca="1">IF(I56=" "," ",OFFSET($BM$9,$CL56-1,8,1,1))</f>
        <v xml:space="preserve"> </v>
      </c>
      <c r="AA56" s="51" t="str">
        <f>IF(G56&gt;=45,"WA","")</f>
        <v/>
      </c>
      <c r="AB56" s="1364" t="str">
        <f>IF(F56&lt;&gt;"",IF(OR(D56=$BG$12,D56=$BG$13),IF(E56&lt;&gt;$BG$17,$BF$12,$BF$13),IF(E56&lt;&gt;$BG$17,$BF$12,$BF$13))," ")</f>
        <v xml:space="preserve"> </v>
      </c>
      <c r="AC56" s="1"/>
      <c r="AK56" s="63" t="str">
        <f>'Custom Elements'!B17</f>
        <v xml:space="preserve">  </v>
      </c>
      <c r="AL56" s="860" t="str">
        <f>'Custom Elements'!C17</f>
        <v>Custom9</v>
      </c>
      <c r="AM56" s="11">
        <f>'Custom Elements'!D17</f>
        <v>9.9999999999999996E-76</v>
      </c>
      <c r="AN56" s="7">
        <f>'Custom Elements'!E17</f>
        <v>0</v>
      </c>
      <c r="AO56" s="7">
        <f>'Custom Elements'!F17</f>
        <v>0</v>
      </c>
      <c r="AP56" s="762" t="str">
        <f>'Custom Elements'!G17</f>
        <v>B</v>
      </c>
      <c r="AQ56" s="1777" t="str">
        <f>'Custom Elements'!H17</f>
        <v>Single</v>
      </c>
      <c r="AR56" s="1775" t="str">
        <f>'Custom Elements'!I17</f>
        <v>Yes</v>
      </c>
      <c r="AS56" s="442" t="str">
        <f>'Custom Elements'!J17</f>
        <v>Yes</v>
      </c>
      <c r="AT56" s="1150"/>
      <c r="AU56" s="1150"/>
      <c r="AZ56" s="442" t="str">
        <f>IF(AND('Custom Elements'!J17="Yes",'Custom Elements'!I17="Yes"),"T",IF('Custom Elements'!J17="Yes","F",IF('Custom Elements'!I17="Yes","H","E")))</f>
        <v>T</v>
      </c>
      <c r="BA56"/>
      <c r="BB56"/>
      <c r="BC56"/>
      <c r="BD56" s="638"/>
      <c r="BE56" s="1020"/>
      <c r="BF56" s="1020"/>
      <c r="BG56" s="1020"/>
      <c r="BH56" s="479"/>
      <c r="BI56" s="759"/>
      <c r="BJ56" s="897">
        <f t="shared" si="25"/>
        <v>48</v>
      </c>
      <c r="BK56" s="768" t="str">
        <f>BK50</f>
        <v xml:space="preserve">EPB </v>
      </c>
      <c r="BL56" s="765" t="str">
        <f>Table!C10</f>
        <v>ESSN</v>
      </c>
      <c r="BM56" s="454">
        <f>Table!D10</f>
        <v>0.4</v>
      </c>
      <c r="BN56" s="454">
        <f>BM57</f>
        <v>0.6</v>
      </c>
      <c r="BO56" s="454">
        <f>Table!E10</f>
        <v>79</v>
      </c>
      <c r="BP56" s="924">
        <f>Table!F10</f>
        <v>74</v>
      </c>
      <c r="BQ56" s="920"/>
      <c r="BR56" s="768" t="str">
        <f>Table!G10</f>
        <v>ES-N</v>
      </c>
      <c r="BS56" s="454" t="str">
        <f>Table!G11</f>
        <v>ES-N</v>
      </c>
      <c r="BT56" s="454" t="str">
        <f>Table!H10</f>
        <v>I</v>
      </c>
      <c r="BU56" s="924" t="s">
        <v>242</v>
      </c>
      <c r="BV56" s="1230" t="str">
        <f>Table!AI78</f>
        <v>ESSN</v>
      </c>
      <c r="BW56" s="1229">
        <f>BJ56</f>
        <v>48</v>
      </c>
      <c r="BX56" s="924" t="str">
        <f>Table!H11</f>
        <v>Double</v>
      </c>
      <c r="CH56" s="768">
        <f>IF(BN56=999,0,(BO57-BO56)/(BN56-BM56))</f>
        <v>55.000000000000014</v>
      </c>
      <c r="CI56" s="924">
        <f>IF(BN56=999,0,(BP57-BP56)/(BN56-BM56))</f>
        <v>45.000000000000007</v>
      </c>
      <c r="CJ56" s="759"/>
      <c r="CK56" s="188"/>
      <c r="CL56" s="979">
        <f>VLOOKUP(I56,Prodlink,2,0)</f>
        <v>0</v>
      </c>
      <c r="CN56" s="497">
        <f ca="1">VLOOKUP(CO56,Prodlink,2,0)</f>
        <v>0</v>
      </c>
      <c r="CO56" s="497">
        <f ca="1">OFFSET($CH$9,CL56-1,-15,1,1)</f>
        <v>0</v>
      </c>
      <c r="CQ56" s="51">
        <v>0</v>
      </c>
      <c r="CR56" s="51">
        <f>IF(K56=$BH$12,$BH$23,IF(K56=$BH$13,$BH$24,10000))</f>
        <v>10000</v>
      </c>
      <c r="CS56" s="51">
        <f ca="1">IF(F56&lt;OFFSET($BM$9,CL56-1,0,1,1),0,IF(F56&lt;OFFSET($BN$9,CL56-1,0,1,1),((F56-OFFSET($BM$9,CL56-1,0,1,1))*OFFSET($CH$9,CL56-1,0,1,1))+OFFSET($BO$9,CL56-1,CQ56,1,1),IF(F56&lt;OFFSET($BN$9,CL56+0,0,1,1),((F56-OFFSET($BM$9,CL56+0,0,1,1))*OFFSET($CH$9,CL56+0,0,1,1))+OFFSET($BO$9,CL56+0,CQ56,1,1),IF(F56&lt;OFFSET($BN$9,CL56+1,0,1,1),((F56-OFFSET($BM$9,CL56+1,0,1,1))*OFFSET($CH$9,CL56+1,0,1,1))+OFFSET($BO$9,CL56+1,CQ56,1,1),IF(F56&lt;OFFSET($BN$9,CL56+2,0,1,1),((F56-OFFSET($BM$9,CL56+2,0,1,1))*OFFSET($CH$9,CL56+2,0,1,1))+OFFSET($BO$9,CL56+2,CQ56,1,1),IF(F56&lt;OFFSET($BN$9,CL56+3,0,1,1),((F56-OFFSET($BM$9,CL56+3,0,1,1))*OFFSET($CH$9,CL56+3,0,1,1))+OFFSET($BO$9,CL56+3,CQ56,1,1),0))))))</f>
        <v>0</v>
      </c>
      <c r="CT56" s="51">
        <f ca="1">IF($F56&lt;OFFSET($BM$9,$CL56-1,0,1,1),0,IF($F56&lt;OFFSET($BN$9,$CL56-1,0,1,1),IF(AND($H56&gt;2.4,Z56&lt;&gt;"e",Z56&lt;&gt;"f"),CX56*2.4/$H56,CX56),IF($F56&lt;OFFSET($BN$9,$CL56+0,0,1,1),IF(AND($H56&gt;2.4,Z56&lt;&gt;"e",Z56&lt;&gt;"f"),CX56*2.4/$H56,CX56),IF($F56&lt;OFFSET($BN$9,$CL56+1,0,1,1),IF(AND($H56&gt;2.4,Z56&lt;&gt;"e",Z56&lt;&gt;"f"),CX56*2.4/$H56,CX56),IF($F56&lt;OFFSET($BN$9,CL56+2,0,1,1),IF(AND($H56&gt;2.4,Z56&lt;&gt;"e",Z56&lt;&gt;"f"),CX56*2.4/$H56,CX56),IF($F56&lt;OFFSET($BN$9,CL56+3,0,1,1),IF(AND($H56&gt;2.4,Z56&lt;&gt;"e",Z56&lt;&gt;"f"),CX56*2.4/$H56,CX56),0)))))*COS(RADIANS($G56)))</f>
        <v>0</v>
      </c>
      <c r="CU56" s="51">
        <f ca="1">IF(F56&lt;OFFSET($BM$9,CL56-1,0,1,1),0,IF(F56&lt;OFFSET($BN$9,CL56-1,0,1,1),((F56-OFFSET($BM$9,CL56-1,0,1,1))*OFFSET($CI$9,CL56-1,0,1,1))+OFFSET($BP$9,CL56-1,CQ56,1,1),IF(F56&lt;OFFSET($BN$9,CL56+0,0,1,1),((F56-OFFSET($BM$9,CL56+0,0,1,1))*OFFSET($CI$9,CL56+0,0,1,1))+OFFSET($BP$9,CL56+0,CQ56,1,1),IF(F56&lt;OFFSET($BN$9,CL56+1,0,1,1),((F56-OFFSET($BM$9,CL56+1,0,1,1))*OFFSET($CI$9,CL56+1,0,1,1))+OFFSET($BP$9,CL56+1,CQ56,1,1),IF(F56&lt;OFFSET($BN$9,CL56+2,0,1,1),((F56-OFFSET($BM$9,CL56+2,0,1,1))*OFFSET($CI$9,CL56+2,0,1,1))+OFFSET($BP$9,CL56+2,CQ56,1,1),IF(F56&lt;OFFSET($BN$9,CL56+3,0,1,1),((F56-OFFSET($BM$9,CL56+3,0,1,1))*OFFSET($CI$9,CL56+3,0,1,1))+OFFSET($BP$9,CL56+3,CQ56,1,1),0))))))</f>
        <v>0</v>
      </c>
      <c r="CV56" s="51">
        <f ca="1">IF($F56&lt;OFFSET($BM$9,$CL56-1,0,1,1),0,IF($F56&lt;OFFSET($BN$9,$CL56-1,0,1,1),IF(AND($H56&gt;2.4,Z56&lt;&gt;"e",Z56&lt;&gt;"f"),CZ56*2.4/$H56,CZ56),IF($F56&lt;OFFSET($BN$9,$CL56+0,0,1,1),IF(AND($H56&gt;2.4,Z56&lt;&gt;"e",Z56&lt;&gt;"f"),CZ56*2.4/$H56,CZ56),IF($F56&lt;OFFSET($BN$9,$CL56+1,0,1,1),IF(AND($H56&gt;2.4,Z56&lt;&gt;"e",Z56&lt;&gt;"f"),CZ56*2.4/$H56,CZ56),IF($F56&lt;OFFSET($BN$9,$CL56+2,0,1,1),IF(AND($H56&gt;2.4,Z56&lt;&gt;"e",Z56&lt;&gt;"f"),CZ56*2.4/$H56,CZ56),IF($F56&lt;OFFSET($BN$9,$CL56+3,0,1,1),IF(AND($H56&gt;2.4,Z56&lt;&gt;"e",Z56&lt;&gt;"f"),CZ56*2.4/$H56,CZ56),0)))))*COS(RADIANS($G56)))</f>
        <v>0</v>
      </c>
      <c r="CW56" s="51">
        <f ca="1">IF(CT56&gt;CR56,CR56,CT56)</f>
        <v>0</v>
      </c>
      <c r="CX56" s="51">
        <f ca="1">IF(CS56&gt;$CR56,$CR56,CS56)</f>
        <v>0</v>
      </c>
      <c r="CY56" s="51">
        <f ca="1">CW56*F56</f>
        <v>0</v>
      </c>
      <c r="CZ56" s="51">
        <f ca="1">IF($CU56&gt;$CR56,$CR56,$CU56)</f>
        <v>0</v>
      </c>
      <c r="DA56" s="51">
        <f ca="1">IF(CV56&gt;CR56,CR56,CV56)</f>
        <v>0</v>
      </c>
      <c r="DB56" s="51">
        <f ca="1">DA56*F56</f>
        <v>0</v>
      </c>
      <c r="DC56" s="993">
        <v>1</v>
      </c>
      <c r="DD56" s="758" t="str">
        <f>IF(OR(D56=BG$12,D56=BG$13),"External",IF(D56=BG$14,"Internal"," "))</f>
        <v xml:space="preserve"> </v>
      </c>
      <c r="DE56" s="51" t="str">
        <f t="shared" ca="1" si="1"/>
        <v/>
      </c>
      <c r="DF56" s="52" t="str">
        <f t="shared" ca="1" si="2"/>
        <v xml:space="preserve"> </v>
      </c>
      <c r="DG56" s="51">
        <f ca="1">IF(F56&lt;OFFSET($BM$9,CN56-1,0,1,1),0,IF(F56&lt;OFFSET($BN$9,CN56-1,0,1,1),((F56-OFFSET($BM$9,CN56-1,0,1,1))*OFFSET($CH$9,CN56-1,0,1,1))+OFFSET($BO$9,CN56-1,CQ56,1,1),IF(F56&lt;OFFSET($BN$9,CN56+0,0,1,1),((F56-OFFSET($BM$9,CN56+0,0,1,1))*OFFSET($CH$9,CN56+0,0,1,1))+OFFSET($BO$9,CN56+0,CQ56,1,1),IF(F56&lt;OFFSET($BN$9,CN56+1,0,1,1),((F56-OFFSET($BM$9,CN56+1,0,1,1))*OFFSET($CH$9,CN56+1,0,1,1))+OFFSET($BO$9,CN56+1,CQ56,1,1),IF(F56&lt;OFFSET($BN$9,CN56+2,0,1,1),((F56-OFFSET($BM$9,CN56+2,0,1,1))*OFFSET($CH$9,CN56+2,0,1,1))+OFFSET($BO$9,CN56+2,CQ56,1,1),IF(F56&lt;OFFSET($BN$9,CN56+3,0,1,1),((F56-OFFSET($BM$9,CN56+3,0,1,1))*OFFSET($CH$9,CN56+3,0,1,1))+OFFSET($BO$9,CN56+3,CQ56,1,1),0))))))</f>
        <v>0</v>
      </c>
      <c r="DH56" s="51">
        <f ca="1">IF($F56&lt;OFFSET($BM$9,$CN56-1,0,1,1),0,IF($F56&lt;OFFSET($BN$9,$CN56-1,0,1,1),IF(AND($H56&gt;2.4,Z56&lt;&gt;"e",Z56&lt;&gt;"f"),DL56*2.4/$H56,DL56),IF($F56&lt;OFFSET($BN$9,$CN56+0,0,1,1),IF(AND($H56&gt;2.4,Z56&lt;&gt;"e",Z56&lt;&gt;"f"),DL56*2.4/$H56,DL56),IF($F56&lt;OFFSET($BN$9,$CN56+1,0,1,1),IF(AND($H56&gt;2.4,Z56&lt;&gt;"e",Z56&lt;&gt;"f"),DL56*2.4/$H56,DL56),IF($F56&lt;OFFSET($BN$9,$CN56+2,0,1,1),IF(AND($H56&gt;2.4,Z56&lt;&gt;"e",Z56&lt;&gt;"f"),DL56*2.4/$H56,DL56),IF($F56&lt;OFFSET($BN$9,$CN56+3,0,1,1),IF(AND($H56&gt;2.4,Z56&lt;&gt;"e",Z56&lt;&gt;"f"),DL56*2.4/$H56,DL56),0)))))*COS(RADIANS($G56)))</f>
        <v>0</v>
      </c>
      <c r="DI56" s="51">
        <f ca="1">IF(F56&lt;OFFSET($BM$9,CN56-1,0,1,1),0,IF(F56&lt;OFFSET($BN$9,CN56-1,0,1,1),((F56-OFFSET($BM$9,CN56-1,0,1,1))*OFFSET($CI$9,CN56-1,0,1,1))+OFFSET($BP$9,CN56-1,CQ56,1,1),IF(F56&lt;OFFSET($BN$9,CN56+0,0,1,1),((F56-OFFSET($BM$9,CN56+0,0,1,1))*OFFSET($CI$9,CN56+0,0,1,1))+OFFSET($BP$9,CN56+0,CQ56,1,1),IF(F56&lt;OFFSET($BN$9,CN56+1,0,1,1),((F56-OFFSET($BM$9,CN56+1,0,1,1))*OFFSET($CI$9,CN56+1,0,1,1))+OFFSET($BP$9,CN56+1,CQ56,1,1),IF(F56&lt;OFFSET($BN$9,CN56+2,0,1,1),((F56-OFFSET($BM$9,CN56+2,0,1,1))*OFFSET($CI$9,CN56+2,0,1,1))+OFFSET($BP$9,CN56+2,CQ56,1,1),IF(F56&lt;OFFSET($BN$9,CN56+3,0,1,1),((F56-OFFSET($BM$9,CN56+3,0,1,1))*OFFSET($CI$9,CN56+3,0,1,1))+OFFSET($BP$9,CN56+3,CQ56,1,1),0))))))</f>
        <v>0</v>
      </c>
      <c r="DJ56" s="51">
        <f ca="1">IF($F56&lt;OFFSET($BM$9,$CN56-1,0,1,1),0,IF($F56&lt;OFFSET($BN$9,$CN56-1,0,1,1),IF(AND($H56&gt;2.4,Z56&lt;&gt;"e",Z56&lt;&gt;"f"),DN56*2.4/$H56,DN56),IF($F56&lt;OFFSET($BN$9,$CN56+0,0,1,1),IF(AND($H56&gt;2.4,Z56&lt;&gt;"e",Z56&lt;&gt;"f"),DN56*2.4/$H56,DN56),IF($F56&lt;OFFSET($BN$9,$CN56+1,0,1,1),IF(AND($H56&gt;2.4,Z56&lt;&gt;"e",Z56&lt;&gt;"f"),DN56*2.4/$H56,DN56),IF($F56&lt;OFFSET($BN$9,$CN56+2,0,1,1),IF(AND($H56&gt;2.4,Z56&lt;&gt;"e",Z56&lt;&gt;"f"),DN56*2.4/$H56,DN56),IF($F56&lt;OFFSET($BN$9,$CN56+3,0,1,1),IF(AND($H56&gt;2.4,Z56&lt;&gt;"e",Z56&lt;&gt;"f"),DN56*2.4/$H56,DN56),0)))))*COS(RADIANS($G56)))</f>
        <v>0</v>
      </c>
      <c r="DK56" s="51"/>
      <c r="DL56" s="51">
        <f ca="1">IF(DG56&gt;$CR56,$CR56,DG56)</f>
        <v>0</v>
      </c>
      <c r="DM56" s="51"/>
      <c r="DN56" s="51">
        <f ca="1">IF(DI56&gt;$CR56,$CR56,DI56)</f>
        <v>0</v>
      </c>
      <c r="DO56" s="435">
        <f ca="1">IF(DH56&gt;$CR56,$CR56,DH56)</f>
        <v>0</v>
      </c>
      <c r="DP56" s="435">
        <f ca="1">DO56*F56</f>
        <v>0</v>
      </c>
      <c r="DQ56" s="436">
        <f ca="1">IF(DJ56&gt;$CR56,$CR56,DJ56)</f>
        <v>0</v>
      </c>
      <c r="DR56" s="437">
        <f ca="1">DQ56*F56</f>
        <v>0</v>
      </c>
      <c r="DS56" s="426">
        <f ca="1">OFFSET($CH$9,CL56-1,-15,1,1)</f>
        <v>0</v>
      </c>
      <c r="DT56" s="426">
        <f ca="1">VLOOKUP(DS56,Prodlink,2,0)</f>
        <v>0</v>
      </c>
      <c r="DU56" s="188">
        <f ca="1">IF(F56&lt;OFFSET($BM$9,DT56-1,0,1,1),0,IF(F56&lt;OFFSET($BN$9,DT56-1,0,1,1),((F56-OFFSET($BM$9,DT56-1,0,1,1))*OFFSET($CH$9,DT56-1,0,1,1))+OFFSET($BO$9,DT56-1,CQ56,1,1),IF(F56&lt;OFFSET($BN$9,DT56+0,0,1,1),((F56-OFFSET($BM$9,DT56+0,0,1,1))*OFFSET($CH$9,DT56+0,0,1,1))+OFFSET($BO$9,DT56+0,CQ56,1,1),IF(F56&lt;OFFSET($BN$9,DT56+1,0,1,1),((F56-OFFSET($BM$9,DT56+1,0,1,1))*OFFSET($CH$9,DT56+1,0,1,1))+OFFSET($BO$9,DT56+1,CQ56,1,1),IF(F56&lt;OFFSET($BN$9,DT56+2,0,1,1),((F56-OFFSET($BM$9,DT56+2,0,1,1))*OFFSET($CH$9,DT56+2,0,1,1))+OFFSET($BO$9,DT56+2,CQ56,1,1),IF(F56&lt;OFFSET($BN$9,DT56+3,0,1,1),((F56-OFFSET($BM$9,DT56+3,0,1,1))*OFFSET($CH$9,DT56+3,0,1,1))+OFFSET($BO$9,DT56+3,CQ56,1,1),0))))))</f>
        <v>0</v>
      </c>
      <c r="DV56" s="51">
        <f ca="1">IF($F56&lt;OFFSET($BM$9,$DT56-1,0,1,1),0,IF($F56&lt;OFFSET($BN$9,$DT56-1,0,1,1),IF(AND($H56&gt;2.4,Z56&lt;&gt;"e",Z56&lt;&gt;"f"),DZ56*2.4/$H56,DZ56),IF($F56&lt;OFFSET($BN$9,$DT56+0,0,1,1),IF(AND($H56&gt;2.4,Z56&lt;&gt;"e",Z56&lt;&gt;"f"),DZ56*2.4/$H56,DZ56),IF($F56&lt;OFFSET($BN$9,$DT56+1,0,1,1),IF(AND($H56&gt;2.4,Z56&lt;&gt;"e",Z56&lt;&gt;"f"),DZ56*2.4/$H56,DZ56),IF($F56&lt;OFFSET($BN$9,$DT56+2,0,1,1),IF(AND($H56&gt;2.4,Z56&lt;&gt;"e",Z56&lt;&gt;"f"),DZ56*2.4/$H56,DZ56),IF($F56&lt;OFFSET($BN$9,$DT56+3,0,1,1),IF(AND($H56&gt;2.4,Z56&lt;&gt;"e",Z56&lt;&gt;"f"),DZ56*2.4/$H56,DZ56),0)))))*COS(RADIANS($G56)))</f>
        <v>0</v>
      </c>
      <c r="DW56" s="188">
        <f ca="1">IF(F56&lt;OFFSET($BM$9,DT56-1,0,1,1),0,IF(F56&lt;OFFSET($BN$9,DT56-1,0,1,1),((F56-OFFSET($BM$9,DT56-1,0,1,1))*OFFSET($CI$9,DT56-1,0,1,1))+OFFSET($BP$9,DT56-1,CQ56,1,1),IF(F56&lt;OFFSET($BN$9,DT56+0,0,1,1),((F56-OFFSET($BM$9,DT56+0,0,1,1))*OFFSET($CI$9,DT56+0,0,1,1))+OFFSET($BP$9,DT56+0,CQ56,1,1),IF(F56&lt;OFFSET($BN$9,DT56+1,0,1,1),((F56-OFFSET($BM$9,DT56+1,0,1,1))*OFFSET($CI$9,DT56+1,0,1,1))+OFFSET($BP$9,DT56+1,CQ56,1,1),IF(F56&lt;OFFSET($BN$9,DT56+2,0,1,1),((F56-OFFSET($BM$9,DT56+2,0,1,1))*OFFSET($CI$9,DT56+2,0,1,1))+OFFSET($BP$9,DT56+2,CQ56,1,1),IF(F56&lt;OFFSET($BN$9,DT56+3,0,1,1),((F56-OFFSET($BM$9,DT56+3,0,1,1))*OFFSET($CI$9,DT56+3,0,1,1))+OFFSET($BP$9,DT56+3,CQ56,1,1),0))))))</f>
        <v>0</v>
      </c>
      <c r="DX56" s="51">
        <f ca="1">IF($F56&lt;OFFSET($BM$9,$DT56-1,0,1,1),0,IF($F56&lt;OFFSET($BN$9,$DT56-1,0,1,1),IF(AND($H56&gt;2.4,Z56&lt;&gt;"e",Z56&lt;&gt;"f"),EB56*2.4/$H56,EB56),IF($F56&lt;OFFSET($BN$9,$DT56+0,0,1,1),IF(AND($H56&gt;2.4,Z56&lt;&gt;"e",Z56&lt;&gt;"f"),EB56*2.4/$H56,EB56),IF($F56&lt;OFFSET($BN$9,$DT56+1,0,1,1),IF(AND($H56&gt;2.4,Z56&lt;&gt;"e",Z56&lt;&gt;"f"),EB56*2.4/$H56,EB56),IF($F56&lt;OFFSET($BN$9,$DT56+2,0,1,1),IF(AND($H56&gt;2.4,Z56&lt;&gt;"e",Z56&lt;&gt;"f"),EB56*2.4/$H56,EB56),IF($F56&lt;OFFSET($BN$9,$DT56+3,0,1,1),IF(AND($H56&gt;2.4,Z56&lt;&gt;"e",Z56&lt;&gt;"f"),EB56*2.4/$H56,EB56),0)))))*COS(RADIANS($G56)))</f>
        <v>0</v>
      </c>
      <c r="DY56" s="188"/>
      <c r="DZ56" s="188">
        <f ca="1">IF(DU56&gt;$CR56,$CR56,DU56)</f>
        <v>0</v>
      </c>
      <c r="EA56" s="188"/>
      <c r="EB56" s="188">
        <f ca="1">IF(DW56&gt;$CR56,$CR56,DW56)</f>
        <v>0</v>
      </c>
      <c r="EC56" s="435">
        <f ca="1">IF(DV56&gt;$CR56,$CR56,DV56)</f>
        <v>0</v>
      </c>
      <c r="ED56" s="435">
        <f ca="1">EC56*F56</f>
        <v>0</v>
      </c>
      <c r="EE56" s="436">
        <f ca="1">IF(DX56&gt;$CR56,$CR56,DX56)</f>
        <v>0</v>
      </c>
      <c r="EF56" s="437">
        <f ca="1">EE56*F56</f>
        <v>0</v>
      </c>
      <c r="EG56" s="613" t="str">
        <f>IF(D56=BG$12,BG$12,"")</f>
        <v/>
      </c>
      <c r="EH56" s="614" t="str">
        <f>IF(D56=BG$13,BG$13,"")</f>
        <v/>
      </c>
      <c r="EI56" s="611">
        <f>IF(EG56=BG$12,M56,0)</f>
        <v>0</v>
      </c>
      <c r="EJ56" s="451">
        <f>IF(EG56=BG$12,O56,0)</f>
        <v>0</v>
      </c>
      <c r="EK56" s="451">
        <f>IF(EH56=BG$13,M56,0)</f>
        <v>0</v>
      </c>
      <c r="EL56" s="612">
        <f>IF(EH56=BG$13,O56,0)</f>
        <v>0</v>
      </c>
      <c r="EM56" s="426" t="str">
        <f ca="1">IF(AND(Z56&lt;&gt;"t",Z56&lt;&gt;"f"),"",IF(AND(EN56=$BH$13,K56=$BH$12),"NotOpt",IF(K56&lt;&gt;EN56,"Error","")))</f>
        <v/>
      </c>
      <c r="EN56" s="490" t="str">
        <f>IF($BG$28=1,$BH$13,$BH$12)</f>
        <v>120 BU's</v>
      </c>
      <c r="EO56" s="426" t="str">
        <f>K56</f>
        <v xml:space="preserve"> </v>
      </c>
      <c r="EP56" s="430">
        <v>1</v>
      </c>
      <c r="EQ56" s="430" t="str">
        <f ca="1">IF(EP56=1," ",OFFSET(BF$16,EP56-2,0,1,1))</f>
        <v xml:space="preserve"> </v>
      </c>
      <c r="ER56" s="439" t="str">
        <f ca="1">IF(H56=0," ",H56)</f>
        <v xml:space="preserve"> </v>
      </c>
      <c r="ES56" s="440" t="str">
        <f ca="1">IF(ER56&lt;&gt;" ",IF(ER56&lt;&gt;ER$7,"Changed",""),"")</f>
        <v/>
      </c>
      <c r="ET56" s="440">
        <f ca="1">IF(ER56&lt;&gt;" ",IF(ER56&lt;&gt;ER$7,1,0),0)</f>
        <v>0</v>
      </c>
      <c r="EU56" s="957" t="str">
        <f ca="1">IF(I56=" "," ",IF(F56&lt;OFFSET($BM$9,CL56-1,0,1,1),1,""))</f>
        <v xml:space="preserve"> </v>
      </c>
      <c r="EW56" s="427"/>
      <c r="EX56"/>
      <c r="EY56"/>
      <c r="EZ56"/>
      <c r="FA56"/>
    </row>
    <row r="57" spans="1:157" ht="17.100000000000001" customHeight="1">
      <c r="A57" s="2685"/>
      <c r="B57" s="689" t="s">
        <v>246</v>
      </c>
      <c r="C57" s="684" t="str">
        <f>IF(OR(F57=0,I57="",I57=" ")," ",$V57)</f>
        <v xml:space="preserve"> </v>
      </c>
      <c r="D57" s="1033"/>
      <c r="E57" s="1360" t="s">
        <v>8</v>
      </c>
      <c r="F57" s="202"/>
      <c r="G57" s="1416"/>
      <c r="H57" s="199" t="str">
        <f ca="1">IF(OR(F57=0,Z57="E",Z57="f")," ",'Project Demand'!E$45)</f>
        <v xml:space="preserve"> </v>
      </c>
      <c r="I57" s="631" t="str">
        <f>IF($I$6&lt;&gt;$BG$8," ",AB57)</f>
        <v xml:space="preserve"> </v>
      </c>
      <c r="J57" s="44" t="str">
        <f ca="1">IF(OR(I57=" ",I57="")," ",OFFSET($BO$9,CL57-1,0-4,1,1))</f>
        <v xml:space="preserve"> </v>
      </c>
      <c r="K57" s="55" t="str">
        <f>IF(OR(I57=" ",I57="")," ",IF(OR(Z57="e",Z57="h"),"SD",BG$24))</f>
        <v xml:space="preserve"> </v>
      </c>
      <c r="L57" s="49">
        <f ca="1">CW57</f>
        <v>0</v>
      </c>
      <c r="M57" s="49">
        <f ca="1">CY57</f>
        <v>0</v>
      </c>
      <c r="N57" s="50">
        <f t="shared" ca="1" si="29"/>
        <v>0</v>
      </c>
      <c r="O57" s="126">
        <f t="shared" ca="1" si="29"/>
        <v>0</v>
      </c>
      <c r="P57" s="140"/>
      <c r="Q57" s="752" t="str">
        <f ca="1">IF(AND(OR(Z57="t",Z57="f"),K57=$BH$11),"No Floor!  Change Floor Type",IF(OR(I57=" ",I57="")," ",IF(F57&lt;OFFSET($BM$9,CL57-1,0,1,1),"check L(m)",DE57&amp;IF(AND(DP57&gt;=CY57,DR57&gt;=DB57),IF(AND(ED57&gt;=DP57,EF57&gt;=DR57),CONCATENATE(DS57," will provide same result"),CONCATENATE(CO57," will provide same result")),IF((DP57&gt;=CY57),CONCATENATE(CO57," provides same result in WIND"),IF((DR57&gt;=DB57),CONCATENATE(CO57," provides same result in EQ"),""))))))&amp;IF(ISERROR(FIND("pile",I57,1)),"",IF(INT(F57)&lt;&gt;F57,"Pile!  Use Whole Numbers Only",""))</f>
        <v xml:space="preserve"> </v>
      </c>
      <c r="R57" s="52"/>
      <c r="S57" s="1372"/>
      <c r="T57" s="1372"/>
      <c r="U57" s="1377"/>
      <c r="V57" s="52" t="str">
        <f ca="1">IF(AND(B$5=$BF$9,OR(I57=BH$16,I57=BH$17))," ",IF(ISNUMBER(B$56),(CONCATENATE(B$56,".",W57)),(CONCATENATE(B$56,W57))))</f>
        <v>U0</v>
      </c>
      <c r="W57" s="9">
        <f ca="1">W56+X57</f>
        <v>0</v>
      </c>
      <c r="X57" s="9">
        <f>IF(AND(B$5=$BF$9,OR($I57=$BH$16,$I57=$BH$17,$I57=" ",$I57="",$F57=0)),0,IF(OR($I57=" ",$I57="",$F57=0),0,1))</f>
        <v>0</v>
      </c>
      <c r="Y57" s="896"/>
      <c r="Z57" s="52" t="str">
        <f ca="1">IF(I57=" "," ",OFFSET($BM$9,$CL57-1,8,1,1))</f>
        <v xml:space="preserve"> </v>
      </c>
      <c r="AA57" s="51" t="str">
        <f>IF(G57&gt;=45,"WA","")</f>
        <v/>
      </c>
      <c r="AB57" s="1364" t="str">
        <f>IF(F57&lt;&gt;"",IF(OR(D57=$BG$12,D57=$BG$13),IF(E57&lt;&gt;$BG$17,$BF$12,$BF$13),IF(E57&lt;&gt;$BG$17,$BF$12,$BF$13))," ")</f>
        <v xml:space="preserve"> </v>
      </c>
      <c r="AC57" s="1"/>
      <c r="AK57" s="63" t="str">
        <f>'Custom Elements'!B18</f>
        <v xml:space="preserve">  </v>
      </c>
      <c r="AL57" s="860" t="str">
        <f>'Custom Elements'!C18</f>
        <v>Custom10</v>
      </c>
      <c r="AM57" s="11">
        <f>'Custom Elements'!D18</f>
        <v>9.9999999999999996E-76</v>
      </c>
      <c r="AN57" s="7">
        <f>'Custom Elements'!E18</f>
        <v>0</v>
      </c>
      <c r="AO57" s="7">
        <f>'Custom Elements'!F18</f>
        <v>0</v>
      </c>
      <c r="AP57" s="762" t="str">
        <f>'Custom Elements'!G18</f>
        <v>B</v>
      </c>
      <c r="AQ57" s="1777" t="str">
        <f>'Custom Elements'!H18</f>
        <v>Single</v>
      </c>
      <c r="AR57" s="1775" t="str">
        <f>'Custom Elements'!I18</f>
        <v>Yes</v>
      </c>
      <c r="AS57" s="442" t="str">
        <f>'Custom Elements'!J18</f>
        <v>Yes</v>
      </c>
      <c r="AT57" s="1598"/>
      <c r="AU57" s="1155"/>
      <c r="AZ57" s="442" t="str">
        <f>IF(AND('Custom Elements'!J18="Yes",'Custom Elements'!I18="Yes"),"T",IF('Custom Elements'!J18="Yes","F",IF('Custom Elements'!I18="Yes","H","E")))</f>
        <v>T</v>
      </c>
      <c r="BA57"/>
      <c r="BB57"/>
      <c r="BC57"/>
      <c r="BD57" s="638"/>
      <c r="BE57" s="2715" t="s">
        <v>822</v>
      </c>
      <c r="BF57" s="2716"/>
      <c r="BG57" s="2716"/>
      <c r="BH57" s="479"/>
      <c r="BI57" s="759"/>
      <c r="BJ57" s="897">
        <f t="shared" si="25"/>
        <v>49</v>
      </c>
      <c r="BK57" s="764"/>
      <c r="BL57" s="766"/>
      <c r="BM57" s="455">
        <f>Table!D11</f>
        <v>0.6</v>
      </c>
      <c r="BN57" s="455">
        <f>BM58</f>
        <v>0.8</v>
      </c>
      <c r="BO57" s="455">
        <f>Table!E11</f>
        <v>90</v>
      </c>
      <c r="BP57" s="925">
        <f>Table!F11</f>
        <v>83</v>
      </c>
      <c r="BR57" s="764"/>
      <c r="BS57" s="455"/>
      <c r="BT57" s="455"/>
      <c r="BU57" s="925" t="s">
        <v>242</v>
      </c>
      <c r="BV57" s="895"/>
      <c r="BW57" s="912"/>
      <c r="BX57" s="925" t="str">
        <f>Table!H11</f>
        <v>Double</v>
      </c>
      <c r="CH57" s="764">
        <f>IF(BN57=999,0,(BO58-BO57)/(BN57-BM57))</f>
        <v>14.999999999999995</v>
      </c>
      <c r="CI57" s="925">
        <f>IF(BN57=999,0,(BP58-BP57)/(BN57-BM57))</f>
        <v>0</v>
      </c>
      <c r="CJ57" s="759"/>
      <c r="CK57" s="188"/>
      <c r="CL57" s="979">
        <f>VLOOKUP(I57,Prodlink,2,0)</f>
        <v>0</v>
      </c>
      <c r="CN57" s="497">
        <f ca="1">VLOOKUP(CO57,Prodlink,2,0)</f>
        <v>0</v>
      </c>
      <c r="CO57" s="497">
        <f ca="1">OFFSET($CH$9,CL57-1,-15,1,1)</f>
        <v>0</v>
      </c>
      <c r="CQ57" s="51">
        <v>0</v>
      </c>
      <c r="CR57" s="51">
        <f>IF(K57=$BH$12,$BH$23,IF(K57=$BH$13,$BH$24,10000))</f>
        <v>10000</v>
      </c>
      <c r="CS57" s="51">
        <f ca="1">IF(F57&lt;OFFSET($BM$9,CL57-1,0,1,1),0,IF(F57&lt;OFFSET($BN$9,CL57-1,0,1,1),((F57-OFFSET($BM$9,CL57-1,0,1,1))*OFFSET($CH$9,CL57-1,0,1,1))+OFFSET($BO$9,CL57-1,CQ57,1,1),IF(F57&lt;OFFSET($BN$9,CL57+0,0,1,1),((F57-OFFSET($BM$9,CL57+0,0,1,1))*OFFSET($CH$9,CL57+0,0,1,1))+OFFSET($BO$9,CL57+0,CQ57,1,1),IF(F57&lt;OFFSET($BN$9,CL57+1,0,1,1),((F57-OFFSET($BM$9,CL57+1,0,1,1))*OFFSET($CH$9,CL57+1,0,1,1))+OFFSET($BO$9,CL57+1,CQ57,1,1),IF(F57&lt;OFFSET($BN$9,CL57+2,0,1,1),((F57-OFFSET($BM$9,CL57+2,0,1,1))*OFFSET($CH$9,CL57+2,0,1,1))+OFFSET($BO$9,CL57+2,CQ57,1,1),IF(F57&lt;OFFSET($BN$9,CL57+3,0,1,1),((F57-OFFSET($BM$9,CL57+3,0,1,1))*OFFSET($CH$9,CL57+3,0,1,1))+OFFSET($BO$9,CL57+3,CQ57,1,1),0))))))</f>
        <v>0</v>
      </c>
      <c r="CT57" s="51">
        <f ca="1">IF($F57&lt;OFFSET($BM$9,$CL57-1,0,1,1),0,IF($F57&lt;OFFSET($BN$9,$CL57-1,0,1,1),IF(AND($H57&gt;2.4,Z57&lt;&gt;"e",Z57&lt;&gt;"f"),CX57*2.4/$H57,CX57),IF($F57&lt;OFFSET($BN$9,$CL57+0,0,1,1),IF(AND($H57&gt;2.4,Z57&lt;&gt;"e",Z57&lt;&gt;"f"),CX57*2.4/$H57,CX57),IF($F57&lt;OFFSET($BN$9,$CL57+1,0,1,1),IF(AND($H57&gt;2.4,Z57&lt;&gt;"e",Z57&lt;&gt;"f"),CX57*2.4/$H57,CX57),IF($F57&lt;OFFSET($BN$9,CL57+2,0,1,1),IF(AND($H57&gt;2.4,Z57&lt;&gt;"e",Z57&lt;&gt;"f"),CX57*2.4/$H57,CX57),IF($F57&lt;OFFSET($BN$9,CL57+3,0,1,1),IF(AND($H57&gt;2.4,Z57&lt;&gt;"e",Z57&lt;&gt;"f"),CX57*2.4/$H57,CX57),0)))))*COS(RADIANS($G57)))</f>
        <v>0</v>
      </c>
      <c r="CU57" s="51">
        <f ca="1">IF(F57&lt;OFFSET($BM$9,CL57-1,0,1,1),0,IF(F57&lt;OFFSET($BN$9,CL57-1,0,1,1),((F57-OFFSET($BM$9,CL57-1,0,1,1))*OFFSET($CI$9,CL57-1,0,1,1))+OFFSET($BP$9,CL57-1,CQ57,1,1),IF(F57&lt;OFFSET($BN$9,CL57+0,0,1,1),((F57-OFFSET($BM$9,CL57+0,0,1,1))*OFFSET($CI$9,CL57+0,0,1,1))+OFFSET($BP$9,CL57+0,CQ57,1,1),IF(F57&lt;OFFSET($BN$9,CL57+1,0,1,1),((F57-OFFSET($BM$9,CL57+1,0,1,1))*OFFSET($CI$9,CL57+1,0,1,1))+OFFSET($BP$9,CL57+1,CQ57,1,1),IF(F57&lt;OFFSET($BN$9,CL57+2,0,1,1),((F57-OFFSET($BM$9,CL57+2,0,1,1))*OFFSET($CI$9,CL57+2,0,1,1))+OFFSET($BP$9,CL57+2,CQ57,1,1),IF(F57&lt;OFFSET($BN$9,CL57+3,0,1,1),((F57-OFFSET($BM$9,CL57+3,0,1,1))*OFFSET($CI$9,CL57+3,0,1,1))+OFFSET($BP$9,CL57+3,CQ57,1,1),0))))))</f>
        <v>0</v>
      </c>
      <c r="CV57" s="51">
        <f ca="1">IF($F57&lt;OFFSET($BM$9,$CL57-1,0,1,1),0,IF($F57&lt;OFFSET($BN$9,$CL57-1,0,1,1),IF(AND($H57&gt;2.4,Z57&lt;&gt;"e",Z57&lt;&gt;"f"),CZ57*2.4/$H57,CZ57),IF($F57&lt;OFFSET($BN$9,$CL57+0,0,1,1),IF(AND($H57&gt;2.4,Z57&lt;&gt;"e",Z57&lt;&gt;"f"),CZ57*2.4/$H57,CZ57),IF($F57&lt;OFFSET($BN$9,$CL57+1,0,1,1),IF(AND($H57&gt;2.4,Z57&lt;&gt;"e",Z57&lt;&gt;"f"),CZ57*2.4/$H57,CZ57),IF($F57&lt;OFFSET($BN$9,$CL57+2,0,1,1),IF(AND($H57&gt;2.4,Z57&lt;&gt;"e",Z57&lt;&gt;"f"),CZ57*2.4/$H57,CZ57),IF($F57&lt;OFFSET($BN$9,$CL57+3,0,1,1),IF(AND($H57&gt;2.4,Z57&lt;&gt;"e",Z57&lt;&gt;"f"),CZ57*2.4/$H57,CZ57),0)))))*COS(RADIANS($G57)))</f>
        <v>0</v>
      </c>
      <c r="CW57" s="51">
        <f ca="1">IF(CT57&gt;CR57,CR57,CT57)</f>
        <v>0</v>
      </c>
      <c r="CX57" s="51">
        <f ca="1">IF(CS57&gt;$CR57,$CR57,CS57)</f>
        <v>0</v>
      </c>
      <c r="CY57" s="51">
        <f ca="1">CW57*F57</f>
        <v>0</v>
      </c>
      <c r="CZ57" s="51">
        <f ca="1">IF($CU57&gt;$CR57,$CR57,$CU57)</f>
        <v>0</v>
      </c>
      <c r="DA57" s="51">
        <f ca="1">IF(CV57&gt;CR57,CR57,CV57)</f>
        <v>0</v>
      </c>
      <c r="DB57" s="51">
        <f ca="1">DA57*F57</f>
        <v>0</v>
      </c>
      <c r="DC57" s="993">
        <v>1</v>
      </c>
      <c r="DD57" s="758" t="str">
        <f>IF(OR(D57=BG$12,D57=BG$13),"External",IF(D57=BG$14,"Internal"," "))</f>
        <v xml:space="preserve"> </v>
      </c>
      <c r="DE57" s="51" t="str">
        <f t="shared" ca="1" si="1"/>
        <v/>
      </c>
      <c r="DF57" s="52" t="str">
        <f t="shared" ca="1" si="2"/>
        <v xml:space="preserve"> </v>
      </c>
      <c r="DG57" s="51">
        <f ca="1">IF(F57&lt;OFFSET($BM$9,CN57-1,0,1,1),0,IF(F57&lt;OFFSET($BN$9,CN57-1,0,1,1),((F57-OFFSET($BM$9,CN57-1,0,1,1))*OFFSET($CH$9,CN57-1,0,1,1))+OFFSET($BO$9,CN57-1,CQ57,1,1),IF(F57&lt;OFFSET($BN$9,CN57+0,0,1,1),((F57-OFFSET($BM$9,CN57+0,0,1,1))*OFFSET($CH$9,CN57+0,0,1,1))+OFFSET($BO$9,CN57+0,CQ57,1,1),IF(F57&lt;OFFSET($BN$9,CN57+1,0,1,1),((F57-OFFSET($BM$9,CN57+1,0,1,1))*OFFSET($CH$9,CN57+1,0,1,1))+OFFSET($BO$9,CN57+1,CQ57,1,1),IF(F57&lt;OFFSET($BN$9,CN57+2,0,1,1),((F57-OFFSET($BM$9,CN57+2,0,1,1))*OFFSET($CH$9,CN57+2,0,1,1))+OFFSET($BO$9,CN57+2,CQ57,1,1),IF(F57&lt;OFFSET($BN$9,CN57+3,0,1,1),((F57-OFFSET($BM$9,CN57+3,0,1,1))*OFFSET($CH$9,CN57+3,0,1,1))+OFFSET($BO$9,CN57+3,CQ57,1,1),0))))))</f>
        <v>0</v>
      </c>
      <c r="DH57" s="51">
        <f ca="1">IF($F57&lt;OFFSET($BM$9,$CN57-1,0,1,1),0,IF($F57&lt;OFFSET($BN$9,$CN57-1,0,1,1),IF(AND($H57&gt;2.4,Z57&lt;&gt;"e",Z57&lt;&gt;"f"),DL57*2.4/$H57,DL57),IF($F57&lt;OFFSET($BN$9,$CN57+0,0,1,1),IF(AND($H57&gt;2.4,Z57&lt;&gt;"e",Z57&lt;&gt;"f"),DL57*2.4/$H57,DL57),IF($F57&lt;OFFSET($BN$9,$CN57+1,0,1,1),IF(AND($H57&gt;2.4,Z57&lt;&gt;"e",Z57&lt;&gt;"f"),DL57*2.4/$H57,DL57),IF($F57&lt;OFFSET($BN$9,$CN57+2,0,1,1),IF(AND($H57&gt;2.4,Z57&lt;&gt;"e",Z57&lt;&gt;"f"),DL57*2.4/$H57,DL57),IF($F57&lt;OFFSET($BN$9,$CN57+3,0,1,1),IF(AND($H57&gt;2.4,Z57&lt;&gt;"e",Z57&lt;&gt;"f"),DL57*2.4/$H57,DL57),0)))))*COS(RADIANS($G57)))</f>
        <v>0</v>
      </c>
      <c r="DI57" s="51">
        <f ca="1">IF(F57&lt;OFFSET($BM$9,CN57-1,0,1,1),0,IF(F57&lt;OFFSET($BN$9,CN57-1,0,1,1),((F57-OFFSET($BM$9,CN57-1,0,1,1))*OFFSET($CI$9,CN57-1,0,1,1))+OFFSET($BP$9,CN57-1,CQ57,1,1),IF(F57&lt;OFFSET($BN$9,CN57+0,0,1,1),((F57-OFFSET($BM$9,CN57+0,0,1,1))*OFFSET($CI$9,CN57+0,0,1,1))+OFFSET($BP$9,CN57+0,CQ57,1,1),IF(F57&lt;OFFSET($BN$9,CN57+1,0,1,1),((F57-OFFSET($BM$9,CN57+1,0,1,1))*OFFSET($CI$9,CN57+1,0,1,1))+OFFSET($BP$9,CN57+1,CQ57,1,1),IF(F57&lt;OFFSET($BN$9,CN57+2,0,1,1),((F57-OFFSET($BM$9,CN57+2,0,1,1))*OFFSET($CI$9,CN57+2,0,1,1))+OFFSET($BP$9,CN57+2,CQ57,1,1),IF(F57&lt;OFFSET($BN$9,CN57+3,0,1,1),((F57-OFFSET($BM$9,CN57+3,0,1,1))*OFFSET($CI$9,CN57+3,0,1,1))+OFFSET($BP$9,CN57+3,CQ57,1,1),0))))))</f>
        <v>0</v>
      </c>
      <c r="DJ57" s="51">
        <f ca="1">IF($F57&lt;OFFSET($BM$9,$CN57-1,0,1,1),0,IF($F57&lt;OFFSET($BN$9,$CN57-1,0,1,1),IF(AND($H57&gt;2.4,Z57&lt;&gt;"e",Z57&lt;&gt;"f"),DN57*2.4/$H57,DN57),IF($F57&lt;OFFSET($BN$9,$CN57+0,0,1,1),IF(AND($H57&gt;2.4,Z57&lt;&gt;"e",Z57&lt;&gt;"f"),DN57*2.4/$H57,DN57),IF($F57&lt;OFFSET($BN$9,$CN57+1,0,1,1),IF(AND($H57&gt;2.4,Z57&lt;&gt;"e",Z57&lt;&gt;"f"),DN57*2.4/$H57,DN57),IF($F57&lt;OFFSET($BN$9,$CN57+2,0,1,1),IF(AND($H57&gt;2.4,Z57&lt;&gt;"e",Z57&lt;&gt;"f"),DN57*2.4/$H57,DN57),IF($F57&lt;OFFSET($BN$9,$CN57+3,0,1,1),IF(AND($H57&gt;2.4,Z57&lt;&gt;"e",Z57&lt;&gt;"f"),DN57*2.4/$H57,DN57),0)))))*COS(RADIANS($G57)))</f>
        <v>0</v>
      </c>
      <c r="DK57" s="51"/>
      <c r="DL57" s="51">
        <f ca="1">IF(DG57&gt;$CR57,$CR57,DG57)</f>
        <v>0</v>
      </c>
      <c r="DM57" s="51"/>
      <c r="DN57" s="51">
        <f ca="1">IF(DI57&gt;$CR57,$CR57,DI57)</f>
        <v>0</v>
      </c>
      <c r="DO57" s="435">
        <f ca="1">IF(DH57&gt;$CR57,$CR57,DH57)</f>
        <v>0</v>
      </c>
      <c r="DP57" s="435">
        <f ca="1">DO57*F57</f>
        <v>0</v>
      </c>
      <c r="DQ57" s="436">
        <f ca="1">IF(DJ57&gt;$CR57,$CR57,DJ57)</f>
        <v>0</v>
      </c>
      <c r="DR57" s="437">
        <f ca="1">DQ57*F57</f>
        <v>0</v>
      </c>
      <c r="DS57" s="426">
        <f ca="1">OFFSET($CH$9,CL57-1,-15,1,1)</f>
        <v>0</v>
      </c>
      <c r="DT57" s="426">
        <f ca="1">VLOOKUP(DS57,Prodlink,2,0)</f>
        <v>0</v>
      </c>
      <c r="DU57" s="188">
        <f ca="1">IF(F57&lt;OFFSET($BM$9,DT57-1,0,1,1),0,IF(F57&lt;OFFSET($BN$9,DT57-1,0,1,1),((F57-OFFSET($BM$9,DT57-1,0,1,1))*OFFSET($CH$9,DT57-1,0,1,1))+OFFSET($BO$9,DT57-1,CQ57,1,1),IF(F57&lt;OFFSET($BN$9,DT57+0,0,1,1),((F57-OFFSET($BM$9,DT57+0,0,1,1))*OFFSET($CH$9,DT57+0,0,1,1))+OFFSET($BO$9,DT57+0,CQ57,1,1),IF(F57&lt;OFFSET($BN$9,DT57+1,0,1,1),((F57-OFFSET($BM$9,DT57+1,0,1,1))*OFFSET($CH$9,DT57+1,0,1,1))+OFFSET($BO$9,DT57+1,CQ57,1,1),IF(F57&lt;OFFSET($BN$9,DT57+2,0,1,1),((F57-OFFSET($BM$9,DT57+2,0,1,1))*OFFSET($CH$9,DT57+2,0,1,1))+OFFSET($BO$9,DT57+2,CQ57,1,1),IF(F57&lt;OFFSET($BN$9,DT57+3,0,1,1),((F57-OFFSET($BM$9,DT57+3,0,1,1))*OFFSET($CH$9,DT57+3,0,1,1))+OFFSET($BO$9,DT57+3,CQ57,1,1),0))))))</f>
        <v>0</v>
      </c>
      <c r="DV57" s="51">
        <f ca="1">IF($F57&lt;OFFSET($BM$9,$DT57-1,0,1,1),0,IF($F57&lt;OFFSET($BN$9,$DT57-1,0,1,1),IF(AND($H57&gt;2.4,Z57&lt;&gt;"e",Z57&lt;&gt;"f"),DZ57*2.4/$H57,DZ57),IF($F57&lt;OFFSET($BN$9,$DT57+0,0,1,1),IF(AND($H57&gt;2.4,Z57&lt;&gt;"e",Z57&lt;&gt;"f"),DZ57*2.4/$H57,DZ57),IF($F57&lt;OFFSET($BN$9,$DT57+1,0,1,1),IF(AND($H57&gt;2.4,Z57&lt;&gt;"e",Z57&lt;&gt;"f"),DZ57*2.4/$H57,DZ57),IF($F57&lt;OFFSET($BN$9,$DT57+2,0,1,1),IF(AND($H57&gt;2.4,Z57&lt;&gt;"e",Z57&lt;&gt;"f"),DZ57*2.4/$H57,DZ57),IF($F57&lt;OFFSET($BN$9,$DT57+3,0,1,1),IF(AND($H57&gt;2.4,Z57&lt;&gt;"e",Z57&lt;&gt;"f"),DZ57*2.4/$H57,DZ57),0)))))*COS(RADIANS($G57)))</f>
        <v>0</v>
      </c>
      <c r="DW57" s="188">
        <f ca="1">IF(F57&lt;OFFSET($BM$9,DT57-1,0,1,1),0,IF(F57&lt;OFFSET($BN$9,DT57-1,0,1,1),((F57-OFFSET($BM$9,DT57-1,0,1,1))*OFFSET($CI$9,DT57-1,0,1,1))+OFFSET($BP$9,DT57-1,CQ57,1,1),IF(F57&lt;OFFSET($BN$9,DT57+0,0,1,1),((F57-OFFSET($BM$9,DT57+0,0,1,1))*OFFSET($CI$9,DT57+0,0,1,1))+OFFSET($BP$9,DT57+0,CQ57,1,1),IF(F57&lt;OFFSET($BN$9,DT57+1,0,1,1),((F57-OFFSET($BM$9,DT57+1,0,1,1))*OFFSET($CI$9,DT57+1,0,1,1))+OFFSET($BP$9,DT57+1,CQ57,1,1),IF(F57&lt;OFFSET($BN$9,DT57+2,0,1,1),((F57-OFFSET($BM$9,DT57+2,0,1,1))*OFFSET($CI$9,DT57+2,0,1,1))+OFFSET($BP$9,DT57+2,CQ57,1,1),IF(F57&lt;OFFSET($BN$9,DT57+3,0,1,1),((F57-OFFSET($BM$9,DT57+3,0,1,1))*OFFSET($CI$9,DT57+3,0,1,1))+OFFSET($BP$9,DT57+3,CQ57,1,1),0))))))</f>
        <v>0</v>
      </c>
      <c r="DX57" s="51">
        <f ca="1">IF($F57&lt;OFFSET($BM$9,$DT57-1,0,1,1),0,IF($F57&lt;OFFSET($BN$9,$DT57-1,0,1,1),IF(AND($H57&gt;2.4,Z57&lt;&gt;"e",Z57&lt;&gt;"f"),EB57*2.4/$H57,EB57),IF($F57&lt;OFFSET($BN$9,$DT57+0,0,1,1),IF(AND($H57&gt;2.4,Z57&lt;&gt;"e",Z57&lt;&gt;"f"),EB57*2.4/$H57,EB57),IF($F57&lt;OFFSET($BN$9,$DT57+1,0,1,1),IF(AND($H57&gt;2.4,Z57&lt;&gt;"e",Z57&lt;&gt;"f"),EB57*2.4/$H57,EB57),IF($F57&lt;OFFSET($BN$9,$DT57+2,0,1,1),IF(AND($H57&gt;2.4,Z57&lt;&gt;"e",Z57&lt;&gt;"f"),EB57*2.4/$H57,EB57),IF($F57&lt;OFFSET($BN$9,$DT57+3,0,1,1),IF(AND($H57&gt;2.4,Z57&lt;&gt;"e",Z57&lt;&gt;"f"),EB57*2.4/$H57,EB57),0)))))*COS(RADIANS($G57)))</f>
        <v>0</v>
      </c>
      <c r="DY57" s="188"/>
      <c r="DZ57" s="188">
        <f ca="1">IF(DU57&gt;$CR57,$CR57,DU57)</f>
        <v>0</v>
      </c>
      <c r="EA57" s="188"/>
      <c r="EB57" s="188">
        <f ca="1">IF(DW57&gt;$CR57,$CR57,DW57)</f>
        <v>0</v>
      </c>
      <c r="EC57" s="435">
        <f ca="1">IF(DV57&gt;$CR57,$CR57,DV57)</f>
        <v>0</v>
      </c>
      <c r="ED57" s="435">
        <f ca="1">EC57*F57</f>
        <v>0</v>
      </c>
      <c r="EE57" s="436">
        <f ca="1">IF(DX57&gt;$CR57,$CR57,DX57)</f>
        <v>0</v>
      </c>
      <c r="EF57" s="437">
        <f ca="1">EE57*F57</f>
        <v>0</v>
      </c>
      <c r="EG57" s="613" t="str">
        <f>IF(D57=BG$12,BG$12,"")</f>
        <v/>
      </c>
      <c r="EH57" s="614" t="str">
        <f>IF(D57=BG$13,BG$13,"")</f>
        <v/>
      </c>
      <c r="EI57" s="611">
        <f>IF(EG57=BG$12,M57,0)</f>
        <v>0</v>
      </c>
      <c r="EJ57" s="451">
        <f>IF(EG57=BG$12,O57,0)</f>
        <v>0</v>
      </c>
      <c r="EK57" s="451">
        <f>IF(EH57=BG$13,M57,0)</f>
        <v>0</v>
      </c>
      <c r="EL57" s="612">
        <f>IF(EH57=BG$13,O57,0)</f>
        <v>0</v>
      </c>
      <c r="EM57" s="426" t="str">
        <f ca="1">IF(AND(Z57&lt;&gt;"t",Z57&lt;&gt;"f"),"",IF(AND(EN57=$BH$13,K57=$BH$12),"NotOpt",IF(K57&lt;&gt;EN57,"Error","")))</f>
        <v/>
      </c>
      <c r="EN57" s="490" t="str">
        <f>IF($BG$28=1,$BH$13,$BH$12)</f>
        <v>120 BU's</v>
      </c>
      <c r="EO57" s="426" t="str">
        <f>K57</f>
        <v xml:space="preserve"> </v>
      </c>
      <c r="EP57" s="430">
        <v>1</v>
      </c>
      <c r="EQ57" s="430" t="str">
        <f ca="1">IF(EP57=1," ",OFFSET(BF$16,EP57-2,0,1,1))</f>
        <v xml:space="preserve"> </v>
      </c>
      <c r="ER57" s="439" t="str">
        <f ca="1">IF(H57=0," ",H57)</f>
        <v xml:space="preserve"> </v>
      </c>
      <c r="ES57" s="440" t="str">
        <f ca="1">IF(ER57&lt;&gt;" ",IF(ER57&lt;&gt;ER$7,"Changed",""),"")</f>
        <v/>
      </c>
      <c r="ET57" s="440">
        <f ca="1">IF(ER57&lt;&gt;" ",IF(ER57&lt;&gt;ER$7,1,0),0)</f>
        <v>0</v>
      </c>
      <c r="EU57" s="957" t="str">
        <f ca="1">IF(I57=" "," ",IF(F57&lt;OFFSET($BM$9,CL57-1,0,1,1),1,""))</f>
        <v xml:space="preserve"> </v>
      </c>
      <c r="EW57" s="427"/>
      <c r="EX57"/>
      <c r="EY57"/>
      <c r="EZ57"/>
      <c r="FA57"/>
    </row>
    <row r="58" spans="1:157" ht="17.100000000000001" customHeight="1">
      <c r="A58" s="2685"/>
      <c r="B58" s="689" t="s">
        <v>246</v>
      </c>
      <c r="C58" s="684" t="str">
        <f>IF(OR(F58=0,I58="",I58=" ")," ",$V58)</f>
        <v xml:space="preserve"> </v>
      </c>
      <c r="D58" s="1033"/>
      <c r="E58" s="1360" t="s">
        <v>8</v>
      </c>
      <c r="F58" s="202"/>
      <c r="G58" s="1416"/>
      <c r="H58" s="199" t="str">
        <f ca="1">IF(OR(F58=0,Z58="E",Z58="f")," ",'Project Demand'!E$45)</f>
        <v xml:space="preserve"> </v>
      </c>
      <c r="I58" s="631" t="str">
        <f>IF($I$6&lt;&gt;$BG$8," ",AB58)</f>
        <v xml:space="preserve"> </v>
      </c>
      <c r="J58" s="44" t="str">
        <f ca="1">IF(OR(I58=" ",I58="")," ",OFFSET($BO$9,CL58-1,0-4,1,1))</f>
        <v xml:space="preserve"> </v>
      </c>
      <c r="K58" s="55" t="str">
        <f>IF(OR(I58=" ",I58="")," ",IF(OR(Z58="e",Z58="h"),"SD",BG$24))</f>
        <v xml:space="preserve"> </v>
      </c>
      <c r="L58" s="49">
        <f ca="1">CW58</f>
        <v>0</v>
      </c>
      <c r="M58" s="49">
        <f ca="1">CY58</f>
        <v>0</v>
      </c>
      <c r="N58" s="50">
        <f t="shared" ca="1" si="29"/>
        <v>0</v>
      </c>
      <c r="O58" s="126">
        <f t="shared" ca="1" si="29"/>
        <v>0</v>
      </c>
      <c r="P58" s="140"/>
      <c r="Q58" s="752" t="str">
        <f ca="1">IF(AND(OR(Z58="t",Z58="f"),K58=$BH$11),"No Floor!  Change Floor Type",IF(OR(I58=" ",I58="")," ",IF(F58&lt;OFFSET($BM$9,CL58-1,0,1,1),"check L(m)",DE58&amp;IF(AND(DP58&gt;=CY58,DR58&gt;=DB58),IF(AND(ED58&gt;=DP58,EF58&gt;=DR58),CONCATENATE(DS58," will provide same result"),CONCATENATE(CO58," will provide same result")),IF((DP58&gt;=CY58),CONCATENATE(CO58," provides same result in WIND"),IF((DR58&gt;=DB58),CONCATENATE(CO58," provides same result in EQ"),""))))))&amp;IF(ISERROR(FIND("pile",I58,1)),"",IF(INT(F58)&lt;&gt;F58,"Pile!  Use Whole Numbers Only",""))</f>
        <v xml:space="preserve"> </v>
      </c>
      <c r="R58" s="52"/>
      <c r="S58" s="1372"/>
      <c r="T58" s="1372"/>
      <c r="U58" s="1377"/>
      <c r="V58" s="52" t="str">
        <f ca="1">IF(AND(B$5=$BF$9,OR(I58=BH$16,I58=BH$17))," ",IF(ISNUMBER(B$56),(CONCATENATE(B$56,".",W58)),(CONCATENATE(B$56,W58))))</f>
        <v>U0</v>
      </c>
      <c r="W58" s="9">
        <f ca="1">W57+X58</f>
        <v>0</v>
      </c>
      <c r="X58" s="9">
        <f>IF(AND(B$5=$BF$9,OR($I58=$BH$16,$I58=$BH$17,$I58=" ",$I58="",$F58=0)),0,IF(OR($I58=" ",$I58="",$F58=0),0,1))</f>
        <v>0</v>
      </c>
      <c r="Y58" s="896"/>
      <c r="Z58" s="52" t="str">
        <f ca="1">IF(I58=" "," ",OFFSET($BM$9,$CL58-1,8,1,1))</f>
        <v xml:space="preserve"> </v>
      </c>
      <c r="AA58" s="51" t="str">
        <f>IF(G58&gt;=45,"WA","")</f>
        <v/>
      </c>
      <c r="AB58" s="1364" t="str">
        <f>IF(F58&lt;&gt;"",IF(OR(D58=$BG$12,D58=$BG$13),IF(E58&lt;&gt;$BG$17,$BF$12,$BF$13),IF(E58&lt;&gt;$BG$17,$BF$12,$BF$13))," ")</f>
        <v xml:space="preserve"> </v>
      </c>
      <c r="AC58" s="1"/>
      <c r="AK58" s="63" t="str">
        <f>'Custom Elements'!B19</f>
        <v xml:space="preserve">  </v>
      </c>
      <c r="AL58" s="860" t="str">
        <f>'Custom Elements'!C19</f>
        <v>Custom11</v>
      </c>
      <c r="AM58" s="11">
        <f>'Custom Elements'!D19</f>
        <v>9.9999999999999996E-76</v>
      </c>
      <c r="AN58" s="7">
        <f>'Custom Elements'!E19</f>
        <v>0</v>
      </c>
      <c r="AO58" s="7">
        <f>'Custom Elements'!F19</f>
        <v>0</v>
      </c>
      <c r="AP58" s="762" t="str">
        <f>'Custom Elements'!G19</f>
        <v>B</v>
      </c>
      <c r="AQ58" s="1777" t="str">
        <f>'Custom Elements'!H19</f>
        <v>Single</v>
      </c>
      <c r="AR58" s="1775" t="str">
        <f>'Custom Elements'!I19</f>
        <v>Yes</v>
      </c>
      <c r="AS58" s="442" t="str">
        <f>'Custom Elements'!J19</f>
        <v>Yes</v>
      </c>
      <c r="AT58" s="1598"/>
      <c r="AU58" s="1155"/>
      <c r="AZ58" s="442" t="str">
        <f>IF(AND('Custom Elements'!J19="Yes",'Custom Elements'!I19="Yes"),"T",IF('Custom Elements'!J19="Yes","F",IF('Custom Elements'!I19="Yes","H","E")))</f>
        <v>T</v>
      </c>
      <c r="BA58"/>
      <c r="BB58"/>
      <c r="BC58"/>
      <c r="BD58" s="638"/>
      <c r="BE58" s="2715" t="s">
        <v>827</v>
      </c>
      <c r="BF58" s="2716"/>
      <c r="BG58" s="2716"/>
      <c r="BH58" s="479"/>
      <c r="BI58" s="759"/>
      <c r="BJ58" s="897">
        <f t="shared" si="25"/>
        <v>50</v>
      </c>
      <c r="BK58" s="764"/>
      <c r="BL58" s="766"/>
      <c r="BM58" s="455">
        <f>Table!D12</f>
        <v>0.8</v>
      </c>
      <c r="BN58" s="455">
        <f>BM59</f>
        <v>0.9</v>
      </c>
      <c r="BO58" s="455">
        <f>Table!E12</f>
        <v>93</v>
      </c>
      <c r="BP58" s="925">
        <f>Table!F12</f>
        <v>83</v>
      </c>
      <c r="BR58" s="764"/>
      <c r="BS58" s="455"/>
      <c r="BT58" s="455"/>
      <c r="BU58" s="925" t="s">
        <v>242</v>
      </c>
      <c r="BV58" s="895"/>
      <c r="BW58" s="912"/>
      <c r="BX58" s="925" t="str">
        <f>Table!H11</f>
        <v>Double</v>
      </c>
      <c r="CH58" s="764">
        <f>IF(BN58=999,0,(BO59-BO58)/(BN58-BM58))</f>
        <v>50.000000000000014</v>
      </c>
      <c r="CI58" s="925">
        <f>IF(BN58=999,0,(BP59-BP58)/(BN58-BM58))</f>
        <v>50.000000000000014</v>
      </c>
      <c r="CJ58" s="759"/>
      <c r="CK58" s="188"/>
      <c r="CL58" s="979">
        <f>VLOOKUP(I58,Prodlink,2,0)</f>
        <v>0</v>
      </c>
      <c r="CN58" s="497">
        <f ca="1">VLOOKUP(CO58,Prodlink,2,0)</f>
        <v>0</v>
      </c>
      <c r="CO58" s="497">
        <f ca="1">OFFSET($CH$9,CL58-1,-15,1,1)</f>
        <v>0</v>
      </c>
      <c r="CQ58" s="51">
        <v>0</v>
      </c>
      <c r="CR58" s="51">
        <f>IF(K58=$BH$12,$BH$23,IF(K58=$BH$13,$BH$24,10000))</f>
        <v>10000</v>
      </c>
      <c r="CS58" s="51">
        <f ca="1">IF(F58&lt;OFFSET($BM$9,CL58-1,0,1,1),0,IF(F58&lt;OFFSET($BN$9,CL58-1,0,1,1),((F58-OFFSET($BM$9,CL58-1,0,1,1))*OFFSET($CH$9,CL58-1,0,1,1))+OFFSET($BO$9,CL58-1,CQ58,1,1),IF(F58&lt;OFFSET($BN$9,CL58+0,0,1,1),((F58-OFFSET($BM$9,CL58+0,0,1,1))*OFFSET($CH$9,CL58+0,0,1,1))+OFFSET($BO$9,CL58+0,CQ58,1,1),IF(F58&lt;OFFSET($BN$9,CL58+1,0,1,1),((F58-OFFSET($BM$9,CL58+1,0,1,1))*OFFSET($CH$9,CL58+1,0,1,1))+OFFSET($BO$9,CL58+1,CQ58,1,1),IF(F58&lt;OFFSET($BN$9,CL58+2,0,1,1),((F58-OFFSET($BM$9,CL58+2,0,1,1))*OFFSET($CH$9,CL58+2,0,1,1))+OFFSET($BO$9,CL58+2,CQ58,1,1),IF(F58&lt;OFFSET($BN$9,CL58+3,0,1,1),((F58-OFFSET($BM$9,CL58+3,0,1,1))*OFFSET($CH$9,CL58+3,0,1,1))+OFFSET($BO$9,CL58+3,CQ58,1,1),0))))))</f>
        <v>0</v>
      </c>
      <c r="CT58" s="51">
        <f ca="1">IF($F58&lt;OFFSET($BM$9,$CL58-1,0,1,1),0,IF($F58&lt;OFFSET($BN$9,$CL58-1,0,1,1),IF(AND($H58&gt;2.4,Z58&lt;&gt;"e",Z58&lt;&gt;"f"),CX58*2.4/$H58,CX58),IF($F58&lt;OFFSET($BN$9,$CL58+0,0,1,1),IF(AND($H58&gt;2.4,Z58&lt;&gt;"e",Z58&lt;&gt;"f"),CX58*2.4/$H58,CX58),IF($F58&lt;OFFSET($BN$9,$CL58+1,0,1,1),IF(AND($H58&gt;2.4,Z58&lt;&gt;"e",Z58&lt;&gt;"f"),CX58*2.4/$H58,CX58),IF($F58&lt;OFFSET($BN$9,CL58+2,0,1,1),IF(AND($H58&gt;2.4,Z58&lt;&gt;"e",Z58&lt;&gt;"f"),CX58*2.4/$H58,CX58),IF($F58&lt;OFFSET($BN$9,CL58+3,0,1,1),IF(AND($H58&gt;2.4,Z58&lt;&gt;"e",Z58&lt;&gt;"f"),CX58*2.4/$H58,CX58),0)))))*COS(RADIANS($G58)))</f>
        <v>0</v>
      </c>
      <c r="CU58" s="51">
        <f ca="1">IF(F58&lt;OFFSET($BM$9,CL58-1,0,1,1),0,IF(F58&lt;OFFSET($BN$9,CL58-1,0,1,1),((F58-OFFSET($BM$9,CL58-1,0,1,1))*OFFSET($CI$9,CL58-1,0,1,1))+OFFSET($BP$9,CL58-1,CQ58,1,1),IF(F58&lt;OFFSET($BN$9,CL58+0,0,1,1),((F58-OFFSET($BM$9,CL58+0,0,1,1))*OFFSET($CI$9,CL58+0,0,1,1))+OFFSET($BP$9,CL58+0,CQ58,1,1),IF(F58&lt;OFFSET($BN$9,CL58+1,0,1,1),((F58-OFFSET($BM$9,CL58+1,0,1,1))*OFFSET($CI$9,CL58+1,0,1,1))+OFFSET($BP$9,CL58+1,CQ58,1,1),IF(F58&lt;OFFSET($BN$9,CL58+2,0,1,1),((F58-OFFSET($BM$9,CL58+2,0,1,1))*OFFSET($CI$9,CL58+2,0,1,1))+OFFSET($BP$9,CL58+2,CQ58,1,1),IF(F58&lt;OFFSET($BN$9,CL58+3,0,1,1),((F58-OFFSET($BM$9,CL58+3,0,1,1))*OFFSET($CI$9,CL58+3,0,1,1))+OFFSET($BP$9,CL58+3,CQ58,1,1),0))))))</f>
        <v>0</v>
      </c>
      <c r="CV58" s="51">
        <f ca="1">IF($F58&lt;OFFSET($BM$9,$CL58-1,0,1,1),0,IF($F58&lt;OFFSET($BN$9,$CL58-1,0,1,1),IF(AND($H58&gt;2.4,Z58&lt;&gt;"e",Z58&lt;&gt;"f"),CZ58*2.4/$H58,CZ58),IF($F58&lt;OFFSET($BN$9,$CL58+0,0,1,1),IF(AND($H58&gt;2.4,Z58&lt;&gt;"e",Z58&lt;&gt;"f"),CZ58*2.4/$H58,CZ58),IF($F58&lt;OFFSET($BN$9,$CL58+1,0,1,1),IF(AND($H58&gt;2.4,Z58&lt;&gt;"e",Z58&lt;&gt;"f"),CZ58*2.4/$H58,CZ58),IF($F58&lt;OFFSET($BN$9,$CL58+2,0,1,1),IF(AND($H58&gt;2.4,Z58&lt;&gt;"e",Z58&lt;&gt;"f"),CZ58*2.4/$H58,CZ58),IF($F58&lt;OFFSET($BN$9,$CL58+3,0,1,1),IF(AND($H58&gt;2.4,Z58&lt;&gt;"e",Z58&lt;&gt;"f"),CZ58*2.4/$H58,CZ58),0)))))*COS(RADIANS($G58)))</f>
        <v>0</v>
      </c>
      <c r="CW58" s="51">
        <f ca="1">IF(CT58&gt;CR58,CR58,CT58)</f>
        <v>0</v>
      </c>
      <c r="CX58" s="51">
        <f ca="1">IF(CS58&gt;$CR58,$CR58,CS58)</f>
        <v>0</v>
      </c>
      <c r="CY58" s="51">
        <f ca="1">CW58*F58</f>
        <v>0</v>
      </c>
      <c r="CZ58" s="51">
        <f ca="1">IF($CU58&gt;$CR58,$CR58,$CU58)</f>
        <v>0</v>
      </c>
      <c r="DA58" s="51">
        <f ca="1">IF(CV58&gt;CR58,CR58,CV58)</f>
        <v>0</v>
      </c>
      <c r="DB58" s="51">
        <f ca="1">DA58*F58</f>
        <v>0</v>
      </c>
      <c r="DC58" s="993">
        <v>1</v>
      </c>
      <c r="DD58" s="758" t="str">
        <f>IF(OR(D58=BG$12,D58=BG$13),"External",IF(D58=BG$14,"Internal"," "))</f>
        <v xml:space="preserve"> </v>
      </c>
      <c r="DE58" s="51" t="str">
        <f t="shared" ca="1" si="1"/>
        <v/>
      </c>
      <c r="DF58" s="52" t="str">
        <f t="shared" ca="1" si="2"/>
        <v xml:space="preserve"> </v>
      </c>
      <c r="DG58" s="51">
        <f ca="1">IF(F58&lt;OFFSET($BM$9,CN58-1,0,1,1),0,IF(F58&lt;OFFSET($BN$9,CN58-1,0,1,1),((F58-OFFSET($BM$9,CN58-1,0,1,1))*OFFSET($CH$9,CN58-1,0,1,1))+OFFSET($BO$9,CN58-1,CQ58,1,1),IF(F58&lt;OFFSET($BN$9,CN58+0,0,1,1),((F58-OFFSET($BM$9,CN58+0,0,1,1))*OFFSET($CH$9,CN58+0,0,1,1))+OFFSET($BO$9,CN58+0,CQ58,1,1),IF(F58&lt;OFFSET($BN$9,CN58+1,0,1,1),((F58-OFFSET($BM$9,CN58+1,0,1,1))*OFFSET($CH$9,CN58+1,0,1,1))+OFFSET($BO$9,CN58+1,CQ58,1,1),IF(F58&lt;OFFSET($BN$9,CN58+2,0,1,1),((F58-OFFSET($BM$9,CN58+2,0,1,1))*OFFSET($CH$9,CN58+2,0,1,1))+OFFSET($BO$9,CN58+2,CQ58,1,1),IF(F58&lt;OFFSET($BN$9,CN58+3,0,1,1),((F58-OFFSET($BM$9,CN58+3,0,1,1))*OFFSET($CH$9,CN58+3,0,1,1))+OFFSET($BO$9,CN58+3,CQ58,1,1),0))))))</f>
        <v>0</v>
      </c>
      <c r="DH58" s="51">
        <f ca="1">IF($F58&lt;OFFSET($BM$9,$CN58-1,0,1,1),0,IF($F58&lt;OFFSET($BN$9,$CN58-1,0,1,1),IF(AND($H58&gt;2.4,Z58&lt;&gt;"e",Z58&lt;&gt;"f"),DL58*2.4/$H58,DL58),IF($F58&lt;OFFSET($BN$9,$CN58+0,0,1,1),IF(AND($H58&gt;2.4,Z58&lt;&gt;"e",Z58&lt;&gt;"f"),DL58*2.4/$H58,DL58),IF($F58&lt;OFFSET($BN$9,$CN58+1,0,1,1),IF(AND($H58&gt;2.4,Z58&lt;&gt;"e",Z58&lt;&gt;"f"),DL58*2.4/$H58,DL58),IF($F58&lt;OFFSET($BN$9,$CN58+2,0,1,1),IF(AND($H58&gt;2.4,Z58&lt;&gt;"e",Z58&lt;&gt;"f"),DL58*2.4/$H58,DL58),IF($F58&lt;OFFSET($BN$9,$CN58+3,0,1,1),IF(AND($H58&gt;2.4,Z58&lt;&gt;"e",Z58&lt;&gt;"f"),DL58*2.4/$H58,DL58),0)))))*COS(RADIANS($G58)))</f>
        <v>0</v>
      </c>
      <c r="DI58" s="51">
        <f ca="1">IF(F58&lt;OFFSET($BM$9,CN58-1,0,1,1),0,IF(F58&lt;OFFSET($BN$9,CN58-1,0,1,1),((F58-OFFSET($BM$9,CN58-1,0,1,1))*OFFSET($CI$9,CN58-1,0,1,1))+OFFSET($BP$9,CN58-1,CQ58,1,1),IF(F58&lt;OFFSET($BN$9,CN58+0,0,1,1),((F58-OFFSET($BM$9,CN58+0,0,1,1))*OFFSET($CI$9,CN58+0,0,1,1))+OFFSET($BP$9,CN58+0,CQ58,1,1),IF(F58&lt;OFFSET($BN$9,CN58+1,0,1,1),((F58-OFFSET($BM$9,CN58+1,0,1,1))*OFFSET($CI$9,CN58+1,0,1,1))+OFFSET($BP$9,CN58+1,CQ58,1,1),IF(F58&lt;OFFSET($BN$9,CN58+2,0,1,1),((F58-OFFSET($BM$9,CN58+2,0,1,1))*OFFSET($CI$9,CN58+2,0,1,1))+OFFSET($BP$9,CN58+2,CQ58,1,1),IF(F58&lt;OFFSET($BN$9,CN58+3,0,1,1),((F58-OFFSET($BM$9,CN58+3,0,1,1))*OFFSET($CI$9,CN58+3,0,1,1))+OFFSET($BP$9,CN58+3,CQ58,1,1),0))))))</f>
        <v>0</v>
      </c>
      <c r="DJ58" s="51">
        <f ca="1">IF($F58&lt;OFFSET($BM$9,$CN58-1,0,1,1),0,IF($F58&lt;OFFSET($BN$9,$CN58-1,0,1,1),IF(AND($H58&gt;2.4,Z58&lt;&gt;"e",Z58&lt;&gt;"f"),DN58*2.4/$H58,DN58),IF($F58&lt;OFFSET($BN$9,$CN58+0,0,1,1),IF(AND($H58&gt;2.4,Z58&lt;&gt;"e",Z58&lt;&gt;"f"),DN58*2.4/$H58,DN58),IF($F58&lt;OFFSET($BN$9,$CN58+1,0,1,1),IF(AND($H58&gt;2.4,Z58&lt;&gt;"e",Z58&lt;&gt;"f"),DN58*2.4/$H58,DN58),IF($F58&lt;OFFSET($BN$9,$CN58+2,0,1,1),IF(AND($H58&gt;2.4,Z58&lt;&gt;"e",Z58&lt;&gt;"f"),DN58*2.4/$H58,DN58),IF($F58&lt;OFFSET($BN$9,$CN58+3,0,1,1),IF(AND($H58&gt;2.4,Z58&lt;&gt;"e",Z58&lt;&gt;"f"),DN58*2.4/$H58,DN58),0)))))*COS(RADIANS($G58)))</f>
        <v>0</v>
      </c>
      <c r="DK58" s="51"/>
      <c r="DL58" s="51">
        <f ca="1">IF(DG58&gt;$CR58,$CR58,DG58)</f>
        <v>0</v>
      </c>
      <c r="DM58" s="51"/>
      <c r="DN58" s="51">
        <f ca="1">IF(DI58&gt;$CR58,$CR58,DI58)</f>
        <v>0</v>
      </c>
      <c r="DO58" s="435">
        <f ca="1">IF(DH58&gt;$CR58,$CR58,DH58)</f>
        <v>0</v>
      </c>
      <c r="DP58" s="435">
        <f ca="1">DO58*F58</f>
        <v>0</v>
      </c>
      <c r="DQ58" s="436">
        <f ca="1">IF(DJ58&gt;$CR58,$CR58,DJ58)</f>
        <v>0</v>
      </c>
      <c r="DR58" s="437">
        <f ca="1">DQ58*F58</f>
        <v>0</v>
      </c>
      <c r="DS58" s="426">
        <f ca="1">OFFSET($CH$9,CL58-1,-15,1,1)</f>
        <v>0</v>
      </c>
      <c r="DT58" s="426">
        <f ca="1">VLOOKUP(DS58,Prodlink,2,0)</f>
        <v>0</v>
      </c>
      <c r="DU58" s="188">
        <f ca="1">IF(F58&lt;OFFSET($BM$9,DT58-1,0,1,1),0,IF(F58&lt;OFFSET($BN$9,DT58-1,0,1,1),((F58-OFFSET($BM$9,DT58-1,0,1,1))*OFFSET($CH$9,DT58-1,0,1,1))+OFFSET($BO$9,DT58-1,CQ58,1,1),IF(F58&lt;OFFSET($BN$9,DT58+0,0,1,1),((F58-OFFSET($BM$9,DT58+0,0,1,1))*OFFSET($CH$9,DT58+0,0,1,1))+OFFSET($BO$9,DT58+0,CQ58,1,1),IF(F58&lt;OFFSET($BN$9,DT58+1,0,1,1),((F58-OFFSET($BM$9,DT58+1,0,1,1))*OFFSET($CH$9,DT58+1,0,1,1))+OFFSET($BO$9,DT58+1,CQ58,1,1),IF(F58&lt;OFFSET($BN$9,DT58+2,0,1,1),((F58-OFFSET($BM$9,DT58+2,0,1,1))*OFFSET($CH$9,DT58+2,0,1,1))+OFFSET($BO$9,DT58+2,CQ58,1,1),IF(F58&lt;OFFSET($BN$9,DT58+3,0,1,1),((F58-OFFSET($BM$9,DT58+3,0,1,1))*OFFSET($CH$9,DT58+3,0,1,1))+OFFSET($BO$9,DT58+3,CQ58,1,1),0))))))</f>
        <v>0</v>
      </c>
      <c r="DV58" s="51">
        <f ca="1">IF($F58&lt;OFFSET($BM$9,$DT58-1,0,1,1),0,IF($F58&lt;OFFSET($BN$9,$DT58-1,0,1,1),IF(AND($H58&gt;2.4,Z58&lt;&gt;"e",Z58&lt;&gt;"f"),DZ58*2.4/$H58,DZ58),IF($F58&lt;OFFSET($BN$9,$DT58+0,0,1,1),IF(AND($H58&gt;2.4,Z58&lt;&gt;"e",Z58&lt;&gt;"f"),DZ58*2.4/$H58,DZ58),IF($F58&lt;OFFSET($BN$9,$DT58+1,0,1,1),IF(AND($H58&gt;2.4,Z58&lt;&gt;"e",Z58&lt;&gt;"f"),DZ58*2.4/$H58,DZ58),IF($F58&lt;OFFSET($BN$9,$DT58+2,0,1,1),IF(AND($H58&gt;2.4,Z58&lt;&gt;"e",Z58&lt;&gt;"f"),DZ58*2.4/$H58,DZ58),IF($F58&lt;OFFSET($BN$9,$DT58+3,0,1,1),IF(AND($H58&gt;2.4,Z58&lt;&gt;"e",Z58&lt;&gt;"f"),DZ58*2.4/$H58,DZ58),0)))))*COS(RADIANS($G58)))</f>
        <v>0</v>
      </c>
      <c r="DW58" s="188">
        <f ca="1">IF(F58&lt;OFFSET($BM$9,DT58-1,0,1,1),0,IF(F58&lt;OFFSET($BN$9,DT58-1,0,1,1),((F58-OFFSET($BM$9,DT58-1,0,1,1))*OFFSET($CI$9,DT58-1,0,1,1))+OFFSET($BP$9,DT58-1,CQ58,1,1),IF(F58&lt;OFFSET($BN$9,DT58+0,0,1,1),((F58-OFFSET($BM$9,DT58+0,0,1,1))*OFFSET($CI$9,DT58+0,0,1,1))+OFFSET($BP$9,DT58+0,CQ58,1,1),IF(F58&lt;OFFSET($BN$9,DT58+1,0,1,1),((F58-OFFSET($BM$9,DT58+1,0,1,1))*OFFSET($CI$9,DT58+1,0,1,1))+OFFSET($BP$9,DT58+1,CQ58,1,1),IF(F58&lt;OFFSET($BN$9,DT58+2,0,1,1),((F58-OFFSET($BM$9,DT58+2,0,1,1))*OFFSET($CI$9,DT58+2,0,1,1))+OFFSET($BP$9,DT58+2,CQ58,1,1),IF(F58&lt;OFFSET($BN$9,DT58+3,0,1,1),((F58-OFFSET($BM$9,DT58+3,0,1,1))*OFFSET($CI$9,DT58+3,0,1,1))+OFFSET($BP$9,DT58+3,CQ58,1,1),0))))))</f>
        <v>0</v>
      </c>
      <c r="DX58" s="51">
        <f ca="1">IF($F58&lt;OFFSET($BM$9,$DT58-1,0,1,1),0,IF($F58&lt;OFFSET($BN$9,$DT58-1,0,1,1),IF(AND($H58&gt;2.4,Z58&lt;&gt;"e",Z58&lt;&gt;"f"),EB58*2.4/$H58,EB58),IF($F58&lt;OFFSET($BN$9,$DT58+0,0,1,1),IF(AND($H58&gt;2.4,Z58&lt;&gt;"e",Z58&lt;&gt;"f"),EB58*2.4/$H58,EB58),IF($F58&lt;OFFSET($BN$9,$DT58+1,0,1,1),IF(AND($H58&gt;2.4,Z58&lt;&gt;"e",Z58&lt;&gt;"f"),EB58*2.4/$H58,EB58),IF($F58&lt;OFFSET($BN$9,$DT58+2,0,1,1),IF(AND($H58&gt;2.4,Z58&lt;&gt;"e",Z58&lt;&gt;"f"),EB58*2.4/$H58,EB58),IF($F58&lt;OFFSET($BN$9,$DT58+3,0,1,1),IF(AND($H58&gt;2.4,Z58&lt;&gt;"e",Z58&lt;&gt;"f"),EB58*2.4/$H58,EB58),0)))))*COS(RADIANS($G58)))</f>
        <v>0</v>
      </c>
      <c r="DY58" s="188"/>
      <c r="DZ58" s="188">
        <f ca="1">IF(DU58&gt;$CR58,$CR58,DU58)</f>
        <v>0</v>
      </c>
      <c r="EA58" s="188"/>
      <c r="EB58" s="188">
        <f ca="1">IF(DW58&gt;$CR58,$CR58,DW58)</f>
        <v>0</v>
      </c>
      <c r="EC58" s="435">
        <f ca="1">IF(DV58&gt;$CR58,$CR58,DV58)</f>
        <v>0</v>
      </c>
      <c r="ED58" s="435">
        <f ca="1">EC58*F58</f>
        <v>0</v>
      </c>
      <c r="EE58" s="436">
        <f ca="1">IF(DX58&gt;$CR58,$CR58,DX58)</f>
        <v>0</v>
      </c>
      <c r="EF58" s="437">
        <f ca="1">EE58*F58</f>
        <v>0</v>
      </c>
      <c r="EG58" s="613" t="str">
        <f>IF(D58=BG$12,BG$12,"")</f>
        <v/>
      </c>
      <c r="EH58" s="614" t="str">
        <f>IF(D58=BG$13,BG$13,"")</f>
        <v/>
      </c>
      <c r="EI58" s="611">
        <f>IF(EG58=BG$12,M58,0)</f>
        <v>0</v>
      </c>
      <c r="EJ58" s="451">
        <f>IF(EG58=BG$12,O58,0)</f>
        <v>0</v>
      </c>
      <c r="EK58" s="451">
        <f>IF(EH58=BG$13,M58,0)</f>
        <v>0</v>
      </c>
      <c r="EL58" s="612">
        <f>IF(EH58=BG$13,O58,0)</f>
        <v>0</v>
      </c>
      <c r="EM58" s="426" t="str">
        <f ca="1">IF(AND(Z58&lt;&gt;"t",Z58&lt;&gt;"f"),"",IF(AND(EN58=$BH$13,K58=$BH$12),"NotOpt",IF(K58&lt;&gt;EN58,"Error","")))</f>
        <v/>
      </c>
      <c r="EN58" s="490" t="str">
        <f>IF($BG$28=1,$BH$13,$BH$12)</f>
        <v>120 BU's</v>
      </c>
      <c r="EO58" s="426" t="str">
        <f>K58</f>
        <v xml:space="preserve"> </v>
      </c>
      <c r="EP58" s="430">
        <v>1</v>
      </c>
      <c r="EQ58" s="430" t="str">
        <f ca="1">IF(EP58=1," ",OFFSET(BF$16,EP58-2,0,1,1))</f>
        <v xml:space="preserve"> </v>
      </c>
      <c r="ER58" s="439" t="str">
        <f ca="1">IF(H58=0," ",H58)</f>
        <v xml:space="preserve"> </v>
      </c>
      <c r="ES58" s="440" t="str">
        <f ca="1">IF(ER58&lt;&gt;" ",IF(ER58&lt;&gt;ER$7,"Changed",""),"")</f>
        <v/>
      </c>
      <c r="ET58" s="440">
        <f ca="1">IF(ER58&lt;&gt;" ",IF(ER58&lt;&gt;ER$7,1,0),0)</f>
        <v>0</v>
      </c>
      <c r="EU58" s="957" t="str">
        <f ca="1">IF(I58=" "," ",IF(F58&lt;OFFSET($BM$9,CL58-1,0,1,1),1,""))</f>
        <v xml:space="preserve"> </v>
      </c>
      <c r="EW58" s="427"/>
      <c r="EX58"/>
      <c r="EY58"/>
      <c r="EZ58"/>
      <c r="FA58"/>
    </row>
    <row r="59" spans="1:157" ht="17.100000000000001" customHeight="1">
      <c r="A59" s="2685"/>
      <c r="B59" s="689" t="s">
        <v>246</v>
      </c>
      <c r="C59" s="684" t="str">
        <f>IF(OR(F59=0,I59="",I59=" ")," ",$V59)</f>
        <v xml:space="preserve"> </v>
      </c>
      <c r="D59" s="1033"/>
      <c r="E59" s="1360" t="s">
        <v>8</v>
      </c>
      <c r="F59" s="202"/>
      <c r="G59" s="1416"/>
      <c r="H59" s="199" t="str">
        <f ca="1">IF(OR(F59=0,Z59="E",Z59="f")," ",'Project Demand'!E$45)</f>
        <v xml:space="preserve"> </v>
      </c>
      <c r="I59" s="631" t="str">
        <f>IF($I$6&lt;&gt;$BG$8," ",AB59)</f>
        <v xml:space="preserve"> </v>
      </c>
      <c r="J59" s="44" t="str">
        <f ca="1">IF(OR(I59=" ",I59="")," ",OFFSET($BO$9,CL59-1,0-4,1,1))</f>
        <v xml:space="preserve"> </v>
      </c>
      <c r="K59" s="55" t="str">
        <f>IF(OR(I59=" ",I59="")," ",IF(OR(Z59="e",Z59="h"),"SD",BG$24))</f>
        <v xml:space="preserve"> </v>
      </c>
      <c r="L59" s="49">
        <f ca="1">CW59</f>
        <v>0</v>
      </c>
      <c r="M59" s="49">
        <f ca="1">CY59</f>
        <v>0</v>
      </c>
      <c r="N59" s="50">
        <f t="shared" ca="1" si="29"/>
        <v>0</v>
      </c>
      <c r="O59" s="126">
        <f t="shared" ca="1" si="29"/>
        <v>0</v>
      </c>
      <c r="P59" s="140"/>
      <c r="Q59" s="752" t="str">
        <f ca="1">IF(AND(OR(Z59="t",Z59="f"),K59=$BH$11),"No Floor!  Change Floor Type",IF(OR(I59=" ",I59="")," ",IF(F59&lt;OFFSET($BM$9,CL59-1,0,1,1),"check L(m)",DE59&amp;IF(AND(DP59&gt;=CY59,DR59&gt;=DB59),IF(AND(ED59&gt;=DP59,EF59&gt;=DR59),CONCATENATE(DS59," will provide same result"),CONCATENATE(CO59," will provide same result")),IF((DP59&gt;=CY59),CONCATENATE(CO59," provides same result in WIND"),IF((DR59&gt;=DB59),CONCATENATE(CO59," provides same result in EQ"),""))))))&amp;IF(ISERROR(FIND("pile",I59,1)),"",IF(INT(F59)&lt;&gt;F59,"Pile!  Use Whole Numbers Only",""))</f>
        <v xml:space="preserve"> </v>
      </c>
      <c r="R59" s="52"/>
      <c r="S59" s="1372"/>
      <c r="T59" s="1372"/>
      <c r="U59" s="1377"/>
      <c r="V59" s="52" t="str">
        <f ca="1">IF(AND(B$5=$BF$9,OR(I59=BH$16,I59=BH$17))," ",IF(ISNUMBER(B$56),(CONCATENATE(B$56,".",W59)),(CONCATENATE(B$56,W59))))</f>
        <v>U0</v>
      </c>
      <c r="W59" s="9">
        <f ca="1">W58+X59</f>
        <v>0</v>
      </c>
      <c r="X59" s="9">
        <f>IF(AND(B$5=$BF$9,OR($I59=$BH$16,$I59=$BH$17,$I59=" ",$I59="",$F59=0)),0,IF(OR($I59=" ",$I59="",$F59=0),0,1))</f>
        <v>0</v>
      </c>
      <c r="Y59" s="896"/>
      <c r="Z59" s="52" t="str">
        <f ca="1">IF(I59=" "," ",OFFSET($BM$9,$CL59-1,8,1,1))</f>
        <v xml:space="preserve"> </v>
      </c>
      <c r="AA59" s="51" t="str">
        <f>IF(G59&gt;=45,"WA","")</f>
        <v/>
      </c>
      <c r="AB59" s="1364" t="str">
        <f>IF(F59&lt;&gt;"",IF(OR(D59=$BG$12,D59=$BG$13),IF(E59&lt;&gt;$BG$17,$BF$12,$BF$13),IF(E59&lt;&gt;$BG$17,$BF$12,$BF$13))," ")</f>
        <v xml:space="preserve"> </v>
      </c>
      <c r="AC59" s="1"/>
      <c r="AK59" s="63" t="str">
        <f>'Custom Elements'!B20</f>
        <v xml:space="preserve">  </v>
      </c>
      <c r="AL59" s="860" t="str">
        <f>'Custom Elements'!C20</f>
        <v>Custom12</v>
      </c>
      <c r="AM59" s="11">
        <f>'Custom Elements'!D20</f>
        <v>9.9999999999999996E-76</v>
      </c>
      <c r="AN59" s="7">
        <f>'Custom Elements'!E20</f>
        <v>0</v>
      </c>
      <c r="AO59" s="7">
        <f>'Custom Elements'!F20</f>
        <v>0</v>
      </c>
      <c r="AP59" s="762" t="str">
        <f>'Custom Elements'!G20</f>
        <v>B</v>
      </c>
      <c r="AQ59" s="1777" t="str">
        <f>'Custom Elements'!H20</f>
        <v>Single</v>
      </c>
      <c r="AR59" s="1775" t="str">
        <f>'Custom Elements'!I20</f>
        <v>Yes</v>
      </c>
      <c r="AS59" s="442" t="str">
        <f>'Custom Elements'!J20</f>
        <v>Yes</v>
      </c>
      <c r="AT59" s="1598"/>
      <c r="AU59" s="1155"/>
      <c r="AZ59" s="442" t="str">
        <f>IF(AND('Custom Elements'!J20="Yes",'Custom Elements'!I20="Yes"),"T",IF('Custom Elements'!J20="Yes","F",IF('Custom Elements'!I20="Yes","H","E")))</f>
        <v>T</v>
      </c>
      <c r="BA59"/>
      <c r="BB59"/>
      <c r="BC59"/>
      <c r="BD59" s="638"/>
      <c r="BE59" s="2717" t="str">
        <f>IF($BE$3=1,BE57,BE58)</f>
        <v>"Min Bu's entered &lt; 100"</v>
      </c>
      <c r="BF59" s="2718"/>
      <c r="BG59" s="2718"/>
      <c r="BH59" s="479"/>
      <c r="BI59" s="759"/>
      <c r="BJ59" s="897">
        <f t="shared" si="25"/>
        <v>51</v>
      </c>
      <c r="BK59" s="764"/>
      <c r="BL59" s="766"/>
      <c r="BM59" s="455">
        <f>Table!D13</f>
        <v>0.9</v>
      </c>
      <c r="BN59" s="455">
        <f>BM60</f>
        <v>1.2</v>
      </c>
      <c r="BO59" s="455">
        <f>Table!E13</f>
        <v>98</v>
      </c>
      <c r="BP59" s="925">
        <f>Table!F13</f>
        <v>88</v>
      </c>
      <c r="BR59" s="764"/>
      <c r="BS59" s="455"/>
      <c r="BT59" s="455"/>
      <c r="BU59" s="925" t="s">
        <v>242</v>
      </c>
      <c r="BV59" s="895"/>
      <c r="BW59" s="912"/>
      <c r="BX59" s="925" t="str">
        <f>Table!H11</f>
        <v>Double</v>
      </c>
      <c r="CH59" s="764">
        <f>IF(BN59=999,0,(BO60-BO59)/(BN59-BM59))</f>
        <v>0</v>
      </c>
      <c r="CI59" s="925">
        <f>IF(BN59=999,0,(BP60-BP59)/(BN59-BM59))</f>
        <v>0</v>
      </c>
      <c r="CJ59" s="759"/>
      <c r="CK59" s="188"/>
      <c r="CL59" s="979">
        <f>VLOOKUP(I59,Prodlink,2,0)</f>
        <v>0</v>
      </c>
      <c r="CN59" s="497">
        <f ca="1">VLOOKUP(CO59,Prodlink,2,0)</f>
        <v>0</v>
      </c>
      <c r="CO59" s="497">
        <f ca="1">OFFSET($CH$9,CL59-1,-15,1,1)</f>
        <v>0</v>
      </c>
      <c r="CQ59" s="51">
        <v>0</v>
      </c>
      <c r="CR59" s="51">
        <f>IF(K59=$BH$12,$BH$23,IF(K59=$BH$13,$BH$24,10000))</f>
        <v>10000</v>
      </c>
      <c r="CS59" s="51">
        <f ca="1">IF(F59&lt;OFFSET($BM$9,CL59-1,0,1,1),0,IF(F59&lt;OFFSET($BN$9,CL59-1,0,1,1),((F59-OFFSET($BM$9,CL59-1,0,1,1))*OFFSET($CH$9,CL59-1,0,1,1))+OFFSET($BO$9,CL59-1,CQ59,1,1),IF(F59&lt;OFFSET($BN$9,CL59+0,0,1,1),((F59-OFFSET($BM$9,CL59+0,0,1,1))*OFFSET($CH$9,CL59+0,0,1,1))+OFFSET($BO$9,CL59+0,CQ59,1,1),IF(F59&lt;OFFSET($BN$9,CL59+1,0,1,1),((F59-OFFSET($BM$9,CL59+1,0,1,1))*OFFSET($CH$9,CL59+1,0,1,1))+OFFSET($BO$9,CL59+1,CQ59,1,1),IF(F59&lt;OFFSET($BN$9,CL59+2,0,1,1),((F59-OFFSET($BM$9,CL59+2,0,1,1))*OFFSET($CH$9,CL59+2,0,1,1))+OFFSET($BO$9,CL59+2,CQ59,1,1),IF(F59&lt;OFFSET($BN$9,CL59+3,0,1,1),((F59-OFFSET($BM$9,CL59+3,0,1,1))*OFFSET($CH$9,CL59+3,0,1,1))+OFFSET($BO$9,CL59+3,CQ59,1,1),0))))))</f>
        <v>0</v>
      </c>
      <c r="CT59" s="51">
        <f ca="1">IF($F59&lt;OFFSET($BM$9,$CL59-1,0,1,1),0,IF($F59&lt;OFFSET($BN$9,$CL59-1,0,1,1),IF(AND($H59&gt;2.4,Z59&lt;&gt;"e",Z59&lt;&gt;"f"),CX59*2.4/$H59,CX59),IF($F59&lt;OFFSET($BN$9,$CL59+0,0,1,1),IF(AND($H59&gt;2.4,Z59&lt;&gt;"e",Z59&lt;&gt;"f"),CX59*2.4/$H59,CX59),IF($F59&lt;OFFSET($BN$9,$CL59+1,0,1,1),IF(AND($H59&gt;2.4,Z59&lt;&gt;"e",Z59&lt;&gt;"f"),CX59*2.4/$H59,CX59),IF($F59&lt;OFFSET($BN$9,CL59+2,0,1,1),IF(AND($H59&gt;2.4,Z59&lt;&gt;"e",Z59&lt;&gt;"f"),CX59*2.4/$H59,CX59),IF($F59&lt;OFFSET($BN$9,CL59+3,0,1,1),IF(AND($H59&gt;2.4,Z59&lt;&gt;"e",Z59&lt;&gt;"f"),CX59*2.4/$H59,CX59),0)))))*COS(RADIANS($G59)))</f>
        <v>0</v>
      </c>
      <c r="CU59" s="51">
        <f ca="1">IF(F59&lt;OFFSET($BM$9,CL59-1,0,1,1),0,IF(F59&lt;OFFSET($BN$9,CL59-1,0,1,1),((F59-OFFSET($BM$9,CL59-1,0,1,1))*OFFSET($CI$9,CL59-1,0,1,1))+OFFSET($BP$9,CL59-1,CQ59,1,1),IF(F59&lt;OFFSET($BN$9,CL59+0,0,1,1),((F59-OFFSET($BM$9,CL59+0,0,1,1))*OFFSET($CI$9,CL59+0,0,1,1))+OFFSET($BP$9,CL59+0,CQ59,1,1),IF(F59&lt;OFFSET($BN$9,CL59+1,0,1,1),((F59-OFFSET($BM$9,CL59+1,0,1,1))*OFFSET($CI$9,CL59+1,0,1,1))+OFFSET($BP$9,CL59+1,CQ59,1,1),IF(F59&lt;OFFSET($BN$9,CL59+2,0,1,1),((F59-OFFSET($BM$9,CL59+2,0,1,1))*OFFSET($CI$9,CL59+2,0,1,1))+OFFSET($BP$9,CL59+2,CQ59,1,1),IF(F59&lt;OFFSET($BN$9,CL59+3,0,1,1),((F59-OFFSET($BM$9,CL59+3,0,1,1))*OFFSET($CI$9,CL59+3,0,1,1))+OFFSET($BP$9,CL59+3,CQ59,1,1),0))))))</f>
        <v>0</v>
      </c>
      <c r="CV59" s="51">
        <f ca="1">IF($F59&lt;OFFSET($BM$9,$CL59-1,0,1,1),0,IF($F59&lt;OFFSET($BN$9,$CL59-1,0,1,1),IF(AND($H59&gt;2.4,Z59&lt;&gt;"e",Z59&lt;&gt;"f"),CZ59*2.4/$H59,CZ59),IF($F59&lt;OFFSET($BN$9,$CL59+0,0,1,1),IF(AND($H59&gt;2.4,Z59&lt;&gt;"e",Z59&lt;&gt;"f"),CZ59*2.4/$H59,CZ59),IF($F59&lt;OFFSET($BN$9,$CL59+1,0,1,1),IF(AND($H59&gt;2.4,Z59&lt;&gt;"e",Z59&lt;&gt;"f"),CZ59*2.4/$H59,CZ59),IF($F59&lt;OFFSET($BN$9,$CL59+2,0,1,1),IF(AND($H59&gt;2.4,Z59&lt;&gt;"e",Z59&lt;&gt;"f"),CZ59*2.4/$H59,CZ59),IF($F59&lt;OFFSET($BN$9,$CL59+3,0,1,1),IF(AND($H59&gt;2.4,Z59&lt;&gt;"e",Z59&lt;&gt;"f"),CZ59*2.4/$H59,CZ59),0)))))*COS(RADIANS($G59)))</f>
        <v>0</v>
      </c>
      <c r="CW59" s="51">
        <f ca="1">IF(CT59&gt;CR59,CR59,CT59)</f>
        <v>0</v>
      </c>
      <c r="CX59" s="51">
        <f ca="1">IF(CS59&gt;$CR59,$CR59,CS59)</f>
        <v>0</v>
      </c>
      <c r="CY59" s="51">
        <f ca="1">CW59*F59</f>
        <v>0</v>
      </c>
      <c r="CZ59" s="51">
        <f ca="1">IF($CU59&gt;$CR59,$CR59,$CU59)</f>
        <v>0</v>
      </c>
      <c r="DA59" s="51">
        <f ca="1">IF(CV59&gt;CR59,CR59,CV59)</f>
        <v>0</v>
      </c>
      <c r="DB59" s="51">
        <f ca="1">DA59*F59</f>
        <v>0</v>
      </c>
      <c r="DC59" s="993">
        <v>1</v>
      </c>
      <c r="DD59" s="758" t="str">
        <f>IF(OR(D59=BG$12,D59=BG$13),"External",IF(D59=BG$14,"Internal"," "))</f>
        <v xml:space="preserve"> </v>
      </c>
      <c r="DE59" s="51" t="str">
        <f t="shared" ca="1" si="1"/>
        <v/>
      </c>
      <c r="DF59" s="52" t="str">
        <f t="shared" ca="1" si="2"/>
        <v xml:space="preserve"> </v>
      </c>
      <c r="DG59" s="51">
        <f ca="1">IF(F59&lt;OFFSET($BM$9,CN59-1,0,1,1),0,IF(F59&lt;OFFSET($BN$9,CN59-1,0,1,1),((F59-OFFSET($BM$9,CN59-1,0,1,1))*OFFSET($CH$9,CN59-1,0,1,1))+OFFSET($BO$9,CN59-1,CQ59,1,1),IF(F59&lt;OFFSET($BN$9,CN59+0,0,1,1),((F59-OFFSET($BM$9,CN59+0,0,1,1))*OFFSET($CH$9,CN59+0,0,1,1))+OFFSET($BO$9,CN59+0,CQ59,1,1),IF(F59&lt;OFFSET($BN$9,CN59+1,0,1,1),((F59-OFFSET($BM$9,CN59+1,0,1,1))*OFFSET($CH$9,CN59+1,0,1,1))+OFFSET($BO$9,CN59+1,CQ59,1,1),IF(F59&lt;OFFSET($BN$9,CN59+2,0,1,1),((F59-OFFSET($BM$9,CN59+2,0,1,1))*OFFSET($CH$9,CN59+2,0,1,1))+OFFSET($BO$9,CN59+2,CQ59,1,1),IF(F59&lt;OFFSET($BN$9,CN59+3,0,1,1),((F59-OFFSET($BM$9,CN59+3,0,1,1))*OFFSET($CH$9,CN59+3,0,1,1))+OFFSET($BO$9,CN59+3,CQ59,1,1),0))))))</f>
        <v>0</v>
      </c>
      <c r="DH59" s="51">
        <f ca="1">IF($F59&lt;OFFSET($BM$9,$CN59-1,0,1,1),0,IF($F59&lt;OFFSET($BN$9,$CN59-1,0,1,1),IF(AND($H59&gt;2.4,Z59&lt;&gt;"e",Z59&lt;&gt;"f"),DL59*2.4/$H59,DL59),IF($F59&lt;OFFSET($BN$9,$CN59+0,0,1,1),IF(AND($H59&gt;2.4,Z59&lt;&gt;"e",Z59&lt;&gt;"f"),DL59*2.4/$H59,DL59),IF($F59&lt;OFFSET($BN$9,$CN59+1,0,1,1),IF(AND($H59&gt;2.4,Z59&lt;&gt;"e",Z59&lt;&gt;"f"),DL59*2.4/$H59,DL59),IF($F59&lt;OFFSET($BN$9,$CN59+2,0,1,1),IF(AND($H59&gt;2.4,Z59&lt;&gt;"e",Z59&lt;&gt;"f"),DL59*2.4/$H59,DL59),IF($F59&lt;OFFSET($BN$9,$CN59+3,0,1,1),IF(AND($H59&gt;2.4,Z59&lt;&gt;"e",Z59&lt;&gt;"f"),DL59*2.4/$H59,DL59),0)))))*COS(RADIANS($G59)))</f>
        <v>0</v>
      </c>
      <c r="DI59" s="51">
        <f ca="1">IF(F59&lt;OFFSET($BM$9,CN59-1,0,1,1),0,IF(F59&lt;OFFSET($BN$9,CN59-1,0,1,1),((F59-OFFSET($BM$9,CN59-1,0,1,1))*OFFSET($CI$9,CN59-1,0,1,1))+OFFSET($BP$9,CN59-1,CQ59,1,1),IF(F59&lt;OFFSET($BN$9,CN59+0,0,1,1),((F59-OFFSET($BM$9,CN59+0,0,1,1))*OFFSET($CI$9,CN59+0,0,1,1))+OFFSET($BP$9,CN59+0,CQ59,1,1),IF(F59&lt;OFFSET($BN$9,CN59+1,0,1,1),((F59-OFFSET($BM$9,CN59+1,0,1,1))*OFFSET($CI$9,CN59+1,0,1,1))+OFFSET($BP$9,CN59+1,CQ59,1,1),IF(F59&lt;OFFSET($BN$9,CN59+2,0,1,1),((F59-OFFSET($BM$9,CN59+2,0,1,1))*OFFSET($CI$9,CN59+2,0,1,1))+OFFSET($BP$9,CN59+2,CQ59,1,1),IF(F59&lt;OFFSET($BN$9,CN59+3,0,1,1),((F59-OFFSET($BM$9,CN59+3,0,1,1))*OFFSET($CI$9,CN59+3,0,1,1))+OFFSET($BP$9,CN59+3,CQ59,1,1),0))))))</f>
        <v>0</v>
      </c>
      <c r="DJ59" s="51">
        <f ca="1">IF($F59&lt;OFFSET($BM$9,$CN59-1,0,1,1),0,IF($F59&lt;OFFSET($BN$9,$CN59-1,0,1,1),IF(AND($H59&gt;2.4,Z59&lt;&gt;"e",Z59&lt;&gt;"f"),DN59*2.4/$H59,DN59),IF($F59&lt;OFFSET($BN$9,$CN59+0,0,1,1),IF(AND($H59&gt;2.4,Z59&lt;&gt;"e",Z59&lt;&gt;"f"),DN59*2.4/$H59,DN59),IF($F59&lt;OFFSET($BN$9,$CN59+1,0,1,1),IF(AND($H59&gt;2.4,Z59&lt;&gt;"e",Z59&lt;&gt;"f"),DN59*2.4/$H59,DN59),IF($F59&lt;OFFSET($BN$9,$CN59+2,0,1,1),IF(AND($H59&gt;2.4,Z59&lt;&gt;"e",Z59&lt;&gt;"f"),DN59*2.4/$H59,DN59),IF($F59&lt;OFFSET($BN$9,$CN59+3,0,1,1),IF(AND($H59&gt;2.4,Z59&lt;&gt;"e",Z59&lt;&gt;"f"),DN59*2.4/$H59,DN59),0)))))*COS(RADIANS($G59)))</f>
        <v>0</v>
      </c>
      <c r="DK59" s="51"/>
      <c r="DL59" s="51">
        <f ca="1">IF(DG59&gt;$CR59,$CR59,DG59)</f>
        <v>0</v>
      </c>
      <c r="DM59" s="51"/>
      <c r="DN59" s="51">
        <f ca="1">IF(DI59&gt;$CR59,$CR59,DI59)</f>
        <v>0</v>
      </c>
      <c r="DO59" s="435">
        <f ca="1">IF(DH59&gt;$CR59,$CR59,DH59)</f>
        <v>0</v>
      </c>
      <c r="DP59" s="435">
        <f ca="1">DO59*F59</f>
        <v>0</v>
      </c>
      <c r="DQ59" s="436">
        <f ca="1">IF(DJ59&gt;$CR59,$CR59,DJ59)</f>
        <v>0</v>
      </c>
      <c r="DR59" s="437">
        <f ca="1">DQ59*F59</f>
        <v>0</v>
      </c>
      <c r="DS59" s="426">
        <f ca="1">OFFSET($CH$9,CL59-1,-15,1,1)</f>
        <v>0</v>
      </c>
      <c r="DT59" s="426">
        <f ca="1">VLOOKUP(DS59,Prodlink,2,0)</f>
        <v>0</v>
      </c>
      <c r="DU59" s="188">
        <f ca="1">IF(F59&lt;OFFSET($BM$9,DT59-1,0,1,1),0,IF(F59&lt;OFFSET($BN$9,DT59-1,0,1,1),((F59-OFFSET($BM$9,DT59-1,0,1,1))*OFFSET($CH$9,DT59-1,0,1,1))+OFFSET($BO$9,DT59-1,CQ59,1,1),IF(F59&lt;OFFSET($BN$9,DT59+0,0,1,1),((F59-OFFSET($BM$9,DT59+0,0,1,1))*OFFSET($CH$9,DT59+0,0,1,1))+OFFSET($BO$9,DT59+0,CQ59,1,1),IF(F59&lt;OFFSET($BN$9,DT59+1,0,1,1),((F59-OFFSET($BM$9,DT59+1,0,1,1))*OFFSET($CH$9,DT59+1,0,1,1))+OFFSET($BO$9,DT59+1,CQ59,1,1),IF(F59&lt;OFFSET($BN$9,DT59+2,0,1,1),((F59-OFFSET($BM$9,DT59+2,0,1,1))*OFFSET($CH$9,DT59+2,0,1,1))+OFFSET($BO$9,DT59+2,CQ59,1,1),IF(F59&lt;OFFSET($BN$9,DT59+3,0,1,1),((F59-OFFSET($BM$9,DT59+3,0,1,1))*OFFSET($CH$9,DT59+3,0,1,1))+OFFSET($BO$9,DT59+3,CQ59,1,1),0))))))</f>
        <v>0</v>
      </c>
      <c r="DV59" s="51">
        <f ca="1">IF($F59&lt;OFFSET($BM$9,$DT59-1,0,1,1),0,IF($F59&lt;OFFSET($BN$9,$DT59-1,0,1,1),IF(AND($H59&gt;2.4,Z59&lt;&gt;"e",Z59&lt;&gt;"f"),DZ59*2.4/$H59,DZ59),IF($F59&lt;OFFSET($BN$9,$DT59+0,0,1,1),IF(AND($H59&gt;2.4,Z59&lt;&gt;"e",Z59&lt;&gt;"f"),DZ59*2.4/$H59,DZ59),IF($F59&lt;OFFSET($BN$9,$DT59+1,0,1,1),IF(AND($H59&gt;2.4,Z59&lt;&gt;"e",Z59&lt;&gt;"f"),DZ59*2.4/$H59,DZ59),IF($F59&lt;OFFSET($BN$9,$DT59+2,0,1,1),IF(AND($H59&gt;2.4,Z59&lt;&gt;"e",Z59&lt;&gt;"f"),DZ59*2.4/$H59,DZ59),IF($F59&lt;OFFSET($BN$9,$DT59+3,0,1,1),IF(AND($H59&gt;2.4,Z59&lt;&gt;"e",Z59&lt;&gt;"f"),DZ59*2.4/$H59,DZ59),0)))))*COS(RADIANS($G59)))</f>
        <v>0</v>
      </c>
      <c r="DW59" s="188">
        <f ca="1">IF(F59&lt;OFFSET($BM$9,DT59-1,0,1,1),0,IF(F59&lt;OFFSET($BN$9,DT59-1,0,1,1),((F59-OFFSET($BM$9,DT59-1,0,1,1))*OFFSET($CI$9,DT59-1,0,1,1))+OFFSET($BP$9,DT59-1,CQ59,1,1),IF(F59&lt;OFFSET($BN$9,DT59+0,0,1,1),((F59-OFFSET($BM$9,DT59+0,0,1,1))*OFFSET($CI$9,DT59+0,0,1,1))+OFFSET($BP$9,DT59+0,CQ59,1,1),IF(F59&lt;OFFSET($BN$9,DT59+1,0,1,1),((F59-OFFSET($BM$9,DT59+1,0,1,1))*OFFSET($CI$9,DT59+1,0,1,1))+OFFSET($BP$9,DT59+1,CQ59,1,1),IF(F59&lt;OFFSET($BN$9,DT59+2,0,1,1),((F59-OFFSET($BM$9,DT59+2,0,1,1))*OFFSET($CI$9,DT59+2,0,1,1))+OFFSET($BP$9,DT59+2,CQ59,1,1),IF(F59&lt;OFFSET($BN$9,DT59+3,0,1,1),((F59-OFFSET($BM$9,DT59+3,0,1,1))*OFFSET($CI$9,DT59+3,0,1,1))+OFFSET($BP$9,DT59+3,CQ59,1,1),0))))))</f>
        <v>0</v>
      </c>
      <c r="DX59" s="51">
        <f ca="1">IF($F59&lt;OFFSET($BM$9,$DT59-1,0,1,1),0,IF($F59&lt;OFFSET($BN$9,$DT59-1,0,1,1),IF(AND($H59&gt;2.4,Z59&lt;&gt;"e",Z59&lt;&gt;"f"),EB59*2.4/$H59,EB59),IF($F59&lt;OFFSET($BN$9,$DT59+0,0,1,1),IF(AND($H59&gt;2.4,Z59&lt;&gt;"e",Z59&lt;&gt;"f"),EB59*2.4/$H59,EB59),IF($F59&lt;OFFSET($BN$9,$DT59+1,0,1,1),IF(AND($H59&gt;2.4,Z59&lt;&gt;"e",Z59&lt;&gt;"f"),EB59*2.4/$H59,EB59),IF($F59&lt;OFFSET($BN$9,$DT59+2,0,1,1),IF(AND($H59&gt;2.4,Z59&lt;&gt;"e",Z59&lt;&gt;"f"),EB59*2.4/$H59,EB59),IF($F59&lt;OFFSET($BN$9,$DT59+3,0,1,1),IF(AND($H59&gt;2.4,Z59&lt;&gt;"e",Z59&lt;&gt;"f"),EB59*2.4/$H59,EB59),0)))))*COS(RADIANS($G59)))</f>
        <v>0</v>
      </c>
      <c r="DY59" s="188"/>
      <c r="DZ59" s="188">
        <f ca="1">IF(DU59&gt;$CR59,$CR59,DU59)</f>
        <v>0</v>
      </c>
      <c r="EA59" s="188"/>
      <c r="EB59" s="188">
        <f ca="1">IF(DW59&gt;$CR59,$CR59,DW59)</f>
        <v>0</v>
      </c>
      <c r="EC59" s="435">
        <f ca="1">IF(DV59&gt;$CR59,$CR59,DV59)</f>
        <v>0</v>
      </c>
      <c r="ED59" s="435">
        <f ca="1">EC59*F59</f>
        <v>0</v>
      </c>
      <c r="EE59" s="436">
        <f ca="1">IF(DX59&gt;$CR59,$CR59,DX59)</f>
        <v>0</v>
      </c>
      <c r="EF59" s="437">
        <f ca="1">EE59*F59</f>
        <v>0</v>
      </c>
      <c r="EG59" s="613" t="str">
        <f>IF(D59=BG$12,BG$12,"")</f>
        <v/>
      </c>
      <c r="EH59" s="614" t="str">
        <f>IF(D59=BG$13,BG$13,"")</f>
        <v/>
      </c>
      <c r="EI59" s="611">
        <f>IF(EG59=BG$12,M59,0)</f>
        <v>0</v>
      </c>
      <c r="EJ59" s="451">
        <f>IF(EG59=BG$12,O59,0)</f>
        <v>0</v>
      </c>
      <c r="EK59" s="451">
        <f>IF(EH59=BG$13,M59,0)</f>
        <v>0</v>
      </c>
      <c r="EL59" s="612">
        <f>IF(EH59=BG$13,O59,0)</f>
        <v>0</v>
      </c>
      <c r="EM59" s="426" t="str">
        <f ca="1">IF(AND(Z59&lt;&gt;"t",Z59&lt;&gt;"f"),"",IF(AND(EN59=$BH$13,K59=$BH$12),"NotOpt",IF(K59&lt;&gt;EN59,"Error","")))</f>
        <v/>
      </c>
      <c r="EN59" s="490" t="str">
        <f>IF($BG$28=1,$BH$13,$BH$12)</f>
        <v>120 BU's</v>
      </c>
      <c r="EO59" s="426" t="str">
        <f>K59</f>
        <v xml:space="preserve"> </v>
      </c>
      <c r="EP59" s="430">
        <v>1</v>
      </c>
      <c r="EQ59" s="430" t="str">
        <f ca="1">IF(EP59=1," ",OFFSET(BF$16,EP59-2,0,1,1))</f>
        <v xml:space="preserve"> </v>
      </c>
      <c r="ER59" s="439" t="str">
        <f ca="1">IF(H59=0," ",H59)</f>
        <v xml:space="preserve"> </v>
      </c>
      <c r="ES59" s="440" t="str">
        <f ca="1">IF(ER59&lt;&gt;" ",IF(ER59&lt;&gt;ER$7,"Changed",""),"")</f>
        <v/>
      </c>
      <c r="ET59" s="440">
        <f ca="1">IF(ER59&lt;&gt;" ",IF(ER59&lt;&gt;ER$7,1,0),0)</f>
        <v>0</v>
      </c>
      <c r="EU59" s="957" t="str">
        <f ca="1">IF(I59=" "," ",IF(F59&lt;OFFSET($BM$9,CL59-1,0,1,1),1,""))</f>
        <v xml:space="preserve"> </v>
      </c>
      <c r="EW59" s="427"/>
      <c r="EX59"/>
      <c r="EY59"/>
      <c r="EZ59"/>
      <c r="FA59"/>
    </row>
    <row r="60" spans="1:157" ht="17.100000000000001" customHeight="1" thickBot="1">
      <c r="A60" s="2685"/>
      <c r="B60" s="689" t="s">
        <v>246</v>
      </c>
      <c r="C60" s="684" t="str">
        <f>IF(OR(F60=0,I60="",I60=" ")," ",$V60)</f>
        <v xml:space="preserve"> </v>
      </c>
      <c r="D60" s="1033"/>
      <c r="E60" s="1360" t="s">
        <v>8</v>
      </c>
      <c r="F60" s="202"/>
      <c r="G60" s="1416"/>
      <c r="H60" s="199" t="str">
        <f ca="1">IF(OR(F60=0,Z60="E",Z60="f")," ",'Project Demand'!E$45)</f>
        <v xml:space="preserve"> </v>
      </c>
      <c r="I60" s="631" t="str">
        <f>IF($I$6&lt;&gt;$BG$8," ",AB60)</f>
        <v xml:space="preserve"> </v>
      </c>
      <c r="J60" s="44" t="str">
        <f ca="1">IF(OR(I60=" ",I60="")," ",OFFSET($BO$9,CL60-1,0-4,1,1))</f>
        <v xml:space="preserve"> </v>
      </c>
      <c r="K60" s="55" t="str">
        <f>IF(OR(I60=" ",I60="")," ",IF(OR(Z60="e",Z60="h"),"SD",BG$24))</f>
        <v xml:space="preserve"> </v>
      </c>
      <c r="L60" s="49">
        <f ca="1">CW60</f>
        <v>0</v>
      </c>
      <c r="M60" s="49">
        <f ca="1">CY60</f>
        <v>0</v>
      </c>
      <c r="N60" s="50">
        <f t="shared" ca="1" si="29"/>
        <v>0</v>
      </c>
      <c r="O60" s="126">
        <f t="shared" ca="1" si="29"/>
        <v>0</v>
      </c>
      <c r="P60" s="140"/>
      <c r="Q60" s="752" t="str">
        <f ca="1">IF(AND(OR(Z60="t",Z60="f"),K60=$BH$11),"No Floor!  Change Floor Type",IF(OR(I60=" ",I60="")," ",IF(F60&lt;OFFSET($BM$9,CL60-1,0,1,1),"check L(m)",DE60&amp;IF(AND(DP60&gt;=CY60,DR60&gt;=DB60),IF(AND(ED60&gt;=DP60,EF60&gt;=DR60),CONCATENATE(DS60," will provide same result"),CONCATENATE(CO60," will provide same result")),IF((DP60&gt;=CY60),CONCATENATE(CO60," provides same result in WIND"),IF((DR60&gt;=DB60),CONCATENATE(CO60," provides same result in EQ"),""))))))&amp;IF(ISERROR(FIND("pile",I60,1)),"",IF(INT(F60)&lt;&gt;F60,"Pile!  Use Whole Numbers Only",""))</f>
        <v xml:space="preserve"> </v>
      </c>
      <c r="R60" s="52"/>
      <c r="S60" s="1372"/>
      <c r="T60" s="1372"/>
      <c r="U60" s="1377"/>
      <c r="V60" s="52" t="str">
        <f ca="1">IF(AND(B$5=$BF$9,OR(I60=BH$16,I60=BH$17))," ",IF(ISNUMBER(B$56),(CONCATENATE(B$56,".",W60)),(CONCATENATE(B$56,W60))))</f>
        <v>U0</v>
      </c>
      <c r="W60" s="9">
        <f ca="1">W59+X60</f>
        <v>0</v>
      </c>
      <c r="X60" s="9">
        <f>IF(AND(B$5=$BF$9,OR($I60=$BH$16,$I60=$BH$17,$I60=" ",$I60="",$F60=0)),0,IF(OR($I60=" ",$I60="",$F60=0),0,1))</f>
        <v>0</v>
      </c>
      <c r="Y60" s="896"/>
      <c r="Z60" s="52" t="str">
        <f ca="1">IF(I60=" "," ",OFFSET($BM$9,$CL60-1,8,1,1))</f>
        <v xml:space="preserve"> </v>
      </c>
      <c r="AA60" s="51" t="str">
        <f>IF(G60&gt;=45,"WA","")</f>
        <v/>
      </c>
      <c r="AB60" s="1364" t="str">
        <f>IF(F60&lt;&gt;"",IF(OR(D60=$BG$12,D60=$BG$13),IF(E60&lt;&gt;$BG$17,$BF$12,$BF$13),IF(E60&lt;&gt;$BG$17,$BF$12,$BF$13))," ")</f>
        <v xml:space="preserve"> </v>
      </c>
      <c r="AC60" s="1"/>
      <c r="AK60" s="63" t="str">
        <f>'Custom Elements'!B21</f>
        <v xml:space="preserve">  </v>
      </c>
      <c r="AL60" s="860" t="str">
        <f>'Custom Elements'!C21</f>
        <v>Custom13</v>
      </c>
      <c r="AM60" s="11">
        <f>'Custom Elements'!D21</f>
        <v>9.9999999999999996E-76</v>
      </c>
      <c r="AN60" s="7">
        <f>'Custom Elements'!E21</f>
        <v>0</v>
      </c>
      <c r="AO60" s="7">
        <f>'Custom Elements'!F21</f>
        <v>0</v>
      </c>
      <c r="AP60" s="762" t="str">
        <f>'Custom Elements'!G21</f>
        <v>B</v>
      </c>
      <c r="AQ60" s="1777" t="str">
        <f>'Custom Elements'!H21</f>
        <v>Single</v>
      </c>
      <c r="AR60" s="1775" t="str">
        <f>'Custom Elements'!I21</f>
        <v>Yes</v>
      </c>
      <c r="AS60" s="442" t="str">
        <f>'Custom Elements'!J21</f>
        <v>Yes</v>
      </c>
      <c r="AT60" s="1598"/>
      <c r="AU60" s="1155"/>
      <c r="AZ60" s="442" t="str">
        <f>IF(AND('Custom Elements'!J21="Yes",'Custom Elements'!I21="Yes"),"T",IF('Custom Elements'!J21="Yes","F",IF('Custom Elements'!I21="Yes","H","E")))</f>
        <v>T</v>
      </c>
      <c r="BA60"/>
      <c r="BB60"/>
      <c r="BC60"/>
      <c r="BD60" s="638"/>
      <c r="BE60" s="1020"/>
      <c r="BF60" s="1020"/>
      <c r="BG60" s="1020"/>
      <c r="BH60" s="479"/>
      <c r="BI60" s="759"/>
      <c r="BJ60" s="897">
        <f t="shared" si="25"/>
        <v>52</v>
      </c>
      <c r="BK60" s="908"/>
      <c r="BL60" s="767"/>
      <c r="BM60" s="776">
        <f>Table!D14</f>
        <v>1.2</v>
      </c>
      <c r="BN60" s="776">
        <v>999</v>
      </c>
      <c r="BO60" s="776">
        <f>Table!E14</f>
        <v>98</v>
      </c>
      <c r="BP60" s="926">
        <f>Table!F14</f>
        <v>88</v>
      </c>
      <c r="BQ60" s="1183"/>
      <c r="BR60" s="908"/>
      <c r="BS60" s="776"/>
      <c r="BT60" s="776"/>
      <c r="BU60" s="926" t="s">
        <v>242</v>
      </c>
      <c r="BV60" s="433"/>
      <c r="BW60" s="914"/>
      <c r="BX60" s="926" t="str">
        <f>Table!H11</f>
        <v>Double</v>
      </c>
      <c r="CH60" s="908">
        <f>IF(BN60=999,0,(BO61-BO60)/(BN60-BM60))</f>
        <v>0</v>
      </c>
      <c r="CI60" s="926">
        <f>IF(BN60=999,0,(BP61-BP60)/(BN60-BM60))</f>
        <v>0</v>
      </c>
      <c r="CJ60" s="759"/>
      <c r="CK60" s="188"/>
      <c r="CL60" s="979">
        <f>VLOOKUP(I60,Prodlink,2,0)</f>
        <v>0</v>
      </c>
      <c r="CN60" s="497">
        <f ca="1">VLOOKUP(CO60,Prodlink,2,0)</f>
        <v>0</v>
      </c>
      <c r="CO60" s="497">
        <f ca="1">OFFSET($CH$9,CL60-1,-15,1,1)</f>
        <v>0</v>
      </c>
      <c r="CQ60" s="51">
        <v>0</v>
      </c>
      <c r="CR60" s="51">
        <f>IF(K60=$BH$12,$BH$23,IF(K60=$BH$13,$BH$24,10000))</f>
        <v>10000</v>
      </c>
      <c r="CS60" s="51">
        <f ca="1">IF(F60&lt;OFFSET($BM$9,CL60-1,0,1,1),0,IF(F60&lt;OFFSET($BN$9,CL60-1,0,1,1),((F60-OFFSET($BM$9,CL60-1,0,1,1))*OFFSET($CH$9,CL60-1,0,1,1))+OFFSET($BO$9,CL60-1,CQ60,1,1),IF(F60&lt;OFFSET($BN$9,CL60+0,0,1,1),((F60-OFFSET($BM$9,CL60+0,0,1,1))*OFFSET($CH$9,CL60+0,0,1,1))+OFFSET($BO$9,CL60+0,CQ60,1,1),IF(F60&lt;OFFSET($BN$9,CL60+1,0,1,1),((F60-OFFSET($BM$9,CL60+1,0,1,1))*OFFSET($CH$9,CL60+1,0,1,1))+OFFSET($BO$9,CL60+1,CQ60,1,1),IF(F60&lt;OFFSET($BN$9,CL60+2,0,1,1),((F60-OFFSET($BM$9,CL60+2,0,1,1))*OFFSET($CH$9,CL60+2,0,1,1))+OFFSET($BO$9,CL60+2,CQ60,1,1),IF(F60&lt;OFFSET($BN$9,CL60+3,0,1,1),((F60-OFFSET($BM$9,CL60+3,0,1,1))*OFFSET($CH$9,CL60+3,0,1,1))+OFFSET($BO$9,CL60+3,CQ60,1,1),0))))))</f>
        <v>0</v>
      </c>
      <c r="CT60" s="51">
        <f ca="1">IF($F60&lt;OFFSET($BM$9,$CL60-1,0,1,1),0,IF($F60&lt;OFFSET($BN$9,$CL60-1,0,1,1),IF(AND($H60&gt;2.4,Z60&lt;&gt;"e",Z60&lt;&gt;"f"),CX60*2.4/$H60,CX60),IF($F60&lt;OFFSET($BN$9,$CL60+0,0,1,1),IF(AND($H60&gt;2.4,Z60&lt;&gt;"e",Z60&lt;&gt;"f"),CX60*2.4/$H60,CX60),IF($F60&lt;OFFSET($BN$9,$CL60+1,0,1,1),IF(AND($H60&gt;2.4,Z60&lt;&gt;"e",Z60&lt;&gt;"f"),CX60*2.4/$H60,CX60),IF($F60&lt;OFFSET($BN$9,CL60+2,0,1,1),IF(AND($H60&gt;2.4,Z60&lt;&gt;"e",Z60&lt;&gt;"f"),CX60*2.4/$H60,CX60),IF($F60&lt;OFFSET($BN$9,CL60+3,0,1,1),IF(AND($H60&gt;2.4,Z60&lt;&gt;"e",Z60&lt;&gt;"f"),CX60*2.4/$H60,CX60),0)))))*COS(RADIANS($G60)))</f>
        <v>0</v>
      </c>
      <c r="CU60" s="51">
        <f ca="1">IF(F60&lt;OFFSET($BM$9,CL60-1,0,1,1),0,IF(F60&lt;OFFSET($BN$9,CL60-1,0,1,1),((F60-OFFSET($BM$9,CL60-1,0,1,1))*OFFSET($CI$9,CL60-1,0,1,1))+OFFSET($BP$9,CL60-1,CQ60,1,1),IF(F60&lt;OFFSET($BN$9,CL60+0,0,1,1),((F60-OFFSET($BM$9,CL60+0,0,1,1))*OFFSET($CI$9,CL60+0,0,1,1))+OFFSET($BP$9,CL60+0,CQ60,1,1),IF(F60&lt;OFFSET($BN$9,CL60+1,0,1,1),((F60-OFFSET($BM$9,CL60+1,0,1,1))*OFFSET($CI$9,CL60+1,0,1,1))+OFFSET($BP$9,CL60+1,CQ60,1,1),IF(F60&lt;OFFSET($BN$9,CL60+2,0,1,1),((F60-OFFSET($BM$9,CL60+2,0,1,1))*OFFSET($CI$9,CL60+2,0,1,1))+OFFSET($BP$9,CL60+2,CQ60,1,1),IF(F60&lt;OFFSET($BN$9,CL60+3,0,1,1),((F60-OFFSET($BM$9,CL60+3,0,1,1))*OFFSET($CI$9,CL60+3,0,1,1))+OFFSET($BP$9,CL60+3,CQ60,1,1),0))))))</f>
        <v>0</v>
      </c>
      <c r="CV60" s="51">
        <f ca="1">IF($F60&lt;OFFSET($BM$9,$CL60-1,0,1,1),0,IF($F60&lt;OFFSET($BN$9,$CL60-1,0,1,1),IF(AND($H60&gt;2.4,Z60&lt;&gt;"e",Z60&lt;&gt;"f"),CZ60*2.4/$H60,CZ60),IF($F60&lt;OFFSET($BN$9,$CL60+0,0,1,1),IF(AND($H60&gt;2.4,Z60&lt;&gt;"e",Z60&lt;&gt;"f"),CZ60*2.4/$H60,CZ60),IF($F60&lt;OFFSET($BN$9,$CL60+1,0,1,1),IF(AND($H60&gt;2.4,Z60&lt;&gt;"e",Z60&lt;&gt;"f"),CZ60*2.4/$H60,CZ60),IF($F60&lt;OFFSET($BN$9,$CL60+2,0,1,1),IF(AND($H60&gt;2.4,Z60&lt;&gt;"e",Z60&lt;&gt;"f"),CZ60*2.4/$H60,CZ60),IF($F60&lt;OFFSET($BN$9,$CL60+3,0,1,1),IF(AND($H60&gt;2.4,Z60&lt;&gt;"e",Z60&lt;&gt;"f"),CZ60*2.4/$H60,CZ60),0)))))*COS(RADIANS($G60)))</f>
        <v>0</v>
      </c>
      <c r="CW60" s="51">
        <f ca="1">IF(CT60&gt;CR60,CR60,CT60)</f>
        <v>0</v>
      </c>
      <c r="CX60" s="51">
        <f ca="1">IF(CS60&gt;$CR60,$CR60,CS60)</f>
        <v>0</v>
      </c>
      <c r="CY60" s="51">
        <f ca="1">CW60*F60</f>
        <v>0</v>
      </c>
      <c r="CZ60" s="51">
        <f ca="1">IF($CU60&gt;$CR60,$CR60,$CU60)</f>
        <v>0</v>
      </c>
      <c r="DA60" s="51">
        <f ca="1">IF(CV60&gt;CR60,CR60,CV60)</f>
        <v>0</v>
      </c>
      <c r="DB60" s="51">
        <f ca="1">DA60*F60</f>
        <v>0</v>
      </c>
      <c r="DC60" s="993">
        <v>1</v>
      </c>
      <c r="DD60" s="758" t="str">
        <f>IF(OR(D60=BG$12,D60=BG$13),"External",IF(D60=BG$14,"Internal"," "))</f>
        <v xml:space="preserve"> </v>
      </c>
      <c r="DE60" s="51" t="str">
        <f t="shared" ca="1" si="1"/>
        <v/>
      </c>
      <c r="DF60" s="52" t="str">
        <f t="shared" ca="1" si="2"/>
        <v xml:space="preserve"> </v>
      </c>
      <c r="DG60" s="51">
        <f ca="1">IF(F60&lt;OFFSET($BM$9,CN60-1,0,1,1),0,IF(F60&lt;OFFSET($BN$9,CN60-1,0,1,1),((F60-OFFSET($BM$9,CN60-1,0,1,1))*OFFSET($CH$9,CN60-1,0,1,1))+OFFSET($BO$9,CN60-1,CQ60,1,1),IF(F60&lt;OFFSET($BN$9,CN60+0,0,1,1),((F60-OFFSET($BM$9,CN60+0,0,1,1))*OFFSET($CH$9,CN60+0,0,1,1))+OFFSET($BO$9,CN60+0,CQ60,1,1),IF(F60&lt;OFFSET($BN$9,CN60+1,0,1,1),((F60-OFFSET($BM$9,CN60+1,0,1,1))*OFFSET($CH$9,CN60+1,0,1,1))+OFFSET($BO$9,CN60+1,CQ60,1,1),IF(F60&lt;OFFSET($BN$9,CN60+2,0,1,1),((F60-OFFSET($BM$9,CN60+2,0,1,1))*OFFSET($CH$9,CN60+2,0,1,1))+OFFSET($BO$9,CN60+2,CQ60,1,1),IF(F60&lt;OFFSET($BN$9,CN60+3,0,1,1),((F60-OFFSET($BM$9,CN60+3,0,1,1))*OFFSET($CH$9,CN60+3,0,1,1))+OFFSET($BO$9,CN60+3,CQ60,1,1),0))))))</f>
        <v>0</v>
      </c>
      <c r="DH60" s="51">
        <f ca="1">IF($F60&lt;OFFSET($BM$9,$CN60-1,0,1,1),0,IF($F60&lt;OFFSET($BN$9,$CN60-1,0,1,1),IF(AND($H60&gt;2.4,Z60&lt;&gt;"e",Z60&lt;&gt;"f"),DL60*2.4/$H60,DL60),IF($F60&lt;OFFSET($BN$9,$CN60+0,0,1,1),IF(AND($H60&gt;2.4,Z60&lt;&gt;"e",Z60&lt;&gt;"f"),DL60*2.4/$H60,DL60),IF($F60&lt;OFFSET($BN$9,$CN60+1,0,1,1),IF(AND($H60&gt;2.4,Z60&lt;&gt;"e",Z60&lt;&gt;"f"),DL60*2.4/$H60,DL60),IF($F60&lt;OFFSET($BN$9,$CN60+2,0,1,1),IF(AND($H60&gt;2.4,Z60&lt;&gt;"e",Z60&lt;&gt;"f"),DL60*2.4/$H60,DL60),IF($F60&lt;OFFSET($BN$9,$CN60+3,0,1,1),IF(AND($H60&gt;2.4,Z60&lt;&gt;"e",Z60&lt;&gt;"f"),DL60*2.4/$H60,DL60),0)))))*COS(RADIANS($G60)))</f>
        <v>0</v>
      </c>
      <c r="DI60" s="51">
        <f ca="1">IF(F60&lt;OFFSET($BM$9,CN60-1,0,1,1),0,IF(F60&lt;OFFSET($BN$9,CN60-1,0,1,1),((F60-OFFSET($BM$9,CN60-1,0,1,1))*OFFSET($CI$9,CN60-1,0,1,1))+OFFSET($BP$9,CN60-1,CQ60,1,1),IF(F60&lt;OFFSET($BN$9,CN60+0,0,1,1),((F60-OFFSET($BM$9,CN60+0,0,1,1))*OFFSET($CI$9,CN60+0,0,1,1))+OFFSET($BP$9,CN60+0,CQ60,1,1),IF(F60&lt;OFFSET($BN$9,CN60+1,0,1,1),((F60-OFFSET($BM$9,CN60+1,0,1,1))*OFFSET($CI$9,CN60+1,0,1,1))+OFFSET($BP$9,CN60+1,CQ60,1,1),IF(F60&lt;OFFSET($BN$9,CN60+2,0,1,1),((F60-OFFSET($BM$9,CN60+2,0,1,1))*OFFSET($CI$9,CN60+2,0,1,1))+OFFSET($BP$9,CN60+2,CQ60,1,1),IF(F60&lt;OFFSET($BN$9,CN60+3,0,1,1),((F60-OFFSET($BM$9,CN60+3,0,1,1))*OFFSET($CI$9,CN60+3,0,1,1))+OFFSET($BP$9,CN60+3,CQ60,1,1),0))))))</f>
        <v>0</v>
      </c>
      <c r="DJ60" s="51">
        <f ca="1">IF($F60&lt;OFFSET($BM$9,$CN60-1,0,1,1),0,IF($F60&lt;OFFSET($BN$9,$CN60-1,0,1,1),IF(AND($H60&gt;2.4,Z60&lt;&gt;"e",Z60&lt;&gt;"f"),DN60*2.4/$H60,DN60),IF($F60&lt;OFFSET($BN$9,$CN60+0,0,1,1),IF(AND($H60&gt;2.4,Z60&lt;&gt;"e",Z60&lt;&gt;"f"),DN60*2.4/$H60,DN60),IF($F60&lt;OFFSET($BN$9,$CN60+1,0,1,1),IF(AND($H60&gt;2.4,Z60&lt;&gt;"e",Z60&lt;&gt;"f"),DN60*2.4/$H60,DN60),IF($F60&lt;OFFSET($BN$9,$CN60+2,0,1,1),IF(AND($H60&gt;2.4,Z60&lt;&gt;"e",Z60&lt;&gt;"f"),DN60*2.4/$H60,DN60),IF($F60&lt;OFFSET($BN$9,$CN60+3,0,1,1),IF(AND($H60&gt;2.4,Z60&lt;&gt;"e",Z60&lt;&gt;"f"),DN60*2.4/$H60,DN60),0)))))*COS(RADIANS($G60)))</f>
        <v>0</v>
      </c>
      <c r="DK60" s="51"/>
      <c r="DL60" s="51">
        <f ca="1">IF(DG60&gt;$CR60,$CR60,DG60)</f>
        <v>0</v>
      </c>
      <c r="DM60" s="51"/>
      <c r="DN60" s="51">
        <f ca="1">IF(DI60&gt;$CR60,$CR60,DI60)</f>
        <v>0</v>
      </c>
      <c r="DO60" s="435">
        <f ca="1">IF(DH60&gt;$CR60,$CR60,DH60)</f>
        <v>0</v>
      </c>
      <c r="DP60" s="435">
        <f ca="1">DO60*F60</f>
        <v>0</v>
      </c>
      <c r="DQ60" s="436">
        <f ca="1">IF(DJ60&gt;$CR60,$CR60,DJ60)</f>
        <v>0</v>
      </c>
      <c r="DR60" s="437">
        <f ca="1">DQ60*F60</f>
        <v>0</v>
      </c>
      <c r="DS60" s="426">
        <f ca="1">OFFSET($CH$9,CL60-1,-15,1,1)</f>
        <v>0</v>
      </c>
      <c r="DT60" s="426">
        <f ca="1">VLOOKUP(DS60,Prodlink,2,0)</f>
        <v>0</v>
      </c>
      <c r="DU60" s="188">
        <f ca="1">IF(F60&lt;OFFSET($BM$9,DT60-1,0,1,1),0,IF(F60&lt;OFFSET($BN$9,DT60-1,0,1,1),((F60-OFFSET($BM$9,DT60-1,0,1,1))*OFFSET($CH$9,DT60-1,0,1,1))+OFFSET($BO$9,DT60-1,CQ60,1,1),IF(F60&lt;OFFSET($BN$9,DT60+0,0,1,1),((F60-OFFSET($BM$9,DT60+0,0,1,1))*OFFSET($CH$9,DT60+0,0,1,1))+OFFSET($BO$9,DT60+0,CQ60,1,1),IF(F60&lt;OFFSET($BN$9,DT60+1,0,1,1),((F60-OFFSET($BM$9,DT60+1,0,1,1))*OFFSET($CH$9,DT60+1,0,1,1))+OFFSET($BO$9,DT60+1,CQ60,1,1),IF(F60&lt;OFFSET($BN$9,DT60+2,0,1,1),((F60-OFFSET($BM$9,DT60+2,0,1,1))*OFFSET($CH$9,DT60+2,0,1,1))+OFFSET($BO$9,DT60+2,CQ60,1,1),IF(F60&lt;OFFSET($BN$9,DT60+3,0,1,1),((F60-OFFSET($BM$9,DT60+3,0,1,1))*OFFSET($CH$9,DT60+3,0,1,1))+OFFSET($BO$9,DT60+3,CQ60,1,1),0))))))</f>
        <v>0</v>
      </c>
      <c r="DV60" s="51">
        <f ca="1">IF($F60&lt;OFFSET($BM$9,$DT60-1,0,1,1),0,IF($F60&lt;OFFSET($BN$9,$DT60-1,0,1,1),IF(AND($H60&gt;2.4,Z60&lt;&gt;"e",Z60&lt;&gt;"f"),DZ60*2.4/$H60,DZ60),IF($F60&lt;OFFSET($BN$9,$DT60+0,0,1,1),IF(AND($H60&gt;2.4,Z60&lt;&gt;"e",Z60&lt;&gt;"f"),DZ60*2.4/$H60,DZ60),IF($F60&lt;OFFSET($BN$9,$DT60+1,0,1,1),IF(AND($H60&gt;2.4,Z60&lt;&gt;"e",Z60&lt;&gt;"f"),DZ60*2.4/$H60,DZ60),IF($F60&lt;OFFSET($BN$9,$DT60+2,0,1,1),IF(AND($H60&gt;2.4,Z60&lt;&gt;"e",Z60&lt;&gt;"f"),DZ60*2.4/$H60,DZ60),IF($F60&lt;OFFSET($BN$9,$DT60+3,0,1,1),IF(AND($H60&gt;2.4,Z60&lt;&gt;"e",Z60&lt;&gt;"f"),DZ60*2.4/$H60,DZ60),0)))))*COS(RADIANS($G60)))</f>
        <v>0</v>
      </c>
      <c r="DW60" s="188">
        <f ca="1">IF(F60&lt;OFFSET($BM$9,DT60-1,0,1,1),0,IF(F60&lt;OFFSET($BN$9,DT60-1,0,1,1),((F60-OFFSET($BM$9,DT60-1,0,1,1))*OFFSET($CI$9,DT60-1,0,1,1))+OFFSET($BP$9,DT60-1,CQ60,1,1),IF(F60&lt;OFFSET($BN$9,DT60+0,0,1,1),((F60-OFFSET($BM$9,DT60+0,0,1,1))*OFFSET($CI$9,DT60+0,0,1,1))+OFFSET($BP$9,DT60+0,CQ60,1,1),IF(F60&lt;OFFSET($BN$9,DT60+1,0,1,1),((F60-OFFSET($BM$9,DT60+1,0,1,1))*OFFSET($CI$9,DT60+1,0,1,1))+OFFSET($BP$9,DT60+1,CQ60,1,1),IF(F60&lt;OFFSET($BN$9,DT60+2,0,1,1),((F60-OFFSET($BM$9,DT60+2,0,1,1))*OFFSET($CI$9,DT60+2,0,1,1))+OFFSET($BP$9,DT60+2,CQ60,1,1),IF(F60&lt;OFFSET($BN$9,DT60+3,0,1,1),((F60-OFFSET($BM$9,DT60+3,0,1,1))*OFFSET($CI$9,DT60+3,0,1,1))+OFFSET($BP$9,DT60+3,CQ60,1,1),0))))))</f>
        <v>0</v>
      </c>
      <c r="DX60" s="51">
        <f ca="1">IF($F60&lt;OFFSET($BM$9,$DT60-1,0,1,1),0,IF($F60&lt;OFFSET($BN$9,$DT60-1,0,1,1),IF(AND($H60&gt;2.4,Z60&lt;&gt;"e",Z60&lt;&gt;"f"),EB60*2.4/$H60,EB60),IF($F60&lt;OFFSET($BN$9,$DT60+0,0,1,1),IF(AND($H60&gt;2.4,Z60&lt;&gt;"e",Z60&lt;&gt;"f"),EB60*2.4/$H60,EB60),IF($F60&lt;OFFSET($BN$9,$DT60+1,0,1,1),IF(AND($H60&gt;2.4,Z60&lt;&gt;"e",Z60&lt;&gt;"f"),EB60*2.4/$H60,EB60),IF($F60&lt;OFFSET($BN$9,$DT60+2,0,1,1),IF(AND($H60&gt;2.4,Z60&lt;&gt;"e",Z60&lt;&gt;"f"),EB60*2.4/$H60,EB60),IF($F60&lt;OFFSET($BN$9,$DT60+3,0,1,1),IF(AND($H60&gt;2.4,Z60&lt;&gt;"e",Z60&lt;&gt;"f"),EB60*2.4/$H60,EB60),0)))))*COS(RADIANS($G60)))</f>
        <v>0</v>
      </c>
      <c r="DY60" s="188"/>
      <c r="DZ60" s="188">
        <f ca="1">IF(DU60&gt;$CR60,$CR60,DU60)</f>
        <v>0</v>
      </c>
      <c r="EA60" s="188"/>
      <c r="EB60" s="188">
        <f ca="1">IF(DW60&gt;$CR60,$CR60,DW60)</f>
        <v>0</v>
      </c>
      <c r="EC60" s="435">
        <f ca="1">IF(DV60&gt;$CR60,$CR60,DV60)</f>
        <v>0</v>
      </c>
      <c r="ED60" s="435">
        <f ca="1">EC60*F60</f>
        <v>0</v>
      </c>
      <c r="EE60" s="436">
        <f ca="1">IF(DX60&gt;$CR60,$CR60,DX60)</f>
        <v>0</v>
      </c>
      <c r="EF60" s="437">
        <f ca="1">EE60*F60</f>
        <v>0</v>
      </c>
      <c r="EG60" s="613" t="str">
        <f>IF(D60=BG$12,BG$12,"")</f>
        <v/>
      </c>
      <c r="EH60" s="614" t="str">
        <f>IF(D60=BG$13,BG$13,"")</f>
        <v/>
      </c>
      <c r="EI60" s="611">
        <f>IF(EG60=BG$12,M60,0)</f>
        <v>0</v>
      </c>
      <c r="EJ60" s="451">
        <f>IF(EG60=BG$12,O60,0)</f>
        <v>0</v>
      </c>
      <c r="EK60" s="451">
        <f>IF(EH60=BG$13,M60,0)</f>
        <v>0</v>
      </c>
      <c r="EL60" s="612">
        <f>IF(EH60=BG$13,O60,0)</f>
        <v>0</v>
      </c>
      <c r="EM60" s="426" t="str">
        <f ca="1">IF(AND(Z60&lt;&gt;"t",Z60&lt;&gt;"f"),"",IF(AND(EN60=$BH$13,K60=$BH$12),"NotOpt",IF(K60&lt;&gt;EN60,"Error","")))</f>
        <v/>
      </c>
      <c r="EN60" s="490" t="str">
        <f>IF($BG$28=1,$BH$13,$BH$12)</f>
        <v>120 BU's</v>
      </c>
      <c r="EO60" s="426" t="str">
        <f>K60</f>
        <v xml:space="preserve"> </v>
      </c>
      <c r="EP60" s="430">
        <v>1</v>
      </c>
      <c r="EQ60" s="430" t="str">
        <f ca="1">IF(EP60=1," ",OFFSET(BF$16,EP60-2,0,1,1))</f>
        <v xml:space="preserve"> </v>
      </c>
      <c r="ER60" s="439" t="str">
        <f ca="1">IF(H60=0," ",H60)</f>
        <v xml:space="preserve"> </v>
      </c>
      <c r="ES60" s="440" t="str">
        <f ca="1">IF(ER60&lt;&gt;" ",IF(ER60&lt;&gt;ER$7,"Changed",""),"")</f>
        <v/>
      </c>
      <c r="ET60" s="440">
        <f ca="1">IF(ER60&lt;&gt;" ",IF(ER60&lt;&gt;ER$7,1,0),0)</f>
        <v>0</v>
      </c>
      <c r="EU60" s="957" t="str">
        <f ca="1">IF(I60=" "," ",IF(F60&lt;OFFSET($BM$9,CL60-1,0,1,1),1,""))</f>
        <v xml:space="preserve"> </v>
      </c>
      <c r="EW60" s="427"/>
      <c r="EX60"/>
      <c r="EY60"/>
      <c r="EZ60"/>
      <c r="FA60"/>
    </row>
    <row r="61" spans="1:157" ht="17.100000000000001" customHeight="1" thickBot="1">
      <c r="A61" s="2685"/>
      <c r="B61" s="2686" t="s">
        <v>8</v>
      </c>
      <c r="C61" s="2687"/>
      <c r="D61" s="1461" t="s">
        <v>8</v>
      </c>
      <c r="E61" s="659"/>
      <c r="F61" s="659"/>
      <c r="G61" s="659"/>
      <c r="H61" s="659"/>
      <c r="I61" s="1462"/>
      <c r="J61" s="1365" t="str">
        <f ca="1">(CONCATENATE(B56,$BE$54))</f>
        <v>U  Line:  Min. Requirement</v>
      </c>
      <c r="K61" s="23"/>
      <c r="L61" s="1019">
        <f ca="1">L$5</f>
        <v>0</v>
      </c>
      <c r="M61" s="48">
        <f ca="1">IF(B56=B50,SUM(M56:M60)+M55,SUM(M56:M60))</f>
        <v>0</v>
      </c>
      <c r="N61" s="1019">
        <f ca="1">N$5</f>
        <v>0</v>
      </c>
      <c r="O61" s="125">
        <f ca="1">IF(B56=B50,SUM(O56:O60)+O55,SUM(O56:O60))</f>
        <v>0</v>
      </c>
      <c r="P61" s="139"/>
      <c r="Q61" s="42" t="str">
        <f ca="1">IF(B56=B62,"",IF(AND(M61&gt;0,L61=L$5,OR(M61&lt;$M$105,M61&lt;$BF$3)),"Achieved &lt; Min Req per Line",IF(AND(O61&gt;0,N61=N$5,OR(O61&lt;$O$105,O61&lt;$BF$3)),"Achieved &lt; Min Req per Line",IF(AND(M61&gt;0,L61&gt;M61),"More Required on this line",IF(AND(O61&gt;0,N61&gt;O61),"More Required on this line",IF(AND(L61&gt;0,L61&lt;$BF$3),$BE$59,IF(AND(N61&gt;0,N61&lt;$BF$3),$BE$59,"")))))))</f>
        <v/>
      </c>
      <c r="R61" s="52"/>
      <c r="S61" s="52"/>
      <c r="T61" s="52"/>
      <c r="U61" s="1378"/>
      <c r="V61" s="52"/>
      <c r="W61" s="9"/>
      <c r="X61" s="9"/>
      <c r="Y61" s="896"/>
      <c r="Z61" s="52"/>
      <c r="AA61" s="51"/>
      <c r="AB61" s="1364"/>
      <c r="AC61"/>
      <c r="AK61" s="63" t="str">
        <f>'Custom Elements'!B22</f>
        <v xml:space="preserve">  </v>
      </c>
      <c r="AL61" s="860" t="str">
        <f>'Custom Elements'!C22</f>
        <v>Custom14</v>
      </c>
      <c r="AM61" s="11">
        <f>'Custom Elements'!D22</f>
        <v>9.9999999999999996E-76</v>
      </c>
      <c r="AN61" s="7">
        <f>'Custom Elements'!E22</f>
        <v>0</v>
      </c>
      <c r="AO61" s="7">
        <f>'Custom Elements'!F22</f>
        <v>0</v>
      </c>
      <c r="AP61" s="762" t="str">
        <f>'Custom Elements'!G22</f>
        <v>B</v>
      </c>
      <c r="AQ61" s="1777" t="str">
        <f>'Custom Elements'!H22</f>
        <v>Single</v>
      </c>
      <c r="AR61" s="1775" t="str">
        <f>'Custom Elements'!I22</f>
        <v>Yes</v>
      </c>
      <c r="AS61" s="442" t="str">
        <f>'Custom Elements'!J22</f>
        <v>Yes</v>
      </c>
      <c r="AT61" s="1598"/>
      <c r="AU61" s="1155"/>
      <c r="AZ61" s="442" t="str">
        <f>IF(AND('Custom Elements'!J22="Yes",'Custom Elements'!I22="Yes"),"T",IF('Custom Elements'!J22="Yes","F",IF('Custom Elements'!I22="Yes","H","E")))</f>
        <v>T</v>
      </c>
      <c r="BA61"/>
      <c r="BB61"/>
      <c r="BC61"/>
      <c r="BD61" s="641"/>
      <c r="BE61" s="2715" t="s">
        <v>861</v>
      </c>
      <c r="BF61" s="2716"/>
      <c r="BG61" s="2838"/>
      <c r="BH61" s="479"/>
      <c r="BI61" s="759"/>
      <c r="BJ61" s="897">
        <f t="shared" si="25"/>
        <v>53</v>
      </c>
      <c r="BK61" s="1231"/>
      <c r="BL61" s="1232"/>
      <c r="BM61" s="1205"/>
      <c r="BN61" s="1205"/>
      <c r="BO61" s="1205"/>
      <c r="BP61" s="1205"/>
      <c r="BQ61" s="1233"/>
      <c r="BR61" s="1205"/>
      <c r="BS61" s="1205"/>
      <c r="BT61" s="1205"/>
      <c r="BU61" s="1206"/>
      <c r="BV61" s="1227">
        <v>0</v>
      </c>
      <c r="BW61" s="1228">
        <v>0</v>
      </c>
      <c r="BX61" s="1206"/>
      <c r="CH61" s="970"/>
      <c r="CI61" s="971"/>
      <c r="CJ61" s="759"/>
      <c r="CK61" s="188"/>
      <c r="CL61" s="979"/>
      <c r="CN61" s="497"/>
      <c r="CO61" s="497"/>
      <c r="CQ61" s="51"/>
      <c r="CR61" s="51" t="s">
        <v>8</v>
      </c>
      <c r="CS61" s="51"/>
      <c r="CT61" s="51" t="s">
        <v>8</v>
      </c>
      <c r="CU61" s="51"/>
      <c r="CV61" s="51" t="s">
        <v>8</v>
      </c>
      <c r="CW61" s="51"/>
      <c r="CX61" s="51"/>
      <c r="CY61" s="51"/>
      <c r="CZ61" s="51"/>
      <c r="DD61" s="758"/>
      <c r="DF61" s="52"/>
      <c r="DG61" s="51"/>
      <c r="DH61" s="51"/>
      <c r="DI61" s="51"/>
      <c r="DJ61" s="51"/>
      <c r="DK61" s="51"/>
      <c r="DL61" s="51"/>
      <c r="DM61" s="51"/>
      <c r="DN61" s="51"/>
      <c r="DO61" s="435"/>
      <c r="DP61" s="435"/>
      <c r="DQ61" s="868"/>
      <c r="DR61" s="868"/>
      <c r="DU61" s="188"/>
      <c r="DV61" s="188" t="s">
        <v>8</v>
      </c>
      <c r="DW61" s="188"/>
      <c r="DX61" s="188" t="s">
        <v>8</v>
      </c>
      <c r="DY61" s="188"/>
      <c r="DZ61" s="188"/>
      <c r="EA61" s="188"/>
      <c r="EB61" s="188"/>
      <c r="EC61" s="435"/>
      <c r="ED61" s="435"/>
      <c r="EE61" s="868"/>
      <c r="EF61" s="868"/>
      <c r="EG61" s="613"/>
      <c r="EH61" s="435"/>
      <c r="EI61" s="613"/>
      <c r="EJ61" s="435"/>
      <c r="EK61" s="451"/>
      <c r="EL61" s="612"/>
      <c r="EN61" s="947"/>
      <c r="ER61" s="441"/>
      <c r="ES61" s="440"/>
      <c r="ET61" s="440"/>
      <c r="EU61" s="957"/>
      <c r="EW61" s="427"/>
      <c r="EX61"/>
      <c r="EY61"/>
      <c r="EZ61"/>
      <c r="FA61"/>
    </row>
    <row r="62" spans="1:157" ht="17.100000000000001" customHeight="1" thickBot="1">
      <c r="A62" s="2685"/>
      <c r="B62" s="1369" t="str">
        <f ca="1">S62</f>
        <v>V</v>
      </c>
      <c r="C62" s="684" t="str">
        <f>IF(OR(F62=0,I62="",I62=" ")," ",$V62)</f>
        <v xml:space="preserve"> </v>
      </c>
      <c r="D62" s="1033"/>
      <c r="E62" s="1360" t="s">
        <v>8</v>
      </c>
      <c r="F62" s="202"/>
      <c r="G62" s="1416"/>
      <c r="H62" s="199" t="str">
        <f ca="1">IF(OR(F62=0,Z62="E",Z62="f")," ",'Project Demand'!E$45)</f>
        <v xml:space="preserve"> </v>
      </c>
      <c r="I62" s="631" t="str">
        <f>IF($I$6&lt;&gt;$BG$8," ",AB62)</f>
        <v xml:space="preserve"> </v>
      </c>
      <c r="J62" s="43" t="str">
        <f ca="1">IF(OR(I62=" ",I62="")," ",OFFSET($BO$9,CL62-1,0-4,1,1))</f>
        <v xml:space="preserve"> </v>
      </c>
      <c r="K62" s="55" t="str">
        <f>IF(OR(I62=" ",I62="")," ",IF(OR(Z62="e",Z62="h"),"SD",BG$24))</f>
        <v xml:space="preserve"> </v>
      </c>
      <c r="L62" s="49">
        <f ca="1">CW62</f>
        <v>0</v>
      </c>
      <c r="M62" s="49">
        <f ca="1">CY62</f>
        <v>0</v>
      </c>
      <c r="N62" s="50">
        <f t="shared" ref="N62:O66" ca="1" si="30">DA62</f>
        <v>0</v>
      </c>
      <c r="O62" s="126">
        <f t="shared" ca="1" si="30"/>
        <v>0</v>
      </c>
      <c r="P62" s="140"/>
      <c r="Q62" s="752" t="str">
        <f ca="1">IF(AND(OR(Z62="t",Z62="f"),K62=$BH$11),"No Floor!  Change Floor Type",IF(OR(I62=" ",I62="")," ",IF(F62&lt;OFFSET($BM$9,CL62-1,0,1,1),"check L(m)",DE62&amp;IF(AND(DP62&gt;=CY62,DR62&gt;=DB62),IF(AND(ED62&gt;=DP62,EF62&gt;=DR62),CONCATENATE(DS62," will provide same result"),CONCATENATE(CO62," will provide same result")),IF((DP62&gt;=CY62),CONCATENATE(CO62," provides same result in WIND"),IF((DR62&gt;=DB62),CONCATENATE(CO62," provides same result in EQ"),""))))))&amp;IF(ISERROR(FIND("pile",I62,1)),"",IF(INT(F62)&lt;&gt;F62,"Pile!  Use Whole Numbers Only",""))</f>
        <v xml:space="preserve"> </v>
      </c>
      <c r="R62" s="52">
        <f ca="1">IF(T56&lt;&gt;2,(COLUMN(INDIRECT(B56&amp;1))+1),U62)</f>
        <v>22</v>
      </c>
      <c r="S62" s="1372" t="str">
        <f ca="1">SUBSTITUTE(ADDRESS(1,R62,4),"1","")</f>
        <v>V</v>
      </c>
      <c r="T62" s="451">
        <f ca="1">IF(AND(ISTEXT(B62),SUBSTITUTE(SUBSTITUTE(SUBSTITUTE(SUBSTITUTE(SUBSTITUTE(SUBSTITUTE(SUBSTITUTE(SUBSTITUTE(SUBSTITUTE(SUBSTITUTE(SUBSTITUTE(SUBSTITUTE(SUBSTITUTE(SUBSTITUTE(SUBSTITUTE(SUBSTITUTE(SUBSTITUTE(SUBSTITUTE(SUBSTITUTE(SUBSTITUTE(SUBSTITUTE(SUBSTITUTE(SUBSTITUTE(SUBSTITUTE(SUBSTITUTE(SUBSTITUTE(LOWER(B62),"a",),"b",),"c",),"d",),"e",),"f",),"g",),"h",),"i",),"j",),"k",),"l",),"m",),"n",),"o",),"p",),"q",),"r",),"s",),"t",),"u",),"v",),"w",),"x",),"y",),"z",)=""),1,2)</f>
        <v>1</v>
      </c>
      <c r="U62" s="1377">
        <v>22</v>
      </c>
      <c r="V62" s="52" t="str">
        <f ca="1">IF(AND(B$5=$BF$9,OR(I62=BH$16,I62=BH$17))," ",IF(ISNUMBER(B$62),(CONCATENATE(B$62,".",W62)),(CONCATENATE(B$62,W62))))</f>
        <v>V0</v>
      </c>
      <c r="W62" s="9">
        <f ca="1">IF(B56=B62,W60+X62,X62)</f>
        <v>0</v>
      </c>
      <c r="X62" s="9">
        <f>IF(AND(B$5=$BF$9,OR($I62=$BH$16,$I62=$BH$17,$I62=" ",$I62="",$F62=0)),0,IF(OR($I62=" ",$I62="",$F62=0),0,1))</f>
        <v>0</v>
      </c>
      <c r="Y62" s="896">
        <f ca="1">IF(AND(M67&gt;0,B62&lt;&gt;B68),1,0)</f>
        <v>0</v>
      </c>
      <c r="Z62" s="52" t="str">
        <f ca="1">IF(I62=" "," ",OFFSET($BM$9,$CL62-1,8,1,1))</f>
        <v xml:space="preserve"> </v>
      </c>
      <c r="AA62" s="51" t="str">
        <f>IF(G62&gt;=45,"WA","")</f>
        <v/>
      </c>
      <c r="AB62" s="1364" t="str">
        <f>IF(F62&lt;&gt;"",IF(OR(D62=$BG$12,D62=$BG$13),IF(E62&lt;&gt;$BG$17,$BF$12,$BF$13),IF(E62&lt;&gt;$BG$17,$BF$12,$BF$13))," ")</f>
        <v xml:space="preserve"> </v>
      </c>
      <c r="AC62" s="1"/>
      <c r="AK62" s="63" t="str">
        <f>'Custom Elements'!B23</f>
        <v xml:space="preserve">  </v>
      </c>
      <c r="AL62" s="860" t="str">
        <f>'Custom Elements'!C23</f>
        <v>Custom15</v>
      </c>
      <c r="AM62" s="11">
        <f>'Custom Elements'!D23</f>
        <v>9.9999999999999996E-76</v>
      </c>
      <c r="AN62" s="7">
        <f>'Custom Elements'!E23</f>
        <v>0</v>
      </c>
      <c r="AO62" s="7">
        <f>'Custom Elements'!F23</f>
        <v>0</v>
      </c>
      <c r="AP62" s="762" t="str">
        <f>'Custom Elements'!G23</f>
        <v>B</v>
      </c>
      <c r="AQ62" s="1777" t="str">
        <f>'Custom Elements'!H23</f>
        <v>Single</v>
      </c>
      <c r="AR62" s="1775" t="str">
        <f>'Custom Elements'!I23</f>
        <v>Yes</v>
      </c>
      <c r="AS62" s="442" t="str">
        <f>'Custom Elements'!J23</f>
        <v>Yes</v>
      </c>
      <c r="AT62" s="1598"/>
      <c r="AU62" s="1155"/>
      <c r="AZ62" s="442" t="str">
        <f>IF(AND('Custom Elements'!J23="Yes",'Custom Elements'!I23="Yes"),"T",IF('Custom Elements'!J23="Yes","F",IF('Custom Elements'!I23="Yes","H","E")))</f>
        <v>T</v>
      </c>
      <c r="BA62"/>
      <c r="BB62"/>
      <c r="BC62"/>
      <c r="BD62" s="641"/>
      <c r="BE62" s="2715" t="s">
        <v>905</v>
      </c>
      <c r="BF62" s="2716"/>
      <c r="BG62" s="2838"/>
      <c r="BH62" s="479"/>
      <c r="BI62" s="759"/>
      <c r="BJ62" s="897">
        <f t="shared" si="25"/>
        <v>54</v>
      </c>
      <c r="BK62" s="768" t="str">
        <f>BK56</f>
        <v xml:space="preserve">EPB </v>
      </c>
      <c r="BL62" s="765" t="str">
        <f>Table!O4</f>
        <v>ES-H</v>
      </c>
      <c r="BM62" s="454">
        <f>Table!P4</f>
        <v>0.4</v>
      </c>
      <c r="BN62" s="454">
        <f>BM63</f>
        <v>0.6</v>
      </c>
      <c r="BO62" s="454">
        <f>Table!Q4</f>
        <v>75</v>
      </c>
      <c r="BP62" s="924">
        <f>Table!R4</f>
        <v>75</v>
      </c>
      <c r="BQ62" s="920"/>
      <c r="BR62" s="768" t="str">
        <f>Table!S4</f>
        <v>ES-N</v>
      </c>
      <c r="BS62" s="454" t="str">
        <f>Table!S5</f>
        <v>ES-N</v>
      </c>
      <c r="BT62" s="454" t="str">
        <f>Table!T4</f>
        <v>B</v>
      </c>
      <c r="BU62" s="924" t="s">
        <v>242</v>
      </c>
      <c r="BV62" s="1230" t="str">
        <f>Table!AI74</f>
        <v>ES-H</v>
      </c>
      <c r="BW62" s="1229">
        <f>BJ62</f>
        <v>54</v>
      </c>
      <c r="BX62" s="924" t="str">
        <f>Table!T5</f>
        <v>Single</v>
      </c>
      <c r="CH62" s="768">
        <f>IF(BN62=999,0,(BO63-BO62)/(BN62-BM62))</f>
        <v>100.00000000000003</v>
      </c>
      <c r="CI62" s="924">
        <f>IF(BN62=999,0,(BP63-BP62)/(BN62-BM62))</f>
        <v>25.000000000000007</v>
      </c>
      <c r="CJ62" s="759"/>
      <c r="CK62" s="188"/>
      <c r="CL62" s="979">
        <f>VLOOKUP(I62,Prodlink,2,0)</f>
        <v>0</v>
      </c>
      <c r="CN62" s="497">
        <f ca="1">VLOOKUP(CO62,Prodlink,2,0)</f>
        <v>0</v>
      </c>
      <c r="CO62" s="497">
        <f ca="1">OFFSET($CH$9,CL62-1,-15,1,1)</f>
        <v>0</v>
      </c>
      <c r="CQ62" s="51">
        <v>0</v>
      </c>
      <c r="CR62" s="51">
        <f>IF(K62=$BH$12,$BH$23,IF(K62=$BH$13,$BH$24,10000))</f>
        <v>10000</v>
      </c>
      <c r="CS62" s="51">
        <f ca="1">IF(F62&lt;OFFSET($BM$9,CL62-1,0,1,1),0,IF(F62&lt;OFFSET($BN$9,CL62-1,0,1,1),((F62-OFFSET($BM$9,CL62-1,0,1,1))*OFFSET($CH$9,CL62-1,0,1,1))+OFFSET($BO$9,CL62-1,CQ62,1,1),IF(F62&lt;OFFSET($BN$9,CL62+0,0,1,1),((F62-OFFSET($BM$9,CL62+0,0,1,1))*OFFSET($CH$9,CL62+0,0,1,1))+OFFSET($BO$9,CL62+0,CQ62,1,1),IF(F62&lt;OFFSET($BN$9,CL62+1,0,1,1),((F62-OFFSET($BM$9,CL62+1,0,1,1))*OFFSET($CH$9,CL62+1,0,1,1))+OFFSET($BO$9,CL62+1,CQ62,1,1),IF(F62&lt;OFFSET($BN$9,CL62+2,0,1,1),((F62-OFFSET($BM$9,CL62+2,0,1,1))*OFFSET($CH$9,CL62+2,0,1,1))+OFFSET($BO$9,CL62+2,CQ62,1,1),IF(F62&lt;OFFSET($BN$9,CL62+3,0,1,1),((F62-OFFSET($BM$9,CL62+3,0,1,1))*OFFSET($CH$9,CL62+3,0,1,1))+OFFSET($BO$9,CL62+3,CQ62,1,1),0))))))</f>
        <v>0</v>
      </c>
      <c r="CT62" s="51">
        <f ca="1">IF($F62&lt;OFFSET($BM$9,$CL62-1,0,1,1),0,IF($F62&lt;OFFSET($BN$9,$CL62-1,0,1,1),IF(AND($H62&gt;2.4,Z62&lt;&gt;"e",Z62&lt;&gt;"f"),CX62*2.4/$H62,CX62),IF($F62&lt;OFFSET($BN$9,$CL62+0,0,1,1),IF(AND($H62&gt;2.4,Z62&lt;&gt;"e",Z62&lt;&gt;"f"),CX62*2.4/$H62,CX62),IF($F62&lt;OFFSET($BN$9,$CL62+1,0,1,1),IF(AND($H62&gt;2.4,Z62&lt;&gt;"e",Z62&lt;&gt;"f"),CX62*2.4/$H62,CX62),IF($F62&lt;OFFSET($BN$9,CL62+2,0,1,1),IF(AND($H62&gt;2.4,Z62&lt;&gt;"e",Z62&lt;&gt;"f"),CX62*2.4/$H62,CX62),IF($F62&lt;OFFSET($BN$9,CL62+3,0,1,1),IF(AND($H62&gt;2.4,Z62&lt;&gt;"e",Z62&lt;&gt;"f"),CX62*2.4/$H62,CX62),0)))))*COS(RADIANS($G62)))</f>
        <v>0</v>
      </c>
      <c r="CU62" s="51">
        <f ca="1">IF(F62&lt;OFFSET($BM$9,CL62-1,0,1,1),0,IF(F62&lt;OFFSET($BN$9,CL62-1,0,1,1),((F62-OFFSET($BM$9,CL62-1,0,1,1))*OFFSET($CI$9,CL62-1,0,1,1))+OFFSET($BP$9,CL62-1,CQ62,1,1),IF(F62&lt;OFFSET($BN$9,CL62+0,0,1,1),((F62-OFFSET($BM$9,CL62+0,0,1,1))*OFFSET($CI$9,CL62+0,0,1,1))+OFFSET($BP$9,CL62+0,CQ62,1,1),IF(F62&lt;OFFSET($BN$9,CL62+1,0,1,1),((F62-OFFSET($BM$9,CL62+1,0,1,1))*OFFSET($CI$9,CL62+1,0,1,1))+OFFSET($BP$9,CL62+1,CQ62,1,1),IF(F62&lt;OFFSET($BN$9,CL62+2,0,1,1),((F62-OFFSET($BM$9,CL62+2,0,1,1))*OFFSET($CI$9,CL62+2,0,1,1))+OFFSET($BP$9,CL62+2,CQ62,1,1),IF(F62&lt;OFFSET($BN$9,CL62+3,0,1,1),((F62-OFFSET($BM$9,CL62+3,0,1,1))*OFFSET($CI$9,CL62+3,0,1,1))+OFFSET($BP$9,CL62+3,CQ62,1,1),0))))))</f>
        <v>0</v>
      </c>
      <c r="CV62" s="51">
        <f ca="1">IF($F62&lt;OFFSET($BM$9,$CL62-1,0,1,1),0,IF($F62&lt;OFFSET($BN$9,$CL62-1,0,1,1),IF(AND($H62&gt;2.4,Z62&lt;&gt;"e",Z62&lt;&gt;"f"),CZ62*2.4/$H62,CZ62),IF($F62&lt;OFFSET($BN$9,$CL62+0,0,1,1),IF(AND($H62&gt;2.4,Z62&lt;&gt;"e",Z62&lt;&gt;"f"),CZ62*2.4/$H62,CZ62),IF($F62&lt;OFFSET($BN$9,$CL62+1,0,1,1),IF(AND($H62&gt;2.4,Z62&lt;&gt;"e",Z62&lt;&gt;"f"),CZ62*2.4/$H62,CZ62),IF($F62&lt;OFFSET($BN$9,$CL62+2,0,1,1),IF(AND($H62&gt;2.4,Z62&lt;&gt;"e",Z62&lt;&gt;"f"),CZ62*2.4/$H62,CZ62),IF($F62&lt;OFFSET($BN$9,$CL62+3,0,1,1),IF(AND($H62&gt;2.4,Z62&lt;&gt;"e",Z62&lt;&gt;"f"),CZ62*2.4/$H62,CZ62),0)))))*COS(RADIANS($G62)))</f>
        <v>0</v>
      </c>
      <c r="CW62" s="51">
        <f ca="1">IF(CT62&gt;CR62,CR62,CT62)</f>
        <v>0</v>
      </c>
      <c r="CX62" s="51">
        <f ca="1">IF(CS62&gt;$CR62,$CR62,CS62)</f>
        <v>0</v>
      </c>
      <c r="CY62" s="51">
        <f ca="1">CW62*F62</f>
        <v>0</v>
      </c>
      <c r="CZ62" s="51">
        <f ca="1">IF($CU62&gt;$CR62,$CR62,$CU62)</f>
        <v>0</v>
      </c>
      <c r="DA62" s="51">
        <f ca="1">IF(CV62&gt;CR62,CR62,CV62)</f>
        <v>0</v>
      </c>
      <c r="DB62" s="51">
        <f ca="1">DA62*F62</f>
        <v>0</v>
      </c>
      <c r="DC62" s="993">
        <v>1</v>
      </c>
      <c r="DD62" s="758" t="str">
        <f>IF(OR(D62=BG$12,D62=BG$13),"External",IF(D62=BG$14,"Internal"," "))</f>
        <v xml:space="preserve"> </v>
      </c>
      <c r="DE62" s="51" t="str">
        <f t="shared" ca="1" si="1"/>
        <v/>
      </c>
      <c r="DF62" s="52" t="str">
        <f t="shared" ca="1" si="2"/>
        <v xml:space="preserve"> </v>
      </c>
      <c r="DG62" s="51">
        <f ca="1">IF(F62&lt;OFFSET($BM$9,CN62-1,0,1,1),0,IF(F62&lt;OFFSET($BN$9,CN62-1,0,1,1),((F62-OFFSET($BM$9,CN62-1,0,1,1))*OFFSET($CH$9,CN62-1,0,1,1))+OFFSET($BO$9,CN62-1,CQ62,1,1),IF(F62&lt;OFFSET($BN$9,CN62+0,0,1,1),((F62-OFFSET($BM$9,CN62+0,0,1,1))*OFFSET($CH$9,CN62+0,0,1,1))+OFFSET($BO$9,CN62+0,CQ62,1,1),IF(F62&lt;OFFSET($BN$9,CN62+1,0,1,1),((F62-OFFSET($BM$9,CN62+1,0,1,1))*OFFSET($CH$9,CN62+1,0,1,1))+OFFSET($BO$9,CN62+1,CQ62,1,1),IF(F62&lt;OFFSET($BN$9,CN62+2,0,1,1),((F62-OFFSET($BM$9,CN62+2,0,1,1))*OFFSET($CH$9,CN62+2,0,1,1))+OFFSET($BO$9,CN62+2,CQ62,1,1),IF(F62&lt;OFFSET($BN$9,CN62+3,0,1,1),((F62-OFFSET($BM$9,CN62+3,0,1,1))*OFFSET($CH$9,CN62+3,0,1,1))+OFFSET($BO$9,CN62+3,CQ62,1,1),0))))))</f>
        <v>0</v>
      </c>
      <c r="DH62" s="51">
        <f ca="1">IF($F62&lt;OFFSET($BM$9,$CN62-1,0,1,1),0,IF($F62&lt;OFFSET($BN$9,$CN62-1,0,1,1),IF(AND($H62&gt;2.4,Z62&lt;&gt;"e",Z62&lt;&gt;"f"),DL62*2.4/$H62,DL62),IF($F62&lt;OFFSET($BN$9,$CN62+0,0,1,1),IF(AND($H62&gt;2.4,Z62&lt;&gt;"e",Z62&lt;&gt;"f"),DL62*2.4/$H62,DL62),IF($F62&lt;OFFSET($BN$9,$CN62+1,0,1,1),IF(AND($H62&gt;2.4,Z62&lt;&gt;"e",Z62&lt;&gt;"f"),DL62*2.4/$H62,DL62),IF($F62&lt;OFFSET($BN$9,$CN62+2,0,1,1),IF(AND($H62&gt;2.4,Z62&lt;&gt;"e",Z62&lt;&gt;"f"),DL62*2.4/$H62,DL62),IF($F62&lt;OFFSET($BN$9,$CN62+3,0,1,1),IF(AND($H62&gt;2.4,Z62&lt;&gt;"e",Z62&lt;&gt;"f"),DL62*2.4/$H62,DL62),0)))))*COS(RADIANS($G62)))</f>
        <v>0</v>
      </c>
      <c r="DI62" s="51">
        <f ca="1">IF(F62&lt;OFFSET($BM$9,CN62-1,0,1,1),0,IF(F62&lt;OFFSET($BN$9,CN62-1,0,1,1),((F62-OFFSET($BM$9,CN62-1,0,1,1))*OFFSET($CI$9,CN62-1,0,1,1))+OFFSET($BP$9,CN62-1,CQ62,1,1),IF(F62&lt;OFFSET($BN$9,CN62+0,0,1,1),((F62-OFFSET($BM$9,CN62+0,0,1,1))*OFFSET($CI$9,CN62+0,0,1,1))+OFFSET($BP$9,CN62+0,CQ62,1,1),IF(F62&lt;OFFSET($BN$9,CN62+1,0,1,1),((F62-OFFSET($BM$9,CN62+1,0,1,1))*OFFSET($CI$9,CN62+1,0,1,1))+OFFSET($BP$9,CN62+1,CQ62,1,1),IF(F62&lt;OFFSET($BN$9,CN62+2,0,1,1),((F62-OFFSET($BM$9,CN62+2,0,1,1))*OFFSET($CI$9,CN62+2,0,1,1))+OFFSET($BP$9,CN62+2,CQ62,1,1),IF(F62&lt;OFFSET($BN$9,CN62+3,0,1,1),((F62-OFFSET($BM$9,CN62+3,0,1,1))*OFFSET($CI$9,CN62+3,0,1,1))+OFFSET($BP$9,CN62+3,CQ62,1,1),0))))))</f>
        <v>0</v>
      </c>
      <c r="DJ62" s="51">
        <f ca="1">IF($F62&lt;OFFSET($BM$9,$CN62-1,0,1,1),0,IF($F62&lt;OFFSET($BN$9,$CN62-1,0,1,1),IF(AND($H62&gt;2.4,Z62&lt;&gt;"e",Z62&lt;&gt;"f"),DN62*2.4/$H62,DN62),IF($F62&lt;OFFSET($BN$9,$CN62+0,0,1,1),IF(AND($H62&gt;2.4,Z62&lt;&gt;"e",Z62&lt;&gt;"f"),DN62*2.4/$H62,DN62),IF($F62&lt;OFFSET($BN$9,$CN62+1,0,1,1),IF(AND($H62&gt;2.4,Z62&lt;&gt;"e",Z62&lt;&gt;"f"),DN62*2.4/$H62,DN62),IF($F62&lt;OFFSET($BN$9,$CN62+2,0,1,1),IF(AND($H62&gt;2.4,Z62&lt;&gt;"e",Z62&lt;&gt;"f"),DN62*2.4/$H62,DN62),IF($F62&lt;OFFSET($BN$9,$CN62+3,0,1,1),IF(AND($H62&gt;2.4,Z62&lt;&gt;"e",Z62&lt;&gt;"f"),DN62*2.4/$H62,DN62),0)))))*COS(RADIANS($G62)))</f>
        <v>0</v>
      </c>
      <c r="DK62" s="51"/>
      <c r="DL62" s="51">
        <f ca="1">IF(DG62&gt;$CR62,$CR62,DG62)</f>
        <v>0</v>
      </c>
      <c r="DM62" s="51"/>
      <c r="DN62" s="51">
        <f ca="1">IF(DI62&gt;$CR62,$CR62,DI62)</f>
        <v>0</v>
      </c>
      <c r="DO62" s="435">
        <f ca="1">IF(DH62&gt;$CR62,$CR62,DH62)</f>
        <v>0</v>
      </c>
      <c r="DP62" s="435">
        <f ca="1">DO62*F62</f>
        <v>0</v>
      </c>
      <c r="DQ62" s="436">
        <f ca="1">IF(DJ62&gt;$CR62,$CR62,DJ62)</f>
        <v>0</v>
      </c>
      <c r="DR62" s="437">
        <f ca="1">DQ62*F62</f>
        <v>0</v>
      </c>
      <c r="DS62" s="426">
        <f ca="1">OFFSET($CH$9,CL62-1,-15,1,1)</f>
        <v>0</v>
      </c>
      <c r="DT62" s="426">
        <f ca="1">VLOOKUP(DS62,Prodlink,2,0)</f>
        <v>0</v>
      </c>
      <c r="DU62" s="188">
        <f ca="1">IF(F62&lt;OFFSET($BM$9,DT62-1,0,1,1),0,IF(F62&lt;OFFSET($BN$9,DT62-1,0,1,1),((F62-OFFSET($BM$9,DT62-1,0,1,1))*OFFSET($CH$9,DT62-1,0,1,1))+OFFSET($BO$9,DT62-1,CQ62,1,1),IF(F62&lt;OFFSET($BN$9,DT62+0,0,1,1),((F62-OFFSET($BM$9,DT62+0,0,1,1))*OFFSET($CH$9,DT62+0,0,1,1))+OFFSET($BO$9,DT62+0,CQ62,1,1),IF(F62&lt;OFFSET($BN$9,DT62+1,0,1,1),((F62-OFFSET($BM$9,DT62+1,0,1,1))*OFFSET($CH$9,DT62+1,0,1,1))+OFFSET($BO$9,DT62+1,CQ62,1,1),IF(F62&lt;OFFSET($BN$9,DT62+2,0,1,1),((F62-OFFSET($BM$9,DT62+2,0,1,1))*OFFSET($CH$9,DT62+2,0,1,1))+OFFSET($BO$9,DT62+2,CQ62,1,1),IF(F62&lt;OFFSET($BN$9,DT62+3,0,1,1),((F62-OFFSET($BM$9,DT62+3,0,1,1))*OFFSET($CH$9,DT62+3,0,1,1))+OFFSET($BO$9,DT62+3,CQ62,1,1),0))))))</f>
        <v>0</v>
      </c>
      <c r="DV62" s="51">
        <f ca="1">IF($F62&lt;OFFSET($BM$9,$DT62-1,0,1,1),0,IF($F62&lt;OFFSET($BN$9,$DT62-1,0,1,1),IF(AND($H62&gt;2.4,Z62&lt;&gt;"e",Z62&lt;&gt;"f"),DZ62*2.4/$H62,DZ62),IF($F62&lt;OFFSET($BN$9,$DT62+0,0,1,1),IF(AND($H62&gt;2.4,Z62&lt;&gt;"e",Z62&lt;&gt;"f"),DZ62*2.4/$H62,DZ62),IF($F62&lt;OFFSET($BN$9,$DT62+1,0,1,1),IF(AND($H62&gt;2.4,Z62&lt;&gt;"e",Z62&lt;&gt;"f"),DZ62*2.4/$H62,DZ62),IF($F62&lt;OFFSET($BN$9,$DT62+2,0,1,1),IF(AND($H62&gt;2.4,Z62&lt;&gt;"e",Z62&lt;&gt;"f"),DZ62*2.4/$H62,DZ62),IF($F62&lt;OFFSET($BN$9,$DT62+3,0,1,1),IF(AND($H62&gt;2.4,Z62&lt;&gt;"e",Z62&lt;&gt;"f"),DZ62*2.4/$H62,DZ62),0)))))*COS(RADIANS($G62)))</f>
        <v>0</v>
      </c>
      <c r="DW62" s="188">
        <f ca="1">IF(F62&lt;OFFSET($BM$9,DT62-1,0,1,1),0,IF(F62&lt;OFFSET($BN$9,DT62-1,0,1,1),((F62-OFFSET($BM$9,DT62-1,0,1,1))*OFFSET($CI$9,DT62-1,0,1,1))+OFFSET($BP$9,DT62-1,CQ62,1,1),IF(F62&lt;OFFSET($BN$9,DT62+0,0,1,1),((F62-OFFSET($BM$9,DT62+0,0,1,1))*OFFSET($CI$9,DT62+0,0,1,1))+OFFSET($BP$9,DT62+0,CQ62,1,1),IF(F62&lt;OFFSET($BN$9,DT62+1,0,1,1),((F62-OFFSET($BM$9,DT62+1,0,1,1))*OFFSET($CI$9,DT62+1,0,1,1))+OFFSET($BP$9,DT62+1,CQ62,1,1),IF(F62&lt;OFFSET($BN$9,DT62+2,0,1,1),((F62-OFFSET($BM$9,DT62+2,0,1,1))*OFFSET($CI$9,DT62+2,0,1,1))+OFFSET($BP$9,DT62+2,CQ62,1,1),IF(F62&lt;OFFSET($BN$9,DT62+3,0,1,1),((F62-OFFSET($BM$9,DT62+3,0,1,1))*OFFSET($CI$9,DT62+3,0,1,1))+OFFSET($BP$9,DT62+3,CQ62,1,1),0))))))</f>
        <v>0</v>
      </c>
      <c r="DX62" s="51">
        <f ca="1">IF($F62&lt;OFFSET($BM$9,$DT62-1,0,1,1),0,IF($F62&lt;OFFSET($BN$9,$DT62-1,0,1,1),IF(AND($H62&gt;2.4,Z62&lt;&gt;"e",Z62&lt;&gt;"f"),EB62*2.4/$H62,EB62),IF($F62&lt;OFFSET($BN$9,$DT62+0,0,1,1),IF(AND($H62&gt;2.4,Z62&lt;&gt;"e",Z62&lt;&gt;"f"),EB62*2.4/$H62,EB62),IF($F62&lt;OFFSET($BN$9,$DT62+1,0,1,1),IF(AND($H62&gt;2.4,Z62&lt;&gt;"e",Z62&lt;&gt;"f"),EB62*2.4/$H62,EB62),IF($F62&lt;OFFSET($BN$9,$DT62+2,0,1,1),IF(AND($H62&gt;2.4,Z62&lt;&gt;"e",Z62&lt;&gt;"f"),EB62*2.4/$H62,EB62),IF($F62&lt;OFFSET($BN$9,$DT62+3,0,1,1),IF(AND($H62&gt;2.4,Z62&lt;&gt;"e",Z62&lt;&gt;"f"),EB62*2.4/$H62,EB62),0)))))*COS(RADIANS($G62)))</f>
        <v>0</v>
      </c>
      <c r="DY62" s="188"/>
      <c r="DZ62" s="188">
        <f ca="1">IF(DU62&gt;$CR62,$CR62,DU62)</f>
        <v>0</v>
      </c>
      <c r="EA62" s="188"/>
      <c r="EB62" s="188">
        <f ca="1">IF(DW62&gt;$CR62,$CR62,DW62)</f>
        <v>0</v>
      </c>
      <c r="EC62" s="435">
        <f ca="1">IF(DV62&gt;$CR62,$CR62,DV62)</f>
        <v>0</v>
      </c>
      <c r="ED62" s="435">
        <f ca="1">EC62*F62</f>
        <v>0</v>
      </c>
      <c r="EE62" s="436">
        <f ca="1">IF(DX62&gt;$CR62,$CR62,DX62)</f>
        <v>0</v>
      </c>
      <c r="EF62" s="437">
        <f ca="1">EE62*F62</f>
        <v>0</v>
      </c>
      <c r="EG62" s="613" t="str">
        <f>IF(D62=BG$12,BG$12,"")</f>
        <v/>
      </c>
      <c r="EH62" s="614" t="str">
        <f>IF(D62=BG$13,BG$13,"")</f>
        <v/>
      </c>
      <c r="EI62" s="611">
        <f>IF(EG62=BG$12,M62,0)</f>
        <v>0</v>
      </c>
      <c r="EJ62" s="451">
        <f>IF(EG62=BG$12,O62,0)</f>
        <v>0</v>
      </c>
      <c r="EK62" s="451">
        <f>IF(EH62=BG$13,M62,0)</f>
        <v>0</v>
      </c>
      <c r="EL62" s="612">
        <f>IF(EH62=BG$13,O62,0)</f>
        <v>0</v>
      </c>
      <c r="EM62" s="426" t="str">
        <f ca="1">IF(AND(Z62&lt;&gt;"t",Z62&lt;&gt;"f"),"",IF(AND(EN62=$BH$13,K62=$BH$12),"NotOpt",IF(K62&lt;&gt;EN62,"Error","")))</f>
        <v/>
      </c>
      <c r="EN62" s="490" t="str">
        <f>IF($BG$28=1,$BH$13,$BH$12)</f>
        <v>120 BU's</v>
      </c>
      <c r="EO62" s="426" t="str">
        <f>K62</f>
        <v xml:space="preserve"> </v>
      </c>
      <c r="EP62" s="430">
        <v>1</v>
      </c>
      <c r="EQ62" s="430" t="str">
        <f ca="1">IF(EP62=1," ",OFFSET(BF$16,EP62-2,0,1,1))</f>
        <v xml:space="preserve"> </v>
      </c>
      <c r="ER62" s="439" t="str">
        <f ca="1">IF(H62=0," ",H62)</f>
        <v xml:space="preserve"> </v>
      </c>
      <c r="ES62" s="440" t="str">
        <f ca="1">IF(ER62&lt;&gt;" ",IF(ER62&lt;&gt;ER$7,"Changed",""),"")</f>
        <v/>
      </c>
      <c r="ET62" s="440">
        <f ca="1">IF(ER62&lt;&gt;" ",IF(ER62&lt;&gt;ER$7,1,0),0)</f>
        <v>0</v>
      </c>
      <c r="EU62" s="957" t="str">
        <f ca="1">IF(I62=" "," ",IF(F62&lt;OFFSET($BM$9,CL62-1,0,1,1),1,""))</f>
        <v xml:space="preserve"> </v>
      </c>
      <c r="EW62" s="427"/>
      <c r="EX62"/>
      <c r="EY62"/>
      <c r="EZ62"/>
      <c r="FA62"/>
    </row>
    <row r="63" spans="1:157" ht="17.100000000000001" customHeight="1" thickBot="1">
      <c r="A63" s="2685"/>
      <c r="B63" s="689" t="s">
        <v>246</v>
      </c>
      <c r="C63" s="684" t="str">
        <f>IF(OR(F63=0,I63="",I63=" ")," ",$V63)</f>
        <v xml:space="preserve"> </v>
      </c>
      <c r="D63" s="1033"/>
      <c r="E63" s="1360" t="s">
        <v>8</v>
      </c>
      <c r="F63" s="202"/>
      <c r="G63" s="1416"/>
      <c r="H63" s="199" t="str">
        <f ca="1">IF(OR(F63=0,Z63="E",Z63="f")," ",'Project Demand'!E$45)</f>
        <v xml:space="preserve"> </v>
      </c>
      <c r="I63" s="631" t="str">
        <f>IF($I$6&lt;&gt;$BG$8," ",AB63)</f>
        <v xml:space="preserve"> </v>
      </c>
      <c r="J63" s="44" t="str">
        <f ca="1">IF(OR(I63=" ",I63="")," ",OFFSET($BO$9,CL63-1,0-4,1,1))</f>
        <v xml:space="preserve"> </v>
      </c>
      <c r="K63" s="55" t="str">
        <f>IF(OR(I63=" ",I63="")," ",IF(OR(Z63="e",Z63="h"),"SD",BG$24))</f>
        <v xml:space="preserve"> </v>
      </c>
      <c r="L63" s="49">
        <f ca="1">CW63</f>
        <v>0</v>
      </c>
      <c r="M63" s="49">
        <f ca="1">CY63</f>
        <v>0</v>
      </c>
      <c r="N63" s="50">
        <f t="shared" ca="1" si="30"/>
        <v>0</v>
      </c>
      <c r="O63" s="126">
        <f t="shared" ca="1" si="30"/>
        <v>0</v>
      </c>
      <c r="P63" s="140"/>
      <c r="Q63" s="752" t="str">
        <f ca="1">IF(AND(OR(Z63="t",Z63="f"),K63=$BH$11),"No Floor!  Change Floor Type",IF(OR(I63=" ",I63="")," ",IF(F63&lt;OFFSET($BM$9,CL63-1,0,1,1),"check L(m)",DE63&amp;IF(AND(DP63&gt;=CY63,DR63&gt;=DB63),IF(AND(ED63&gt;=DP63,EF63&gt;=DR63),CONCATENATE(DS63," will provide same result"),CONCATENATE(CO63," will provide same result")),IF((DP63&gt;=CY63),CONCATENATE(CO63," provides same result in WIND"),IF((DR63&gt;=DB63),CONCATENATE(CO63," provides same result in EQ"),""))))))&amp;IF(ISERROR(FIND("pile",I63,1)),"",IF(INT(F63)&lt;&gt;F63,"Pile!  Use Whole Numbers Only",""))</f>
        <v xml:space="preserve"> </v>
      </c>
      <c r="R63" s="52"/>
      <c r="S63" s="1372"/>
      <c r="T63" s="1372"/>
      <c r="U63" s="1377"/>
      <c r="V63" s="52" t="str">
        <f ca="1">IF(AND(B$5=$BF$9,OR(I63=BH$16,I63=BH$17))," ",IF(ISNUMBER(B$62),(CONCATENATE(B$62,".",W63)),(CONCATENATE(B$62,W63))))</f>
        <v>V0</v>
      </c>
      <c r="W63" s="9">
        <f ca="1">W62+X63</f>
        <v>0</v>
      </c>
      <c r="X63" s="9">
        <f>IF(AND(B$5=$BF$9,OR($I63=$BH$16,$I63=$BH$17,$I63=" ",$I63="",$F63=0)),0,IF(OR($I63=" ",$I63="",$F63=0),0,1))</f>
        <v>0</v>
      </c>
      <c r="Y63" s="896"/>
      <c r="Z63" s="52" t="str">
        <f ca="1">IF(I63=" "," ",OFFSET($BM$9,$CL63-1,8,1,1))</f>
        <v xml:space="preserve"> </v>
      </c>
      <c r="AA63" s="51" t="str">
        <f>IF(G63&gt;=45,"WA","")</f>
        <v/>
      </c>
      <c r="AB63" s="1364" t="str">
        <f>IF(F63&lt;&gt;"",IF(OR(D63=$BG$12,D63=$BG$13),IF(E63&lt;&gt;$BG$17,$BF$12,$BF$13),IF(E63&lt;&gt;$BG$17,$BF$12,$BF$13))," ")</f>
        <v xml:space="preserve"> </v>
      </c>
      <c r="AC63" s="1"/>
      <c r="AK63" s="63" t="str">
        <f>'Custom Elements'!B24</f>
        <v xml:space="preserve">  </v>
      </c>
      <c r="AL63" s="860" t="str">
        <f>'Custom Elements'!C24</f>
        <v>Custom16</v>
      </c>
      <c r="AM63" s="11">
        <f>'Custom Elements'!D24</f>
        <v>9.9999999999999996E-76</v>
      </c>
      <c r="AN63" s="7">
        <f>'Custom Elements'!E24</f>
        <v>0</v>
      </c>
      <c r="AO63" s="7">
        <f>'Custom Elements'!F24</f>
        <v>0</v>
      </c>
      <c r="AP63" s="762" t="str">
        <f>'Custom Elements'!G24</f>
        <v>B</v>
      </c>
      <c r="AQ63" s="1777" t="str">
        <f>'Custom Elements'!H24</f>
        <v>Single</v>
      </c>
      <c r="AR63" s="1775" t="str">
        <f>'Custom Elements'!I24</f>
        <v>Yes</v>
      </c>
      <c r="AS63" s="442" t="str">
        <f>'Custom Elements'!J24</f>
        <v>Yes</v>
      </c>
      <c r="AT63" s="1598"/>
      <c r="AU63" s="1155"/>
      <c r="AZ63" s="442" t="str">
        <f>IF(AND('Custom Elements'!J24="Yes",'Custom Elements'!I24="Yes"),"T",IF('Custom Elements'!J24="Yes","F",IF('Custom Elements'!I24="Yes","H","E")))</f>
        <v>T</v>
      </c>
      <c r="BA63"/>
      <c r="BB63"/>
      <c r="BC63"/>
      <c r="BD63" s="641"/>
      <c r="BE63" s="1020"/>
      <c r="BF63" s="1020"/>
      <c r="BG63" s="1020"/>
      <c r="BH63" s="479"/>
      <c r="BI63" s="759"/>
      <c r="BJ63" s="897">
        <f t="shared" si="25"/>
        <v>55</v>
      </c>
      <c r="BK63" s="764"/>
      <c r="BL63" s="766"/>
      <c r="BM63" s="455">
        <f>Table!P5</f>
        <v>0.6</v>
      </c>
      <c r="BN63" s="455">
        <f>BM64</f>
        <v>0.8</v>
      </c>
      <c r="BO63" s="455">
        <f>Table!Q5</f>
        <v>95</v>
      </c>
      <c r="BP63" s="925">
        <f>Table!R5</f>
        <v>80</v>
      </c>
      <c r="BR63" s="764"/>
      <c r="BS63" s="455"/>
      <c r="BT63" s="455"/>
      <c r="BU63" s="925" t="s">
        <v>242</v>
      </c>
      <c r="BV63" s="895"/>
      <c r="BW63" s="912"/>
      <c r="BX63" s="925" t="str">
        <f>Table!T5</f>
        <v>Single</v>
      </c>
      <c r="CH63" s="764">
        <f>IF(BN63=999,0,(BO64-BO63)/(BN63-BM63))</f>
        <v>0</v>
      </c>
      <c r="CI63" s="925">
        <f>IF(BN63=999,0,(BP64-BP63)/(BN63-BM63))</f>
        <v>14.999999999999995</v>
      </c>
      <c r="CJ63" s="759"/>
      <c r="CK63" s="188"/>
      <c r="CL63" s="979">
        <f>VLOOKUP(I63,Prodlink,2,0)</f>
        <v>0</v>
      </c>
      <c r="CN63" s="497">
        <f ca="1">VLOOKUP(CO63,Prodlink,2,0)</f>
        <v>0</v>
      </c>
      <c r="CO63" s="497">
        <f ca="1">OFFSET($CH$9,CL63-1,-15,1,1)</f>
        <v>0</v>
      </c>
      <c r="CQ63" s="51">
        <v>0</v>
      </c>
      <c r="CR63" s="51">
        <f>IF(K63=$BH$12,$BH$23,IF(K63=$BH$13,$BH$24,10000))</f>
        <v>10000</v>
      </c>
      <c r="CS63" s="51">
        <f ca="1">IF(F63&lt;OFFSET($BM$9,CL63-1,0,1,1),0,IF(F63&lt;OFFSET($BN$9,CL63-1,0,1,1),((F63-OFFSET($BM$9,CL63-1,0,1,1))*OFFSET($CH$9,CL63-1,0,1,1))+OFFSET($BO$9,CL63-1,CQ63,1,1),IF(F63&lt;OFFSET($BN$9,CL63+0,0,1,1),((F63-OFFSET($BM$9,CL63+0,0,1,1))*OFFSET($CH$9,CL63+0,0,1,1))+OFFSET($BO$9,CL63+0,CQ63,1,1),IF(F63&lt;OFFSET($BN$9,CL63+1,0,1,1),((F63-OFFSET($BM$9,CL63+1,0,1,1))*OFFSET($CH$9,CL63+1,0,1,1))+OFFSET($BO$9,CL63+1,CQ63,1,1),IF(F63&lt;OFFSET($BN$9,CL63+2,0,1,1),((F63-OFFSET($BM$9,CL63+2,0,1,1))*OFFSET($CH$9,CL63+2,0,1,1))+OFFSET($BO$9,CL63+2,CQ63,1,1),IF(F63&lt;OFFSET($BN$9,CL63+3,0,1,1),((F63-OFFSET($BM$9,CL63+3,0,1,1))*OFFSET($CH$9,CL63+3,0,1,1))+OFFSET($BO$9,CL63+3,CQ63,1,1),0))))))</f>
        <v>0</v>
      </c>
      <c r="CT63" s="51">
        <f ca="1">IF($F63&lt;OFFSET($BM$9,$CL63-1,0,1,1),0,IF($F63&lt;OFFSET($BN$9,$CL63-1,0,1,1),IF(AND($H63&gt;2.4,Z63&lt;&gt;"e",Z63&lt;&gt;"f"),CX63*2.4/$H63,CX63),IF($F63&lt;OFFSET($BN$9,$CL63+0,0,1,1),IF(AND($H63&gt;2.4,Z63&lt;&gt;"e",Z63&lt;&gt;"f"),CX63*2.4/$H63,CX63),IF($F63&lt;OFFSET($BN$9,$CL63+1,0,1,1),IF(AND($H63&gt;2.4,Z63&lt;&gt;"e",Z63&lt;&gt;"f"),CX63*2.4/$H63,CX63),IF($F63&lt;OFFSET($BN$9,CL63+2,0,1,1),IF(AND($H63&gt;2.4,Z63&lt;&gt;"e",Z63&lt;&gt;"f"),CX63*2.4/$H63,CX63),IF($F63&lt;OFFSET($BN$9,CL63+3,0,1,1),IF(AND($H63&gt;2.4,Z63&lt;&gt;"e",Z63&lt;&gt;"f"),CX63*2.4/$H63,CX63),0)))))*COS(RADIANS($G63)))</f>
        <v>0</v>
      </c>
      <c r="CU63" s="51">
        <f ca="1">IF(F63&lt;OFFSET($BM$9,CL63-1,0,1,1),0,IF(F63&lt;OFFSET($BN$9,CL63-1,0,1,1),((F63-OFFSET($BM$9,CL63-1,0,1,1))*OFFSET($CI$9,CL63-1,0,1,1))+OFFSET($BP$9,CL63-1,CQ63,1,1),IF(F63&lt;OFFSET($BN$9,CL63+0,0,1,1),((F63-OFFSET($BM$9,CL63+0,0,1,1))*OFFSET($CI$9,CL63+0,0,1,1))+OFFSET($BP$9,CL63+0,CQ63,1,1),IF(F63&lt;OFFSET($BN$9,CL63+1,0,1,1),((F63-OFFSET($BM$9,CL63+1,0,1,1))*OFFSET($CI$9,CL63+1,0,1,1))+OFFSET($BP$9,CL63+1,CQ63,1,1),IF(F63&lt;OFFSET($BN$9,CL63+2,0,1,1),((F63-OFFSET($BM$9,CL63+2,0,1,1))*OFFSET($CI$9,CL63+2,0,1,1))+OFFSET($BP$9,CL63+2,CQ63,1,1),IF(F63&lt;OFFSET($BN$9,CL63+3,0,1,1),((F63-OFFSET($BM$9,CL63+3,0,1,1))*OFFSET($CI$9,CL63+3,0,1,1))+OFFSET($BP$9,CL63+3,CQ63,1,1),0))))))</f>
        <v>0</v>
      </c>
      <c r="CV63" s="51">
        <f ca="1">IF($F63&lt;OFFSET($BM$9,$CL63-1,0,1,1),0,IF($F63&lt;OFFSET($BN$9,$CL63-1,0,1,1),IF(AND($H63&gt;2.4,Z63&lt;&gt;"e",Z63&lt;&gt;"f"),CZ63*2.4/$H63,CZ63),IF($F63&lt;OFFSET($BN$9,$CL63+0,0,1,1),IF(AND($H63&gt;2.4,Z63&lt;&gt;"e",Z63&lt;&gt;"f"),CZ63*2.4/$H63,CZ63),IF($F63&lt;OFFSET($BN$9,$CL63+1,0,1,1),IF(AND($H63&gt;2.4,Z63&lt;&gt;"e",Z63&lt;&gt;"f"),CZ63*2.4/$H63,CZ63),IF($F63&lt;OFFSET($BN$9,$CL63+2,0,1,1),IF(AND($H63&gt;2.4,Z63&lt;&gt;"e",Z63&lt;&gt;"f"),CZ63*2.4/$H63,CZ63),IF($F63&lt;OFFSET($BN$9,$CL63+3,0,1,1),IF(AND($H63&gt;2.4,Z63&lt;&gt;"e",Z63&lt;&gt;"f"),CZ63*2.4/$H63,CZ63),0)))))*COS(RADIANS($G63)))</f>
        <v>0</v>
      </c>
      <c r="CW63" s="51">
        <f ca="1">IF(CT63&gt;CR63,CR63,CT63)</f>
        <v>0</v>
      </c>
      <c r="CX63" s="51">
        <f ca="1">IF(CS63&gt;$CR63,$CR63,CS63)</f>
        <v>0</v>
      </c>
      <c r="CY63" s="51">
        <f ca="1">CW63*F63</f>
        <v>0</v>
      </c>
      <c r="CZ63" s="51">
        <f ca="1">IF($CU63&gt;$CR63,$CR63,$CU63)</f>
        <v>0</v>
      </c>
      <c r="DA63" s="51">
        <f ca="1">IF(CV63&gt;CR63,CR63,CV63)</f>
        <v>0</v>
      </c>
      <c r="DB63" s="51">
        <f ca="1">DA63*F63</f>
        <v>0</v>
      </c>
      <c r="DC63" s="993">
        <v>1</v>
      </c>
      <c r="DD63" s="758" t="str">
        <f>IF(OR(D63=BG$12,D63=BG$13),"External",IF(D63=BG$14,"Internal"," "))</f>
        <v xml:space="preserve"> </v>
      </c>
      <c r="DE63" s="51" t="str">
        <f t="shared" ca="1" si="1"/>
        <v/>
      </c>
      <c r="DF63" s="52" t="str">
        <f t="shared" ca="1" si="2"/>
        <v xml:space="preserve"> </v>
      </c>
      <c r="DG63" s="51">
        <f ca="1">IF(F63&lt;OFFSET($BM$9,CN63-1,0,1,1),0,IF(F63&lt;OFFSET($BN$9,CN63-1,0,1,1),((F63-OFFSET($BM$9,CN63-1,0,1,1))*OFFSET($CH$9,CN63-1,0,1,1))+OFFSET($BO$9,CN63-1,CQ63,1,1),IF(F63&lt;OFFSET($BN$9,CN63+0,0,1,1),((F63-OFFSET($BM$9,CN63+0,0,1,1))*OFFSET($CH$9,CN63+0,0,1,1))+OFFSET($BO$9,CN63+0,CQ63,1,1),IF(F63&lt;OFFSET($BN$9,CN63+1,0,1,1),((F63-OFFSET($BM$9,CN63+1,0,1,1))*OFFSET($CH$9,CN63+1,0,1,1))+OFFSET($BO$9,CN63+1,CQ63,1,1),IF(F63&lt;OFFSET($BN$9,CN63+2,0,1,1),((F63-OFFSET($BM$9,CN63+2,0,1,1))*OFFSET($CH$9,CN63+2,0,1,1))+OFFSET($BO$9,CN63+2,CQ63,1,1),IF(F63&lt;OFFSET($BN$9,CN63+3,0,1,1),((F63-OFFSET($BM$9,CN63+3,0,1,1))*OFFSET($CH$9,CN63+3,0,1,1))+OFFSET($BO$9,CN63+3,CQ63,1,1),0))))))</f>
        <v>0</v>
      </c>
      <c r="DH63" s="51">
        <f ca="1">IF($F63&lt;OFFSET($BM$9,$CN63-1,0,1,1),0,IF($F63&lt;OFFSET($BN$9,$CN63-1,0,1,1),IF(AND($H63&gt;2.4,Z63&lt;&gt;"e",Z63&lt;&gt;"f"),DL63*2.4/$H63,DL63),IF($F63&lt;OFFSET($BN$9,$CN63+0,0,1,1),IF(AND($H63&gt;2.4,Z63&lt;&gt;"e",Z63&lt;&gt;"f"),DL63*2.4/$H63,DL63),IF($F63&lt;OFFSET($BN$9,$CN63+1,0,1,1),IF(AND($H63&gt;2.4,Z63&lt;&gt;"e",Z63&lt;&gt;"f"),DL63*2.4/$H63,DL63),IF($F63&lt;OFFSET($BN$9,$CN63+2,0,1,1),IF(AND($H63&gt;2.4,Z63&lt;&gt;"e",Z63&lt;&gt;"f"),DL63*2.4/$H63,DL63),IF($F63&lt;OFFSET($BN$9,$CN63+3,0,1,1),IF(AND($H63&gt;2.4,Z63&lt;&gt;"e",Z63&lt;&gt;"f"),DL63*2.4/$H63,DL63),0)))))*COS(RADIANS($G63)))</f>
        <v>0</v>
      </c>
      <c r="DI63" s="51">
        <f ca="1">IF(F63&lt;OFFSET($BM$9,CN63-1,0,1,1),0,IF(F63&lt;OFFSET($BN$9,CN63-1,0,1,1),((F63-OFFSET($BM$9,CN63-1,0,1,1))*OFFSET($CI$9,CN63-1,0,1,1))+OFFSET($BP$9,CN63-1,CQ63,1,1),IF(F63&lt;OFFSET($BN$9,CN63+0,0,1,1),((F63-OFFSET($BM$9,CN63+0,0,1,1))*OFFSET($CI$9,CN63+0,0,1,1))+OFFSET($BP$9,CN63+0,CQ63,1,1),IF(F63&lt;OFFSET($BN$9,CN63+1,0,1,1),((F63-OFFSET($BM$9,CN63+1,0,1,1))*OFFSET($CI$9,CN63+1,0,1,1))+OFFSET($BP$9,CN63+1,CQ63,1,1),IF(F63&lt;OFFSET($BN$9,CN63+2,0,1,1),((F63-OFFSET($BM$9,CN63+2,0,1,1))*OFFSET($CI$9,CN63+2,0,1,1))+OFFSET($BP$9,CN63+2,CQ63,1,1),IF(F63&lt;OFFSET($BN$9,CN63+3,0,1,1),((F63-OFFSET($BM$9,CN63+3,0,1,1))*OFFSET($CI$9,CN63+3,0,1,1))+OFFSET($BP$9,CN63+3,CQ63,1,1),0))))))</f>
        <v>0</v>
      </c>
      <c r="DJ63" s="51">
        <f ca="1">IF($F63&lt;OFFSET($BM$9,$CN63-1,0,1,1),0,IF($F63&lt;OFFSET($BN$9,$CN63-1,0,1,1),IF(AND($H63&gt;2.4,Z63&lt;&gt;"e",Z63&lt;&gt;"f"),DN63*2.4/$H63,DN63),IF($F63&lt;OFFSET($BN$9,$CN63+0,0,1,1),IF(AND($H63&gt;2.4,Z63&lt;&gt;"e",Z63&lt;&gt;"f"),DN63*2.4/$H63,DN63),IF($F63&lt;OFFSET($BN$9,$CN63+1,0,1,1),IF(AND($H63&gt;2.4,Z63&lt;&gt;"e",Z63&lt;&gt;"f"),DN63*2.4/$H63,DN63),IF($F63&lt;OFFSET($BN$9,$CN63+2,0,1,1),IF(AND($H63&gt;2.4,Z63&lt;&gt;"e",Z63&lt;&gt;"f"),DN63*2.4/$H63,DN63),IF($F63&lt;OFFSET($BN$9,$CN63+3,0,1,1),IF(AND($H63&gt;2.4,Z63&lt;&gt;"e",Z63&lt;&gt;"f"),DN63*2.4/$H63,DN63),0)))))*COS(RADIANS($G63)))</f>
        <v>0</v>
      </c>
      <c r="DK63" s="51"/>
      <c r="DL63" s="51">
        <f ca="1">IF(DG63&gt;$CR63,$CR63,DG63)</f>
        <v>0</v>
      </c>
      <c r="DM63" s="51"/>
      <c r="DN63" s="51">
        <f ca="1">IF(DI63&gt;$CR63,$CR63,DI63)</f>
        <v>0</v>
      </c>
      <c r="DO63" s="435">
        <f ca="1">IF(DH63&gt;$CR63,$CR63,DH63)</f>
        <v>0</v>
      </c>
      <c r="DP63" s="435">
        <f ca="1">DO63*F63</f>
        <v>0</v>
      </c>
      <c r="DQ63" s="436">
        <f ca="1">IF(DJ63&gt;$CR63,$CR63,DJ63)</f>
        <v>0</v>
      </c>
      <c r="DR63" s="437">
        <f ca="1">DQ63*F63</f>
        <v>0</v>
      </c>
      <c r="DS63" s="426">
        <f ca="1">OFFSET($CH$9,CL63-1,-15,1,1)</f>
        <v>0</v>
      </c>
      <c r="DT63" s="426">
        <f ca="1">VLOOKUP(DS63,Prodlink,2,0)</f>
        <v>0</v>
      </c>
      <c r="DU63" s="188">
        <f ca="1">IF(F63&lt;OFFSET($BM$9,DT63-1,0,1,1),0,IF(F63&lt;OFFSET($BN$9,DT63-1,0,1,1),((F63-OFFSET($BM$9,DT63-1,0,1,1))*OFFSET($CH$9,DT63-1,0,1,1))+OFFSET($BO$9,DT63-1,CQ63,1,1),IF(F63&lt;OFFSET($BN$9,DT63+0,0,1,1),((F63-OFFSET($BM$9,DT63+0,0,1,1))*OFFSET($CH$9,DT63+0,0,1,1))+OFFSET($BO$9,DT63+0,CQ63,1,1),IF(F63&lt;OFFSET($BN$9,DT63+1,0,1,1),((F63-OFFSET($BM$9,DT63+1,0,1,1))*OFFSET($CH$9,DT63+1,0,1,1))+OFFSET($BO$9,DT63+1,CQ63,1,1),IF(F63&lt;OFFSET($BN$9,DT63+2,0,1,1),((F63-OFFSET($BM$9,DT63+2,0,1,1))*OFFSET($CH$9,DT63+2,0,1,1))+OFFSET($BO$9,DT63+2,CQ63,1,1),IF(F63&lt;OFFSET($BN$9,DT63+3,0,1,1),((F63-OFFSET($BM$9,DT63+3,0,1,1))*OFFSET($CH$9,DT63+3,0,1,1))+OFFSET($BO$9,DT63+3,CQ63,1,1),0))))))</f>
        <v>0</v>
      </c>
      <c r="DV63" s="51">
        <f ca="1">IF($F63&lt;OFFSET($BM$9,$DT63-1,0,1,1),0,IF($F63&lt;OFFSET($BN$9,$DT63-1,0,1,1),IF(AND($H63&gt;2.4,Z63&lt;&gt;"e",Z63&lt;&gt;"f"),DZ63*2.4/$H63,DZ63),IF($F63&lt;OFFSET($BN$9,$DT63+0,0,1,1),IF(AND($H63&gt;2.4,Z63&lt;&gt;"e",Z63&lt;&gt;"f"),DZ63*2.4/$H63,DZ63),IF($F63&lt;OFFSET($BN$9,$DT63+1,0,1,1),IF(AND($H63&gt;2.4,Z63&lt;&gt;"e",Z63&lt;&gt;"f"),DZ63*2.4/$H63,DZ63),IF($F63&lt;OFFSET($BN$9,$DT63+2,0,1,1),IF(AND($H63&gt;2.4,Z63&lt;&gt;"e",Z63&lt;&gt;"f"),DZ63*2.4/$H63,DZ63),IF($F63&lt;OFFSET($BN$9,$DT63+3,0,1,1),IF(AND($H63&gt;2.4,Z63&lt;&gt;"e",Z63&lt;&gt;"f"),DZ63*2.4/$H63,DZ63),0)))))*COS(RADIANS($G63)))</f>
        <v>0</v>
      </c>
      <c r="DW63" s="188">
        <f ca="1">IF(F63&lt;OFFSET($BM$9,DT63-1,0,1,1),0,IF(F63&lt;OFFSET($BN$9,DT63-1,0,1,1),((F63-OFFSET($BM$9,DT63-1,0,1,1))*OFFSET($CI$9,DT63-1,0,1,1))+OFFSET($BP$9,DT63-1,CQ63,1,1),IF(F63&lt;OFFSET($BN$9,DT63+0,0,1,1),((F63-OFFSET($BM$9,DT63+0,0,1,1))*OFFSET($CI$9,DT63+0,0,1,1))+OFFSET($BP$9,DT63+0,CQ63,1,1),IF(F63&lt;OFFSET($BN$9,DT63+1,0,1,1),((F63-OFFSET($BM$9,DT63+1,0,1,1))*OFFSET($CI$9,DT63+1,0,1,1))+OFFSET($BP$9,DT63+1,CQ63,1,1),IF(F63&lt;OFFSET($BN$9,DT63+2,0,1,1),((F63-OFFSET($BM$9,DT63+2,0,1,1))*OFFSET($CI$9,DT63+2,0,1,1))+OFFSET($BP$9,DT63+2,CQ63,1,1),IF(F63&lt;OFFSET($BN$9,DT63+3,0,1,1),((F63-OFFSET($BM$9,DT63+3,0,1,1))*OFFSET($CI$9,DT63+3,0,1,1))+OFFSET($BP$9,DT63+3,CQ63,1,1),0))))))</f>
        <v>0</v>
      </c>
      <c r="DX63" s="51">
        <f ca="1">IF($F63&lt;OFFSET($BM$9,$DT63-1,0,1,1),0,IF($F63&lt;OFFSET($BN$9,$DT63-1,0,1,1),IF(AND($H63&gt;2.4,Z63&lt;&gt;"e",Z63&lt;&gt;"f"),EB63*2.4/$H63,EB63),IF($F63&lt;OFFSET($BN$9,$DT63+0,0,1,1),IF(AND($H63&gt;2.4,Z63&lt;&gt;"e",Z63&lt;&gt;"f"),EB63*2.4/$H63,EB63),IF($F63&lt;OFFSET($BN$9,$DT63+1,0,1,1),IF(AND($H63&gt;2.4,Z63&lt;&gt;"e",Z63&lt;&gt;"f"),EB63*2.4/$H63,EB63),IF($F63&lt;OFFSET($BN$9,$DT63+2,0,1,1),IF(AND($H63&gt;2.4,Z63&lt;&gt;"e",Z63&lt;&gt;"f"),EB63*2.4/$H63,EB63),IF($F63&lt;OFFSET($BN$9,$DT63+3,0,1,1),IF(AND($H63&gt;2.4,Z63&lt;&gt;"e",Z63&lt;&gt;"f"),EB63*2.4/$H63,EB63),0)))))*COS(RADIANS($G63)))</f>
        <v>0</v>
      </c>
      <c r="DY63" s="188"/>
      <c r="DZ63" s="188">
        <f ca="1">IF(DU63&gt;$CR63,$CR63,DU63)</f>
        <v>0</v>
      </c>
      <c r="EA63" s="188"/>
      <c r="EB63" s="188">
        <f ca="1">IF(DW63&gt;$CR63,$CR63,DW63)</f>
        <v>0</v>
      </c>
      <c r="EC63" s="435">
        <f ca="1">IF(DV63&gt;$CR63,$CR63,DV63)</f>
        <v>0</v>
      </c>
      <c r="ED63" s="435">
        <f ca="1">EC63*F63</f>
        <v>0</v>
      </c>
      <c r="EE63" s="436">
        <f ca="1">IF(DX63&gt;$CR63,$CR63,DX63)</f>
        <v>0</v>
      </c>
      <c r="EF63" s="437">
        <f ca="1">EE63*F63</f>
        <v>0</v>
      </c>
      <c r="EG63" s="613" t="str">
        <f>IF(D63=BG$12,BG$12,"")</f>
        <v/>
      </c>
      <c r="EH63" s="614" t="str">
        <f>IF(D63=BG$13,BG$13,"")</f>
        <v/>
      </c>
      <c r="EI63" s="611">
        <f>IF(EG63=BG$12,M63,0)</f>
        <v>0</v>
      </c>
      <c r="EJ63" s="451">
        <f>IF(EG63=BG$12,O63,0)</f>
        <v>0</v>
      </c>
      <c r="EK63" s="451">
        <f>IF(EH63=BG$13,M63,0)</f>
        <v>0</v>
      </c>
      <c r="EL63" s="612">
        <f>IF(EH63=BG$13,O63,0)</f>
        <v>0</v>
      </c>
      <c r="EM63" s="426" t="str">
        <f ca="1">IF(AND(Z63&lt;&gt;"t",Z63&lt;&gt;"f"),"",IF(AND(EN63=$BH$13,K63=$BH$12),"NotOpt",IF(K63&lt;&gt;EN63,"Error","")))</f>
        <v/>
      </c>
      <c r="EN63" s="490" t="str">
        <f>IF($BG$28=1,$BH$13,$BH$12)</f>
        <v>120 BU's</v>
      </c>
      <c r="EO63" s="426" t="str">
        <f>K63</f>
        <v xml:space="preserve"> </v>
      </c>
      <c r="EP63" s="430">
        <v>1</v>
      </c>
      <c r="EQ63" s="430" t="str">
        <f ca="1">IF(EP63=1," ",OFFSET(BF$16,EP63-2,0,1,1))</f>
        <v xml:space="preserve"> </v>
      </c>
      <c r="ER63" s="439" t="str">
        <f ca="1">IF(H63=0," ",H63)</f>
        <v xml:space="preserve"> </v>
      </c>
      <c r="ES63" s="440" t="str">
        <f ca="1">IF(ER63&lt;&gt;" ",IF(ER63&lt;&gt;ER$7,"Changed",""),"")</f>
        <v/>
      </c>
      <c r="ET63" s="440">
        <f ca="1">IF(ER63&lt;&gt;" ",IF(ER63&lt;&gt;ER$7,1,0),0)</f>
        <v>0</v>
      </c>
      <c r="EU63" s="957" t="str">
        <f ca="1">IF(I63=" "," ",IF(F63&lt;OFFSET($BM$9,CL63-1,0,1,1),1,""))</f>
        <v xml:space="preserve"> </v>
      </c>
      <c r="EW63" s="427"/>
      <c r="EX63"/>
      <c r="EY63"/>
      <c r="EZ63"/>
      <c r="FA63"/>
    </row>
    <row r="64" spans="1:157" ht="17.100000000000001" customHeight="1">
      <c r="A64" s="2685"/>
      <c r="B64" s="689" t="s">
        <v>246</v>
      </c>
      <c r="C64" s="684" t="str">
        <f>IF(OR(F64=0,I64="",I64=" ")," ",$V64)</f>
        <v xml:space="preserve"> </v>
      </c>
      <c r="D64" s="1033"/>
      <c r="E64" s="1360" t="s">
        <v>8</v>
      </c>
      <c r="F64" s="202"/>
      <c r="G64" s="1416"/>
      <c r="H64" s="199" t="str">
        <f ca="1">IF(OR(F64=0,Z64="E",Z64="f")," ",'Project Demand'!E$45)</f>
        <v xml:space="preserve"> </v>
      </c>
      <c r="I64" s="631" t="str">
        <f>IF($I$6&lt;&gt;$BG$8," ",AB64)</f>
        <v xml:space="preserve"> </v>
      </c>
      <c r="J64" s="44" t="str">
        <f ca="1">IF(OR(I64=" ",I64="")," ",OFFSET($BO$9,CL64-1,0-4,1,1))</f>
        <v xml:space="preserve"> </v>
      </c>
      <c r="K64" s="55" t="str">
        <f>IF(OR(I64=" ",I64="")," ",IF(OR(Z64="e",Z64="h"),"SD",BG$24))</f>
        <v xml:space="preserve"> </v>
      </c>
      <c r="L64" s="49">
        <f ca="1">CW64</f>
        <v>0</v>
      </c>
      <c r="M64" s="49">
        <f ca="1">CY64</f>
        <v>0</v>
      </c>
      <c r="N64" s="50">
        <f t="shared" ca="1" si="30"/>
        <v>0</v>
      </c>
      <c r="O64" s="126">
        <f t="shared" ca="1" si="30"/>
        <v>0</v>
      </c>
      <c r="P64" s="140"/>
      <c r="Q64" s="752" t="str">
        <f ca="1">IF(AND(OR(Z64="t",Z64="f"),K64=$BH$11),"No Floor!  Change Floor Type",IF(OR(I64=" ",I64="")," ",IF(F64&lt;OFFSET($BM$9,CL64-1,0,1,1),"check L(m)",DE64&amp;IF(AND(DP64&gt;=CY64,DR64&gt;=DB64),IF(AND(ED64&gt;=DP64,EF64&gt;=DR64),CONCATENATE(DS64," will provide same result"),CONCATENATE(CO64," will provide same result")),IF((DP64&gt;=CY64),CONCATENATE(CO64," provides same result in WIND"),IF((DR64&gt;=DB64),CONCATENATE(CO64," provides same result in EQ"),""))))))&amp;IF(ISERROR(FIND("pile",I64,1)),"",IF(INT(F64)&lt;&gt;F64,"Pile!  Use Whole Numbers Only",""))</f>
        <v xml:space="preserve"> </v>
      </c>
      <c r="R64" s="52"/>
      <c r="S64" s="1372"/>
      <c r="T64" s="1372"/>
      <c r="U64" s="1377"/>
      <c r="V64" s="52" t="str">
        <f ca="1">IF(AND(B$5=$BF$9,OR(I64=BH$16,I64=BH$17))," ",IF(ISNUMBER(B$62),(CONCATENATE(B$62,".",W64)),(CONCATENATE(B$62,W64))))</f>
        <v>V0</v>
      </c>
      <c r="W64" s="9">
        <f ca="1">W63+X64</f>
        <v>0</v>
      </c>
      <c r="X64" s="9">
        <f>IF(AND(B$5=$BF$9,OR($I64=$BH$16,$I64=$BH$17,$I64=" ",$I64="",$F64=0)),0,IF(OR($I64=" ",$I64="",$F64=0),0,1))</f>
        <v>0</v>
      </c>
      <c r="Y64" s="896"/>
      <c r="Z64" s="52" t="str">
        <f ca="1">IF(I64=" "," ",OFFSET($BM$9,$CL64-1,8,1,1))</f>
        <v xml:space="preserve"> </v>
      </c>
      <c r="AA64" s="51" t="str">
        <f>IF(G64&gt;=45,"WA","")</f>
        <v/>
      </c>
      <c r="AB64" s="1364" t="str">
        <f>IF(F64&lt;&gt;"",IF(OR(D64=$BG$12,D64=$BG$13),IF(E64&lt;&gt;$BG$17,$BF$12,$BF$13),IF(E64&lt;&gt;$BG$17,$BF$12,$BF$13))," ")</f>
        <v xml:space="preserve"> </v>
      </c>
      <c r="AC64" s="1"/>
      <c r="AK64" s="63" t="str">
        <f>'Custom Elements'!B25</f>
        <v xml:space="preserve">  </v>
      </c>
      <c r="AL64" s="860" t="str">
        <f>'Custom Elements'!C25</f>
        <v>Custom17</v>
      </c>
      <c r="AM64" s="11">
        <f>'Custom Elements'!D25</f>
        <v>9.9999999999999996E-76</v>
      </c>
      <c r="AN64" s="7">
        <f>'Custom Elements'!E25</f>
        <v>0</v>
      </c>
      <c r="AO64" s="7">
        <f>'Custom Elements'!F25</f>
        <v>0</v>
      </c>
      <c r="AP64" s="762" t="str">
        <f>'Custom Elements'!G25</f>
        <v>B</v>
      </c>
      <c r="AQ64" s="1777" t="str">
        <f>'Custom Elements'!H25</f>
        <v>Single</v>
      </c>
      <c r="AR64" s="1775" t="str">
        <f>'Custom Elements'!I25</f>
        <v>Yes</v>
      </c>
      <c r="AS64" s="442" t="str">
        <f>'Custom Elements'!J25</f>
        <v>Yes</v>
      </c>
      <c r="AT64" s="1598"/>
      <c r="AU64" s="1155"/>
      <c r="AZ64" s="442" t="str">
        <f>IF(AND('Custom Elements'!J25="Yes",'Custom Elements'!I25="Yes"),"T",IF('Custom Elements'!J25="Yes","F",IF('Custom Elements'!I25="Yes","H","E")))</f>
        <v>T</v>
      </c>
      <c r="BA64"/>
      <c r="BB64"/>
      <c r="BC64"/>
      <c r="BD64" s="641"/>
      <c r="BE64" s="1023" t="s">
        <v>906</v>
      </c>
      <c r="BF64" s="1024"/>
      <c r="BG64" s="1025"/>
      <c r="BH64" s="479"/>
      <c r="BI64" s="759"/>
      <c r="BJ64" s="897">
        <f t="shared" si="25"/>
        <v>56</v>
      </c>
      <c r="BK64" s="764"/>
      <c r="BL64" s="766"/>
      <c r="BM64" s="455">
        <f>Table!P6</f>
        <v>0.8</v>
      </c>
      <c r="BN64" s="455">
        <f>BM65</f>
        <v>1.2</v>
      </c>
      <c r="BO64" s="455">
        <f>Table!Q6</f>
        <v>95</v>
      </c>
      <c r="BP64" s="925">
        <f>Table!R6</f>
        <v>83</v>
      </c>
      <c r="BR64" s="764"/>
      <c r="BS64" s="455"/>
      <c r="BT64" s="455"/>
      <c r="BU64" s="925" t="s">
        <v>242</v>
      </c>
      <c r="BV64" s="895"/>
      <c r="BW64" s="912"/>
      <c r="BX64" s="925" t="str">
        <f>Table!T5</f>
        <v>Single</v>
      </c>
      <c r="CH64" s="764">
        <f>IF(BN64=999,0,(BO65-BO64)/(BN64-BM64))</f>
        <v>0</v>
      </c>
      <c r="CI64" s="925">
        <f>IF(BN64=999,0,(BP65-BP64)/(BN64-BM64))</f>
        <v>2.5000000000000004</v>
      </c>
      <c r="CJ64" s="759"/>
      <c r="CK64" s="188"/>
      <c r="CL64" s="979">
        <f>VLOOKUP(I64,Prodlink,2,0)</f>
        <v>0</v>
      </c>
      <c r="CN64" s="497">
        <f ca="1">VLOOKUP(CO64,Prodlink,2,0)</f>
        <v>0</v>
      </c>
      <c r="CO64" s="497">
        <f ca="1">OFFSET($CH$9,CL64-1,-15,1,1)</f>
        <v>0</v>
      </c>
      <c r="CQ64" s="51">
        <v>0</v>
      </c>
      <c r="CR64" s="51">
        <f>IF(K64=$BH$12,$BH$23,IF(K64=$BH$13,$BH$24,10000))</f>
        <v>10000</v>
      </c>
      <c r="CS64" s="51">
        <f ca="1">IF(F64&lt;OFFSET($BM$9,CL64-1,0,1,1),0,IF(F64&lt;OFFSET($BN$9,CL64-1,0,1,1),((F64-OFFSET($BM$9,CL64-1,0,1,1))*OFFSET($CH$9,CL64-1,0,1,1))+OFFSET($BO$9,CL64-1,CQ64,1,1),IF(F64&lt;OFFSET($BN$9,CL64+0,0,1,1),((F64-OFFSET($BM$9,CL64+0,0,1,1))*OFFSET($CH$9,CL64+0,0,1,1))+OFFSET($BO$9,CL64+0,CQ64,1,1),IF(F64&lt;OFFSET($BN$9,CL64+1,0,1,1),((F64-OFFSET($BM$9,CL64+1,0,1,1))*OFFSET($CH$9,CL64+1,0,1,1))+OFFSET($BO$9,CL64+1,CQ64,1,1),IF(F64&lt;OFFSET($BN$9,CL64+2,0,1,1),((F64-OFFSET($BM$9,CL64+2,0,1,1))*OFFSET($CH$9,CL64+2,0,1,1))+OFFSET($BO$9,CL64+2,CQ64,1,1),IF(F64&lt;OFFSET($BN$9,CL64+3,0,1,1),((F64-OFFSET($BM$9,CL64+3,0,1,1))*OFFSET($CH$9,CL64+3,0,1,1))+OFFSET($BO$9,CL64+3,CQ64,1,1),0))))))</f>
        <v>0</v>
      </c>
      <c r="CT64" s="51">
        <f ca="1">IF($F64&lt;OFFSET($BM$9,$CL64-1,0,1,1),0,IF($F64&lt;OFFSET($BN$9,$CL64-1,0,1,1),IF(AND($H64&gt;2.4,Z64&lt;&gt;"e",Z64&lt;&gt;"f"),CX64*2.4/$H64,CX64),IF($F64&lt;OFFSET($BN$9,$CL64+0,0,1,1),IF(AND($H64&gt;2.4,Z64&lt;&gt;"e",Z64&lt;&gt;"f"),CX64*2.4/$H64,CX64),IF($F64&lt;OFFSET($BN$9,$CL64+1,0,1,1),IF(AND($H64&gt;2.4,Z64&lt;&gt;"e",Z64&lt;&gt;"f"),CX64*2.4/$H64,CX64),IF($F64&lt;OFFSET($BN$9,CL64+2,0,1,1),IF(AND($H64&gt;2.4,Z64&lt;&gt;"e",Z64&lt;&gt;"f"),CX64*2.4/$H64,CX64),IF($F64&lt;OFFSET($BN$9,CL64+3,0,1,1),IF(AND($H64&gt;2.4,Z64&lt;&gt;"e",Z64&lt;&gt;"f"),CX64*2.4/$H64,CX64),0)))))*COS(RADIANS($G64)))</f>
        <v>0</v>
      </c>
      <c r="CU64" s="51">
        <f ca="1">IF(F64&lt;OFFSET($BM$9,CL64-1,0,1,1),0,IF(F64&lt;OFFSET($BN$9,CL64-1,0,1,1),((F64-OFFSET($BM$9,CL64-1,0,1,1))*OFFSET($CI$9,CL64-1,0,1,1))+OFFSET($BP$9,CL64-1,CQ64,1,1),IF(F64&lt;OFFSET($BN$9,CL64+0,0,1,1),((F64-OFFSET($BM$9,CL64+0,0,1,1))*OFFSET($CI$9,CL64+0,0,1,1))+OFFSET($BP$9,CL64+0,CQ64,1,1),IF(F64&lt;OFFSET($BN$9,CL64+1,0,1,1),((F64-OFFSET($BM$9,CL64+1,0,1,1))*OFFSET($CI$9,CL64+1,0,1,1))+OFFSET($BP$9,CL64+1,CQ64,1,1),IF(F64&lt;OFFSET($BN$9,CL64+2,0,1,1),((F64-OFFSET($BM$9,CL64+2,0,1,1))*OFFSET($CI$9,CL64+2,0,1,1))+OFFSET($BP$9,CL64+2,CQ64,1,1),IF(F64&lt;OFFSET($BN$9,CL64+3,0,1,1),((F64-OFFSET($BM$9,CL64+3,0,1,1))*OFFSET($CI$9,CL64+3,0,1,1))+OFFSET($BP$9,CL64+3,CQ64,1,1),0))))))</f>
        <v>0</v>
      </c>
      <c r="CV64" s="51">
        <f ca="1">IF($F64&lt;OFFSET($BM$9,$CL64-1,0,1,1),0,IF($F64&lt;OFFSET($BN$9,$CL64-1,0,1,1),IF(AND($H64&gt;2.4,Z64&lt;&gt;"e",Z64&lt;&gt;"f"),CZ64*2.4/$H64,CZ64),IF($F64&lt;OFFSET($BN$9,$CL64+0,0,1,1),IF(AND($H64&gt;2.4,Z64&lt;&gt;"e",Z64&lt;&gt;"f"),CZ64*2.4/$H64,CZ64),IF($F64&lt;OFFSET($BN$9,$CL64+1,0,1,1),IF(AND($H64&gt;2.4,Z64&lt;&gt;"e",Z64&lt;&gt;"f"),CZ64*2.4/$H64,CZ64),IF($F64&lt;OFFSET($BN$9,$CL64+2,0,1,1),IF(AND($H64&gt;2.4,Z64&lt;&gt;"e",Z64&lt;&gt;"f"),CZ64*2.4/$H64,CZ64),IF($F64&lt;OFFSET($BN$9,$CL64+3,0,1,1),IF(AND($H64&gt;2.4,Z64&lt;&gt;"e",Z64&lt;&gt;"f"),CZ64*2.4/$H64,CZ64),0)))))*COS(RADIANS($G64)))</f>
        <v>0</v>
      </c>
      <c r="CW64" s="51">
        <f ca="1">IF(CT64&gt;CR64,CR64,CT64)</f>
        <v>0</v>
      </c>
      <c r="CX64" s="51">
        <f ca="1">IF(CS64&gt;$CR64,$CR64,CS64)</f>
        <v>0</v>
      </c>
      <c r="CY64" s="51">
        <f ca="1">CW64*F64</f>
        <v>0</v>
      </c>
      <c r="CZ64" s="51">
        <f ca="1">IF($CU64&gt;$CR64,$CR64,$CU64)</f>
        <v>0</v>
      </c>
      <c r="DA64" s="51">
        <f ca="1">IF(CV64&gt;CR64,CR64,CV64)</f>
        <v>0</v>
      </c>
      <c r="DB64" s="51">
        <f ca="1">DA64*F64</f>
        <v>0</v>
      </c>
      <c r="DC64" s="993">
        <v>1</v>
      </c>
      <c r="DD64" s="758" t="str">
        <f>IF(OR(D64=BG$12,D64=BG$13),"External",IF(D64=BG$14,"Internal"," "))</f>
        <v xml:space="preserve"> </v>
      </c>
      <c r="DE64" s="51" t="str">
        <f t="shared" ca="1" si="1"/>
        <v/>
      </c>
      <c r="DF64" s="52" t="str">
        <f t="shared" ca="1" si="2"/>
        <v xml:space="preserve"> </v>
      </c>
      <c r="DG64" s="51">
        <f ca="1">IF(F64&lt;OFFSET($BM$9,CN64-1,0,1,1),0,IF(F64&lt;OFFSET($BN$9,CN64-1,0,1,1),((F64-OFFSET($BM$9,CN64-1,0,1,1))*OFFSET($CH$9,CN64-1,0,1,1))+OFFSET($BO$9,CN64-1,CQ64,1,1),IF(F64&lt;OFFSET($BN$9,CN64+0,0,1,1),((F64-OFFSET($BM$9,CN64+0,0,1,1))*OFFSET($CH$9,CN64+0,0,1,1))+OFFSET($BO$9,CN64+0,CQ64,1,1),IF(F64&lt;OFFSET($BN$9,CN64+1,0,1,1),((F64-OFFSET($BM$9,CN64+1,0,1,1))*OFFSET($CH$9,CN64+1,0,1,1))+OFFSET($BO$9,CN64+1,CQ64,1,1),IF(F64&lt;OFFSET($BN$9,CN64+2,0,1,1),((F64-OFFSET($BM$9,CN64+2,0,1,1))*OFFSET($CH$9,CN64+2,0,1,1))+OFFSET($BO$9,CN64+2,CQ64,1,1),IF(F64&lt;OFFSET($BN$9,CN64+3,0,1,1),((F64-OFFSET($BM$9,CN64+3,0,1,1))*OFFSET($CH$9,CN64+3,0,1,1))+OFFSET($BO$9,CN64+3,CQ64,1,1),0))))))</f>
        <v>0</v>
      </c>
      <c r="DH64" s="51">
        <f ca="1">IF($F64&lt;OFFSET($BM$9,$CN64-1,0,1,1),0,IF($F64&lt;OFFSET($BN$9,$CN64-1,0,1,1),IF(AND($H64&gt;2.4,Z64&lt;&gt;"e",Z64&lt;&gt;"f"),DL64*2.4/$H64,DL64),IF($F64&lt;OFFSET($BN$9,$CN64+0,0,1,1),IF(AND($H64&gt;2.4,Z64&lt;&gt;"e",Z64&lt;&gt;"f"),DL64*2.4/$H64,DL64),IF($F64&lt;OFFSET($BN$9,$CN64+1,0,1,1),IF(AND($H64&gt;2.4,Z64&lt;&gt;"e",Z64&lt;&gt;"f"),DL64*2.4/$H64,DL64),IF($F64&lt;OFFSET($BN$9,$CN64+2,0,1,1),IF(AND($H64&gt;2.4,Z64&lt;&gt;"e",Z64&lt;&gt;"f"),DL64*2.4/$H64,DL64),IF($F64&lt;OFFSET($BN$9,$CN64+3,0,1,1),IF(AND($H64&gt;2.4,Z64&lt;&gt;"e",Z64&lt;&gt;"f"),DL64*2.4/$H64,DL64),0)))))*COS(RADIANS($G64)))</f>
        <v>0</v>
      </c>
      <c r="DI64" s="51">
        <f ca="1">IF(F64&lt;OFFSET($BM$9,CN64-1,0,1,1),0,IF(F64&lt;OFFSET($BN$9,CN64-1,0,1,1),((F64-OFFSET($BM$9,CN64-1,0,1,1))*OFFSET($CI$9,CN64-1,0,1,1))+OFFSET($BP$9,CN64-1,CQ64,1,1),IF(F64&lt;OFFSET($BN$9,CN64+0,0,1,1),((F64-OFFSET($BM$9,CN64+0,0,1,1))*OFFSET($CI$9,CN64+0,0,1,1))+OFFSET($BP$9,CN64+0,CQ64,1,1),IF(F64&lt;OFFSET($BN$9,CN64+1,0,1,1),((F64-OFFSET($BM$9,CN64+1,0,1,1))*OFFSET($CI$9,CN64+1,0,1,1))+OFFSET($BP$9,CN64+1,CQ64,1,1),IF(F64&lt;OFFSET($BN$9,CN64+2,0,1,1),((F64-OFFSET($BM$9,CN64+2,0,1,1))*OFFSET($CI$9,CN64+2,0,1,1))+OFFSET($BP$9,CN64+2,CQ64,1,1),IF(F64&lt;OFFSET($BN$9,CN64+3,0,1,1),((F64-OFFSET($BM$9,CN64+3,0,1,1))*OFFSET($CI$9,CN64+3,0,1,1))+OFFSET($BP$9,CN64+3,CQ64,1,1),0))))))</f>
        <v>0</v>
      </c>
      <c r="DJ64" s="51">
        <f ca="1">IF($F64&lt;OFFSET($BM$9,$CN64-1,0,1,1),0,IF($F64&lt;OFFSET($BN$9,$CN64-1,0,1,1),IF(AND($H64&gt;2.4,Z64&lt;&gt;"e",Z64&lt;&gt;"f"),DN64*2.4/$H64,DN64),IF($F64&lt;OFFSET($BN$9,$CN64+0,0,1,1),IF(AND($H64&gt;2.4,Z64&lt;&gt;"e",Z64&lt;&gt;"f"),DN64*2.4/$H64,DN64),IF($F64&lt;OFFSET($BN$9,$CN64+1,0,1,1),IF(AND($H64&gt;2.4,Z64&lt;&gt;"e",Z64&lt;&gt;"f"),DN64*2.4/$H64,DN64),IF($F64&lt;OFFSET($BN$9,$CN64+2,0,1,1),IF(AND($H64&gt;2.4,Z64&lt;&gt;"e",Z64&lt;&gt;"f"),DN64*2.4/$H64,DN64),IF($F64&lt;OFFSET($BN$9,$CN64+3,0,1,1),IF(AND($H64&gt;2.4,Z64&lt;&gt;"e",Z64&lt;&gt;"f"),DN64*2.4/$H64,DN64),0)))))*COS(RADIANS($G64)))</f>
        <v>0</v>
      </c>
      <c r="DK64" s="51"/>
      <c r="DL64" s="51">
        <f ca="1">IF(DG64&gt;$CR64,$CR64,DG64)</f>
        <v>0</v>
      </c>
      <c r="DM64" s="51"/>
      <c r="DN64" s="51">
        <f ca="1">IF(DI64&gt;$CR64,$CR64,DI64)</f>
        <v>0</v>
      </c>
      <c r="DO64" s="435">
        <f ca="1">IF(DH64&gt;$CR64,$CR64,DH64)</f>
        <v>0</v>
      </c>
      <c r="DP64" s="435">
        <f ca="1">DO64*F64</f>
        <v>0</v>
      </c>
      <c r="DQ64" s="436">
        <f ca="1">IF(DJ64&gt;$CR64,$CR64,DJ64)</f>
        <v>0</v>
      </c>
      <c r="DR64" s="437">
        <f ca="1">DQ64*F64</f>
        <v>0</v>
      </c>
      <c r="DS64" s="426">
        <f ca="1">OFFSET($CH$9,CL64-1,-15,1,1)</f>
        <v>0</v>
      </c>
      <c r="DT64" s="426">
        <f ca="1">VLOOKUP(DS64,Prodlink,2,0)</f>
        <v>0</v>
      </c>
      <c r="DU64" s="188">
        <f ca="1">IF(F64&lt;OFFSET($BM$9,DT64-1,0,1,1),0,IF(F64&lt;OFFSET($BN$9,DT64-1,0,1,1),((F64-OFFSET($BM$9,DT64-1,0,1,1))*OFFSET($CH$9,DT64-1,0,1,1))+OFFSET($BO$9,DT64-1,CQ64,1,1),IF(F64&lt;OFFSET($BN$9,DT64+0,0,1,1),((F64-OFFSET($BM$9,DT64+0,0,1,1))*OFFSET($CH$9,DT64+0,0,1,1))+OFFSET($BO$9,DT64+0,CQ64,1,1),IF(F64&lt;OFFSET($BN$9,DT64+1,0,1,1),((F64-OFFSET($BM$9,DT64+1,0,1,1))*OFFSET($CH$9,DT64+1,0,1,1))+OFFSET($BO$9,DT64+1,CQ64,1,1),IF(F64&lt;OFFSET($BN$9,DT64+2,0,1,1),((F64-OFFSET($BM$9,DT64+2,0,1,1))*OFFSET($CH$9,DT64+2,0,1,1))+OFFSET($BO$9,DT64+2,CQ64,1,1),IF(F64&lt;OFFSET($BN$9,DT64+3,0,1,1),((F64-OFFSET($BM$9,DT64+3,0,1,1))*OFFSET($CH$9,DT64+3,0,1,1))+OFFSET($BO$9,DT64+3,CQ64,1,1),0))))))</f>
        <v>0</v>
      </c>
      <c r="DV64" s="51">
        <f ca="1">IF($F64&lt;OFFSET($BM$9,$DT64-1,0,1,1),0,IF($F64&lt;OFFSET($BN$9,$DT64-1,0,1,1),IF(AND($H64&gt;2.4,Z64&lt;&gt;"e",Z64&lt;&gt;"f"),DZ64*2.4/$H64,DZ64),IF($F64&lt;OFFSET($BN$9,$DT64+0,0,1,1),IF(AND($H64&gt;2.4,Z64&lt;&gt;"e",Z64&lt;&gt;"f"),DZ64*2.4/$H64,DZ64),IF($F64&lt;OFFSET($BN$9,$DT64+1,0,1,1),IF(AND($H64&gt;2.4,Z64&lt;&gt;"e",Z64&lt;&gt;"f"),DZ64*2.4/$H64,DZ64),IF($F64&lt;OFFSET($BN$9,$DT64+2,0,1,1),IF(AND($H64&gt;2.4,Z64&lt;&gt;"e",Z64&lt;&gt;"f"),DZ64*2.4/$H64,DZ64),IF($F64&lt;OFFSET($BN$9,$DT64+3,0,1,1),IF(AND($H64&gt;2.4,Z64&lt;&gt;"e",Z64&lt;&gt;"f"),DZ64*2.4/$H64,DZ64),0)))))*COS(RADIANS($G64)))</f>
        <v>0</v>
      </c>
      <c r="DW64" s="188">
        <f ca="1">IF(F64&lt;OFFSET($BM$9,DT64-1,0,1,1),0,IF(F64&lt;OFFSET($BN$9,DT64-1,0,1,1),((F64-OFFSET($BM$9,DT64-1,0,1,1))*OFFSET($CI$9,DT64-1,0,1,1))+OFFSET($BP$9,DT64-1,CQ64,1,1),IF(F64&lt;OFFSET($BN$9,DT64+0,0,1,1),((F64-OFFSET($BM$9,DT64+0,0,1,1))*OFFSET($CI$9,DT64+0,0,1,1))+OFFSET($BP$9,DT64+0,CQ64,1,1),IF(F64&lt;OFFSET($BN$9,DT64+1,0,1,1),((F64-OFFSET($BM$9,DT64+1,0,1,1))*OFFSET($CI$9,DT64+1,0,1,1))+OFFSET($BP$9,DT64+1,CQ64,1,1),IF(F64&lt;OFFSET($BN$9,DT64+2,0,1,1),((F64-OFFSET($BM$9,DT64+2,0,1,1))*OFFSET($CI$9,DT64+2,0,1,1))+OFFSET($BP$9,DT64+2,CQ64,1,1),IF(F64&lt;OFFSET($BN$9,DT64+3,0,1,1),((F64-OFFSET($BM$9,DT64+3,0,1,1))*OFFSET($CI$9,DT64+3,0,1,1))+OFFSET($BP$9,DT64+3,CQ64,1,1),0))))))</f>
        <v>0</v>
      </c>
      <c r="DX64" s="51">
        <f ca="1">IF($F64&lt;OFFSET($BM$9,$DT64-1,0,1,1),0,IF($F64&lt;OFFSET($BN$9,$DT64-1,0,1,1),IF(AND($H64&gt;2.4,Z64&lt;&gt;"e",Z64&lt;&gt;"f"),EB64*2.4/$H64,EB64),IF($F64&lt;OFFSET($BN$9,$DT64+0,0,1,1),IF(AND($H64&gt;2.4,Z64&lt;&gt;"e",Z64&lt;&gt;"f"),EB64*2.4/$H64,EB64),IF($F64&lt;OFFSET($BN$9,$DT64+1,0,1,1),IF(AND($H64&gt;2.4,Z64&lt;&gt;"e",Z64&lt;&gt;"f"),EB64*2.4/$H64,EB64),IF($F64&lt;OFFSET($BN$9,$DT64+2,0,1,1),IF(AND($H64&gt;2.4,Z64&lt;&gt;"e",Z64&lt;&gt;"f"),EB64*2.4/$H64,EB64),IF($F64&lt;OFFSET($BN$9,$DT64+3,0,1,1),IF(AND($H64&gt;2.4,Z64&lt;&gt;"e",Z64&lt;&gt;"f"),EB64*2.4/$H64,EB64),0)))))*COS(RADIANS($G64)))</f>
        <v>0</v>
      </c>
      <c r="DY64" s="188"/>
      <c r="DZ64" s="188">
        <f ca="1">IF(DU64&gt;$CR64,$CR64,DU64)</f>
        <v>0</v>
      </c>
      <c r="EA64" s="188"/>
      <c r="EB64" s="188">
        <f ca="1">IF(DW64&gt;$CR64,$CR64,DW64)</f>
        <v>0</v>
      </c>
      <c r="EC64" s="435">
        <f ca="1">IF(DV64&gt;$CR64,$CR64,DV64)</f>
        <v>0</v>
      </c>
      <c r="ED64" s="435">
        <f ca="1">EC64*F64</f>
        <v>0</v>
      </c>
      <c r="EE64" s="436">
        <f ca="1">IF(DX64&gt;$CR64,$CR64,DX64)</f>
        <v>0</v>
      </c>
      <c r="EF64" s="437">
        <f ca="1">EE64*F64</f>
        <v>0</v>
      </c>
      <c r="EG64" s="613" t="str">
        <f>IF(D64=BG$12,BG$12,"")</f>
        <v/>
      </c>
      <c r="EH64" s="614" t="str">
        <f>IF(D64=BG$13,BG$13,"")</f>
        <v/>
      </c>
      <c r="EI64" s="611">
        <f>IF(EG64=BG$12,M64,0)</f>
        <v>0</v>
      </c>
      <c r="EJ64" s="451">
        <f>IF(EG64=BG$12,O64,0)</f>
        <v>0</v>
      </c>
      <c r="EK64" s="451">
        <f>IF(EH64=BG$13,M64,0)</f>
        <v>0</v>
      </c>
      <c r="EL64" s="612">
        <f>IF(EH64=BG$13,O64,0)</f>
        <v>0</v>
      </c>
      <c r="EM64" s="426" t="str">
        <f ca="1">IF(AND(Z64&lt;&gt;"t",Z64&lt;&gt;"f"),"",IF(AND(EN64=$BH$13,K64=$BH$12),"NotOpt",IF(K64&lt;&gt;EN64,"Error","")))</f>
        <v/>
      </c>
      <c r="EN64" s="490" t="str">
        <f>IF($BG$28=1,$BH$13,$BH$12)</f>
        <v>120 BU's</v>
      </c>
      <c r="EO64" s="426" t="str">
        <f>K64</f>
        <v xml:space="preserve"> </v>
      </c>
      <c r="EP64" s="430">
        <v>1</v>
      </c>
      <c r="EQ64" s="430" t="str">
        <f ca="1">IF(EP64=1," ",OFFSET(BF$16,EP64-2,0,1,1))</f>
        <v xml:space="preserve"> </v>
      </c>
      <c r="ER64" s="439" t="str">
        <f ca="1">IF(H64=0," ",H64)</f>
        <v xml:space="preserve"> </v>
      </c>
      <c r="ES64" s="440" t="str">
        <f ca="1">IF(ER64&lt;&gt;" ",IF(ER64&lt;&gt;ER$7,"Changed",""),"")</f>
        <v/>
      </c>
      <c r="ET64" s="440">
        <f ca="1">IF(ER64&lt;&gt;" ",IF(ER64&lt;&gt;ER$7,1,0),0)</f>
        <v>0</v>
      </c>
      <c r="EU64" s="957" t="str">
        <f ca="1">IF(I64=" "," ",IF(F64&lt;OFFSET($BM$9,CL64-1,0,1,1),1,""))</f>
        <v xml:space="preserve"> </v>
      </c>
      <c r="EW64" s="427"/>
      <c r="EX64"/>
      <c r="EY64"/>
      <c r="EZ64"/>
      <c r="FA64"/>
    </row>
    <row r="65" spans="1:157" ht="17.100000000000001" customHeight="1">
      <c r="A65" s="2685"/>
      <c r="B65" s="689" t="s">
        <v>246</v>
      </c>
      <c r="C65" s="684" t="str">
        <f>IF(OR(F65=0,I65="",I65=" ")," ",$V65)</f>
        <v xml:space="preserve"> </v>
      </c>
      <c r="D65" s="1033"/>
      <c r="E65" s="1360" t="s">
        <v>8</v>
      </c>
      <c r="F65" s="202"/>
      <c r="G65" s="1416"/>
      <c r="H65" s="199" t="str">
        <f ca="1">IF(OR(F65=0,Z65="E",Z65="f")," ",'Project Demand'!E$45)</f>
        <v xml:space="preserve"> </v>
      </c>
      <c r="I65" s="631" t="str">
        <f>IF($I$6&lt;&gt;$BG$8," ",AB65)</f>
        <v xml:space="preserve"> </v>
      </c>
      <c r="J65" s="44" t="str">
        <f ca="1">IF(OR(I65=" ",I65="")," ",OFFSET($BO$9,CL65-1,0-4,1,1))</f>
        <v xml:space="preserve"> </v>
      </c>
      <c r="K65" s="55" t="str">
        <f>IF(OR(I65=" ",I65="")," ",IF(OR(Z65="e",Z65="h"),"SD",BG$24))</f>
        <v xml:space="preserve"> </v>
      </c>
      <c r="L65" s="49">
        <f ca="1">CW65</f>
        <v>0</v>
      </c>
      <c r="M65" s="49">
        <f ca="1">CY65</f>
        <v>0</v>
      </c>
      <c r="N65" s="50">
        <f t="shared" ca="1" si="30"/>
        <v>0</v>
      </c>
      <c r="O65" s="126">
        <f t="shared" ca="1" si="30"/>
        <v>0</v>
      </c>
      <c r="P65" s="140"/>
      <c r="Q65" s="752" t="str">
        <f ca="1">IF(AND(OR(Z65="t",Z65="f"),K65=$BH$11),"No Floor!  Change Floor Type",IF(OR(I65=" ",I65="")," ",IF(F65&lt;OFFSET($BM$9,CL65-1,0,1,1),"check L(m)",DE65&amp;IF(AND(DP65&gt;=CY65,DR65&gt;=DB65),IF(AND(ED65&gt;=DP65,EF65&gt;=DR65),CONCATENATE(DS65," will provide same result"),CONCATENATE(CO65," will provide same result")),IF((DP65&gt;=CY65),CONCATENATE(CO65," provides same result in WIND"),IF((DR65&gt;=DB65),CONCATENATE(CO65," provides same result in EQ"),""))))))&amp;IF(ISERROR(FIND("pile",I65,1)),"",IF(INT(F65)&lt;&gt;F65,"Pile!  Use Whole Numbers Only",""))</f>
        <v xml:space="preserve"> </v>
      </c>
      <c r="R65" s="52"/>
      <c r="S65" s="1372"/>
      <c r="T65" s="1372"/>
      <c r="U65" s="1377"/>
      <c r="V65" s="52" t="str">
        <f ca="1">IF(AND(B$5=$BF$9,OR(I65=BH$16,I65=BH$17))," ",IF(ISNUMBER(B$62),(CONCATENATE(B$62,".",W65)),(CONCATENATE(B$62,W65))))</f>
        <v>V0</v>
      </c>
      <c r="W65" s="9">
        <f ca="1">W64+X65</f>
        <v>0</v>
      </c>
      <c r="X65" s="9">
        <f>IF(AND(B$5=$BF$9,OR($I65=$BH$16,$I65=$BH$17,$I65=" ",$I65="",$F65=0)),0,IF(OR($I65=" ",$I65="",$F65=0),0,1))</f>
        <v>0</v>
      </c>
      <c r="Y65" s="896"/>
      <c r="Z65" s="52" t="str">
        <f ca="1">IF(I65=" "," ",OFFSET($BM$9,$CL65-1,8,1,1))</f>
        <v xml:space="preserve"> </v>
      </c>
      <c r="AA65" s="51" t="str">
        <f>IF(G65&gt;=45,"WA","")</f>
        <v/>
      </c>
      <c r="AB65" s="1364" t="str">
        <f>IF(F65&lt;&gt;"",IF(OR(D65=$BG$12,D65=$BG$13),IF(E65&lt;&gt;$BG$17,$BF$12,$BF$13),IF(E65&lt;&gt;$BG$17,$BF$12,$BF$13))," ")</f>
        <v xml:space="preserve"> </v>
      </c>
      <c r="AC65" s="1"/>
      <c r="AK65" s="63" t="str">
        <f>'Custom Elements'!B26</f>
        <v xml:space="preserve">  </v>
      </c>
      <c r="AL65" s="860" t="str">
        <f>'Custom Elements'!C26</f>
        <v>Custom18</v>
      </c>
      <c r="AM65" s="11">
        <f>'Custom Elements'!D26</f>
        <v>9.9999999999999996E-76</v>
      </c>
      <c r="AN65" s="7">
        <f>'Custom Elements'!E26</f>
        <v>0</v>
      </c>
      <c r="AO65" s="7">
        <f>'Custom Elements'!F26</f>
        <v>0</v>
      </c>
      <c r="AP65" s="762" t="str">
        <f>'Custom Elements'!G26</f>
        <v>B</v>
      </c>
      <c r="AQ65" s="1777" t="str">
        <f>'Custom Elements'!H26</f>
        <v>Single</v>
      </c>
      <c r="AR65" s="1775" t="str">
        <f>'Custom Elements'!I26</f>
        <v>Yes</v>
      </c>
      <c r="AS65" s="442" t="str">
        <f>'Custom Elements'!J26</f>
        <v>Yes</v>
      </c>
      <c r="AT65" s="1598"/>
      <c r="AU65" s="1155"/>
      <c r="AZ65" s="442" t="str">
        <f>IF(AND('Custom Elements'!J26="Yes",'Custom Elements'!I26="Yes"),"T",IF('Custom Elements'!J26="Yes","F",IF('Custom Elements'!I26="Yes","H","E")))</f>
        <v>T</v>
      </c>
      <c r="BA65"/>
      <c r="BB65"/>
      <c r="BC65"/>
      <c r="BD65" s="641"/>
      <c r="BE65" s="1026" t="s">
        <v>904</v>
      </c>
      <c r="BF65" s="640"/>
      <c r="BG65" s="1027"/>
      <c r="BH65" s="479"/>
      <c r="BI65" s="759"/>
      <c r="BJ65" s="897">
        <f t="shared" si="25"/>
        <v>57</v>
      </c>
      <c r="BK65" s="764"/>
      <c r="BL65" s="766"/>
      <c r="BM65" s="455">
        <f>Table!P7</f>
        <v>1.2</v>
      </c>
      <c r="BN65" s="455">
        <f>BM66</f>
        <v>1.8</v>
      </c>
      <c r="BO65" s="455">
        <f>Table!Q7</f>
        <v>95</v>
      </c>
      <c r="BP65" s="925">
        <f>Table!R7</f>
        <v>84</v>
      </c>
      <c r="BR65" s="764"/>
      <c r="BS65" s="455"/>
      <c r="BT65" s="455"/>
      <c r="BU65" s="925" t="s">
        <v>242</v>
      </c>
      <c r="BV65" s="895"/>
      <c r="BW65" s="912"/>
      <c r="BX65" s="925" t="str">
        <f>Table!T5</f>
        <v>Single</v>
      </c>
      <c r="CH65" s="764">
        <f>IF(BN65=999,0,(BO66-BO65)/(BN65-BM65))</f>
        <v>24.999999999999996</v>
      </c>
      <c r="CI65" s="925">
        <f>IF(BN65=999,0,(BP66-BP65)/(BN65-BM65))</f>
        <v>0</v>
      </c>
      <c r="CJ65" s="759"/>
      <c r="CK65" s="188"/>
      <c r="CL65" s="979">
        <f>VLOOKUP(I65,Prodlink,2,0)</f>
        <v>0</v>
      </c>
      <c r="CN65" s="497">
        <f ca="1">VLOOKUP(CO65,Prodlink,2,0)</f>
        <v>0</v>
      </c>
      <c r="CO65" s="497">
        <f ca="1">OFFSET($CH$9,CL65-1,-15,1,1)</f>
        <v>0</v>
      </c>
      <c r="CQ65" s="51">
        <v>0</v>
      </c>
      <c r="CR65" s="51">
        <f>IF(K65=$BH$12,$BH$23,IF(K65=$BH$13,$BH$24,10000))</f>
        <v>10000</v>
      </c>
      <c r="CS65" s="51">
        <f ca="1">IF(F65&lt;OFFSET($BM$9,CL65-1,0,1,1),0,IF(F65&lt;OFFSET($BN$9,CL65-1,0,1,1),((F65-OFFSET($BM$9,CL65-1,0,1,1))*OFFSET($CH$9,CL65-1,0,1,1))+OFFSET($BO$9,CL65-1,CQ65,1,1),IF(F65&lt;OFFSET($BN$9,CL65+0,0,1,1),((F65-OFFSET($BM$9,CL65+0,0,1,1))*OFFSET($CH$9,CL65+0,0,1,1))+OFFSET($BO$9,CL65+0,CQ65,1,1),IF(F65&lt;OFFSET($BN$9,CL65+1,0,1,1),((F65-OFFSET($BM$9,CL65+1,0,1,1))*OFFSET($CH$9,CL65+1,0,1,1))+OFFSET($BO$9,CL65+1,CQ65,1,1),IF(F65&lt;OFFSET($BN$9,CL65+2,0,1,1),((F65-OFFSET($BM$9,CL65+2,0,1,1))*OFFSET($CH$9,CL65+2,0,1,1))+OFFSET($BO$9,CL65+2,CQ65,1,1),IF(F65&lt;OFFSET($BN$9,CL65+3,0,1,1),((F65-OFFSET($BM$9,CL65+3,0,1,1))*OFFSET($CH$9,CL65+3,0,1,1))+OFFSET($BO$9,CL65+3,CQ65,1,1),0))))))</f>
        <v>0</v>
      </c>
      <c r="CT65" s="51">
        <f ca="1">IF($F65&lt;OFFSET($BM$9,$CL65-1,0,1,1),0,IF($F65&lt;OFFSET($BN$9,$CL65-1,0,1,1),IF(AND($H65&gt;2.4,Z65&lt;&gt;"e",Z65&lt;&gt;"f"),CX65*2.4/$H65,CX65),IF($F65&lt;OFFSET($BN$9,$CL65+0,0,1,1),IF(AND($H65&gt;2.4,Z65&lt;&gt;"e",Z65&lt;&gt;"f"),CX65*2.4/$H65,CX65),IF($F65&lt;OFFSET($BN$9,$CL65+1,0,1,1),IF(AND($H65&gt;2.4,Z65&lt;&gt;"e",Z65&lt;&gt;"f"),CX65*2.4/$H65,CX65),IF($F65&lt;OFFSET($BN$9,CL65+2,0,1,1),IF(AND($H65&gt;2.4,Z65&lt;&gt;"e",Z65&lt;&gt;"f"),CX65*2.4/$H65,CX65),IF($F65&lt;OFFSET($BN$9,CL65+3,0,1,1),IF(AND($H65&gt;2.4,Z65&lt;&gt;"e",Z65&lt;&gt;"f"),CX65*2.4/$H65,CX65),0)))))*COS(RADIANS($G65)))</f>
        <v>0</v>
      </c>
      <c r="CU65" s="51">
        <f ca="1">IF(F65&lt;OFFSET($BM$9,CL65-1,0,1,1),0,IF(F65&lt;OFFSET($BN$9,CL65-1,0,1,1),((F65-OFFSET($BM$9,CL65-1,0,1,1))*OFFSET($CI$9,CL65-1,0,1,1))+OFFSET($BP$9,CL65-1,CQ65,1,1),IF(F65&lt;OFFSET($BN$9,CL65+0,0,1,1),((F65-OFFSET($BM$9,CL65+0,0,1,1))*OFFSET($CI$9,CL65+0,0,1,1))+OFFSET($BP$9,CL65+0,CQ65,1,1),IF(F65&lt;OFFSET($BN$9,CL65+1,0,1,1),((F65-OFFSET($BM$9,CL65+1,0,1,1))*OFFSET($CI$9,CL65+1,0,1,1))+OFFSET($BP$9,CL65+1,CQ65,1,1),IF(F65&lt;OFFSET($BN$9,CL65+2,0,1,1),((F65-OFFSET($BM$9,CL65+2,0,1,1))*OFFSET($CI$9,CL65+2,0,1,1))+OFFSET($BP$9,CL65+2,CQ65,1,1),IF(F65&lt;OFFSET($BN$9,CL65+3,0,1,1),((F65-OFFSET($BM$9,CL65+3,0,1,1))*OFFSET($CI$9,CL65+3,0,1,1))+OFFSET($BP$9,CL65+3,CQ65,1,1),0))))))</f>
        <v>0</v>
      </c>
      <c r="CV65" s="51">
        <f ca="1">IF($F65&lt;OFFSET($BM$9,$CL65-1,0,1,1),0,IF($F65&lt;OFFSET($BN$9,$CL65-1,0,1,1),IF(AND($H65&gt;2.4,Z65&lt;&gt;"e",Z65&lt;&gt;"f"),CZ65*2.4/$H65,CZ65),IF($F65&lt;OFFSET($BN$9,$CL65+0,0,1,1),IF(AND($H65&gt;2.4,Z65&lt;&gt;"e",Z65&lt;&gt;"f"),CZ65*2.4/$H65,CZ65),IF($F65&lt;OFFSET($BN$9,$CL65+1,0,1,1),IF(AND($H65&gt;2.4,Z65&lt;&gt;"e",Z65&lt;&gt;"f"),CZ65*2.4/$H65,CZ65),IF($F65&lt;OFFSET($BN$9,$CL65+2,0,1,1),IF(AND($H65&gt;2.4,Z65&lt;&gt;"e",Z65&lt;&gt;"f"),CZ65*2.4/$H65,CZ65),IF($F65&lt;OFFSET($BN$9,$CL65+3,0,1,1),IF(AND($H65&gt;2.4,Z65&lt;&gt;"e",Z65&lt;&gt;"f"),CZ65*2.4/$H65,CZ65),0)))))*COS(RADIANS($G65)))</f>
        <v>0</v>
      </c>
      <c r="CW65" s="51">
        <f ca="1">IF(CT65&gt;CR65,CR65,CT65)</f>
        <v>0</v>
      </c>
      <c r="CX65" s="51">
        <f ca="1">IF(CS65&gt;$CR65,$CR65,CS65)</f>
        <v>0</v>
      </c>
      <c r="CY65" s="51">
        <f ca="1">CW65*F65</f>
        <v>0</v>
      </c>
      <c r="CZ65" s="51">
        <f ca="1">IF($CU65&gt;$CR65,$CR65,$CU65)</f>
        <v>0</v>
      </c>
      <c r="DA65" s="51">
        <f ca="1">IF(CV65&gt;CR65,CR65,CV65)</f>
        <v>0</v>
      </c>
      <c r="DB65" s="51">
        <f ca="1">DA65*F65</f>
        <v>0</v>
      </c>
      <c r="DC65" s="993">
        <v>1</v>
      </c>
      <c r="DD65" s="758" t="str">
        <f>IF(OR(D65=BG$12,D65=BG$13),"External",IF(D65=BG$14,"Internal"," "))</f>
        <v xml:space="preserve"> </v>
      </c>
      <c r="DE65" s="51" t="str">
        <f t="shared" ca="1" si="1"/>
        <v/>
      </c>
      <c r="DF65" s="52" t="str">
        <f t="shared" ca="1" si="2"/>
        <v xml:space="preserve"> </v>
      </c>
      <c r="DG65" s="51">
        <f ca="1">IF(F65&lt;OFFSET($BM$9,CN65-1,0,1,1),0,IF(F65&lt;OFFSET($BN$9,CN65-1,0,1,1),((F65-OFFSET($BM$9,CN65-1,0,1,1))*OFFSET($CH$9,CN65-1,0,1,1))+OFFSET($BO$9,CN65-1,CQ65,1,1),IF(F65&lt;OFFSET($BN$9,CN65+0,0,1,1),((F65-OFFSET($BM$9,CN65+0,0,1,1))*OFFSET($CH$9,CN65+0,0,1,1))+OFFSET($BO$9,CN65+0,CQ65,1,1),IF(F65&lt;OFFSET($BN$9,CN65+1,0,1,1),((F65-OFFSET($BM$9,CN65+1,0,1,1))*OFFSET($CH$9,CN65+1,0,1,1))+OFFSET($BO$9,CN65+1,CQ65,1,1),IF(F65&lt;OFFSET($BN$9,CN65+2,0,1,1),((F65-OFFSET($BM$9,CN65+2,0,1,1))*OFFSET($CH$9,CN65+2,0,1,1))+OFFSET($BO$9,CN65+2,CQ65,1,1),IF(F65&lt;OFFSET($BN$9,CN65+3,0,1,1),((F65-OFFSET($BM$9,CN65+3,0,1,1))*OFFSET($CH$9,CN65+3,0,1,1))+OFFSET($BO$9,CN65+3,CQ65,1,1),0))))))</f>
        <v>0</v>
      </c>
      <c r="DH65" s="51">
        <f ca="1">IF($F65&lt;OFFSET($BM$9,$CN65-1,0,1,1),0,IF($F65&lt;OFFSET($BN$9,$CN65-1,0,1,1),IF(AND($H65&gt;2.4,Z65&lt;&gt;"e",Z65&lt;&gt;"f"),DL65*2.4/$H65,DL65),IF($F65&lt;OFFSET($BN$9,$CN65+0,0,1,1),IF(AND($H65&gt;2.4,Z65&lt;&gt;"e",Z65&lt;&gt;"f"),DL65*2.4/$H65,DL65),IF($F65&lt;OFFSET($BN$9,$CN65+1,0,1,1),IF(AND($H65&gt;2.4,Z65&lt;&gt;"e",Z65&lt;&gt;"f"),DL65*2.4/$H65,DL65),IF($F65&lt;OFFSET($BN$9,$CN65+2,0,1,1),IF(AND($H65&gt;2.4,Z65&lt;&gt;"e",Z65&lt;&gt;"f"),DL65*2.4/$H65,DL65),IF($F65&lt;OFFSET($BN$9,$CN65+3,0,1,1),IF(AND($H65&gt;2.4,Z65&lt;&gt;"e",Z65&lt;&gt;"f"),DL65*2.4/$H65,DL65),0)))))*COS(RADIANS($G65)))</f>
        <v>0</v>
      </c>
      <c r="DI65" s="51">
        <f ca="1">IF(F65&lt;OFFSET($BM$9,CN65-1,0,1,1),0,IF(F65&lt;OFFSET($BN$9,CN65-1,0,1,1),((F65-OFFSET($BM$9,CN65-1,0,1,1))*OFFSET($CI$9,CN65-1,0,1,1))+OFFSET($BP$9,CN65-1,CQ65,1,1),IF(F65&lt;OFFSET($BN$9,CN65+0,0,1,1),((F65-OFFSET($BM$9,CN65+0,0,1,1))*OFFSET($CI$9,CN65+0,0,1,1))+OFFSET($BP$9,CN65+0,CQ65,1,1),IF(F65&lt;OFFSET($BN$9,CN65+1,0,1,1),((F65-OFFSET($BM$9,CN65+1,0,1,1))*OFFSET($CI$9,CN65+1,0,1,1))+OFFSET($BP$9,CN65+1,CQ65,1,1),IF(F65&lt;OFFSET($BN$9,CN65+2,0,1,1),((F65-OFFSET($BM$9,CN65+2,0,1,1))*OFFSET($CI$9,CN65+2,0,1,1))+OFFSET($BP$9,CN65+2,CQ65,1,1),IF(F65&lt;OFFSET($BN$9,CN65+3,0,1,1),((F65-OFFSET($BM$9,CN65+3,0,1,1))*OFFSET($CI$9,CN65+3,0,1,1))+OFFSET($BP$9,CN65+3,CQ65,1,1),0))))))</f>
        <v>0</v>
      </c>
      <c r="DJ65" s="51">
        <f ca="1">IF($F65&lt;OFFSET($BM$9,$CN65-1,0,1,1),0,IF($F65&lt;OFFSET($BN$9,$CN65-1,0,1,1),IF(AND($H65&gt;2.4,Z65&lt;&gt;"e",Z65&lt;&gt;"f"),DN65*2.4/$H65,DN65),IF($F65&lt;OFFSET($BN$9,$CN65+0,0,1,1),IF(AND($H65&gt;2.4,Z65&lt;&gt;"e",Z65&lt;&gt;"f"),DN65*2.4/$H65,DN65),IF($F65&lt;OFFSET($BN$9,$CN65+1,0,1,1),IF(AND($H65&gt;2.4,Z65&lt;&gt;"e",Z65&lt;&gt;"f"),DN65*2.4/$H65,DN65),IF($F65&lt;OFFSET($BN$9,$CN65+2,0,1,1),IF(AND($H65&gt;2.4,Z65&lt;&gt;"e",Z65&lt;&gt;"f"),DN65*2.4/$H65,DN65),IF($F65&lt;OFFSET($BN$9,$CN65+3,0,1,1),IF(AND($H65&gt;2.4,Z65&lt;&gt;"e",Z65&lt;&gt;"f"),DN65*2.4/$H65,DN65),0)))))*COS(RADIANS($G65)))</f>
        <v>0</v>
      </c>
      <c r="DK65" s="51"/>
      <c r="DL65" s="51">
        <f ca="1">IF(DG65&gt;$CR65,$CR65,DG65)</f>
        <v>0</v>
      </c>
      <c r="DM65" s="51"/>
      <c r="DN65" s="51">
        <f ca="1">IF(DI65&gt;$CR65,$CR65,DI65)</f>
        <v>0</v>
      </c>
      <c r="DO65" s="435">
        <f ca="1">IF(DH65&gt;$CR65,$CR65,DH65)</f>
        <v>0</v>
      </c>
      <c r="DP65" s="435">
        <f ca="1">DO65*F65</f>
        <v>0</v>
      </c>
      <c r="DQ65" s="436">
        <f ca="1">IF(DJ65&gt;$CR65,$CR65,DJ65)</f>
        <v>0</v>
      </c>
      <c r="DR65" s="437">
        <f ca="1">DQ65*F65</f>
        <v>0</v>
      </c>
      <c r="DS65" s="426">
        <f ca="1">OFFSET($CH$9,CL65-1,-15,1,1)</f>
        <v>0</v>
      </c>
      <c r="DT65" s="426">
        <f ca="1">VLOOKUP(DS65,Prodlink,2,0)</f>
        <v>0</v>
      </c>
      <c r="DU65" s="188">
        <f ca="1">IF(F65&lt;OFFSET($BM$9,DT65-1,0,1,1),0,IF(F65&lt;OFFSET($BN$9,DT65-1,0,1,1),((F65-OFFSET($BM$9,DT65-1,0,1,1))*OFFSET($CH$9,DT65-1,0,1,1))+OFFSET($BO$9,DT65-1,CQ65,1,1),IF(F65&lt;OFFSET($BN$9,DT65+0,0,1,1),((F65-OFFSET($BM$9,DT65+0,0,1,1))*OFFSET($CH$9,DT65+0,0,1,1))+OFFSET($BO$9,DT65+0,CQ65,1,1),IF(F65&lt;OFFSET($BN$9,DT65+1,0,1,1),((F65-OFFSET($BM$9,DT65+1,0,1,1))*OFFSET($CH$9,DT65+1,0,1,1))+OFFSET($BO$9,DT65+1,CQ65,1,1),IF(F65&lt;OFFSET($BN$9,DT65+2,0,1,1),((F65-OFFSET($BM$9,DT65+2,0,1,1))*OFFSET($CH$9,DT65+2,0,1,1))+OFFSET($BO$9,DT65+2,CQ65,1,1),IF(F65&lt;OFFSET($BN$9,DT65+3,0,1,1),((F65-OFFSET($BM$9,DT65+3,0,1,1))*OFFSET($CH$9,DT65+3,0,1,1))+OFFSET($BO$9,DT65+3,CQ65,1,1),0))))))</f>
        <v>0</v>
      </c>
      <c r="DV65" s="51">
        <f ca="1">IF($F65&lt;OFFSET($BM$9,$DT65-1,0,1,1),0,IF($F65&lt;OFFSET($BN$9,$DT65-1,0,1,1),IF(AND($H65&gt;2.4,Z65&lt;&gt;"e",Z65&lt;&gt;"f"),DZ65*2.4/$H65,DZ65),IF($F65&lt;OFFSET($BN$9,$DT65+0,0,1,1),IF(AND($H65&gt;2.4,Z65&lt;&gt;"e",Z65&lt;&gt;"f"),DZ65*2.4/$H65,DZ65),IF($F65&lt;OFFSET($BN$9,$DT65+1,0,1,1),IF(AND($H65&gt;2.4,Z65&lt;&gt;"e",Z65&lt;&gt;"f"),DZ65*2.4/$H65,DZ65),IF($F65&lt;OFFSET($BN$9,$DT65+2,0,1,1),IF(AND($H65&gt;2.4,Z65&lt;&gt;"e",Z65&lt;&gt;"f"),DZ65*2.4/$H65,DZ65),IF($F65&lt;OFFSET($BN$9,$DT65+3,0,1,1),IF(AND($H65&gt;2.4,Z65&lt;&gt;"e",Z65&lt;&gt;"f"),DZ65*2.4/$H65,DZ65),0)))))*COS(RADIANS($G65)))</f>
        <v>0</v>
      </c>
      <c r="DW65" s="188">
        <f ca="1">IF(F65&lt;OFFSET($BM$9,DT65-1,0,1,1),0,IF(F65&lt;OFFSET($BN$9,DT65-1,0,1,1),((F65-OFFSET($BM$9,DT65-1,0,1,1))*OFFSET($CI$9,DT65-1,0,1,1))+OFFSET($BP$9,DT65-1,CQ65,1,1),IF(F65&lt;OFFSET($BN$9,DT65+0,0,1,1),((F65-OFFSET($BM$9,DT65+0,0,1,1))*OFFSET($CI$9,DT65+0,0,1,1))+OFFSET($BP$9,DT65+0,CQ65,1,1),IF(F65&lt;OFFSET($BN$9,DT65+1,0,1,1),((F65-OFFSET($BM$9,DT65+1,0,1,1))*OFFSET($CI$9,DT65+1,0,1,1))+OFFSET($BP$9,DT65+1,CQ65,1,1),IF(F65&lt;OFFSET($BN$9,DT65+2,0,1,1),((F65-OFFSET($BM$9,DT65+2,0,1,1))*OFFSET($CI$9,DT65+2,0,1,1))+OFFSET($BP$9,DT65+2,CQ65,1,1),IF(F65&lt;OFFSET($BN$9,DT65+3,0,1,1),((F65-OFFSET($BM$9,DT65+3,0,1,1))*OFFSET($CI$9,DT65+3,0,1,1))+OFFSET($BP$9,DT65+3,CQ65,1,1),0))))))</f>
        <v>0</v>
      </c>
      <c r="DX65" s="51">
        <f ca="1">IF($F65&lt;OFFSET($BM$9,$DT65-1,0,1,1),0,IF($F65&lt;OFFSET($BN$9,$DT65-1,0,1,1),IF(AND($H65&gt;2.4,Z65&lt;&gt;"e",Z65&lt;&gt;"f"),EB65*2.4/$H65,EB65),IF($F65&lt;OFFSET($BN$9,$DT65+0,0,1,1),IF(AND($H65&gt;2.4,Z65&lt;&gt;"e",Z65&lt;&gt;"f"),EB65*2.4/$H65,EB65),IF($F65&lt;OFFSET($BN$9,$DT65+1,0,1,1),IF(AND($H65&gt;2.4,Z65&lt;&gt;"e",Z65&lt;&gt;"f"),EB65*2.4/$H65,EB65),IF($F65&lt;OFFSET($BN$9,$DT65+2,0,1,1),IF(AND($H65&gt;2.4,Z65&lt;&gt;"e",Z65&lt;&gt;"f"),EB65*2.4/$H65,EB65),IF($F65&lt;OFFSET($BN$9,$DT65+3,0,1,1),IF(AND($H65&gt;2.4,Z65&lt;&gt;"e",Z65&lt;&gt;"f"),EB65*2.4/$H65,EB65),0)))))*COS(RADIANS($G65)))</f>
        <v>0</v>
      </c>
      <c r="DY65" s="188"/>
      <c r="DZ65" s="188">
        <f ca="1">IF(DU65&gt;$CR65,$CR65,DU65)</f>
        <v>0</v>
      </c>
      <c r="EA65" s="188"/>
      <c r="EB65" s="188">
        <f ca="1">IF(DW65&gt;$CR65,$CR65,DW65)</f>
        <v>0</v>
      </c>
      <c r="EC65" s="435">
        <f ca="1">IF(DV65&gt;$CR65,$CR65,DV65)</f>
        <v>0</v>
      </c>
      <c r="ED65" s="435">
        <f ca="1">EC65*F65</f>
        <v>0</v>
      </c>
      <c r="EE65" s="436">
        <f ca="1">IF(DX65&gt;$CR65,$CR65,DX65)</f>
        <v>0</v>
      </c>
      <c r="EF65" s="437">
        <f ca="1">EE65*F65</f>
        <v>0</v>
      </c>
      <c r="EG65" s="613" t="str">
        <f>IF(D65=BG$12,BG$12,"")</f>
        <v/>
      </c>
      <c r="EH65" s="614" t="str">
        <f>IF(D65=BG$13,BG$13,"")</f>
        <v/>
      </c>
      <c r="EI65" s="611">
        <f>IF(EG65=BG$12,M65,0)</f>
        <v>0</v>
      </c>
      <c r="EJ65" s="451">
        <f>IF(EG65=BG$12,O65,0)</f>
        <v>0</v>
      </c>
      <c r="EK65" s="451">
        <f>IF(EH65=BG$13,M65,0)</f>
        <v>0</v>
      </c>
      <c r="EL65" s="612">
        <f>IF(EH65=BG$13,O65,0)</f>
        <v>0</v>
      </c>
      <c r="EM65" s="426" t="str">
        <f ca="1">IF(AND(Z65&lt;&gt;"t",Z65&lt;&gt;"f"),"",IF(AND(EN65=$BH$13,K65=$BH$12),"NotOpt",IF(K65&lt;&gt;EN65,"Error","")))</f>
        <v/>
      </c>
      <c r="EN65" s="490" t="str">
        <f>IF($BG$28=1,$BH$13,$BH$12)</f>
        <v>120 BU's</v>
      </c>
      <c r="EO65" s="426" t="str">
        <f>K65</f>
        <v xml:space="preserve"> </v>
      </c>
      <c r="EP65" s="430">
        <v>1</v>
      </c>
      <c r="EQ65" s="430" t="str">
        <f ca="1">IF(EP65=1," ",OFFSET(BF$16,EP65-2,0,1,1))</f>
        <v xml:space="preserve"> </v>
      </c>
      <c r="ER65" s="439" t="str">
        <f ca="1">IF(H65=0," ",H65)</f>
        <v xml:space="preserve"> </v>
      </c>
      <c r="ES65" s="440" t="str">
        <f ca="1">IF(ER65&lt;&gt;" ",IF(ER65&lt;&gt;ER$7,"Changed",""),"")</f>
        <v/>
      </c>
      <c r="ET65" s="440">
        <f ca="1">IF(ER65&lt;&gt;" ",IF(ER65&lt;&gt;ER$7,1,0),0)</f>
        <v>0</v>
      </c>
      <c r="EU65" s="957" t="str">
        <f ca="1">IF(I65=" "," ",IF(F65&lt;OFFSET($BM$9,CL65-1,0,1,1),1,""))</f>
        <v xml:space="preserve"> </v>
      </c>
      <c r="EW65" s="427"/>
      <c r="EX65"/>
      <c r="EY65"/>
      <c r="EZ65"/>
      <c r="FA65"/>
    </row>
    <row r="66" spans="1:157" ht="17.100000000000001" customHeight="1" thickBot="1">
      <c r="A66" s="2685"/>
      <c r="B66" s="689" t="s">
        <v>246</v>
      </c>
      <c r="C66" s="684" t="str">
        <f>IF(OR(F66=0,I66="",I66=" ")," ",$V66)</f>
        <v xml:space="preserve"> </v>
      </c>
      <c r="D66" s="1033"/>
      <c r="E66" s="1360" t="s">
        <v>8</v>
      </c>
      <c r="F66" s="202"/>
      <c r="G66" s="1416"/>
      <c r="H66" s="199" t="str">
        <f ca="1">IF(OR(F66=0,Z66="E",Z66="f")," ",'Project Demand'!E$45)</f>
        <v xml:space="preserve"> </v>
      </c>
      <c r="I66" s="631" t="str">
        <f>IF($I$6&lt;&gt;$BG$8," ",AB66)</f>
        <v xml:space="preserve"> </v>
      </c>
      <c r="J66" s="44" t="str">
        <f ca="1">IF(OR(I66=" ",I66="")," ",OFFSET($BO$9,CL66-1,0-4,1,1))</f>
        <v xml:space="preserve"> </v>
      </c>
      <c r="K66" s="55" t="str">
        <f>IF(OR(I66=" ",I66="")," ",IF(OR(Z66="e",Z66="h"),"SD",BG$24))</f>
        <v xml:space="preserve"> </v>
      </c>
      <c r="L66" s="49">
        <f ca="1">CW66</f>
        <v>0</v>
      </c>
      <c r="M66" s="49">
        <f ca="1">CY66</f>
        <v>0</v>
      </c>
      <c r="N66" s="50">
        <f t="shared" ca="1" si="30"/>
        <v>0</v>
      </c>
      <c r="O66" s="126">
        <f t="shared" ca="1" si="30"/>
        <v>0</v>
      </c>
      <c r="P66" s="140"/>
      <c r="Q66" s="752" t="str">
        <f ca="1">IF(AND(OR(Z66="t",Z66="f"),K66=$BH$11),"No Floor!  Change Floor Type",IF(OR(I66=" ",I66="")," ",IF(F66&lt;OFFSET($BM$9,CL66-1,0,1,1),"check L(m)",DE66&amp;IF(AND(DP66&gt;=CY66,DR66&gt;=DB66),IF(AND(ED66&gt;=DP66,EF66&gt;=DR66),CONCATENATE(DS66," will provide same result"),CONCATENATE(CO66," will provide same result")),IF((DP66&gt;=CY66),CONCATENATE(CO66," provides same result in WIND"),IF((DR66&gt;=DB66),CONCATENATE(CO66," provides same result in EQ"),""))))))&amp;IF(ISERROR(FIND("pile",I66,1)),"",IF(INT(F66)&lt;&gt;F66,"Pile!  Use Whole Numbers Only",""))</f>
        <v xml:space="preserve"> </v>
      </c>
      <c r="R66" s="52"/>
      <c r="S66" s="1372"/>
      <c r="T66" s="1372"/>
      <c r="U66" s="1377"/>
      <c r="V66" s="52" t="str">
        <f ca="1">IF(AND(B$5=$BF$9,OR(I66=BH$16,I66=BH$17))," ",IF(ISNUMBER(B$62),(CONCATENATE(B$62,".",W66)),(CONCATENATE(B$62,W66))))</f>
        <v>V0</v>
      </c>
      <c r="W66" s="9">
        <f ca="1">W65+X66</f>
        <v>0</v>
      </c>
      <c r="X66" s="9">
        <f>IF(AND(B$5=$BF$9,OR($I66=$BH$16,$I66=$BH$17,$I66=" ",$I66="",$F66=0)),0,IF(OR($I66=" ",$I66="",$F66=0),0,1))</f>
        <v>0</v>
      </c>
      <c r="Y66" s="896"/>
      <c r="Z66" s="52" t="str">
        <f ca="1">IF(I66=" "," ",OFFSET($BM$9,$CL66-1,8,1,1))</f>
        <v xml:space="preserve"> </v>
      </c>
      <c r="AA66" s="51" t="str">
        <f>IF(G66&gt;=45,"WA","")</f>
        <v/>
      </c>
      <c r="AB66" s="1364" t="str">
        <f>IF(F66&lt;&gt;"",IF(OR(D66=$BG$12,D66=$BG$13),IF(E66&lt;&gt;$BG$17,$BF$12,$BF$13),IF(E66&lt;&gt;$BG$17,$BF$12,$BF$13))," ")</f>
        <v xml:space="preserve"> </v>
      </c>
      <c r="AC66" s="1"/>
      <c r="AK66" s="63" t="str">
        <f>'Custom Elements'!B27</f>
        <v xml:space="preserve">  </v>
      </c>
      <c r="AL66" s="860" t="str">
        <f>'Custom Elements'!C27</f>
        <v>Custom19</v>
      </c>
      <c r="AM66" s="11">
        <f>'Custom Elements'!D27</f>
        <v>9.9999999999999996E-76</v>
      </c>
      <c r="AN66" s="7">
        <f>'Custom Elements'!E27</f>
        <v>0</v>
      </c>
      <c r="AO66" s="7">
        <f>'Custom Elements'!F27</f>
        <v>0</v>
      </c>
      <c r="AP66" s="762" t="str">
        <f>'Custom Elements'!G27</f>
        <v>B</v>
      </c>
      <c r="AQ66" s="1777" t="str">
        <f>'Custom Elements'!H27</f>
        <v>Single</v>
      </c>
      <c r="AR66" s="1775" t="str">
        <f>'Custom Elements'!I27</f>
        <v>Yes</v>
      </c>
      <c r="AS66" s="442" t="str">
        <f>'Custom Elements'!J27</f>
        <v>Yes</v>
      </c>
      <c r="AT66" s="1598"/>
      <c r="AU66" s="1155"/>
      <c r="AZ66" s="442" t="str">
        <f>IF(AND('Custom Elements'!J27="Yes",'Custom Elements'!I27="Yes"),"T",IF('Custom Elements'!J27="Yes","F",IF('Custom Elements'!I27="Yes","H","E")))</f>
        <v>T</v>
      </c>
      <c r="BA66"/>
      <c r="BB66"/>
      <c r="BC66"/>
      <c r="BD66" s="641"/>
      <c r="BE66" s="2715" t="s">
        <v>862</v>
      </c>
      <c r="BF66" s="2716"/>
      <c r="BG66" s="2838"/>
      <c r="BH66" s="479"/>
      <c r="BI66" s="759"/>
      <c r="BJ66" s="897">
        <f t="shared" si="25"/>
        <v>58</v>
      </c>
      <c r="BK66" s="908"/>
      <c r="BL66" s="767"/>
      <c r="BM66" s="776">
        <f>Table!P8</f>
        <v>1.8</v>
      </c>
      <c r="BN66" s="776">
        <v>999</v>
      </c>
      <c r="BO66" s="776">
        <f>Table!Q8</f>
        <v>110</v>
      </c>
      <c r="BP66" s="926">
        <f>Table!R8</f>
        <v>84</v>
      </c>
      <c r="BQ66" s="1183"/>
      <c r="BR66" s="908"/>
      <c r="BS66" s="776"/>
      <c r="BT66" s="776"/>
      <c r="BU66" s="926" t="s">
        <v>242</v>
      </c>
      <c r="BV66" s="433"/>
      <c r="BW66" s="914"/>
      <c r="BX66" s="926" t="str">
        <f>Table!T5</f>
        <v>Single</v>
      </c>
      <c r="CH66" s="908">
        <f>IF(BN66=999,0,(BO67-BO66)/(BN66-BM66))</f>
        <v>0</v>
      </c>
      <c r="CI66" s="926">
        <f>IF(BN66=999,0,(BP67-BP66)/(BN66-BM66))</f>
        <v>0</v>
      </c>
      <c r="CJ66" s="759"/>
      <c r="CK66" s="188"/>
      <c r="CL66" s="979">
        <f>VLOOKUP(I66,Prodlink,2,0)</f>
        <v>0</v>
      </c>
      <c r="CN66" s="497">
        <f ca="1">VLOOKUP(CO66,Prodlink,2,0)</f>
        <v>0</v>
      </c>
      <c r="CO66" s="497">
        <f ca="1">OFFSET($CH$9,CL66-1,-15,1,1)</f>
        <v>0</v>
      </c>
      <c r="CQ66" s="51">
        <v>0</v>
      </c>
      <c r="CR66" s="51">
        <f>IF(K66=$BH$12,$BH$23,IF(K66=$BH$13,$BH$24,10000))</f>
        <v>10000</v>
      </c>
      <c r="CS66" s="51">
        <f ca="1">IF(F66&lt;OFFSET($BM$9,CL66-1,0,1,1),0,IF(F66&lt;OFFSET($BN$9,CL66-1,0,1,1),((F66-OFFSET($BM$9,CL66-1,0,1,1))*OFFSET($CH$9,CL66-1,0,1,1))+OFFSET($BO$9,CL66-1,CQ66,1,1),IF(F66&lt;OFFSET($BN$9,CL66+0,0,1,1),((F66-OFFSET($BM$9,CL66+0,0,1,1))*OFFSET($CH$9,CL66+0,0,1,1))+OFFSET($BO$9,CL66+0,CQ66,1,1),IF(F66&lt;OFFSET($BN$9,CL66+1,0,1,1),((F66-OFFSET($BM$9,CL66+1,0,1,1))*OFFSET($CH$9,CL66+1,0,1,1))+OFFSET($BO$9,CL66+1,CQ66,1,1),IF(F66&lt;OFFSET($BN$9,CL66+2,0,1,1),((F66-OFFSET($BM$9,CL66+2,0,1,1))*OFFSET($CH$9,CL66+2,0,1,1))+OFFSET($BO$9,CL66+2,CQ66,1,1),IF(F66&lt;OFFSET($BN$9,CL66+3,0,1,1),((F66-OFFSET($BM$9,CL66+3,0,1,1))*OFFSET($CH$9,CL66+3,0,1,1))+OFFSET($BO$9,CL66+3,CQ66,1,1),0))))))</f>
        <v>0</v>
      </c>
      <c r="CT66" s="51">
        <f ca="1">IF($F66&lt;OFFSET($BM$9,$CL66-1,0,1,1),0,IF($F66&lt;OFFSET($BN$9,$CL66-1,0,1,1),IF(AND($H66&gt;2.4,Z66&lt;&gt;"e",Z66&lt;&gt;"f"),CX66*2.4/$H66,CX66),IF($F66&lt;OFFSET($BN$9,$CL66+0,0,1,1),IF(AND($H66&gt;2.4,Z66&lt;&gt;"e",Z66&lt;&gt;"f"),CX66*2.4/$H66,CX66),IF($F66&lt;OFFSET($BN$9,$CL66+1,0,1,1),IF(AND($H66&gt;2.4,Z66&lt;&gt;"e",Z66&lt;&gt;"f"),CX66*2.4/$H66,CX66),IF($F66&lt;OFFSET($BN$9,CL66+2,0,1,1),IF(AND($H66&gt;2.4,Z66&lt;&gt;"e",Z66&lt;&gt;"f"),CX66*2.4/$H66,CX66),IF($F66&lt;OFFSET($BN$9,CL66+3,0,1,1),IF(AND($H66&gt;2.4,Z66&lt;&gt;"e",Z66&lt;&gt;"f"),CX66*2.4/$H66,CX66),0)))))*COS(RADIANS($G66)))</f>
        <v>0</v>
      </c>
      <c r="CU66" s="51">
        <f ca="1">IF(F66&lt;OFFSET($BM$9,CL66-1,0,1,1),0,IF(F66&lt;OFFSET($BN$9,CL66-1,0,1,1),((F66-OFFSET($BM$9,CL66-1,0,1,1))*OFFSET($CI$9,CL66-1,0,1,1))+OFFSET($BP$9,CL66-1,CQ66,1,1),IF(F66&lt;OFFSET($BN$9,CL66+0,0,1,1),((F66-OFFSET($BM$9,CL66+0,0,1,1))*OFFSET($CI$9,CL66+0,0,1,1))+OFFSET($BP$9,CL66+0,CQ66,1,1),IF(F66&lt;OFFSET($BN$9,CL66+1,0,1,1),((F66-OFFSET($BM$9,CL66+1,0,1,1))*OFFSET($CI$9,CL66+1,0,1,1))+OFFSET($BP$9,CL66+1,CQ66,1,1),IF(F66&lt;OFFSET($BN$9,CL66+2,0,1,1),((F66-OFFSET($BM$9,CL66+2,0,1,1))*OFFSET($CI$9,CL66+2,0,1,1))+OFFSET($BP$9,CL66+2,CQ66,1,1),IF(F66&lt;OFFSET($BN$9,CL66+3,0,1,1),((F66-OFFSET($BM$9,CL66+3,0,1,1))*OFFSET($CI$9,CL66+3,0,1,1))+OFFSET($BP$9,CL66+3,CQ66,1,1),0))))))</f>
        <v>0</v>
      </c>
      <c r="CV66" s="51">
        <f ca="1">IF($F66&lt;OFFSET($BM$9,$CL66-1,0,1,1),0,IF($F66&lt;OFFSET($BN$9,$CL66-1,0,1,1),IF(AND($H66&gt;2.4,Z66&lt;&gt;"e",Z66&lt;&gt;"f"),CZ66*2.4/$H66,CZ66),IF($F66&lt;OFFSET($BN$9,$CL66+0,0,1,1),IF(AND($H66&gt;2.4,Z66&lt;&gt;"e",Z66&lt;&gt;"f"),CZ66*2.4/$H66,CZ66),IF($F66&lt;OFFSET($BN$9,$CL66+1,0,1,1),IF(AND($H66&gt;2.4,Z66&lt;&gt;"e",Z66&lt;&gt;"f"),CZ66*2.4/$H66,CZ66),IF($F66&lt;OFFSET($BN$9,$CL66+2,0,1,1),IF(AND($H66&gt;2.4,Z66&lt;&gt;"e",Z66&lt;&gt;"f"),CZ66*2.4/$H66,CZ66),IF($F66&lt;OFFSET($BN$9,$CL66+3,0,1,1),IF(AND($H66&gt;2.4,Z66&lt;&gt;"e",Z66&lt;&gt;"f"),CZ66*2.4/$H66,CZ66),0)))))*COS(RADIANS($G66)))</f>
        <v>0</v>
      </c>
      <c r="CW66" s="51">
        <f ca="1">IF(CT66&gt;CR66,CR66,CT66)</f>
        <v>0</v>
      </c>
      <c r="CX66" s="51">
        <f ca="1">IF(CS66&gt;$CR66,$CR66,CS66)</f>
        <v>0</v>
      </c>
      <c r="CY66" s="51">
        <f ca="1">CW66*F66</f>
        <v>0</v>
      </c>
      <c r="CZ66" s="51">
        <f ca="1">IF($CU66&gt;$CR66,$CR66,$CU66)</f>
        <v>0</v>
      </c>
      <c r="DA66" s="51">
        <f ca="1">IF(CV66&gt;CR66,CR66,CV66)</f>
        <v>0</v>
      </c>
      <c r="DB66" s="51">
        <f ca="1">DA66*F66</f>
        <v>0</v>
      </c>
      <c r="DC66" s="993">
        <v>1</v>
      </c>
      <c r="DD66" s="758" t="str">
        <f>IF(OR(D66=BG$12,D66=BG$13),"External",IF(D66=BG$14,"Internal"," "))</f>
        <v xml:space="preserve"> </v>
      </c>
      <c r="DE66" s="51" t="str">
        <f t="shared" ca="1" si="1"/>
        <v/>
      </c>
      <c r="DF66" s="52" t="str">
        <f t="shared" ca="1" si="2"/>
        <v xml:space="preserve"> </v>
      </c>
      <c r="DG66" s="51">
        <f ca="1">IF(F66&lt;OFFSET($BM$9,CN66-1,0,1,1),0,IF(F66&lt;OFFSET($BN$9,CN66-1,0,1,1),((F66-OFFSET($BM$9,CN66-1,0,1,1))*OFFSET($CH$9,CN66-1,0,1,1))+OFFSET($BO$9,CN66-1,CQ66,1,1),IF(F66&lt;OFFSET($BN$9,CN66+0,0,1,1),((F66-OFFSET($BM$9,CN66+0,0,1,1))*OFFSET($CH$9,CN66+0,0,1,1))+OFFSET($BO$9,CN66+0,CQ66,1,1),IF(F66&lt;OFFSET($BN$9,CN66+1,0,1,1),((F66-OFFSET($BM$9,CN66+1,0,1,1))*OFFSET($CH$9,CN66+1,0,1,1))+OFFSET($BO$9,CN66+1,CQ66,1,1),IF(F66&lt;OFFSET($BN$9,CN66+2,0,1,1),((F66-OFFSET($BM$9,CN66+2,0,1,1))*OFFSET($CH$9,CN66+2,0,1,1))+OFFSET($BO$9,CN66+2,CQ66,1,1),IF(F66&lt;OFFSET($BN$9,CN66+3,0,1,1),((F66-OFFSET($BM$9,CN66+3,0,1,1))*OFFSET($CH$9,CN66+3,0,1,1))+OFFSET($BO$9,CN66+3,CQ66,1,1),0))))))</f>
        <v>0</v>
      </c>
      <c r="DH66" s="51">
        <f ca="1">IF($F66&lt;OFFSET($BM$9,$CN66-1,0,1,1),0,IF($F66&lt;OFFSET($BN$9,$CN66-1,0,1,1),IF(AND($H66&gt;2.4,Z66&lt;&gt;"e",Z66&lt;&gt;"f"),DL66*2.4/$H66,DL66),IF($F66&lt;OFFSET($BN$9,$CN66+0,0,1,1),IF(AND($H66&gt;2.4,Z66&lt;&gt;"e",Z66&lt;&gt;"f"),DL66*2.4/$H66,DL66),IF($F66&lt;OFFSET($BN$9,$CN66+1,0,1,1),IF(AND($H66&gt;2.4,Z66&lt;&gt;"e",Z66&lt;&gt;"f"),DL66*2.4/$H66,DL66),IF($F66&lt;OFFSET($BN$9,$CN66+2,0,1,1),IF(AND($H66&gt;2.4,Z66&lt;&gt;"e",Z66&lt;&gt;"f"),DL66*2.4/$H66,DL66),IF($F66&lt;OFFSET($BN$9,$CN66+3,0,1,1),IF(AND($H66&gt;2.4,Z66&lt;&gt;"e",Z66&lt;&gt;"f"),DL66*2.4/$H66,DL66),0)))))*COS(RADIANS($G66)))</f>
        <v>0</v>
      </c>
      <c r="DI66" s="51">
        <f ca="1">IF(F66&lt;OFFSET($BM$9,CN66-1,0,1,1),0,IF(F66&lt;OFFSET($BN$9,CN66-1,0,1,1),((F66-OFFSET($BM$9,CN66-1,0,1,1))*OFFSET($CI$9,CN66-1,0,1,1))+OFFSET($BP$9,CN66-1,CQ66,1,1),IF(F66&lt;OFFSET($BN$9,CN66+0,0,1,1),((F66-OFFSET($BM$9,CN66+0,0,1,1))*OFFSET($CI$9,CN66+0,0,1,1))+OFFSET($BP$9,CN66+0,CQ66,1,1),IF(F66&lt;OFFSET($BN$9,CN66+1,0,1,1),((F66-OFFSET($BM$9,CN66+1,0,1,1))*OFFSET($CI$9,CN66+1,0,1,1))+OFFSET($BP$9,CN66+1,CQ66,1,1),IF(F66&lt;OFFSET($BN$9,CN66+2,0,1,1),((F66-OFFSET($BM$9,CN66+2,0,1,1))*OFFSET($CI$9,CN66+2,0,1,1))+OFFSET($BP$9,CN66+2,CQ66,1,1),IF(F66&lt;OFFSET($BN$9,CN66+3,0,1,1),((F66-OFFSET($BM$9,CN66+3,0,1,1))*OFFSET($CI$9,CN66+3,0,1,1))+OFFSET($BP$9,CN66+3,CQ66,1,1),0))))))</f>
        <v>0</v>
      </c>
      <c r="DJ66" s="51">
        <f ca="1">IF($F66&lt;OFFSET($BM$9,$CN66-1,0,1,1),0,IF($F66&lt;OFFSET($BN$9,$CN66-1,0,1,1),IF(AND($H66&gt;2.4,Z66&lt;&gt;"e",Z66&lt;&gt;"f"),DN66*2.4/$H66,DN66),IF($F66&lt;OFFSET($BN$9,$CN66+0,0,1,1),IF(AND($H66&gt;2.4,Z66&lt;&gt;"e",Z66&lt;&gt;"f"),DN66*2.4/$H66,DN66),IF($F66&lt;OFFSET($BN$9,$CN66+1,0,1,1),IF(AND($H66&gt;2.4,Z66&lt;&gt;"e",Z66&lt;&gt;"f"),DN66*2.4/$H66,DN66),IF($F66&lt;OFFSET($BN$9,$CN66+2,0,1,1),IF(AND($H66&gt;2.4,Z66&lt;&gt;"e",Z66&lt;&gt;"f"),DN66*2.4/$H66,DN66),IF($F66&lt;OFFSET($BN$9,$CN66+3,0,1,1),IF(AND($H66&gt;2.4,Z66&lt;&gt;"e",Z66&lt;&gt;"f"),DN66*2.4/$H66,DN66),0)))))*COS(RADIANS($G66)))</f>
        <v>0</v>
      </c>
      <c r="DK66" s="51"/>
      <c r="DL66" s="51">
        <f ca="1">IF(DG66&gt;$CR66,$CR66,DG66)</f>
        <v>0</v>
      </c>
      <c r="DM66" s="51"/>
      <c r="DN66" s="51">
        <f ca="1">IF(DI66&gt;$CR66,$CR66,DI66)</f>
        <v>0</v>
      </c>
      <c r="DO66" s="435">
        <f ca="1">IF(DH66&gt;$CR66,$CR66,DH66)</f>
        <v>0</v>
      </c>
      <c r="DP66" s="435">
        <f ca="1">DO66*F66</f>
        <v>0</v>
      </c>
      <c r="DQ66" s="436">
        <f ca="1">IF(DJ66&gt;$CR66,$CR66,DJ66)</f>
        <v>0</v>
      </c>
      <c r="DR66" s="437">
        <f ca="1">DQ66*F66</f>
        <v>0</v>
      </c>
      <c r="DS66" s="426">
        <f ca="1">OFFSET($CH$9,CL66-1,-15,1,1)</f>
        <v>0</v>
      </c>
      <c r="DT66" s="426">
        <f ca="1">VLOOKUP(DS66,Prodlink,2,0)</f>
        <v>0</v>
      </c>
      <c r="DU66" s="188">
        <f ca="1">IF(F66&lt;OFFSET($BM$9,DT66-1,0,1,1),0,IF(F66&lt;OFFSET($BN$9,DT66-1,0,1,1),((F66-OFFSET($BM$9,DT66-1,0,1,1))*OFFSET($CH$9,DT66-1,0,1,1))+OFFSET($BO$9,DT66-1,CQ66,1,1),IF(F66&lt;OFFSET($BN$9,DT66+0,0,1,1),((F66-OFFSET($BM$9,DT66+0,0,1,1))*OFFSET($CH$9,DT66+0,0,1,1))+OFFSET($BO$9,DT66+0,CQ66,1,1),IF(F66&lt;OFFSET($BN$9,DT66+1,0,1,1),((F66-OFFSET($BM$9,DT66+1,0,1,1))*OFFSET($CH$9,DT66+1,0,1,1))+OFFSET($BO$9,DT66+1,CQ66,1,1),IF(F66&lt;OFFSET($BN$9,DT66+2,0,1,1),((F66-OFFSET($BM$9,DT66+2,0,1,1))*OFFSET($CH$9,DT66+2,0,1,1))+OFFSET($BO$9,DT66+2,CQ66,1,1),IF(F66&lt;OFFSET($BN$9,DT66+3,0,1,1),((F66-OFFSET($BM$9,DT66+3,0,1,1))*OFFSET($CH$9,DT66+3,0,1,1))+OFFSET($BO$9,DT66+3,CQ66,1,1),0))))))</f>
        <v>0</v>
      </c>
      <c r="DV66" s="51">
        <f ca="1">IF($F66&lt;OFFSET($BM$9,$DT66-1,0,1,1),0,IF($F66&lt;OFFSET($BN$9,$DT66-1,0,1,1),IF(AND($H66&gt;2.4,Z66&lt;&gt;"e",Z66&lt;&gt;"f"),DZ66*2.4/$H66,DZ66),IF($F66&lt;OFFSET($BN$9,$DT66+0,0,1,1),IF(AND($H66&gt;2.4,Z66&lt;&gt;"e",Z66&lt;&gt;"f"),DZ66*2.4/$H66,DZ66),IF($F66&lt;OFFSET($BN$9,$DT66+1,0,1,1),IF(AND($H66&gt;2.4,Z66&lt;&gt;"e",Z66&lt;&gt;"f"),DZ66*2.4/$H66,DZ66),IF($F66&lt;OFFSET($BN$9,$DT66+2,0,1,1),IF(AND($H66&gt;2.4,Z66&lt;&gt;"e",Z66&lt;&gt;"f"),DZ66*2.4/$H66,DZ66),IF($F66&lt;OFFSET($BN$9,$DT66+3,0,1,1),IF(AND($H66&gt;2.4,Z66&lt;&gt;"e",Z66&lt;&gt;"f"),DZ66*2.4/$H66,DZ66),0)))))*COS(RADIANS($G66)))</f>
        <v>0</v>
      </c>
      <c r="DW66" s="188">
        <f ca="1">IF(F66&lt;OFFSET($BM$9,DT66-1,0,1,1),0,IF(F66&lt;OFFSET($BN$9,DT66-1,0,1,1),((F66-OFFSET($BM$9,DT66-1,0,1,1))*OFFSET($CI$9,DT66-1,0,1,1))+OFFSET($BP$9,DT66-1,CQ66,1,1),IF(F66&lt;OFFSET($BN$9,DT66+0,0,1,1),((F66-OFFSET($BM$9,DT66+0,0,1,1))*OFFSET($CI$9,DT66+0,0,1,1))+OFFSET($BP$9,DT66+0,CQ66,1,1),IF(F66&lt;OFFSET($BN$9,DT66+1,0,1,1),((F66-OFFSET($BM$9,DT66+1,0,1,1))*OFFSET($CI$9,DT66+1,0,1,1))+OFFSET($BP$9,DT66+1,CQ66,1,1),IF(F66&lt;OFFSET($BN$9,DT66+2,0,1,1),((F66-OFFSET($BM$9,DT66+2,0,1,1))*OFFSET($CI$9,DT66+2,0,1,1))+OFFSET($BP$9,DT66+2,CQ66,1,1),IF(F66&lt;OFFSET($BN$9,DT66+3,0,1,1),((F66-OFFSET($BM$9,DT66+3,0,1,1))*OFFSET($CI$9,DT66+3,0,1,1))+OFFSET($BP$9,DT66+3,CQ66,1,1),0))))))</f>
        <v>0</v>
      </c>
      <c r="DX66" s="51">
        <f ca="1">IF($F66&lt;OFFSET($BM$9,$DT66-1,0,1,1),0,IF($F66&lt;OFFSET($BN$9,$DT66-1,0,1,1),IF(AND($H66&gt;2.4,Z66&lt;&gt;"e",Z66&lt;&gt;"f"),EB66*2.4/$H66,EB66),IF($F66&lt;OFFSET($BN$9,$DT66+0,0,1,1),IF(AND($H66&gt;2.4,Z66&lt;&gt;"e",Z66&lt;&gt;"f"),EB66*2.4/$H66,EB66),IF($F66&lt;OFFSET($BN$9,$DT66+1,0,1,1),IF(AND($H66&gt;2.4,Z66&lt;&gt;"e",Z66&lt;&gt;"f"),EB66*2.4/$H66,EB66),IF($F66&lt;OFFSET($BN$9,$DT66+2,0,1,1),IF(AND($H66&gt;2.4,Z66&lt;&gt;"e",Z66&lt;&gt;"f"),EB66*2.4/$H66,EB66),IF($F66&lt;OFFSET($BN$9,$DT66+3,0,1,1),IF(AND($H66&gt;2.4,Z66&lt;&gt;"e",Z66&lt;&gt;"f"),EB66*2.4/$H66,EB66),0)))))*COS(RADIANS($G66)))</f>
        <v>0</v>
      </c>
      <c r="DY66" s="188"/>
      <c r="DZ66" s="188">
        <f ca="1">IF(DU66&gt;$CR66,$CR66,DU66)</f>
        <v>0</v>
      </c>
      <c r="EA66" s="188"/>
      <c r="EB66" s="188">
        <f ca="1">IF(DW66&gt;$CR66,$CR66,DW66)</f>
        <v>0</v>
      </c>
      <c r="EC66" s="435">
        <f ca="1">IF(DV66&gt;$CR66,$CR66,DV66)</f>
        <v>0</v>
      </c>
      <c r="ED66" s="435">
        <f ca="1">EC66*F66</f>
        <v>0</v>
      </c>
      <c r="EE66" s="436">
        <f ca="1">IF(DX66&gt;$CR66,$CR66,DX66)</f>
        <v>0</v>
      </c>
      <c r="EF66" s="437">
        <f ca="1">EE66*F66</f>
        <v>0</v>
      </c>
      <c r="EG66" s="613" t="str">
        <f>IF(D66=BG$12,BG$12,"")</f>
        <v/>
      </c>
      <c r="EH66" s="614" t="str">
        <f>IF(D66=BG$13,BG$13,"")</f>
        <v/>
      </c>
      <c r="EI66" s="611">
        <f>IF(EG66=BG$12,M66,0)</f>
        <v>0</v>
      </c>
      <c r="EJ66" s="451">
        <f>IF(EG66=BG$12,O66,0)</f>
        <v>0</v>
      </c>
      <c r="EK66" s="451">
        <f>IF(EH66=BG$13,M66,0)</f>
        <v>0</v>
      </c>
      <c r="EL66" s="612">
        <f>IF(EH66=BG$13,O66,0)</f>
        <v>0</v>
      </c>
      <c r="EM66" s="426" t="str">
        <f ca="1">IF(AND(Z66&lt;&gt;"t",Z66&lt;&gt;"f"),"",IF(AND(EN66=$BH$13,K66=$BH$12),"NotOpt",IF(K66&lt;&gt;EN66,"Error","")))</f>
        <v/>
      </c>
      <c r="EN66" s="490" t="str">
        <f>IF($BG$28=1,$BH$13,$BH$12)</f>
        <v>120 BU's</v>
      </c>
      <c r="EO66" s="426" t="str">
        <f>K66</f>
        <v xml:space="preserve"> </v>
      </c>
      <c r="EP66" s="430">
        <v>1</v>
      </c>
      <c r="EQ66" s="430" t="str">
        <f ca="1">IF(EP66=1," ",OFFSET(BF$16,EP66-2,0,1,1))</f>
        <v xml:space="preserve"> </v>
      </c>
      <c r="ER66" s="439" t="str">
        <f ca="1">IF(H66=0," ",H66)</f>
        <v xml:space="preserve"> </v>
      </c>
      <c r="ES66" s="440" t="str">
        <f ca="1">IF(ER66&lt;&gt;" ",IF(ER66&lt;&gt;ER$7,"Changed",""),"")</f>
        <v/>
      </c>
      <c r="ET66" s="440">
        <f ca="1">IF(ER66&lt;&gt;" ",IF(ER66&lt;&gt;ER$7,1,0),0)</f>
        <v>0</v>
      </c>
      <c r="EU66" s="957" t="str">
        <f ca="1">IF(I66=" "," ",IF(F66&lt;OFFSET($BM$9,CL66-1,0,1,1),1,""))</f>
        <v xml:space="preserve"> </v>
      </c>
      <c r="EW66" s="427"/>
      <c r="EX66"/>
      <c r="EY66"/>
      <c r="EZ66"/>
      <c r="FA66"/>
    </row>
    <row r="67" spans="1:157" ht="17.100000000000001" customHeight="1" thickBot="1">
      <c r="A67" s="2685"/>
      <c r="B67" s="2686" t="s">
        <v>8</v>
      </c>
      <c r="C67" s="2687"/>
      <c r="D67" s="1461" t="s">
        <v>8</v>
      </c>
      <c r="E67" s="659"/>
      <c r="F67" s="659"/>
      <c r="G67" s="659"/>
      <c r="H67" s="659"/>
      <c r="I67" s="1462"/>
      <c r="J67" s="1365" t="str">
        <f ca="1">(CONCATENATE(B62,$BE$54))</f>
        <v>V  Line:  Min. Requirement</v>
      </c>
      <c r="K67" s="23"/>
      <c r="L67" s="1019">
        <f ca="1">L$5</f>
        <v>0</v>
      </c>
      <c r="M67" s="48">
        <f ca="1">IF(B62=B56,SUM(M62:M66)+M61,SUM(M62:M66))</f>
        <v>0</v>
      </c>
      <c r="N67" s="1019">
        <f ca="1">N$5</f>
        <v>0</v>
      </c>
      <c r="O67" s="125">
        <f ca="1">IF(B62=B56,SUM(O62:O66)+O61,SUM(O62:O66))</f>
        <v>0</v>
      </c>
      <c r="P67" s="139"/>
      <c r="Q67" s="42" t="str">
        <f ca="1">IF(B62=B68,"",IF(AND(M67&gt;0,L67=L$5,OR(M67&lt;$M$105,M67&lt;$BF$3)),"Achieved &lt; Min Req per Line",IF(AND(O67&gt;0,N67=N$5,OR(O67&lt;$O$105,O67&lt;$BF$3)),"Achieved &lt; Min Req per Line",IF(AND(M67&gt;0,L67&gt;M67),"More Required on this line",IF(AND(O67&gt;0,N67&gt;O67),"More Required on this line",IF(AND(L67&gt;0,L67&lt;$BF$3),$BE$59,IF(AND(N67&gt;0,N67&lt;$BF$3),$BE$59,"")))))))</f>
        <v/>
      </c>
      <c r="R67" s="52"/>
      <c r="S67" s="52"/>
      <c r="T67" s="52"/>
      <c r="U67" s="1378"/>
      <c r="V67" s="52"/>
      <c r="W67" s="9"/>
      <c r="X67" s="9"/>
      <c r="Y67" s="896"/>
      <c r="Z67" s="52"/>
      <c r="AA67" s="51"/>
      <c r="AB67" s="1364"/>
      <c r="AC67" s="1"/>
      <c r="AK67" s="200" t="str">
        <f>'Custom Elements'!B28</f>
        <v xml:space="preserve"> </v>
      </c>
      <c r="AL67" s="861" t="str">
        <f>'Custom Elements'!C28</f>
        <v>Custom20</v>
      </c>
      <c r="AM67" s="117">
        <f>'Custom Elements'!D28</f>
        <v>9.9999999999999996E-76</v>
      </c>
      <c r="AN67" s="62">
        <f>'Custom Elements'!E28</f>
        <v>0</v>
      </c>
      <c r="AO67" s="62">
        <f>'Custom Elements'!F28</f>
        <v>0</v>
      </c>
      <c r="AP67" s="762" t="str">
        <f>'Custom Elements'!G28</f>
        <v>B</v>
      </c>
      <c r="AQ67" s="1778" t="str">
        <f>'Custom Elements'!H28</f>
        <v>Single</v>
      </c>
      <c r="AR67" s="1776" t="str">
        <f>'Custom Elements'!I28</f>
        <v>Yes</v>
      </c>
      <c r="AS67" s="443" t="str">
        <f>'Custom Elements'!J28</f>
        <v>Yes</v>
      </c>
      <c r="AT67" s="1598"/>
      <c r="AU67" s="1155"/>
      <c r="AZ67" s="442" t="str">
        <f>IF(AND('Custom Elements'!J28="Yes",'Custom Elements'!I28="Yes"),"T",IF('Custom Elements'!J28="Yes","F",IF('Custom Elements'!I28="Yes","H","E")))</f>
        <v>T</v>
      </c>
      <c r="BA67"/>
      <c r="BB67"/>
      <c r="BC67"/>
      <c r="BD67" s="641"/>
      <c r="BE67" s="1362" t="s">
        <v>1053</v>
      </c>
      <c r="BF67" s="1020"/>
      <c r="BG67" s="1020"/>
      <c r="BH67" s="479"/>
      <c r="BI67" s="759"/>
      <c r="BJ67" s="897">
        <f t="shared" si="25"/>
        <v>59</v>
      </c>
      <c r="BK67" s="1231"/>
      <c r="BL67" s="1234"/>
      <c r="BM67" s="1205"/>
      <c r="BN67" s="1205"/>
      <c r="BO67" s="1205"/>
      <c r="BP67" s="1205"/>
      <c r="BQ67" s="1233"/>
      <c r="BR67" s="1205"/>
      <c r="BS67" s="1205"/>
      <c r="BT67" s="1205"/>
      <c r="BU67" s="1205"/>
      <c r="BV67" s="1233"/>
      <c r="BW67" s="1235"/>
      <c r="BX67" s="1205"/>
      <c r="CH67" s="970"/>
      <c r="CI67" s="971"/>
      <c r="CJ67" s="759"/>
      <c r="CK67" s="188"/>
      <c r="CL67" s="979"/>
      <c r="CN67" s="497"/>
      <c r="CO67" s="497"/>
      <c r="CQ67" s="51"/>
      <c r="CR67" s="51" t="s">
        <v>8</v>
      </c>
      <c r="CS67" s="51"/>
      <c r="CT67" s="51" t="s">
        <v>8</v>
      </c>
      <c r="CU67" s="51"/>
      <c r="CV67" s="51" t="s">
        <v>8</v>
      </c>
      <c r="CW67" s="51"/>
      <c r="CX67" s="51"/>
      <c r="CY67" s="51"/>
      <c r="CZ67" s="51"/>
      <c r="DD67" s="758"/>
      <c r="DF67" s="52"/>
      <c r="DG67" s="51"/>
      <c r="DH67" s="51"/>
      <c r="DI67" s="51"/>
      <c r="DJ67" s="51"/>
      <c r="DK67" s="51"/>
      <c r="DL67" s="51"/>
      <c r="DM67" s="51"/>
      <c r="DN67" s="51"/>
      <c r="DO67" s="435"/>
      <c r="DP67" s="435"/>
      <c r="DQ67" s="868"/>
      <c r="DR67" s="868"/>
      <c r="DU67" s="188"/>
      <c r="DV67" s="188" t="s">
        <v>8</v>
      </c>
      <c r="DW67" s="188"/>
      <c r="DX67" s="188" t="s">
        <v>8</v>
      </c>
      <c r="DY67" s="188"/>
      <c r="DZ67" s="188"/>
      <c r="EA67" s="188"/>
      <c r="EB67" s="188"/>
      <c r="EC67" s="435"/>
      <c r="ED67" s="435"/>
      <c r="EE67" s="868"/>
      <c r="EF67" s="868"/>
      <c r="EG67" s="613"/>
      <c r="EH67" s="435"/>
      <c r="EI67" s="613"/>
      <c r="EJ67" s="435"/>
      <c r="EK67" s="451"/>
      <c r="EL67" s="612"/>
      <c r="EN67" s="947"/>
      <c r="ER67" s="441"/>
      <c r="ES67" s="440"/>
      <c r="ET67" s="440"/>
      <c r="EU67" s="957"/>
      <c r="EW67" s="427"/>
      <c r="EX67"/>
      <c r="EY67"/>
      <c r="EZ67"/>
      <c r="FA67"/>
    </row>
    <row r="68" spans="1:157" ht="17.100000000000001" hidden="1" customHeight="1" thickBot="1">
      <c r="A68" s="2685"/>
      <c r="B68" s="1369" t="str">
        <f ca="1">S68</f>
        <v>W</v>
      </c>
      <c r="C68" s="684" t="str">
        <f>IF(OR(F68=0,I68="",I68=" ")," ",$V68)</f>
        <v xml:space="preserve"> </v>
      </c>
      <c r="D68" s="1033"/>
      <c r="E68" s="1360" t="s">
        <v>8</v>
      </c>
      <c r="F68" s="202"/>
      <c r="G68" s="1416"/>
      <c r="H68" s="199" t="str">
        <f ca="1">IF(OR(F68=0,Z68="E",Z68="f")," ",'Project Demand'!E$45)</f>
        <v xml:space="preserve"> </v>
      </c>
      <c r="I68" s="631" t="str">
        <f>IF($I$6&lt;&gt;$BG$8," ",AB68)</f>
        <v xml:space="preserve"> </v>
      </c>
      <c r="J68" s="43" t="str">
        <f ca="1">IF(OR(I68=" ",I68="")," ",OFFSET($BO$9,CL68-1,0-4,1,1))</f>
        <v xml:space="preserve"> </v>
      </c>
      <c r="K68" s="55" t="str">
        <f>IF(OR(I68=" ",I68="")," ",IF(OR(Z68="e",Z68="h"),"SD",BG$24))</f>
        <v xml:space="preserve"> </v>
      </c>
      <c r="L68" s="49">
        <f ca="1">CW68</f>
        <v>0</v>
      </c>
      <c r="M68" s="49">
        <f ca="1">CY68</f>
        <v>0</v>
      </c>
      <c r="N68" s="50">
        <f t="shared" ref="N68:O72" ca="1" si="31">DA68</f>
        <v>0</v>
      </c>
      <c r="O68" s="126">
        <f t="shared" ca="1" si="31"/>
        <v>0</v>
      </c>
      <c r="P68" s="140"/>
      <c r="Q68" s="752" t="str">
        <f ca="1">IF(OR(I68=" ",I68="")," ",IF(F68&lt;OFFSET($BM$9,CL68-1,0,1,1),"check L(m)",IF(DE68&lt;&gt;"",DE68,IF(AND(DP68&gt;=CY68,DR68&gt;=DB68),IF(AND(ED68&gt;=DP68,EF68&gt;=DR68),CONCATENATE(DS68," provides same results"),CONCATENATE(CO68," provides same results")),IF((DP68&gt;=CY68),CONCATENATE(CO68," provides same result in WIND"),IF((DR68&gt;=DB68),CONCATENATE(CO68," provides same result in EQ",""),""))))))</f>
        <v xml:space="preserve"> </v>
      </c>
      <c r="R68" s="52">
        <f ca="1">IF(T62&lt;&gt;2,(COLUMN(INDIRECT(B62&amp;1))+1),U68)</f>
        <v>23</v>
      </c>
      <c r="S68" s="1372" t="str">
        <f ca="1">SUBSTITUTE(ADDRESS(1,R68,4),"1","")</f>
        <v>W</v>
      </c>
      <c r="T68" s="451">
        <f ca="1">IF(AND(ISTEXT(B68),SUBSTITUTE(SUBSTITUTE(SUBSTITUTE(SUBSTITUTE(SUBSTITUTE(SUBSTITUTE(SUBSTITUTE(SUBSTITUTE(SUBSTITUTE(SUBSTITUTE(SUBSTITUTE(SUBSTITUTE(SUBSTITUTE(SUBSTITUTE(SUBSTITUTE(SUBSTITUTE(SUBSTITUTE(SUBSTITUTE(SUBSTITUTE(SUBSTITUTE(SUBSTITUTE(SUBSTITUTE(SUBSTITUTE(SUBSTITUTE(SUBSTITUTE(SUBSTITUTE(LOWER(B68),"a",),"b",),"c",),"d",),"e",),"f",),"g",),"h",),"i",),"j",),"k",),"l",),"m",),"n",),"o",),"p",),"q",),"r",),"s",),"t",),"u",),"v",),"w",),"x",),"y",),"z",)=""),1,2)</f>
        <v>1</v>
      </c>
      <c r="U68" s="1377">
        <v>23</v>
      </c>
      <c r="V68" s="52" t="str">
        <f ca="1">IF(AND(B$5=$BF$9,OR(I68=BH$16,I68=BH$17))," ",IF(ISNUMBER(B$68),(CONCATENATE(B$68,".",W68)),(CONCATENATE(B$68,W68))))</f>
        <v>W0</v>
      </c>
      <c r="W68" s="9">
        <f ca="1">IF(B62=B68,W66+X68,X68)</f>
        <v>0</v>
      </c>
      <c r="X68" s="9">
        <f>IF(AND(B$5=$BF$9,OR($I68=$BH$16,$I68=$BH$17,$I68=" ",$I68="",$F68=0)),0,IF(OR($I68=" ",$I68="",$F68=0),0,1))</f>
        <v>0</v>
      </c>
      <c r="Y68" s="896">
        <f ca="1">IF(AND(M73&gt;0,B68&lt;&gt;B74),1,0)</f>
        <v>0</v>
      </c>
      <c r="Z68" s="52" t="str">
        <f ca="1">IF(I68=" "," ",OFFSET($BM$9,$CL68-1,8,1,1))</f>
        <v xml:space="preserve"> </v>
      </c>
      <c r="AA68" s="51" t="str">
        <f>IF(G68&gt;=45,"WA","")</f>
        <v/>
      </c>
      <c r="AB68" s="1364" t="str">
        <f>IF(F68&lt;&gt;"",IF(OR(D68=$BG$12,D68=$BG$13),IF(E68&lt;&gt;$BG$17,$BF$12,$BF$13),IF(E68&lt;&gt;$BG$17,$BF$12,$BF$13))," ")</f>
        <v xml:space="preserve"> </v>
      </c>
      <c r="AC68" s="1"/>
      <c r="BA68"/>
      <c r="BB68"/>
      <c r="BC68"/>
      <c r="BD68" s="641"/>
      <c r="BE68" s="2714" t="s">
        <v>903</v>
      </c>
      <c r="BF68" s="2714"/>
      <c r="BG68" s="2714"/>
      <c r="BH68" s="2714"/>
      <c r="BI68" s="759"/>
      <c r="BJ68" s="897">
        <f t="shared" si="25"/>
        <v>60</v>
      </c>
      <c r="BK68" s="768" t="str">
        <f>BK62</f>
        <v xml:space="preserve">EPB </v>
      </c>
      <c r="BL68" s="765" t="str">
        <f>Table!O10</f>
        <v>ESSH</v>
      </c>
      <c r="BM68" s="454">
        <f>Table!P10</f>
        <v>0.4</v>
      </c>
      <c r="BN68" s="454">
        <f>BM69</f>
        <v>0.6</v>
      </c>
      <c r="BO68" s="454">
        <f>Table!Q10</f>
        <v>95</v>
      </c>
      <c r="BP68" s="924">
        <f>Table!R10</f>
        <v>109</v>
      </c>
      <c r="BQ68" s="920"/>
      <c r="BR68" s="768" t="str">
        <f>Table!S10</f>
        <v>ES-H</v>
      </c>
      <c r="BS68" s="454" t="str">
        <f>Table!S11</f>
        <v>EM-H</v>
      </c>
      <c r="BT68" s="454" t="str">
        <f>Table!T10</f>
        <v>I</v>
      </c>
      <c r="BU68" s="924" t="s">
        <v>242</v>
      </c>
      <c r="BV68" s="1230" t="str">
        <f>Table!AI79</f>
        <v>ESSH</v>
      </c>
      <c r="BW68" s="1229">
        <f>BJ68</f>
        <v>60</v>
      </c>
      <c r="BX68" s="924" t="str">
        <f>Table!T11</f>
        <v>Double</v>
      </c>
      <c r="CH68" s="768">
        <f>IF(BN68=999,0,(BO69-BO68)/(BN68-BM68))</f>
        <v>150.00000000000003</v>
      </c>
      <c r="CI68" s="924">
        <f>IF(BN68=999,0,(BP69-BP68)/(BN68-BM68))</f>
        <v>80.000000000000014</v>
      </c>
      <c r="CJ68" s="759"/>
      <c r="CK68" s="188"/>
      <c r="CL68" s="979">
        <f>VLOOKUP(I68,Prodlink,2,0)</f>
        <v>0</v>
      </c>
      <c r="CN68" s="497">
        <f ca="1">VLOOKUP(CO68,Prodlink,2,0)</f>
        <v>0</v>
      </c>
      <c r="CO68" s="497">
        <f ca="1">OFFSET($CH$9,CL68-1,-15,1,1)</f>
        <v>0</v>
      </c>
      <c r="CQ68" s="51">
        <v>0</v>
      </c>
      <c r="CR68" s="51">
        <f>IF(K68=$BH$12,$BH$23,IF(K68=$BH$13,$BH$24,10000))</f>
        <v>10000</v>
      </c>
      <c r="CS68" s="51">
        <f ca="1">IF(F68&lt;OFFSET($BM$9,CL68-1,0,1,1),0,IF(F68&lt;OFFSET($BN$9,CL68-1,0,1,1),((F68-OFFSET($BM$9,CL68-1,0,1,1))*OFFSET($CH$9,CL68-1,0,1,1))+OFFSET($BO$9,CL68-1,CQ68,1,1),IF(F68&lt;OFFSET($BN$9,CL68+0,0,1,1),((F68-OFFSET($BM$9,CL68+0,0,1,1))*OFFSET($CH$9,CL68+0,0,1,1))+OFFSET($BO$9,CL68+0,CQ68,1,1),IF(F68&lt;OFFSET($BN$9,CL68+1,0,1,1),((F68-OFFSET($BM$9,CL68+1,0,1,1))*OFFSET($CH$9,CL68+1,0,1,1))+OFFSET($BO$9,CL68+1,CQ68,1,1),IF(F68&lt;OFFSET($BN$9,CL68+2,0,1,1),((F68-OFFSET($BM$9,CL68+2,0,1,1))*OFFSET($CH$9,CL68+2,0,1,1))+OFFSET($BO$9,CL68+2,CQ68,1,1),IF(F68&lt;OFFSET($BN$9,CL68+3,0,1,1),((F68-OFFSET($BM$9,CL68+3,0,1,1))*OFFSET($CH$9,CL68+3,0,1,1))+OFFSET($BO$9,CL68+3,CQ68,1,1),0))))))</f>
        <v>0</v>
      </c>
      <c r="CT68" s="51">
        <f ca="1">IF($F68&lt;OFFSET($BM$9,$CL68-1,0,1,1),0,IF($F68&lt;OFFSET($BN$9,$CL68-1,0,1,1),IF(AND($H68&gt;2.4,Z68&lt;&gt;"e",Z68&lt;&gt;"f"),CX68*2.4/$H68,CX68),IF($F68&lt;OFFSET($BN$9,$CL68+0,0,1,1),IF(AND($H68&gt;2.4,Z68&lt;&gt;"e",Z68&lt;&gt;"f"),CX68*2.4/$H68,CX68),IF($F68&lt;OFFSET($BN$9,$CL68+1,0,1,1),IF(AND($H68&gt;2.4,Z68&lt;&gt;"e",Z68&lt;&gt;"f"),CX68*2.4/$H68,CX68),IF($F68&lt;OFFSET($BN$9,CL68+2,0,1,1),IF(AND($H68&gt;2.4,Z68&lt;&gt;"e",Z68&lt;&gt;"f"),CX68*2.4/$H68,CX68),IF($F68&lt;OFFSET($BN$9,CL68+3,0,1,1),IF(AND($H68&gt;2.4,Z68&lt;&gt;"e",Z68&lt;&gt;"f"),CX68*2.4/$H68,CX68),0)))))*COS(RADIANS($G68)))</f>
        <v>0</v>
      </c>
      <c r="CU68" s="51">
        <f ca="1">IF(F68&lt;OFFSET($BM$9,CL68-1,0,1,1),0,IF(F68&lt;OFFSET($BN$9,CL68-1,0,1,1),((F68-OFFSET($BM$9,CL68-1,0,1,1))*OFFSET($CI$9,CL68-1,0,1,1))+OFFSET($BP$9,CL68-1,CQ68,1,1),IF(F68&lt;OFFSET($BN$9,CL68+0,0,1,1),((F68-OFFSET($BM$9,CL68+0,0,1,1))*OFFSET($CI$9,CL68+0,0,1,1))+OFFSET($BP$9,CL68+0,CQ68,1,1),IF(F68&lt;OFFSET($BN$9,CL68+1,0,1,1),((F68-OFFSET($BM$9,CL68+1,0,1,1))*OFFSET($CI$9,CL68+1,0,1,1))+OFFSET($BP$9,CL68+1,CQ68,1,1),IF(F68&lt;OFFSET($BN$9,CL68+2,0,1,1),((F68-OFFSET($BM$9,CL68+2,0,1,1))*OFFSET($CI$9,CL68+2,0,1,1))+OFFSET($BP$9,CL68+2,CQ68,1,1),IF(F68&lt;OFFSET($BN$9,CL68+3,0,1,1),((F68-OFFSET($BM$9,CL68+3,0,1,1))*OFFSET($CI$9,CL68+3,0,1,1))+OFFSET($BP$9,CL68+3,CQ68,1,1),0))))))</f>
        <v>0</v>
      </c>
      <c r="CV68" s="51">
        <f ca="1">IF($F68&lt;OFFSET($BM$9,$CL68-1,0,1,1),0,IF($F68&lt;OFFSET($BN$9,$CL68-1,0,1,1),IF(AND($H68&gt;2.4,Z68&lt;&gt;"e",Z68&lt;&gt;"f"),CZ68*2.4/$H68,CZ68),IF($F68&lt;OFFSET($BN$9,$CL68+0,0,1,1),IF(AND($H68&gt;2.4,Z68&lt;&gt;"e",Z68&lt;&gt;"f"),CZ68*2.4/$H68,CZ68),IF($F68&lt;OFFSET($BN$9,$CL68+1,0,1,1),IF(AND($H68&gt;2.4,Z68&lt;&gt;"e",Z68&lt;&gt;"f"),CZ68*2.4/$H68,CZ68),IF($F68&lt;OFFSET($BN$9,$CL68+2,0,1,1),IF(AND($H68&gt;2.4,Z68&lt;&gt;"e",Z68&lt;&gt;"f"),CZ68*2.4/$H68,CZ68),IF($F68&lt;OFFSET($BN$9,$CL68+3,0,1,1),IF(AND($H68&gt;2.4,Z68&lt;&gt;"e",Z68&lt;&gt;"f"),CZ68*2.4/$H68,CZ68),0)))))*COS(RADIANS($G68)))</f>
        <v>0</v>
      </c>
      <c r="CW68" s="51">
        <f ca="1">IF(CT68&gt;CR68,CR68,CT68)</f>
        <v>0</v>
      </c>
      <c r="CX68" s="51">
        <f ca="1">IF(CS68&gt;$CR68,$CR68,CS68)</f>
        <v>0</v>
      </c>
      <c r="CY68" s="51">
        <f ca="1">CW68*F68</f>
        <v>0</v>
      </c>
      <c r="CZ68" s="51">
        <f ca="1">IF($CU68&gt;$CR68,$CR68,$CU68)</f>
        <v>0</v>
      </c>
      <c r="DA68" s="51">
        <f ca="1">IF(CV68&gt;CR68,CR68,CV68)</f>
        <v>0</v>
      </c>
      <c r="DB68" s="51">
        <f ca="1">DA68*F68</f>
        <v>0</v>
      </c>
      <c r="DC68" s="993">
        <v>1</v>
      </c>
      <c r="DD68" s="758" t="str">
        <f>IF(OR(D68=BG$12,D68=BG$13),"External",IF(D68=BG$14,"Internal"," "))</f>
        <v xml:space="preserve"> </v>
      </c>
      <c r="DE68" s="51" t="str">
        <f t="shared" ca="1" si="1"/>
        <v/>
      </c>
      <c r="DF68" s="52" t="str">
        <f t="shared" ca="1" si="2"/>
        <v xml:space="preserve"> </v>
      </c>
      <c r="DG68" s="51">
        <f ca="1">IF(F68&lt;OFFSET($BM$9,CN68-1,0,1,1),0,IF(F68&lt;OFFSET($BN$9,CN68-1,0,1,1),((F68-OFFSET($BM$9,CN68-1,0,1,1))*OFFSET($CH$9,CN68-1,0,1,1))+OFFSET($BO$9,CN68-1,CQ68,1,1),IF(F68&lt;OFFSET($BN$9,CN68+0,0,1,1),((F68-OFFSET($BM$9,CN68+0,0,1,1))*OFFSET($CH$9,CN68+0,0,1,1))+OFFSET($BO$9,CN68+0,CQ68,1,1),IF(F68&lt;OFFSET($BN$9,CN68+1,0,1,1),((F68-OFFSET($BM$9,CN68+1,0,1,1))*OFFSET($CH$9,CN68+1,0,1,1))+OFFSET($BO$9,CN68+1,CQ68,1,1),IF(F68&lt;OFFSET($BN$9,CN68+2,0,1,1),((F68-OFFSET($BM$9,CN68+2,0,1,1))*OFFSET($CH$9,CN68+2,0,1,1))+OFFSET($BO$9,CN68+2,CQ68,1,1),IF(F68&lt;OFFSET($BN$9,CN68+3,0,1,1),((F68-OFFSET($BM$9,CN68+3,0,1,1))*OFFSET($CH$9,CN68+3,0,1,1))+OFFSET($BO$9,CN68+3,CQ68,1,1),0))))))</f>
        <v>0</v>
      </c>
      <c r="DH68" s="51">
        <f ca="1">IF($F68&lt;OFFSET($BM$9,$CN68-1,0,1,1),0,IF($F68&lt;OFFSET($BN$9,$CN68-1,0,1,1),IF(AND($H68&gt;2.4,Z68&lt;&gt;"e",Z68&lt;&gt;"f"),DL68*2.4/$H68,DL68),IF($F68&lt;OFFSET($BN$9,$CN68+0,0,1,1),IF(AND($H68&gt;2.4,Z68&lt;&gt;"e",Z68&lt;&gt;"f"),DL68*2.4/$H68,DL68),IF($F68&lt;OFFSET($BN$9,$CN68+1,0,1,1),IF(AND($H68&gt;2.4,Z68&lt;&gt;"e",Z68&lt;&gt;"f"),DL68*2.4/$H68,DL68),IF($F68&lt;OFFSET($BN$9,$CN68+2,0,1,1),IF(AND($H68&gt;2.4,Z68&lt;&gt;"e",Z68&lt;&gt;"f"),DL68*2.4/$H68,DL68),IF($F68&lt;OFFSET($BN$9,$CN68+3,0,1,1),IF(AND($H68&gt;2.4,Z68&lt;&gt;"e",Z68&lt;&gt;"f"),DL68*2.4/$H68,DL68),0)))))*COS(RADIANS($G68)))</f>
        <v>0</v>
      </c>
      <c r="DI68" s="51">
        <f ca="1">IF(F68&lt;OFFSET($BM$9,CN68-1,0,1,1),0,IF(F68&lt;OFFSET($BN$9,CN68-1,0,1,1),((F68-OFFSET($BM$9,CN68-1,0,1,1))*OFFSET($CI$9,CN68-1,0,1,1))+OFFSET($BP$9,CN68-1,CQ68,1,1),IF(F68&lt;OFFSET($BN$9,CN68+0,0,1,1),((F68-OFFSET($BM$9,CN68+0,0,1,1))*OFFSET($CI$9,CN68+0,0,1,1))+OFFSET($BP$9,CN68+0,CQ68,1,1),IF(F68&lt;OFFSET($BN$9,CN68+1,0,1,1),((F68-OFFSET($BM$9,CN68+1,0,1,1))*OFFSET($CI$9,CN68+1,0,1,1))+OFFSET($BP$9,CN68+1,CQ68,1,1),IF(F68&lt;OFFSET($BN$9,CN68+2,0,1,1),((F68-OFFSET($BM$9,CN68+2,0,1,1))*OFFSET($CI$9,CN68+2,0,1,1))+OFFSET($BP$9,CN68+2,CQ68,1,1),IF(F68&lt;OFFSET($BN$9,CN68+3,0,1,1),((F68-OFFSET($BM$9,CN68+3,0,1,1))*OFFSET($CI$9,CN68+3,0,1,1))+OFFSET($BP$9,CN68+3,CQ68,1,1),0))))))</f>
        <v>0</v>
      </c>
      <c r="DJ68" s="51">
        <f ca="1">IF($F68&lt;OFFSET($BM$9,$CN68-1,0,1,1),0,IF($F68&lt;OFFSET($BN$9,$CN68-1,0,1,1),IF(AND($H68&gt;2.4,Z68&lt;&gt;"e",Z68&lt;&gt;"f"),DN68*2.4/$H68,DN68),IF($F68&lt;OFFSET($BN$9,$CN68+0,0,1,1),IF(AND($H68&gt;2.4,Z68&lt;&gt;"e",Z68&lt;&gt;"f"),DN68*2.4/$H68,DN68),IF($F68&lt;OFFSET($BN$9,$CN68+1,0,1,1),IF(AND($H68&gt;2.4,Z68&lt;&gt;"e",Z68&lt;&gt;"f"),DN68*2.4/$H68,DN68),IF($F68&lt;OFFSET($BN$9,$CN68+2,0,1,1),IF(AND($H68&gt;2.4,Z68&lt;&gt;"e",Z68&lt;&gt;"f"),DN68*2.4/$H68,DN68),IF($F68&lt;OFFSET($BN$9,$CN68+3,0,1,1),IF(AND($H68&gt;2.4,Z68&lt;&gt;"e",Z68&lt;&gt;"f"),DN68*2.4/$H68,DN68),0)))))*COS(RADIANS($G68)))</f>
        <v>0</v>
      </c>
      <c r="DK68" s="51"/>
      <c r="DL68" s="51">
        <f ca="1">IF(DG68&gt;$CR68,$CR68,DG68)</f>
        <v>0</v>
      </c>
      <c r="DM68" s="51"/>
      <c r="DN68" s="51">
        <f ca="1">IF(DI68&gt;$CR68,$CR68,DI68)</f>
        <v>0</v>
      </c>
      <c r="DO68" s="435">
        <f ca="1">IF(DH68&gt;$CR68,$CR68,DH68)</f>
        <v>0</v>
      </c>
      <c r="DP68" s="435">
        <f ca="1">DO68*F68</f>
        <v>0</v>
      </c>
      <c r="DQ68" s="436">
        <f ca="1">IF(DJ68&gt;$CR68,$CR68,DJ68)</f>
        <v>0</v>
      </c>
      <c r="DR68" s="437">
        <f ca="1">DQ68*F68</f>
        <v>0</v>
      </c>
      <c r="DS68" s="426">
        <f ca="1">OFFSET($CH$9,CL68-1,-15,1,1)</f>
        <v>0</v>
      </c>
      <c r="DT68" s="426">
        <f ca="1">VLOOKUP(DS68,Prodlink,2,0)</f>
        <v>0</v>
      </c>
      <c r="DU68" s="188">
        <f ca="1">IF(F68&lt;OFFSET($BM$9,DT68-1,0,1,1),0,IF(F68&lt;OFFSET($BN$9,DT68-1,0,1,1),((F68-OFFSET($BM$9,DT68-1,0,1,1))*OFFSET($CH$9,DT68-1,0,1,1))+OFFSET($BO$9,DT68-1,CQ68,1,1),IF(F68&lt;OFFSET($BN$9,DT68+0,0,1,1),((F68-OFFSET($BM$9,DT68+0,0,1,1))*OFFSET($CH$9,DT68+0,0,1,1))+OFFSET($BO$9,DT68+0,CQ68,1,1),IF(F68&lt;OFFSET($BN$9,DT68+1,0,1,1),((F68-OFFSET($BM$9,DT68+1,0,1,1))*OFFSET($CH$9,DT68+1,0,1,1))+OFFSET($BO$9,DT68+1,CQ68,1,1),IF(F68&lt;OFFSET($BN$9,DT68+2,0,1,1),((F68-OFFSET($BM$9,DT68+2,0,1,1))*OFFSET($CH$9,DT68+2,0,1,1))+OFFSET($BO$9,DT68+2,CQ68,1,1),IF(F68&lt;OFFSET($BN$9,DT68+3,0,1,1),((F68-OFFSET($BM$9,DT68+3,0,1,1))*OFFSET($CH$9,DT68+3,0,1,1))+OFFSET($BO$9,DT68+3,CQ68,1,1),0))))))</f>
        <v>0</v>
      </c>
      <c r="DV68" s="51">
        <f ca="1">IF($F68&lt;OFFSET($BM$9,$DT68-1,0,1,1),0,IF($F68&lt;OFFSET($BN$9,$DT68-1,0,1,1),IF(AND($H68&gt;2.4,Z68&lt;&gt;"e",Z68&lt;&gt;"f"),DZ68*2.4/$H68,DZ68),IF($F68&lt;OFFSET($BN$9,$DT68+0,0,1,1),IF(AND($H68&gt;2.4,Z68&lt;&gt;"e",Z68&lt;&gt;"f"),DZ68*2.4/$H68,DZ68),IF($F68&lt;OFFSET($BN$9,$DT68+1,0,1,1),IF(AND($H68&gt;2.4,Z68&lt;&gt;"e",Z68&lt;&gt;"f"),DZ68*2.4/$H68,DZ68),IF($F68&lt;OFFSET($BN$9,$DT68+2,0,1,1),IF(AND($H68&gt;2.4,Z68&lt;&gt;"e",Z68&lt;&gt;"f"),DZ68*2.4/$H68,DZ68),IF($F68&lt;OFFSET($BN$9,$DT68+3,0,1,1),IF(AND($H68&gt;2.4,Z68&lt;&gt;"e",Z68&lt;&gt;"f"),DZ68*2.4/$H68,DZ68),0)))))*COS(RADIANS($G68)))</f>
        <v>0</v>
      </c>
      <c r="DW68" s="188">
        <f ca="1">IF(F68&lt;OFFSET($BM$9,DT68-1,0,1,1),0,IF(F68&lt;OFFSET($BN$9,DT68-1,0,1,1),((F68-OFFSET($BM$9,DT68-1,0,1,1))*OFFSET($CI$9,DT68-1,0,1,1))+OFFSET($BP$9,DT68-1,CQ68,1,1),IF(F68&lt;OFFSET($BN$9,DT68+0,0,1,1),((F68-OFFSET($BM$9,DT68+0,0,1,1))*OFFSET($CI$9,DT68+0,0,1,1))+OFFSET($BP$9,DT68+0,CQ68,1,1),IF(F68&lt;OFFSET($BN$9,DT68+1,0,1,1),((F68-OFFSET($BM$9,DT68+1,0,1,1))*OFFSET($CI$9,DT68+1,0,1,1))+OFFSET($BP$9,DT68+1,CQ68,1,1),IF(F68&lt;OFFSET($BN$9,DT68+2,0,1,1),((F68-OFFSET($BM$9,DT68+2,0,1,1))*OFFSET($CI$9,DT68+2,0,1,1))+OFFSET($BP$9,DT68+2,CQ68,1,1),IF(F68&lt;OFFSET($BN$9,DT68+3,0,1,1),((F68-OFFSET($BM$9,DT68+3,0,1,1))*OFFSET($CI$9,DT68+3,0,1,1))+OFFSET($BP$9,DT68+3,CQ68,1,1),0))))))</f>
        <v>0</v>
      </c>
      <c r="DX68" s="51">
        <f ca="1">IF($F68&lt;OFFSET($BM$9,$DT68-1,0,1,1),0,IF($F68&lt;OFFSET($BN$9,$DT68-1,0,1,1),IF(AND($H68&gt;2.4,Z68&lt;&gt;"e",Z68&lt;&gt;"f"),EB68*2.4/$H68,EB68),IF($F68&lt;OFFSET($BN$9,$DT68+0,0,1,1),IF(AND($H68&gt;2.4,Z68&lt;&gt;"e",Z68&lt;&gt;"f"),EB68*2.4/$H68,EB68),IF($F68&lt;OFFSET($BN$9,$DT68+1,0,1,1),IF(AND($H68&gt;2.4,Z68&lt;&gt;"e",Z68&lt;&gt;"f"),EB68*2.4/$H68,EB68),IF($F68&lt;OFFSET($BN$9,$DT68+2,0,1,1),IF(AND($H68&gt;2.4,Z68&lt;&gt;"e",Z68&lt;&gt;"f"),EB68*2.4/$H68,EB68),IF($F68&lt;OFFSET($BN$9,$DT68+3,0,1,1),IF(AND($H68&gt;2.4,Z68&lt;&gt;"e",Z68&lt;&gt;"f"),EB68*2.4/$H68,EB68),0)))))*COS(RADIANS($G68)))</f>
        <v>0</v>
      </c>
      <c r="DY68" s="188"/>
      <c r="DZ68" s="188">
        <f ca="1">IF(DU68&gt;$CR68,$CR68,DU68)</f>
        <v>0</v>
      </c>
      <c r="EA68" s="188"/>
      <c r="EB68" s="188">
        <f ca="1">IF(DW68&gt;$CR68,$CR68,DW68)</f>
        <v>0</v>
      </c>
      <c r="EC68" s="435">
        <f ca="1">IF(DV68&gt;$CR68,$CR68,DV68)</f>
        <v>0</v>
      </c>
      <c r="ED68" s="435">
        <f ca="1">EC68*F68</f>
        <v>0</v>
      </c>
      <c r="EE68" s="436">
        <f ca="1">IF(DX68&gt;$CR68,$CR68,DX68)</f>
        <v>0</v>
      </c>
      <c r="EF68" s="437">
        <f ca="1">EE68*F68</f>
        <v>0</v>
      </c>
      <c r="EG68" s="613" t="str">
        <f>IF(D68=BG$12,BG$12,"")</f>
        <v/>
      </c>
      <c r="EH68" s="614" t="str">
        <f>IF(D68=BG$13,BG$13,"")</f>
        <v/>
      </c>
      <c r="EI68" s="611">
        <f>IF(EG68=BG$12,M68,0)</f>
        <v>0</v>
      </c>
      <c r="EJ68" s="451">
        <f>IF(EG68=BG$12,O68,0)</f>
        <v>0</v>
      </c>
      <c r="EK68" s="451">
        <f>IF(EH68=BG$13,M68,0)</f>
        <v>0</v>
      </c>
      <c r="EL68" s="612">
        <f>IF(EH68=BG$13,O68,0)</f>
        <v>0</v>
      </c>
      <c r="EM68" s="426" t="str">
        <f ca="1">IF(AND(Z68&lt;&gt;"t",Z68&lt;&gt;"f"),"",IF(AND(EN68=$BH$13,K68=$BH$12),"NotOpt",IF(K68&lt;&gt;EN68,"Error","")))</f>
        <v/>
      </c>
      <c r="EN68" s="490" t="str">
        <f>IF($BG$28=1,$BH$13,$BH$12)</f>
        <v>120 BU's</v>
      </c>
      <c r="EO68" s="426" t="str">
        <f>K68</f>
        <v xml:space="preserve"> </v>
      </c>
      <c r="EP68" s="430">
        <v>1</v>
      </c>
      <c r="EQ68" s="430" t="str">
        <f ca="1">IF(EP68=1," ",OFFSET(BF$16,EP68-2,0,1,1))</f>
        <v xml:space="preserve"> </v>
      </c>
      <c r="ER68" s="439" t="str">
        <f ca="1">IF(H68=0," ",H68)</f>
        <v xml:space="preserve"> </v>
      </c>
      <c r="ES68" s="440" t="str">
        <f ca="1">IF(ER68&lt;&gt;" ",IF(ER68&lt;&gt;ER$7,"Changed",""),"")</f>
        <v/>
      </c>
      <c r="ET68" s="440">
        <f ca="1">IF(ER68&lt;&gt;" ",IF(ER68&lt;&gt;ER$7,1,0),0)</f>
        <v>0</v>
      </c>
      <c r="EU68" s="957" t="str">
        <f ca="1">IF(I68=" "," ",IF(F68&lt;OFFSET($BM$9,CL68-1,0,1,1),1,""))</f>
        <v xml:space="preserve"> </v>
      </c>
      <c r="EW68" s="427"/>
      <c r="EX68"/>
      <c r="EY68"/>
      <c r="EZ68"/>
      <c r="FA68"/>
    </row>
    <row r="69" spans="1:157" ht="17.100000000000001" hidden="1" customHeight="1">
      <c r="A69" s="2685"/>
      <c r="B69" s="689" t="s">
        <v>246</v>
      </c>
      <c r="C69" s="684" t="str">
        <f>IF(OR(F69=0,I69="",I69=" ")," ",$V69)</f>
        <v xml:space="preserve"> </v>
      </c>
      <c r="D69" s="1033"/>
      <c r="E69" s="1360" t="s">
        <v>8</v>
      </c>
      <c r="F69" s="202"/>
      <c r="G69" s="1416"/>
      <c r="H69" s="199" t="str">
        <f ca="1">IF(OR(F69=0,Z69="E",Z69="f")," ",'Project Demand'!E$45)</f>
        <v xml:space="preserve"> </v>
      </c>
      <c r="I69" s="631" t="str">
        <f>IF($I$6&lt;&gt;$BG$8," ",AB69)</f>
        <v xml:space="preserve"> </v>
      </c>
      <c r="J69" s="44" t="str">
        <f ca="1">IF(OR(I69=" ",I69="")," ",OFFSET($BO$9,CL69-1,0-4,1,1))</f>
        <v xml:space="preserve"> </v>
      </c>
      <c r="K69" s="55" t="str">
        <f>IF(OR(I69=" ",I69="")," ",IF(OR(Z69="e",Z69="h"),"SD",BG$24))</f>
        <v xml:space="preserve"> </v>
      </c>
      <c r="L69" s="49">
        <f ca="1">CW69</f>
        <v>0</v>
      </c>
      <c r="M69" s="49">
        <f ca="1">CY69</f>
        <v>0</v>
      </c>
      <c r="N69" s="50">
        <f t="shared" ca="1" si="31"/>
        <v>0</v>
      </c>
      <c r="O69" s="126">
        <f t="shared" ca="1" si="31"/>
        <v>0</v>
      </c>
      <c r="P69" s="140"/>
      <c r="Q69" s="752" t="str">
        <f ca="1">IF(OR(I69=" ",I69="")," ",IF(F69&lt;OFFSET($BM$9,CL69-1,0,1,1),"check L(m)",IF(DE69&lt;&gt;"",DE69,IF(AND(DP69&gt;=CY69,DR69&gt;=DB69),IF(AND(ED69&gt;=DP69,EF69&gt;=DR69),CONCATENATE(DS69," provides same results"),CONCATENATE(CO69," provides same results")),IF((DP69&gt;=CY69),CONCATENATE(CO69," provides same result in WIND"),IF((DR69&gt;=DB69),CONCATENATE(CO69," provides same result in EQ",""),""))))))</f>
        <v xml:space="preserve"> </v>
      </c>
      <c r="R69" s="52"/>
      <c r="S69" s="1372"/>
      <c r="T69" s="1372"/>
      <c r="U69" s="1377"/>
      <c r="V69" s="52" t="str">
        <f ca="1">IF(AND(B$5=$BF$9,OR(I69=BH$16,I69=BH$17))," ",IF(ISNUMBER(B$68),(CONCATENATE(B$68,".",W69)),(CONCATENATE(B$68,W69))))</f>
        <v>W0</v>
      </c>
      <c r="W69" s="9">
        <f ca="1">W68+X69</f>
        <v>0</v>
      </c>
      <c r="X69" s="9">
        <f>IF(AND(B$5=$BF$9,OR($I69=$BH$16,$I69=$BH$17,$I69=" ",$I69="",$F69=0)),0,IF(OR($I69=" ",$I69="",$F69=0),0,1))</f>
        <v>0</v>
      </c>
      <c r="Y69" s="896"/>
      <c r="Z69" s="52" t="str">
        <f ca="1">IF(I69=" "," ",OFFSET($BM$9,$CL69-1,8,1,1))</f>
        <v xml:space="preserve"> </v>
      </c>
      <c r="AA69" s="51" t="str">
        <f>IF(G69&gt;=45,"WA","")</f>
        <v/>
      </c>
      <c r="AB69" s="1364" t="str">
        <f>IF(F69&lt;&gt;"",IF(OR(D69=$BG$12,D69=$BG$13),IF(E69&lt;&gt;$BG$17,$BF$12,$BF$13),IF(E69&lt;&gt;$BG$17,$BF$12,$BF$13))," ")</f>
        <v xml:space="preserve"> </v>
      </c>
      <c r="AC69" s="1"/>
      <c r="BA69"/>
      <c r="BB69"/>
      <c r="BC69"/>
      <c r="BD69" s="641"/>
      <c r="BI69" s="759"/>
      <c r="BJ69" s="897">
        <f t="shared" si="25"/>
        <v>61</v>
      </c>
      <c r="BK69" s="764"/>
      <c r="BL69" s="766"/>
      <c r="BM69" s="455">
        <f>Table!P11</f>
        <v>0.6</v>
      </c>
      <c r="BN69" s="455">
        <f>BM70</f>
        <v>0.8</v>
      </c>
      <c r="BO69" s="455">
        <f>Table!Q11</f>
        <v>125</v>
      </c>
      <c r="BP69" s="925">
        <f>Table!R11</f>
        <v>125</v>
      </c>
      <c r="BR69" s="764"/>
      <c r="BS69" s="455"/>
      <c r="BT69" s="455"/>
      <c r="BU69" s="925" t="s">
        <v>242</v>
      </c>
      <c r="BV69" s="895"/>
      <c r="BW69" s="912"/>
      <c r="BX69" s="925" t="str">
        <f>Table!T11</f>
        <v>Double</v>
      </c>
      <c r="CH69" s="764">
        <f>IF(BN69=999,0,(BO70-BO69)/(BN69-BM69))</f>
        <v>49.999999999999986</v>
      </c>
      <c r="CI69" s="925">
        <f>IF(BN69=999,0,(BP70-BP69)/(BN69-BM69))</f>
        <v>0</v>
      </c>
      <c r="CJ69" s="759"/>
      <c r="CK69" s="188"/>
      <c r="CL69" s="979">
        <f>VLOOKUP(I69,Prodlink,2,0)</f>
        <v>0</v>
      </c>
      <c r="CN69" s="497">
        <f ca="1">VLOOKUP(CO69,Prodlink,2,0)</f>
        <v>0</v>
      </c>
      <c r="CO69" s="497">
        <f ca="1">OFFSET($CH$9,CL69-1,-15,1,1)</f>
        <v>0</v>
      </c>
      <c r="CQ69" s="51">
        <v>0</v>
      </c>
      <c r="CR69" s="51">
        <f>IF(K69=$BH$12,$BH$23,IF(K69=$BH$13,$BH$24,10000))</f>
        <v>10000</v>
      </c>
      <c r="CS69" s="51">
        <f ca="1">IF(F69&lt;OFFSET($BM$9,CL69-1,0,1,1),0,IF(F69&lt;OFFSET($BN$9,CL69-1,0,1,1),((F69-OFFSET($BM$9,CL69-1,0,1,1))*OFFSET($CH$9,CL69-1,0,1,1))+OFFSET($BO$9,CL69-1,CQ69,1,1),IF(F69&lt;OFFSET($BN$9,CL69+0,0,1,1),((F69-OFFSET($BM$9,CL69+0,0,1,1))*OFFSET($CH$9,CL69+0,0,1,1))+OFFSET($BO$9,CL69+0,CQ69,1,1),IF(F69&lt;OFFSET($BN$9,CL69+1,0,1,1),((F69-OFFSET($BM$9,CL69+1,0,1,1))*OFFSET($CH$9,CL69+1,0,1,1))+OFFSET($BO$9,CL69+1,CQ69,1,1),IF(F69&lt;OFFSET($BN$9,CL69+2,0,1,1),((F69-OFFSET($BM$9,CL69+2,0,1,1))*OFFSET($CH$9,CL69+2,0,1,1))+OFFSET($BO$9,CL69+2,CQ69,1,1),IF(F69&lt;OFFSET($BN$9,CL69+3,0,1,1),((F69-OFFSET($BM$9,CL69+3,0,1,1))*OFFSET($CH$9,CL69+3,0,1,1))+OFFSET($BO$9,CL69+3,CQ69,1,1),0))))))</f>
        <v>0</v>
      </c>
      <c r="CT69" s="51">
        <f ca="1">IF($F69&lt;OFFSET($BM$9,$CL69-1,0,1,1),0,IF($F69&lt;OFFSET($BN$9,$CL69-1,0,1,1),IF(AND($H69&gt;2.4,Z69&lt;&gt;"e",Z69&lt;&gt;"f"),CX69*2.4/$H69,CX69),IF($F69&lt;OFFSET($BN$9,$CL69+0,0,1,1),IF(AND($H69&gt;2.4,Z69&lt;&gt;"e",Z69&lt;&gt;"f"),CX69*2.4/$H69,CX69),IF($F69&lt;OFFSET($BN$9,$CL69+1,0,1,1),IF(AND($H69&gt;2.4,Z69&lt;&gt;"e",Z69&lt;&gt;"f"),CX69*2.4/$H69,CX69),IF($F69&lt;OFFSET($BN$9,CL69+2,0,1,1),IF(AND($H69&gt;2.4,Z69&lt;&gt;"e",Z69&lt;&gt;"f"),CX69*2.4/$H69,CX69),IF($F69&lt;OFFSET($BN$9,CL69+3,0,1,1),IF(AND($H69&gt;2.4,Z69&lt;&gt;"e",Z69&lt;&gt;"f"),CX69*2.4/$H69,CX69),0)))))*COS(RADIANS($G69)))</f>
        <v>0</v>
      </c>
      <c r="CU69" s="51">
        <f ca="1">IF(F69&lt;OFFSET($BM$9,CL69-1,0,1,1),0,IF(F69&lt;OFFSET($BN$9,CL69-1,0,1,1),((F69-OFFSET($BM$9,CL69-1,0,1,1))*OFFSET($CI$9,CL69-1,0,1,1))+OFFSET($BP$9,CL69-1,CQ69,1,1),IF(F69&lt;OFFSET($BN$9,CL69+0,0,1,1),((F69-OFFSET($BM$9,CL69+0,0,1,1))*OFFSET($CI$9,CL69+0,0,1,1))+OFFSET($BP$9,CL69+0,CQ69,1,1),IF(F69&lt;OFFSET($BN$9,CL69+1,0,1,1),((F69-OFFSET($BM$9,CL69+1,0,1,1))*OFFSET($CI$9,CL69+1,0,1,1))+OFFSET($BP$9,CL69+1,CQ69,1,1),IF(F69&lt;OFFSET($BN$9,CL69+2,0,1,1),((F69-OFFSET($BM$9,CL69+2,0,1,1))*OFFSET($CI$9,CL69+2,0,1,1))+OFFSET($BP$9,CL69+2,CQ69,1,1),IF(F69&lt;OFFSET($BN$9,CL69+3,0,1,1),((F69-OFFSET($BM$9,CL69+3,0,1,1))*OFFSET($CI$9,CL69+3,0,1,1))+OFFSET($BP$9,CL69+3,CQ69,1,1),0))))))</f>
        <v>0</v>
      </c>
      <c r="CV69" s="51">
        <f ca="1">IF($F69&lt;OFFSET($BM$9,$CL69-1,0,1,1),0,IF($F69&lt;OFFSET($BN$9,$CL69-1,0,1,1),IF(AND($H69&gt;2.4,Z69&lt;&gt;"e",Z69&lt;&gt;"f"),CZ69*2.4/$H69,CZ69),IF($F69&lt;OFFSET($BN$9,$CL69+0,0,1,1),IF(AND($H69&gt;2.4,Z69&lt;&gt;"e",Z69&lt;&gt;"f"),CZ69*2.4/$H69,CZ69),IF($F69&lt;OFFSET($BN$9,$CL69+1,0,1,1),IF(AND($H69&gt;2.4,Z69&lt;&gt;"e",Z69&lt;&gt;"f"),CZ69*2.4/$H69,CZ69),IF($F69&lt;OFFSET($BN$9,$CL69+2,0,1,1),IF(AND($H69&gt;2.4,Z69&lt;&gt;"e",Z69&lt;&gt;"f"),CZ69*2.4/$H69,CZ69),IF($F69&lt;OFFSET($BN$9,$CL69+3,0,1,1),IF(AND($H69&gt;2.4,Z69&lt;&gt;"e",Z69&lt;&gt;"f"),CZ69*2.4/$H69,CZ69),0)))))*COS(RADIANS($G69)))</f>
        <v>0</v>
      </c>
      <c r="CW69" s="51">
        <f ca="1">IF(CT69&gt;CR69,CR69,CT69)</f>
        <v>0</v>
      </c>
      <c r="CX69" s="51">
        <f ca="1">IF(CS69&gt;$CR69,$CR69,CS69)</f>
        <v>0</v>
      </c>
      <c r="CY69" s="51">
        <f ca="1">CW69*F69</f>
        <v>0</v>
      </c>
      <c r="CZ69" s="51">
        <f ca="1">IF($CU69&gt;$CR69,$CR69,$CU69)</f>
        <v>0</v>
      </c>
      <c r="DA69" s="51">
        <f ca="1">IF(CV69&gt;CR69,CR69,CV69)</f>
        <v>0</v>
      </c>
      <c r="DB69" s="51">
        <f ca="1">DA69*F69</f>
        <v>0</v>
      </c>
      <c r="DC69" s="993">
        <v>1</v>
      </c>
      <c r="DD69" s="758" t="str">
        <f>IF(OR(D69=BG$12,D69=BG$13),"External",IF(D69=BG$14,"Internal"," "))</f>
        <v xml:space="preserve"> </v>
      </c>
      <c r="DE69" s="51" t="str">
        <f t="shared" ca="1" si="1"/>
        <v/>
      </c>
      <c r="DF69" s="52" t="str">
        <f t="shared" ca="1" si="2"/>
        <v xml:space="preserve"> </v>
      </c>
      <c r="DG69" s="51">
        <f ca="1">IF(F69&lt;OFFSET($BM$9,CN69-1,0,1,1),0,IF(F69&lt;OFFSET($BN$9,CN69-1,0,1,1),((F69-OFFSET($BM$9,CN69-1,0,1,1))*OFFSET($CH$9,CN69-1,0,1,1))+OFFSET($BO$9,CN69-1,CQ69,1,1),IF(F69&lt;OFFSET($BN$9,CN69+0,0,1,1),((F69-OFFSET($BM$9,CN69+0,0,1,1))*OFFSET($CH$9,CN69+0,0,1,1))+OFFSET($BO$9,CN69+0,CQ69,1,1),IF(F69&lt;OFFSET($BN$9,CN69+1,0,1,1),((F69-OFFSET($BM$9,CN69+1,0,1,1))*OFFSET($CH$9,CN69+1,0,1,1))+OFFSET($BO$9,CN69+1,CQ69,1,1),IF(F69&lt;OFFSET($BN$9,CN69+2,0,1,1),((F69-OFFSET($BM$9,CN69+2,0,1,1))*OFFSET($CH$9,CN69+2,0,1,1))+OFFSET($BO$9,CN69+2,CQ69,1,1),IF(F69&lt;OFFSET($BN$9,CN69+3,0,1,1),((F69-OFFSET($BM$9,CN69+3,0,1,1))*OFFSET($CH$9,CN69+3,0,1,1))+OFFSET($BO$9,CN69+3,CQ69,1,1),0))))))</f>
        <v>0</v>
      </c>
      <c r="DH69" s="51">
        <f ca="1">IF($F69&lt;OFFSET($BM$9,$CN69-1,0,1,1),0,IF($F69&lt;OFFSET($BN$9,$CN69-1,0,1,1),IF(AND($H69&gt;2.4,Z69&lt;&gt;"e",Z69&lt;&gt;"f"),DL69*2.4/$H69,DL69),IF($F69&lt;OFFSET($BN$9,$CN69+0,0,1,1),IF(AND($H69&gt;2.4,Z69&lt;&gt;"e",Z69&lt;&gt;"f"),DL69*2.4/$H69,DL69),IF($F69&lt;OFFSET($BN$9,$CN69+1,0,1,1),IF(AND($H69&gt;2.4,Z69&lt;&gt;"e",Z69&lt;&gt;"f"),DL69*2.4/$H69,DL69),IF($F69&lt;OFFSET($BN$9,$CN69+2,0,1,1),IF(AND($H69&gt;2.4,Z69&lt;&gt;"e",Z69&lt;&gt;"f"),DL69*2.4/$H69,DL69),IF($F69&lt;OFFSET($BN$9,$CN69+3,0,1,1),IF(AND($H69&gt;2.4,Z69&lt;&gt;"e",Z69&lt;&gt;"f"),DL69*2.4/$H69,DL69),0)))))*COS(RADIANS($G69)))</f>
        <v>0</v>
      </c>
      <c r="DI69" s="51">
        <f ca="1">IF(F69&lt;OFFSET($BM$9,CN69-1,0,1,1),0,IF(F69&lt;OFFSET($BN$9,CN69-1,0,1,1),((F69-OFFSET($BM$9,CN69-1,0,1,1))*OFFSET($CI$9,CN69-1,0,1,1))+OFFSET($BP$9,CN69-1,CQ69,1,1),IF(F69&lt;OFFSET($BN$9,CN69+0,0,1,1),((F69-OFFSET($BM$9,CN69+0,0,1,1))*OFFSET($CI$9,CN69+0,0,1,1))+OFFSET($BP$9,CN69+0,CQ69,1,1),IF(F69&lt;OFFSET($BN$9,CN69+1,0,1,1),((F69-OFFSET($BM$9,CN69+1,0,1,1))*OFFSET($CI$9,CN69+1,0,1,1))+OFFSET($BP$9,CN69+1,CQ69,1,1),IF(F69&lt;OFFSET($BN$9,CN69+2,0,1,1),((F69-OFFSET($BM$9,CN69+2,0,1,1))*OFFSET($CI$9,CN69+2,0,1,1))+OFFSET($BP$9,CN69+2,CQ69,1,1),IF(F69&lt;OFFSET($BN$9,CN69+3,0,1,1),((F69-OFFSET($BM$9,CN69+3,0,1,1))*OFFSET($CI$9,CN69+3,0,1,1))+OFFSET($BP$9,CN69+3,CQ69,1,1),0))))))</f>
        <v>0</v>
      </c>
      <c r="DJ69" s="51">
        <f ca="1">IF($F69&lt;OFFSET($BM$9,$CN69-1,0,1,1),0,IF($F69&lt;OFFSET($BN$9,$CN69-1,0,1,1),IF(AND($H69&gt;2.4,Z69&lt;&gt;"e",Z69&lt;&gt;"f"),DN69*2.4/$H69,DN69),IF($F69&lt;OFFSET($BN$9,$CN69+0,0,1,1),IF(AND($H69&gt;2.4,Z69&lt;&gt;"e",Z69&lt;&gt;"f"),DN69*2.4/$H69,DN69),IF($F69&lt;OFFSET($BN$9,$CN69+1,0,1,1),IF(AND($H69&gt;2.4,Z69&lt;&gt;"e",Z69&lt;&gt;"f"),DN69*2.4/$H69,DN69),IF($F69&lt;OFFSET($BN$9,$CN69+2,0,1,1),IF(AND($H69&gt;2.4,Z69&lt;&gt;"e",Z69&lt;&gt;"f"),DN69*2.4/$H69,DN69),IF($F69&lt;OFFSET($BN$9,$CN69+3,0,1,1),IF(AND($H69&gt;2.4,Z69&lt;&gt;"e",Z69&lt;&gt;"f"),DN69*2.4/$H69,DN69),0)))))*COS(RADIANS($G69)))</f>
        <v>0</v>
      </c>
      <c r="DK69" s="51"/>
      <c r="DL69" s="51">
        <f ca="1">IF(DG69&gt;$CR69,$CR69,DG69)</f>
        <v>0</v>
      </c>
      <c r="DM69" s="51"/>
      <c r="DN69" s="51">
        <f ca="1">IF(DI69&gt;$CR69,$CR69,DI69)</f>
        <v>0</v>
      </c>
      <c r="DO69" s="435">
        <f ca="1">IF(DH69&gt;$CR69,$CR69,DH69)</f>
        <v>0</v>
      </c>
      <c r="DP69" s="435">
        <f ca="1">DO69*F69</f>
        <v>0</v>
      </c>
      <c r="DQ69" s="436">
        <f ca="1">IF(DJ69&gt;$CR69,$CR69,DJ69)</f>
        <v>0</v>
      </c>
      <c r="DR69" s="437">
        <f ca="1">DQ69*F69</f>
        <v>0</v>
      </c>
      <c r="DS69" s="426">
        <f ca="1">OFFSET($CH$9,CL69-1,-15,1,1)</f>
        <v>0</v>
      </c>
      <c r="DT69" s="426">
        <f ca="1">VLOOKUP(DS69,Prodlink,2,0)</f>
        <v>0</v>
      </c>
      <c r="DU69" s="188">
        <f ca="1">IF(F69&lt;OFFSET($BM$9,DT69-1,0,1,1),0,IF(F69&lt;OFFSET($BN$9,DT69-1,0,1,1),((F69-OFFSET($BM$9,DT69-1,0,1,1))*OFFSET($CH$9,DT69-1,0,1,1))+OFFSET($BO$9,DT69-1,CQ69,1,1),IF(F69&lt;OFFSET($BN$9,DT69+0,0,1,1),((F69-OFFSET($BM$9,DT69+0,0,1,1))*OFFSET($CH$9,DT69+0,0,1,1))+OFFSET($BO$9,DT69+0,CQ69,1,1),IF(F69&lt;OFFSET($BN$9,DT69+1,0,1,1),((F69-OFFSET($BM$9,DT69+1,0,1,1))*OFFSET($CH$9,DT69+1,0,1,1))+OFFSET($BO$9,DT69+1,CQ69,1,1),IF(F69&lt;OFFSET($BN$9,DT69+2,0,1,1),((F69-OFFSET($BM$9,DT69+2,0,1,1))*OFFSET($CH$9,DT69+2,0,1,1))+OFFSET($BO$9,DT69+2,CQ69,1,1),IF(F69&lt;OFFSET($BN$9,DT69+3,0,1,1),((F69-OFFSET($BM$9,DT69+3,0,1,1))*OFFSET($CH$9,DT69+3,0,1,1))+OFFSET($BO$9,DT69+3,CQ69,1,1),0))))))</f>
        <v>0</v>
      </c>
      <c r="DV69" s="51">
        <f ca="1">IF($F69&lt;OFFSET($BM$9,$DT69-1,0,1,1),0,IF($F69&lt;OFFSET($BN$9,$DT69-1,0,1,1),IF(AND($H69&gt;2.4,Z69&lt;&gt;"e",Z69&lt;&gt;"f"),DZ69*2.4/$H69,DZ69),IF($F69&lt;OFFSET($BN$9,$DT69+0,0,1,1),IF(AND($H69&gt;2.4,Z69&lt;&gt;"e",Z69&lt;&gt;"f"),DZ69*2.4/$H69,DZ69),IF($F69&lt;OFFSET($BN$9,$DT69+1,0,1,1),IF(AND($H69&gt;2.4,Z69&lt;&gt;"e",Z69&lt;&gt;"f"),DZ69*2.4/$H69,DZ69),IF($F69&lt;OFFSET($BN$9,$DT69+2,0,1,1),IF(AND($H69&gt;2.4,Z69&lt;&gt;"e",Z69&lt;&gt;"f"),DZ69*2.4/$H69,DZ69),IF($F69&lt;OFFSET($BN$9,$DT69+3,0,1,1),IF(AND($H69&gt;2.4,Z69&lt;&gt;"e",Z69&lt;&gt;"f"),DZ69*2.4/$H69,DZ69),0)))))*COS(RADIANS($G69)))</f>
        <v>0</v>
      </c>
      <c r="DW69" s="188">
        <f ca="1">IF(F69&lt;OFFSET($BM$9,DT69-1,0,1,1),0,IF(F69&lt;OFFSET($BN$9,DT69-1,0,1,1),((F69-OFFSET($BM$9,DT69-1,0,1,1))*OFFSET($CI$9,DT69-1,0,1,1))+OFFSET($BP$9,DT69-1,CQ69,1,1),IF(F69&lt;OFFSET($BN$9,DT69+0,0,1,1),((F69-OFFSET($BM$9,DT69+0,0,1,1))*OFFSET($CI$9,DT69+0,0,1,1))+OFFSET($BP$9,DT69+0,CQ69,1,1),IF(F69&lt;OFFSET($BN$9,DT69+1,0,1,1),((F69-OFFSET($BM$9,DT69+1,0,1,1))*OFFSET($CI$9,DT69+1,0,1,1))+OFFSET($BP$9,DT69+1,CQ69,1,1),IF(F69&lt;OFFSET($BN$9,DT69+2,0,1,1),((F69-OFFSET($BM$9,DT69+2,0,1,1))*OFFSET($CI$9,DT69+2,0,1,1))+OFFSET($BP$9,DT69+2,CQ69,1,1),IF(F69&lt;OFFSET($BN$9,DT69+3,0,1,1),((F69-OFFSET($BM$9,DT69+3,0,1,1))*OFFSET($CI$9,DT69+3,0,1,1))+OFFSET($BP$9,DT69+3,CQ69,1,1),0))))))</f>
        <v>0</v>
      </c>
      <c r="DX69" s="51">
        <f ca="1">IF($F69&lt;OFFSET($BM$9,$DT69-1,0,1,1),0,IF($F69&lt;OFFSET($BN$9,$DT69-1,0,1,1),IF(AND($H69&gt;2.4,Z69&lt;&gt;"e",Z69&lt;&gt;"f"),EB69*2.4/$H69,EB69),IF($F69&lt;OFFSET($BN$9,$DT69+0,0,1,1),IF(AND($H69&gt;2.4,Z69&lt;&gt;"e",Z69&lt;&gt;"f"),EB69*2.4/$H69,EB69),IF($F69&lt;OFFSET($BN$9,$DT69+1,0,1,1),IF(AND($H69&gt;2.4,Z69&lt;&gt;"e",Z69&lt;&gt;"f"),EB69*2.4/$H69,EB69),IF($F69&lt;OFFSET($BN$9,$DT69+2,0,1,1),IF(AND($H69&gt;2.4,Z69&lt;&gt;"e",Z69&lt;&gt;"f"),EB69*2.4/$H69,EB69),IF($F69&lt;OFFSET($BN$9,$DT69+3,0,1,1),IF(AND($H69&gt;2.4,Z69&lt;&gt;"e",Z69&lt;&gt;"f"),EB69*2.4/$H69,EB69),0)))))*COS(RADIANS($G69)))</f>
        <v>0</v>
      </c>
      <c r="DY69" s="188"/>
      <c r="DZ69" s="188">
        <f ca="1">IF(DU69&gt;$CR69,$CR69,DU69)</f>
        <v>0</v>
      </c>
      <c r="EA69" s="188"/>
      <c r="EB69" s="188">
        <f ca="1">IF(DW69&gt;$CR69,$CR69,DW69)</f>
        <v>0</v>
      </c>
      <c r="EC69" s="435">
        <f ca="1">IF(DV69&gt;$CR69,$CR69,DV69)</f>
        <v>0</v>
      </c>
      <c r="ED69" s="435">
        <f ca="1">EC69*F69</f>
        <v>0</v>
      </c>
      <c r="EE69" s="436">
        <f ca="1">IF(DX69&gt;$CR69,$CR69,DX69)</f>
        <v>0</v>
      </c>
      <c r="EF69" s="437">
        <f ca="1">EE69*F69</f>
        <v>0</v>
      </c>
      <c r="EG69" s="613" t="str">
        <f>IF(D69=BG$12,BG$12,"")</f>
        <v/>
      </c>
      <c r="EH69" s="614" t="str">
        <f>IF(D69=BG$13,BG$13,"")</f>
        <v/>
      </c>
      <c r="EI69" s="611">
        <f>IF(EG69=BG$12,M69,0)</f>
        <v>0</v>
      </c>
      <c r="EJ69" s="451">
        <f>IF(EG69=BG$12,O69,0)</f>
        <v>0</v>
      </c>
      <c r="EK69" s="451">
        <f>IF(EH69=BG$13,M69,0)</f>
        <v>0</v>
      </c>
      <c r="EL69" s="612">
        <f>IF(EH69=BG$13,O69,0)</f>
        <v>0</v>
      </c>
      <c r="EM69" s="426" t="str">
        <f ca="1">IF(AND(Z69&lt;&gt;"t",Z69&lt;&gt;"f"),"",IF(AND(EN69=$BH$13,K69=$BH$12),"NotOpt",IF(K69&lt;&gt;EN69,"Error","")))</f>
        <v/>
      </c>
      <c r="EN69" s="490" t="str">
        <f>IF($BG$28=1,$BH$13,$BH$12)</f>
        <v>120 BU's</v>
      </c>
      <c r="EO69" s="426" t="str">
        <f>K69</f>
        <v xml:space="preserve"> </v>
      </c>
      <c r="EP69" s="430">
        <v>1</v>
      </c>
      <c r="EQ69" s="430" t="str">
        <f ca="1">IF(EP69=1," ",OFFSET(BF$16,EP69-2,0,1,1))</f>
        <v xml:space="preserve"> </v>
      </c>
      <c r="ER69" s="439" t="str">
        <f ca="1">IF(H69=0," ",H69)</f>
        <v xml:space="preserve"> </v>
      </c>
      <c r="ES69" s="440" t="str">
        <f ca="1">IF(ER69&lt;&gt;" ",IF(ER69&lt;&gt;ER$7,"Changed",""),"")</f>
        <v/>
      </c>
      <c r="ET69" s="440">
        <f ca="1">IF(ER69&lt;&gt;" ",IF(ER69&lt;&gt;ER$7,1,0),0)</f>
        <v>0</v>
      </c>
      <c r="EU69" s="957" t="str">
        <f ca="1">IF(I69=" "," ",IF(F69&lt;OFFSET($BM$9,CL69-1,0,1,1),1,""))</f>
        <v xml:space="preserve"> </v>
      </c>
      <c r="EW69" s="427"/>
      <c r="EX69"/>
      <c r="EY69"/>
      <c r="EZ69"/>
      <c r="FA69"/>
    </row>
    <row r="70" spans="1:157" ht="17.100000000000001" hidden="1" customHeight="1">
      <c r="A70" s="2685"/>
      <c r="B70" s="689" t="s">
        <v>246</v>
      </c>
      <c r="C70" s="684" t="str">
        <f>IF(OR(F70=0,I70="",I70=" ")," ",$V70)</f>
        <v xml:space="preserve"> </v>
      </c>
      <c r="D70" s="1033"/>
      <c r="E70" s="1360" t="s">
        <v>8</v>
      </c>
      <c r="F70" s="202"/>
      <c r="G70" s="1416"/>
      <c r="H70" s="199" t="str">
        <f ca="1">IF(OR(F70=0,Z70="E",Z70="f")," ",'Project Demand'!E$45)</f>
        <v xml:space="preserve"> </v>
      </c>
      <c r="I70" s="631" t="str">
        <f>IF($I$6&lt;&gt;$BG$8," ",AB70)</f>
        <v xml:space="preserve"> </v>
      </c>
      <c r="J70" s="44" t="str">
        <f ca="1">IF(OR(I70=" ",I70="")," ",OFFSET($BO$9,CL70-1,0-4,1,1))</f>
        <v xml:space="preserve"> </v>
      </c>
      <c r="K70" s="55" t="str">
        <f>IF(OR(I70=" ",I70="")," ",IF(OR(Z70="e",Z70="h"),"SD",BG$24))</f>
        <v xml:space="preserve"> </v>
      </c>
      <c r="L70" s="49">
        <f ca="1">CW70</f>
        <v>0</v>
      </c>
      <c r="M70" s="49">
        <f ca="1">CY70</f>
        <v>0</v>
      </c>
      <c r="N70" s="50">
        <f t="shared" ca="1" si="31"/>
        <v>0</v>
      </c>
      <c r="O70" s="126">
        <f t="shared" ca="1" si="31"/>
        <v>0</v>
      </c>
      <c r="P70" s="140"/>
      <c r="Q70" s="752" t="str">
        <f ca="1">IF(OR(I70=" ",I70="")," ",IF(F70&lt;OFFSET($BM$9,CL70-1,0,1,1),"check L(m)",IF(DE70&lt;&gt;"",DE70,IF(AND(DP70&gt;=CY70,DR70&gt;=DB70),IF(AND(ED70&gt;=DP70,EF70&gt;=DR70),CONCATENATE(DS70," provides same results"),CONCATENATE(CO70," provides same results")),IF((DP70&gt;=CY70),CONCATENATE(CO70," provides same result in WIND"),IF((DR70&gt;=DB70),CONCATENATE(CO70," provides same result in EQ",""),""))))))</f>
        <v xml:space="preserve"> </v>
      </c>
      <c r="R70" s="52"/>
      <c r="S70" s="1372"/>
      <c r="T70" s="1372"/>
      <c r="U70" s="1377"/>
      <c r="V70" s="52" t="str">
        <f ca="1">IF(AND(B$5=$BF$9,OR(I70=BH$16,I70=BH$17))," ",IF(ISNUMBER(B$68),(CONCATENATE(B$68,".",W70)),(CONCATENATE(B$68,W70))))</f>
        <v>W0</v>
      </c>
      <c r="W70" s="9">
        <f ca="1">W69+X70</f>
        <v>0</v>
      </c>
      <c r="X70" s="9">
        <f>IF(AND(B$5=$BF$9,OR($I70=$BH$16,$I70=$BH$17,$I70=" ",$I70="",$F70=0)),0,IF(OR($I70=" ",$I70="",$F70=0),0,1))</f>
        <v>0</v>
      </c>
      <c r="Y70" s="896"/>
      <c r="Z70" s="52" t="str">
        <f ca="1">IF(I70=" "," ",OFFSET($BM$9,$CL70-1,8,1,1))</f>
        <v xml:space="preserve"> </v>
      </c>
      <c r="AA70" s="51" t="str">
        <f>IF(G70&gt;=45,"WA","")</f>
        <v/>
      </c>
      <c r="AB70" s="1364" t="str">
        <f>IF(F70&lt;&gt;"",IF(OR(D70=$BG$12,D70=$BG$13),IF(E70&lt;&gt;$BG$17,$BF$12,$BF$13),IF(E70&lt;&gt;$BG$17,$BF$12,$BF$13))," ")</f>
        <v xml:space="preserve"> </v>
      </c>
      <c r="AC70" s="1"/>
      <c r="BA70"/>
      <c r="BB70"/>
      <c r="BC70"/>
      <c r="BD70" s="641"/>
      <c r="BI70" s="759"/>
      <c r="BJ70" s="897">
        <f t="shared" si="25"/>
        <v>62</v>
      </c>
      <c r="BK70" s="764"/>
      <c r="BL70" s="766"/>
      <c r="BM70" s="455">
        <f>Table!P12</f>
        <v>0.8</v>
      </c>
      <c r="BN70" s="455">
        <f>BM71</f>
        <v>1</v>
      </c>
      <c r="BO70" s="455">
        <f>Table!Q12</f>
        <v>135</v>
      </c>
      <c r="BP70" s="925">
        <f>Table!R12</f>
        <v>125</v>
      </c>
      <c r="BR70" s="764"/>
      <c r="BS70" s="455"/>
      <c r="BT70" s="455"/>
      <c r="BU70" s="925" t="s">
        <v>242</v>
      </c>
      <c r="BV70" s="895"/>
      <c r="BW70" s="912"/>
      <c r="BX70" s="925" t="str">
        <f>Table!T11</f>
        <v>Double</v>
      </c>
      <c r="CH70" s="764">
        <f>IF(BN70=999,0,(BO71-BO70)/(BN70-BM70))</f>
        <v>25.000000000000007</v>
      </c>
      <c r="CI70" s="925">
        <f>IF(BN70=999,0,(BP71-BP70)/(BN70-BM70))</f>
        <v>25.000000000000007</v>
      </c>
      <c r="CJ70" s="759"/>
      <c r="CK70" s="188"/>
      <c r="CL70" s="979">
        <f>VLOOKUP(I70,Prodlink,2,0)</f>
        <v>0</v>
      </c>
      <c r="CN70" s="497">
        <f ca="1">VLOOKUP(CO70,Prodlink,2,0)</f>
        <v>0</v>
      </c>
      <c r="CO70" s="497">
        <f ca="1">OFFSET($CH$9,CL70-1,-15,1,1)</f>
        <v>0</v>
      </c>
      <c r="CQ70" s="51">
        <v>0</v>
      </c>
      <c r="CR70" s="51">
        <f>IF(K70=$BH$12,$BH$23,IF(K70=$BH$13,$BH$24,10000))</f>
        <v>10000</v>
      </c>
      <c r="CS70" s="51">
        <f ca="1">IF(F70&lt;OFFSET($BM$9,CL70-1,0,1,1),0,IF(F70&lt;OFFSET($BN$9,CL70-1,0,1,1),((F70-OFFSET($BM$9,CL70-1,0,1,1))*OFFSET($CH$9,CL70-1,0,1,1))+OFFSET($BO$9,CL70-1,CQ70,1,1),IF(F70&lt;OFFSET($BN$9,CL70+0,0,1,1),((F70-OFFSET($BM$9,CL70+0,0,1,1))*OFFSET($CH$9,CL70+0,0,1,1))+OFFSET($BO$9,CL70+0,CQ70,1,1),IF(F70&lt;OFFSET($BN$9,CL70+1,0,1,1),((F70-OFFSET($BM$9,CL70+1,0,1,1))*OFFSET($CH$9,CL70+1,0,1,1))+OFFSET($BO$9,CL70+1,CQ70,1,1),IF(F70&lt;OFFSET($BN$9,CL70+2,0,1,1),((F70-OFFSET($BM$9,CL70+2,0,1,1))*OFFSET($CH$9,CL70+2,0,1,1))+OFFSET($BO$9,CL70+2,CQ70,1,1),IF(F70&lt;OFFSET($BN$9,CL70+3,0,1,1),((F70-OFFSET($BM$9,CL70+3,0,1,1))*OFFSET($CH$9,CL70+3,0,1,1))+OFFSET($BO$9,CL70+3,CQ70,1,1),0))))))</f>
        <v>0</v>
      </c>
      <c r="CT70" s="51">
        <f ca="1">IF($F70&lt;OFFSET($BM$9,$CL70-1,0,1,1),0,IF($F70&lt;OFFSET($BN$9,$CL70-1,0,1,1),IF(AND($H70&gt;2.4,Z70&lt;&gt;"e",Z70&lt;&gt;"f"),CX70*2.4/$H70,CX70),IF($F70&lt;OFFSET($BN$9,$CL70+0,0,1,1),IF(AND($H70&gt;2.4,Z70&lt;&gt;"e",Z70&lt;&gt;"f"),CX70*2.4/$H70,CX70),IF($F70&lt;OFFSET($BN$9,$CL70+1,0,1,1),IF(AND($H70&gt;2.4,Z70&lt;&gt;"e",Z70&lt;&gt;"f"),CX70*2.4/$H70,CX70),IF($F70&lt;OFFSET($BN$9,CL70+2,0,1,1),IF(AND($H70&gt;2.4,Z70&lt;&gt;"e",Z70&lt;&gt;"f"),CX70*2.4/$H70,CX70),IF($F70&lt;OFFSET($BN$9,CL70+3,0,1,1),IF(AND($H70&gt;2.4,Z70&lt;&gt;"e",Z70&lt;&gt;"f"),CX70*2.4/$H70,CX70),0)))))*COS(RADIANS($G70)))</f>
        <v>0</v>
      </c>
      <c r="CU70" s="51">
        <f ca="1">IF(F70&lt;OFFSET($BM$9,CL70-1,0,1,1),0,IF(F70&lt;OFFSET($BN$9,CL70-1,0,1,1),((F70-OFFSET($BM$9,CL70-1,0,1,1))*OFFSET($CI$9,CL70-1,0,1,1))+OFFSET($BP$9,CL70-1,CQ70,1,1),IF(F70&lt;OFFSET($BN$9,CL70+0,0,1,1),((F70-OFFSET($BM$9,CL70+0,0,1,1))*OFFSET($CI$9,CL70+0,0,1,1))+OFFSET($BP$9,CL70+0,CQ70,1,1),IF(F70&lt;OFFSET($BN$9,CL70+1,0,1,1),((F70-OFFSET($BM$9,CL70+1,0,1,1))*OFFSET($CI$9,CL70+1,0,1,1))+OFFSET($BP$9,CL70+1,CQ70,1,1),IF(F70&lt;OFFSET($BN$9,CL70+2,0,1,1),((F70-OFFSET($BM$9,CL70+2,0,1,1))*OFFSET($CI$9,CL70+2,0,1,1))+OFFSET($BP$9,CL70+2,CQ70,1,1),IF(F70&lt;OFFSET($BN$9,CL70+3,0,1,1),((F70-OFFSET($BM$9,CL70+3,0,1,1))*OFFSET($CI$9,CL70+3,0,1,1))+OFFSET($BP$9,CL70+3,CQ70,1,1),0))))))</f>
        <v>0</v>
      </c>
      <c r="CV70" s="51">
        <f ca="1">IF($F70&lt;OFFSET($BM$9,$CL70-1,0,1,1),0,IF($F70&lt;OFFSET($BN$9,$CL70-1,0,1,1),IF(AND($H70&gt;2.4,Z70&lt;&gt;"e",Z70&lt;&gt;"f"),CZ70*2.4/$H70,CZ70),IF($F70&lt;OFFSET($BN$9,$CL70+0,0,1,1),IF(AND($H70&gt;2.4,Z70&lt;&gt;"e",Z70&lt;&gt;"f"),CZ70*2.4/$H70,CZ70),IF($F70&lt;OFFSET($BN$9,$CL70+1,0,1,1),IF(AND($H70&gt;2.4,Z70&lt;&gt;"e",Z70&lt;&gt;"f"),CZ70*2.4/$H70,CZ70),IF($F70&lt;OFFSET($BN$9,$CL70+2,0,1,1),IF(AND($H70&gt;2.4,Z70&lt;&gt;"e",Z70&lt;&gt;"f"),CZ70*2.4/$H70,CZ70),IF($F70&lt;OFFSET($BN$9,$CL70+3,0,1,1),IF(AND($H70&gt;2.4,Z70&lt;&gt;"e",Z70&lt;&gt;"f"),CZ70*2.4/$H70,CZ70),0)))))*COS(RADIANS($G70)))</f>
        <v>0</v>
      </c>
      <c r="CW70" s="51">
        <f ca="1">IF(CT70&gt;CR70,CR70,CT70)</f>
        <v>0</v>
      </c>
      <c r="CX70" s="51">
        <f ca="1">IF(CS70&gt;$CR70,$CR70,CS70)</f>
        <v>0</v>
      </c>
      <c r="CY70" s="51">
        <f ca="1">CW70*F70</f>
        <v>0</v>
      </c>
      <c r="CZ70" s="51">
        <f ca="1">IF($CU70&gt;$CR70,$CR70,$CU70)</f>
        <v>0</v>
      </c>
      <c r="DA70" s="51">
        <f ca="1">IF(CV70&gt;CR70,CR70,CV70)</f>
        <v>0</v>
      </c>
      <c r="DB70" s="51">
        <f ca="1">DA70*F70</f>
        <v>0</v>
      </c>
      <c r="DC70" s="993">
        <v>1</v>
      </c>
      <c r="DD70" s="758" t="str">
        <f>IF(OR(D70=BG$12,D70=BG$13),"External",IF(D70=BG$14,"Internal"," "))</f>
        <v xml:space="preserve"> </v>
      </c>
      <c r="DE70" s="51" t="str">
        <f t="shared" ca="1" si="1"/>
        <v/>
      </c>
      <c r="DF70" s="52" t="str">
        <f t="shared" ca="1" si="2"/>
        <v xml:space="preserve"> </v>
      </c>
      <c r="DG70" s="51">
        <f ca="1">IF(F70&lt;OFFSET($BM$9,CN70-1,0,1,1),0,IF(F70&lt;OFFSET($BN$9,CN70-1,0,1,1),((F70-OFFSET($BM$9,CN70-1,0,1,1))*OFFSET($CH$9,CN70-1,0,1,1))+OFFSET($BO$9,CN70-1,CQ70,1,1),IF(F70&lt;OFFSET($BN$9,CN70+0,0,1,1),((F70-OFFSET($BM$9,CN70+0,0,1,1))*OFFSET($CH$9,CN70+0,0,1,1))+OFFSET($BO$9,CN70+0,CQ70,1,1),IF(F70&lt;OFFSET($BN$9,CN70+1,0,1,1),((F70-OFFSET($BM$9,CN70+1,0,1,1))*OFFSET($CH$9,CN70+1,0,1,1))+OFFSET($BO$9,CN70+1,CQ70,1,1),IF(F70&lt;OFFSET($BN$9,CN70+2,0,1,1),((F70-OFFSET($BM$9,CN70+2,0,1,1))*OFFSET($CH$9,CN70+2,0,1,1))+OFFSET($BO$9,CN70+2,CQ70,1,1),IF(F70&lt;OFFSET($BN$9,CN70+3,0,1,1),((F70-OFFSET($BM$9,CN70+3,0,1,1))*OFFSET($CH$9,CN70+3,0,1,1))+OFFSET($BO$9,CN70+3,CQ70,1,1),0))))))</f>
        <v>0</v>
      </c>
      <c r="DH70" s="51">
        <f ca="1">IF($F70&lt;OFFSET($BM$9,$CN70-1,0,1,1),0,IF($F70&lt;OFFSET($BN$9,$CN70-1,0,1,1),IF(AND($H70&gt;2.4,Z70&lt;&gt;"e",Z70&lt;&gt;"f"),DL70*2.4/$H70,DL70),IF($F70&lt;OFFSET($BN$9,$CN70+0,0,1,1),IF(AND($H70&gt;2.4,Z70&lt;&gt;"e",Z70&lt;&gt;"f"),DL70*2.4/$H70,DL70),IF($F70&lt;OFFSET($BN$9,$CN70+1,0,1,1),IF(AND($H70&gt;2.4,Z70&lt;&gt;"e",Z70&lt;&gt;"f"),DL70*2.4/$H70,DL70),IF($F70&lt;OFFSET($BN$9,$CN70+2,0,1,1),IF(AND($H70&gt;2.4,Z70&lt;&gt;"e",Z70&lt;&gt;"f"),DL70*2.4/$H70,DL70),IF($F70&lt;OFFSET($BN$9,$CN70+3,0,1,1),IF(AND($H70&gt;2.4,Z70&lt;&gt;"e",Z70&lt;&gt;"f"),DL70*2.4/$H70,DL70),0)))))*COS(RADIANS($G70)))</f>
        <v>0</v>
      </c>
      <c r="DI70" s="51">
        <f ca="1">IF(F70&lt;OFFSET($BM$9,CN70-1,0,1,1),0,IF(F70&lt;OFFSET($BN$9,CN70-1,0,1,1),((F70-OFFSET($BM$9,CN70-1,0,1,1))*OFFSET($CI$9,CN70-1,0,1,1))+OFFSET($BP$9,CN70-1,CQ70,1,1),IF(F70&lt;OFFSET($BN$9,CN70+0,0,1,1),((F70-OFFSET($BM$9,CN70+0,0,1,1))*OFFSET($CI$9,CN70+0,0,1,1))+OFFSET($BP$9,CN70+0,CQ70,1,1),IF(F70&lt;OFFSET($BN$9,CN70+1,0,1,1),((F70-OFFSET($BM$9,CN70+1,0,1,1))*OFFSET($CI$9,CN70+1,0,1,1))+OFFSET($BP$9,CN70+1,CQ70,1,1),IF(F70&lt;OFFSET($BN$9,CN70+2,0,1,1),((F70-OFFSET($BM$9,CN70+2,0,1,1))*OFFSET($CI$9,CN70+2,0,1,1))+OFFSET($BP$9,CN70+2,CQ70,1,1),IF(F70&lt;OFFSET($BN$9,CN70+3,0,1,1),((F70-OFFSET($BM$9,CN70+3,0,1,1))*OFFSET($CI$9,CN70+3,0,1,1))+OFFSET($BP$9,CN70+3,CQ70,1,1),0))))))</f>
        <v>0</v>
      </c>
      <c r="DJ70" s="51">
        <f ca="1">IF($F70&lt;OFFSET($BM$9,$CN70-1,0,1,1),0,IF($F70&lt;OFFSET($BN$9,$CN70-1,0,1,1),IF(AND($H70&gt;2.4,Z70&lt;&gt;"e",Z70&lt;&gt;"f"),DN70*2.4/$H70,DN70),IF($F70&lt;OFFSET($BN$9,$CN70+0,0,1,1),IF(AND($H70&gt;2.4,Z70&lt;&gt;"e",Z70&lt;&gt;"f"),DN70*2.4/$H70,DN70),IF($F70&lt;OFFSET($BN$9,$CN70+1,0,1,1),IF(AND($H70&gt;2.4,Z70&lt;&gt;"e",Z70&lt;&gt;"f"),DN70*2.4/$H70,DN70),IF($F70&lt;OFFSET($BN$9,$CN70+2,0,1,1),IF(AND($H70&gt;2.4,Z70&lt;&gt;"e",Z70&lt;&gt;"f"),DN70*2.4/$H70,DN70),IF($F70&lt;OFFSET($BN$9,$CN70+3,0,1,1),IF(AND($H70&gt;2.4,Z70&lt;&gt;"e",Z70&lt;&gt;"f"),DN70*2.4/$H70,DN70),0)))))*COS(RADIANS($G70)))</f>
        <v>0</v>
      </c>
      <c r="DK70" s="51"/>
      <c r="DL70" s="51">
        <f ca="1">IF(DG70&gt;$CR70,$CR70,DG70)</f>
        <v>0</v>
      </c>
      <c r="DM70" s="51"/>
      <c r="DN70" s="51">
        <f ca="1">IF(DI70&gt;$CR70,$CR70,DI70)</f>
        <v>0</v>
      </c>
      <c r="DO70" s="435">
        <f ca="1">IF(DH70&gt;$CR70,$CR70,DH70)</f>
        <v>0</v>
      </c>
      <c r="DP70" s="435">
        <f ca="1">DO70*F70</f>
        <v>0</v>
      </c>
      <c r="DQ70" s="436">
        <f ca="1">IF(DJ70&gt;$CR70,$CR70,DJ70)</f>
        <v>0</v>
      </c>
      <c r="DR70" s="437">
        <f ca="1">DQ70*F70</f>
        <v>0</v>
      </c>
      <c r="DS70" s="426">
        <f ca="1">OFFSET($CH$9,CL70-1,-15,1,1)</f>
        <v>0</v>
      </c>
      <c r="DT70" s="426">
        <f ca="1">VLOOKUP(DS70,Prodlink,2,0)</f>
        <v>0</v>
      </c>
      <c r="DU70" s="188">
        <f ca="1">IF(F70&lt;OFFSET($BM$9,DT70-1,0,1,1),0,IF(F70&lt;OFFSET($BN$9,DT70-1,0,1,1),((F70-OFFSET($BM$9,DT70-1,0,1,1))*OFFSET($CH$9,DT70-1,0,1,1))+OFFSET($BO$9,DT70-1,CQ70,1,1),IF(F70&lt;OFFSET($BN$9,DT70+0,0,1,1),((F70-OFFSET($BM$9,DT70+0,0,1,1))*OFFSET($CH$9,DT70+0,0,1,1))+OFFSET($BO$9,DT70+0,CQ70,1,1),IF(F70&lt;OFFSET($BN$9,DT70+1,0,1,1),((F70-OFFSET($BM$9,DT70+1,0,1,1))*OFFSET($CH$9,DT70+1,0,1,1))+OFFSET($BO$9,DT70+1,CQ70,1,1),IF(F70&lt;OFFSET($BN$9,DT70+2,0,1,1),((F70-OFFSET($BM$9,DT70+2,0,1,1))*OFFSET($CH$9,DT70+2,0,1,1))+OFFSET($BO$9,DT70+2,CQ70,1,1),IF(F70&lt;OFFSET($BN$9,DT70+3,0,1,1),((F70-OFFSET($BM$9,DT70+3,0,1,1))*OFFSET($CH$9,DT70+3,0,1,1))+OFFSET($BO$9,DT70+3,CQ70,1,1),0))))))</f>
        <v>0</v>
      </c>
      <c r="DV70" s="51">
        <f ca="1">IF($F70&lt;OFFSET($BM$9,$DT70-1,0,1,1),0,IF($F70&lt;OFFSET($BN$9,$DT70-1,0,1,1),IF(AND($H70&gt;2.4,Z70&lt;&gt;"e",Z70&lt;&gt;"f"),DZ70*2.4/$H70,DZ70),IF($F70&lt;OFFSET($BN$9,$DT70+0,0,1,1),IF(AND($H70&gt;2.4,Z70&lt;&gt;"e",Z70&lt;&gt;"f"),DZ70*2.4/$H70,DZ70),IF($F70&lt;OFFSET($BN$9,$DT70+1,0,1,1),IF(AND($H70&gt;2.4,Z70&lt;&gt;"e",Z70&lt;&gt;"f"),DZ70*2.4/$H70,DZ70),IF($F70&lt;OFFSET($BN$9,$DT70+2,0,1,1),IF(AND($H70&gt;2.4,Z70&lt;&gt;"e",Z70&lt;&gt;"f"),DZ70*2.4/$H70,DZ70),IF($F70&lt;OFFSET($BN$9,$DT70+3,0,1,1),IF(AND($H70&gt;2.4,Z70&lt;&gt;"e",Z70&lt;&gt;"f"),DZ70*2.4/$H70,DZ70),0)))))*COS(RADIANS($G70)))</f>
        <v>0</v>
      </c>
      <c r="DW70" s="188">
        <f ca="1">IF(F70&lt;OFFSET($BM$9,DT70-1,0,1,1),0,IF(F70&lt;OFFSET($BN$9,DT70-1,0,1,1),((F70-OFFSET($BM$9,DT70-1,0,1,1))*OFFSET($CI$9,DT70-1,0,1,1))+OFFSET($BP$9,DT70-1,CQ70,1,1),IF(F70&lt;OFFSET($BN$9,DT70+0,0,1,1),((F70-OFFSET($BM$9,DT70+0,0,1,1))*OFFSET($CI$9,DT70+0,0,1,1))+OFFSET($BP$9,DT70+0,CQ70,1,1),IF(F70&lt;OFFSET($BN$9,DT70+1,0,1,1),((F70-OFFSET($BM$9,DT70+1,0,1,1))*OFFSET($CI$9,DT70+1,0,1,1))+OFFSET($BP$9,DT70+1,CQ70,1,1),IF(F70&lt;OFFSET($BN$9,DT70+2,0,1,1),((F70-OFFSET($BM$9,DT70+2,0,1,1))*OFFSET($CI$9,DT70+2,0,1,1))+OFFSET($BP$9,DT70+2,CQ70,1,1),IF(F70&lt;OFFSET($BN$9,DT70+3,0,1,1),((F70-OFFSET($BM$9,DT70+3,0,1,1))*OFFSET($CI$9,DT70+3,0,1,1))+OFFSET($BP$9,DT70+3,CQ70,1,1),0))))))</f>
        <v>0</v>
      </c>
      <c r="DX70" s="51">
        <f ca="1">IF($F70&lt;OFFSET($BM$9,$DT70-1,0,1,1),0,IF($F70&lt;OFFSET($BN$9,$DT70-1,0,1,1),IF(AND($H70&gt;2.4,Z70&lt;&gt;"e",Z70&lt;&gt;"f"),EB70*2.4/$H70,EB70),IF($F70&lt;OFFSET($BN$9,$DT70+0,0,1,1),IF(AND($H70&gt;2.4,Z70&lt;&gt;"e",Z70&lt;&gt;"f"),EB70*2.4/$H70,EB70),IF($F70&lt;OFFSET($BN$9,$DT70+1,0,1,1),IF(AND($H70&gt;2.4,Z70&lt;&gt;"e",Z70&lt;&gt;"f"),EB70*2.4/$H70,EB70),IF($F70&lt;OFFSET($BN$9,$DT70+2,0,1,1),IF(AND($H70&gt;2.4,Z70&lt;&gt;"e",Z70&lt;&gt;"f"),EB70*2.4/$H70,EB70),IF($F70&lt;OFFSET($BN$9,$DT70+3,0,1,1),IF(AND($H70&gt;2.4,Z70&lt;&gt;"e",Z70&lt;&gt;"f"),EB70*2.4/$H70,EB70),0)))))*COS(RADIANS($G70)))</f>
        <v>0</v>
      </c>
      <c r="DY70" s="188"/>
      <c r="DZ70" s="188">
        <f ca="1">IF(DU70&gt;$CR70,$CR70,DU70)</f>
        <v>0</v>
      </c>
      <c r="EA70" s="188"/>
      <c r="EB70" s="188">
        <f ca="1">IF(DW70&gt;$CR70,$CR70,DW70)</f>
        <v>0</v>
      </c>
      <c r="EC70" s="435">
        <f ca="1">IF(DV70&gt;$CR70,$CR70,DV70)</f>
        <v>0</v>
      </c>
      <c r="ED70" s="435">
        <f ca="1">EC70*F70</f>
        <v>0</v>
      </c>
      <c r="EE70" s="436">
        <f ca="1">IF(DX70&gt;$CR70,$CR70,DX70)</f>
        <v>0</v>
      </c>
      <c r="EF70" s="437">
        <f ca="1">EE70*F70</f>
        <v>0</v>
      </c>
      <c r="EG70" s="613" t="str">
        <f>IF(D70=BG$12,BG$12,"")</f>
        <v/>
      </c>
      <c r="EH70" s="614" t="str">
        <f>IF(D70=BG$13,BG$13,"")</f>
        <v/>
      </c>
      <c r="EI70" s="611">
        <f>IF(EG70=BG$12,M70,0)</f>
        <v>0</v>
      </c>
      <c r="EJ70" s="451">
        <f>IF(EG70=BG$12,O70,0)</f>
        <v>0</v>
      </c>
      <c r="EK70" s="451">
        <f>IF(EH70=BG$13,M70,0)</f>
        <v>0</v>
      </c>
      <c r="EL70" s="612">
        <f>IF(EH70=BG$13,O70,0)</f>
        <v>0</v>
      </c>
      <c r="EM70" s="426" t="str">
        <f ca="1">IF(AND(Z70&lt;&gt;"t",Z70&lt;&gt;"f"),"",IF(AND(EN70=$BH$13,K70=$BH$12),"NotOpt",IF(K70&lt;&gt;EN70,"Error","")))</f>
        <v/>
      </c>
      <c r="EN70" s="490" t="str">
        <f>IF($BG$28=1,$BH$13,$BH$12)</f>
        <v>120 BU's</v>
      </c>
      <c r="EO70" s="426" t="str">
        <f>K70</f>
        <v xml:space="preserve"> </v>
      </c>
      <c r="EP70" s="430">
        <v>1</v>
      </c>
      <c r="EQ70" s="430" t="str">
        <f ca="1">IF(EP70=1," ",OFFSET(BF$16,EP70-2,0,1,1))</f>
        <v xml:space="preserve"> </v>
      </c>
      <c r="ER70" s="439" t="str">
        <f ca="1">IF(H70=0," ",H70)</f>
        <v xml:space="preserve"> </v>
      </c>
      <c r="ES70" s="440" t="str">
        <f ca="1">IF(ER70&lt;&gt;" ",IF(ER70&lt;&gt;ER$7,"Changed",""),"")</f>
        <v/>
      </c>
      <c r="ET70" s="440">
        <f ca="1">IF(ER70&lt;&gt;" ",IF(ER70&lt;&gt;ER$7,1,0),0)</f>
        <v>0</v>
      </c>
      <c r="EU70" s="957" t="str">
        <f ca="1">IF(I70=" "," ",IF(F70&lt;OFFSET($BM$9,CL70-1,0,1,1),1,""))</f>
        <v xml:space="preserve"> </v>
      </c>
      <c r="EW70" s="427"/>
      <c r="EX70"/>
      <c r="EY70"/>
      <c r="EZ70"/>
      <c r="FA70"/>
    </row>
    <row r="71" spans="1:157" ht="17.100000000000001" hidden="1" customHeight="1">
      <c r="A71" s="2685"/>
      <c r="B71" s="689" t="s">
        <v>246</v>
      </c>
      <c r="C71" s="684" t="str">
        <f>IF(OR(F71=0,I71="",I71=" ")," ",$V71)</f>
        <v xml:space="preserve"> </v>
      </c>
      <c r="D71" s="1033"/>
      <c r="E71" s="1360" t="s">
        <v>8</v>
      </c>
      <c r="F71" s="202"/>
      <c r="G71" s="1416"/>
      <c r="H71" s="199" t="str">
        <f ca="1">IF(OR(F71=0,Z71="E",Z71="f")," ",'Project Demand'!E$45)</f>
        <v xml:space="preserve"> </v>
      </c>
      <c r="I71" s="631" t="str">
        <f>IF($I$6&lt;&gt;$BG$8," ",AB71)</f>
        <v xml:space="preserve"> </v>
      </c>
      <c r="J71" s="44" t="str">
        <f ca="1">IF(OR(I71=" ",I71="")," ",OFFSET($BO$9,CL71-1,0-4,1,1))</f>
        <v xml:space="preserve"> </v>
      </c>
      <c r="K71" s="55" t="str">
        <f>IF(OR(I71=" ",I71="")," ",IF(OR(Z71="e",Z71="h"),"SD",BG$24))</f>
        <v xml:space="preserve"> </v>
      </c>
      <c r="L71" s="49">
        <f ca="1">CW71</f>
        <v>0</v>
      </c>
      <c r="M71" s="49">
        <f ca="1">CY71</f>
        <v>0</v>
      </c>
      <c r="N71" s="50">
        <f t="shared" ca="1" si="31"/>
        <v>0</v>
      </c>
      <c r="O71" s="126">
        <f t="shared" ca="1" si="31"/>
        <v>0</v>
      </c>
      <c r="P71" s="140"/>
      <c r="Q71" s="752" t="str">
        <f ca="1">IF(OR(I71=" ",I71="")," ",IF(F71&lt;OFFSET($BM$9,CL71-1,0,1,1),"check L(m)",IF(DE71&lt;&gt;"",DE71,IF(AND(DP71&gt;=CY71,DR71&gt;=DB71),IF(AND(ED71&gt;=DP71,EF71&gt;=DR71),CONCATENATE(DS71," provides same results"),CONCATENATE(CO71," provides same results")),IF((DP71&gt;=CY71),CONCATENATE(CO71," provides same result in WIND"),IF((DR71&gt;=DB71),CONCATENATE(CO71," provides same result in EQ",""),""))))))</f>
        <v xml:space="preserve"> </v>
      </c>
      <c r="R71" s="52"/>
      <c r="S71" s="1372"/>
      <c r="T71" s="1372"/>
      <c r="U71" s="1377"/>
      <c r="V71" s="52" t="str">
        <f ca="1">IF(AND(B$5=$BF$9,OR(I71=BH$16,I71=BH$17))," ",IF(ISNUMBER(B$68),(CONCATENATE(B$68,".",W71)),(CONCATENATE(B$68,W71))))</f>
        <v>W0</v>
      </c>
      <c r="W71" s="9">
        <f ca="1">W70+X71</f>
        <v>0</v>
      </c>
      <c r="X71" s="9">
        <f>IF(AND(B$5=$BF$9,OR($I71=$BH$16,$I71=$BH$17,$I71=" ",$I71="",$F71=0)),0,IF(OR($I71=" ",$I71="",$F71=0),0,1))</f>
        <v>0</v>
      </c>
      <c r="Y71" s="896"/>
      <c r="Z71" s="52" t="str">
        <f ca="1">IF(I71=" "," ",OFFSET($BM$9,$CL71-1,8,1,1))</f>
        <v xml:space="preserve"> </v>
      </c>
      <c r="AA71" s="51" t="str">
        <f>IF(G71&gt;=45,"WA","")</f>
        <v/>
      </c>
      <c r="AB71" s="1364" t="str">
        <f>IF(F71&lt;&gt;"",IF(OR(D71=$BG$12,D71=$BG$13),IF(E71&lt;&gt;$BG$17,$BF$12,$BF$13),IF(E71&lt;&gt;$BG$17,$BF$12,$BF$13))," ")</f>
        <v xml:space="preserve"> </v>
      </c>
      <c r="AC71" s="1"/>
      <c r="BA71"/>
      <c r="BB71"/>
      <c r="BC71"/>
      <c r="BD71" s="652"/>
      <c r="BI71" s="759"/>
      <c r="BJ71" s="897">
        <f t="shared" si="25"/>
        <v>63</v>
      </c>
      <c r="BK71" s="764"/>
      <c r="BL71" s="766"/>
      <c r="BM71" s="455">
        <f>Table!P13</f>
        <v>1</v>
      </c>
      <c r="BN71" s="455">
        <f>BM72</f>
        <v>1.2</v>
      </c>
      <c r="BO71" s="455">
        <f>Table!Q13</f>
        <v>140</v>
      </c>
      <c r="BP71" s="925">
        <f>Table!R13</f>
        <v>130</v>
      </c>
      <c r="BR71" s="764"/>
      <c r="BS71" s="455"/>
      <c r="BT71" s="455"/>
      <c r="BU71" s="925" t="s">
        <v>242</v>
      </c>
      <c r="BV71" s="895"/>
      <c r="BW71" s="912"/>
      <c r="BX71" s="925" t="str">
        <f>Table!T11</f>
        <v>Double</v>
      </c>
      <c r="CH71" s="764">
        <f>IF(BN71=999,0,(BO72-BO71)/(BN71-BM71))</f>
        <v>50.000000000000014</v>
      </c>
      <c r="CI71" s="925">
        <f>IF(BN71=999,0,(BP72-BP71)/(BN71-BM71))</f>
        <v>25.000000000000007</v>
      </c>
      <c r="CJ71" s="759"/>
      <c r="CK71" s="188"/>
      <c r="CL71" s="979">
        <f>VLOOKUP(I71,Prodlink,2,0)</f>
        <v>0</v>
      </c>
      <c r="CN71" s="497">
        <f ca="1">VLOOKUP(CO71,Prodlink,2,0)</f>
        <v>0</v>
      </c>
      <c r="CO71" s="497">
        <f ca="1">OFFSET($CH$9,CL71-1,-15,1,1)</f>
        <v>0</v>
      </c>
      <c r="CQ71" s="51">
        <v>0</v>
      </c>
      <c r="CR71" s="51">
        <f>IF(K71=$BH$12,$BH$23,IF(K71=$BH$13,$BH$24,10000))</f>
        <v>10000</v>
      </c>
      <c r="CS71" s="51">
        <f ca="1">IF(F71&lt;OFFSET($BM$9,CL71-1,0,1,1),0,IF(F71&lt;OFFSET($BN$9,CL71-1,0,1,1),((F71-OFFSET($BM$9,CL71-1,0,1,1))*OFFSET($CH$9,CL71-1,0,1,1))+OFFSET($BO$9,CL71-1,CQ71,1,1),IF(F71&lt;OFFSET($BN$9,CL71+0,0,1,1),((F71-OFFSET($BM$9,CL71+0,0,1,1))*OFFSET($CH$9,CL71+0,0,1,1))+OFFSET($BO$9,CL71+0,CQ71,1,1),IF(F71&lt;OFFSET($BN$9,CL71+1,0,1,1),((F71-OFFSET($BM$9,CL71+1,0,1,1))*OFFSET($CH$9,CL71+1,0,1,1))+OFFSET($BO$9,CL71+1,CQ71,1,1),IF(F71&lt;OFFSET($BN$9,CL71+2,0,1,1),((F71-OFFSET($BM$9,CL71+2,0,1,1))*OFFSET($CH$9,CL71+2,0,1,1))+OFFSET($BO$9,CL71+2,CQ71,1,1),IF(F71&lt;OFFSET($BN$9,CL71+3,0,1,1),((F71-OFFSET($BM$9,CL71+3,0,1,1))*OFFSET($CH$9,CL71+3,0,1,1))+OFFSET($BO$9,CL71+3,CQ71,1,1),0))))))</f>
        <v>0</v>
      </c>
      <c r="CT71" s="51">
        <f ca="1">IF($F71&lt;OFFSET($BM$9,$CL71-1,0,1,1),0,IF($F71&lt;OFFSET($BN$9,$CL71-1,0,1,1),IF(AND($H71&gt;2.4,Z71&lt;&gt;"e",Z71&lt;&gt;"f"),CX71*2.4/$H71,CX71),IF($F71&lt;OFFSET($BN$9,$CL71+0,0,1,1),IF(AND($H71&gt;2.4,Z71&lt;&gt;"e",Z71&lt;&gt;"f"),CX71*2.4/$H71,CX71),IF($F71&lt;OFFSET($BN$9,$CL71+1,0,1,1),IF(AND($H71&gt;2.4,Z71&lt;&gt;"e",Z71&lt;&gt;"f"),CX71*2.4/$H71,CX71),IF($F71&lt;OFFSET($BN$9,CL71+2,0,1,1),IF(AND($H71&gt;2.4,Z71&lt;&gt;"e",Z71&lt;&gt;"f"),CX71*2.4/$H71,CX71),IF($F71&lt;OFFSET($BN$9,CL71+3,0,1,1),IF(AND($H71&gt;2.4,Z71&lt;&gt;"e",Z71&lt;&gt;"f"),CX71*2.4/$H71,CX71),0)))))*COS(RADIANS($G71)))</f>
        <v>0</v>
      </c>
      <c r="CU71" s="51">
        <f ca="1">IF(F71&lt;OFFSET($BM$9,CL71-1,0,1,1),0,IF(F71&lt;OFFSET($BN$9,CL71-1,0,1,1),((F71-OFFSET($BM$9,CL71-1,0,1,1))*OFFSET($CI$9,CL71-1,0,1,1))+OFFSET($BP$9,CL71-1,CQ71,1,1),IF(F71&lt;OFFSET($BN$9,CL71+0,0,1,1),((F71-OFFSET($BM$9,CL71+0,0,1,1))*OFFSET($CI$9,CL71+0,0,1,1))+OFFSET($BP$9,CL71+0,CQ71,1,1),IF(F71&lt;OFFSET($BN$9,CL71+1,0,1,1),((F71-OFFSET($BM$9,CL71+1,0,1,1))*OFFSET($CI$9,CL71+1,0,1,1))+OFFSET($BP$9,CL71+1,CQ71,1,1),IF(F71&lt;OFFSET($BN$9,CL71+2,0,1,1),((F71-OFFSET($BM$9,CL71+2,0,1,1))*OFFSET($CI$9,CL71+2,0,1,1))+OFFSET($BP$9,CL71+2,CQ71,1,1),IF(F71&lt;OFFSET($BN$9,CL71+3,0,1,1),((F71-OFFSET($BM$9,CL71+3,0,1,1))*OFFSET($CI$9,CL71+3,0,1,1))+OFFSET($BP$9,CL71+3,CQ71,1,1),0))))))</f>
        <v>0</v>
      </c>
      <c r="CV71" s="51">
        <f ca="1">IF($F71&lt;OFFSET($BM$9,$CL71-1,0,1,1),0,IF($F71&lt;OFFSET($BN$9,$CL71-1,0,1,1),IF(AND($H71&gt;2.4,Z71&lt;&gt;"e",Z71&lt;&gt;"f"),CZ71*2.4/$H71,CZ71),IF($F71&lt;OFFSET($BN$9,$CL71+0,0,1,1),IF(AND($H71&gt;2.4,Z71&lt;&gt;"e",Z71&lt;&gt;"f"),CZ71*2.4/$H71,CZ71),IF($F71&lt;OFFSET($BN$9,$CL71+1,0,1,1),IF(AND($H71&gt;2.4,Z71&lt;&gt;"e",Z71&lt;&gt;"f"),CZ71*2.4/$H71,CZ71),IF($F71&lt;OFFSET($BN$9,$CL71+2,0,1,1),IF(AND($H71&gt;2.4,Z71&lt;&gt;"e",Z71&lt;&gt;"f"),CZ71*2.4/$H71,CZ71),IF($F71&lt;OFFSET($BN$9,$CL71+3,0,1,1),IF(AND($H71&gt;2.4,Z71&lt;&gt;"e",Z71&lt;&gt;"f"),CZ71*2.4/$H71,CZ71),0)))))*COS(RADIANS($G71)))</f>
        <v>0</v>
      </c>
      <c r="CW71" s="51">
        <f ca="1">IF(CT71&gt;CR71,CR71,CT71)</f>
        <v>0</v>
      </c>
      <c r="CX71" s="51">
        <f ca="1">IF(CS71&gt;$CR71,$CR71,CS71)</f>
        <v>0</v>
      </c>
      <c r="CY71" s="51">
        <f ca="1">CW71*F71</f>
        <v>0</v>
      </c>
      <c r="CZ71" s="51">
        <f ca="1">IF($CU71&gt;$CR71,$CR71,$CU71)</f>
        <v>0</v>
      </c>
      <c r="DA71" s="51">
        <f ca="1">IF(CV71&gt;CR71,CR71,CV71)</f>
        <v>0</v>
      </c>
      <c r="DB71" s="51">
        <f ca="1">DA71*F71</f>
        <v>0</v>
      </c>
      <c r="DC71" s="993">
        <v>1</v>
      </c>
      <c r="DD71" s="758" t="str">
        <f>IF(OR(D71=BG$12,D71=BG$13),"External",IF(D71=BG$14,"Internal"," "))</f>
        <v xml:space="preserve"> </v>
      </c>
      <c r="DE71" s="51" t="str">
        <f t="shared" ca="1" si="1"/>
        <v/>
      </c>
      <c r="DF71" s="52" t="str">
        <f t="shared" ca="1" si="2"/>
        <v xml:space="preserve"> </v>
      </c>
      <c r="DG71" s="51">
        <f ca="1">IF(F71&lt;OFFSET($BM$9,CN71-1,0,1,1),0,IF(F71&lt;OFFSET($BN$9,CN71-1,0,1,1),((F71-OFFSET($BM$9,CN71-1,0,1,1))*OFFSET($CH$9,CN71-1,0,1,1))+OFFSET($BO$9,CN71-1,CQ71,1,1),IF(F71&lt;OFFSET($BN$9,CN71+0,0,1,1),((F71-OFFSET($BM$9,CN71+0,0,1,1))*OFFSET($CH$9,CN71+0,0,1,1))+OFFSET($BO$9,CN71+0,CQ71,1,1),IF(F71&lt;OFFSET($BN$9,CN71+1,0,1,1),((F71-OFFSET($BM$9,CN71+1,0,1,1))*OFFSET($CH$9,CN71+1,0,1,1))+OFFSET($BO$9,CN71+1,CQ71,1,1),IF(F71&lt;OFFSET($BN$9,CN71+2,0,1,1),((F71-OFFSET($BM$9,CN71+2,0,1,1))*OFFSET($CH$9,CN71+2,0,1,1))+OFFSET($BO$9,CN71+2,CQ71,1,1),IF(F71&lt;OFFSET($BN$9,CN71+3,0,1,1),((F71-OFFSET($BM$9,CN71+3,0,1,1))*OFFSET($CH$9,CN71+3,0,1,1))+OFFSET($BO$9,CN71+3,CQ71,1,1),0))))))</f>
        <v>0</v>
      </c>
      <c r="DH71" s="51">
        <f ca="1">IF($F71&lt;OFFSET($BM$9,$CN71-1,0,1,1),0,IF($F71&lt;OFFSET($BN$9,$CN71-1,0,1,1),IF(AND($H71&gt;2.4,Z71&lt;&gt;"e",Z71&lt;&gt;"f"),DL71*2.4/$H71,DL71),IF($F71&lt;OFFSET($BN$9,$CN71+0,0,1,1),IF(AND($H71&gt;2.4,Z71&lt;&gt;"e",Z71&lt;&gt;"f"),DL71*2.4/$H71,DL71),IF($F71&lt;OFFSET($BN$9,$CN71+1,0,1,1),IF(AND($H71&gt;2.4,Z71&lt;&gt;"e",Z71&lt;&gt;"f"),DL71*2.4/$H71,DL71),IF($F71&lt;OFFSET($BN$9,$CN71+2,0,1,1),IF(AND($H71&gt;2.4,Z71&lt;&gt;"e",Z71&lt;&gt;"f"),DL71*2.4/$H71,DL71),IF($F71&lt;OFFSET($BN$9,$CN71+3,0,1,1),IF(AND($H71&gt;2.4,Z71&lt;&gt;"e",Z71&lt;&gt;"f"),DL71*2.4/$H71,DL71),0)))))*COS(RADIANS($G71)))</f>
        <v>0</v>
      </c>
      <c r="DI71" s="51">
        <f ca="1">IF(F71&lt;OFFSET($BM$9,CN71-1,0,1,1),0,IF(F71&lt;OFFSET($BN$9,CN71-1,0,1,1),((F71-OFFSET($BM$9,CN71-1,0,1,1))*OFFSET($CI$9,CN71-1,0,1,1))+OFFSET($BP$9,CN71-1,CQ71,1,1),IF(F71&lt;OFFSET($BN$9,CN71+0,0,1,1),((F71-OFFSET($BM$9,CN71+0,0,1,1))*OFFSET($CI$9,CN71+0,0,1,1))+OFFSET($BP$9,CN71+0,CQ71,1,1),IF(F71&lt;OFFSET($BN$9,CN71+1,0,1,1),((F71-OFFSET($BM$9,CN71+1,0,1,1))*OFFSET($CI$9,CN71+1,0,1,1))+OFFSET($BP$9,CN71+1,CQ71,1,1),IF(F71&lt;OFFSET($BN$9,CN71+2,0,1,1),((F71-OFFSET($BM$9,CN71+2,0,1,1))*OFFSET($CI$9,CN71+2,0,1,1))+OFFSET($BP$9,CN71+2,CQ71,1,1),IF(F71&lt;OFFSET($BN$9,CN71+3,0,1,1),((F71-OFFSET($BM$9,CN71+3,0,1,1))*OFFSET($CI$9,CN71+3,0,1,1))+OFFSET($BP$9,CN71+3,CQ71,1,1),0))))))</f>
        <v>0</v>
      </c>
      <c r="DJ71" s="51">
        <f ca="1">IF($F71&lt;OFFSET($BM$9,$CN71-1,0,1,1),0,IF($F71&lt;OFFSET($BN$9,$CN71-1,0,1,1),IF(AND($H71&gt;2.4,Z71&lt;&gt;"e",Z71&lt;&gt;"f"),DN71*2.4/$H71,DN71),IF($F71&lt;OFFSET($BN$9,$CN71+0,0,1,1),IF(AND($H71&gt;2.4,Z71&lt;&gt;"e",Z71&lt;&gt;"f"),DN71*2.4/$H71,DN71),IF($F71&lt;OFFSET($BN$9,$CN71+1,0,1,1),IF(AND($H71&gt;2.4,Z71&lt;&gt;"e",Z71&lt;&gt;"f"),DN71*2.4/$H71,DN71),IF($F71&lt;OFFSET($BN$9,$CN71+2,0,1,1),IF(AND($H71&gt;2.4,Z71&lt;&gt;"e",Z71&lt;&gt;"f"),DN71*2.4/$H71,DN71),IF($F71&lt;OFFSET($BN$9,$CN71+3,0,1,1),IF(AND($H71&gt;2.4,Z71&lt;&gt;"e",Z71&lt;&gt;"f"),DN71*2.4/$H71,DN71),0)))))*COS(RADIANS($G71)))</f>
        <v>0</v>
      </c>
      <c r="DK71" s="51"/>
      <c r="DL71" s="51">
        <f ca="1">IF(DG71&gt;$CR71,$CR71,DG71)</f>
        <v>0</v>
      </c>
      <c r="DM71" s="51"/>
      <c r="DN71" s="51">
        <f ca="1">IF(DI71&gt;$CR71,$CR71,DI71)</f>
        <v>0</v>
      </c>
      <c r="DO71" s="435">
        <f ca="1">IF(DH71&gt;$CR71,$CR71,DH71)</f>
        <v>0</v>
      </c>
      <c r="DP71" s="435">
        <f ca="1">DO71*F71</f>
        <v>0</v>
      </c>
      <c r="DQ71" s="436">
        <f ca="1">IF(DJ71&gt;$CR71,$CR71,DJ71)</f>
        <v>0</v>
      </c>
      <c r="DR71" s="437">
        <f ca="1">DQ71*F71</f>
        <v>0</v>
      </c>
      <c r="DS71" s="426">
        <f ca="1">OFFSET($CH$9,CL71-1,-15,1,1)</f>
        <v>0</v>
      </c>
      <c r="DT71" s="426">
        <f ca="1">VLOOKUP(DS71,Prodlink,2,0)</f>
        <v>0</v>
      </c>
      <c r="DU71" s="188">
        <f ca="1">IF(F71&lt;OFFSET($BM$9,DT71-1,0,1,1),0,IF(F71&lt;OFFSET($BN$9,DT71-1,0,1,1),((F71-OFFSET($BM$9,DT71-1,0,1,1))*OFFSET($CH$9,DT71-1,0,1,1))+OFFSET($BO$9,DT71-1,CQ71,1,1),IF(F71&lt;OFFSET($BN$9,DT71+0,0,1,1),((F71-OFFSET($BM$9,DT71+0,0,1,1))*OFFSET($CH$9,DT71+0,0,1,1))+OFFSET($BO$9,DT71+0,CQ71,1,1),IF(F71&lt;OFFSET($BN$9,DT71+1,0,1,1),((F71-OFFSET($BM$9,DT71+1,0,1,1))*OFFSET($CH$9,DT71+1,0,1,1))+OFFSET($BO$9,DT71+1,CQ71,1,1),IF(F71&lt;OFFSET($BN$9,DT71+2,0,1,1),((F71-OFFSET($BM$9,DT71+2,0,1,1))*OFFSET($CH$9,DT71+2,0,1,1))+OFFSET($BO$9,DT71+2,CQ71,1,1),IF(F71&lt;OFFSET($BN$9,DT71+3,0,1,1),((F71-OFFSET($BM$9,DT71+3,0,1,1))*OFFSET($CH$9,DT71+3,0,1,1))+OFFSET($BO$9,DT71+3,CQ71,1,1),0))))))</f>
        <v>0</v>
      </c>
      <c r="DV71" s="51">
        <f ca="1">IF($F71&lt;OFFSET($BM$9,$DT71-1,0,1,1),0,IF($F71&lt;OFFSET($BN$9,$DT71-1,0,1,1),IF(AND($H71&gt;2.4,Z71&lt;&gt;"e",Z71&lt;&gt;"f"),DZ71*2.4/$H71,DZ71),IF($F71&lt;OFFSET($BN$9,$DT71+0,0,1,1),IF(AND($H71&gt;2.4,Z71&lt;&gt;"e",Z71&lt;&gt;"f"),DZ71*2.4/$H71,DZ71),IF($F71&lt;OFFSET($BN$9,$DT71+1,0,1,1),IF(AND($H71&gt;2.4,Z71&lt;&gt;"e",Z71&lt;&gt;"f"),DZ71*2.4/$H71,DZ71),IF($F71&lt;OFFSET($BN$9,$DT71+2,0,1,1),IF(AND($H71&gt;2.4,Z71&lt;&gt;"e",Z71&lt;&gt;"f"),DZ71*2.4/$H71,DZ71),IF($F71&lt;OFFSET($BN$9,$DT71+3,0,1,1),IF(AND($H71&gt;2.4,Z71&lt;&gt;"e",Z71&lt;&gt;"f"),DZ71*2.4/$H71,DZ71),0)))))*COS(RADIANS($G71)))</f>
        <v>0</v>
      </c>
      <c r="DW71" s="188">
        <f ca="1">IF(F71&lt;OFFSET($BM$9,DT71-1,0,1,1),0,IF(F71&lt;OFFSET($BN$9,DT71-1,0,1,1),((F71-OFFSET($BM$9,DT71-1,0,1,1))*OFFSET($CI$9,DT71-1,0,1,1))+OFFSET($BP$9,DT71-1,CQ71,1,1),IF(F71&lt;OFFSET($BN$9,DT71+0,0,1,1),((F71-OFFSET($BM$9,DT71+0,0,1,1))*OFFSET($CI$9,DT71+0,0,1,1))+OFFSET($BP$9,DT71+0,CQ71,1,1),IF(F71&lt;OFFSET($BN$9,DT71+1,0,1,1),((F71-OFFSET($BM$9,DT71+1,0,1,1))*OFFSET($CI$9,DT71+1,0,1,1))+OFFSET($BP$9,DT71+1,CQ71,1,1),IF(F71&lt;OFFSET($BN$9,DT71+2,0,1,1),((F71-OFFSET($BM$9,DT71+2,0,1,1))*OFFSET($CI$9,DT71+2,0,1,1))+OFFSET($BP$9,DT71+2,CQ71,1,1),IF(F71&lt;OFFSET($BN$9,DT71+3,0,1,1),((F71-OFFSET($BM$9,DT71+3,0,1,1))*OFFSET($CI$9,DT71+3,0,1,1))+OFFSET($BP$9,DT71+3,CQ71,1,1),0))))))</f>
        <v>0</v>
      </c>
      <c r="DX71" s="51">
        <f ca="1">IF($F71&lt;OFFSET($BM$9,$DT71-1,0,1,1),0,IF($F71&lt;OFFSET($BN$9,$DT71-1,0,1,1),IF(AND($H71&gt;2.4,Z71&lt;&gt;"e",Z71&lt;&gt;"f"),EB71*2.4/$H71,EB71),IF($F71&lt;OFFSET($BN$9,$DT71+0,0,1,1),IF(AND($H71&gt;2.4,Z71&lt;&gt;"e",Z71&lt;&gt;"f"),EB71*2.4/$H71,EB71),IF($F71&lt;OFFSET($BN$9,$DT71+1,0,1,1),IF(AND($H71&gt;2.4,Z71&lt;&gt;"e",Z71&lt;&gt;"f"),EB71*2.4/$H71,EB71),IF($F71&lt;OFFSET($BN$9,$DT71+2,0,1,1),IF(AND($H71&gt;2.4,Z71&lt;&gt;"e",Z71&lt;&gt;"f"),EB71*2.4/$H71,EB71),IF($F71&lt;OFFSET($BN$9,$DT71+3,0,1,1),IF(AND($H71&gt;2.4,Z71&lt;&gt;"e",Z71&lt;&gt;"f"),EB71*2.4/$H71,EB71),0)))))*COS(RADIANS($G71)))</f>
        <v>0</v>
      </c>
      <c r="DY71" s="188"/>
      <c r="DZ71" s="188">
        <f ca="1">IF(DU71&gt;$CR71,$CR71,DU71)</f>
        <v>0</v>
      </c>
      <c r="EA71" s="188"/>
      <c r="EB71" s="188">
        <f ca="1">IF(DW71&gt;$CR71,$CR71,DW71)</f>
        <v>0</v>
      </c>
      <c r="EC71" s="435">
        <f ca="1">IF(DV71&gt;$CR71,$CR71,DV71)</f>
        <v>0</v>
      </c>
      <c r="ED71" s="435">
        <f ca="1">EC71*F71</f>
        <v>0</v>
      </c>
      <c r="EE71" s="436">
        <f ca="1">IF(DX71&gt;$CR71,$CR71,DX71)</f>
        <v>0</v>
      </c>
      <c r="EF71" s="437">
        <f ca="1">EE71*F71</f>
        <v>0</v>
      </c>
      <c r="EG71" s="613" t="str">
        <f>IF(D71=BG$12,BG$12,"")</f>
        <v/>
      </c>
      <c r="EH71" s="614" t="str">
        <f>IF(D71=BG$13,BG$13,"")</f>
        <v/>
      </c>
      <c r="EI71" s="611">
        <f>IF(EG71=BG$12,M71,0)</f>
        <v>0</v>
      </c>
      <c r="EJ71" s="451">
        <f>IF(EG71=BG$12,O71,0)</f>
        <v>0</v>
      </c>
      <c r="EK71" s="451">
        <f>IF(EH71=BG$13,M71,0)</f>
        <v>0</v>
      </c>
      <c r="EL71" s="612">
        <f>IF(EH71=BG$13,O71,0)</f>
        <v>0</v>
      </c>
      <c r="EM71" s="426" t="str">
        <f ca="1">IF(AND(Z71&lt;&gt;"t",Z71&lt;&gt;"f"),"",IF(AND(EN71=$BH$13,K71=$BH$12),"NotOpt",IF(K71&lt;&gt;EN71,"Error","")))</f>
        <v/>
      </c>
      <c r="EN71" s="490" t="str">
        <f>IF($BG$28=1,$BH$13,$BH$12)</f>
        <v>120 BU's</v>
      </c>
      <c r="EO71" s="426" t="str">
        <f>K71</f>
        <v xml:space="preserve"> </v>
      </c>
      <c r="EP71" s="430">
        <v>1</v>
      </c>
      <c r="EQ71" s="430" t="str">
        <f ca="1">IF(EP71=1," ",OFFSET(BF$16,EP71-2,0,1,1))</f>
        <v xml:space="preserve"> </v>
      </c>
      <c r="ER71" s="439" t="str">
        <f ca="1">IF(H71=0," ",H71)</f>
        <v xml:space="preserve"> </v>
      </c>
      <c r="ES71" s="440" t="str">
        <f ca="1">IF(ER71&lt;&gt;" ",IF(ER71&lt;&gt;ER$7,"Changed",""),"")</f>
        <v/>
      </c>
      <c r="ET71" s="440">
        <f ca="1">IF(ER71&lt;&gt;" ",IF(ER71&lt;&gt;ER$7,1,0),0)</f>
        <v>0</v>
      </c>
      <c r="EU71" s="957" t="str">
        <f ca="1">IF(I71=" "," ",IF(F71&lt;OFFSET($BM$9,CL71-1,0,1,1),1,""))</f>
        <v xml:space="preserve"> </v>
      </c>
      <c r="EW71" s="427"/>
      <c r="EX71"/>
      <c r="EY71"/>
      <c r="EZ71"/>
      <c r="FA71"/>
    </row>
    <row r="72" spans="1:157" ht="17.100000000000001" hidden="1" customHeight="1" thickBot="1">
      <c r="A72" s="2685"/>
      <c r="B72" s="689" t="s">
        <v>246</v>
      </c>
      <c r="C72" s="684" t="str">
        <f>IF(OR(F72=0,I72="",I72=" ")," ",$V72)</f>
        <v xml:space="preserve"> </v>
      </c>
      <c r="D72" s="1033"/>
      <c r="E72" s="1360" t="s">
        <v>8</v>
      </c>
      <c r="F72" s="202"/>
      <c r="G72" s="1416"/>
      <c r="H72" s="199" t="str">
        <f ca="1">IF(OR(F72=0,Z72="E",Z72="f")," ",'Project Demand'!E$45)</f>
        <v xml:space="preserve"> </v>
      </c>
      <c r="I72" s="631" t="str">
        <f>IF($I$6&lt;&gt;$BG$8," ",AB72)</f>
        <v xml:space="preserve"> </v>
      </c>
      <c r="J72" s="44" t="str">
        <f ca="1">IF(OR(I72=" ",I72="")," ",OFFSET($BO$9,CL72-1,0-4,1,1))</f>
        <v xml:space="preserve"> </v>
      </c>
      <c r="K72" s="55" t="str">
        <f>IF(OR(I72=" ",I72="")," ",IF(OR(Z72="e",Z72="h"),"SD",BG$24))</f>
        <v xml:space="preserve"> </v>
      </c>
      <c r="L72" s="49">
        <f ca="1">CW72</f>
        <v>0</v>
      </c>
      <c r="M72" s="49">
        <f ca="1">CY72</f>
        <v>0</v>
      </c>
      <c r="N72" s="50">
        <f t="shared" ca="1" si="31"/>
        <v>0</v>
      </c>
      <c r="O72" s="126">
        <f t="shared" ca="1" si="31"/>
        <v>0</v>
      </c>
      <c r="P72" s="140"/>
      <c r="Q72" s="752" t="str">
        <f ca="1">IF(OR(I72=" ",I72="")," ",IF(F72&lt;OFFSET($BM$9,CL72-1,0,1,1),"check L(m)",IF(DE72&lt;&gt;"",DE72,IF(AND(DP72&gt;=CY72,DR72&gt;=DB72),IF(AND(ED72&gt;=DP72,EF72&gt;=DR72),CONCATENATE(DS72," provides same results"),CONCATENATE(CO72," provides same results")),IF((DP72&gt;=CY72),CONCATENATE(CO72," provides same result in WIND"),IF((DR72&gt;=DB72),CONCATENATE(CO72," provides same result in EQ",""),""))))))</f>
        <v xml:space="preserve"> </v>
      </c>
      <c r="R72" s="52"/>
      <c r="S72" s="1372"/>
      <c r="T72" s="1372"/>
      <c r="U72" s="1377"/>
      <c r="V72" s="52" t="str">
        <f ca="1">IF(AND(B$5=$BF$9,OR(I72=BH$16,I72=BH$17))," ",IF(ISNUMBER(B$68),(CONCATENATE(B$68,".",W72)),(CONCATENATE(B$68,W72))))</f>
        <v>W0</v>
      </c>
      <c r="W72" s="9">
        <f ca="1">W71+X72</f>
        <v>0</v>
      </c>
      <c r="X72" s="9">
        <f>IF(AND(B$5=$BF$9,OR($I72=$BH$16,$I72=$BH$17,$I72=" ",$I72="",$F72=0)),0,IF(OR($I72=" ",$I72="",$F72=0),0,1))</f>
        <v>0</v>
      </c>
      <c r="Y72" s="896"/>
      <c r="Z72" s="52" t="str">
        <f ca="1">IF(I72=" "," ",OFFSET($BM$9,$CL72-1,8,1,1))</f>
        <v xml:space="preserve"> </v>
      </c>
      <c r="AA72" s="51" t="str">
        <f>IF(G72&gt;=45,"WA","")</f>
        <v/>
      </c>
      <c r="AB72" s="1364" t="str">
        <f>IF(F72&lt;&gt;"",IF(OR(D72=$BG$12,D72=$BG$13),IF(E72&lt;&gt;$BG$17,$BF$12,$BF$13),IF(E72&lt;&gt;$BG$17,$BF$12,$BF$13))," ")</f>
        <v xml:space="preserve"> </v>
      </c>
      <c r="AC72" s="1"/>
      <c r="BA72"/>
      <c r="BB72"/>
      <c r="BC72"/>
      <c r="BD72" s="652"/>
      <c r="BI72" s="759"/>
      <c r="BJ72" s="897">
        <f t="shared" si="25"/>
        <v>64</v>
      </c>
      <c r="BK72" s="908"/>
      <c r="BL72" s="767"/>
      <c r="BM72" s="776">
        <f>Table!P14</f>
        <v>1.2</v>
      </c>
      <c r="BN72" s="776">
        <v>999</v>
      </c>
      <c r="BO72" s="776">
        <f>Table!Q14</f>
        <v>150</v>
      </c>
      <c r="BP72" s="926">
        <f>Table!R14</f>
        <v>135</v>
      </c>
      <c r="BQ72" s="1183"/>
      <c r="BR72" s="908"/>
      <c r="BS72" s="776"/>
      <c r="BT72" s="776"/>
      <c r="BU72" s="926" t="s">
        <v>242</v>
      </c>
      <c r="BV72" s="433"/>
      <c r="BW72" s="914"/>
      <c r="BX72" s="926" t="str">
        <f>Table!T11</f>
        <v>Double</v>
      </c>
      <c r="CH72" s="908">
        <f>IF(BN72=999,0,(BO73-BO72)/(BN72-BM72))</f>
        <v>0</v>
      </c>
      <c r="CI72" s="926">
        <f>IF(BN72=999,0,(BP73-BP72)/(BN72-BM72))</f>
        <v>0</v>
      </c>
      <c r="CJ72" s="759"/>
      <c r="CK72" s="188"/>
      <c r="CL72" s="979">
        <f>VLOOKUP(I72,Prodlink,2,0)</f>
        <v>0</v>
      </c>
      <c r="CN72" s="497">
        <f ca="1">VLOOKUP(CO72,Prodlink,2,0)</f>
        <v>0</v>
      </c>
      <c r="CO72" s="497">
        <f ca="1">OFFSET($CH$9,CL72-1,-15,1,1)</f>
        <v>0</v>
      </c>
      <c r="CQ72" s="51">
        <v>0</v>
      </c>
      <c r="CR72" s="51">
        <f>IF(K72=$BH$12,$BH$23,IF(K72=$BH$13,$BH$24,10000))</f>
        <v>10000</v>
      </c>
      <c r="CS72" s="51">
        <f ca="1">IF(F72&lt;OFFSET($BM$9,CL72-1,0,1,1),0,IF(F72&lt;OFFSET($BN$9,CL72-1,0,1,1),((F72-OFFSET($BM$9,CL72-1,0,1,1))*OFFSET($CH$9,CL72-1,0,1,1))+OFFSET($BO$9,CL72-1,CQ72,1,1),IF(F72&lt;OFFSET($BN$9,CL72+0,0,1,1),((F72-OFFSET($BM$9,CL72+0,0,1,1))*OFFSET($CH$9,CL72+0,0,1,1))+OFFSET($BO$9,CL72+0,CQ72,1,1),IF(F72&lt;OFFSET($BN$9,CL72+1,0,1,1),((F72-OFFSET($BM$9,CL72+1,0,1,1))*OFFSET($CH$9,CL72+1,0,1,1))+OFFSET($BO$9,CL72+1,CQ72,1,1),IF(F72&lt;OFFSET($BN$9,CL72+2,0,1,1),((F72-OFFSET($BM$9,CL72+2,0,1,1))*OFFSET($CH$9,CL72+2,0,1,1))+OFFSET($BO$9,CL72+2,CQ72,1,1),IF(F72&lt;OFFSET($BN$9,CL72+3,0,1,1),((F72-OFFSET($BM$9,CL72+3,0,1,1))*OFFSET($CH$9,CL72+3,0,1,1))+OFFSET($BO$9,CL72+3,CQ72,1,1),0))))))</f>
        <v>0</v>
      </c>
      <c r="CT72" s="51">
        <f ca="1">IF($F72&lt;OFFSET($BM$9,$CL72-1,0,1,1),0,IF($F72&lt;OFFSET($BN$9,$CL72-1,0,1,1),IF(AND($H72&gt;2.4,Z72&lt;&gt;"e",Z72&lt;&gt;"f"),CX72*2.4/$H72,CX72),IF($F72&lt;OFFSET($BN$9,$CL72+0,0,1,1),IF(AND($H72&gt;2.4,Z72&lt;&gt;"e",Z72&lt;&gt;"f"),CX72*2.4/$H72,CX72),IF($F72&lt;OFFSET($BN$9,$CL72+1,0,1,1),IF(AND($H72&gt;2.4,Z72&lt;&gt;"e",Z72&lt;&gt;"f"),CX72*2.4/$H72,CX72),IF($F72&lt;OFFSET($BN$9,CL72+2,0,1,1),IF(AND($H72&gt;2.4,Z72&lt;&gt;"e",Z72&lt;&gt;"f"),CX72*2.4/$H72,CX72),IF($F72&lt;OFFSET($BN$9,CL72+3,0,1,1),IF(AND($H72&gt;2.4,Z72&lt;&gt;"e",Z72&lt;&gt;"f"),CX72*2.4/$H72,CX72),0)))))*COS(RADIANS($G72)))</f>
        <v>0</v>
      </c>
      <c r="CU72" s="51">
        <f ca="1">IF(F72&lt;OFFSET($BM$9,CL72-1,0,1,1),0,IF(F72&lt;OFFSET($BN$9,CL72-1,0,1,1),((F72-OFFSET($BM$9,CL72-1,0,1,1))*OFFSET($CI$9,CL72-1,0,1,1))+OFFSET($BP$9,CL72-1,CQ72,1,1),IF(F72&lt;OFFSET($BN$9,CL72+0,0,1,1),((F72-OFFSET($BM$9,CL72+0,0,1,1))*OFFSET($CI$9,CL72+0,0,1,1))+OFFSET($BP$9,CL72+0,CQ72,1,1),IF(F72&lt;OFFSET($BN$9,CL72+1,0,1,1),((F72-OFFSET($BM$9,CL72+1,0,1,1))*OFFSET($CI$9,CL72+1,0,1,1))+OFFSET($BP$9,CL72+1,CQ72,1,1),IF(F72&lt;OFFSET($BN$9,CL72+2,0,1,1),((F72-OFFSET($BM$9,CL72+2,0,1,1))*OFFSET($CI$9,CL72+2,0,1,1))+OFFSET($BP$9,CL72+2,CQ72,1,1),IF(F72&lt;OFFSET($BN$9,CL72+3,0,1,1),((F72-OFFSET($BM$9,CL72+3,0,1,1))*OFFSET($CI$9,CL72+3,0,1,1))+OFFSET($BP$9,CL72+3,CQ72,1,1),0))))))</f>
        <v>0</v>
      </c>
      <c r="CV72" s="51">
        <f ca="1">IF($F72&lt;OFFSET($BM$9,$CL72-1,0,1,1),0,IF($F72&lt;OFFSET($BN$9,$CL72-1,0,1,1),IF(AND($H72&gt;2.4,Z72&lt;&gt;"e",Z72&lt;&gt;"f"),CZ72*2.4/$H72,CZ72),IF($F72&lt;OFFSET($BN$9,$CL72+0,0,1,1),IF(AND($H72&gt;2.4,Z72&lt;&gt;"e",Z72&lt;&gt;"f"),CZ72*2.4/$H72,CZ72),IF($F72&lt;OFFSET($BN$9,$CL72+1,0,1,1),IF(AND($H72&gt;2.4,Z72&lt;&gt;"e",Z72&lt;&gt;"f"),CZ72*2.4/$H72,CZ72),IF($F72&lt;OFFSET($BN$9,$CL72+2,0,1,1),IF(AND($H72&gt;2.4,Z72&lt;&gt;"e",Z72&lt;&gt;"f"),CZ72*2.4/$H72,CZ72),IF($F72&lt;OFFSET($BN$9,$CL72+3,0,1,1),IF(AND($H72&gt;2.4,Z72&lt;&gt;"e",Z72&lt;&gt;"f"),CZ72*2.4/$H72,CZ72),0)))))*COS(RADIANS($G72)))</f>
        <v>0</v>
      </c>
      <c r="CW72" s="51">
        <f ca="1">IF(CT72&gt;CR72,CR72,CT72)</f>
        <v>0</v>
      </c>
      <c r="CX72" s="51">
        <f ca="1">IF(CS72&gt;$CR72,$CR72,CS72)</f>
        <v>0</v>
      </c>
      <c r="CY72" s="51">
        <f ca="1">CW72*F72</f>
        <v>0</v>
      </c>
      <c r="CZ72" s="51">
        <f ca="1">IF($CU72&gt;$CR72,$CR72,$CU72)</f>
        <v>0</v>
      </c>
      <c r="DA72" s="51">
        <f ca="1">IF(CV72&gt;CR72,CR72,CV72)</f>
        <v>0</v>
      </c>
      <c r="DB72" s="51">
        <f ca="1">DA72*F72</f>
        <v>0</v>
      </c>
      <c r="DC72" s="993">
        <v>1</v>
      </c>
      <c r="DD72" s="758" t="str">
        <f>IF(OR(D72=BG$12,D72=BG$13),"External",IF(D72=BG$14,"Internal"," "))</f>
        <v xml:space="preserve"> </v>
      </c>
      <c r="DE72" s="51" t="str">
        <f t="shared" ca="1" si="1"/>
        <v/>
      </c>
      <c r="DF72" s="52" t="str">
        <f t="shared" ca="1" si="2"/>
        <v xml:space="preserve"> </v>
      </c>
      <c r="DG72" s="51">
        <f ca="1">IF(F72&lt;OFFSET($BM$9,CN72-1,0,1,1),0,IF(F72&lt;OFFSET($BN$9,CN72-1,0,1,1),((F72-OFFSET($BM$9,CN72-1,0,1,1))*OFFSET($CH$9,CN72-1,0,1,1))+OFFSET($BO$9,CN72-1,CQ72,1,1),IF(F72&lt;OFFSET($BN$9,CN72+0,0,1,1),((F72-OFFSET($BM$9,CN72+0,0,1,1))*OFFSET($CH$9,CN72+0,0,1,1))+OFFSET($BO$9,CN72+0,CQ72,1,1),IF(F72&lt;OFFSET($BN$9,CN72+1,0,1,1),((F72-OFFSET($BM$9,CN72+1,0,1,1))*OFFSET($CH$9,CN72+1,0,1,1))+OFFSET($BO$9,CN72+1,CQ72,1,1),IF(F72&lt;OFFSET($BN$9,CN72+2,0,1,1),((F72-OFFSET($BM$9,CN72+2,0,1,1))*OFFSET($CH$9,CN72+2,0,1,1))+OFFSET($BO$9,CN72+2,CQ72,1,1),IF(F72&lt;OFFSET($BN$9,CN72+3,0,1,1),((F72-OFFSET($BM$9,CN72+3,0,1,1))*OFFSET($CH$9,CN72+3,0,1,1))+OFFSET($BO$9,CN72+3,CQ72,1,1),0))))))</f>
        <v>0</v>
      </c>
      <c r="DH72" s="51">
        <f ca="1">IF($F72&lt;OFFSET($BM$9,$CN72-1,0,1,1),0,IF($F72&lt;OFFSET($BN$9,$CN72-1,0,1,1),IF(AND($H72&gt;2.4,Z72&lt;&gt;"e",Z72&lt;&gt;"f"),DL72*2.4/$H72,DL72),IF($F72&lt;OFFSET($BN$9,$CN72+0,0,1,1),IF(AND($H72&gt;2.4,Z72&lt;&gt;"e",Z72&lt;&gt;"f"),DL72*2.4/$H72,DL72),IF($F72&lt;OFFSET($BN$9,$CN72+1,0,1,1),IF(AND($H72&gt;2.4,Z72&lt;&gt;"e",Z72&lt;&gt;"f"),DL72*2.4/$H72,DL72),IF($F72&lt;OFFSET($BN$9,$CN72+2,0,1,1),IF(AND($H72&gt;2.4,Z72&lt;&gt;"e",Z72&lt;&gt;"f"),DL72*2.4/$H72,DL72),IF($F72&lt;OFFSET($BN$9,$CN72+3,0,1,1),IF(AND($H72&gt;2.4,Z72&lt;&gt;"e",Z72&lt;&gt;"f"),DL72*2.4/$H72,DL72),0)))))*COS(RADIANS($G72)))</f>
        <v>0</v>
      </c>
      <c r="DI72" s="51">
        <f ca="1">IF(F72&lt;OFFSET($BM$9,CN72-1,0,1,1),0,IF(F72&lt;OFFSET($BN$9,CN72-1,0,1,1),((F72-OFFSET($BM$9,CN72-1,0,1,1))*OFFSET($CI$9,CN72-1,0,1,1))+OFFSET($BP$9,CN72-1,CQ72,1,1),IF(F72&lt;OFFSET($BN$9,CN72+0,0,1,1),((F72-OFFSET($BM$9,CN72+0,0,1,1))*OFFSET($CI$9,CN72+0,0,1,1))+OFFSET($BP$9,CN72+0,CQ72,1,1),IF(F72&lt;OFFSET($BN$9,CN72+1,0,1,1),((F72-OFFSET($BM$9,CN72+1,0,1,1))*OFFSET($CI$9,CN72+1,0,1,1))+OFFSET($BP$9,CN72+1,CQ72,1,1),IF(F72&lt;OFFSET($BN$9,CN72+2,0,1,1),((F72-OFFSET($BM$9,CN72+2,0,1,1))*OFFSET($CI$9,CN72+2,0,1,1))+OFFSET($BP$9,CN72+2,CQ72,1,1),IF(F72&lt;OFFSET($BN$9,CN72+3,0,1,1),((F72-OFFSET($BM$9,CN72+3,0,1,1))*OFFSET($CI$9,CN72+3,0,1,1))+OFFSET($BP$9,CN72+3,CQ72,1,1),0))))))</f>
        <v>0</v>
      </c>
      <c r="DJ72" s="51">
        <f ca="1">IF($F72&lt;OFFSET($BM$9,$CN72-1,0,1,1),0,IF($F72&lt;OFFSET($BN$9,$CN72-1,0,1,1),IF(AND($H72&gt;2.4,Z72&lt;&gt;"e",Z72&lt;&gt;"f"),DN72*2.4/$H72,DN72),IF($F72&lt;OFFSET($BN$9,$CN72+0,0,1,1),IF(AND($H72&gt;2.4,Z72&lt;&gt;"e",Z72&lt;&gt;"f"),DN72*2.4/$H72,DN72),IF($F72&lt;OFFSET($BN$9,$CN72+1,0,1,1),IF(AND($H72&gt;2.4,Z72&lt;&gt;"e",Z72&lt;&gt;"f"),DN72*2.4/$H72,DN72),IF($F72&lt;OFFSET($BN$9,$CN72+2,0,1,1),IF(AND($H72&gt;2.4,Z72&lt;&gt;"e",Z72&lt;&gt;"f"),DN72*2.4/$H72,DN72),IF($F72&lt;OFFSET($BN$9,$CN72+3,0,1,1),IF(AND($H72&gt;2.4,Z72&lt;&gt;"e",Z72&lt;&gt;"f"),DN72*2.4/$H72,DN72),0)))))*COS(RADIANS($G72)))</f>
        <v>0</v>
      </c>
      <c r="DK72" s="51"/>
      <c r="DL72" s="51">
        <f ca="1">IF(DG72&gt;$CR72,$CR72,DG72)</f>
        <v>0</v>
      </c>
      <c r="DM72" s="51"/>
      <c r="DN72" s="51">
        <f ca="1">IF(DI72&gt;$CR72,$CR72,DI72)</f>
        <v>0</v>
      </c>
      <c r="DO72" s="435">
        <f ca="1">IF(DH72&gt;$CR72,$CR72,DH72)</f>
        <v>0</v>
      </c>
      <c r="DP72" s="435">
        <f ca="1">DO72*F72</f>
        <v>0</v>
      </c>
      <c r="DQ72" s="436">
        <f ca="1">IF(DJ72&gt;$CR72,$CR72,DJ72)</f>
        <v>0</v>
      </c>
      <c r="DR72" s="437">
        <f ca="1">DQ72*F72</f>
        <v>0</v>
      </c>
      <c r="DS72" s="426">
        <f ca="1">OFFSET($CH$9,CL72-1,-15,1,1)</f>
        <v>0</v>
      </c>
      <c r="DT72" s="426">
        <f ca="1">VLOOKUP(DS72,Prodlink,2,0)</f>
        <v>0</v>
      </c>
      <c r="DU72" s="188">
        <f ca="1">IF(F72&lt;OFFSET($BM$9,DT72-1,0,1,1),0,IF(F72&lt;OFFSET($BN$9,DT72-1,0,1,1),((F72-OFFSET($BM$9,DT72-1,0,1,1))*OFFSET($CH$9,DT72-1,0,1,1))+OFFSET($BO$9,DT72-1,CQ72,1,1),IF(F72&lt;OFFSET($BN$9,DT72+0,0,1,1),((F72-OFFSET($BM$9,DT72+0,0,1,1))*OFFSET($CH$9,DT72+0,0,1,1))+OFFSET($BO$9,DT72+0,CQ72,1,1),IF(F72&lt;OFFSET($BN$9,DT72+1,0,1,1),((F72-OFFSET($BM$9,DT72+1,0,1,1))*OFFSET($CH$9,DT72+1,0,1,1))+OFFSET($BO$9,DT72+1,CQ72,1,1),IF(F72&lt;OFFSET($BN$9,DT72+2,0,1,1),((F72-OFFSET($BM$9,DT72+2,0,1,1))*OFFSET($CH$9,DT72+2,0,1,1))+OFFSET($BO$9,DT72+2,CQ72,1,1),IF(F72&lt;OFFSET($BN$9,DT72+3,0,1,1),((F72-OFFSET($BM$9,DT72+3,0,1,1))*OFFSET($CH$9,DT72+3,0,1,1))+OFFSET($BO$9,DT72+3,CQ72,1,1),0))))))</f>
        <v>0</v>
      </c>
      <c r="DV72" s="51">
        <f ca="1">IF($F72&lt;OFFSET($BM$9,$DT72-1,0,1,1),0,IF($F72&lt;OFFSET($BN$9,$DT72-1,0,1,1),IF(AND($H72&gt;2.4,Z72&lt;&gt;"e",Z72&lt;&gt;"f"),DZ72*2.4/$H72,DZ72),IF($F72&lt;OFFSET($BN$9,$DT72+0,0,1,1),IF(AND($H72&gt;2.4,Z72&lt;&gt;"e",Z72&lt;&gt;"f"),DZ72*2.4/$H72,DZ72),IF($F72&lt;OFFSET($BN$9,$DT72+1,0,1,1),IF(AND($H72&gt;2.4,Z72&lt;&gt;"e",Z72&lt;&gt;"f"),DZ72*2.4/$H72,DZ72),IF($F72&lt;OFFSET($BN$9,$DT72+2,0,1,1),IF(AND($H72&gt;2.4,Z72&lt;&gt;"e",Z72&lt;&gt;"f"),DZ72*2.4/$H72,DZ72),IF($F72&lt;OFFSET($BN$9,$DT72+3,0,1,1),IF(AND($H72&gt;2.4,Z72&lt;&gt;"e",Z72&lt;&gt;"f"),DZ72*2.4/$H72,DZ72),0)))))*COS(RADIANS($G72)))</f>
        <v>0</v>
      </c>
      <c r="DW72" s="188">
        <f ca="1">IF(F72&lt;OFFSET($BM$9,DT72-1,0,1,1),0,IF(F72&lt;OFFSET($BN$9,DT72-1,0,1,1),((F72-OFFSET($BM$9,DT72-1,0,1,1))*OFFSET($CI$9,DT72-1,0,1,1))+OFFSET($BP$9,DT72-1,CQ72,1,1),IF(F72&lt;OFFSET($BN$9,DT72+0,0,1,1),((F72-OFFSET($BM$9,DT72+0,0,1,1))*OFFSET($CI$9,DT72+0,0,1,1))+OFFSET($BP$9,DT72+0,CQ72,1,1),IF(F72&lt;OFFSET($BN$9,DT72+1,0,1,1),((F72-OFFSET($BM$9,DT72+1,0,1,1))*OFFSET($CI$9,DT72+1,0,1,1))+OFFSET($BP$9,DT72+1,CQ72,1,1),IF(F72&lt;OFFSET($BN$9,DT72+2,0,1,1),((F72-OFFSET($BM$9,DT72+2,0,1,1))*OFFSET($CI$9,DT72+2,0,1,1))+OFFSET($BP$9,DT72+2,CQ72,1,1),IF(F72&lt;OFFSET($BN$9,DT72+3,0,1,1),((F72-OFFSET($BM$9,DT72+3,0,1,1))*OFFSET($CI$9,DT72+3,0,1,1))+OFFSET($BP$9,DT72+3,CQ72,1,1),0))))))</f>
        <v>0</v>
      </c>
      <c r="DX72" s="51">
        <f ca="1">IF($F72&lt;OFFSET($BM$9,$DT72-1,0,1,1),0,IF($F72&lt;OFFSET($BN$9,$DT72-1,0,1,1),IF(AND($H72&gt;2.4,Z72&lt;&gt;"e",Z72&lt;&gt;"f"),EB72*2.4/$H72,EB72),IF($F72&lt;OFFSET($BN$9,$DT72+0,0,1,1),IF(AND($H72&gt;2.4,Z72&lt;&gt;"e",Z72&lt;&gt;"f"),EB72*2.4/$H72,EB72),IF($F72&lt;OFFSET($BN$9,$DT72+1,0,1,1),IF(AND($H72&gt;2.4,Z72&lt;&gt;"e",Z72&lt;&gt;"f"),EB72*2.4/$H72,EB72),IF($F72&lt;OFFSET($BN$9,$DT72+2,0,1,1),IF(AND($H72&gt;2.4,Z72&lt;&gt;"e",Z72&lt;&gt;"f"),EB72*2.4/$H72,EB72),IF($F72&lt;OFFSET($BN$9,$DT72+3,0,1,1),IF(AND($H72&gt;2.4,Z72&lt;&gt;"e",Z72&lt;&gt;"f"),EB72*2.4/$H72,EB72),0)))))*COS(RADIANS($G72)))</f>
        <v>0</v>
      </c>
      <c r="DY72" s="188"/>
      <c r="DZ72" s="188">
        <f ca="1">IF(DU72&gt;$CR72,$CR72,DU72)</f>
        <v>0</v>
      </c>
      <c r="EA72" s="188"/>
      <c r="EB72" s="188">
        <f ca="1">IF(DW72&gt;$CR72,$CR72,DW72)</f>
        <v>0</v>
      </c>
      <c r="EC72" s="435">
        <f ca="1">IF(DV72&gt;$CR72,$CR72,DV72)</f>
        <v>0</v>
      </c>
      <c r="ED72" s="435">
        <f ca="1">EC72*F72</f>
        <v>0</v>
      </c>
      <c r="EE72" s="436">
        <f ca="1">IF(DX72&gt;$CR72,$CR72,DX72)</f>
        <v>0</v>
      </c>
      <c r="EF72" s="437">
        <f ca="1">EE72*F72</f>
        <v>0</v>
      </c>
      <c r="EG72" s="613" t="str">
        <f>IF(D72=BG$12,BG$12,"")</f>
        <v/>
      </c>
      <c r="EH72" s="614" t="str">
        <f>IF(D72=BG$13,BG$13,"")</f>
        <v/>
      </c>
      <c r="EI72" s="611">
        <f>IF(EG72=BG$12,M72,0)</f>
        <v>0</v>
      </c>
      <c r="EJ72" s="451">
        <f>IF(EG72=BG$12,O72,0)</f>
        <v>0</v>
      </c>
      <c r="EK72" s="451">
        <f>IF(EH72=BG$13,M72,0)</f>
        <v>0</v>
      </c>
      <c r="EL72" s="612">
        <f>IF(EH72=BG$13,O72,0)</f>
        <v>0</v>
      </c>
      <c r="EM72" s="426" t="str">
        <f ca="1">IF(AND(Z72&lt;&gt;"t",Z72&lt;&gt;"f"),"",IF(AND(EN72=$BH$13,K72=$BH$12),"NotOpt",IF(K72&lt;&gt;EN72,"Error","")))</f>
        <v/>
      </c>
      <c r="EN72" s="490" t="str">
        <f>IF($BG$28=1,$BH$13,$BH$12)</f>
        <v>120 BU's</v>
      </c>
      <c r="EO72" s="426" t="str">
        <f>K72</f>
        <v xml:space="preserve"> </v>
      </c>
      <c r="EP72" s="430">
        <v>1</v>
      </c>
      <c r="EQ72" s="430" t="str">
        <f ca="1">IF(EP72=1," ",OFFSET(BF$16,EP72-2,0,1,1))</f>
        <v xml:space="preserve"> </v>
      </c>
      <c r="ER72" s="439" t="str">
        <f ca="1">IF(H72=0," ",H72)</f>
        <v xml:space="preserve"> </v>
      </c>
      <c r="ES72" s="440" t="str">
        <f ca="1">IF(ER72&lt;&gt;" ",IF(ER72&lt;&gt;ER$7,"Changed",""),"")</f>
        <v/>
      </c>
      <c r="ET72" s="440">
        <f ca="1">IF(ER72&lt;&gt;" ",IF(ER72&lt;&gt;ER$7,1,0),0)</f>
        <v>0</v>
      </c>
      <c r="EU72" s="957" t="str">
        <f ca="1">IF(I72=" "," ",IF(F72&lt;OFFSET($BM$9,CL72-1,0,1,1),1,""))</f>
        <v xml:space="preserve"> </v>
      </c>
      <c r="EW72" s="427"/>
      <c r="EX72"/>
      <c r="EY72"/>
      <c r="EZ72"/>
      <c r="FA72"/>
    </row>
    <row r="73" spans="1:157" ht="17.100000000000001" hidden="1" customHeight="1" thickBot="1">
      <c r="A73" s="2685"/>
      <c r="B73" s="2686" t="s">
        <v>8</v>
      </c>
      <c r="C73" s="2687"/>
      <c r="D73" s="1461" t="s">
        <v>8</v>
      </c>
      <c r="E73" s="659"/>
      <c r="F73" s="659"/>
      <c r="G73" s="659"/>
      <c r="H73" s="659"/>
      <c r="I73" s="1462"/>
      <c r="J73" s="1365" t="str">
        <f ca="1">(CONCATENATE(B68,$BE$54))</f>
        <v>W  Line:  Min. Requirement</v>
      </c>
      <c r="K73" s="23"/>
      <c r="L73" s="1019">
        <f ca="1">L$5</f>
        <v>0</v>
      </c>
      <c r="M73" s="48">
        <f ca="1">IF(B68=B62,SUM(M68:M72)+M67,SUM(M68:M72))</f>
        <v>0</v>
      </c>
      <c r="N73" s="1019">
        <f ca="1">N$5</f>
        <v>0</v>
      </c>
      <c r="O73" s="125">
        <f ca="1">IF(B68=B62,SUM(O68:O72)+O67,SUM(O68:O72))</f>
        <v>0</v>
      </c>
      <c r="P73" s="139"/>
      <c r="Q73" s="42" t="str">
        <f ca="1">IF(B68=B74,"",IF(AND(M73&gt;0,L73=L$5,OR(M73&lt;$M$105,M73&lt;$BF$3)),"Achieved &lt; Min Req per Line",IF(AND(O73&gt;0,N73=N$5,OR(O73&lt;$O$105,O73&lt;$BF$3)),"Achieved &lt; Min Req per Line",IF(AND(M73&gt;0,L73&gt;M73),"More Required on this line",IF(AND(O73&gt;0,N73&gt;O73),"More Required on this line",IF(AND(L73&gt;0,L73&lt;$BF$3),$BE$59,IF(AND(N73&gt;0,N73&lt;$BF$3),$BE$59,"")))))))</f>
        <v/>
      </c>
      <c r="R73" s="52"/>
      <c r="S73" s="52"/>
      <c r="T73" s="52"/>
      <c r="U73" s="1378"/>
      <c r="V73" s="52"/>
      <c r="W73" s="9"/>
      <c r="X73" s="9"/>
      <c r="Y73" s="896"/>
      <c r="Z73" s="52"/>
      <c r="AA73" s="51"/>
      <c r="AB73" s="1364"/>
      <c r="AC73" s="1"/>
      <c r="BA73"/>
      <c r="BB73"/>
      <c r="BC73"/>
      <c r="BD73" s="652"/>
      <c r="BI73" s="759"/>
      <c r="BJ73" s="897">
        <f t="shared" si="25"/>
        <v>65</v>
      </c>
      <c r="BK73" s="1231"/>
      <c r="BL73" s="1234"/>
      <c r="BM73" s="1205"/>
      <c r="BN73" s="1205"/>
      <c r="BO73" s="1205"/>
      <c r="BP73" s="1205"/>
      <c r="BQ73" s="1233"/>
      <c r="BR73" s="1205"/>
      <c r="BS73" s="1205"/>
      <c r="BT73" s="1205"/>
      <c r="BU73" s="1205"/>
      <c r="BV73" s="1233"/>
      <c r="BW73" s="1235"/>
      <c r="BX73" s="1205"/>
      <c r="CH73" s="970"/>
      <c r="CI73" s="971"/>
      <c r="CJ73" s="759"/>
      <c r="CK73" s="188"/>
      <c r="CL73" s="979"/>
      <c r="CN73" s="52"/>
      <c r="CO73" s="52"/>
      <c r="CQ73" s="51"/>
      <c r="CR73" s="51" t="s">
        <v>8</v>
      </c>
      <c r="CS73" s="51"/>
      <c r="CT73" s="51" t="s">
        <v>8</v>
      </c>
      <c r="CU73" s="51"/>
      <c r="CV73" s="51" t="s">
        <v>8</v>
      </c>
      <c r="CW73" s="51"/>
      <c r="CX73" s="51"/>
      <c r="CY73" s="51"/>
      <c r="CZ73" s="51"/>
      <c r="DD73" s="758"/>
      <c r="DF73" s="52"/>
      <c r="DG73" s="51"/>
      <c r="DH73" s="51"/>
      <c r="DI73" s="51"/>
      <c r="DJ73" s="51"/>
      <c r="DK73" s="51"/>
      <c r="DL73" s="51"/>
      <c r="DM73" s="51"/>
      <c r="DN73" s="51"/>
      <c r="DO73" s="435"/>
      <c r="DP73" s="435"/>
      <c r="DQ73" s="868"/>
      <c r="DR73" s="868"/>
      <c r="DU73" s="188"/>
      <c r="DV73" s="188" t="s">
        <v>8</v>
      </c>
      <c r="DW73" s="188"/>
      <c r="DX73" s="188" t="s">
        <v>8</v>
      </c>
      <c r="DY73" s="188"/>
      <c r="DZ73" s="188"/>
      <c r="EA73" s="188"/>
      <c r="EB73" s="188"/>
      <c r="EC73" s="435"/>
      <c r="ED73" s="435"/>
      <c r="EE73" s="868"/>
      <c r="EF73" s="868"/>
      <c r="EG73" s="613"/>
      <c r="EH73" s="435"/>
      <c r="EI73" s="613"/>
      <c r="EJ73" s="435"/>
      <c r="EK73" s="451"/>
      <c r="EL73" s="612"/>
      <c r="EN73" s="947"/>
      <c r="ER73" s="441"/>
      <c r="ES73" s="440"/>
      <c r="ET73" s="440"/>
      <c r="EU73" s="957"/>
      <c r="EW73" s="427"/>
      <c r="EX73"/>
      <c r="EY73"/>
      <c r="EZ73"/>
      <c r="FA73"/>
    </row>
    <row r="74" spans="1:157" ht="17.100000000000001" hidden="1" customHeight="1" thickBot="1">
      <c r="A74" s="2685"/>
      <c r="B74" s="1369" t="str">
        <f ca="1">S74</f>
        <v>X</v>
      </c>
      <c r="C74" s="684" t="str">
        <f>IF(OR(F74=0,I74="",I74=" ")," ",$V74)</f>
        <v xml:space="preserve"> </v>
      </c>
      <c r="D74" s="1033"/>
      <c r="E74" s="1360" t="s">
        <v>8</v>
      </c>
      <c r="F74" s="202"/>
      <c r="G74" s="1416"/>
      <c r="H74" s="199" t="str">
        <f ca="1">IF(OR(F74=0,Z74="E",Z74="f")," ",'Project Demand'!E$45)</f>
        <v xml:space="preserve"> </v>
      </c>
      <c r="I74" s="631" t="str">
        <f>IF($I$6&lt;&gt;$BG$8," ",AB74)</f>
        <v xml:space="preserve"> </v>
      </c>
      <c r="J74" s="43" t="str">
        <f ca="1">IF(OR(I74=" ",I74="")," ",OFFSET($BO$9,CL74-1,0-4,1,1))</f>
        <v xml:space="preserve"> </v>
      </c>
      <c r="K74" s="55" t="str">
        <f>IF(OR(I74=" ",I74="")," ",IF(OR(Z74="e",Z74="h"),"SD",BG$24))</f>
        <v xml:space="preserve"> </v>
      </c>
      <c r="L74" s="49">
        <f ca="1">CW74</f>
        <v>0</v>
      </c>
      <c r="M74" s="49">
        <f ca="1">CY74</f>
        <v>0</v>
      </c>
      <c r="N74" s="50">
        <f t="shared" ref="N74:O78" ca="1" si="32">DA74</f>
        <v>0</v>
      </c>
      <c r="O74" s="126">
        <f t="shared" ca="1" si="32"/>
        <v>0</v>
      </c>
      <c r="P74" s="140"/>
      <c r="Q74" s="752" t="str">
        <f ca="1">IF(OR(I74=" ",I74="")," ",IF(F74&lt;OFFSET($BM$9,CL74-1,0,1,1),"check L(m)",IF(DE74&lt;&gt;"",DE74,IF(AND(DP74&gt;=CY74,DR74&gt;=DB74),IF(AND(ED74&gt;=DP74,EF74&gt;=DR74),CONCATENATE(DS74," provides same results"),CONCATENATE(CO74," provides same results")),IF((DP74&gt;=CY74),CONCATENATE(CO74," provides same result in WIND"),IF((DR74&gt;=DB74),CONCATENATE(CO74," provides same result in EQ",""),""))))))</f>
        <v xml:space="preserve"> </v>
      </c>
      <c r="R74" s="52">
        <f ca="1">IF(T68&lt;&gt;2,(COLUMN(INDIRECT(B68&amp;1))+1),U74)</f>
        <v>24</v>
      </c>
      <c r="S74" s="1372" t="str">
        <f ca="1">SUBSTITUTE(ADDRESS(1,R74,4),"1","")</f>
        <v>X</v>
      </c>
      <c r="T74" s="451">
        <f ca="1">IF(AND(ISTEXT(B74),SUBSTITUTE(SUBSTITUTE(SUBSTITUTE(SUBSTITUTE(SUBSTITUTE(SUBSTITUTE(SUBSTITUTE(SUBSTITUTE(SUBSTITUTE(SUBSTITUTE(SUBSTITUTE(SUBSTITUTE(SUBSTITUTE(SUBSTITUTE(SUBSTITUTE(SUBSTITUTE(SUBSTITUTE(SUBSTITUTE(SUBSTITUTE(SUBSTITUTE(SUBSTITUTE(SUBSTITUTE(SUBSTITUTE(SUBSTITUTE(SUBSTITUTE(SUBSTITUTE(LOWER(B74),"a",),"b",),"c",),"d",),"e",),"f",),"g",),"h",),"i",),"j",),"k",),"l",),"m",),"n",),"o",),"p",),"q",),"r",),"s",),"t",),"u",),"v",),"w",),"x",),"y",),"z",)=""),1,2)</f>
        <v>1</v>
      </c>
      <c r="U74" s="1377">
        <v>24</v>
      </c>
      <c r="V74" s="52" t="str">
        <f ca="1">IF(AND(B$5=$BF$9,OR(I74=BH$16,I74=BH$17))," ",IF(ISNUMBER(B$74),(CONCATENATE(B$74,".",W74)),(CONCATENATE(B$74,W74))))</f>
        <v>X0</v>
      </c>
      <c r="W74" s="9">
        <f ca="1">IF(B68=B74,W72+X74,X74)</f>
        <v>0</v>
      </c>
      <c r="X74" s="9">
        <f>IF(AND(B$5=$BF$9,OR($I74=$BH$16,$I74=$BH$17,$I74=" ",$I74="",$F74=0)),0,IF(OR($I74=" ",$I74="",$F74=0),0,1))</f>
        <v>0</v>
      </c>
      <c r="Y74" s="896">
        <f ca="1">IF(AND(M79&gt;0,B74&lt;&gt;B80),1,0)</f>
        <v>0</v>
      </c>
      <c r="Z74" s="52" t="str">
        <f ca="1">IF(I74=" "," ",OFFSET($BM$9,$CL74-1,8,1,1))</f>
        <v xml:space="preserve"> </v>
      </c>
      <c r="AA74" s="51" t="str">
        <f>IF(G74&gt;=45,"WA","")</f>
        <v/>
      </c>
      <c r="AB74" s="1364" t="str">
        <f>IF(F74&lt;&gt;"",IF(OR(D74=$BG$12,D74=$BG$13),IF(E74&lt;&gt;$BG$17,$BF$12,$BF$13),IF(E74&lt;&gt;$BG$17,$BF$12,$BF$13))," ")</f>
        <v xml:space="preserve"> </v>
      </c>
      <c r="AC74" s="1"/>
      <c r="BA74"/>
      <c r="BB74"/>
      <c r="BC74"/>
      <c r="BD74" s="652"/>
      <c r="BI74" s="759"/>
      <c r="BJ74" s="897">
        <f t="shared" si="25"/>
        <v>66</v>
      </c>
      <c r="BK74" s="768" t="str">
        <f>BK68</f>
        <v xml:space="preserve">EPB </v>
      </c>
      <c r="BL74" s="765" t="str">
        <f>Table!O16</f>
        <v>ESPH</v>
      </c>
      <c r="BM74" s="454">
        <f>Table!P16</f>
        <v>0.4</v>
      </c>
      <c r="BN74" s="454">
        <f>BM75</f>
        <v>0.6</v>
      </c>
      <c r="BO74" s="454">
        <f>Table!Q16</f>
        <v>102</v>
      </c>
      <c r="BP74" s="924">
        <f>Table!R16</f>
        <v>114</v>
      </c>
      <c r="BQ74" s="920"/>
      <c r="BR74" s="768" t="str">
        <f>Table!S16</f>
        <v>ES-H</v>
      </c>
      <c r="BS74" s="454" t="str">
        <f>Table!S17</f>
        <v>EM-H</v>
      </c>
      <c r="BT74" s="454" t="str">
        <f>Table!T16</f>
        <v>E</v>
      </c>
      <c r="BU74" s="924" t="s">
        <v>242</v>
      </c>
      <c r="BV74" s="1230" t="str">
        <f>Table!AI83</f>
        <v>ESPH</v>
      </c>
      <c r="BW74" s="1229">
        <f>BJ74</f>
        <v>66</v>
      </c>
      <c r="BX74" s="924" t="str">
        <f>Table!T17</f>
        <v>Double</v>
      </c>
      <c r="CH74" s="768">
        <f>IF(BN74=999,0,(BO75-BO74)/(BN74-BM74))</f>
        <v>90.000000000000014</v>
      </c>
      <c r="CI74" s="924">
        <f>IF(BN74=999,0,(BP75-BP74)/(BN74-BM74))</f>
        <v>80.000000000000014</v>
      </c>
      <c r="CJ74" s="759"/>
      <c r="CK74" s="188"/>
      <c r="CL74" s="979">
        <f>VLOOKUP(I74,Prodlink,2,0)</f>
        <v>0</v>
      </c>
      <c r="CN74" s="497">
        <f ca="1">VLOOKUP(CO74,Prodlink,2,0)</f>
        <v>0</v>
      </c>
      <c r="CO74" s="497">
        <f ca="1">OFFSET($CH$9,CL74-1,-15,1,1)</f>
        <v>0</v>
      </c>
      <c r="CQ74" s="51">
        <v>0</v>
      </c>
      <c r="CR74" s="51">
        <f>IF(K74=$BH$12,$BH$23,IF(K74=$BH$13,$BH$24,10000))</f>
        <v>10000</v>
      </c>
      <c r="CS74" s="51">
        <f ca="1">IF(F74&lt;OFFSET($BM$9,CL74-1,0,1,1),0,IF(F74&lt;OFFSET($BN$9,CL74-1,0,1,1),((F74-OFFSET($BM$9,CL74-1,0,1,1))*OFFSET($CH$9,CL74-1,0,1,1))+OFFSET($BO$9,CL74-1,CQ74,1,1),IF(F74&lt;OFFSET($BN$9,CL74+0,0,1,1),((F74-OFFSET($BM$9,CL74+0,0,1,1))*OFFSET($CH$9,CL74+0,0,1,1))+OFFSET($BO$9,CL74+0,CQ74,1,1),IF(F74&lt;OFFSET($BN$9,CL74+1,0,1,1),((F74-OFFSET($BM$9,CL74+1,0,1,1))*OFFSET($CH$9,CL74+1,0,1,1))+OFFSET($BO$9,CL74+1,CQ74,1,1),IF(F74&lt;OFFSET($BN$9,CL74+2,0,1,1),((F74-OFFSET($BM$9,CL74+2,0,1,1))*OFFSET($CH$9,CL74+2,0,1,1))+OFFSET($BO$9,CL74+2,CQ74,1,1),IF(F74&lt;OFFSET($BN$9,CL74+3,0,1,1),((F74-OFFSET($BM$9,CL74+3,0,1,1))*OFFSET($CH$9,CL74+3,0,1,1))+OFFSET($BO$9,CL74+3,CQ74,1,1),0))))))</f>
        <v>0</v>
      </c>
      <c r="CT74" s="51">
        <f ca="1">IF($F74&lt;OFFSET($BM$9,$CL74-1,0,1,1),0,IF($F74&lt;OFFSET($BN$9,$CL74-1,0,1,1),IF(AND($H74&gt;2.4,Z74&lt;&gt;"e",Z74&lt;&gt;"f"),CX74*2.4/$H74,CX74),IF($F74&lt;OFFSET($BN$9,$CL74+0,0,1,1),IF(AND($H74&gt;2.4,Z74&lt;&gt;"e",Z74&lt;&gt;"f"),CX74*2.4/$H74,CX74),IF($F74&lt;OFFSET($BN$9,$CL74+1,0,1,1),IF(AND($H74&gt;2.4,Z74&lt;&gt;"e",Z74&lt;&gt;"f"),CX74*2.4/$H74,CX74),IF($F74&lt;OFFSET($BN$9,CL74+2,0,1,1),IF(AND($H74&gt;2.4,Z74&lt;&gt;"e",Z74&lt;&gt;"f"),CX74*2.4/$H74,CX74),IF($F74&lt;OFFSET($BN$9,CL74+3,0,1,1),IF(AND($H74&gt;2.4,Z74&lt;&gt;"e",Z74&lt;&gt;"f"),CX74*2.4/$H74,CX74),0)))))*COS(RADIANS($G74)))</f>
        <v>0</v>
      </c>
      <c r="CU74" s="51">
        <f ca="1">IF(F74&lt;OFFSET($BM$9,CL74-1,0,1,1),0,IF(F74&lt;OFFSET($BN$9,CL74-1,0,1,1),((F74-OFFSET($BM$9,CL74-1,0,1,1))*OFFSET($CI$9,CL74-1,0,1,1))+OFFSET($BP$9,CL74-1,CQ74,1,1),IF(F74&lt;OFFSET($BN$9,CL74+0,0,1,1),((F74-OFFSET($BM$9,CL74+0,0,1,1))*OFFSET($CI$9,CL74+0,0,1,1))+OFFSET($BP$9,CL74+0,CQ74,1,1),IF(F74&lt;OFFSET($BN$9,CL74+1,0,1,1),((F74-OFFSET($BM$9,CL74+1,0,1,1))*OFFSET($CI$9,CL74+1,0,1,1))+OFFSET($BP$9,CL74+1,CQ74,1,1),IF(F74&lt;OFFSET($BN$9,CL74+2,0,1,1),((F74-OFFSET($BM$9,CL74+2,0,1,1))*OFFSET($CI$9,CL74+2,0,1,1))+OFFSET($BP$9,CL74+2,CQ74,1,1),IF(F74&lt;OFFSET($BN$9,CL74+3,0,1,1),((F74-OFFSET($BM$9,CL74+3,0,1,1))*OFFSET($CI$9,CL74+3,0,1,1))+OFFSET($BP$9,CL74+3,CQ74,1,1),0))))))</f>
        <v>0</v>
      </c>
      <c r="CV74" s="51">
        <f ca="1">IF($F74&lt;OFFSET($BM$9,$CL74-1,0,1,1),0,IF($F74&lt;OFFSET($BN$9,$CL74-1,0,1,1),IF(AND($H74&gt;2.4,Z74&lt;&gt;"e",Z74&lt;&gt;"f"),CZ74*2.4/$H74,CZ74),IF($F74&lt;OFFSET($BN$9,$CL74+0,0,1,1),IF(AND($H74&gt;2.4,Z74&lt;&gt;"e",Z74&lt;&gt;"f"),CZ74*2.4/$H74,CZ74),IF($F74&lt;OFFSET($BN$9,$CL74+1,0,1,1),IF(AND($H74&gt;2.4,Z74&lt;&gt;"e",Z74&lt;&gt;"f"),CZ74*2.4/$H74,CZ74),IF($F74&lt;OFFSET($BN$9,$CL74+2,0,1,1),IF(AND($H74&gt;2.4,Z74&lt;&gt;"e",Z74&lt;&gt;"f"),CZ74*2.4/$H74,CZ74),IF($F74&lt;OFFSET($BN$9,$CL74+3,0,1,1),IF(AND($H74&gt;2.4,Z74&lt;&gt;"e",Z74&lt;&gt;"f"),CZ74*2.4/$H74,CZ74),0)))))*COS(RADIANS($G74)))</f>
        <v>0</v>
      </c>
      <c r="CW74" s="51">
        <f ca="1">IF(CT74&gt;CR74,CR74,CT74)</f>
        <v>0</v>
      </c>
      <c r="CX74" s="51">
        <f ca="1">IF(CS74&gt;$CR74,$CR74,CS74)</f>
        <v>0</v>
      </c>
      <c r="CY74" s="51">
        <f ca="1">CW74*F74</f>
        <v>0</v>
      </c>
      <c r="CZ74" s="51">
        <f ca="1">IF($CU74&gt;$CR74,$CR74,$CU74)</f>
        <v>0</v>
      </c>
      <c r="DA74" s="51">
        <f ca="1">IF(CV74&gt;CR74,CR74,CV74)</f>
        <v>0</v>
      </c>
      <c r="DB74" s="51">
        <f ca="1">DA74*F74</f>
        <v>0</v>
      </c>
      <c r="DC74" s="993">
        <v>1</v>
      </c>
      <c r="DD74" s="758" t="str">
        <f>IF(OR(D74=BG$12,D74=BG$13),"External",IF(D74=BG$14,"Internal"," "))</f>
        <v xml:space="preserve"> </v>
      </c>
      <c r="DE74" s="51" t="str">
        <f t="shared" ref="DE74:DE78" ca="1" si="33">IF(AND(OFFSET($CH$9,CL74-1,-14,1,1)="I",DD74="External"),BE$66,IF(AND(OFFSET($CH$9,CL74-1,-14,1,1)="M",DD74="Internal"),BE$65,IF(AND(OFFSET($CH$9,CL74-1,-14,1,1)="M",DD74=" "),BE$64,IF(AND(OFFSET($CH$9,CL74-1,-14,1,1)="E",DD74="Internal"),BE$62,IF(AND(OFFSET($CH$9,CL74-1,-14,1,1)="E",DD74=" "),BE$61,IF(AND(DF74="Double",E74=$BG$16),BE$67,""))))))</f>
        <v/>
      </c>
      <c r="DF74" s="52" t="str">
        <f t="shared" ref="DF74:DF78" ca="1" si="34">IF(I74=" "," ",OFFSET($BM$9,$CL74-1,11,1,1))</f>
        <v xml:space="preserve"> </v>
      </c>
      <c r="DG74" s="51">
        <f ca="1">IF(F74&lt;OFFSET($BM$9,CN74-1,0,1,1),0,IF(F74&lt;OFFSET($BN$9,CN74-1,0,1,1),((F74-OFFSET($BM$9,CN74-1,0,1,1))*OFFSET($CH$9,CN74-1,0,1,1))+OFFSET($BO$9,CN74-1,CQ74,1,1),IF(F74&lt;OFFSET($BN$9,CN74+0,0,1,1),((F74-OFFSET($BM$9,CN74+0,0,1,1))*OFFSET($CH$9,CN74+0,0,1,1))+OFFSET($BO$9,CN74+0,CQ74,1,1),IF(F74&lt;OFFSET($BN$9,CN74+1,0,1,1),((F74-OFFSET($BM$9,CN74+1,0,1,1))*OFFSET($CH$9,CN74+1,0,1,1))+OFFSET($BO$9,CN74+1,CQ74,1,1),IF(F74&lt;OFFSET($BN$9,CN74+2,0,1,1),((F74-OFFSET($BM$9,CN74+2,0,1,1))*OFFSET($CH$9,CN74+2,0,1,1))+OFFSET($BO$9,CN74+2,CQ74,1,1),IF(F74&lt;OFFSET($BN$9,CN74+3,0,1,1),((F74-OFFSET($BM$9,CN74+3,0,1,1))*OFFSET($CH$9,CN74+3,0,1,1))+OFFSET($BO$9,CN74+3,CQ74,1,1),0))))))</f>
        <v>0</v>
      </c>
      <c r="DH74" s="51">
        <f ca="1">IF($F74&lt;OFFSET($BM$9,$CN74-1,0,1,1),0,IF($F74&lt;OFFSET($BN$9,$CN74-1,0,1,1),IF(AND($H74&gt;2.4,Z74&lt;&gt;"e",Z74&lt;&gt;"f"),DL74*2.4/$H74,DL74),IF($F74&lt;OFFSET($BN$9,$CN74+0,0,1,1),IF(AND($H74&gt;2.4,Z74&lt;&gt;"e",Z74&lt;&gt;"f"),DL74*2.4/$H74,DL74),IF($F74&lt;OFFSET($BN$9,$CN74+1,0,1,1),IF(AND($H74&gt;2.4,Z74&lt;&gt;"e",Z74&lt;&gt;"f"),DL74*2.4/$H74,DL74),IF($F74&lt;OFFSET($BN$9,$CN74+2,0,1,1),IF(AND($H74&gt;2.4,Z74&lt;&gt;"e",Z74&lt;&gt;"f"),DL74*2.4/$H74,DL74),IF($F74&lt;OFFSET($BN$9,$CN74+3,0,1,1),IF(AND($H74&gt;2.4,Z74&lt;&gt;"e",Z74&lt;&gt;"f"),DL74*2.4/$H74,DL74),0)))))*COS(RADIANS($G74)))</f>
        <v>0</v>
      </c>
      <c r="DI74" s="51">
        <f ca="1">IF(F74&lt;OFFSET($BM$9,CN74-1,0,1,1),0,IF(F74&lt;OFFSET($BN$9,CN74-1,0,1,1),((F74-OFFSET($BM$9,CN74-1,0,1,1))*OFFSET($CI$9,CN74-1,0,1,1))+OFFSET($BP$9,CN74-1,CQ74,1,1),IF(F74&lt;OFFSET($BN$9,CN74+0,0,1,1),((F74-OFFSET($BM$9,CN74+0,0,1,1))*OFFSET($CI$9,CN74+0,0,1,1))+OFFSET($BP$9,CN74+0,CQ74,1,1),IF(F74&lt;OFFSET($BN$9,CN74+1,0,1,1),((F74-OFFSET($BM$9,CN74+1,0,1,1))*OFFSET($CI$9,CN74+1,0,1,1))+OFFSET($BP$9,CN74+1,CQ74,1,1),IF(F74&lt;OFFSET($BN$9,CN74+2,0,1,1),((F74-OFFSET($BM$9,CN74+2,0,1,1))*OFFSET($CI$9,CN74+2,0,1,1))+OFFSET($BP$9,CN74+2,CQ74,1,1),IF(F74&lt;OFFSET($BN$9,CN74+3,0,1,1),((F74-OFFSET($BM$9,CN74+3,0,1,1))*OFFSET($CI$9,CN74+3,0,1,1))+OFFSET($BP$9,CN74+3,CQ74,1,1),0))))))</f>
        <v>0</v>
      </c>
      <c r="DJ74" s="51">
        <f ca="1">IF($F74&lt;OFFSET($BM$9,$CN74-1,0,1,1),0,IF($F74&lt;OFFSET($BN$9,$CN74-1,0,1,1),IF(AND($H74&gt;2.4,Z74&lt;&gt;"e",Z74&lt;&gt;"f"),DN74*2.4/$H74,DN74),IF($F74&lt;OFFSET($BN$9,$CN74+0,0,1,1),IF(AND($H74&gt;2.4,Z74&lt;&gt;"e",Z74&lt;&gt;"f"),DN74*2.4/$H74,DN74),IF($F74&lt;OFFSET($BN$9,$CN74+1,0,1,1),IF(AND($H74&gt;2.4,Z74&lt;&gt;"e",Z74&lt;&gt;"f"),DN74*2.4/$H74,DN74),IF($F74&lt;OFFSET($BN$9,$CN74+2,0,1,1),IF(AND($H74&gt;2.4,Z74&lt;&gt;"e",Z74&lt;&gt;"f"),DN74*2.4/$H74,DN74),IF($F74&lt;OFFSET($BN$9,$CN74+3,0,1,1),IF(AND($H74&gt;2.4,Z74&lt;&gt;"e",Z74&lt;&gt;"f"),DN74*2.4/$H74,DN74),0)))))*COS(RADIANS($G74)))</f>
        <v>0</v>
      </c>
      <c r="DK74" s="51"/>
      <c r="DL74" s="51">
        <f ca="1">IF(DG74&gt;$CR74,$CR74,DG74)</f>
        <v>0</v>
      </c>
      <c r="DM74" s="51"/>
      <c r="DN74" s="51">
        <f ca="1">IF(DI74&gt;$CR74,$CR74,DI74)</f>
        <v>0</v>
      </c>
      <c r="DO74" s="435">
        <f ca="1">IF(DH74&gt;$CR74,$CR74,DH74)</f>
        <v>0</v>
      </c>
      <c r="DP74" s="435">
        <f ca="1">DO74*F74</f>
        <v>0</v>
      </c>
      <c r="DQ74" s="436">
        <f ca="1">IF(DJ74&gt;$CR74,$CR74,DJ74)</f>
        <v>0</v>
      </c>
      <c r="DR74" s="437">
        <f ca="1">DQ74*F74</f>
        <v>0</v>
      </c>
      <c r="DS74" s="426">
        <f ca="1">OFFSET($CH$9,CL74-1,-15,1,1)</f>
        <v>0</v>
      </c>
      <c r="DT74" s="426">
        <f ca="1">VLOOKUP(DS74,Prodlink,2,0)</f>
        <v>0</v>
      </c>
      <c r="DU74" s="188">
        <f ca="1">IF(F74&lt;OFFSET($BM$9,DT74-1,0,1,1),0,IF(F74&lt;OFFSET($BN$9,DT74-1,0,1,1),((F74-OFFSET($BM$9,DT74-1,0,1,1))*OFFSET($CH$9,DT74-1,0,1,1))+OFFSET($BO$9,DT74-1,CQ74,1,1),IF(F74&lt;OFFSET($BN$9,DT74+0,0,1,1),((F74-OFFSET($BM$9,DT74+0,0,1,1))*OFFSET($CH$9,DT74+0,0,1,1))+OFFSET($BO$9,DT74+0,CQ74,1,1),IF(F74&lt;OFFSET($BN$9,DT74+1,0,1,1),((F74-OFFSET($BM$9,DT74+1,0,1,1))*OFFSET($CH$9,DT74+1,0,1,1))+OFFSET($BO$9,DT74+1,CQ74,1,1),IF(F74&lt;OFFSET($BN$9,DT74+2,0,1,1),((F74-OFFSET($BM$9,DT74+2,0,1,1))*OFFSET($CH$9,DT74+2,0,1,1))+OFFSET($BO$9,DT74+2,CQ74,1,1),IF(F74&lt;OFFSET($BN$9,DT74+3,0,1,1),((F74-OFFSET($BM$9,DT74+3,0,1,1))*OFFSET($CH$9,DT74+3,0,1,1))+OFFSET($BO$9,DT74+3,CQ74,1,1),0))))))</f>
        <v>0</v>
      </c>
      <c r="DV74" s="51">
        <f ca="1">IF($F74&lt;OFFSET($BM$9,$DT74-1,0,1,1),0,IF($F74&lt;OFFSET($BN$9,$DT74-1,0,1,1),IF(AND($H74&gt;2.4,Z74&lt;&gt;"e",Z74&lt;&gt;"f"),DZ74*2.4/$H74,DZ74),IF($F74&lt;OFFSET($BN$9,$DT74+0,0,1,1),IF(AND($H74&gt;2.4,Z74&lt;&gt;"e",Z74&lt;&gt;"f"),DZ74*2.4/$H74,DZ74),IF($F74&lt;OFFSET($BN$9,$DT74+1,0,1,1),IF(AND($H74&gt;2.4,Z74&lt;&gt;"e",Z74&lt;&gt;"f"),DZ74*2.4/$H74,DZ74),IF($F74&lt;OFFSET($BN$9,$DT74+2,0,1,1),IF(AND($H74&gt;2.4,Z74&lt;&gt;"e",Z74&lt;&gt;"f"),DZ74*2.4/$H74,DZ74),IF($F74&lt;OFFSET($BN$9,$DT74+3,0,1,1),IF(AND($H74&gt;2.4,Z74&lt;&gt;"e",Z74&lt;&gt;"f"),DZ74*2.4/$H74,DZ74),0)))))*COS(RADIANS($G74)))</f>
        <v>0</v>
      </c>
      <c r="DW74" s="188">
        <f ca="1">IF(F74&lt;OFFSET($BM$9,DT74-1,0,1,1),0,IF(F74&lt;OFFSET($BN$9,DT74-1,0,1,1),((F74-OFFSET($BM$9,DT74-1,0,1,1))*OFFSET($CI$9,DT74-1,0,1,1))+OFFSET($BP$9,DT74-1,CQ74,1,1),IF(F74&lt;OFFSET($BN$9,DT74+0,0,1,1),((F74-OFFSET($BM$9,DT74+0,0,1,1))*OFFSET($CI$9,DT74+0,0,1,1))+OFFSET($BP$9,DT74+0,CQ74,1,1),IF(F74&lt;OFFSET($BN$9,DT74+1,0,1,1),((F74-OFFSET($BM$9,DT74+1,0,1,1))*OFFSET($CI$9,DT74+1,0,1,1))+OFFSET($BP$9,DT74+1,CQ74,1,1),IF(F74&lt;OFFSET($BN$9,DT74+2,0,1,1),((F74-OFFSET($BM$9,DT74+2,0,1,1))*OFFSET($CI$9,DT74+2,0,1,1))+OFFSET($BP$9,DT74+2,CQ74,1,1),IF(F74&lt;OFFSET($BN$9,DT74+3,0,1,1),((F74-OFFSET($BM$9,DT74+3,0,1,1))*OFFSET($CI$9,DT74+3,0,1,1))+OFFSET($BP$9,DT74+3,CQ74,1,1),0))))))</f>
        <v>0</v>
      </c>
      <c r="DX74" s="51">
        <f ca="1">IF($F74&lt;OFFSET($BM$9,$DT74-1,0,1,1),0,IF($F74&lt;OFFSET($BN$9,$DT74-1,0,1,1),IF(AND($H74&gt;2.4,Z74&lt;&gt;"e",Z74&lt;&gt;"f"),EB74*2.4/$H74,EB74),IF($F74&lt;OFFSET($BN$9,$DT74+0,0,1,1),IF(AND($H74&gt;2.4,Z74&lt;&gt;"e",Z74&lt;&gt;"f"),EB74*2.4/$H74,EB74),IF($F74&lt;OFFSET($BN$9,$DT74+1,0,1,1),IF(AND($H74&gt;2.4,Z74&lt;&gt;"e",Z74&lt;&gt;"f"),EB74*2.4/$H74,EB74),IF($F74&lt;OFFSET($BN$9,$DT74+2,0,1,1),IF(AND($H74&gt;2.4,Z74&lt;&gt;"e",Z74&lt;&gt;"f"),EB74*2.4/$H74,EB74),IF($F74&lt;OFFSET($BN$9,$DT74+3,0,1,1),IF(AND($H74&gt;2.4,Z74&lt;&gt;"e",Z74&lt;&gt;"f"),EB74*2.4/$H74,EB74),0)))))*COS(RADIANS($G74)))</f>
        <v>0</v>
      </c>
      <c r="DY74" s="188"/>
      <c r="DZ74" s="188">
        <f ca="1">IF(DU74&gt;$CR74,$CR74,DU74)</f>
        <v>0</v>
      </c>
      <c r="EA74" s="188"/>
      <c r="EB74" s="188">
        <f ca="1">IF(DW74&gt;$CR74,$CR74,DW74)</f>
        <v>0</v>
      </c>
      <c r="EC74" s="435">
        <f ca="1">IF(DV74&gt;$CR74,$CR74,DV74)</f>
        <v>0</v>
      </c>
      <c r="ED74" s="435">
        <f ca="1">EC74*F74</f>
        <v>0</v>
      </c>
      <c r="EE74" s="436">
        <f ca="1">IF(DX74&gt;$CR74,$CR74,DX74)</f>
        <v>0</v>
      </c>
      <c r="EF74" s="437">
        <f ca="1">EE74*F74</f>
        <v>0</v>
      </c>
      <c r="EG74" s="613" t="str">
        <f>IF(D74=BG$12,BG$12,"")</f>
        <v/>
      </c>
      <c r="EH74" s="614" t="str">
        <f>IF(D74=BG$13,BG$13,"")</f>
        <v/>
      </c>
      <c r="EI74" s="611">
        <f>IF(EG74=BG$12,M74,0)</f>
        <v>0</v>
      </c>
      <c r="EJ74" s="451">
        <f>IF(EG74=BG$12,O74,0)</f>
        <v>0</v>
      </c>
      <c r="EK74" s="451">
        <f>IF(EH74=BG$13,M74,0)</f>
        <v>0</v>
      </c>
      <c r="EL74" s="612">
        <f>IF(EH74=BG$13,O74,0)</f>
        <v>0</v>
      </c>
      <c r="EM74" s="426" t="str">
        <f ca="1">IF(AND(Z74&lt;&gt;"t",Z74&lt;&gt;"f"),"",IF(AND(EN74=$BH$13,K74=$BH$12),"NotOpt",IF(K74&lt;&gt;EN74,"Error","")))</f>
        <v/>
      </c>
      <c r="EN74" s="490" t="str">
        <f>IF($BG$28=1,$BH$13,$BH$12)</f>
        <v>120 BU's</v>
      </c>
      <c r="EO74" s="426" t="str">
        <f>K74</f>
        <v xml:space="preserve"> </v>
      </c>
      <c r="EP74" s="430">
        <v>1</v>
      </c>
      <c r="EQ74" s="430" t="str">
        <f ca="1">IF(EP74=1," ",OFFSET(BF$16,EP74-2,0,1,1))</f>
        <v xml:space="preserve"> </v>
      </c>
      <c r="ER74" s="439" t="str">
        <f ca="1">IF(H74=0," ",H74)</f>
        <v xml:space="preserve"> </v>
      </c>
      <c r="ES74" s="440" t="str">
        <f ca="1">IF(ER74&lt;&gt;" ",IF(ER74&lt;&gt;ER$7,"Changed",""),"")</f>
        <v/>
      </c>
      <c r="ET74" s="440">
        <f ca="1">IF(ER74&lt;&gt;" ",IF(ER74&lt;&gt;ER$7,1,0),0)</f>
        <v>0</v>
      </c>
      <c r="EU74" s="957" t="str">
        <f ca="1">IF(I74=" "," ",IF(F74&lt;OFFSET($BM$9,CL74-1,0,1,1),1,""))</f>
        <v xml:space="preserve"> </v>
      </c>
      <c r="EW74" s="427"/>
      <c r="EX74"/>
      <c r="EY74"/>
      <c r="EZ74"/>
      <c r="FA74"/>
    </row>
    <row r="75" spans="1:157" ht="17.100000000000001" hidden="1" customHeight="1">
      <c r="A75" s="2685"/>
      <c r="B75" s="689" t="s">
        <v>246</v>
      </c>
      <c r="C75" s="684" t="str">
        <f>IF(OR(F75=0,I75="",I75=" ")," ",$V75)</f>
        <v xml:space="preserve"> </v>
      </c>
      <c r="D75" s="1033"/>
      <c r="E75" s="1360" t="s">
        <v>8</v>
      </c>
      <c r="F75" s="202"/>
      <c r="G75" s="1416"/>
      <c r="H75" s="199" t="str">
        <f ca="1">IF(OR(F75=0,Z75="E",Z75="f")," ",'Project Demand'!E$45)</f>
        <v xml:space="preserve"> </v>
      </c>
      <c r="I75" s="631" t="str">
        <f>IF($I$6&lt;&gt;$BG$8," ",AB75)</f>
        <v xml:space="preserve"> </v>
      </c>
      <c r="J75" s="44" t="str">
        <f ca="1">IF(OR(I75=" ",I75="")," ",OFFSET($BO$9,CL75-1,0-4,1,1))</f>
        <v xml:space="preserve"> </v>
      </c>
      <c r="K75" s="55" t="str">
        <f>IF(OR(I75=" ",I75="")," ",IF(OR(Z75="e",Z75="h"),"SD",BG$24))</f>
        <v xml:space="preserve"> </v>
      </c>
      <c r="L75" s="49">
        <f ca="1">CW75</f>
        <v>0</v>
      </c>
      <c r="M75" s="49">
        <f ca="1">CY75</f>
        <v>0</v>
      </c>
      <c r="N75" s="50">
        <f t="shared" ca="1" si="32"/>
        <v>0</v>
      </c>
      <c r="O75" s="126">
        <f t="shared" ca="1" si="32"/>
        <v>0</v>
      </c>
      <c r="P75" s="140"/>
      <c r="Q75" s="752" t="str">
        <f ca="1">IF(OR(I75=" ",I75="")," ",IF(F75&lt;OFFSET($BM$9,CL75-1,0,1,1),"check L(m)",IF(DE75&lt;&gt;"",DE75,IF(AND(DP75&gt;=CY75,DR75&gt;=DB75),IF(AND(ED75&gt;=DP75,EF75&gt;=DR75),CONCATENATE(DS75," provides same results"),CONCATENATE(CO75," provides same results")),IF((DP75&gt;=CY75),CONCATENATE(CO75," provides same result in WIND"),IF((DR75&gt;=DB75),CONCATENATE(CO75," provides same result in EQ",""),""))))))</f>
        <v xml:space="preserve"> </v>
      </c>
      <c r="R75" s="52"/>
      <c r="S75" s="1372"/>
      <c r="T75" s="1372"/>
      <c r="U75" s="1377"/>
      <c r="V75" s="52" t="str">
        <f ca="1">IF(AND(B$5=$BF$9,OR(I75=BH$16,I75=BH$17))," ",IF(ISNUMBER(B$74),(CONCATENATE(B$74,".",W75)),(CONCATENATE(B$74,W75))))</f>
        <v>X0</v>
      </c>
      <c r="W75" s="9">
        <f ca="1">W74+X75</f>
        <v>0</v>
      </c>
      <c r="X75" s="9">
        <f>IF(AND(B$5=$BF$9,OR($I75=$BH$16,$I75=$BH$17,$I75=" ",$I75="",$F75=0)),0,IF(OR($I75=" ",$I75="",$F75=0),0,1))</f>
        <v>0</v>
      </c>
      <c r="Y75" s="896"/>
      <c r="Z75" s="52" t="str">
        <f ca="1">IF(I75=" "," ",OFFSET($BM$9,$CL75-1,8,1,1))</f>
        <v xml:space="preserve"> </v>
      </c>
      <c r="AA75" s="51" t="str">
        <f>IF(G75&gt;=45,"WA","")</f>
        <v/>
      </c>
      <c r="AB75" s="1364" t="str">
        <f>IF(F75&lt;&gt;"",IF(OR(D75=$BG$12,D75=$BG$13),IF(E75&lt;&gt;$BG$17,$BF$12,$BF$13),IF(E75&lt;&gt;$BG$17,$BF$12,$BF$13))," ")</f>
        <v xml:space="preserve"> </v>
      </c>
      <c r="AC75" s="1"/>
      <c r="BA75"/>
      <c r="BB75"/>
      <c r="BC75"/>
      <c r="BD75" s="652"/>
      <c r="BI75" s="759"/>
      <c r="BJ75" s="897">
        <f t="shared" si="25"/>
        <v>67</v>
      </c>
      <c r="BK75" s="764"/>
      <c r="BL75" s="773"/>
      <c r="BM75" s="455">
        <f>Table!P17</f>
        <v>0.6</v>
      </c>
      <c r="BN75" s="455">
        <f>BM76</f>
        <v>0.8</v>
      </c>
      <c r="BO75" s="455">
        <f>Table!Q17</f>
        <v>120</v>
      </c>
      <c r="BP75" s="925">
        <f>Table!R17</f>
        <v>130</v>
      </c>
      <c r="BR75" s="764"/>
      <c r="BS75" s="455"/>
      <c r="BT75" s="455"/>
      <c r="BU75" s="925" t="s">
        <v>242</v>
      </c>
      <c r="BV75" s="895"/>
      <c r="BW75" s="912"/>
      <c r="BX75" s="925" t="str">
        <f>Table!T17</f>
        <v>Double</v>
      </c>
      <c r="CH75" s="764">
        <f>IF(BN75=999,0,(BO76-BO75)/(BN75-BM75))</f>
        <v>99.999999999999972</v>
      </c>
      <c r="CI75" s="925">
        <f>IF(BN75=999,0,(BP76-BP75)/(BN75-BM75))</f>
        <v>49.999999999999986</v>
      </c>
      <c r="CJ75" s="759"/>
      <c r="CK75" s="188"/>
      <c r="CL75" s="979">
        <f>VLOOKUP(I75,Prodlink,2,0)</f>
        <v>0</v>
      </c>
      <c r="CN75" s="497">
        <f ca="1">VLOOKUP(CO75,Prodlink,2,0)</f>
        <v>0</v>
      </c>
      <c r="CO75" s="497">
        <f ca="1">OFFSET($CH$9,CL75-1,-15,1,1)</f>
        <v>0</v>
      </c>
      <c r="CQ75" s="51">
        <v>0</v>
      </c>
      <c r="CR75" s="51">
        <f>IF(K75=$BH$12,$BH$23,IF(K75=$BH$13,$BH$24,10000))</f>
        <v>10000</v>
      </c>
      <c r="CS75" s="51">
        <f ca="1">IF(F75&lt;OFFSET($BM$9,CL75-1,0,1,1),0,IF(F75&lt;OFFSET($BN$9,CL75-1,0,1,1),((F75-OFFSET($BM$9,CL75-1,0,1,1))*OFFSET($CH$9,CL75-1,0,1,1))+OFFSET($BO$9,CL75-1,CQ75,1,1),IF(F75&lt;OFFSET($BN$9,CL75+0,0,1,1),((F75-OFFSET($BM$9,CL75+0,0,1,1))*OFFSET($CH$9,CL75+0,0,1,1))+OFFSET($BO$9,CL75+0,CQ75,1,1),IF(F75&lt;OFFSET($BN$9,CL75+1,0,1,1),((F75-OFFSET($BM$9,CL75+1,0,1,1))*OFFSET($CH$9,CL75+1,0,1,1))+OFFSET($BO$9,CL75+1,CQ75,1,1),IF(F75&lt;OFFSET($BN$9,CL75+2,0,1,1),((F75-OFFSET($BM$9,CL75+2,0,1,1))*OFFSET($CH$9,CL75+2,0,1,1))+OFFSET($BO$9,CL75+2,CQ75,1,1),IF(F75&lt;OFFSET($BN$9,CL75+3,0,1,1),((F75-OFFSET($BM$9,CL75+3,0,1,1))*OFFSET($CH$9,CL75+3,0,1,1))+OFFSET($BO$9,CL75+3,CQ75,1,1),0))))))</f>
        <v>0</v>
      </c>
      <c r="CT75" s="51">
        <f ca="1">IF($F75&lt;OFFSET($BM$9,$CL75-1,0,1,1),0,IF($F75&lt;OFFSET($BN$9,$CL75-1,0,1,1),IF(AND($H75&gt;2.4,Z75&lt;&gt;"e",Z75&lt;&gt;"f"),CX75*2.4/$H75,CX75),IF($F75&lt;OFFSET($BN$9,$CL75+0,0,1,1),IF(AND($H75&gt;2.4,Z75&lt;&gt;"e",Z75&lt;&gt;"f"),CX75*2.4/$H75,CX75),IF($F75&lt;OFFSET($BN$9,$CL75+1,0,1,1),IF(AND($H75&gt;2.4,Z75&lt;&gt;"e",Z75&lt;&gt;"f"),CX75*2.4/$H75,CX75),IF($F75&lt;OFFSET($BN$9,CL75+2,0,1,1),IF(AND($H75&gt;2.4,Z75&lt;&gt;"e",Z75&lt;&gt;"f"),CX75*2.4/$H75,CX75),IF($F75&lt;OFFSET($BN$9,CL75+3,0,1,1),IF(AND($H75&gt;2.4,Z75&lt;&gt;"e",Z75&lt;&gt;"f"),CX75*2.4/$H75,CX75),0)))))*COS(RADIANS($G75)))</f>
        <v>0</v>
      </c>
      <c r="CU75" s="51">
        <f ca="1">IF(F75&lt;OFFSET($BM$9,CL75-1,0,1,1),0,IF(F75&lt;OFFSET($BN$9,CL75-1,0,1,1),((F75-OFFSET($BM$9,CL75-1,0,1,1))*OFFSET($CI$9,CL75-1,0,1,1))+OFFSET($BP$9,CL75-1,CQ75,1,1),IF(F75&lt;OFFSET($BN$9,CL75+0,0,1,1),((F75-OFFSET($BM$9,CL75+0,0,1,1))*OFFSET($CI$9,CL75+0,0,1,1))+OFFSET($BP$9,CL75+0,CQ75,1,1),IF(F75&lt;OFFSET($BN$9,CL75+1,0,1,1),((F75-OFFSET($BM$9,CL75+1,0,1,1))*OFFSET($CI$9,CL75+1,0,1,1))+OFFSET($BP$9,CL75+1,CQ75,1,1),IF(F75&lt;OFFSET($BN$9,CL75+2,0,1,1),((F75-OFFSET($BM$9,CL75+2,0,1,1))*OFFSET($CI$9,CL75+2,0,1,1))+OFFSET($BP$9,CL75+2,CQ75,1,1),IF(F75&lt;OFFSET($BN$9,CL75+3,0,1,1),((F75-OFFSET($BM$9,CL75+3,0,1,1))*OFFSET($CI$9,CL75+3,0,1,1))+OFFSET($BP$9,CL75+3,CQ75,1,1),0))))))</f>
        <v>0</v>
      </c>
      <c r="CV75" s="51">
        <f ca="1">IF($F75&lt;OFFSET($BM$9,$CL75-1,0,1,1),0,IF($F75&lt;OFFSET($BN$9,$CL75-1,0,1,1),IF(AND($H75&gt;2.4,Z75&lt;&gt;"e",Z75&lt;&gt;"f"),CZ75*2.4/$H75,CZ75),IF($F75&lt;OFFSET($BN$9,$CL75+0,0,1,1),IF(AND($H75&gt;2.4,Z75&lt;&gt;"e",Z75&lt;&gt;"f"),CZ75*2.4/$H75,CZ75),IF($F75&lt;OFFSET($BN$9,$CL75+1,0,1,1),IF(AND($H75&gt;2.4,Z75&lt;&gt;"e",Z75&lt;&gt;"f"),CZ75*2.4/$H75,CZ75),IF($F75&lt;OFFSET($BN$9,$CL75+2,0,1,1),IF(AND($H75&gt;2.4,Z75&lt;&gt;"e",Z75&lt;&gt;"f"),CZ75*2.4/$H75,CZ75),IF($F75&lt;OFFSET($BN$9,$CL75+3,0,1,1),IF(AND($H75&gt;2.4,Z75&lt;&gt;"e",Z75&lt;&gt;"f"),CZ75*2.4/$H75,CZ75),0)))))*COS(RADIANS($G75)))</f>
        <v>0</v>
      </c>
      <c r="CW75" s="51">
        <f ca="1">IF(CT75&gt;CR75,CR75,CT75)</f>
        <v>0</v>
      </c>
      <c r="CX75" s="51">
        <f ca="1">IF(CS75&gt;$CR75,$CR75,CS75)</f>
        <v>0</v>
      </c>
      <c r="CY75" s="51">
        <f ca="1">CW75*F75</f>
        <v>0</v>
      </c>
      <c r="CZ75" s="51">
        <f ca="1">IF($CU75&gt;$CR75,$CR75,$CU75)</f>
        <v>0</v>
      </c>
      <c r="DA75" s="51">
        <f ca="1">IF(CV75&gt;CR75,CR75,CV75)</f>
        <v>0</v>
      </c>
      <c r="DB75" s="51">
        <f ca="1">DA75*F75</f>
        <v>0</v>
      </c>
      <c r="DC75" s="993">
        <v>1</v>
      </c>
      <c r="DD75" s="758" t="str">
        <f>IF(OR(D75=BG$12,D75=BG$13),"External",IF(D75=BG$14,"Internal"," "))</f>
        <v xml:space="preserve"> </v>
      </c>
      <c r="DE75" s="51" t="str">
        <f t="shared" ca="1" si="33"/>
        <v/>
      </c>
      <c r="DF75" s="52" t="str">
        <f t="shared" ca="1" si="34"/>
        <v xml:space="preserve"> </v>
      </c>
      <c r="DG75" s="51">
        <f ca="1">IF(F75&lt;OFFSET($BM$9,CN75-1,0,1,1),0,IF(F75&lt;OFFSET($BN$9,CN75-1,0,1,1),((F75-OFFSET($BM$9,CN75-1,0,1,1))*OFFSET($CH$9,CN75-1,0,1,1))+OFFSET($BO$9,CN75-1,CQ75,1,1),IF(F75&lt;OFFSET($BN$9,CN75+0,0,1,1),((F75-OFFSET($BM$9,CN75+0,0,1,1))*OFFSET($CH$9,CN75+0,0,1,1))+OFFSET($BO$9,CN75+0,CQ75,1,1),IF(F75&lt;OFFSET($BN$9,CN75+1,0,1,1),((F75-OFFSET($BM$9,CN75+1,0,1,1))*OFFSET($CH$9,CN75+1,0,1,1))+OFFSET($BO$9,CN75+1,CQ75,1,1),IF(F75&lt;OFFSET($BN$9,CN75+2,0,1,1),((F75-OFFSET($BM$9,CN75+2,0,1,1))*OFFSET($CH$9,CN75+2,0,1,1))+OFFSET($BO$9,CN75+2,CQ75,1,1),IF(F75&lt;OFFSET($BN$9,CN75+3,0,1,1),((F75-OFFSET($BM$9,CN75+3,0,1,1))*OFFSET($CH$9,CN75+3,0,1,1))+OFFSET($BO$9,CN75+3,CQ75,1,1),0))))))</f>
        <v>0</v>
      </c>
      <c r="DH75" s="51">
        <f ca="1">IF($F75&lt;OFFSET($BM$9,$CN75-1,0,1,1),0,IF($F75&lt;OFFSET($BN$9,$CN75-1,0,1,1),IF(AND($H75&gt;2.4,Z75&lt;&gt;"e",Z75&lt;&gt;"f"),DL75*2.4/$H75,DL75),IF($F75&lt;OFFSET($BN$9,$CN75+0,0,1,1),IF(AND($H75&gt;2.4,Z75&lt;&gt;"e",Z75&lt;&gt;"f"),DL75*2.4/$H75,DL75),IF($F75&lt;OFFSET($BN$9,$CN75+1,0,1,1),IF(AND($H75&gt;2.4,Z75&lt;&gt;"e",Z75&lt;&gt;"f"),DL75*2.4/$H75,DL75),IF($F75&lt;OFFSET($BN$9,$CN75+2,0,1,1),IF(AND($H75&gt;2.4,Z75&lt;&gt;"e",Z75&lt;&gt;"f"),DL75*2.4/$H75,DL75),IF($F75&lt;OFFSET($BN$9,$CN75+3,0,1,1),IF(AND($H75&gt;2.4,Z75&lt;&gt;"e",Z75&lt;&gt;"f"),DL75*2.4/$H75,DL75),0)))))*COS(RADIANS($G75)))</f>
        <v>0</v>
      </c>
      <c r="DI75" s="51">
        <f ca="1">IF(F75&lt;OFFSET($BM$9,CN75-1,0,1,1),0,IF(F75&lt;OFFSET($BN$9,CN75-1,0,1,1),((F75-OFFSET($BM$9,CN75-1,0,1,1))*OFFSET($CI$9,CN75-1,0,1,1))+OFFSET($BP$9,CN75-1,CQ75,1,1),IF(F75&lt;OFFSET($BN$9,CN75+0,0,1,1),((F75-OFFSET($BM$9,CN75+0,0,1,1))*OFFSET($CI$9,CN75+0,0,1,1))+OFFSET($BP$9,CN75+0,CQ75,1,1),IF(F75&lt;OFFSET($BN$9,CN75+1,0,1,1),((F75-OFFSET($BM$9,CN75+1,0,1,1))*OFFSET($CI$9,CN75+1,0,1,1))+OFFSET($BP$9,CN75+1,CQ75,1,1),IF(F75&lt;OFFSET($BN$9,CN75+2,0,1,1),((F75-OFFSET($BM$9,CN75+2,0,1,1))*OFFSET($CI$9,CN75+2,0,1,1))+OFFSET($BP$9,CN75+2,CQ75,1,1),IF(F75&lt;OFFSET($BN$9,CN75+3,0,1,1),((F75-OFFSET($BM$9,CN75+3,0,1,1))*OFFSET($CI$9,CN75+3,0,1,1))+OFFSET($BP$9,CN75+3,CQ75,1,1),0))))))</f>
        <v>0</v>
      </c>
      <c r="DJ75" s="51">
        <f ca="1">IF($F75&lt;OFFSET($BM$9,$CN75-1,0,1,1),0,IF($F75&lt;OFFSET($BN$9,$CN75-1,0,1,1),IF(AND($H75&gt;2.4,Z75&lt;&gt;"e",Z75&lt;&gt;"f"),DN75*2.4/$H75,DN75),IF($F75&lt;OFFSET($BN$9,$CN75+0,0,1,1),IF(AND($H75&gt;2.4,Z75&lt;&gt;"e",Z75&lt;&gt;"f"),DN75*2.4/$H75,DN75),IF($F75&lt;OFFSET($BN$9,$CN75+1,0,1,1),IF(AND($H75&gt;2.4,Z75&lt;&gt;"e",Z75&lt;&gt;"f"),DN75*2.4/$H75,DN75),IF($F75&lt;OFFSET($BN$9,$CN75+2,0,1,1),IF(AND($H75&gt;2.4,Z75&lt;&gt;"e",Z75&lt;&gt;"f"),DN75*2.4/$H75,DN75),IF($F75&lt;OFFSET($BN$9,$CN75+3,0,1,1),IF(AND($H75&gt;2.4,Z75&lt;&gt;"e",Z75&lt;&gt;"f"),DN75*2.4/$H75,DN75),0)))))*COS(RADIANS($G75)))</f>
        <v>0</v>
      </c>
      <c r="DK75" s="51"/>
      <c r="DL75" s="51">
        <f ca="1">IF(DG75&gt;$CR75,$CR75,DG75)</f>
        <v>0</v>
      </c>
      <c r="DM75" s="51"/>
      <c r="DN75" s="51">
        <f ca="1">IF(DI75&gt;$CR75,$CR75,DI75)</f>
        <v>0</v>
      </c>
      <c r="DO75" s="435">
        <f ca="1">IF(DH75&gt;$CR75,$CR75,DH75)</f>
        <v>0</v>
      </c>
      <c r="DP75" s="435">
        <f ca="1">DO75*F75</f>
        <v>0</v>
      </c>
      <c r="DQ75" s="436">
        <f ca="1">IF(DJ75&gt;$CR75,$CR75,DJ75)</f>
        <v>0</v>
      </c>
      <c r="DR75" s="437">
        <f ca="1">DQ75*F75</f>
        <v>0</v>
      </c>
      <c r="DS75" s="426">
        <f ca="1">OFFSET($CH$9,CL75-1,-15,1,1)</f>
        <v>0</v>
      </c>
      <c r="DT75" s="426">
        <f ca="1">VLOOKUP(DS75,Prodlink,2,0)</f>
        <v>0</v>
      </c>
      <c r="DU75" s="188">
        <f ca="1">IF(F75&lt;OFFSET($BM$9,DT75-1,0,1,1),0,IF(F75&lt;OFFSET($BN$9,DT75-1,0,1,1),((F75-OFFSET($BM$9,DT75-1,0,1,1))*OFFSET($CH$9,DT75-1,0,1,1))+OFFSET($BO$9,DT75-1,CQ75,1,1),IF(F75&lt;OFFSET($BN$9,DT75+0,0,1,1),((F75-OFFSET($BM$9,DT75+0,0,1,1))*OFFSET($CH$9,DT75+0,0,1,1))+OFFSET($BO$9,DT75+0,CQ75,1,1),IF(F75&lt;OFFSET($BN$9,DT75+1,0,1,1),((F75-OFFSET($BM$9,DT75+1,0,1,1))*OFFSET($CH$9,DT75+1,0,1,1))+OFFSET($BO$9,DT75+1,CQ75,1,1),IF(F75&lt;OFFSET($BN$9,DT75+2,0,1,1),((F75-OFFSET($BM$9,DT75+2,0,1,1))*OFFSET($CH$9,DT75+2,0,1,1))+OFFSET($BO$9,DT75+2,CQ75,1,1),IF(F75&lt;OFFSET($BN$9,DT75+3,0,1,1),((F75-OFFSET($BM$9,DT75+3,0,1,1))*OFFSET($CH$9,DT75+3,0,1,1))+OFFSET($BO$9,DT75+3,CQ75,1,1),0))))))</f>
        <v>0</v>
      </c>
      <c r="DV75" s="51">
        <f ca="1">IF($F75&lt;OFFSET($BM$9,$DT75-1,0,1,1),0,IF($F75&lt;OFFSET($BN$9,$DT75-1,0,1,1),IF(AND($H75&gt;2.4,Z75&lt;&gt;"e",Z75&lt;&gt;"f"),DZ75*2.4/$H75,DZ75),IF($F75&lt;OFFSET($BN$9,$DT75+0,0,1,1),IF(AND($H75&gt;2.4,Z75&lt;&gt;"e",Z75&lt;&gt;"f"),DZ75*2.4/$H75,DZ75),IF($F75&lt;OFFSET($BN$9,$DT75+1,0,1,1),IF(AND($H75&gt;2.4,Z75&lt;&gt;"e",Z75&lt;&gt;"f"),DZ75*2.4/$H75,DZ75),IF($F75&lt;OFFSET($BN$9,$DT75+2,0,1,1),IF(AND($H75&gt;2.4,Z75&lt;&gt;"e",Z75&lt;&gt;"f"),DZ75*2.4/$H75,DZ75),IF($F75&lt;OFFSET($BN$9,$DT75+3,0,1,1),IF(AND($H75&gt;2.4,Z75&lt;&gt;"e",Z75&lt;&gt;"f"),DZ75*2.4/$H75,DZ75),0)))))*COS(RADIANS($G75)))</f>
        <v>0</v>
      </c>
      <c r="DW75" s="188">
        <f ca="1">IF(F75&lt;OFFSET($BM$9,DT75-1,0,1,1),0,IF(F75&lt;OFFSET($BN$9,DT75-1,0,1,1),((F75-OFFSET($BM$9,DT75-1,0,1,1))*OFFSET($CI$9,DT75-1,0,1,1))+OFFSET($BP$9,DT75-1,CQ75,1,1),IF(F75&lt;OFFSET($BN$9,DT75+0,0,1,1),((F75-OFFSET($BM$9,DT75+0,0,1,1))*OFFSET($CI$9,DT75+0,0,1,1))+OFFSET($BP$9,DT75+0,CQ75,1,1),IF(F75&lt;OFFSET($BN$9,DT75+1,0,1,1),((F75-OFFSET($BM$9,DT75+1,0,1,1))*OFFSET($CI$9,DT75+1,0,1,1))+OFFSET($BP$9,DT75+1,CQ75,1,1),IF(F75&lt;OFFSET($BN$9,DT75+2,0,1,1),((F75-OFFSET($BM$9,DT75+2,0,1,1))*OFFSET($CI$9,DT75+2,0,1,1))+OFFSET($BP$9,DT75+2,CQ75,1,1),IF(F75&lt;OFFSET($BN$9,DT75+3,0,1,1),((F75-OFFSET($BM$9,DT75+3,0,1,1))*OFFSET($CI$9,DT75+3,0,1,1))+OFFSET($BP$9,DT75+3,CQ75,1,1),0))))))</f>
        <v>0</v>
      </c>
      <c r="DX75" s="51">
        <f ca="1">IF($F75&lt;OFFSET($BM$9,$DT75-1,0,1,1),0,IF($F75&lt;OFFSET($BN$9,$DT75-1,0,1,1),IF(AND($H75&gt;2.4,Z75&lt;&gt;"e",Z75&lt;&gt;"f"),EB75*2.4/$H75,EB75),IF($F75&lt;OFFSET($BN$9,$DT75+0,0,1,1),IF(AND($H75&gt;2.4,Z75&lt;&gt;"e",Z75&lt;&gt;"f"),EB75*2.4/$H75,EB75),IF($F75&lt;OFFSET($BN$9,$DT75+1,0,1,1),IF(AND($H75&gt;2.4,Z75&lt;&gt;"e",Z75&lt;&gt;"f"),EB75*2.4/$H75,EB75),IF($F75&lt;OFFSET($BN$9,$DT75+2,0,1,1),IF(AND($H75&gt;2.4,Z75&lt;&gt;"e",Z75&lt;&gt;"f"),EB75*2.4/$H75,EB75),IF($F75&lt;OFFSET($BN$9,$DT75+3,0,1,1),IF(AND($H75&gt;2.4,Z75&lt;&gt;"e",Z75&lt;&gt;"f"),EB75*2.4/$H75,EB75),0)))))*COS(RADIANS($G75)))</f>
        <v>0</v>
      </c>
      <c r="DY75" s="188"/>
      <c r="DZ75" s="188">
        <f ca="1">IF(DU75&gt;$CR75,$CR75,DU75)</f>
        <v>0</v>
      </c>
      <c r="EA75" s="188"/>
      <c r="EB75" s="188">
        <f ca="1">IF(DW75&gt;$CR75,$CR75,DW75)</f>
        <v>0</v>
      </c>
      <c r="EC75" s="435">
        <f ca="1">IF(DV75&gt;$CR75,$CR75,DV75)</f>
        <v>0</v>
      </c>
      <c r="ED75" s="435">
        <f ca="1">EC75*F75</f>
        <v>0</v>
      </c>
      <c r="EE75" s="436">
        <f ca="1">IF(DX75&gt;$CR75,$CR75,DX75)</f>
        <v>0</v>
      </c>
      <c r="EF75" s="437">
        <f ca="1">EE75*F75</f>
        <v>0</v>
      </c>
      <c r="EG75" s="613" t="str">
        <f>IF(D75=BG$12,BG$12,"")</f>
        <v/>
      </c>
      <c r="EH75" s="614" t="str">
        <f>IF(D75=BG$13,BG$13,"")</f>
        <v/>
      </c>
      <c r="EI75" s="611">
        <f>IF(EG75=BG$12,M75,0)</f>
        <v>0</v>
      </c>
      <c r="EJ75" s="451">
        <f>IF(EG75=BG$12,O75,0)</f>
        <v>0</v>
      </c>
      <c r="EK75" s="451">
        <f>IF(EH75=BG$13,M75,0)</f>
        <v>0</v>
      </c>
      <c r="EL75" s="612">
        <f>IF(EH75=BG$13,O75,0)</f>
        <v>0</v>
      </c>
      <c r="EM75" s="426" t="str">
        <f ca="1">IF(AND(Z75&lt;&gt;"t",Z75&lt;&gt;"f"),"",IF(AND(EN75=$BH$13,K75=$BH$12),"NotOpt",IF(K75&lt;&gt;EN75,"Error","")))</f>
        <v/>
      </c>
      <c r="EN75" s="490" t="str">
        <f>IF($BG$28=1,$BH$13,$BH$12)</f>
        <v>120 BU's</v>
      </c>
      <c r="EO75" s="426" t="str">
        <f>K75</f>
        <v xml:space="preserve"> </v>
      </c>
      <c r="EP75" s="430">
        <v>1</v>
      </c>
      <c r="EQ75" s="430" t="str">
        <f ca="1">IF(EP75=1," ",OFFSET(BF$16,EP75-2,0,1,1))</f>
        <v xml:space="preserve"> </v>
      </c>
      <c r="ER75" s="439" t="str">
        <f ca="1">IF(H75=0," ",H75)</f>
        <v xml:space="preserve"> </v>
      </c>
      <c r="ES75" s="440" t="str">
        <f ca="1">IF(ER75&lt;&gt;" ",IF(ER75&lt;&gt;ER$7,"Changed",""),"")</f>
        <v/>
      </c>
      <c r="ET75" s="440">
        <f ca="1">IF(ER75&lt;&gt;" ",IF(ER75&lt;&gt;ER$7,1,0),0)</f>
        <v>0</v>
      </c>
      <c r="EU75" s="957" t="str">
        <f ca="1">IF(I75=" "," ",IF(F75&lt;OFFSET($BM$9,CL75-1,0,1,1),1,""))</f>
        <v xml:space="preserve"> </v>
      </c>
      <c r="EW75" s="427"/>
      <c r="EX75"/>
      <c r="EY75"/>
      <c r="EZ75"/>
      <c r="FA75"/>
    </row>
    <row r="76" spans="1:157" ht="17.100000000000001" hidden="1" customHeight="1">
      <c r="A76" s="2685"/>
      <c r="B76" s="689" t="s">
        <v>246</v>
      </c>
      <c r="C76" s="684" t="str">
        <f>IF(OR(F76=0,I76="",I76=" ")," ",$V76)</f>
        <v xml:space="preserve"> </v>
      </c>
      <c r="D76" s="1033"/>
      <c r="E76" s="1360" t="s">
        <v>8</v>
      </c>
      <c r="F76" s="202"/>
      <c r="G76" s="1416"/>
      <c r="H76" s="199" t="str">
        <f ca="1">IF(OR(F76=0,Z76="E",Z76="f")," ",'Project Demand'!E$45)</f>
        <v xml:space="preserve"> </v>
      </c>
      <c r="I76" s="631" t="str">
        <f>IF($I$6&lt;&gt;$BG$8," ",AB76)</f>
        <v xml:space="preserve"> </v>
      </c>
      <c r="J76" s="44" t="str">
        <f ca="1">IF(OR(I76=" ",I76="")," ",OFFSET($BO$9,CL76-1,0-4,1,1))</f>
        <v xml:space="preserve"> </v>
      </c>
      <c r="K76" s="55" t="str">
        <f>IF(OR(I76=" ",I76="")," ",IF(OR(Z76="e",Z76="h"),"SD",BG$24))</f>
        <v xml:space="preserve"> </v>
      </c>
      <c r="L76" s="49">
        <f ca="1">CW76</f>
        <v>0</v>
      </c>
      <c r="M76" s="49">
        <f ca="1">CY76</f>
        <v>0</v>
      </c>
      <c r="N76" s="50">
        <f t="shared" ca="1" si="32"/>
        <v>0</v>
      </c>
      <c r="O76" s="126">
        <f t="shared" ca="1" si="32"/>
        <v>0</v>
      </c>
      <c r="P76" s="140"/>
      <c r="Q76" s="752" t="str">
        <f ca="1">IF(OR(I76=" ",I76="")," ",IF(F76&lt;OFFSET($BM$9,CL76-1,0,1,1),"check L(m)",IF(DE76&lt;&gt;"",DE76,IF(AND(DP76&gt;=CY76,DR76&gt;=DB76),IF(AND(ED76&gt;=DP76,EF76&gt;=DR76),CONCATENATE(DS76," provides same results"),CONCATENATE(CO76," provides same results")),IF((DP76&gt;=CY76),CONCATENATE(CO76," provides same result in WIND"),IF((DR76&gt;=DB76),CONCATENATE(CO76," provides same result in EQ",""),""))))))</f>
        <v xml:space="preserve"> </v>
      </c>
      <c r="R76" s="52"/>
      <c r="S76" s="1372"/>
      <c r="T76" s="1372"/>
      <c r="U76" s="1377"/>
      <c r="V76" s="52" t="str">
        <f ca="1">IF(AND(B$5=$BF$9,OR(I76=BH$16,I76=BH$17))," ",IF(ISNUMBER(B$74),(CONCATENATE(B$74,".",W76)),(CONCATENATE(B$74,W76))))</f>
        <v>X0</v>
      </c>
      <c r="W76" s="9">
        <f ca="1">W75+X76</f>
        <v>0</v>
      </c>
      <c r="X76" s="9">
        <f>IF(AND(B$5=$BF$9,OR($I76=$BH$16,$I76=$BH$17,$I76=" ",$I76="",$F76=0)),0,IF(OR($I76=" ",$I76="",$F76=0),0,1))</f>
        <v>0</v>
      </c>
      <c r="Y76" s="896"/>
      <c r="Z76" s="52" t="str">
        <f ca="1">IF(I76=" "," ",OFFSET($BM$9,$CL76-1,8,1,1))</f>
        <v xml:space="preserve"> </v>
      </c>
      <c r="AA76" s="51" t="str">
        <f>IF(G76&gt;=45,"WA","")</f>
        <v/>
      </c>
      <c r="AB76" s="1364" t="str">
        <f>IF(F76&lt;&gt;"",IF(OR(D76=$BG$12,D76=$BG$13),IF(E76&lt;&gt;$BG$17,$BF$12,$BF$13),IF(E76&lt;&gt;$BG$17,$BF$12,$BF$13))," ")</f>
        <v xml:space="preserve"> </v>
      </c>
      <c r="AC76" s="1"/>
      <c r="BA76"/>
      <c r="BB76"/>
      <c r="BC76"/>
      <c r="BD76" s="652"/>
      <c r="BI76" s="1240"/>
      <c r="BJ76" s="897">
        <f t="shared" si="25"/>
        <v>68</v>
      </c>
      <c r="BK76" s="764"/>
      <c r="BL76" s="773"/>
      <c r="BM76" s="455">
        <f>Table!P18</f>
        <v>0.8</v>
      </c>
      <c r="BN76" s="455">
        <f>BM77</f>
        <v>0.9</v>
      </c>
      <c r="BO76" s="455">
        <f>Table!Q18</f>
        <v>140</v>
      </c>
      <c r="BP76" s="925">
        <f>Table!R18</f>
        <v>140</v>
      </c>
      <c r="BR76" s="764"/>
      <c r="BS76" s="455"/>
      <c r="BT76" s="455"/>
      <c r="BU76" s="925" t="s">
        <v>242</v>
      </c>
      <c r="BV76" s="895"/>
      <c r="BW76" s="912"/>
      <c r="BX76" s="925" t="str">
        <f>Table!T17</f>
        <v>Double</v>
      </c>
      <c r="CH76" s="764">
        <f>IF(BN76=999,0,(BO77-BO76)/(BN76-BM76))</f>
        <v>150.00000000000003</v>
      </c>
      <c r="CI76" s="925">
        <f>IF(BN76=999,0,(BP77-BP76)/(BN76-BM76))</f>
        <v>150.00000000000003</v>
      </c>
      <c r="CJ76" s="759"/>
      <c r="CK76" s="188"/>
      <c r="CL76" s="979">
        <f>VLOOKUP(I76,Prodlink,2,0)</f>
        <v>0</v>
      </c>
      <c r="CN76" s="497">
        <f ca="1">VLOOKUP(CO76,Prodlink,2,0)</f>
        <v>0</v>
      </c>
      <c r="CO76" s="497">
        <f ca="1">OFFSET($CH$9,CL76-1,-15,1,1)</f>
        <v>0</v>
      </c>
      <c r="CQ76" s="51">
        <v>0</v>
      </c>
      <c r="CR76" s="51">
        <f>IF(K76=$BH$12,$BH$23,IF(K76=$BH$13,$BH$24,10000))</f>
        <v>10000</v>
      </c>
      <c r="CS76" s="51">
        <f ca="1">IF(F76&lt;OFFSET($BM$9,CL76-1,0,1,1),0,IF(F76&lt;OFFSET($BN$9,CL76-1,0,1,1),((F76-OFFSET($BM$9,CL76-1,0,1,1))*OFFSET($CH$9,CL76-1,0,1,1))+OFFSET($BO$9,CL76-1,CQ76,1,1),IF(F76&lt;OFFSET($BN$9,CL76+0,0,1,1),((F76-OFFSET($BM$9,CL76+0,0,1,1))*OFFSET($CH$9,CL76+0,0,1,1))+OFFSET($BO$9,CL76+0,CQ76,1,1),IF(F76&lt;OFFSET($BN$9,CL76+1,0,1,1),((F76-OFFSET($BM$9,CL76+1,0,1,1))*OFFSET($CH$9,CL76+1,0,1,1))+OFFSET($BO$9,CL76+1,CQ76,1,1),IF(F76&lt;OFFSET($BN$9,CL76+2,0,1,1),((F76-OFFSET($BM$9,CL76+2,0,1,1))*OFFSET($CH$9,CL76+2,0,1,1))+OFFSET($BO$9,CL76+2,CQ76,1,1),IF(F76&lt;OFFSET($BN$9,CL76+3,0,1,1),((F76-OFFSET($BM$9,CL76+3,0,1,1))*OFFSET($CH$9,CL76+3,0,1,1))+OFFSET($BO$9,CL76+3,CQ76,1,1),0))))))</f>
        <v>0</v>
      </c>
      <c r="CT76" s="51">
        <f ca="1">IF($F76&lt;OFFSET($BM$9,$CL76-1,0,1,1),0,IF($F76&lt;OFFSET($BN$9,$CL76-1,0,1,1),IF(AND($H76&gt;2.4,Z76&lt;&gt;"e",Z76&lt;&gt;"f"),CX76*2.4/$H76,CX76),IF($F76&lt;OFFSET($BN$9,$CL76+0,0,1,1),IF(AND($H76&gt;2.4,Z76&lt;&gt;"e",Z76&lt;&gt;"f"),CX76*2.4/$H76,CX76),IF($F76&lt;OFFSET($BN$9,$CL76+1,0,1,1),IF(AND($H76&gt;2.4,Z76&lt;&gt;"e",Z76&lt;&gt;"f"),CX76*2.4/$H76,CX76),IF($F76&lt;OFFSET($BN$9,CL76+2,0,1,1),IF(AND($H76&gt;2.4,Z76&lt;&gt;"e",Z76&lt;&gt;"f"),CX76*2.4/$H76,CX76),IF($F76&lt;OFFSET($BN$9,CL76+3,0,1,1),IF(AND($H76&gt;2.4,Z76&lt;&gt;"e",Z76&lt;&gt;"f"),CX76*2.4/$H76,CX76),0)))))*COS(RADIANS($G76)))</f>
        <v>0</v>
      </c>
      <c r="CU76" s="51">
        <f ca="1">IF(F76&lt;OFFSET($BM$9,CL76-1,0,1,1),0,IF(F76&lt;OFFSET($BN$9,CL76-1,0,1,1),((F76-OFFSET($BM$9,CL76-1,0,1,1))*OFFSET($CI$9,CL76-1,0,1,1))+OFFSET($BP$9,CL76-1,CQ76,1,1),IF(F76&lt;OFFSET($BN$9,CL76+0,0,1,1),((F76-OFFSET($BM$9,CL76+0,0,1,1))*OFFSET($CI$9,CL76+0,0,1,1))+OFFSET($BP$9,CL76+0,CQ76,1,1),IF(F76&lt;OFFSET($BN$9,CL76+1,0,1,1),((F76-OFFSET($BM$9,CL76+1,0,1,1))*OFFSET($CI$9,CL76+1,0,1,1))+OFFSET($BP$9,CL76+1,CQ76,1,1),IF(F76&lt;OFFSET($BN$9,CL76+2,0,1,1),((F76-OFFSET($BM$9,CL76+2,0,1,1))*OFFSET($CI$9,CL76+2,0,1,1))+OFFSET($BP$9,CL76+2,CQ76,1,1),IF(F76&lt;OFFSET($BN$9,CL76+3,0,1,1),((F76-OFFSET($BM$9,CL76+3,0,1,1))*OFFSET($CI$9,CL76+3,0,1,1))+OFFSET($BP$9,CL76+3,CQ76,1,1),0))))))</f>
        <v>0</v>
      </c>
      <c r="CV76" s="51">
        <f ca="1">IF($F76&lt;OFFSET($BM$9,$CL76-1,0,1,1),0,IF($F76&lt;OFFSET($BN$9,$CL76-1,0,1,1),IF(AND($H76&gt;2.4,Z76&lt;&gt;"e",Z76&lt;&gt;"f"),CZ76*2.4/$H76,CZ76),IF($F76&lt;OFFSET($BN$9,$CL76+0,0,1,1),IF(AND($H76&gt;2.4,Z76&lt;&gt;"e",Z76&lt;&gt;"f"),CZ76*2.4/$H76,CZ76),IF($F76&lt;OFFSET($BN$9,$CL76+1,0,1,1),IF(AND($H76&gt;2.4,Z76&lt;&gt;"e",Z76&lt;&gt;"f"),CZ76*2.4/$H76,CZ76),IF($F76&lt;OFFSET($BN$9,$CL76+2,0,1,1),IF(AND($H76&gt;2.4,Z76&lt;&gt;"e",Z76&lt;&gt;"f"),CZ76*2.4/$H76,CZ76),IF($F76&lt;OFFSET($BN$9,$CL76+3,0,1,1),IF(AND($H76&gt;2.4,Z76&lt;&gt;"e",Z76&lt;&gt;"f"),CZ76*2.4/$H76,CZ76),0)))))*COS(RADIANS($G76)))</f>
        <v>0</v>
      </c>
      <c r="CW76" s="51">
        <f ca="1">IF(CT76&gt;CR76,CR76,CT76)</f>
        <v>0</v>
      </c>
      <c r="CX76" s="51">
        <f ca="1">IF(CS76&gt;$CR76,$CR76,CS76)</f>
        <v>0</v>
      </c>
      <c r="CY76" s="51">
        <f ca="1">CW76*F76</f>
        <v>0</v>
      </c>
      <c r="CZ76" s="51">
        <f ca="1">IF($CU76&gt;$CR76,$CR76,$CU76)</f>
        <v>0</v>
      </c>
      <c r="DA76" s="51">
        <f ca="1">IF(CV76&gt;CR76,CR76,CV76)</f>
        <v>0</v>
      </c>
      <c r="DB76" s="51">
        <f ca="1">DA76*F76</f>
        <v>0</v>
      </c>
      <c r="DC76" s="993">
        <v>1</v>
      </c>
      <c r="DD76" s="758" t="str">
        <f>IF(OR(D76=BG$12,D76=BG$13),"External",IF(D76=BG$14,"Internal"," "))</f>
        <v xml:space="preserve"> </v>
      </c>
      <c r="DE76" s="51" t="str">
        <f t="shared" ca="1" si="33"/>
        <v/>
      </c>
      <c r="DF76" s="52" t="str">
        <f t="shared" ca="1" si="34"/>
        <v xml:space="preserve"> </v>
      </c>
      <c r="DG76" s="51">
        <f ca="1">IF(F76&lt;OFFSET($BM$9,CN76-1,0,1,1),0,IF(F76&lt;OFFSET($BN$9,CN76-1,0,1,1),((F76-OFFSET($BM$9,CN76-1,0,1,1))*OFFSET($CH$9,CN76-1,0,1,1))+OFFSET($BO$9,CN76-1,CQ76,1,1),IF(F76&lt;OFFSET($BN$9,CN76+0,0,1,1),((F76-OFFSET($BM$9,CN76+0,0,1,1))*OFFSET($CH$9,CN76+0,0,1,1))+OFFSET($BO$9,CN76+0,CQ76,1,1),IF(F76&lt;OFFSET($BN$9,CN76+1,0,1,1),((F76-OFFSET($BM$9,CN76+1,0,1,1))*OFFSET($CH$9,CN76+1,0,1,1))+OFFSET($BO$9,CN76+1,CQ76,1,1),IF(F76&lt;OFFSET($BN$9,CN76+2,0,1,1),((F76-OFFSET($BM$9,CN76+2,0,1,1))*OFFSET($CH$9,CN76+2,0,1,1))+OFFSET($BO$9,CN76+2,CQ76,1,1),IF(F76&lt;OFFSET($BN$9,CN76+3,0,1,1),((F76-OFFSET($BM$9,CN76+3,0,1,1))*OFFSET($CH$9,CN76+3,0,1,1))+OFFSET($BO$9,CN76+3,CQ76,1,1),0))))))</f>
        <v>0</v>
      </c>
      <c r="DH76" s="51">
        <f ca="1">IF($F76&lt;OFFSET($BM$9,$CN76-1,0,1,1),0,IF($F76&lt;OFFSET($BN$9,$CN76-1,0,1,1),IF(AND($H76&gt;2.4,Z76&lt;&gt;"e",Z76&lt;&gt;"f"),DL76*2.4/$H76,DL76),IF($F76&lt;OFFSET($BN$9,$CN76+0,0,1,1),IF(AND($H76&gt;2.4,Z76&lt;&gt;"e",Z76&lt;&gt;"f"),DL76*2.4/$H76,DL76),IF($F76&lt;OFFSET($BN$9,$CN76+1,0,1,1),IF(AND($H76&gt;2.4,Z76&lt;&gt;"e",Z76&lt;&gt;"f"),DL76*2.4/$H76,DL76),IF($F76&lt;OFFSET($BN$9,$CN76+2,0,1,1),IF(AND($H76&gt;2.4,Z76&lt;&gt;"e",Z76&lt;&gt;"f"),DL76*2.4/$H76,DL76),IF($F76&lt;OFFSET($BN$9,$CN76+3,0,1,1),IF(AND($H76&gt;2.4,Z76&lt;&gt;"e",Z76&lt;&gt;"f"),DL76*2.4/$H76,DL76),0)))))*COS(RADIANS($G76)))</f>
        <v>0</v>
      </c>
      <c r="DI76" s="51">
        <f ca="1">IF(F76&lt;OFFSET($BM$9,CN76-1,0,1,1),0,IF(F76&lt;OFFSET($BN$9,CN76-1,0,1,1),((F76-OFFSET($BM$9,CN76-1,0,1,1))*OFFSET($CI$9,CN76-1,0,1,1))+OFFSET($BP$9,CN76-1,CQ76,1,1),IF(F76&lt;OFFSET($BN$9,CN76+0,0,1,1),((F76-OFFSET($BM$9,CN76+0,0,1,1))*OFFSET($CI$9,CN76+0,0,1,1))+OFFSET($BP$9,CN76+0,CQ76,1,1),IF(F76&lt;OFFSET($BN$9,CN76+1,0,1,1),((F76-OFFSET($BM$9,CN76+1,0,1,1))*OFFSET($CI$9,CN76+1,0,1,1))+OFFSET($BP$9,CN76+1,CQ76,1,1),IF(F76&lt;OFFSET($BN$9,CN76+2,0,1,1),((F76-OFFSET($BM$9,CN76+2,0,1,1))*OFFSET($CI$9,CN76+2,0,1,1))+OFFSET($BP$9,CN76+2,CQ76,1,1),IF(F76&lt;OFFSET($BN$9,CN76+3,0,1,1),((F76-OFFSET($BM$9,CN76+3,0,1,1))*OFFSET($CI$9,CN76+3,0,1,1))+OFFSET($BP$9,CN76+3,CQ76,1,1),0))))))</f>
        <v>0</v>
      </c>
      <c r="DJ76" s="51">
        <f ca="1">IF($F76&lt;OFFSET($BM$9,$CN76-1,0,1,1),0,IF($F76&lt;OFFSET($BN$9,$CN76-1,0,1,1),IF(AND($H76&gt;2.4,Z76&lt;&gt;"e",Z76&lt;&gt;"f"),DN76*2.4/$H76,DN76),IF($F76&lt;OFFSET($BN$9,$CN76+0,0,1,1),IF(AND($H76&gt;2.4,Z76&lt;&gt;"e",Z76&lt;&gt;"f"),DN76*2.4/$H76,DN76),IF($F76&lt;OFFSET($BN$9,$CN76+1,0,1,1),IF(AND($H76&gt;2.4,Z76&lt;&gt;"e",Z76&lt;&gt;"f"),DN76*2.4/$H76,DN76),IF($F76&lt;OFFSET($BN$9,$CN76+2,0,1,1),IF(AND($H76&gt;2.4,Z76&lt;&gt;"e",Z76&lt;&gt;"f"),DN76*2.4/$H76,DN76),IF($F76&lt;OFFSET($BN$9,$CN76+3,0,1,1),IF(AND($H76&gt;2.4,Z76&lt;&gt;"e",Z76&lt;&gt;"f"),DN76*2.4/$H76,DN76),0)))))*COS(RADIANS($G76)))</f>
        <v>0</v>
      </c>
      <c r="DK76" s="51"/>
      <c r="DL76" s="51">
        <f ca="1">IF(DG76&gt;$CR76,$CR76,DG76)</f>
        <v>0</v>
      </c>
      <c r="DM76" s="51"/>
      <c r="DN76" s="51">
        <f ca="1">IF(DI76&gt;$CR76,$CR76,DI76)</f>
        <v>0</v>
      </c>
      <c r="DO76" s="435">
        <f ca="1">IF(DH76&gt;$CR76,$CR76,DH76)</f>
        <v>0</v>
      </c>
      <c r="DP76" s="435">
        <f ca="1">DO76*F76</f>
        <v>0</v>
      </c>
      <c r="DQ76" s="436">
        <f ca="1">IF(DJ76&gt;$CR76,$CR76,DJ76)</f>
        <v>0</v>
      </c>
      <c r="DR76" s="437">
        <f ca="1">DQ76*F76</f>
        <v>0</v>
      </c>
      <c r="DS76" s="426">
        <f ca="1">OFFSET($CH$9,CL76-1,-15,1,1)</f>
        <v>0</v>
      </c>
      <c r="DT76" s="426">
        <f ca="1">VLOOKUP(DS76,Prodlink,2,0)</f>
        <v>0</v>
      </c>
      <c r="DU76" s="188">
        <f ca="1">IF(F76&lt;OFFSET($BM$9,DT76-1,0,1,1),0,IF(F76&lt;OFFSET($BN$9,DT76-1,0,1,1),((F76-OFFSET($BM$9,DT76-1,0,1,1))*OFFSET($CH$9,DT76-1,0,1,1))+OFFSET($BO$9,DT76-1,CQ76,1,1),IF(F76&lt;OFFSET($BN$9,DT76+0,0,1,1),((F76-OFFSET($BM$9,DT76+0,0,1,1))*OFFSET($CH$9,DT76+0,0,1,1))+OFFSET($BO$9,DT76+0,CQ76,1,1),IF(F76&lt;OFFSET($BN$9,DT76+1,0,1,1),((F76-OFFSET($BM$9,DT76+1,0,1,1))*OFFSET($CH$9,DT76+1,0,1,1))+OFFSET($BO$9,DT76+1,CQ76,1,1),IF(F76&lt;OFFSET($BN$9,DT76+2,0,1,1),((F76-OFFSET($BM$9,DT76+2,0,1,1))*OFFSET($CH$9,DT76+2,0,1,1))+OFFSET($BO$9,DT76+2,CQ76,1,1),IF(F76&lt;OFFSET($BN$9,DT76+3,0,1,1),((F76-OFFSET($BM$9,DT76+3,0,1,1))*OFFSET($CH$9,DT76+3,0,1,1))+OFFSET($BO$9,DT76+3,CQ76,1,1),0))))))</f>
        <v>0</v>
      </c>
      <c r="DV76" s="51">
        <f ca="1">IF($F76&lt;OFFSET($BM$9,$DT76-1,0,1,1),0,IF($F76&lt;OFFSET($BN$9,$DT76-1,0,1,1),IF(AND($H76&gt;2.4,Z76&lt;&gt;"e",Z76&lt;&gt;"f"),DZ76*2.4/$H76,DZ76),IF($F76&lt;OFFSET($BN$9,$DT76+0,0,1,1),IF(AND($H76&gt;2.4,Z76&lt;&gt;"e",Z76&lt;&gt;"f"),DZ76*2.4/$H76,DZ76),IF($F76&lt;OFFSET($BN$9,$DT76+1,0,1,1),IF(AND($H76&gt;2.4,Z76&lt;&gt;"e",Z76&lt;&gt;"f"),DZ76*2.4/$H76,DZ76),IF($F76&lt;OFFSET($BN$9,$DT76+2,0,1,1),IF(AND($H76&gt;2.4,Z76&lt;&gt;"e",Z76&lt;&gt;"f"),DZ76*2.4/$H76,DZ76),IF($F76&lt;OFFSET($BN$9,$DT76+3,0,1,1),IF(AND($H76&gt;2.4,Z76&lt;&gt;"e",Z76&lt;&gt;"f"),DZ76*2.4/$H76,DZ76),0)))))*COS(RADIANS($G76)))</f>
        <v>0</v>
      </c>
      <c r="DW76" s="188">
        <f ca="1">IF(F76&lt;OFFSET($BM$9,DT76-1,0,1,1),0,IF(F76&lt;OFFSET($BN$9,DT76-1,0,1,1),((F76-OFFSET($BM$9,DT76-1,0,1,1))*OFFSET($CI$9,DT76-1,0,1,1))+OFFSET($BP$9,DT76-1,CQ76,1,1),IF(F76&lt;OFFSET($BN$9,DT76+0,0,1,1),((F76-OFFSET($BM$9,DT76+0,0,1,1))*OFFSET($CI$9,DT76+0,0,1,1))+OFFSET($BP$9,DT76+0,CQ76,1,1),IF(F76&lt;OFFSET($BN$9,DT76+1,0,1,1),((F76-OFFSET($BM$9,DT76+1,0,1,1))*OFFSET($CI$9,DT76+1,0,1,1))+OFFSET($BP$9,DT76+1,CQ76,1,1),IF(F76&lt;OFFSET($BN$9,DT76+2,0,1,1),((F76-OFFSET($BM$9,DT76+2,0,1,1))*OFFSET($CI$9,DT76+2,0,1,1))+OFFSET($BP$9,DT76+2,CQ76,1,1),IF(F76&lt;OFFSET($BN$9,DT76+3,0,1,1),((F76-OFFSET($BM$9,DT76+3,0,1,1))*OFFSET($CI$9,DT76+3,0,1,1))+OFFSET($BP$9,DT76+3,CQ76,1,1),0))))))</f>
        <v>0</v>
      </c>
      <c r="DX76" s="51">
        <f ca="1">IF($F76&lt;OFFSET($BM$9,$DT76-1,0,1,1),0,IF($F76&lt;OFFSET($BN$9,$DT76-1,0,1,1),IF(AND($H76&gt;2.4,Z76&lt;&gt;"e",Z76&lt;&gt;"f"),EB76*2.4/$H76,EB76),IF($F76&lt;OFFSET($BN$9,$DT76+0,0,1,1),IF(AND($H76&gt;2.4,Z76&lt;&gt;"e",Z76&lt;&gt;"f"),EB76*2.4/$H76,EB76),IF($F76&lt;OFFSET($BN$9,$DT76+1,0,1,1),IF(AND($H76&gt;2.4,Z76&lt;&gt;"e",Z76&lt;&gt;"f"),EB76*2.4/$H76,EB76),IF($F76&lt;OFFSET($BN$9,$DT76+2,0,1,1),IF(AND($H76&gt;2.4,Z76&lt;&gt;"e",Z76&lt;&gt;"f"),EB76*2.4/$H76,EB76),IF($F76&lt;OFFSET($BN$9,$DT76+3,0,1,1),IF(AND($H76&gt;2.4,Z76&lt;&gt;"e",Z76&lt;&gt;"f"),EB76*2.4/$H76,EB76),0)))))*COS(RADIANS($G76)))</f>
        <v>0</v>
      </c>
      <c r="DY76" s="188"/>
      <c r="DZ76" s="188">
        <f ca="1">IF(DU76&gt;$CR76,$CR76,DU76)</f>
        <v>0</v>
      </c>
      <c r="EA76" s="188"/>
      <c r="EB76" s="188">
        <f ca="1">IF(DW76&gt;$CR76,$CR76,DW76)</f>
        <v>0</v>
      </c>
      <c r="EC76" s="435">
        <f ca="1">IF(DV76&gt;$CR76,$CR76,DV76)</f>
        <v>0</v>
      </c>
      <c r="ED76" s="435">
        <f ca="1">EC76*F76</f>
        <v>0</v>
      </c>
      <c r="EE76" s="436">
        <f ca="1">IF(DX76&gt;$CR76,$CR76,DX76)</f>
        <v>0</v>
      </c>
      <c r="EF76" s="437">
        <f ca="1">EE76*F76</f>
        <v>0</v>
      </c>
      <c r="EG76" s="613" t="str">
        <f>IF(D76=BG$12,BG$12,"")</f>
        <v/>
      </c>
      <c r="EH76" s="614" t="str">
        <f>IF(D76=BG$13,BG$13,"")</f>
        <v/>
      </c>
      <c r="EI76" s="611">
        <f>IF(EG76=BG$12,M76,0)</f>
        <v>0</v>
      </c>
      <c r="EJ76" s="451">
        <f>IF(EG76=BG$12,O76,0)</f>
        <v>0</v>
      </c>
      <c r="EK76" s="451">
        <f>IF(EH76=BG$13,M76,0)</f>
        <v>0</v>
      </c>
      <c r="EL76" s="612">
        <f>IF(EH76=BG$13,O76,0)</f>
        <v>0</v>
      </c>
      <c r="EM76" s="426" t="str">
        <f ca="1">IF(AND(Z76&lt;&gt;"t",Z76&lt;&gt;"f"),"",IF(AND(EN76=$BH$13,K76=$BH$12),"NotOpt",IF(K76&lt;&gt;EN76,"Error","")))</f>
        <v/>
      </c>
      <c r="EN76" s="490" t="str">
        <f>IF($BG$28=1,$BH$13,$BH$12)</f>
        <v>120 BU's</v>
      </c>
      <c r="EO76" s="426" t="str">
        <f>K76</f>
        <v xml:space="preserve"> </v>
      </c>
      <c r="EP76" s="430">
        <v>1</v>
      </c>
      <c r="EQ76" s="430" t="str">
        <f ca="1">IF(EP76=1," ",OFFSET(BF$16,EP76-2,0,1,1))</f>
        <v xml:space="preserve"> </v>
      </c>
      <c r="ER76" s="439" t="str">
        <f ca="1">IF(H76=0," ",H76)</f>
        <v xml:space="preserve"> </v>
      </c>
      <c r="ES76" s="440" t="str">
        <f ca="1">IF(ER76&lt;&gt;" ",IF(ER76&lt;&gt;ER$7,"Changed",""),"")</f>
        <v/>
      </c>
      <c r="ET76" s="440">
        <f ca="1">IF(ER76&lt;&gt;" ",IF(ER76&lt;&gt;ER$7,1,0),0)</f>
        <v>0</v>
      </c>
      <c r="EU76" s="957" t="str">
        <f ca="1">IF(I76=" "," ",IF(F76&lt;OFFSET($BM$9,CL76-1,0,1,1),1,""))</f>
        <v xml:space="preserve"> </v>
      </c>
      <c r="EW76" s="427"/>
      <c r="EX76"/>
      <c r="EY76"/>
      <c r="EZ76"/>
      <c r="FA76"/>
    </row>
    <row r="77" spans="1:157" ht="17.100000000000001" hidden="1" customHeight="1">
      <c r="A77" s="2685"/>
      <c r="B77" s="689" t="s">
        <v>246</v>
      </c>
      <c r="C77" s="684" t="str">
        <f>IF(OR(F77=0,I77="",I77=" ")," ",$V77)</f>
        <v xml:space="preserve"> </v>
      </c>
      <c r="D77" s="1033"/>
      <c r="E77" s="1360" t="s">
        <v>8</v>
      </c>
      <c r="F77" s="202"/>
      <c r="G77" s="1416"/>
      <c r="H77" s="199" t="str">
        <f ca="1">IF(OR(F77=0,Z77="E",Z77="f")," ",'Project Demand'!E$45)</f>
        <v xml:space="preserve"> </v>
      </c>
      <c r="I77" s="631" t="str">
        <f>IF($I$6&lt;&gt;$BG$8," ",AB77)</f>
        <v xml:space="preserve"> </v>
      </c>
      <c r="J77" s="44" t="str">
        <f ca="1">IF(OR(I77=" ",I77="")," ",OFFSET($BO$9,CL77-1,0-4,1,1))</f>
        <v xml:space="preserve"> </v>
      </c>
      <c r="K77" s="55" t="str">
        <f>IF(OR(I77=" ",I77="")," ",IF(OR(Z77="e",Z77="h"),"SD",BG$24))</f>
        <v xml:space="preserve"> </v>
      </c>
      <c r="L77" s="49">
        <f ca="1">CW77</f>
        <v>0</v>
      </c>
      <c r="M77" s="49">
        <f ca="1">CY77</f>
        <v>0</v>
      </c>
      <c r="N77" s="50">
        <f t="shared" ca="1" si="32"/>
        <v>0</v>
      </c>
      <c r="O77" s="126">
        <f t="shared" ca="1" si="32"/>
        <v>0</v>
      </c>
      <c r="P77" s="140"/>
      <c r="Q77" s="752" t="str">
        <f ca="1">IF(OR(I77=" ",I77="")," ",IF(F77&lt;OFFSET($BM$9,CL77-1,0,1,1),"check L(m)",IF(DE77&lt;&gt;"",DE77,IF(AND(DP77&gt;=CY77,DR77&gt;=DB77),IF(AND(ED77&gt;=DP77,EF77&gt;=DR77),CONCATENATE(DS77," provides same results"),CONCATENATE(CO77," provides same results")),IF((DP77&gt;=CY77),CONCATENATE(CO77," provides same result in WIND"),IF((DR77&gt;=DB77),CONCATENATE(CO77," provides same result in EQ",""),""))))))</f>
        <v xml:space="preserve"> </v>
      </c>
      <c r="R77" s="52"/>
      <c r="S77" s="1372"/>
      <c r="T77" s="1372"/>
      <c r="U77" s="1377"/>
      <c r="V77" s="52" t="str">
        <f ca="1">IF(AND(B$5=$BF$9,OR(I77=BH$16,I77=BH$17))," ",IF(ISNUMBER(B$74),(CONCATENATE(B$74,".",W77)),(CONCATENATE(B$74,W77))))</f>
        <v>X0</v>
      </c>
      <c r="W77" s="9">
        <f ca="1">W76+X77</f>
        <v>0</v>
      </c>
      <c r="X77" s="9">
        <f>IF(AND(B$5=$BF$9,OR($I77=$BH$16,$I77=$BH$17,$I77=" ",$I77="",$F77=0)),0,IF(OR($I77=" ",$I77="",$F77=0),0,1))</f>
        <v>0</v>
      </c>
      <c r="Y77" s="896"/>
      <c r="Z77" s="52" t="str">
        <f ca="1">IF(I77=" "," ",OFFSET($BM$9,$CL77-1,8,1,1))</f>
        <v xml:space="preserve"> </v>
      </c>
      <c r="AA77" s="51" t="str">
        <f>IF(G77&gt;=45,"WA","")</f>
        <v/>
      </c>
      <c r="AB77" s="1364" t="str">
        <f>IF(F77&lt;&gt;"",IF(OR(D77=$BG$12,D77=$BG$13),IF(E77&lt;&gt;$BG$17,$BF$12,$BF$13),IF(E77&lt;&gt;$BG$17,$BF$12,$BF$13))," ")</f>
        <v xml:space="preserve"> </v>
      </c>
      <c r="AC77" s="1"/>
      <c r="BA77"/>
      <c r="BB77"/>
      <c r="BC77"/>
      <c r="BD77" s="652"/>
      <c r="BI77" s="759"/>
      <c r="BJ77" s="897">
        <f t="shared" si="25"/>
        <v>69</v>
      </c>
      <c r="BK77" s="764"/>
      <c r="BL77" s="773"/>
      <c r="BM77" s="455">
        <f>Table!P19</f>
        <v>0.9</v>
      </c>
      <c r="BN77" s="455">
        <f>BM78</f>
        <v>1.2</v>
      </c>
      <c r="BO77" s="455">
        <f>Table!Q19</f>
        <v>155</v>
      </c>
      <c r="BP77" s="925">
        <f>Table!R19</f>
        <v>155</v>
      </c>
      <c r="BR77" s="764"/>
      <c r="BS77" s="455"/>
      <c r="BT77" s="455"/>
      <c r="BU77" s="925" t="s">
        <v>242</v>
      </c>
      <c r="BV77" s="895"/>
      <c r="BW77" s="912"/>
      <c r="BX77" s="925" t="str">
        <f>Table!T17</f>
        <v>Double</v>
      </c>
      <c r="CH77" s="764">
        <f>IF(BN77=999,0,(BO78-BO77)/(BN77-BM77))</f>
        <v>0</v>
      </c>
      <c r="CI77" s="925">
        <f>IF(BN77=999,0,(BP78-BP77)/(BN77-BM77))</f>
        <v>0</v>
      </c>
      <c r="CJ77" s="759"/>
      <c r="CK77" s="188"/>
      <c r="CL77" s="979">
        <f>VLOOKUP(I77,Prodlink,2,0)</f>
        <v>0</v>
      </c>
      <c r="CN77" s="497">
        <f ca="1">VLOOKUP(CO77,Prodlink,2,0)</f>
        <v>0</v>
      </c>
      <c r="CO77" s="497">
        <f ca="1">OFFSET($CH$9,CL77-1,-15,1,1)</f>
        <v>0</v>
      </c>
      <c r="CQ77" s="51">
        <v>0</v>
      </c>
      <c r="CR77" s="51">
        <f>IF(K77=$BH$12,$BH$23,IF(K77=$BH$13,$BH$24,10000))</f>
        <v>10000</v>
      </c>
      <c r="CS77" s="51">
        <f ca="1">IF(F77&lt;OFFSET($BM$9,CL77-1,0,1,1),0,IF(F77&lt;OFFSET($BN$9,CL77-1,0,1,1),((F77-OFFSET($BM$9,CL77-1,0,1,1))*OFFSET($CH$9,CL77-1,0,1,1))+OFFSET($BO$9,CL77-1,CQ77,1,1),IF(F77&lt;OFFSET($BN$9,CL77+0,0,1,1),((F77-OFFSET($BM$9,CL77+0,0,1,1))*OFFSET($CH$9,CL77+0,0,1,1))+OFFSET($BO$9,CL77+0,CQ77,1,1),IF(F77&lt;OFFSET($BN$9,CL77+1,0,1,1),((F77-OFFSET($BM$9,CL77+1,0,1,1))*OFFSET($CH$9,CL77+1,0,1,1))+OFFSET($BO$9,CL77+1,CQ77,1,1),IF(F77&lt;OFFSET($BN$9,CL77+2,0,1,1),((F77-OFFSET($BM$9,CL77+2,0,1,1))*OFFSET($CH$9,CL77+2,0,1,1))+OFFSET($BO$9,CL77+2,CQ77,1,1),IF(F77&lt;OFFSET($BN$9,CL77+3,0,1,1),((F77-OFFSET($BM$9,CL77+3,0,1,1))*OFFSET($CH$9,CL77+3,0,1,1))+OFFSET($BO$9,CL77+3,CQ77,1,1),0))))))</f>
        <v>0</v>
      </c>
      <c r="CT77" s="51">
        <f ca="1">IF($F77&lt;OFFSET($BM$9,$CL77-1,0,1,1),0,IF($F77&lt;OFFSET($BN$9,$CL77-1,0,1,1),IF(AND($H77&gt;2.4,Z77&lt;&gt;"e",Z77&lt;&gt;"f"),CX77*2.4/$H77,CX77),IF($F77&lt;OFFSET($BN$9,$CL77+0,0,1,1),IF(AND($H77&gt;2.4,Z77&lt;&gt;"e",Z77&lt;&gt;"f"),CX77*2.4/$H77,CX77),IF($F77&lt;OFFSET($BN$9,$CL77+1,0,1,1),IF(AND($H77&gt;2.4,Z77&lt;&gt;"e",Z77&lt;&gt;"f"),CX77*2.4/$H77,CX77),IF($F77&lt;OFFSET($BN$9,CL77+2,0,1,1),IF(AND($H77&gt;2.4,Z77&lt;&gt;"e",Z77&lt;&gt;"f"),CX77*2.4/$H77,CX77),IF($F77&lt;OFFSET($BN$9,CL77+3,0,1,1),IF(AND($H77&gt;2.4,Z77&lt;&gt;"e",Z77&lt;&gt;"f"),CX77*2.4/$H77,CX77),0)))))*COS(RADIANS($G77)))</f>
        <v>0</v>
      </c>
      <c r="CU77" s="51">
        <f ca="1">IF(F77&lt;OFFSET($BM$9,CL77-1,0,1,1),0,IF(F77&lt;OFFSET($BN$9,CL77-1,0,1,1),((F77-OFFSET($BM$9,CL77-1,0,1,1))*OFFSET($CI$9,CL77-1,0,1,1))+OFFSET($BP$9,CL77-1,CQ77,1,1),IF(F77&lt;OFFSET($BN$9,CL77+0,0,1,1),((F77-OFFSET($BM$9,CL77+0,0,1,1))*OFFSET($CI$9,CL77+0,0,1,1))+OFFSET($BP$9,CL77+0,CQ77,1,1),IF(F77&lt;OFFSET($BN$9,CL77+1,0,1,1),((F77-OFFSET($BM$9,CL77+1,0,1,1))*OFFSET($CI$9,CL77+1,0,1,1))+OFFSET($BP$9,CL77+1,CQ77,1,1),IF(F77&lt;OFFSET($BN$9,CL77+2,0,1,1),((F77-OFFSET($BM$9,CL77+2,0,1,1))*OFFSET($CI$9,CL77+2,0,1,1))+OFFSET($BP$9,CL77+2,CQ77,1,1),IF(F77&lt;OFFSET($BN$9,CL77+3,0,1,1),((F77-OFFSET($BM$9,CL77+3,0,1,1))*OFFSET($CI$9,CL77+3,0,1,1))+OFFSET($BP$9,CL77+3,CQ77,1,1),0))))))</f>
        <v>0</v>
      </c>
      <c r="CV77" s="51">
        <f ca="1">IF($F77&lt;OFFSET($BM$9,$CL77-1,0,1,1),0,IF($F77&lt;OFFSET($BN$9,$CL77-1,0,1,1),IF(AND($H77&gt;2.4,Z77&lt;&gt;"e",Z77&lt;&gt;"f"),CZ77*2.4/$H77,CZ77),IF($F77&lt;OFFSET($BN$9,$CL77+0,0,1,1),IF(AND($H77&gt;2.4,Z77&lt;&gt;"e",Z77&lt;&gt;"f"),CZ77*2.4/$H77,CZ77),IF($F77&lt;OFFSET($BN$9,$CL77+1,0,1,1),IF(AND($H77&gt;2.4,Z77&lt;&gt;"e",Z77&lt;&gt;"f"),CZ77*2.4/$H77,CZ77),IF($F77&lt;OFFSET($BN$9,$CL77+2,0,1,1),IF(AND($H77&gt;2.4,Z77&lt;&gt;"e",Z77&lt;&gt;"f"),CZ77*2.4/$H77,CZ77),IF($F77&lt;OFFSET($BN$9,$CL77+3,0,1,1),IF(AND($H77&gt;2.4,Z77&lt;&gt;"e",Z77&lt;&gt;"f"),CZ77*2.4/$H77,CZ77),0)))))*COS(RADIANS($G77)))</f>
        <v>0</v>
      </c>
      <c r="CW77" s="51">
        <f ca="1">IF(CT77&gt;CR77,CR77,CT77)</f>
        <v>0</v>
      </c>
      <c r="CX77" s="51">
        <f ca="1">IF(CS77&gt;$CR77,$CR77,CS77)</f>
        <v>0</v>
      </c>
      <c r="CY77" s="51">
        <f ca="1">CW77*F77</f>
        <v>0</v>
      </c>
      <c r="CZ77" s="51">
        <f ca="1">IF($CU77&gt;$CR77,$CR77,$CU77)</f>
        <v>0</v>
      </c>
      <c r="DA77" s="51">
        <f ca="1">IF(CV77&gt;CR77,CR77,CV77)</f>
        <v>0</v>
      </c>
      <c r="DB77" s="51">
        <f ca="1">DA77*F77</f>
        <v>0</v>
      </c>
      <c r="DC77" s="993">
        <v>1</v>
      </c>
      <c r="DD77" s="758" t="str">
        <f>IF(OR(D77=BG$12,D77=BG$13),"External",IF(D77=BG$14,"Internal"," "))</f>
        <v xml:space="preserve"> </v>
      </c>
      <c r="DE77" s="51" t="str">
        <f t="shared" ca="1" si="33"/>
        <v/>
      </c>
      <c r="DF77" s="52" t="str">
        <f t="shared" ca="1" si="34"/>
        <v xml:space="preserve"> </v>
      </c>
      <c r="DG77" s="51">
        <f ca="1">IF(F77&lt;OFFSET($BM$9,CN77-1,0,1,1),0,IF(F77&lt;OFFSET($BN$9,CN77-1,0,1,1),((F77-OFFSET($BM$9,CN77-1,0,1,1))*OFFSET($CH$9,CN77-1,0,1,1))+OFFSET($BO$9,CN77-1,CQ77,1,1),IF(F77&lt;OFFSET($BN$9,CN77+0,0,1,1),((F77-OFFSET($BM$9,CN77+0,0,1,1))*OFFSET($CH$9,CN77+0,0,1,1))+OFFSET($BO$9,CN77+0,CQ77,1,1),IF(F77&lt;OFFSET($BN$9,CN77+1,0,1,1),((F77-OFFSET($BM$9,CN77+1,0,1,1))*OFFSET($CH$9,CN77+1,0,1,1))+OFFSET($BO$9,CN77+1,CQ77,1,1),IF(F77&lt;OFFSET($BN$9,CN77+2,0,1,1),((F77-OFFSET($BM$9,CN77+2,0,1,1))*OFFSET($CH$9,CN77+2,0,1,1))+OFFSET($BO$9,CN77+2,CQ77,1,1),IF(F77&lt;OFFSET($BN$9,CN77+3,0,1,1),((F77-OFFSET($BM$9,CN77+3,0,1,1))*OFFSET($CH$9,CN77+3,0,1,1))+OFFSET($BO$9,CN77+3,CQ77,1,1),0))))))</f>
        <v>0</v>
      </c>
      <c r="DH77" s="51">
        <f ca="1">IF($F77&lt;OFFSET($BM$9,$CN77-1,0,1,1),0,IF($F77&lt;OFFSET($BN$9,$CN77-1,0,1,1),IF(AND($H77&gt;2.4,Z77&lt;&gt;"e",Z77&lt;&gt;"f"),DL77*2.4/$H77,DL77),IF($F77&lt;OFFSET($BN$9,$CN77+0,0,1,1),IF(AND($H77&gt;2.4,Z77&lt;&gt;"e",Z77&lt;&gt;"f"),DL77*2.4/$H77,DL77),IF($F77&lt;OFFSET($BN$9,$CN77+1,0,1,1),IF(AND($H77&gt;2.4,Z77&lt;&gt;"e",Z77&lt;&gt;"f"),DL77*2.4/$H77,DL77),IF($F77&lt;OFFSET($BN$9,$CN77+2,0,1,1),IF(AND($H77&gt;2.4,Z77&lt;&gt;"e",Z77&lt;&gt;"f"),DL77*2.4/$H77,DL77),IF($F77&lt;OFFSET($BN$9,$CN77+3,0,1,1),IF(AND($H77&gt;2.4,Z77&lt;&gt;"e",Z77&lt;&gt;"f"),DL77*2.4/$H77,DL77),0)))))*COS(RADIANS($G77)))</f>
        <v>0</v>
      </c>
      <c r="DI77" s="51">
        <f ca="1">IF(F77&lt;OFFSET($BM$9,CN77-1,0,1,1),0,IF(F77&lt;OFFSET($BN$9,CN77-1,0,1,1),((F77-OFFSET($BM$9,CN77-1,0,1,1))*OFFSET($CI$9,CN77-1,0,1,1))+OFFSET($BP$9,CN77-1,CQ77,1,1),IF(F77&lt;OFFSET($BN$9,CN77+0,0,1,1),((F77-OFFSET($BM$9,CN77+0,0,1,1))*OFFSET($CI$9,CN77+0,0,1,1))+OFFSET($BP$9,CN77+0,CQ77,1,1),IF(F77&lt;OFFSET($BN$9,CN77+1,0,1,1),((F77-OFFSET($BM$9,CN77+1,0,1,1))*OFFSET($CI$9,CN77+1,0,1,1))+OFFSET($BP$9,CN77+1,CQ77,1,1),IF(F77&lt;OFFSET($BN$9,CN77+2,0,1,1),((F77-OFFSET($BM$9,CN77+2,0,1,1))*OFFSET($CI$9,CN77+2,0,1,1))+OFFSET($BP$9,CN77+2,CQ77,1,1),IF(F77&lt;OFFSET($BN$9,CN77+3,0,1,1),((F77-OFFSET($BM$9,CN77+3,0,1,1))*OFFSET($CI$9,CN77+3,0,1,1))+OFFSET($BP$9,CN77+3,CQ77,1,1),0))))))</f>
        <v>0</v>
      </c>
      <c r="DJ77" s="51">
        <f ca="1">IF($F77&lt;OFFSET($BM$9,$CN77-1,0,1,1),0,IF($F77&lt;OFFSET($BN$9,$CN77-1,0,1,1),IF(AND($H77&gt;2.4,Z77&lt;&gt;"e",Z77&lt;&gt;"f"),DN77*2.4/$H77,DN77),IF($F77&lt;OFFSET($BN$9,$CN77+0,0,1,1),IF(AND($H77&gt;2.4,Z77&lt;&gt;"e",Z77&lt;&gt;"f"),DN77*2.4/$H77,DN77),IF($F77&lt;OFFSET($BN$9,$CN77+1,0,1,1),IF(AND($H77&gt;2.4,Z77&lt;&gt;"e",Z77&lt;&gt;"f"),DN77*2.4/$H77,DN77),IF($F77&lt;OFFSET($BN$9,$CN77+2,0,1,1),IF(AND($H77&gt;2.4,Z77&lt;&gt;"e",Z77&lt;&gt;"f"),DN77*2.4/$H77,DN77),IF($F77&lt;OFFSET($BN$9,$CN77+3,0,1,1),IF(AND($H77&gt;2.4,Z77&lt;&gt;"e",Z77&lt;&gt;"f"),DN77*2.4/$H77,DN77),0)))))*COS(RADIANS($G77)))</f>
        <v>0</v>
      </c>
      <c r="DK77" s="51"/>
      <c r="DL77" s="51">
        <f ca="1">IF(DG77&gt;$CR77,$CR77,DG77)</f>
        <v>0</v>
      </c>
      <c r="DM77" s="51"/>
      <c r="DN77" s="51">
        <f ca="1">IF(DI77&gt;$CR77,$CR77,DI77)</f>
        <v>0</v>
      </c>
      <c r="DO77" s="435">
        <f ca="1">IF(DH77&gt;$CR77,$CR77,DH77)</f>
        <v>0</v>
      </c>
      <c r="DP77" s="435">
        <f ca="1">DO77*F77</f>
        <v>0</v>
      </c>
      <c r="DQ77" s="436">
        <f ca="1">IF(DJ77&gt;$CR77,$CR77,DJ77)</f>
        <v>0</v>
      </c>
      <c r="DR77" s="437">
        <f ca="1">DQ77*F77</f>
        <v>0</v>
      </c>
      <c r="DS77" s="426">
        <f ca="1">OFFSET($CH$9,CL77-1,-15,1,1)</f>
        <v>0</v>
      </c>
      <c r="DT77" s="426">
        <f ca="1">VLOOKUP(DS77,Prodlink,2,0)</f>
        <v>0</v>
      </c>
      <c r="DU77" s="188">
        <f ca="1">IF(F77&lt;OFFSET($BM$9,DT77-1,0,1,1),0,IF(F77&lt;OFFSET($BN$9,DT77-1,0,1,1),((F77-OFFSET($BM$9,DT77-1,0,1,1))*OFFSET($CH$9,DT77-1,0,1,1))+OFFSET($BO$9,DT77-1,CQ77,1,1),IF(F77&lt;OFFSET($BN$9,DT77+0,0,1,1),((F77-OFFSET($BM$9,DT77+0,0,1,1))*OFFSET($CH$9,DT77+0,0,1,1))+OFFSET($BO$9,DT77+0,CQ77,1,1),IF(F77&lt;OFFSET($BN$9,DT77+1,0,1,1),((F77-OFFSET($BM$9,DT77+1,0,1,1))*OFFSET($CH$9,DT77+1,0,1,1))+OFFSET($BO$9,DT77+1,CQ77,1,1),IF(F77&lt;OFFSET($BN$9,DT77+2,0,1,1),((F77-OFFSET($BM$9,DT77+2,0,1,1))*OFFSET($CH$9,DT77+2,0,1,1))+OFFSET($BO$9,DT77+2,CQ77,1,1),IF(F77&lt;OFFSET($BN$9,DT77+3,0,1,1),((F77-OFFSET($BM$9,DT77+3,0,1,1))*OFFSET($CH$9,DT77+3,0,1,1))+OFFSET($BO$9,DT77+3,CQ77,1,1),0))))))</f>
        <v>0</v>
      </c>
      <c r="DV77" s="51">
        <f ca="1">IF($F77&lt;OFFSET($BM$9,$DT77-1,0,1,1),0,IF($F77&lt;OFFSET($BN$9,$DT77-1,0,1,1),IF(AND($H77&gt;2.4,Z77&lt;&gt;"e",Z77&lt;&gt;"f"),DZ77*2.4/$H77,DZ77),IF($F77&lt;OFFSET($BN$9,$DT77+0,0,1,1),IF(AND($H77&gt;2.4,Z77&lt;&gt;"e",Z77&lt;&gt;"f"),DZ77*2.4/$H77,DZ77),IF($F77&lt;OFFSET($BN$9,$DT77+1,0,1,1),IF(AND($H77&gt;2.4,Z77&lt;&gt;"e",Z77&lt;&gt;"f"),DZ77*2.4/$H77,DZ77),IF($F77&lt;OFFSET($BN$9,$DT77+2,0,1,1),IF(AND($H77&gt;2.4,Z77&lt;&gt;"e",Z77&lt;&gt;"f"),DZ77*2.4/$H77,DZ77),IF($F77&lt;OFFSET($BN$9,$DT77+3,0,1,1),IF(AND($H77&gt;2.4,Z77&lt;&gt;"e",Z77&lt;&gt;"f"),DZ77*2.4/$H77,DZ77),0)))))*COS(RADIANS($G77)))</f>
        <v>0</v>
      </c>
      <c r="DW77" s="188">
        <f ca="1">IF(F77&lt;OFFSET($BM$9,DT77-1,0,1,1),0,IF(F77&lt;OFFSET($BN$9,DT77-1,0,1,1),((F77-OFFSET($BM$9,DT77-1,0,1,1))*OFFSET($CI$9,DT77-1,0,1,1))+OFFSET($BP$9,DT77-1,CQ77,1,1),IF(F77&lt;OFFSET($BN$9,DT77+0,0,1,1),((F77-OFFSET($BM$9,DT77+0,0,1,1))*OFFSET($CI$9,DT77+0,0,1,1))+OFFSET($BP$9,DT77+0,CQ77,1,1),IF(F77&lt;OFFSET($BN$9,DT77+1,0,1,1),((F77-OFFSET($BM$9,DT77+1,0,1,1))*OFFSET($CI$9,DT77+1,0,1,1))+OFFSET($BP$9,DT77+1,CQ77,1,1),IF(F77&lt;OFFSET($BN$9,DT77+2,0,1,1),((F77-OFFSET($BM$9,DT77+2,0,1,1))*OFFSET($CI$9,DT77+2,0,1,1))+OFFSET($BP$9,DT77+2,CQ77,1,1),IF(F77&lt;OFFSET($BN$9,DT77+3,0,1,1),((F77-OFFSET($BM$9,DT77+3,0,1,1))*OFFSET($CI$9,DT77+3,0,1,1))+OFFSET($BP$9,DT77+3,CQ77,1,1),0))))))</f>
        <v>0</v>
      </c>
      <c r="DX77" s="51">
        <f ca="1">IF($F77&lt;OFFSET($BM$9,$DT77-1,0,1,1),0,IF($F77&lt;OFFSET($BN$9,$DT77-1,0,1,1),IF(AND($H77&gt;2.4,Z77&lt;&gt;"e",Z77&lt;&gt;"f"),EB77*2.4/$H77,EB77),IF($F77&lt;OFFSET($BN$9,$DT77+0,0,1,1),IF(AND($H77&gt;2.4,Z77&lt;&gt;"e",Z77&lt;&gt;"f"),EB77*2.4/$H77,EB77),IF($F77&lt;OFFSET($BN$9,$DT77+1,0,1,1),IF(AND($H77&gt;2.4,Z77&lt;&gt;"e",Z77&lt;&gt;"f"),EB77*2.4/$H77,EB77),IF($F77&lt;OFFSET($BN$9,$DT77+2,0,1,1),IF(AND($H77&gt;2.4,Z77&lt;&gt;"e",Z77&lt;&gt;"f"),EB77*2.4/$H77,EB77),IF($F77&lt;OFFSET($BN$9,$DT77+3,0,1,1),IF(AND($H77&gt;2.4,Z77&lt;&gt;"e",Z77&lt;&gt;"f"),EB77*2.4/$H77,EB77),0)))))*COS(RADIANS($G77)))</f>
        <v>0</v>
      </c>
      <c r="DY77" s="188"/>
      <c r="DZ77" s="188">
        <f ca="1">IF(DU77&gt;$CR77,$CR77,DU77)</f>
        <v>0</v>
      </c>
      <c r="EA77" s="188"/>
      <c r="EB77" s="188">
        <f ca="1">IF(DW77&gt;$CR77,$CR77,DW77)</f>
        <v>0</v>
      </c>
      <c r="EC77" s="435">
        <f ca="1">IF(DV77&gt;$CR77,$CR77,DV77)</f>
        <v>0</v>
      </c>
      <c r="ED77" s="435">
        <f ca="1">EC77*F77</f>
        <v>0</v>
      </c>
      <c r="EE77" s="436">
        <f ca="1">IF(DX77&gt;$CR77,$CR77,DX77)</f>
        <v>0</v>
      </c>
      <c r="EF77" s="437">
        <f ca="1">EE77*F77</f>
        <v>0</v>
      </c>
      <c r="EG77" s="613" t="str">
        <f>IF(D77=BG$12,BG$12,"")</f>
        <v/>
      </c>
      <c r="EH77" s="614" t="str">
        <f>IF(D77=BG$13,BG$13,"")</f>
        <v/>
      </c>
      <c r="EI77" s="611">
        <f>IF(EG77=BG$12,M77,0)</f>
        <v>0</v>
      </c>
      <c r="EJ77" s="451">
        <f>IF(EG77=BG$12,O77,0)</f>
        <v>0</v>
      </c>
      <c r="EK77" s="451">
        <f>IF(EH77=BG$13,M77,0)</f>
        <v>0</v>
      </c>
      <c r="EL77" s="612">
        <f>IF(EH77=BG$13,O77,0)</f>
        <v>0</v>
      </c>
      <c r="EM77" s="426" t="str">
        <f ca="1">IF(AND(Z77&lt;&gt;"t",Z77&lt;&gt;"f"),"",IF(AND(EN77=$BH$13,K77=$BH$12),"NotOpt",IF(K77&lt;&gt;EN77,"Error","")))</f>
        <v/>
      </c>
      <c r="EN77" s="490" t="str">
        <f>IF($BG$28=1,$BH$13,$BH$12)</f>
        <v>120 BU's</v>
      </c>
      <c r="EO77" s="426" t="str">
        <f>K77</f>
        <v xml:space="preserve"> </v>
      </c>
      <c r="EP77" s="430">
        <v>1</v>
      </c>
      <c r="EQ77" s="430" t="str">
        <f ca="1">IF(EP77=1," ",OFFSET(BF$16,EP77-2,0,1,1))</f>
        <v xml:space="preserve"> </v>
      </c>
      <c r="ER77" s="439" t="str">
        <f ca="1">IF(H77=0," ",H77)</f>
        <v xml:space="preserve"> </v>
      </c>
      <c r="ES77" s="440" t="str">
        <f ca="1">IF(ER77&lt;&gt;" ",IF(ER77&lt;&gt;ER$7,"Changed",""),"")</f>
        <v/>
      </c>
      <c r="ET77" s="440">
        <f ca="1">IF(ER77&lt;&gt;" ",IF(ER77&lt;&gt;ER$7,1,0),0)</f>
        <v>0</v>
      </c>
      <c r="EU77" s="957" t="str">
        <f ca="1">IF(I77=" "," ",IF(F77&lt;OFFSET($BM$9,CL77-1,0,1,1),1,""))</f>
        <v xml:space="preserve"> </v>
      </c>
      <c r="EW77" s="427"/>
      <c r="EX77"/>
      <c r="EY77"/>
      <c r="EZ77"/>
      <c r="FA77"/>
    </row>
    <row r="78" spans="1:157" ht="17.100000000000001" hidden="1" customHeight="1" thickBot="1">
      <c r="A78" s="2685"/>
      <c r="B78" s="689" t="s">
        <v>246</v>
      </c>
      <c r="C78" s="684" t="str">
        <f>IF(OR(F78=0,I78="",I78=" ")," ",$V78)</f>
        <v xml:space="preserve"> </v>
      </c>
      <c r="D78" s="1033"/>
      <c r="E78" s="1360" t="s">
        <v>8</v>
      </c>
      <c r="F78" s="202"/>
      <c r="G78" s="1416"/>
      <c r="H78" s="199" t="str">
        <f ca="1">IF(OR(F78=0,Z78="E",Z78="f")," ",'Project Demand'!E$45)</f>
        <v xml:space="preserve"> </v>
      </c>
      <c r="I78" s="631" t="str">
        <f>IF($I$6&lt;&gt;$BG$8," ",AB78)</f>
        <v xml:space="preserve"> </v>
      </c>
      <c r="J78" s="44" t="str">
        <f ca="1">IF(OR(I78=" ",I78="")," ",OFFSET($BO$9,CL78-1,0-4,1,1))</f>
        <v xml:space="preserve"> </v>
      </c>
      <c r="K78" s="55" t="str">
        <f>IF(OR(I78=" ",I78="")," ",IF(OR(Z78="e",Z78="h"),"SD",BG$24))</f>
        <v xml:space="preserve"> </v>
      </c>
      <c r="L78" s="49">
        <f ca="1">CW78</f>
        <v>0</v>
      </c>
      <c r="M78" s="49">
        <f ca="1">CY78</f>
        <v>0</v>
      </c>
      <c r="N78" s="50">
        <f t="shared" ca="1" si="32"/>
        <v>0</v>
      </c>
      <c r="O78" s="126">
        <f t="shared" ca="1" si="32"/>
        <v>0</v>
      </c>
      <c r="P78" s="140"/>
      <c r="Q78" s="752" t="str">
        <f ca="1">IF(OR(I78=" ",I78="")," ",IF(F78&lt;OFFSET($BM$9,CL78-1,0,1,1),"check L(m)",IF(DE78&lt;&gt;"",DE78,IF(AND(DP78&gt;=CY78,DR78&gt;=DB78),IF(AND(ED78&gt;=DP78,EF78&gt;=DR78),CONCATENATE(DS78," provides same results"),CONCATENATE(CO78," provides same results")),IF((DP78&gt;=CY78),CONCATENATE(CO78," provides same result in WIND"),IF((DR78&gt;=DB78),CONCATENATE(CO78," provides same result in EQ",""),""))))))</f>
        <v xml:space="preserve"> </v>
      </c>
      <c r="R78" s="52"/>
      <c r="S78" s="1372"/>
      <c r="T78" s="1372"/>
      <c r="U78" s="1377"/>
      <c r="V78" s="52" t="str">
        <f ca="1">IF(AND(B$5=$BF$9,OR(I78=BH$16,I78=BH$17))," ",IF(ISNUMBER(B$74),(CONCATENATE(B$74,".",W78)),(CONCATENATE(B$74,W78))))</f>
        <v>X0</v>
      </c>
      <c r="W78" s="9">
        <f ca="1">W77+X78</f>
        <v>0</v>
      </c>
      <c r="X78" s="9">
        <f>IF(AND(B$5=$BF$9,OR($I78=$BH$16,$I78=$BH$17,$I78=" ",$I78="",$F78=0)),0,IF(OR($I78=" ",$I78="",$F78=0),0,1))</f>
        <v>0</v>
      </c>
      <c r="Y78" s="896"/>
      <c r="Z78" s="52" t="str">
        <f ca="1">IF(I78=" "," ",OFFSET($BM$9,$CL78-1,8,1,1))</f>
        <v xml:space="preserve"> </v>
      </c>
      <c r="AA78" s="51" t="str">
        <f>IF(G78&gt;=45,"WA","")</f>
        <v/>
      </c>
      <c r="AB78" s="1364" t="str">
        <f>IF(F78&lt;&gt;"",IF(OR(D78=$BG$12,D78=$BG$13),IF(E78&lt;&gt;$BG$17,$BF$12,$BF$13),IF(E78&lt;&gt;$BG$17,$BF$12,$BF$13))," ")</f>
        <v xml:space="preserve"> </v>
      </c>
      <c r="AC78" s="1"/>
      <c r="BA78"/>
      <c r="BB78"/>
      <c r="BC78"/>
      <c r="BD78" s="652"/>
      <c r="BI78" s="759"/>
      <c r="BJ78" s="897">
        <f t="shared" si="25"/>
        <v>70</v>
      </c>
      <c r="BK78" s="908"/>
      <c r="BL78" s="774"/>
      <c r="BM78" s="776">
        <f>Table!P20</f>
        <v>1.2</v>
      </c>
      <c r="BN78" s="776">
        <v>999</v>
      </c>
      <c r="BO78" s="776">
        <f>Table!Q20</f>
        <v>155</v>
      </c>
      <c r="BP78" s="926">
        <f>Table!R20</f>
        <v>155</v>
      </c>
      <c r="BQ78" s="1183"/>
      <c r="BR78" s="908"/>
      <c r="BS78" s="776"/>
      <c r="BT78" s="776"/>
      <c r="BU78" s="926" t="s">
        <v>242</v>
      </c>
      <c r="BV78" s="433"/>
      <c r="BW78" s="914"/>
      <c r="BX78" s="926" t="str">
        <f>Table!T17</f>
        <v>Double</v>
      </c>
      <c r="CH78" s="908">
        <f>IF(BN78=999,0,(BO79-BO78)/(BN78-BM78))</f>
        <v>0</v>
      </c>
      <c r="CI78" s="926">
        <f>IF(BN78=999,0,(BP79-BP78)/(BN78-BM78))</f>
        <v>0</v>
      </c>
      <c r="CJ78" s="759"/>
      <c r="CK78" s="188"/>
      <c r="CL78" s="979">
        <f>VLOOKUP(I78,Prodlink,2,0)</f>
        <v>0</v>
      </c>
      <c r="CN78" s="497">
        <f ca="1">VLOOKUP(CO78,Prodlink,2,0)</f>
        <v>0</v>
      </c>
      <c r="CO78" s="497">
        <f ca="1">OFFSET($CH$9,CL78-1,-15,1,1)</f>
        <v>0</v>
      </c>
      <c r="CQ78" s="51">
        <v>0</v>
      </c>
      <c r="CR78" s="51">
        <f>IF(K78=$BH$12,$BH$23,IF(K78=$BH$13,$BH$24,10000))</f>
        <v>10000</v>
      </c>
      <c r="CS78" s="51">
        <f ca="1">IF(F78&lt;OFFSET($BM$9,CL78-1,0,1,1),0,IF(F78&lt;OFFSET($BN$9,CL78-1,0,1,1),((F78-OFFSET($BM$9,CL78-1,0,1,1))*OFFSET($CH$9,CL78-1,0,1,1))+OFFSET($BO$9,CL78-1,CQ78,1,1),IF(F78&lt;OFFSET($BN$9,CL78+0,0,1,1),((F78-OFFSET($BM$9,CL78+0,0,1,1))*OFFSET($CH$9,CL78+0,0,1,1))+OFFSET($BO$9,CL78+0,CQ78,1,1),IF(F78&lt;OFFSET($BN$9,CL78+1,0,1,1),((F78-OFFSET($BM$9,CL78+1,0,1,1))*OFFSET($CH$9,CL78+1,0,1,1))+OFFSET($BO$9,CL78+1,CQ78,1,1),IF(F78&lt;OFFSET($BN$9,CL78+2,0,1,1),((F78-OFFSET($BM$9,CL78+2,0,1,1))*OFFSET($CH$9,CL78+2,0,1,1))+OFFSET($BO$9,CL78+2,CQ78,1,1),IF(F78&lt;OFFSET($BN$9,CL78+3,0,1,1),((F78-OFFSET($BM$9,CL78+3,0,1,1))*OFFSET($CH$9,CL78+3,0,1,1))+OFFSET($BO$9,CL78+3,CQ78,1,1),0))))))</f>
        <v>0</v>
      </c>
      <c r="CT78" s="51">
        <f ca="1">IF($F78&lt;OFFSET($BM$9,$CL78-1,0,1,1),0,IF($F78&lt;OFFSET($BN$9,$CL78-1,0,1,1),IF(AND($H78&gt;2.4,Z78&lt;&gt;"e",Z78&lt;&gt;"f"),CX78*2.4/$H78,CX78),IF($F78&lt;OFFSET($BN$9,$CL78+0,0,1,1),IF(AND($H78&gt;2.4,Z78&lt;&gt;"e",Z78&lt;&gt;"f"),CX78*2.4/$H78,CX78),IF($F78&lt;OFFSET($BN$9,$CL78+1,0,1,1),IF(AND($H78&gt;2.4,Z78&lt;&gt;"e",Z78&lt;&gt;"f"),CX78*2.4/$H78,CX78),IF($F78&lt;OFFSET($BN$9,CL78+2,0,1,1),IF(AND($H78&gt;2.4,Z78&lt;&gt;"e",Z78&lt;&gt;"f"),CX78*2.4/$H78,CX78),IF($F78&lt;OFFSET($BN$9,CL78+3,0,1,1),IF(AND($H78&gt;2.4,Z78&lt;&gt;"e",Z78&lt;&gt;"f"),CX78*2.4/$H78,CX78),0)))))*COS(RADIANS($G78)))</f>
        <v>0</v>
      </c>
      <c r="CU78" s="51">
        <f ca="1">IF(F78&lt;OFFSET($BM$9,CL78-1,0,1,1),0,IF(F78&lt;OFFSET($BN$9,CL78-1,0,1,1),((F78-OFFSET($BM$9,CL78-1,0,1,1))*OFFSET($CI$9,CL78-1,0,1,1))+OFFSET($BP$9,CL78-1,CQ78,1,1),IF(F78&lt;OFFSET($BN$9,CL78+0,0,1,1),((F78-OFFSET($BM$9,CL78+0,0,1,1))*OFFSET($CI$9,CL78+0,0,1,1))+OFFSET($BP$9,CL78+0,CQ78,1,1),IF(F78&lt;OFFSET($BN$9,CL78+1,0,1,1),((F78-OFFSET($BM$9,CL78+1,0,1,1))*OFFSET($CI$9,CL78+1,0,1,1))+OFFSET($BP$9,CL78+1,CQ78,1,1),IF(F78&lt;OFFSET($BN$9,CL78+2,0,1,1),((F78-OFFSET($BM$9,CL78+2,0,1,1))*OFFSET($CI$9,CL78+2,0,1,1))+OFFSET($BP$9,CL78+2,CQ78,1,1),IF(F78&lt;OFFSET($BN$9,CL78+3,0,1,1),((F78-OFFSET($BM$9,CL78+3,0,1,1))*OFFSET($CI$9,CL78+3,0,1,1))+OFFSET($BP$9,CL78+3,CQ78,1,1),0))))))</f>
        <v>0</v>
      </c>
      <c r="CV78" s="51">
        <f ca="1">IF($F78&lt;OFFSET($BM$9,$CL78-1,0,1,1),0,IF($F78&lt;OFFSET($BN$9,$CL78-1,0,1,1),IF(AND($H78&gt;2.4,Z78&lt;&gt;"e",Z78&lt;&gt;"f"),CZ78*2.4/$H78,CZ78),IF($F78&lt;OFFSET($BN$9,$CL78+0,0,1,1),IF(AND($H78&gt;2.4,Z78&lt;&gt;"e",Z78&lt;&gt;"f"),CZ78*2.4/$H78,CZ78),IF($F78&lt;OFFSET($BN$9,$CL78+1,0,1,1),IF(AND($H78&gt;2.4,Z78&lt;&gt;"e",Z78&lt;&gt;"f"),CZ78*2.4/$H78,CZ78),IF($F78&lt;OFFSET($BN$9,$CL78+2,0,1,1),IF(AND($H78&gt;2.4,Z78&lt;&gt;"e",Z78&lt;&gt;"f"),CZ78*2.4/$H78,CZ78),IF($F78&lt;OFFSET($BN$9,$CL78+3,0,1,1),IF(AND($H78&gt;2.4,Z78&lt;&gt;"e",Z78&lt;&gt;"f"),CZ78*2.4/$H78,CZ78),0)))))*COS(RADIANS($G78)))</f>
        <v>0</v>
      </c>
      <c r="CW78" s="51">
        <f ca="1">IF(CT78&gt;CR78,CR78,CT78)</f>
        <v>0</v>
      </c>
      <c r="CX78" s="51">
        <f ca="1">IF(CS78&gt;$CR78,$CR78,CS78)</f>
        <v>0</v>
      </c>
      <c r="CY78" s="51">
        <f ca="1">CW78*F78</f>
        <v>0</v>
      </c>
      <c r="CZ78" s="51">
        <f ca="1">IF($CU78&gt;$CR78,$CR78,$CU78)</f>
        <v>0</v>
      </c>
      <c r="DA78" s="51">
        <f ca="1">IF(CV78&gt;CR78,CR78,CV78)</f>
        <v>0</v>
      </c>
      <c r="DB78" s="51">
        <f ca="1">DA78*F78</f>
        <v>0</v>
      </c>
      <c r="DC78" s="993">
        <v>3</v>
      </c>
      <c r="DD78" s="758" t="str">
        <f>IF(OR(D78=BG$12,D78=BG$13),"External",IF(D78=BG$14,"Internal"," "))</f>
        <v xml:space="preserve"> </v>
      </c>
      <c r="DE78" s="51" t="str">
        <f t="shared" ca="1" si="33"/>
        <v/>
      </c>
      <c r="DF78" s="52" t="str">
        <f t="shared" ca="1" si="34"/>
        <v xml:space="preserve"> </v>
      </c>
      <c r="DG78" s="51">
        <f ca="1">IF(F78&lt;OFFSET($BM$9,CN78-1,0,1,1),0,IF(F78&lt;OFFSET($BN$9,CN78-1,0,1,1),((F78-OFFSET($BM$9,CN78-1,0,1,1))*OFFSET($CH$9,CN78-1,0,1,1))+OFFSET($BO$9,CN78-1,CQ78,1,1),IF(F78&lt;OFFSET($BN$9,CN78+0,0,1,1),((F78-OFFSET($BM$9,CN78+0,0,1,1))*OFFSET($CH$9,CN78+0,0,1,1))+OFFSET($BO$9,CN78+0,CQ78,1,1),IF(F78&lt;OFFSET($BN$9,CN78+1,0,1,1),((F78-OFFSET($BM$9,CN78+1,0,1,1))*OFFSET($CH$9,CN78+1,0,1,1))+OFFSET($BO$9,CN78+1,CQ78,1,1),IF(F78&lt;OFFSET($BN$9,CN78+2,0,1,1),((F78-OFFSET($BM$9,CN78+2,0,1,1))*OFFSET($CH$9,CN78+2,0,1,1))+OFFSET($BO$9,CN78+2,CQ78,1,1),IF(F78&lt;OFFSET($BN$9,CN78+3,0,1,1),((F78-OFFSET($BM$9,CN78+3,0,1,1))*OFFSET($CH$9,CN78+3,0,1,1))+OFFSET($BO$9,CN78+3,CQ78,1,1),0))))))</f>
        <v>0</v>
      </c>
      <c r="DH78" s="51">
        <f ca="1">IF($F78&lt;OFFSET($BM$9,$CN78-1,0,1,1),0,IF($F78&lt;OFFSET($BN$9,$CN78-1,0,1,1),IF(AND($H78&gt;2.4,Z78&lt;&gt;"e",Z78&lt;&gt;"f"),DL78*2.4/$H78,DL78),IF($F78&lt;OFFSET($BN$9,$CN78+0,0,1,1),IF(AND($H78&gt;2.4,Z78&lt;&gt;"e",Z78&lt;&gt;"f"),DL78*2.4/$H78,DL78),IF($F78&lt;OFFSET($BN$9,$CN78+1,0,1,1),IF(AND($H78&gt;2.4,Z78&lt;&gt;"e",Z78&lt;&gt;"f"),DL78*2.4/$H78,DL78),IF($F78&lt;OFFSET($BN$9,$CN78+2,0,1,1),IF(AND($H78&gt;2.4,Z78&lt;&gt;"e",Z78&lt;&gt;"f"),DL78*2.4/$H78,DL78),IF($F78&lt;OFFSET($BN$9,$CN78+3,0,1,1),IF(AND($H78&gt;2.4,Z78&lt;&gt;"e",Z78&lt;&gt;"f"),DL78*2.4/$H78,DL78),0)))))*COS(RADIANS($G78)))</f>
        <v>0</v>
      </c>
      <c r="DI78" s="51">
        <f ca="1">IF(F78&lt;OFFSET($BM$9,CN78-1,0,1,1),0,IF(F78&lt;OFFSET($BN$9,CN78-1,0,1,1),((F78-OFFSET($BM$9,CN78-1,0,1,1))*OFFSET($CI$9,CN78-1,0,1,1))+OFFSET($BP$9,CN78-1,CQ78,1,1),IF(F78&lt;OFFSET($BN$9,CN78+0,0,1,1),((F78-OFFSET($BM$9,CN78+0,0,1,1))*OFFSET($CI$9,CN78+0,0,1,1))+OFFSET($BP$9,CN78+0,CQ78,1,1),IF(F78&lt;OFFSET($BN$9,CN78+1,0,1,1),((F78-OFFSET($BM$9,CN78+1,0,1,1))*OFFSET($CI$9,CN78+1,0,1,1))+OFFSET($BP$9,CN78+1,CQ78,1,1),IF(F78&lt;OFFSET($BN$9,CN78+2,0,1,1),((F78-OFFSET($BM$9,CN78+2,0,1,1))*OFFSET($CI$9,CN78+2,0,1,1))+OFFSET($BP$9,CN78+2,CQ78,1,1),IF(F78&lt;OFFSET($BN$9,CN78+3,0,1,1),((F78-OFFSET($BM$9,CN78+3,0,1,1))*OFFSET($CI$9,CN78+3,0,1,1))+OFFSET($BP$9,CN78+3,CQ78,1,1),0))))))</f>
        <v>0</v>
      </c>
      <c r="DJ78" s="51">
        <f ca="1">IF($F78&lt;OFFSET($BM$9,$CN78-1,0,1,1),0,IF($F78&lt;OFFSET($BN$9,$CN78-1,0,1,1),IF(AND($H78&gt;2.4,Z78&lt;&gt;"e",Z78&lt;&gt;"f"),DN78*2.4/$H78,DN78),IF($F78&lt;OFFSET($BN$9,$CN78+0,0,1,1),IF(AND($H78&gt;2.4,Z78&lt;&gt;"e",Z78&lt;&gt;"f"),DN78*2.4/$H78,DN78),IF($F78&lt;OFFSET($BN$9,$CN78+1,0,1,1),IF(AND($H78&gt;2.4,Z78&lt;&gt;"e",Z78&lt;&gt;"f"),DN78*2.4/$H78,DN78),IF($F78&lt;OFFSET($BN$9,$CN78+2,0,1,1),IF(AND($H78&gt;2.4,Z78&lt;&gt;"e",Z78&lt;&gt;"f"),DN78*2.4/$H78,DN78),IF($F78&lt;OFFSET($BN$9,$CN78+3,0,1,1),IF(AND($H78&gt;2.4,Z78&lt;&gt;"e",Z78&lt;&gt;"f"),DN78*2.4/$H78,DN78),0)))))*COS(RADIANS($G78)))</f>
        <v>0</v>
      </c>
      <c r="DK78" s="51"/>
      <c r="DL78" s="51">
        <f ca="1">IF(DG78&gt;$CR78,$CR78,DG78)</f>
        <v>0</v>
      </c>
      <c r="DM78" s="51"/>
      <c r="DN78" s="51">
        <f ca="1">IF(DI78&gt;$CR78,$CR78,DI78)</f>
        <v>0</v>
      </c>
      <c r="DO78" s="435">
        <f ca="1">IF(DH78&gt;$CR78,$CR78,DH78)</f>
        <v>0</v>
      </c>
      <c r="DP78" s="435">
        <f ca="1">DO78*F78</f>
        <v>0</v>
      </c>
      <c r="DQ78" s="436">
        <f ca="1">IF(DJ78&gt;$CR78,$CR78,DJ78)</f>
        <v>0</v>
      </c>
      <c r="DR78" s="437">
        <f ca="1">DQ78*F78</f>
        <v>0</v>
      </c>
      <c r="DS78" s="426">
        <f ca="1">OFFSET($CH$9,CL78-1,-15,1,1)</f>
        <v>0</v>
      </c>
      <c r="DT78" s="426">
        <f ca="1">VLOOKUP(DS78,Prodlink,2,0)</f>
        <v>0</v>
      </c>
      <c r="DU78" s="188">
        <f ca="1">IF(F78&lt;OFFSET($BM$9,DT78-1,0,1,1),0,IF(F78&lt;OFFSET($BN$9,DT78-1,0,1,1),((F78-OFFSET($BM$9,DT78-1,0,1,1))*OFFSET($CH$9,DT78-1,0,1,1))+OFFSET($BO$9,DT78-1,CQ78,1,1),IF(F78&lt;OFFSET($BN$9,DT78+0,0,1,1),((F78-OFFSET($BM$9,DT78+0,0,1,1))*OFFSET($CH$9,DT78+0,0,1,1))+OFFSET($BO$9,DT78+0,CQ78,1,1),IF(F78&lt;OFFSET($BN$9,DT78+1,0,1,1),((F78-OFFSET($BM$9,DT78+1,0,1,1))*OFFSET($CH$9,DT78+1,0,1,1))+OFFSET($BO$9,DT78+1,CQ78,1,1),IF(F78&lt;OFFSET($BN$9,DT78+2,0,1,1),((F78-OFFSET($BM$9,DT78+2,0,1,1))*OFFSET($CH$9,DT78+2,0,1,1))+OFFSET($BO$9,DT78+2,CQ78,1,1),IF(F78&lt;OFFSET($BN$9,DT78+3,0,1,1),((F78-OFFSET($BM$9,DT78+3,0,1,1))*OFFSET($CH$9,DT78+3,0,1,1))+OFFSET($BO$9,DT78+3,CQ78,1,1),0))))))</f>
        <v>0</v>
      </c>
      <c r="DV78" s="51">
        <f ca="1">IF($F78&lt;OFFSET($BM$9,$DT78-1,0,1,1),0,IF($F78&lt;OFFSET($BN$9,$DT78-1,0,1,1),IF(AND($H78&gt;2.4,Z78&lt;&gt;"e",Z78&lt;&gt;"f"),DZ78*2.4/$H78,DZ78),IF($F78&lt;OFFSET($BN$9,$DT78+0,0,1,1),IF(AND($H78&gt;2.4,Z78&lt;&gt;"e",Z78&lt;&gt;"f"),DZ78*2.4/$H78,DZ78),IF($F78&lt;OFFSET($BN$9,$DT78+1,0,1,1),IF(AND($H78&gt;2.4,Z78&lt;&gt;"e",Z78&lt;&gt;"f"),DZ78*2.4/$H78,DZ78),IF($F78&lt;OFFSET($BN$9,$DT78+2,0,1,1),IF(AND($H78&gt;2.4,Z78&lt;&gt;"e",Z78&lt;&gt;"f"),DZ78*2.4/$H78,DZ78),IF($F78&lt;OFFSET($BN$9,$DT78+3,0,1,1),IF(AND($H78&gt;2.4,Z78&lt;&gt;"e",Z78&lt;&gt;"f"),DZ78*2.4/$H78,DZ78),0)))))*COS(RADIANS($G78)))</f>
        <v>0</v>
      </c>
      <c r="DW78" s="188">
        <f ca="1">IF(F78&lt;OFFSET($BM$9,DT78-1,0,1,1),0,IF(F78&lt;OFFSET($BN$9,DT78-1,0,1,1),((F78-OFFSET($BM$9,DT78-1,0,1,1))*OFFSET($CI$9,DT78-1,0,1,1))+OFFSET($BP$9,DT78-1,CQ78,1,1),IF(F78&lt;OFFSET($BN$9,DT78+0,0,1,1),((F78-OFFSET($BM$9,DT78+0,0,1,1))*OFFSET($CI$9,DT78+0,0,1,1))+OFFSET($BP$9,DT78+0,CQ78,1,1),IF(F78&lt;OFFSET($BN$9,DT78+1,0,1,1),((F78-OFFSET($BM$9,DT78+1,0,1,1))*OFFSET($CI$9,DT78+1,0,1,1))+OFFSET($BP$9,DT78+1,CQ78,1,1),IF(F78&lt;OFFSET($BN$9,DT78+2,0,1,1),((F78-OFFSET($BM$9,DT78+2,0,1,1))*OFFSET($CI$9,DT78+2,0,1,1))+OFFSET($BP$9,DT78+2,CQ78,1,1),IF(F78&lt;OFFSET($BN$9,DT78+3,0,1,1),((F78-OFFSET($BM$9,DT78+3,0,1,1))*OFFSET($CI$9,DT78+3,0,1,1))+OFFSET($BP$9,DT78+3,CQ78,1,1),0))))))</f>
        <v>0</v>
      </c>
      <c r="DX78" s="51">
        <f ca="1">IF($F78&lt;OFFSET($BM$9,$DT78-1,0,1,1),0,IF($F78&lt;OFFSET($BN$9,$DT78-1,0,1,1),IF(AND($H78&gt;2.4,Z78&lt;&gt;"e",Z78&lt;&gt;"f"),EB78*2.4/$H78,EB78),IF($F78&lt;OFFSET($BN$9,$DT78+0,0,1,1),IF(AND($H78&gt;2.4,Z78&lt;&gt;"e",Z78&lt;&gt;"f"),EB78*2.4/$H78,EB78),IF($F78&lt;OFFSET($BN$9,$DT78+1,0,1,1),IF(AND($H78&gt;2.4,Z78&lt;&gt;"e",Z78&lt;&gt;"f"),EB78*2.4/$H78,EB78),IF($F78&lt;OFFSET($BN$9,$DT78+2,0,1,1),IF(AND($H78&gt;2.4,Z78&lt;&gt;"e",Z78&lt;&gt;"f"),EB78*2.4/$H78,EB78),IF($F78&lt;OFFSET($BN$9,$DT78+3,0,1,1),IF(AND($H78&gt;2.4,Z78&lt;&gt;"e",Z78&lt;&gt;"f"),EB78*2.4/$H78,EB78),0)))))*COS(RADIANS($G78)))</f>
        <v>0</v>
      </c>
      <c r="DY78" s="188"/>
      <c r="DZ78" s="188">
        <f ca="1">IF(DU78&gt;$CR78,$CR78,DU78)</f>
        <v>0</v>
      </c>
      <c r="EA78" s="188"/>
      <c r="EB78" s="188">
        <f ca="1">IF(DW78&gt;$CR78,$CR78,DW78)</f>
        <v>0</v>
      </c>
      <c r="EC78" s="435">
        <f ca="1">IF(DV78&gt;$CR78,$CR78,DV78)</f>
        <v>0</v>
      </c>
      <c r="ED78" s="435">
        <f ca="1">EC78*F78</f>
        <v>0</v>
      </c>
      <c r="EE78" s="436">
        <f ca="1">IF(DX78&gt;$CR78,$CR78,DX78)</f>
        <v>0</v>
      </c>
      <c r="EF78" s="437">
        <f ca="1">EE78*F78</f>
        <v>0</v>
      </c>
      <c r="EG78" s="613" t="str">
        <f>IF(D78=BG$12,BG$12,"")</f>
        <v/>
      </c>
      <c r="EH78" s="614" t="str">
        <f>IF(D78=BG$13,BG$13,"")</f>
        <v/>
      </c>
      <c r="EI78" s="611">
        <f>IF(EG78=BG$12,M78,0)</f>
        <v>0</v>
      </c>
      <c r="EJ78" s="451">
        <f>IF(EG78=BG$12,O78,0)</f>
        <v>0</v>
      </c>
      <c r="EK78" s="451">
        <f>IF(EH78=BG$13,M78,0)</f>
        <v>0</v>
      </c>
      <c r="EL78" s="612">
        <f>IF(EH78=BG$13,O78,0)</f>
        <v>0</v>
      </c>
      <c r="EM78" s="426" t="str">
        <f ca="1">IF(AND(Z78&lt;&gt;"t",Z78&lt;&gt;"f"),"",IF(AND(EN78=$BH$13,K78=$BH$12),"NotOpt",IF(K78&lt;&gt;EN78,"Error","")))</f>
        <v/>
      </c>
      <c r="EN78" s="490" t="str">
        <f>IF($BG$28=1,$BH$13,$BH$12)</f>
        <v>120 BU's</v>
      </c>
      <c r="EO78" s="426" t="str">
        <f>K78</f>
        <v xml:space="preserve"> </v>
      </c>
      <c r="EP78" s="430">
        <v>1</v>
      </c>
      <c r="EQ78" s="430" t="str">
        <f ca="1">IF(EP78=1," ",OFFSET(BF$16,EP78-2,0,1,1))</f>
        <v xml:space="preserve"> </v>
      </c>
      <c r="ER78" s="439" t="str">
        <f ca="1">IF(H78=0," ",H78)</f>
        <v xml:space="preserve"> </v>
      </c>
      <c r="ES78" s="440" t="str">
        <f ca="1">IF(ER78&lt;&gt;" ",IF(ER78&lt;&gt;ER$7,"Changed",""),"")</f>
        <v/>
      </c>
      <c r="ET78" s="440">
        <f ca="1">IF(ER78&lt;&gt;" ",IF(ER78&lt;&gt;ER$7,1,0),0)</f>
        <v>0</v>
      </c>
      <c r="EU78" s="957" t="str">
        <f ca="1">IF(I78=" "," ",IF(F78&lt;OFFSET($BM$9,CL78-1,0,1,1),1,""))</f>
        <v xml:space="preserve"> </v>
      </c>
      <c r="EW78" s="427"/>
      <c r="EX78"/>
      <c r="EY78"/>
      <c r="EZ78"/>
      <c r="FA78"/>
    </row>
    <row r="79" spans="1:157" ht="17.100000000000001" hidden="1" customHeight="1" thickBot="1">
      <c r="A79" s="2685"/>
      <c r="B79" s="2686" t="s">
        <v>8</v>
      </c>
      <c r="C79" s="2687"/>
      <c r="D79" s="1463" t="s">
        <v>8</v>
      </c>
      <c r="E79" s="659"/>
      <c r="F79" s="659"/>
      <c r="G79" s="659"/>
      <c r="H79" s="659"/>
      <c r="I79" s="1462"/>
      <c r="J79" s="1365" t="str">
        <f ca="1">(CONCATENATE(B74,$BE$54))</f>
        <v>X  Line:  Min. Requirement</v>
      </c>
      <c r="K79" s="23"/>
      <c r="L79" s="1019">
        <f ca="1">L$5</f>
        <v>0</v>
      </c>
      <c r="M79" s="48">
        <f ca="1">IF(B74=B68,SUM(M74:M78)+M73,SUM(M74:M78))</f>
        <v>0</v>
      </c>
      <c r="N79" s="1019">
        <f ca="1">N$5</f>
        <v>0</v>
      </c>
      <c r="O79" s="125">
        <f ca="1">IF(B74=B68,SUM(O74:O78)+O73,SUM(O74:O78))</f>
        <v>0</v>
      </c>
      <c r="P79" s="139"/>
      <c r="Q79" s="42" t="str">
        <f ca="1">IF(B74=B80,"",IF(AND(M79&gt;0,L79=L$5,OR(M79&lt;$M$105,M79&lt;$BF$3)),"Achieved &lt; Min Req per Line",IF(AND(O79&gt;0,N79=N$5,OR(O79&lt;$O$105,O79&lt;$BF$3)),"Achieved &lt; Min Req per Line",IF(AND(M79&gt;0,L79&gt;M79),"More Required on this line",IF(AND(O79&gt;0,N79&gt;O79),"More Required on this line",IF(AND(L79&gt;0,L79&lt;$BF$3),$BE$59,IF(AND(N79&gt;0,N79&lt;$BF$3),$BE$59,"")))))))</f>
        <v/>
      </c>
      <c r="R79" s="52"/>
      <c r="S79" s="52"/>
      <c r="T79" s="52"/>
      <c r="U79" s="52"/>
      <c r="V79" s="52"/>
      <c r="W79" s="1000"/>
      <c r="X79" s="9"/>
      <c r="Y79" s="896"/>
      <c r="Z79" s="52"/>
      <c r="AA79" s="51"/>
      <c r="AB79" s="51"/>
      <c r="AC79" s="1"/>
      <c r="BA79"/>
      <c r="BB79"/>
      <c r="BC79"/>
      <c r="BD79" s="652"/>
      <c r="BF79" s="51"/>
      <c r="BG79" s="51"/>
      <c r="BI79" s="759"/>
      <c r="BJ79" s="897">
        <f t="shared" si="25"/>
        <v>71</v>
      </c>
      <c r="BK79" s="1231"/>
      <c r="BL79" s="1234"/>
      <c r="BM79" s="1205"/>
      <c r="BN79" s="1205"/>
      <c r="BO79" s="1205"/>
      <c r="BP79" s="1205"/>
      <c r="BQ79" s="1233"/>
      <c r="BR79" s="1205"/>
      <c r="BS79" s="1205"/>
      <c r="BT79" s="1205"/>
      <c r="BU79" s="1205"/>
      <c r="BV79" s="1233"/>
      <c r="BW79" s="1235"/>
      <c r="BX79" s="1205"/>
      <c r="CH79" s="970"/>
      <c r="CI79" s="971"/>
      <c r="CJ79" s="759"/>
      <c r="CK79" s="188"/>
      <c r="CL79" s="980"/>
      <c r="CM79" s="939"/>
      <c r="CN79" s="940"/>
      <c r="CO79" s="940"/>
      <c r="CP79" s="939"/>
      <c r="CQ79" s="939"/>
      <c r="CR79" s="938"/>
      <c r="CS79" s="938"/>
      <c r="CT79" s="938"/>
      <c r="CU79" s="938"/>
      <c r="CV79" s="938"/>
      <c r="CW79" s="938"/>
      <c r="CX79" s="938"/>
      <c r="CY79" s="938"/>
      <c r="CZ79" s="938"/>
      <c r="DA79" s="938"/>
      <c r="DB79" s="938"/>
      <c r="DC79" s="998">
        <v>1</v>
      </c>
      <c r="DD79" s="938"/>
      <c r="DE79" s="938"/>
      <c r="DF79" s="938"/>
      <c r="DG79" s="938"/>
      <c r="DH79" s="938"/>
      <c r="DI79" s="938"/>
      <c r="DJ79" s="938"/>
      <c r="DK79" s="938"/>
      <c r="DL79" s="938"/>
      <c r="DM79" s="938"/>
      <c r="DN79" s="938"/>
      <c r="DO79" s="941"/>
      <c r="DP79" s="941"/>
      <c r="DQ79" s="941"/>
      <c r="DR79" s="941"/>
      <c r="DS79" s="942"/>
      <c r="DT79" s="942"/>
      <c r="DU79" s="939"/>
      <c r="DV79" s="939"/>
      <c r="DW79" s="939"/>
      <c r="DX79" s="939"/>
      <c r="DY79" s="939"/>
      <c r="DZ79" s="939"/>
      <c r="EA79" s="939"/>
      <c r="EB79" s="939"/>
      <c r="EC79" s="941"/>
      <c r="ED79" s="941"/>
      <c r="EE79" s="941"/>
      <c r="EF79" s="941"/>
      <c r="EG79" s="941"/>
      <c r="EH79" s="941"/>
      <c r="EI79" s="943"/>
      <c r="EJ79" s="943"/>
      <c r="EK79" s="943"/>
      <c r="EL79" s="943"/>
      <c r="EM79" s="942"/>
      <c r="EN79" s="944"/>
      <c r="EO79" s="942"/>
      <c r="EP79" s="945"/>
      <c r="EQ79" s="945"/>
      <c r="ER79" s="946"/>
      <c r="ES79" s="942"/>
      <c r="ET79" s="942"/>
      <c r="EU79" s="958"/>
      <c r="EW79" s="427"/>
      <c r="EX79"/>
      <c r="EY79"/>
      <c r="EZ79"/>
      <c r="FA79"/>
    </row>
    <row r="80" spans="1:157" ht="15" customHeight="1" thickBot="1">
      <c r="A80" s="2685"/>
      <c r="B80" s="2748" t="s">
        <v>488</v>
      </c>
      <c r="C80" s="2749"/>
      <c r="D80" s="2750"/>
      <c r="E80" s="2766"/>
      <c r="F80" s="2767"/>
      <c r="G80" s="2767"/>
      <c r="H80" s="2767"/>
      <c r="I80" s="2767"/>
      <c r="J80" s="2767"/>
      <c r="K80" s="2768"/>
      <c r="L80" s="17"/>
      <c r="M80" s="24" t="s">
        <v>1</v>
      </c>
      <c r="N80" s="16"/>
      <c r="O80" s="127" t="s">
        <v>17</v>
      </c>
      <c r="P80" s="142"/>
      <c r="R80" s="52"/>
      <c r="S80" s="52"/>
      <c r="T80" s="52"/>
      <c r="U80" s="52"/>
      <c r="V80" s="52"/>
      <c r="W80" s="52"/>
      <c r="X80" s="52"/>
      <c r="Y80" s="896"/>
      <c r="Z80" s="52"/>
      <c r="AA80" s="51"/>
      <c r="AB80" s="51"/>
      <c r="AC80" s="9"/>
      <c r="BA80"/>
      <c r="BB80"/>
      <c r="BC80"/>
      <c r="BD80" s="652"/>
      <c r="BE80" s="1"/>
      <c r="BF80" s="51"/>
      <c r="BG80" s="51"/>
      <c r="BI80" s="759"/>
      <c r="BJ80" s="897">
        <f t="shared" si="25"/>
        <v>72</v>
      </c>
      <c r="BK80" s="768" t="str">
        <f>BK74</f>
        <v xml:space="preserve">EPB </v>
      </c>
      <c r="BL80" s="765" t="str">
        <f>Table!AA4</f>
        <v>EM-H</v>
      </c>
      <c r="BM80" s="454">
        <f>Table!AB4</f>
        <v>0.4</v>
      </c>
      <c r="BN80" s="454">
        <f>BM81</f>
        <v>0.6</v>
      </c>
      <c r="BO80" s="454">
        <f>Table!AC4</f>
        <v>98</v>
      </c>
      <c r="BP80" s="924">
        <f>Table!AD4</f>
        <v>100</v>
      </c>
      <c r="BQ80" s="920"/>
      <c r="BR80" s="768" t="str">
        <f>Table!AE4</f>
        <v>ES-H</v>
      </c>
      <c r="BS80" s="454" t="str">
        <f>Table!AE5</f>
        <v>ES-H</v>
      </c>
      <c r="BT80" s="454" t="str">
        <f>Table!AF4</f>
        <v>B</v>
      </c>
      <c r="BU80" s="924" t="s">
        <v>242</v>
      </c>
      <c r="BV80" s="1230" t="str">
        <f>Table!AI75</f>
        <v>EM-H</v>
      </c>
      <c r="BW80" s="1229">
        <f>BJ80</f>
        <v>72</v>
      </c>
      <c r="BX80" s="924" t="str">
        <f>Table!AF5</f>
        <v>Single</v>
      </c>
      <c r="CH80" s="768">
        <f>IF(BN80=999,0,(BO81-BO80)/(BN80-BM80))</f>
        <v>60.000000000000014</v>
      </c>
      <c r="CI80" s="924">
        <f>IF(BN80=999,0,(BP81-BP80)/(BN80-BM80))</f>
        <v>20.000000000000004</v>
      </c>
      <c r="CJ80" s="759"/>
      <c r="CK80" s="188"/>
      <c r="CL80" s="52"/>
      <c r="EW80" s="427"/>
      <c r="EX80"/>
      <c r="EY80"/>
      <c r="EZ80"/>
      <c r="FA80"/>
    </row>
    <row r="81" spans="1:159" ht="19.5" customHeight="1">
      <c r="B81" s="2746" t="s">
        <v>219</v>
      </c>
      <c r="C81" s="2747"/>
      <c r="D81" s="164">
        <f ca="1">'Project Demand'!N5</f>
        <v>44439.670989930557</v>
      </c>
      <c r="E81" s="1359"/>
      <c r="F81" s="2773" t="str">
        <f>B4</f>
        <v>Lower Storey</v>
      </c>
      <c r="G81" s="2639"/>
      <c r="H81" s="2773" t="str">
        <f>B3</f>
        <v>Wall Across</v>
      </c>
      <c r="I81" s="2639"/>
      <c r="J81" s="2795" t="str">
        <f>DA4</f>
        <v>Achieved BU's =</v>
      </c>
      <c r="K81" s="2639"/>
      <c r="L81" s="45">
        <f ca="1">M2/M3</f>
        <v>0</v>
      </c>
      <c r="M81" s="46">
        <f ca="1">M2</f>
        <v>0</v>
      </c>
      <c r="N81" s="45">
        <f ca="1">O2/O3</f>
        <v>0</v>
      </c>
      <c r="O81" s="128">
        <f ca="1">O2</f>
        <v>0</v>
      </c>
      <c r="P81" s="133"/>
      <c r="R81" s="52"/>
      <c r="S81" s="52"/>
      <c r="T81" s="52"/>
      <c r="U81" s="52"/>
      <c r="V81" s="52"/>
      <c r="W81" s="52"/>
      <c r="X81" s="52"/>
      <c r="Y81" s="896"/>
      <c r="Z81" s="52"/>
      <c r="AA81" s="52"/>
      <c r="AB81" s="52"/>
      <c r="AC81" s="9"/>
      <c r="BA81"/>
      <c r="BB81"/>
      <c r="BC81"/>
      <c r="BD81" s="652"/>
      <c r="BE81" s="1"/>
      <c r="BF81" s="51"/>
      <c r="BG81" s="51"/>
      <c r="BI81" s="759"/>
      <c r="BJ81" s="897">
        <f t="shared" si="25"/>
        <v>73</v>
      </c>
      <c r="BK81" s="764"/>
      <c r="BL81" s="766"/>
      <c r="BM81" s="455">
        <f>Table!AB5</f>
        <v>0.6</v>
      </c>
      <c r="BN81" s="455">
        <f>BM82</f>
        <v>0.8</v>
      </c>
      <c r="BO81" s="455">
        <f>Table!AC5</f>
        <v>110</v>
      </c>
      <c r="BP81" s="925">
        <f>Table!AD5</f>
        <v>104</v>
      </c>
      <c r="BR81" s="764"/>
      <c r="BS81" s="455"/>
      <c r="BT81" s="455"/>
      <c r="BU81" s="925" t="s">
        <v>242</v>
      </c>
      <c r="BV81" s="895"/>
      <c r="BW81" s="912"/>
      <c r="BX81" s="925" t="str">
        <f>Table!AF5</f>
        <v>Single</v>
      </c>
      <c r="CH81" s="764">
        <f>IF(BN81=999,0,(BO82-BO81)/(BN81-BM81))</f>
        <v>49.999999999999986</v>
      </c>
      <c r="CI81" s="925">
        <f>IF(BN81=999,0,(BP82-BP81)/(BN81-BM81))</f>
        <v>24.999999999999993</v>
      </c>
      <c r="CJ81" s="759"/>
      <c r="CK81" s="188"/>
      <c r="CL81" s="52"/>
      <c r="EI81" s="870">
        <f ca="1">SUM(EI8:EI78)</f>
        <v>0</v>
      </c>
      <c r="EJ81" s="870">
        <f ca="1">SUM(EJ8:EJ78)</f>
        <v>0</v>
      </c>
      <c r="EK81" s="870">
        <f>SUM(EK8:EK78)</f>
        <v>0</v>
      </c>
      <c r="EL81" s="870">
        <f>SUM(EL8:EL78)</f>
        <v>0</v>
      </c>
      <c r="EM81" s="426" t="str">
        <f>IF(AND(K80&lt;&gt;"120 BU's",K80&lt;&gt;"150 BU's",K80&lt;&gt;" ",Z80="t",OR($BG$28=1,$BH$28=2)),"Error","")</f>
        <v/>
      </c>
      <c r="EN81" s="438"/>
      <c r="ET81" s="870">
        <f ca="1">SUM(ET8:ET78)</f>
        <v>0</v>
      </c>
      <c r="EU81" s="870">
        <f ca="1">SUM(EU8:EU78)</f>
        <v>0</v>
      </c>
      <c r="EW81" s="427"/>
      <c r="EX81"/>
      <c r="EY81"/>
      <c r="EZ81"/>
      <c r="FA81"/>
    </row>
    <row r="82" spans="1:159" ht="18" customHeight="1" thickBot="1">
      <c r="B82" s="2770" t="str">
        <f>FP</f>
        <v>Elephant QuickBrace™ September 2018  V.1.0</v>
      </c>
      <c r="C82" s="2771"/>
      <c r="D82" s="2771"/>
      <c r="E82" s="2771"/>
      <c r="F82" s="2771"/>
      <c r="G82" s="2771"/>
      <c r="H82" s="2772"/>
      <c r="I82" s="2757" t="str">
        <f>K3</f>
        <v>Total Demand =</v>
      </c>
      <c r="J82" s="2758"/>
      <c r="K82" s="2759"/>
      <c r="L82" s="1795" t="str">
        <f>$BH$3</f>
        <v>Bu's</v>
      </c>
      <c r="M82" s="1796">
        <f>M3</f>
        <v>586</v>
      </c>
      <c r="N82" s="1795" t="str">
        <f>$BH$3</f>
        <v>Bu's</v>
      </c>
      <c r="O82" s="1797">
        <f>O3</f>
        <v>1159</v>
      </c>
      <c r="P82" s="132"/>
      <c r="R82" s="52"/>
      <c r="S82" s="52"/>
      <c r="T82" s="52"/>
      <c r="U82" s="52"/>
      <c r="V82" s="52"/>
      <c r="W82" s="52"/>
      <c r="X82" s="52"/>
      <c r="Y82" s="896"/>
      <c r="Z82" s="52"/>
      <c r="AA82" s="52"/>
      <c r="AB82" s="52"/>
      <c r="AC82" s="9"/>
      <c r="BA82"/>
      <c r="BB82"/>
      <c r="BC82"/>
      <c r="BD82" s="652"/>
      <c r="BE82" s="1"/>
      <c r="BF82" s="51"/>
      <c r="BG82" s="51"/>
      <c r="BI82" s="759"/>
      <c r="BJ82" s="897">
        <f t="shared" ref="BJ82:BJ88" si="35">BJ81+1</f>
        <v>74</v>
      </c>
      <c r="BK82" s="764"/>
      <c r="BL82" s="766"/>
      <c r="BM82" s="455">
        <f>Table!AB6</f>
        <v>0.8</v>
      </c>
      <c r="BN82" s="455">
        <f>BM83</f>
        <v>1</v>
      </c>
      <c r="BO82" s="455">
        <f>Table!AC6</f>
        <v>120</v>
      </c>
      <c r="BP82" s="925">
        <f>Table!AD6</f>
        <v>109</v>
      </c>
      <c r="BR82" s="764"/>
      <c r="BS82" s="455"/>
      <c r="BT82" s="455"/>
      <c r="BU82" s="925" t="s">
        <v>242</v>
      </c>
      <c r="BV82" s="895"/>
      <c r="BW82" s="912"/>
      <c r="BX82" s="925" t="str">
        <f>Table!AF5</f>
        <v>Single</v>
      </c>
      <c r="CH82" s="764">
        <f>IF(BN82=999,0,(BO83-BO82)/(BN82-BM82))</f>
        <v>55.000000000000014</v>
      </c>
      <c r="CI82" s="925">
        <f>IF(BN82=999,0,(BP83-BP82)/(BN82-BM82))</f>
        <v>10.000000000000002</v>
      </c>
      <c r="CJ82" s="759"/>
      <c r="CK82" s="188"/>
      <c r="CL82" s="52"/>
      <c r="EI82" s="871">
        <f ca="1">SUM(EI8:EI12)+(IF($B14=$B8,IF($B20=$B8,(SUM(EI20:EI25)+SUM(EI14:EI18)),SUM(EI14:EI18)),0))</f>
        <v>0</v>
      </c>
      <c r="EJ82" s="872">
        <f ca="1">SUM(EJ8:EJ12)+(IF($B14=$B8,IF($B20=$B8,(SUM(EJ20:EJ25)+SUM(EJ14:EJ18)),SUM(EJ14:EJ18)),0))</f>
        <v>0</v>
      </c>
      <c r="EK82" s="872">
        <f ca="1">SUM(EK8:EK12)+(IF($B14=$B8,IF($B20=$B8,(SUM(EK20:EK25)+SUM(EK14:EK18)),SUM(EK14:EK18)),0))</f>
        <v>0</v>
      </c>
      <c r="EL82" s="873">
        <f ca="1">SUM(EL8:EL12)+(IF($B14=$B8,IF($B20=$B8,(SUM(EL20:EL25)+SUM(EL14:EL18)),SUM(EL14:EL18)),0))</f>
        <v>0</v>
      </c>
      <c r="EW82" s="427"/>
      <c r="EX82"/>
      <c r="EY82"/>
      <c r="EZ82"/>
      <c r="FA82"/>
    </row>
    <row r="83" spans="1:159" ht="15" customHeight="1">
      <c r="B83" s="543" t="s">
        <v>898</v>
      </c>
      <c r="C83" s="129"/>
      <c r="D83" s="129"/>
      <c r="E83" s="129"/>
      <c r="F83" s="129"/>
      <c r="G83" s="154" t="str">
        <f>IF('Project Demand'!AQ59=2,"Alternatively Sourced Demands are used in this sheet","")</f>
        <v/>
      </c>
      <c r="H83" s="130"/>
      <c r="I83" s="130"/>
      <c r="J83" s="130"/>
      <c r="K83" s="130"/>
      <c r="L83" s="2760" t="str">
        <f ca="1">IF(M81&lt;M82,"NOT Enough","")</f>
        <v>NOT Enough</v>
      </c>
      <c r="M83" s="2760"/>
      <c r="N83" s="2760" t="str">
        <f ca="1">IF(O81&lt;O82,"NOT Enough","")</f>
        <v>NOT Enough</v>
      </c>
      <c r="O83" s="2769"/>
      <c r="P83" s="122"/>
      <c r="R83" s="52"/>
      <c r="S83" s="52"/>
      <c r="T83" s="52"/>
      <c r="U83" s="52"/>
      <c r="V83" s="52"/>
      <c r="W83" s="52"/>
      <c r="X83" s="52"/>
      <c r="Y83" s="896"/>
      <c r="Z83" s="52"/>
      <c r="AA83" s="52"/>
      <c r="AB83" s="52"/>
      <c r="AC83" s="9"/>
      <c r="AD83" s="1"/>
      <c r="AE83" s="1"/>
      <c r="AF83" s="1"/>
      <c r="AG83" s="1"/>
      <c r="AH83" s="1"/>
      <c r="AI83" s="1"/>
      <c r="AJ83" s="1"/>
      <c r="AK83" s="1"/>
      <c r="AL83" s="1"/>
      <c r="AM83" s="1"/>
      <c r="AN83" s="1"/>
      <c r="AO83" s="1"/>
      <c r="AP83" s="1"/>
      <c r="AQ83" s="1"/>
      <c r="AR83" s="1"/>
      <c r="AS83" s="6"/>
      <c r="AT83" s="6"/>
      <c r="AU83" s="6"/>
      <c r="AW83" s="1"/>
      <c r="BD83" s="652"/>
      <c r="BE83" s="1"/>
      <c r="BF83" s="51"/>
      <c r="BG83" s="51"/>
      <c r="BI83" s="759"/>
      <c r="BJ83" s="897">
        <f t="shared" si="35"/>
        <v>75</v>
      </c>
      <c r="BK83" s="764"/>
      <c r="BL83" s="766"/>
      <c r="BM83" s="455">
        <f>Table!AB7</f>
        <v>1</v>
      </c>
      <c r="BN83" s="455">
        <f>BM84</f>
        <v>1.2</v>
      </c>
      <c r="BO83" s="455">
        <f>Table!AC7</f>
        <v>131</v>
      </c>
      <c r="BP83" s="925">
        <f>Table!AD7</f>
        <v>111</v>
      </c>
      <c r="BR83" s="764"/>
      <c r="BS83" s="455"/>
      <c r="BT83" s="455"/>
      <c r="BU83" s="925" t="s">
        <v>242</v>
      </c>
      <c r="BV83" s="895"/>
      <c r="BW83" s="912"/>
      <c r="BX83" s="925" t="str">
        <f>Table!AF5</f>
        <v>Single</v>
      </c>
      <c r="CH83" s="764">
        <f>IF(BN83=999,0,(BO84-BO83)/(BN83-BM83))</f>
        <v>45.000000000000007</v>
      </c>
      <c r="CI83" s="925">
        <f>IF(BN83=999,0,(BP84-BP83)/(BN83-BM83))</f>
        <v>20.000000000000004</v>
      </c>
      <c r="CJ83" s="759"/>
      <c r="CL83" s="52"/>
      <c r="EW83" s="427"/>
      <c r="FB83" s="426"/>
      <c r="FC83" s="426"/>
    </row>
    <row r="84" spans="1:159" ht="14.1" customHeight="1" thickBot="1">
      <c r="B84" s="131" t="str">
        <f ca="1">IF(ISERROR(FIND("Error",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EM68&amp;EM69&amp;EM70&amp;EM71&amp;EM72&amp;EM74&amp;EM75&amp;EM76&amp;EM77&amp;EM78,1)),"","* Floor type design limit declined")</f>
        <v/>
      </c>
      <c r="C84"/>
      <c r="D84"/>
      <c r="E84"/>
      <c r="F84"/>
      <c r="H84"/>
      <c r="I84" s="1"/>
      <c r="J84" s="57" t="str">
        <f ca="1">IF(ISERROR(FIND("Achieved &lt;",Q13&amp;Q19&amp;Q25&amp;Q31&amp;Q37&amp;Q43&amp;Q49&amp;Q55&amp;Q61&amp;Q67&amp;Q73&amp;Q79,1)),"","* Minimum Req./Line not reached")</f>
        <v/>
      </c>
      <c r="K84"/>
      <c r="L84"/>
      <c r="M84"/>
      <c r="N84"/>
      <c r="O84" s="118"/>
      <c r="Q84" s="52"/>
      <c r="R84" s="52"/>
      <c r="S84" s="52"/>
      <c r="T84" s="52"/>
      <c r="U84" s="52"/>
      <c r="V84" s="52"/>
      <c r="W84" s="52"/>
      <c r="X84" s="52"/>
      <c r="Y84" s="896"/>
      <c r="Z84" s="52"/>
      <c r="AA84" s="52"/>
      <c r="AB84" s="52"/>
      <c r="AC84" s="9"/>
      <c r="AD84" s="31"/>
      <c r="AE84" s="31"/>
      <c r="AF84" s="31"/>
      <c r="AG84" s="31"/>
      <c r="AH84" s="1"/>
      <c r="AI84" s="1"/>
      <c r="AJ84" s="31"/>
      <c r="AK84" s="31"/>
      <c r="AL84" s="31"/>
      <c r="AM84" s="1"/>
      <c r="AN84" s="1"/>
      <c r="AO84" s="1"/>
      <c r="AP84" s="1"/>
      <c r="AQ84" s="1"/>
      <c r="AR84" s="1"/>
      <c r="AS84" s="6"/>
      <c r="AT84" s="6"/>
      <c r="AU84" s="6"/>
      <c r="AW84" s="1"/>
      <c r="BD84" s="652"/>
      <c r="BE84" s="1"/>
      <c r="BF84" s="51"/>
      <c r="BG84" s="51"/>
      <c r="BI84" s="759"/>
      <c r="BJ84" s="897">
        <f t="shared" si="35"/>
        <v>76</v>
      </c>
      <c r="BK84" s="908"/>
      <c r="BL84" s="767"/>
      <c r="BM84" s="776">
        <f>Table!AB8</f>
        <v>1.2</v>
      </c>
      <c r="BN84" s="776">
        <v>999</v>
      </c>
      <c r="BO84" s="776">
        <f>Table!AC8</f>
        <v>140</v>
      </c>
      <c r="BP84" s="926">
        <f>Table!AD8</f>
        <v>115</v>
      </c>
      <c r="BQ84" s="1183"/>
      <c r="BR84" s="908"/>
      <c r="BS84" s="776"/>
      <c r="BT84" s="776"/>
      <c r="BU84" s="926" t="s">
        <v>242</v>
      </c>
      <c r="BV84" s="433"/>
      <c r="BW84" s="914"/>
      <c r="BX84" s="926" t="str">
        <f>Table!AF5</f>
        <v>Single</v>
      </c>
      <c r="CH84" s="908">
        <f>IF(BN84=999,0,(BO85-BO84)/(BN84-BM84))</f>
        <v>0</v>
      </c>
      <c r="CI84" s="926">
        <f>IF(BN84=999,0,(BP85-BP84)/(BN84-BM84))</f>
        <v>0</v>
      </c>
      <c r="CJ84" s="759"/>
      <c r="CK84" s="498"/>
      <c r="CL84" s="52"/>
      <c r="EW84" s="427"/>
      <c r="FB84" s="426"/>
      <c r="FC84" s="426"/>
    </row>
    <row r="85" spans="1:159" ht="14.1" customHeight="1" thickBot="1">
      <c r="B85" s="2753" t="str">
        <f ca="1">IF(OR((L79+N79)&lt;&gt;(L$5+N$5),(L73+N73)&lt;&gt;(L$5+N$5),(L67+N67)&lt;&gt;(L$5+N$5),(L61+N61)&lt;&gt;(L$5+N$5),(L55+N55)&lt;&gt;(L$5+N$5),(L49+N49)&lt;&gt;(L$5+N$5),(L43+N43)&lt;&gt;(L$5+N$5),(L37+N37)&lt;&gt;(L$5+N$5),(L31+N31)&lt;&gt;(L$5+N$5),(L25+N25)&lt;&gt;(L$5+N$5),(L19+N19)&lt;&gt;(L$5+N$5),(L13+N13)&lt;&gt;(L$5+N$5)),$BE$68,"")</f>
        <v/>
      </c>
      <c r="C85" s="2754"/>
      <c r="D85" s="2754"/>
      <c r="E85" s="2754"/>
      <c r="F85" s="2754"/>
      <c r="G85" s="492"/>
      <c r="H85" s="492"/>
      <c r="I85" s="493"/>
      <c r="J85" s="495" t="str">
        <f ca="1">IF(ISERROR(FIND("More R",Q13&amp;Q19&amp;Q25&amp;Q31&amp;Q37&amp;Q43&amp;Q49&amp;Q55&amp;Q61&amp;Q67&amp;Q73&amp;Q79,1)),"","* More required for Overridden Minimum Req./Line ")</f>
        <v/>
      </c>
      <c r="K85" s="492"/>
      <c r="L85" s="1454"/>
      <c r="M85" s="1454"/>
      <c r="N85" s="1454"/>
      <c r="O85" s="1455"/>
      <c r="Q85" s="52"/>
      <c r="R85" s="52"/>
      <c r="S85" s="52"/>
      <c r="T85" s="52"/>
      <c r="U85" s="52"/>
      <c r="V85" s="52"/>
      <c r="W85" s="52"/>
      <c r="X85" s="52"/>
      <c r="Y85" s="896"/>
      <c r="Z85" s="52"/>
      <c r="AA85" s="52"/>
      <c r="AB85" s="52"/>
      <c r="AC85" s="9"/>
      <c r="AD85" s="31"/>
      <c r="AE85" s="31"/>
      <c r="AF85" s="31"/>
      <c r="AG85" s="31"/>
      <c r="AH85" s="1"/>
      <c r="AI85" s="1"/>
      <c r="AJ85" s="31"/>
      <c r="AK85" s="31"/>
      <c r="AL85" s="31"/>
      <c r="AM85" s="1"/>
      <c r="AN85" s="1"/>
      <c r="AO85" s="1"/>
      <c r="AP85" s="1"/>
      <c r="AQ85" s="1"/>
      <c r="AR85" s="1"/>
      <c r="AS85" s="6"/>
      <c r="AT85" s="6"/>
      <c r="AU85" s="6"/>
      <c r="AW85" s="1"/>
      <c r="BD85" s="652"/>
      <c r="BE85" s="1"/>
      <c r="BF85" s="51"/>
      <c r="BG85" s="51"/>
      <c r="BI85" s="759"/>
      <c r="BJ85" s="897">
        <f t="shared" si="35"/>
        <v>77</v>
      </c>
      <c r="BK85" s="1231"/>
      <c r="BL85" s="1234"/>
      <c r="BM85" s="1205"/>
      <c r="BN85" s="1205"/>
      <c r="BO85" s="1205"/>
      <c r="BP85" s="1205"/>
      <c r="BQ85" s="1233"/>
      <c r="BR85" s="1205"/>
      <c r="BS85" s="1205"/>
      <c r="BT85" s="1205"/>
      <c r="BU85" s="1205"/>
      <c r="BV85" s="1233"/>
      <c r="BW85" s="1235"/>
      <c r="BX85" s="1205"/>
      <c r="CH85" s="970"/>
      <c r="CI85" s="971"/>
      <c r="CJ85" s="759"/>
      <c r="CK85" s="498"/>
      <c r="CL85" s="52"/>
      <c r="EW85" s="427"/>
      <c r="FB85" s="426"/>
      <c r="FC85" s="426"/>
    </row>
    <row r="86" spans="1:159" ht="24" customHeight="1" thickBot="1">
      <c r="B86" s="869" t="s">
        <v>899</v>
      </c>
      <c r="C86" s="496"/>
      <c r="D86" s="496"/>
      <c r="E86" s="496"/>
      <c r="F86" s="56"/>
      <c r="G86" s="56"/>
      <c r="H86" s="56"/>
      <c r="I86" s="2755" t="str">
        <f ca="1">IF(ISERROR(FIND("NotOpt",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Q68&amp;Q69&amp;Q70&amp;Q71&amp;Q72&amp;Q74&amp;Q75&amp;Q76&amp;Q77&amp;Q78,1)),"","* Floor type design limit Not Optimised")</f>
        <v/>
      </c>
      <c r="J86" s="2755"/>
      <c r="K86" s="2756"/>
      <c r="L86" s="2763" t="s">
        <v>1089</v>
      </c>
      <c r="M86" s="2764"/>
      <c r="N86" s="2764"/>
      <c r="O86" s="2765"/>
      <c r="P86" s="58"/>
      <c r="Q86" s="52"/>
      <c r="R86" s="52"/>
      <c r="S86" s="52"/>
      <c r="T86" s="52"/>
      <c r="U86" s="52"/>
      <c r="V86" s="52"/>
      <c r="W86" s="52"/>
      <c r="X86" s="52"/>
      <c r="Y86" s="896"/>
      <c r="Z86" s="52"/>
      <c r="AA86" s="52"/>
      <c r="AB86" s="52"/>
      <c r="AC86" s="9"/>
      <c r="AD86" s="31"/>
      <c r="AE86" s="31"/>
      <c r="AF86" s="31"/>
      <c r="AG86" s="31"/>
      <c r="AH86" s="1"/>
      <c r="AI86" s="1"/>
      <c r="AJ86" s="31"/>
      <c r="AK86" s="31"/>
      <c r="AL86" s="31"/>
      <c r="AM86" s="1"/>
      <c r="AN86" s="1"/>
      <c r="AO86" s="1"/>
      <c r="AP86" s="1"/>
      <c r="AQ86" s="1"/>
      <c r="AR86" s="1"/>
      <c r="AS86" s="6"/>
      <c r="AT86" s="6"/>
      <c r="AU86" s="6"/>
      <c r="AW86" s="1"/>
      <c r="BD86" s="652"/>
      <c r="BE86" s="1"/>
      <c r="BF86" s="51"/>
      <c r="BG86" s="51"/>
      <c r="BI86" s="759"/>
      <c r="BJ86" s="897">
        <f t="shared" si="35"/>
        <v>78</v>
      </c>
      <c r="BK86" s="768" t="str">
        <f>BK80</f>
        <v xml:space="preserve">EPB </v>
      </c>
      <c r="BL86" s="765" t="str">
        <f>Table!AA10</f>
        <v>EMSH</v>
      </c>
      <c r="BM86" s="454">
        <f>Table!AB10</f>
        <v>0.4</v>
      </c>
      <c r="BN86" s="454">
        <f>BM87</f>
        <v>0.6</v>
      </c>
      <c r="BO86" s="454">
        <f>Table!AC10</f>
        <v>110</v>
      </c>
      <c r="BP86" s="924">
        <f>Table!AD10</f>
        <v>115</v>
      </c>
      <c r="BQ86" s="920"/>
      <c r="BR86" s="768" t="str">
        <f>Table!AE10</f>
        <v>ESSH</v>
      </c>
      <c r="BS86" s="454" t="str">
        <f>Table!AE11</f>
        <v>ESSH</v>
      </c>
      <c r="BT86" s="454" t="str">
        <f>Table!AF10</f>
        <v>I</v>
      </c>
      <c r="BU86" s="924" t="s">
        <v>242</v>
      </c>
      <c r="BV86" s="1230" t="str">
        <f>Table!AI80</f>
        <v>EMSH</v>
      </c>
      <c r="BW86" s="1229">
        <f>BJ86</f>
        <v>78</v>
      </c>
      <c r="BX86" s="924" t="str">
        <f>Table!AF11</f>
        <v>Double</v>
      </c>
      <c r="CH86" s="768">
        <f>IF(BN86=999,0,(BO87-BO86)/(BN86-BM86))</f>
        <v>120.00000000000003</v>
      </c>
      <c r="CI86" s="924">
        <f>IF(BN86=999,0,(BP87-BP86)/(BN86-BM86))</f>
        <v>115.00000000000003</v>
      </c>
      <c r="CJ86" s="759"/>
      <c r="CK86" s="498"/>
      <c r="CL86" s="52"/>
      <c r="EW86" s="427"/>
      <c r="FB86" s="426"/>
      <c r="FC86" s="426"/>
    </row>
    <row r="87" spans="1:159" ht="24" customHeight="1">
      <c r="B87" s="131" t="str">
        <f ca="1">IF(ISERROR(FIND("check L",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Minimum wall length not acheived for some systems")</f>
        <v/>
      </c>
      <c r="C87" s="494"/>
      <c r="D87" s="494"/>
      <c r="E87" s="494"/>
      <c r="F87"/>
      <c r="G87" s="1"/>
      <c r="J87" s="58"/>
      <c r="K87" s="163"/>
      <c r="L87" s="2621" t="s">
        <v>1</v>
      </c>
      <c r="M87" s="2622"/>
      <c r="N87" s="2623" t="s">
        <v>17</v>
      </c>
      <c r="O87" s="2624"/>
      <c r="P87" s="58"/>
      <c r="Q87" s="52"/>
      <c r="R87" s="52"/>
      <c r="S87" s="52"/>
      <c r="T87" s="52"/>
      <c r="U87" s="52"/>
      <c r="V87" s="52"/>
      <c r="W87" s="52"/>
      <c r="X87" s="52"/>
      <c r="Y87" s="896"/>
      <c r="Z87" s="52"/>
      <c r="AA87" s="52"/>
      <c r="AB87" s="52"/>
      <c r="AC87" s="9"/>
      <c r="AD87" s="31"/>
      <c r="AE87" s="31"/>
      <c r="AF87" s="31"/>
      <c r="AG87" s="31"/>
      <c r="AH87" s="1"/>
      <c r="AI87" s="1"/>
      <c r="AJ87" s="31"/>
      <c r="AK87" s="31"/>
      <c r="AL87" s="31"/>
      <c r="AM87" s="1"/>
      <c r="AN87" s="1"/>
      <c r="AO87" s="1"/>
      <c r="AP87" s="1"/>
      <c r="AQ87" s="1"/>
      <c r="AR87" s="1"/>
      <c r="AS87" s="6"/>
      <c r="AT87" s="6"/>
      <c r="AU87" s="6"/>
      <c r="AW87" s="1"/>
      <c r="BD87" s="652"/>
      <c r="BE87" s="1"/>
      <c r="BF87" s="51"/>
      <c r="BG87" s="51"/>
      <c r="BI87" s="759"/>
      <c r="BJ87" s="897">
        <f t="shared" si="35"/>
        <v>79</v>
      </c>
      <c r="BK87" s="764"/>
      <c r="BL87" s="766"/>
      <c r="BM87" s="455">
        <f>Table!AB11</f>
        <v>0.6</v>
      </c>
      <c r="BN87" s="455">
        <f>BM88</f>
        <v>0.8</v>
      </c>
      <c r="BO87" s="455">
        <f>Table!AC11</f>
        <v>134</v>
      </c>
      <c r="BP87" s="925">
        <f>Table!AD11</f>
        <v>138</v>
      </c>
      <c r="BR87" s="764"/>
      <c r="BS87" s="455"/>
      <c r="BT87" s="455"/>
      <c r="BU87" s="925" t="s">
        <v>242</v>
      </c>
      <c r="BV87" s="895"/>
      <c r="BW87" s="912"/>
      <c r="BX87" s="925" t="str">
        <f>Table!AF11</f>
        <v>Double</v>
      </c>
      <c r="CH87" s="764">
        <f>IF(BN87=999,0,(BO88-BO87)/(BN87-BM87))</f>
        <v>44.999999999999986</v>
      </c>
      <c r="CI87" s="925">
        <f>IF(BN87=999,0,(BP88-BP87)/(BN87-BM87))</f>
        <v>-19.999999999999993</v>
      </c>
      <c r="CJ87" s="759"/>
      <c r="CK87" s="498"/>
      <c r="CL87" s="52"/>
      <c r="EW87" s="427"/>
      <c r="FB87" s="426"/>
      <c r="FC87" s="426"/>
    </row>
    <row r="88" spans="1:159" ht="24" customHeight="1">
      <c r="B88" s="131" t="str">
        <f ca="1">IF(ISERROR(FIND(BE66,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Internal Systems on External Walls.  Are you sure?")</f>
        <v/>
      </c>
      <c r="C88" s="35"/>
      <c r="D88" s="141"/>
      <c r="E88" s="141"/>
      <c r="F88" s="143"/>
      <c r="G88" s="144"/>
      <c r="H88" s="31"/>
      <c r="I88" s="1376" t="str">
        <f ca="1">IF(ISERROR(FIND(BE67,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Double Sided System on Single Sided Wall")</f>
        <v/>
      </c>
      <c r="L88" s="1357" t="str">
        <f>IF($BG$4=1,$BG$42,$BH$42)</f>
        <v>Left    Line</v>
      </c>
      <c r="M88" s="1434" t="str">
        <f>IF($BG$4=1,$BG$43,$BH$43)</f>
        <v>Right  Line</v>
      </c>
      <c r="N88" s="1449" t="str">
        <f>IF($BG$4=1,$BG$42,$BH$42)</f>
        <v>Left    Line</v>
      </c>
      <c r="O88" s="1358" t="str">
        <f>IF($BG$4=1,$BG$43,$BH$43)</f>
        <v>Right  Line</v>
      </c>
      <c r="Q88" s="52"/>
      <c r="R88" s="52"/>
      <c r="S88" s="52"/>
      <c r="T88" s="52"/>
      <c r="U88" s="52"/>
      <c r="V88" s="52"/>
      <c r="W88" s="52"/>
      <c r="X88" s="52"/>
      <c r="Y88" s="896"/>
      <c r="Z88" s="52" t="s">
        <v>8</v>
      </c>
      <c r="AA88" s="51"/>
      <c r="AB88" s="51"/>
      <c r="AC88" s="1"/>
      <c r="AD88" s="31"/>
      <c r="AE88" s="31"/>
      <c r="AF88" s="31"/>
      <c r="AG88" s="31"/>
      <c r="AH88" s="1"/>
      <c r="AI88" s="1"/>
      <c r="AJ88" s="31"/>
      <c r="AK88" s="31"/>
      <c r="AL88" s="31"/>
      <c r="AM88" s="1"/>
      <c r="AN88" s="1"/>
      <c r="AO88" s="1"/>
      <c r="AP88" s="1"/>
      <c r="AQ88" s="1"/>
      <c r="AR88" s="1"/>
      <c r="AS88" s="6"/>
      <c r="AT88" s="6"/>
      <c r="AU88" s="6"/>
      <c r="AW88" s="1"/>
      <c r="BD88" s="652"/>
      <c r="BE88" s="1"/>
      <c r="BF88" s="51"/>
      <c r="BG88" s="51"/>
      <c r="BI88" s="759"/>
      <c r="BJ88" s="897">
        <f t="shared" si="35"/>
        <v>80</v>
      </c>
      <c r="BK88" s="764"/>
      <c r="BL88" s="766"/>
      <c r="BM88" s="455">
        <f>Table!AB12</f>
        <v>0.8</v>
      </c>
      <c r="BN88" s="455">
        <f>BM89</f>
        <v>1</v>
      </c>
      <c r="BO88" s="455">
        <f>Table!AC12</f>
        <v>143</v>
      </c>
      <c r="BP88" s="925">
        <f>Table!AD12</f>
        <v>134</v>
      </c>
      <c r="BR88" s="764"/>
      <c r="BS88" s="455"/>
      <c r="BT88" s="455"/>
      <c r="BU88" s="925" t="s">
        <v>242</v>
      </c>
      <c r="BV88" s="895"/>
      <c r="BW88" s="912"/>
      <c r="BX88" s="925" t="str">
        <f>Table!AF11</f>
        <v>Double</v>
      </c>
      <c r="CH88" s="764">
        <f>IF(BN88=999,0,(BO89-BO88)/(BN88-BM88))</f>
        <v>45.000000000000007</v>
      </c>
      <c r="CI88" s="925">
        <f>IF(BN88=999,0,(BP89-BP88)/(BN88-BM88))</f>
        <v>35.000000000000007</v>
      </c>
      <c r="CJ88" s="759"/>
      <c r="CK88" s="498"/>
      <c r="CL88" s="52"/>
      <c r="EW88" s="427"/>
      <c r="FB88" s="426"/>
      <c r="FC88" s="426"/>
    </row>
    <row r="89" spans="1:159" ht="24" customHeight="1" thickBot="1">
      <c r="B89" s="162" t="str">
        <f ca="1">IF(ISERROR(FIND(BE62,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External Systems on Internal Walls. Are you sure?")</f>
        <v/>
      </c>
      <c r="C89" s="145"/>
      <c r="D89" s="145"/>
      <c r="E89" s="145"/>
      <c r="F89" s="145"/>
      <c r="G89" s="146"/>
      <c r="H89" s="146"/>
      <c r="L89" s="2751" t="str">
        <f ca="1">IF(AND(L90&gt;=L92,M90&gt;=L92),"Achieved","Not reached")</f>
        <v>Not reached</v>
      </c>
      <c r="M89" s="2752"/>
      <c r="N89" s="2774" t="str">
        <f ca="1">IF(AND(N90&gt;=N92,O90&gt;=N92),"Achieved","Not reached")</f>
        <v>Not reached</v>
      </c>
      <c r="O89" s="2775"/>
      <c r="P89" s="51"/>
      <c r="Q89" s="52"/>
      <c r="R89" s="52"/>
      <c r="S89" s="52"/>
      <c r="T89" s="52"/>
      <c r="U89" s="52"/>
      <c r="V89" s="52"/>
      <c r="W89" s="52"/>
      <c r="X89" s="52"/>
      <c r="Y89" s="896"/>
      <c r="Z89" s="52" t="s">
        <v>8</v>
      </c>
      <c r="AA89" s="51"/>
      <c r="AB89" s="51"/>
      <c r="AC89" s="1"/>
      <c r="AD89" s="31"/>
      <c r="AE89" s="31"/>
      <c r="AF89" s="31"/>
      <c r="AG89" s="31"/>
      <c r="AH89" s="1"/>
      <c r="AI89" s="1"/>
      <c r="AJ89" s="31"/>
      <c r="AK89" s="31"/>
      <c r="AL89" s="31"/>
      <c r="AM89" s="1"/>
      <c r="AN89" s="1"/>
      <c r="AO89" s="1"/>
      <c r="AP89" s="1"/>
      <c r="AQ89" s="1"/>
      <c r="AR89" s="1"/>
      <c r="AS89" s="6"/>
      <c r="AT89" s="6"/>
      <c r="AU89" s="6"/>
      <c r="AW89" s="1"/>
      <c r="BD89" s="652"/>
      <c r="BE89" s="1"/>
      <c r="BF89" s="51"/>
      <c r="BG89" s="51"/>
      <c r="BI89" s="759"/>
      <c r="BJ89" s="897">
        <f t="shared" ref="BJ89:BJ96" si="36">BJ88+1</f>
        <v>81</v>
      </c>
      <c r="BK89" s="764"/>
      <c r="BL89" s="766"/>
      <c r="BM89" s="455">
        <f>Table!AB13</f>
        <v>1</v>
      </c>
      <c r="BN89" s="455">
        <f>BM90</f>
        <v>1.2</v>
      </c>
      <c r="BO89" s="455">
        <f>Table!AC13</f>
        <v>152</v>
      </c>
      <c r="BP89" s="925">
        <f>Table!AD13</f>
        <v>141</v>
      </c>
      <c r="BR89" s="764"/>
      <c r="BS89" s="455"/>
      <c r="BT89" s="455"/>
      <c r="BU89" s="925" t="s">
        <v>242</v>
      </c>
      <c r="BV89" s="895"/>
      <c r="BW89" s="912"/>
      <c r="BX89" s="925" t="str">
        <f>Table!AF11</f>
        <v>Double</v>
      </c>
      <c r="CH89" s="764">
        <f>IF(BN89=999,0,(BO90-BO89)/(BN89-BM89))</f>
        <v>70.000000000000014</v>
      </c>
      <c r="CI89" s="925">
        <f>IF(BN89=999,0,(BP90-BP89)/(BN89-BM89))</f>
        <v>35.000000000000007</v>
      </c>
      <c r="CJ89" s="759"/>
      <c r="CK89" s="498"/>
      <c r="CL89" s="52"/>
      <c r="EW89" s="427"/>
      <c r="FB89" s="426"/>
      <c r="FC89" s="426"/>
    </row>
    <row r="90" spans="1:159" ht="24" customHeight="1" thickBot="1">
      <c r="B90" s="426"/>
      <c r="C90" s="451"/>
      <c r="D90" s="52"/>
      <c r="E90" s="52"/>
      <c r="F90" s="497"/>
      <c r="G90" s="426"/>
      <c r="H90" s="51"/>
      <c r="I90" s="2776" t="str">
        <f ca="1">IF(OR(L90&lt;L92,M90&lt;L92,N90&lt;N92,O90&lt;N92),"External Line Totals Not Reached", "External Lines Achieved=")</f>
        <v>External Line Totals Not Reached</v>
      </c>
      <c r="J90" s="2777"/>
      <c r="K90" s="2777"/>
      <c r="L90" s="1810">
        <f ca="1">$EI$81</f>
        <v>0</v>
      </c>
      <c r="M90" s="1811">
        <f>$EK$81</f>
        <v>0</v>
      </c>
      <c r="N90" s="1782">
        <f ca="1">$EJ$81</f>
        <v>0</v>
      </c>
      <c r="O90" s="1783">
        <f>$EL$81</f>
        <v>0</v>
      </c>
      <c r="P90" s="59"/>
      <c r="R90" s="52"/>
      <c r="S90" s="52"/>
      <c r="T90" s="52"/>
      <c r="U90" s="52"/>
      <c r="V90" s="52"/>
      <c r="W90" s="52"/>
      <c r="X90" s="52"/>
      <c r="Y90" s="896"/>
      <c r="Z90" s="52"/>
      <c r="AA90" s="51"/>
      <c r="AB90" s="51"/>
      <c r="AC90" s="1"/>
      <c r="AD90" s="31"/>
      <c r="AE90" s="31"/>
      <c r="AF90" s="31"/>
      <c r="AG90" s="31"/>
      <c r="AH90" s="1"/>
      <c r="AI90" s="1"/>
      <c r="AJ90" s="31"/>
      <c r="AK90" s="31"/>
      <c r="AL90" s="31"/>
      <c r="AM90" s="1"/>
      <c r="AN90" s="1"/>
      <c r="AO90" s="1"/>
      <c r="AP90" s="1"/>
      <c r="AQ90" s="1"/>
      <c r="AR90" s="1"/>
      <c r="AS90" s="6"/>
      <c r="AT90" s="6"/>
      <c r="AU90" s="6"/>
      <c r="AW90" s="1"/>
      <c r="BD90" s="652"/>
      <c r="BE90" s="1"/>
      <c r="BF90" s="51"/>
      <c r="BG90" s="51"/>
      <c r="BI90" s="759"/>
      <c r="BJ90" s="897">
        <f t="shared" si="36"/>
        <v>82</v>
      </c>
      <c r="BK90" s="908"/>
      <c r="BL90" s="767"/>
      <c r="BM90" s="776">
        <f>Table!AB14</f>
        <v>1.2</v>
      </c>
      <c r="BN90" s="776">
        <v>999</v>
      </c>
      <c r="BO90" s="776">
        <f>Table!AC14</f>
        <v>166</v>
      </c>
      <c r="BP90" s="926">
        <f>Table!AD14</f>
        <v>148</v>
      </c>
      <c r="BQ90" s="1183"/>
      <c r="BR90" s="908"/>
      <c r="BS90" s="776"/>
      <c r="BT90" s="776"/>
      <c r="BU90" s="926" t="s">
        <v>242</v>
      </c>
      <c r="BV90" s="433"/>
      <c r="BW90" s="914"/>
      <c r="BX90" s="926" t="str">
        <f>Table!AF11</f>
        <v>Double</v>
      </c>
      <c r="CH90" s="908">
        <f>IF(BN90=999,0,(#REF!-BO90)/(BN90-BM90))</f>
        <v>0</v>
      </c>
      <c r="CI90" s="926">
        <f>IF(BN90=999,0,(#REF!-BP90)/(BN90-BM90))</f>
        <v>0</v>
      </c>
      <c r="CJ90" s="759"/>
      <c r="CK90" s="498"/>
      <c r="CL90" s="52"/>
      <c r="EW90" s="427"/>
      <c r="FB90" s="426"/>
      <c r="FC90" s="426"/>
    </row>
    <row r="91" spans="1:159" ht="24" customHeight="1" thickBot="1">
      <c r="B91" s="426"/>
      <c r="C91" s="451"/>
      <c r="D91" s="52"/>
      <c r="E91" s="52"/>
      <c r="F91" s="497"/>
      <c r="G91" s="426"/>
      <c r="H91" s="51"/>
      <c r="I91" s="1433"/>
      <c r="J91" s="426"/>
      <c r="K91" s="51"/>
      <c r="L91" s="2632" t="s">
        <v>1091</v>
      </c>
      <c r="M91" s="2761"/>
      <c r="N91" s="2632" t="s">
        <v>1090</v>
      </c>
      <c r="O91" s="2633"/>
      <c r="P91" s="51"/>
      <c r="Q91" s="52"/>
      <c r="R91" s="52"/>
      <c r="S91" s="52"/>
      <c r="T91" s="52"/>
      <c r="U91" s="52"/>
      <c r="V91" s="52"/>
      <c r="W91" s="52"/>
      <c r="X91" s="52"/>
      <c r="Y91" s="896"/>
      <c r="Z91" s="52"/>
      <c r="AA91" s="51"/>
      <c r="AB91" s="51"/>
      <c r="AC91" s="1"/>
      <c r="AD91" s="31"/>
      <c r="AE91" s="31"/>
      <c r="AF91" s="31"/>
      <c r="AG91" s="31"/>
      <c r="AH91" s="1"/>
      <c r="AI91" s="1"/>
      <c r="AJ91" s="31"/>
      <c r="AK91" s="31"/>
      <c r="AL91" s="31"/>
      <c r="AM91" s="1"/>
      <c r="AN91" s="1"/>
      <c r="AO91" s="1"/>
      <c r="AP91" s="1"/>
      <c r="AQ91" s="1"/>
      <c r="AR91" s="1"/>
      <c r="AS91" s="6"/>
      <c r="AT91" s="6"/>
      <c r="AU91" s="6"/>
      <c r="AW91" s="1"/>
      <c r="BD91" s="652"/>
      <c r="BE91" s="1"/>
      <c r="BF91" s="51"/>
      <c r="BG91" s="51"/>
      <c r="BI91" s="759"/>
      <c r="BJ91" s="897">
        <f t="shared" si="36"/>
        <v>83</v>
      </c>
      <c r="BK91" s="1231"/>
      <c r="BL91" s="1234"/>
      <c r="BM91" s="1205"/>
      <c r="BN91" s="1205"/>
      <c r="BO91" s="1205"/>
      <c r="BP91" s="1205"/>
      <c r="BQ91" s="1233"/>
      <c r="BR91" s="1205"/>
      <c r="BS91" s="1205"/>
      <c r="BT91" s="1205"/>
      <c r="BU91" s="1205"/>
      <c r="BV91" s="1233"/>
      <c r="BW91" s="1235"/>
      <c r="BX91" s="1205"/>
      <c r="CJ91" s="929"/>
      <c r="CK91" s="498"/>
      <c r="CL91" s="52"/>
      <c r="EW91" s="427"/>
      <c r="FB91" s="426"/>
      <c r="FC91" s="426"/>
    </row>
    <row r="92" spans="1:159" ht="24" customHeight="1" thickBot="1">
      <c r="A92" s="1151"/>
      <c r="B92" s="426"/>
      <c r="C92" s="451"/>
      <c r="D92" s="52"/>
      <c r="E92" s="52"/>
      <c r="F92" s="497"/>
      <c r="G92" s="426"/>
      <c r="H92" s="51"/>
      <c r="I92" s="2744" t="s">
        <v>836</v>
      </c>
      <c r="J92" s="2745"/>
      <c r="K92" s="2745"/>
      <c r="L92" s="2628">
        <f ca="1">$L$4</f>
        <v>150</v>
      </c>
      <c r="M92" s="2762"/>
      <c r="N92" s="2628">
        <f ca="1">$N$4</f>
        <v>150</v>
      </c>
      <c r="O92" s="2629"/>
      <c r="P92" s="51"/>
      <c r="Q92" s="52"/>
      <c r="R92" s="52"/>
      <c r="S92" s="52"/>
      <c r="T92" s="52"/>
      <c r="U92" s="52"/>
      <c r="V92" s="52"/>
      <c r="W92" s="52"/>
      <c r="X92" s="52"/>
      <c r="Y92" s="896"/>
      <c r="Z92" s="52"/>
      <c r="AA92" s="51" t="s">
        <v>8</v>
      </c>
      <c r="AB92" s="51"/>
      <c r="AC92" s="1"/>
      <c r="AD92" s="31"/>
      <c r="AE92" s="31"/>
      <c r="AF92" s="31"/>
      <c r="AG92" s="31"/>
      <c r="AH92" s="1"/>
      <c r="AI92" s="1"/>
      <c r="AJ92" s="31"/>
      <c r="AK92" s="31"/>
      <c r="AL92" s="31"/>
      <c r="AM92" s="1"/>
      <c r="AN92" s="1"/>
      <c r="AO92" s="1"/>
      <c r="AP92" s="1"/>
      <c r="AQ92" s="1"/>
      <c r="AR92" s="1"/>
      <c r="AS92" s="6"/>
      <c r="AT92" s="6"/>
      <c r="AU92" s="6"/>
      <c r="AW92" s="1"/>
      <c r="BD92" s="652"/>
      <c r="BE92" s="1"/>
      <c r="BF92" s="51"/>
      <c r="BG92" s="51"/>
      <c r="BI92" s="759"/>
      <c r="BJ92" s="897">
        <f t="shared" si="36"/>
        <v>84</v>
      </c>
      <c r="BK92" s="768" t="str">
        <f>BK86</f>
        <v xml:space="preserve">EPB </v>
      </c>
      <c r="BL92" s="765" t="str">
        <f>Table!AA16</f>
        <v>EMPH</v>
      </c>
      <c r="BM92" s="454">
        <f>Table!AB16</f>
        <v>0.4</v>
      </c>
      <c r="BN92" s="454">
        <f>BM93</f>
        <v>0.6</v>
      </c>
      <c r="BO92" s="454">
        <f>Table!AC16</f>
        <v>121</v>
      </c>
      <c r="BP92" s="924">
        <f>Table!AD16</f>
        <v>138</v>
      </c>
      <c r="BQ92" s="920"/>
      <c r="BR92" s="768" t="str">
        <f>Table!AE16</f>
        <v>ESPH</v>
      </c>
      <c r="BS92" s="454" t="str">
        <f>Table!AE17</f>
        <v>ESPH</v>
      </c>
      <c r="BT92" s="454" t="str">
        <f>Table!AF16</f>
        <v>E</v>
      </c>
      <c r="BU92" s="924" t="s">
        <v>242</v>
      </c>
      <c r="BV92" s="1230" t="str">
        <f>Table!AI84</f>
        <v>EMPH</v>
      </c>
      <c r="BW92" s="1229">
        <f>BJ92</f>
        <v>84</v>
      </c>
      <c r="BX92" s="924" t="str">
        <f>Table!AF17</f>
        <v>Double</v>
      </c>
      <c r="CH92" s="768">
        <f>IF(BN92=999,0,(BO93-BO92)/(BN92-BM92))</f>
        <v>80.000000000000014</v>
      </c>
      <c r="CI92" s="924">
        <f>IF(BN92=999,0,(BP93-BP92)/(BN92-BM92))</f>
        <v>75.000000000000014</v>
      </c>
      <c r="CJ92" s="929"/>
      <c r="CK92" s="498"/>
      <c r="CL92" s="52"/>
      <c r="EW92" s="427"/>
      <c r="FB92" s="426"/>
      <c r="FC92" s="426"/>
    </row>
    <row r="93" spans="1:159" ht="12.75" customHeight="1">
      <c r="A93" s="1151"/>
      <c r="B93" s="426"/>
      <c r="C93" s="451"/>
      <c r="D93" s="52"/>
      <c r="E93" s="52"/>
      <c r="F93" s="497"/>
      <c r="G93" s="426"/>
      <c r="H93" s="51"/>
      <c r="I93" s="426"/>
      <c r="J93" s="426"/>
      <c r="K93" s="51"/>
      <c r="L93" s="52"/>
      <c r="M93" s="51"/>
      <c r="N93" s="52"/>
      <c r="O93" s="51"/>
      <c r="P93" s="53"/>
      <c r="Q93" s="54"/>
      <c r="R93" s="52"/>
      <c r="S93" s="52"/>
      <c r="T93" s="52"/>
      <c r="U93" s="52"/>
      <c r="V93" s="52"/>
      <c r="W93" s="52"/>
      <c r="X93" s="52"/>
      <c r="Y93" s="896"/>
      <c r="Z93" s="52"/>
      <c r="AA93" s="51"/>
      <c r="AB93" s="51"/>
      <c r="AC93" s="1"/>
      <c r="AD93" s="31"/>
      <c r="AE93" s="31"/>
      <c r="AF93" s="31"/>
      <c r="AG93" s="31"/>
      <c r="AH93" s="1"/>
      <c r="AI93" s="1"/>
      <c r="AJ93" s="31"/>
      <c r="AK93" s="31"/>
      <c r="AL93" s="31"/>
      <c r="AM93" s="1"/>
      <c r="AN93" s="1"/>
      <c r="AO93" s="1"/>
      <c r="AP93" s="1"/>
      <c r="AQ93" s="1"/>
      <c r="AR93" s="1"/>
      <c r="AS93" s="6"/>
      <c r="AT93" s="6"/>
      <c r="AU93" s="6"/>
      <c r="AW93" s="1"/>
      <c r="BD93" s="652"/>
      <c r="BE93" s="1"/>
      <c r="BF93" s="51"/>
      <c r="BG93" s="51"/>
      <c r="BI93" s="759"/>
      <c r="BJ93" s="897">
        <f t="shared" si="36"/>
        <v>85</v>
      </c>
      <c r="BK93" s="764"/>
      <c r="BL93" s="766"/>
      <c r="BM93" s="455">
        <f>Table!AB17</f>
        <v>0.6</v>
      </c>
      <c r="BN93" s="455">
        <f>BM94</f>
        <v>0.8</v>
      </c>
      <c r="BO93" s="455">
        <f>Table!AC17</f>
        <v>137</v>
      </c>
      <c r="BP93" s="925">
        <f>Table!AD17</f>
        <v>153</v>
      </c>
      <c r="BR93" s="764"/>
      <c r="BS93" s="455"/>
      <c r="BT93" s="455"/>
      <c r="BU93" s="925" t="s">
        <v>242</v>
      </c>
      <c r="BV93" s="895"/>
      <c r="BW93" s="912"/>
      <c r="BX93" s="925" t="str">
        <f>Table!AF17</f>
        <v>Double</v>
      </c>
      <c r="CH93" s="764">
        <f>IF(BN93=999,0,(BO94-BO93)/(BN93-BM93))</f>
        <v>54.999999999999979</v>
      </c>
      <c r="CI93" s="925">
        <f>IF(BN93=999,0,(BP94-BP93)/(BN93-BM93))</f>
        <v>44.999999999999986</v>
      </c>
      <c r="CJ93" s="929"/>
      <c r="CK93" s="498"/>
      <c r="CL93" s="52"/>
      <c r="EW93" s="427"/>
      <c r="FB93" s="426"/>
      <c r="FC93" s="426"/>
    </row>
    <row r="94" spans="1:159" ht="12.75" hidden="1" customHeight="1">
      <c r="A94" s="1151"/>
      <c r="B94" s="421"/>
      <c r="C94" s="863"/>
      <c r="D94" s="502"/>
      <c r="E94" s="502"/>
      <c r="F94" s="864"/>
      <c r="G94" s="421"/>
      <c r="H94" s="498"/>
      <c r="I94" s="421"/>
      <c r="J94" s="421"/>
      <c r="K94" s="498"/>
      <c r="L94" s="52"/>
      <c r="M94" s="51"/>
      <c r="N94" s="52"/>
      <c r="O94" s="51"/>
      <c r="P94" s="53"/>
      <c r="Q94" s="54"/>
      <c r="R94" s="52"/>
      <c r="S94" s="52"/>
      <c r="T94" s="52"/>
      <c r="U94" s="52"/>
      <c r="V94" s="52"/>
      <c r="W94" s="52"/>
      <c r="X94" s="52"/>
      <c r="Y94" s="896"/>
      <c r="Z94" s="52"/>
      <c r="AA94" s="51"/>
      <c r="AB94" s="51"/>
      <c r="AC94" s="1"/>
      <c r="AD94" s="31"/>
      <c r="AE94" s="31"/>
      <c r="AF94" s="31"/>
      <c r="AG94" s="31"/>
      <c r="AH94" s="1"/>
      <c r="AI94" s="1"/>
      <c r="AJ94" s="31"/>
      <c r="AK94" s="31"/>
      <c r="AL94" s="31"/>
      <c r="AM94" s="1"/>
      <c r="AN94" s="1"/>
      <c r="AO94" s="1"/>
      <c r="AP94" s="1"/>
      <c r="AQ94" s="1"/>
      <c r="AR94" s="1"/>
      <c r="AS94" s="6"/>
      <c r="AT94" s="6"/>
      <c r="AU94" s="6"/>
      <c r="AW94" s="1"/>
      <c r="BD94" s="652"/>
      <c r="BE94" s="1"/>
      <c r="BF94" s="51"/>
      <c r="BG94" s="51"/>
      <c r="BI94" s="1241"/>
      <c r="BJ94" s="897">
        <f t="shared" si="36"/>
        <v>86</v>
      </c>
      <c r="BK94" s="764"/>
      <c r="BL94" s="766"/>
      <c r="BM94" s="455">
        <f>Table!AB18</f>
        <v>0.8</v>
      </c>
      <c r="BN94" s="455">
        <f>BM95</f>
        <v>0.9</v>
      </c>
      <c r="BO94" s="455">
        <f>Table!AC18</f>
        <v>148</v>
      </c>
      <c r="BP94" s="925">
        <f>Table!AD18</f>
        <v>162</v>
      </c>
      <c r="BR94" s="764"/>
      <c r="BS94" s="455"/>
      <c r="BT94" s="455"/>
      <c r="BU94" s="925" t="s">
        <v>242</v>
      </c>
      <c r="BV94" s="895"/>
      <c r="BW94" s="912"/>
      <c r="BX94" s="925" t="str">
        <f>Table!AF17</f>
        <v>Double</v>
      </c>
      <c r="CH94" s="764">
        <f>IF(BN94=999,0,(BO95-BO94)/(BN94-BM94))</f>
        <v>140.00000000000003</v>
      </c>
      <c r="CI94" s="925">
        <f>IF(BN94=999,0,(BP95-BP94)/(BN94-BM94))</f>
        <v>50.000000000000014</v>
      </c>
      <c r="CJ94" s="1243"/>
      <c r="CK94" s="498"/>
      <c r="CL94" s="52"/>
      <c r="EW94" s="427"/>
      <c r="FB94" s="426"/>
      <c r="FC94" s="426"/>
    </row>
    <row r="95" spans="1:159" ht="15.75" hidden="1">
      <c r="A95" s="1151"/>
      <c r="B95" s="421"/>
      <c r="C95" s="863"/>
      <c r="D95" s="502"/>
      <c r="E95" s="502"/>
      <c r="F95" s="864"/>
      <c r="G95" s="421"/>
      <c r="H95" s="498"/>
      <c r="I95" s="421"/>
      <c r="J95" s="421"/>
      <c r="K95" s="498"/>
      <c r="L95" s="52"/>
      <c r="M95" s="51"/>
      <c r="N95" s="52"/>
      <c r="O95" s="51"/>
      <c r="P95" s="53"/>
      <c r="Q95" s="54"/>
      <c r="R95" s="52"/>
      <c r="S95" s="52"/>
      <c r="T95" s="52"/>
      <c r="U95" s="52"/>
      <c r="V95" s="52"/>
      <c r="W95" s="52"/>
      <c r="X95" s="52"/>
      <c r="Y95" s="896"/>
      <c r="Z95" s="52"/>
      <c r="AA95" s="51"/>
      <c r="AB95" s="51"/>
      <c r="AC95" s="1"/>
      <c r="AD95" s="31"/>
      <c r="AE95" s="31"/>
      <c r="AF95" s="31"/>
      <c r="AG95" s="31"/>
      <c r="AH95" s="1"/>
      <c r="AI95" s="1"/>
      <c r="AJ95" s="31"/>
      <c r="AK95" s="31"/>
      <c r="AL95" s="31"/>
      <c r="AM95" s="1"/>
      <c r="AN95" s="1"/>
      <c r="AO95" s="1"/>
      <c r="AP95" s="1"/>
      <c r="AQ95" s="1"/>
      <c r="AR95" s="1"/>
      <c r="AS95" s="6"/>
      <c r="AT95" s="6"/>
      <c r="AU95" s="6"/>
      <c r="AW95" s="1"/>
      <c r="BD95" s="652"/>
      <c r="BE95" s="1"/>
      <c r="BF95" s="51"/>
      <c r="BG95" s="51"/>
      <c r="BI95" s="1241"/>
      <c r="BJ95" s="897">
        <f t="shared" si="36"/>
        <v>87</v>
      </c>
      <c r="BK95" s="764"/>
      <c r="BL95" s="766"/>
      <c r="BM95" s="455">
        <f>Table!AB19</f>
        <v>0.9</v>
      </c>
      <c r="BN95" s="455">
        <f>BM96</f>
        <v>1.2</v>
      </c>
      <c r="BO95" s="455">
        <f>Table!AC19</f>
        <v>162</v>
      </c>
      <c r="BP95" s="925">
        <f>Table!AD19</f>
        <v>167</v>
      </c>
      <c r="BR95" s="764"/>
      <c r="BS95" s="455"/>
      <c r="BT95" s="455"/>
      <c r="BU95" s="925" t="s">
        <v>242</v>
      </c>
      <c r="BV95" s="895"/>
      <c r="BW95" s="912"/>
      <c r="BX95" s="925" t="str">
        <f>Table!AF17</f>
        <v>Double</v>
      </c>
      <c r="CH95" s="764">
        <f>IF(BN95=999,0,(BO96-BO95)/(BN95-BM95))</f>
        <v>0</v>
      </c>
      <c r="CI95" s="925">
        <f>IF(BN95=999,0,(BP96-BP95)/(BN95-BM95))</f>
        <v>0</v>
      </c>
      <c r="CJ95" s="1241"/>
      <c r="CK95" s="498"/>
      <c r="CL95" s="52"/>
      <c r="EW95" s="427"/>
      <c r="FB95" s="426"/>
      <c r="FC95" s="426"/>
    </row>
    <row r="96" spans="1:159" ht="16.5" hidden="1" thickBot="1">
      <c r="B96" s="421"/>
      <c r="C96" s="863"/>
      <c r="D96" s="502"/>
      <c r="E96" s="502"/>
      <c r="F96" s="864"/>
      <c r="G96" s="421"/>
      <c r="H96" s="498"/>
      <c r="I96" s="421"/>
      <c r="J96" s="421"/>
      <c r="K96" s="1409"/>
      <c r="L96" s="1435"/>
      <c r="M96" s="1409"/>
      <c r="N96" s="1435"/>
      <c r="O96" s="1409"/>
      <c r="P96" s="1436"/>
      <c r="Q96" s="1437"/>
      <c r="R96" s="52"/>
      <c r="S96" s="52"/>
      <c r="T96" s="52"/>
      <c r="U96" s="52"/>
      <c r="V96" s="52"/>
      <c r="W96" s="52"/>
      <c r="X96" s="52"/>
      <c r="Y96" s="896"/>
      <c r="Z96" s="52"/>
      <c r="AA96" s="51"/>
      <c r="AB96" s="51"/>
      <c r="AC96" s="1"/>
      <c r="AD96" s="31"/>
      <c r="AE96" s="31"/>
      <c r="AF96" s="31"/>
      <c r="AG96" s="31"/>
      <c r="AH96" s="1"/>
      <c r="AI96" s="1"/>
      <c r="AJ96" s="31"/>
      <c r="AK96" s="31"/>
      <c r="AL96" s="31"/>
      <c r="AM96" s="1"/>
      <c r="AN96" s="1"/>
      <c r="AO96" s="1"/>
      <c r="AP96" s="1"/>
      <c r="AQ96" s="1"/>
      <c r="AR96" s="1"/>
      <c r="AS96" s="6"/>
      <c r="AT96" s="6"/>
      <c r="AU96" s="6"/>
      <c r="AW96" s="1"/>
      <c r="BD96" s="652"/>
      <c r="BE96" s="1"/>
      <c r="BF96" s="51"/>
      <c r="BG96" s="51"/>
      <c r="BI96" s="1241"/>
      <c r="BJ96" s="897">
        <f t="shared" si="36"/>
        <v>88</v>
      </c>
      <c r="BK96" s="908"/>
      <c r="BL96" s="767"/>
      <c r="BM96" s="776">
        <f>Table!AB20</f>
        <v>1.2</v>
      </c>
      <c r="BN96" s="776">
        <v>999</v>
      </c>
      <c r="BO96" s="776">
        <f>Table!AC20</f>
        <v>162</v>
      </c>
      <c r="BP96" s="926">
        <f>Table!AD20</f>
        <v>167</v>
      </c>
      <c r="BQ96" s="1183"/>
      <c r="BR96" s="908"/>
      <c r="BS96" s="776"/>
      <c r="BT96" s="776"/>
      <c r="BU96" s="926" t="s">
        <v>242</v>
      </c>
      <c r="BV96" s="433"/>
      <c r="BW96" s="914"/>
      <c r="BX96" s="926" t="str">
        <f>Table!AF17</f>
        <v>Double</v>
      </c>
      <c r="CH96" s="908">
        <f>IF(BN96=999,0,(#REF!-BO96)/(BN96-BM96))</f>
        <v>0</v>
      </c>
      <c r="CI96" s="926">
        <f>IF(BN96=999,0,(#REF!-BP96)/(BN96-BM96))</f>
        <v>0</v>
      </c>
      <c r="CJ96" s="1243"/>
      <c r="CK96" s="498"/>
      <c r="CL96" s="52"/>
      <c r="EW96" s="427"/>
      <c r="FB96" s="426"/>
      <c r="FC96" s="426"/>
    </row>
    <row r="97" spans="1:159" ht="12.75" hidden="1" customHeight="1">
      <c r="A97" s="641"/>
      <c r="B97" s="421">
        <f ca="1">IF(OR(B84&lt;&gt;"",B85&lt;&gt;"",),1,0)</f>
        <v>0</v>
      </c>
      <c r="C97" s="863"/>
      <c r="D97" s="502"/>
      <c r="E97" s="502"/>
      <c r="F97" s="864"/>
      <c r="G97" s="421">
        <f>IF(OR(G83&lt;&gt;""),0,0)</f>
        <v>0</v>
      </c>
      <c r="H97" s="498"/>
      <c r="I97" s="421"/>
      <c r="J97" s="421">
        <f ca="1">IF(OR(J84&lt;&gt;"",J85&lt;&gt;"",),1,0)</f>
        <v>0</v>
      </c>
      <c r="K97" s="1409"/>
      <c r="L97" s="1435"/>
      <c r="M97" s="1409">
        <f ca="1">IF(L83&lt;&gt;"",1,0)</f>
        <v>1</v>
      </c>
      <c r="N97" s="1435"/>
      <c r="O97" s="1409">
        <f ca="1">IF(N83&lt;&gt;"",1,0)</f>
        <v>1</v>
      </c>
      <c r="P97" s="1409"/>
      <c r="Q97" s="1435">
        <f ca="1">SUM(B97:O97)</f>
        <v>2</v>
      </c>
      <c r="R97" s="52"/>
      <c r="S97" s="52"/>
      <c r="T97" s="52"/>
      <c r="U97" s="52"/>
      <c r="V97" s="52"/>
      <c r="W97" s="52"/>
      <c r="X97" s="52"/>
      <c r="Y97" s="896"/>
      <c r="Z97" s="52"/>
      <c r="AA97" s="51"/>
      <c r="AB97" s="51"/>
      <c r="AC97" s="1"/>
      <c r="AD97" s="31"/>
      <c r="AE97" s="31"/>
      <c r="AF97" s="31"/>
      <c r="AG97" s="31"/>
      <c r="AH97" s="1"/>
      <c r="AI97" s="1"/>
      <c r="AJ97" s="31"/>
      <c r="AK97" s="31"/>
      <c r="AL97" s="31"/>
      <c r="AM97" s="1"/>
      <c r="AN97" s="1"/>
      <c r="AO97" s="1"/>
      <c r="AP97" s="1"/>
      <c r="AQ97" s="1"/>
      <c r="AR97" s="1"/>
      <c r="AS97" s="6"/>
      <c r="AT97" s="6"/>
      <c r="AU97" s="6"/>
      <c r="AW97" s="1"/>
      <c r="BD97" s="652"/>
      <c r="BE97" s="1"/>
      <c r="BF97" s="51"/>
      <c r="BG97" s="51"/>
      <c r="BI97" s="1241"/>
      <c r="BJ97" s="893"/>
      <c r="BK97" s="421"/>
      <c r="BL97" s="899"/>
      <c r="BM97" s="502"/>
      <c r="BN97" s="502"/>
      <c r="BO97" s="502"/>
      <c r="BP97" s="502"/>
      <c r="BQ97" s="498"/>
      <c r="BR97" s="502"/>
      <c r="BS97" s="502"/>
      <c r="BT97" s="502"/>
      <c r="BU97" s="502"/>
      <c r="BV97" s="498"/>
      <c r="BW97" s="498"/>
      <c r="BX97" s="498"/>
      <c r="BY97" s="498"/>
      <c r="BZ97" s="498"/>
      <c r="CA97" s="498"/>
      <c r="CB97" s="498"/>
      <c r="CC97" s="498"/>
      <c r="CD97" s="498"/>
      <c r="CE97" s="498"/>
      <c r="CF97" s="498"/>
      <c r="CG97" s="498"/>
      <c r="CH97" s="502"/>
      <c r="CI97" s="502"/>
      <c r="CJ97" s="1243"/>
      <c r="CK97" s="498"/>
      <c r="CL97" s="52"/>
      <c r="EW97" s="427"/>
      <c r="FB97" s="426"/>
      <c r="FC97" s="426"/>
    </row>
    <row r="98" spans="1:159" ht="12.75" hidden="1" customHeight="1">
      <c r="A98" s="652"/>
      <c r="B98" s="499">
        <f ca="1">IF(OR(B84&lt;&gt;"",B85&lt;&gt;"",B87&lt;&gt;"",B88&lt;&gt;"",B89&lt;&gt;""),1,0)</f>
        <v>0</v>
      </c>
      <c r="C98" s="500"/>
      <c r="D98" s="501"/>
      <c r="E98" s="501"/>
      <c r="F98" s="502"/>
      <c r="G98" s="499">
        <f>IF(OR(G83&lt;&gt;""),0,0)</f>
        <v>0</v>
      </c>
      <c r="H98" s="498"/>
      <c r="I98" s="498"/>
      <c r="J98" s="499">
        <f ca="1">IF(OR(J84&lt;&gt;"",J85&lt;&gt;"",I86&lt;&gt;"",),1,0)</f>
        <v>0</v>
      </c>
      <c r="K98" s="1409"/>
      <c r="L98" s="1438">
        <f ca="1">L99+M99</f>
        <v>1</v>
      </c>
      <c r="M98" s="1439">
        <f ca="1">IF(L83&lt;&gt;"",1,0)</f>
        <v>1</v>
      </c>
      <c r="N98" s="1438">
        <f ca="1">N99+O99</f>
        <v>1</v>
      </c>
      <c r="O98" s="1440">
        <f ca="1">IF(N83&lt;&gt;"",1,0)</f>
        <v>1</v>
      </c>
      <c r="P98" s="1436"/>
      <c r="Q98" s="1435">
        <f ca="1">SUM(B98:O98)</f>
        <v>4</v>
      </c>
      <c r="R98" s="52"/>
      <c r="S98" s="52"/>
      <c r="T98" s="52"/>
      <c r="U98" s="52"/>
      <c r="V98" s="52"/>
      <c r="W98" s="52"/>
      <c r="X98" s="52"/>
      <c r="Y98" s="896"/>
      <c r="Z98" s="52"/>
      <c r="AA98" s="51" t="s">
        <v>68</v>
      </c>
      <c r="AB98" s="51"/>
      <c r="AC98" s="1"/>
      <c r="AD98" s="31"/>
      <c r="AE98" s="31"/>
      <c r="AF98" s="31"/>
      <c r="AG98" s="31"/>
      <c r="AH98" s="1"/>
      <c r="AI98" s="1"/>
      <c r="AJ98" s="31"/>
      <c r="AK98" s="31"/>
      <c r="AL98" s="31"/>
      <c r="AM98" s="1"/>
      <c r="AN98" s="1"/>
      <c r="AO98" s="1"/>
      <c r="AP98" s="1"/>
      <c r="AQ98" s="1"/>
      <c r="AR98" s="1"/>
      <c r="AS98" s="6"/>
      <c r="AT98" s="6"/>
      <c r="AU98" s="6"/>
      <c r="AW98" s="1"/>
      <c r="BD98" s="652"/>
      <c r="BE98" s="1"/>
      <c r="BF98" s="51"/>
      <c r="BG98" s="51"/>
      <c r="BI98" s="1241"/>
      <c r="BJ98" s="893"/>
      <c r="BK98" s="421"/>
      <c r="BL98" s="899"/>
      <c r="BM98" s="502"/>
      <c r="BN98" s="502"/>
      <c r="BO98" s="502"/>
      <c r="BP98" s="502"/>
      <c r="BQ98" s="498"/>
      <c r="BR98" s="502"/>
      <c r="BS98" s="502"/>
      <c r="BT98" s="502"/>
      <c r="BU98" s="502"/>
      <c r="BV98" s="498"/>
      <c r="BW98" s="498"/>
      <c r="BX98" s="498"/>
      <c r="BY98" s="498"/>
      <c r="BZ98" s="498"/>
      <c r="CA98" s="498"/>
      <c r="CB98" s="498"/>
      <c r="CC98" s="498"/>
      <c r="CD98" s="498"/>
      <c r="CE98" s="498"/>
      <c r="CF98" s="498"/>
      <c r="CG98" s="498"/>
      <c r="CH98" s="502"/>
      <c r="CI98" s="502"/>
      <c r="CJ98" s="1243"/>
      <c r="CK98" s="498"/>
      <c r="CL98" s="52"/>
      <c r="EW98" s="427"/>
      <c r="FB98" s="426"/>
      <c r="FC98" s="426"/>
    </row>
    <row r="99" spans="1:159" ht="12.75" hidden="1" customHeight="1">
      <c r="A99" s="641"/>
      <c r="B99" s="499"/>
      <c r="C99" s="502"/>
      <c r="D99" s="502"/>
      <c r="E99" s="502"/>
      <c r="F99" s="502"/>
      <c r="G99" s="498"/>
      <c r="H99" s="498"/>
      <c r="I99" s="498"/>
      <c r="J99" s="498"/>
      <c r="K99" s="1409"/>
      <c r="L99" s="1435">
        <f ca="1">IF((L90&lt;L92),1,0)</f>
        <v>1</v>
      </c>
      <c r="M99" s="1435">
        <f>IF((M90&lt;M92),1,0)</f>
        <v>0</v>
      </c>
      <c r="N99" s="1435">
        <f ca="1">IF((N90&lt;N92),1,0)</f>
        <v>1</v>
      </c>
      <c r="O99" s="1435">
        <f>IF((O90&lt;O92),1,0)</f>
        <v>0</v>
      </c>
      <c r="P99" s="1436"/>
      <c r="Q99" s="1437"/>
      <c r="R99" s="52"/>
      <c r="S99" s="52"/>
      <c r="T99" s="52"/>
      <c r="U99" s="52"/>
      <c r="V99" s="52"/>
      <c r="W99" s="52"/>
      <c r="X99" s="52"/>
      <c r="Y99" s="896"/>
      <c r="Z99" s="52"/>
      <c r="AA99" s="51"/>
      <c r="AB99" s="51"/>
      <c r="AC99" s="1"/>
      <c r="AD99" s="31"/>
      <c r="AE99" s="31"/>
      <c r="AH99" s="1"/>
      <c r="AI99" s="1"/>
      <c r="AJ99" s="31"/>
      <c r="AK99" s="31"/>
      <c r="AL99" s="31"/>
      <c r="AM99" s="1"/>
      <c r="AN99" s="1"/>
      <c r="AO99" s="1"/>
      <c r="AP99" s="1"/>
      <c r="AQ99" s="1"/>
      <c r="AR99" s="1"/>
      <c r="AS99" s="6"/>
      <c r="AT99" s="6"/>
      <c r="AU99" s="6"/>
      <c r="AW99" s="1"/>
      <c r="BD99" s="652"/>
      <c r="BE99" s="1"/>
      <c r="BF99" s="51"/>
      <c r="BG99" s="51"/>
      <c r="BI99" s="1241"/>
      <c r="BJ99" s="1242"/>
      <c r="BK99" s="934"/>
      <c r="BL99" s="935"/>
      <c r="BM99" s="936"/>
      <c r="BN99" s="936"/>
      <c r="BO99" s="936"/>
      <c r="BP99" s="936"/>
      <c r="BQ99" s="929"/>
      <c r="BR99" s="936"/>
      <c r="BS99" s="936"/>
      <c r="BT99" s="936"/>
      <c r="BU99" s="936"/>
      <c r="BV99" s="929"/>
      <c r="BW99" s="929"/>
      <c r="BX99" s="929"/>
      <c r="BY99" s="929"/>
      <c r="BZ99" s="929"/>
      <c r="CA99" s="929"/>
      <c r="CB99" s="929"/>
      <c r="CC99" s="929"/>
      <c r="CD99" s="929"/>
      <c r="CE99" s="929"/>
      <c r="CF99" s="929"/>
      <c r="CG99" s="929"/>
      <c r="CH99" s="936"/>
      <c r="CI99" s="936"/>
      <c r="CJ99" s="1243"/>
      <c r="CK99" s="498"/>
      <c r="CL99" s="52"/>
      <c r="EW99" s="427"/>
      <c r="FB99" s="426"/>
      <c r="FC99" s="426"/>
    </row>
    <row r="100" spans="1:159" ht="15.75" hidden="1" customHeight="1">
      <c r="A100" s="641"/>
      <c r="B100" s="498"/>
      <c r="C100" s="502"/>
      <c r="D100" s="502"/>
      <c r="E100" s="502"/>
      <c r="F100" s="502"/>
      <c r="G100" s="498"/>
      <c r="H100" s="498"/>
      <c r="I100" s="498"/>
      <c r="J100" s="498"/>
      <c r="K100" s="1409"/>
      <c r="L100" s="1435"/>
      <c r="M100" s="1409"/>
      <c r="N100" s="1435"/>
      <c r="O100" s="1409"/>
      <c r="P100" s="1436"/>
      <c r="Q100" s="1437"/>
      <c r="R100" s="52"/>
      <c r="S100" s="52"/>
      <c r="T100" s="52"/>
      <c r="U100" s="52"/>
      <c r="V100" s="52"/>
      <c r="W100" s="52"/>
      <c r="X100" s="52"/>
      <c r="Y100" s="896"/>
      <c r="Z100" s="52"/>
      <c r="AA100" s="51"/>
      <c r="AB100" s="51"/>
      <c r="AC100" s="1"/>
      <c r="AD100" s="31"/>
      <c r="AE100" s="31"/>
      <c r="AH100" s="1"/>
      <c r="AI100" s="1"/>
      <c r="AJ100" s="31"/>
      <c r="AK100" s="31"/>
      <c r="AL100" s="31"/>
      <c r="AM100" s="1"/>
      <c r="AN100" s="1"/>
      <c r="AO100" s="1"/>
      <c r="AP100" s="1"/>
      <c r="AQ100" s="1"/>
      <c r="AR100" s="1"/>
      <c r="AS100" s="6"/>
      <c r="AT100" s="6"/>
      <c r="AU100" s="6"/>
      <c r="AW100" s="1"/>
      <c r="BD100" s="652"/>
      <c r="BE100" s="1"/>
      <c r="BF100" s="51"/>
      <c r="BG100" s="51"/>
      <c r="BJ100" s="893"/>
      <c r="BK100" s="502"/>
      <c r="BL100" s="900"/>
      <c r="BM100" s="502"/>
      <c r="BN100" s="502"/>
      <c r="BO100" s="502"/>
      <c r="BP100" s="502"/>
      <c r="BQ100" s="498"/>
      <c r="BR100" s="502"/>
      <c r="BS100" s="502"/>
      <c r="BT100" s="502"/>
      <c r="BU100" s="502"/>
      <c r="BV100" s="498"/>
      <c r="BW100" s="498"/>
      <c r="BX100" s="498"/>
      <c r="BY100" s="498"/>
      <c r="BZ100" s="498"/>
      <c r="CA100" s="498"/>
      <c r="CB100" s="498"/>
      <c r="CC100" s="498"/>
      <c r="CD100" s="498"/>
      <c r="CE100" s="498"/>
      <c r="CF100" s="498"/>
      <c r="CG100" s="498"/>
      <c r="CH100" s="502"/>
      <c r="CI100" s="502"/>
      <c r="CJ100" s="498"/>
      <c r="CK100" s="498"/>
      <c r="CL100" s="52"/>
      <c r="EW100" s="427"/>
      <c r="FB100" s="426"/>
      <c r="FC100" s="426"/>
    </row>
    <row r="101" spans="1:159" ht="15.75" hidden="1" customHeight="1">
      <c r="A101" s="641"/>
      <c r="B101" s="498"/>
      <c r="C101" s="502"/>
      <c r="D101" s="502"/>
      <c r="E101" s="502"/>
      <c r="F101" s="502"/>
      <c r="G101" s="498"/>
      <c r="H101" s="498"/>
      <c r="I101" s="498"/>
      <c r="J101" s="498"/>
      <c r="K101" s="1436"/>
      <c r="L101" s="1437"/>
      <c r="M101" s="1436"/>
      <c r="N101" s="1437"/>
      <c r="O101" s="1436"/>
      <c r="P101" s="1409"/>
      <c r="Q101" s="1435"/>
      <c r="R101" s="52"/>
      <c r="S101" s="52"/>
      <c r="T101" s="52"/>
      <c r="U101" s="52"/>
      <c r="V101" s="52"/>
      <c r="W101" s="52"/>
      <c r="X101" s="52"/>
      <c r="Y101" s="896"/>
      <c r="Z101" s="52"/>
      <c r="AA101" s="51"/>
      <c r="AB101" s="51"/>
      <c r="AC101" s="1"/>
      <c r="AD101" s="31"/>
      <c r="AE101" s="31"/>
      <c r="AH101" s="1"/>
      <c r="AI101" s="1"/>
      <c r="AJ101" s="31"/>
      <c r="AK101" s="31"/>
      <c r="AL101" s="31"/>
      <c r="AM101" s="1"/>
      <c r="AN101" s="1"/>
      <c r="AO101" s="1"/>
      <c r="AP101" s="1"/>
      <c r="AQ101" s="1"/>
      <c r="AR101" s="1"/>
      <c r="AS101" s="6"/>
      <c r="AT101" s="6"/>
      <c r="AU101" s="6"/>
      <c r="AW101" s="1"/>
      <c r="BD101" s="652"/>
      <c r="BE101" s="1"/>
      <c r="BF101" s="51"/>
      <c r="BG101" s="51"/>
      <c r="BJ101" s="893"/>
      <c r="BK101" s="502"/>
      <c r="BL101" s="900"/>
      <c r="BM101" s="502"/>
      <c r="BN101" s="502"/>
      <c r="BO101" s="502"/>
      <c r="BP101" s="502"/>
      <c r="BQ101" s="498"/>
      <c r="BR101" s="502"/>
      <c r="BS101" s="502"/>
      <c r="BT101" s="502"/>
      <c r="BU101" s="502"/>
      <c r="BV101" s="498"/>
      <c r="BW101" s="498"/>
      <c r="BX101" s="498"/>
      <c r="BY101" s="498"/>
      <c r="BZ101" s="498"/>
      <c r="CA101" s="498"/>
      <c r="CB101" s="498"/>
      <c r="CC101" s="498"/>
      <c r="CD101" s="498"/>
      <c r="CE101" s="498"/>
      <c r="CF101" s="498"/>
      <c r="CG101" s="498"/>
      <c r="CH101" s="502"/>
      <c r="CI101" s="502"/>
      <c r="CJ101" s="498"/>
      <c r="CK101" s="498"/>
      <c r="CL101" s="52"/>
      <c r="EW101" s="427"/>
      <c r="FB101" s="426"/>
      <c r="FC101" s="426"/>
    </row>
    <row r="102" spans="1:159" ht="15.75" hidden="1" customHeight="1">
      <c r="A102" s="641"/>
      <c r="B102" s="498"/>
      <c r="C102" s="502"/>
      <c r="D102" s="502"/>
      <c r="E102" s="502"/>
      <c r="F102" s="502"/>
      <c r="G102" s="498"/>
      <c r="H102" s="498"/>
      <c r="I102" s="892"/>
      <c r="J102" s="892"/>
      <c r="K102" s="1441"/>
      <c r="L102" s="1441"/>
      <c r="M102" s="1441"/>
      <c r="N102" s="1441"/>
      <c r="O102" s="1436"/>
      <c r="P102" s="1409"/>
      <c r="Q102" s="1435"/>
      <c r="R102" s="52"/>
      <c r="S102" s="52"/>
      <c r="T102" s="52"/>
      <c r="U102" s="52"/>
      <c r="V102" s="52"/>
      <c r="W102" s="52"/>
      <c r="X102" s="52"/>
      <c r="Y102" s="896"/>
      <c r="Z102" s="52" t="s">
        <v>8</v>
      </c>
      <c r="AA102" s="51" t="s">
        <v>8</v>
      </c>
      <c r="AB102" s="51"/>
      <c r="AC102" s="1"/>
      <c r="AD102" s="31"/>
      <c r="AE102" s="31"/>
      <c r="AF102" s="1"/>
      <c r="AG102" s="1"/>
      <c r="AH102" s="1"/>
      <c r="AI102" s="1"/>
      <c r="AJ102" s="31"/>
      <c r="AK102" s="31"/>
      <c r="AL102" s="1"/>
      <c r="AM102" s="1"/>
      <c r="AN102" s="1"/>
      <c r="AO102" s="1"/>
      <c r="AP102" s="1"/>
      <c r="AQ102" s="1"/>
      <c r="AR102" s="1"/>
      <c r="AS102" s="6"/>
      <c r="AT102" s="6"/>
      <c r="AU102" s="6"/>
      <c r="AW102" s="1"/>
      <c r="BD102" s="652"/>
      <c r="BE102" s="1"/>
      <c r="BF102" s="51"/>
      <c r="BG102" s="51"/>
      <c r="BJ102" s="893"/>
      <c r="BK102" s="502"/>
      <c r="BL102" s="900"/>
      <c r="BM102" s="502"/>
      <c r="BN102" s="502"/>
      <c r="BO102" s="502"/>
      <c r="BP102" s="502"/>
      <c r="BQ102" s="498"/>
      <c r="BR102" s="502"/>
      <c r="BS102" s="502"/>
      <c r="BT102" s="502"/>
      <c r="BU102" s="502"/>
      <c r="BV102" s="498"/>
      <c r="BW102" s="498"/>
      <c r="BX102" s="498"/>
      <c r="BY102" s="498"/>
      <c r="BZ102" s="498"/>
      <c r="CA102" s="498"/>
      <c r="CB102" s="498"/>
      <c r="CC102" s="498"/>
      <c r="CD102" s="498"/>
      <c r="CE102" s="498"/>
      <c r="CF102" s="498"/>
      <c r="CG102" s="498"/>
      <c r="CH102" s="502"/>
      <c r="CI102" s="502"/>
      <c r="CJ102" s="498"/>
      <c r="CK102" s="498"/>
      <c r="CL102" s="52"/>
      <c r="EW102" s="427"/>
      <c r="FB102" s="426"/>
      <c r="FC102" s="426"/>
    </row>
    <row r="103" spans="1:159" ht="15.75" hidden="1" customHeight="1">
      <c r="A103" s="641"/>
      <c r="B103" s="498"/>
      <c r="C103" s="502"/>
      <c r="D103" s="502"/>
      <c r="E103" s="502"/>
      <c r="F103" s="502"/>
      <c r="G103" s="498"/>
      <c r="H103" s="498"/>
      <c r="I103" s="892"/>
      <c r="J103" s="892"/>
      <c r="K103" s="503"/>
      <c r="L103" s="891" t="s">
        <v>317</v>
      </c>
      <c r="M103" s="503">
        <f>M82/2</f>
        <v>293</v>
      </c>
      <c r="N103" s="889"/>
      <c r="O103" s="503">
        <f>O82/2</f>
        <v>579.5</v>
      </c>
      <c r="P103" s="147"/>
      <c r="Q103" s="148"/>
      <c r="R103" s="52"/>
      <c r="S103" s="52"/>
      <c r="T103" s="52"/>
      <c r="U103" s="52"/>
      <c r="V103" s="52"/>
      <c r="W103" s="52"/>
      <c r="X103" s="52"/>
      <c r="Y103" s="896"/>
      <c r="Z103" s="52"/>
      <c r="AA103" s="51"/>
      <c r="AB103" s="51"/>
      <c r="AC103" s="1"/>
      <c r="AD103" s="31"/>
      <c r="AE103" s="31"/>
      <c r="AF103" s="1"/>
      <c r="AG103" s="1"/>
      <c r="AH103" s="1"/>
      <c r="AI103" s="1"/>
      <c r="AJ103" s="31"/>
      <c r="AK103" s="31"/>
      <c r="AL103" s="1"/>
      <c r="AM103" s="1"/>
      <c r="AN103" s="1"/>
      <c r="AO103" s="1"/>
      <c r="AP103" s="1"/>
      <c r="AQ103" s="1"/>
      <c r="AR103" s="1"/>
      <c r="AS103" s="6"/>
      <c r="AT103" s="6"/>
      <c r="AU103" s="6"/>
      <c r="AW103" s="1"/>
      <c r="BD103" s="652"/>
      <c r="BE103" s="1"/>
      <c r="BF103" s="51"/>
      <c r="BG103" s="51"/>
      <c r="BJ103" s="893"/>
      <c r="BK103" s="502"/>
      <c r="BL103" s="900"/>
      <c r="BM103" s="502"/>
      <c r="BN103" s="502"/>
      <c r="BO103" s="502"/>
      <c r="BP103" s="502"/>
      <c r="BQ103" s="498"/>
      <c r="BR103" s="502"/>
      <c r="BS103" s="502"/>
      <c r="BT103" s="502"/>
      <c r="BU103" s="502"/>
      <c r="BV103" s="498"/>
      <c r="BW103" s="498"/>
      <c r="BX103" s="498"/>
      <c r="BY103" s="498"/>
      <c r="BZ103" s="498"/>
      <c r="CA103" s="498"/>
      <c r="CB103" s="498"/>
      <c r="CC103" s="498"/>
      <c r="CD103" s="498"/>
      <c r="CE103" s="498"/>
      <c r="CF103" s="498"/>
      <c r="CG103" s="498"/>
      <c r="CH103" s="502"/>
      <c r="CI103" s="502"/>
      <c r="CJ103" s="498"/>
      <c r="CK103" s="498"/>
      <c r="CL103" s="52"/>
      <c r="EW103" s="427"/>
      <c r="FB103" s="426"/>
      <c r="FC103" s="426"/>
    </row>
    <row r="104" spans="1:159" ht="12.75" hidden="1" customHeight="1">
      <c r="A104" s="641"/>
      <c r="B104" s="498"/>
      <c r="C104" s="502"/>
      <c r="D104" s="502"/>
      <c r="E104" s="502"/>
      <c r="F104" s="502"/>
      <c r="G104" s="498"/>
      <c r="H104" s="498"/>
      <c r="I104" s="892"/>
      <c r="J104" s="892"/>
      <c r="K104" s="503"/>
      <c r="L104" s="889" t="s">
        <v>320</v>
      </c>
      <c r="M104" s="503">
        <f ca="1">SUM(Y8:Y74)</f>
        <v>0</v>
      </c>
      <c r="N104" s="889"/>
      <c r="O104" s="503">
        <f ca="1">M104</f>
        <v>0</v>
      </c>
      <c r="P104" s="147"/>
      <c r="Q104" s="148"/>
      <c r="R104" s="52"/>
      <c r="S104" s="52"/>
      <c r="T104" s="52"/>
      <c r="U104" s="52"/>
      <c r="V104" s="52"/>
      <c r="W104" s="52"/>
      <c r="X104" s="52"/>
      <c r="Y104" s="896"/>
      <c r="Z104" s="52"/>
      <c r="AA104" s="51"/>
      <c r="AB104" s="51"/>
      <c r="AC104" s="1"/>
      <c r="AD104" s="31"/>
      <c r="AE104" s="31"/>
      <c r="AF104" s="1"/>
      <c r="AG104" s="1"/>
      <c r="AH104" s="1"/>
      <c r="AI104" s="1"/>
      <c r="AJ104" s="31"/>
      <c r="AK104" s="31"/>
      <c r="AL104" s="1"/>
      <c r="AM104" s="1"/>
      <c r="AN104" s="1"/>
      <c r="AO104" s="1"/>
      <c r="AP104" s="1"/>
      <c r="AQ104" s="1"/>
      <c r="AR104" s="1"/>
      <c r="AS104" s="6"/>
      <c r="AT104" s="6"/>
      <c r="AU104" s="6"/>
      <c r="AW104" s="1"/>
      <c r="BD104" s="652"/>
      <c r="BE104" s="1"/>
      <c r="BF104" s="51"/>
      <c r="BG104" s="51"/>
      <c r="BJ104" s="893"/>
      <c r="BK104" s="421"/>
      <c r="BL104" s="899"/>
      <c r="BM104" s="502"/>
      <c r="BN104" s="502"/>
      <c r="BO104" s="502"/>
      <c r="BP104" s="502"/>
      <c r="BQ104" s="498"/>
      <c r="BR104" s="502"/>
      <c r="BS104" s="502"/>
      <c r="BT104" s="502"/>
      <c r="BU104" s="502"/>
      <c r="BV104" s="498"/>
      <c r="BW104" s="498"/>
      <c r="BX104" s="498"/>
      <c r="BY104" s="498"/>
      <c r="BZ104" s="498"/>
      <c r="CA104" s="498"/>
      <c r="CB104" s="498"/>
      <c r="CC104" s="498"/>
      <c r="CD104" s="498"/>
      <c r="CE104" s="498"/>
      <c r="CF104" s="498"/>
      <c r="CG104" s="498"/>
      <c r="CH104" s="502"/>
      <c r="CI104" s="502"/>
      <c r="CJ104" s="498"/>
      <c r="CK104" s="498"/>
      <c r="CL104" s="52"/>
      <c r="EW104" s="427"/>
      <c r="FB104" s="426"/>
      <c r="FC104" s="426"/>
    </row>
    <row r="105" spans="1:159" ht="12.75" hidden="1" customHeight="1">
      <c r="A105" s="641"/>
      <c r="B105" s="498"/>
      <c r="C105" s="502"/>
      <c r="D105" s="502"/>
      <c r="E105" s="502"/>
      <c r="F105" s="502"/>
      <c r="G105" s="498"/>
      <c r="H105" s="498"/>
      <c r="I105" s="892"/>
      <c r="J105" s="892"/>
      <c r="K105" s="503"/>
      <c r="L105" s="889" t="s">
        <v>321</v>
      </c>
      <c r="M105" s="503">
        <f ca="1">IF(M104&gt;0,IF(M103/M104&lt;$BF$3,$BF$3,M103/M104),0)</f>
        <v>0</v>
      </c>
      <c r="N105" s="889"/>
      <c r="O105" s="503">
        <f ca="1">IF(O104&gt;0,IF(O103/O104&lt;$BF$3,$BF$3,O103/O104),0)</f>
        <v>0</v>
      </c>
      <c r="P105" s="147"/>
      <c r="Q105" s="148"/>
      <c r="R105" s="52"/>
      <c r="S105" s="52"/>
      <c r="T105" s="52"/>
      <c r="U105" s="52"/>
      <c r="V105" s="52"/>
      <c r="W105" s="52"/>
      <c r="X105" s="52"/>
      <c r="Y105" s="896"/>
      <c r="Z105" s="52"/>
      <c r="AA105" s="51"/>
      <c r="AB105" s="51"/>
      <c r="AC105" s="1"/>
      <c r="AD105" s="31"/>
      <c r="AE105" s="31"/>
      <c r="AF105" s="1"/>
      <c r="AG105" s="1"/>
      <c r="AH105" s="1"/>
      <c r="AI105" s="1"/>
      <c r="AJ105" s="31"/>
      <c r="AK105" s="31"/>
      <c r="AL105" s="1"/>
      <c r="AM105" s="1"/>
      <c r="AN105" s="1"/>
      <c r="AO105" s="1"/>
      <c r="AP105" s="1"/>
      <c r="AQ105" s="1"/>
      <c r="AR105" s="1"/>
      <c r="AS105" s="6"/>
      <c r="AT105" s="6"/>
      <c r="AU105" s="6"/>
      <c r="AW105" s="1"/>
      <c r="BD105" s="652"/>
      <c r="BE105" s="1"/>
      <c r="BF105" s="51"/>
      <c r="BG105" s="51"/>
      <c r="BJ105" s="893"/>
      <c r="BK105" s="421"/>
      <c r="BL105" s="899"/>
      <c r="BM105" s="502"/>
      <c r="BN105" s="502"/>
      <c r="BO105" s="502"/>
      <c r="BP105" s="502"/>
      <c r="BQ105" s="498"/>
      <c r="BR105" s="502"/>
      <c r="BS105" s="502"/>
      <c r="BT105" s="502"/>
      <c r="BU105" s="502"/>
      <c r="BV105" s="498"/>
      <c r="BW105" s="498"/>
      <c r="BX105" s="498"/>
      <c r="BY105" s="498"/>
      <c r="BZ105" s="498"/>
      <c r="CA105" s="498"/>
      <c r="CB105" s="498"/>
      <c r="CC105" s="498"/>
      <c r="CD105" s="498"/>
      <c r="CE105" s="498"/>
      <c r="CF105" s="498"/>
      <c r="CG105" s="498"/>
      <c r="CH105" s="502"/>
      <c r="CI105" s="502"/>
      <c r="CJ105" s="498"/>
      <c r="CK105" s="498"/>
      <c r="CL105" s="52"/>
      <c r="EW105" s="427"/>
      <c r="FB105" s="426"/>
      <c r="FC105" s="426"/>
    </row>
    <row r="106" spans="1:159" ht="12.75" hidden="1" customHeight="1">
      <c r="A106" s="1258"/>
      <c r="B106" s="498"/>
      <c r="C106" s="502"/>
      <c r="D106" s="502"/>
      <c r="E106" s="502"/>
      <c r="F106" s="502"/>
      <c r="G106" s="498"/>
      <c r="H106" s="498"/>
      <c r="I106" s="498"/>
      <c r="J106" s="498"/>
      <c r="K106" s="498"/>
      <c r="L106" s="502"/>
      <c r="M106" s="498"/>
      <c r="N106" s="502"/>
      <c r="O106" s="498"/>
      <c r="P106" s="147"/>
      <c r="Q106" s="148"/>
      <c r="R106" s="52"/>
      <c r="S106" s="52"/>
      <c r="T106" s="52"/>
      <c r="U106" s="52"/>
      <c r="V106" s="52"/>
      <c r="W106" s="52"/>
      <c r="X106" s="52"/>
      <c r="Y106" s="896"/>
      <c r="Z106" s="52"/>
      <c r="AA106" s="51" t="s">
        <v>68</v>
      </c>
      <c r="AB106" s="51"/>
      <c r="AC106" s="1"/>
      <c r="AD106" s="31"/>
      <c r="AE106" s="31"/>
      <c r="AH106" s="1"/>
      <c r="AI106" s="1"/>
      <c r="AJ106" s="31"/>
      <c r="AK106" s="31"/>
      <c r="AL106" s="1"/>
      <c r="AM106" s="1"/>
      <c r="AN106" s="1"/>
      <c r="AO106" s="1"/>
      <c r="AP106" s="1"/>
      <c r="AQ106" s="1"/>
      <c r="AR106" s="1"/>
      <c r="AS106" s="6"/>
      <c r="AT106" s="6"/>
      <c r="AU106" s="6"/>
      <c r="AW106" s="1"/>
      <c r="BD106" s="652"/>
      <c r="BE106" s="1"/>
      <c r="BF106" s="51"/>
      <c r="BG106" s="51"/>
      <c r="BJ106" s="893"/>
      <c r="BK106" s="421"/>
      <c r="BL106" s="899"/>
      <c r="BM106" s="502"/>
      <c r="BN106" s="502"/>
      <c r="BO106" s="502"/>
      <c r="BP106" s="502"/>
      <c r="BQ106" s="498"/>
      <c r="BR106" s="502"/>
      <c r="BS106" s="502"/>
      <c r="BT106" s="502"/>
      <c r="BU106" s="502"/>
      <c r="BV106" s="498"/>
      <c r="BW106" s="498"/>
      <c r="BX106" s="498"/>
      <c r="BY106" s="498"/>
      <c r="BZ106" s="498"/>
      <c r="CA106" s="498"/>
      <c r="CB106" s="498"/>
      <c r="CC106" s="498"/>
      <c r="CD106" s="498"/>
      <c r="CE106" s="498"/>
      <c r="CF106" s="498"/>
      <c r="CG106" s="498"/>
      <c r="CH106" s="502"/>
      <c r="CI106" s="502"/>
      <c r="CJ106" s="498"/>
      <c r="CK106" s="498"/>
      <c r="CL106" s="52"/>
      <c r="EW106" s="427"/>
      <c r="FB106" s="426"/>
      <c r="FC106" s="426"/>
    </row>
    <row r="107" spans="1:159" hidden="1">
      <c r="A107" s="1151"/>
      <c r="B107" s="51"/>
      <c r="C107" s="52"/>
      <c r="D107" s="52"/>
      <c r="E107" s="52"/>
      <c r="F107" s="52"/>
      <c r="G107" s="51"/>
      <c r="H107" s="51"/>
      <c r="I107" s="51"/>
      <c r="J107" s="51"/>
      <c r="K107" s="51"/>
      <c r="L107" s="52"/>
      <c r="M107" s="51"/>
      <c r="N107" s="52"/>
      <c r="O107" s="51"/>
      <c r="P107" s="147"/>
      <c r="Q107" s="148"/>
      <c r="R107" s="52"/>
      <c r="S107" s="52"/>
      <c r="T107" s="52"/>
      <c r="U107" s="52"/>
      <c r="V107" s="52"/>
      <c r="W107" s="52"/>
      <c r="X107" s="52"/>
      <c r="Y107" s="896"/>
      <c r="Z107" s="52"/>
      <c r="AA107" s="51"/>
      <c r="AB107" s="51"/>
      <c r="AC107" s="1"/>
      <c r="AD107" s="31"/>
      <c r="AE107" s="31"/>
      <c r="AH107" s="1"/>
      <c r="AI107" s="1"/>
      <c r="AJ107" s="31"/>
      <c r="AK107" s="31"/>
      <c r="AL107" s="1"/>
      <c r="AM107" s="1"/>
      <c r="AN107" s="1"/>
      <c r="AO107" s="1"/>
      <c r="AP107" s="1"/>
      <c r="AQ107" s="1"/>
      <c r="AR107" s="1"/>
      <c r="AS107" s="6"/>
      <c r="AT107" s="6"/>
      <c r="AU107" s="6"/>
      <c r="AW107" s="1"/>
      <c r="BD107" s="652"/>
      <c r="BE107" s="1"/>
      <c r="BF107" s="51"/>
      <c r="BG107" s="51"/>
      <c r="BJ107" s="893"/>
      <c r="BK107" s="421"/>
      <c r="BL107" s="899"/>
      <c r="BM107" s="502"/>
      <c r="BN107" s="502"/>
      <c r="BO107" s="502"/>
      <c r="BP107" s="502"/>
      <c r="BQ107" s="498"/>
      <c r="BR107" s="502"/>
      <c r="BS107" s="502"/>
      <c r="BT107" s="502"/>
      <c r="BU107" s="502"/>
      <c r="BV107" s="498"/>
      <c r="BW107" s="498"/>
      <c r="BX107" s="498"/>
      <c r="BY107" s="498"/>
      <c r="BZ107" s="498"/>
      <c r="CA107" s="498"/>
      <c r="CB107" s="498"/>
      <c r="CC107" s="498"/>
      <c r="CD107" s="498"/>
      <c r="CE107" s="498"/>
      <c r="CF107" s="498"/>
      <c r="CG107" s="498"/>
      <c r="CH107" s="502"/>
      <c r="CI107" s="502"/>
      <c r="CJ107" s="498"/>
      <c r="CK107" s="498"/>
      <c r="CL107" s="52"/>
      <c r="EW107" s="427"/>
      <c r="FB107" s="426"/>
      <c r="FC107" s="426"/>
    </row>
    <row r="108" spans="1:159" hidden="1">
      <c r="B108" s="51"/>
      <c r="C108" s="52"/>
      <c r="D108" s="52"/>
      <c r="E108" s="52"/>
      <c r="F108" s="52"/>
      <c r="G108" s="51"/>
      <c r="H108" s="51"/>
      <c r="I108" s="51"/>
      <c r="J108" s="51"/>
      <c r="K108" s="51"/>
      <c r="L108" s="52"/>
      <c r="M108" s="51"/>
      <c r="N108" s="52"/>
      <c r="O108" s="51"/>
      <c r="P108" s="147"/>
      <c r="Q108" s="148"/>
      <c r="R108" s="52"/>
      <c r="S108" s="52"/>
      <c r="T108" s="52"/>
      <c r="U108" s="52"/>
      <c r="V108" s="52"/>
      <c r="W108" s="52"/>
      <c r="X108" s="52"/>
      <c r="Y108" s="896"/>
      <c r="Z108" s="52"/>
      <c r="AA108" s="51"/>
      <c r="AB108" s="51"/>
      <c r="AC108" s="1"/>
      <c r="AD108" s="31"/>
      <c r="AE108" s="31"/>
      <c r="AH108" s="1"/>
      <c r="AI108" s="1"/>
      <c r="AJ108" s="31"/>
      <c r="AK108" s="31"/>
      <c r="AL108" s="1"/>
      <c r="AM108" s="1"/>
      <c r="AN108" s="1"/>
      <c r="AO108" s="1"/>
      <c r="AP108" s="1"/>
      <c r="AQ108" s="1"/>
      <c r="AR108" s="1"/>
      <c r="AS108" s="6"/>
      <c r="AT108" s="6"/>
      <c r="AU108" s="6"/>
      <c r="AW108" s="1"/>
      <c r="BD108" s="652"/>
      <c r="BE108" s="1"/>
      <c r="BF108" s="51"/>
      <c r="BG108" s="51"/>
      <c r="BJ108" s="893"/>
      <c r="BK108" s="421"/>
      <c r="BL108" s="899"/>
      <c r="BM108" s="502"/>
      <c r="BN108" s="502"/>
      <c r="BO108" s="502"/>
      <c r="BP108" s="502"/>
      <c r="BQ108" s="498"/>
      <c r="BR108" s="502"/>
      <c r="BS108" s="502"/>
      <c r="BT108" s="502"/>
      <c r="BU108" s="502"/>
      <c r="BV108" s="498"/>
      <c r="BW108" s="498"/>
      <c r="BX108" s="498"/>
      <c r="BY108" s="498"/>
      <c r="BZ108" s="498"/>
      <c r="CA108" s="498"/>
      <c r="CB108" s="498"/>
      <c r="CC108" s="498"/>
      <c r="CD108" s="498"/>
      <c r="CE108" s="498"/>
      <c r="CF108" s="498"/>
      <c r="CG108" s="498"/>
      <c r="CH108" s="502"/>
      <c r="CI108" s="502"/>
      <c r="CJ108" s="498"/>
      <c r="CK108" s="498"/>
      <c r="CL108" s="52"/>
      <c r="EW108" s="427"/>
      <c r="FB108" s="426"/>
      <c r="FC108" s="426"/>
    </row>
    <row r="109" spans="1:159" hidden="1">
      <c r="B109" s="51"/>
      <c r="C109" s="52"/>
      <c r="D109" s="52"/>
      <c r="E109" s="52"/>
      <c r="F109" s="52"/>
      <c r="G109" s="51"/>
      <c r="H109" s="51"/>
      <c r="I109" s="51"/>
      <c r="J109" s="51"/>
      <c r="K109" s="51"/>
      <c r="L109" s="52"/>
      <c r="M109" s="51"/>
      <c r="N109" s="52"/>
      <c r="O109" s="51"/>
      <c r="R109" s="52"/>
      <c r="S109" s="52"/>
      <c r="T109" s="52"/>
      <c r="U109" s="52"/>
      <c r="V109" s="52"/>
      <c r="W109" s="52"/>
      <c r="X109" s="52"/>
      <c r="Y109" s="896"/>
      <c r="Z109" s="52"/>
      <c r="AA109" s="51"/>
      <c r="AB109" s="51"/>
      <c r="AC109" s="1"/>
      <c r="AD109" s="1"/>
      <c r="AE109" s="1"/>
      <c r="AH109" s="1"/>
      <c r="AI109" s="1"/>
      <c r="AJ109" s="1"/>
      <c r="AK109" s="1"/>
      <c r="AL109" s="1"/>
      <c r="AM109" s="1"/>
      <c r="AN109" s="1"/>
      <c r="AO109" s="1"/>
      <c r="AP109" s="1"/>
      <c r="AQ109" s="1"/>
      <c r="AR109" s="1"/>
      <c r="AS109" s="6"/>
      <c r="AT109" s="6"/>
      <c r="AU109" s="6"/>
      <c r="AW109" s="1"/>
      <c r="BD109" s="652"/>
      <c r="BE109" s="641"/>
      <c r="BF109" s="652"/>
      <c r="BG109" s="652"/>
      <c r="BH109" s="652"/>
      <c r="BI109" s="652"/>
      <c r="BJ109" s="901"/>
      <c r="BK109" s="902"/>
      <c r="BL109" s="903"/>
      <c r="BM109" s="905"/>
      <c r="BN109" s="905"/>
      <c r="BO109" s="905"/>
      <c r="BP109" s="905"/>
      <c r="BQ109" s="904"/>
      <c r="BR109" s="905"/>
      <c r="BS109" s="905"/>
      <c r="BT109" s="905"/>
      <c r="BU109" s="905"/>
      <c r="BV109" s="904"/>
      <c r="BW109" s="904"/>
      <c r="BX109" s="904"/>
      <c r="BY109" s="904"/>
      <c r="BZ109" s="904"/>
      <c r="CA109" s="904"/>
      <c r="CB109" s="904"/>
      <c r="CC109" s="904"/>
      <c r="CD109" s="904"/>
      <c r="CE109" s="904"/>
      <c r="CF109" s="904"/>
      <c r="CG109" s="904"/>
      <c r="CH109" s="905"/>
      <c r="CI109" s="905"/>
      <c r="CJ109" s="904"/>
      <c r="CK109" s="904"/>
      <c r="CL109" s="657"/>
      <c r="CM109" s="652"/>
      <c r="CN109" s="657"/>
      <c r="CO109" s="657"/>
      <c r="CP109" s="652"/>
      <c r="CQ109" s="652"/>
      <c r="CR109" s="652"/>
      <c r="CS109" s="652"/>
      <c r="CT109" s="652"/>
      <c r="CU109" s="652"/>
      <c r="CV109" s="652"/>
      <c r="CW109" s="652"/>
      <c r="CX109" s="652"/>
      <c r="CY109" s="652"/>
      <c r="CZ109" s="652"/>
      <c r="DA109" s="652"/>
      <c r="DB109" s="652"/>
      <c r="DD109" s="652"/>
      <c r="DE109" s="652"/>
      <c r="DF109" s="652"/>
      <c r="DG109" s="427"/>
      <c r="DH109" s="427"/>
      <c r="DI109" s="427"/>
      <c r="DJ109" s="427"/>
      <c r="DK109" s="427"/>
      <c r="DL109" s="427"/>
      <c r="DM109" s="427"/>
      <c r="DN109" s="427"/>
      <c r="DO109" s="427"/>
      <c r="DP109" s="427"/>
      <c r="DQ109" s="427"/>
      <c r="DR109" s="427"/>
      <c r="DS109" s="427"/>
      <c r="DT109" s="427"/>
      <c r="DU109" s="427"/>
      <c r="DV109" s="427"/>
      <c r="DW109" s="427"/>
      <c r="DX109" s="427"/>
      <c r="DY109" s="427"/>
      <c r="DZ109" s="427"/>
      <c r="EA109" s="427"/>
      <c r="EB109" s="427"/>
      <c r="EC109" s="427"/>
      <c r="ED109" s="427"/>
      <c r="EE109" s="427"/>
      <c r="EF109" s="427"/>
      <c r="EG109" s="427"/>
      <c r="EH109" s="427"/>
      <c r="EI109" s="427"/>
      <c r="EJ109" s="427"/>
      <c r="EK109" s="427"/>
      <c r="EL109" s="427"/>
      <c r="EM109" s="427"/>
      <c r="EN109" s="427"/>
      <c r="EO109" s="427"/>
      <c r="EP109" s="431"/>
      <c r="EQ109" s="431"/>
      <c r="ER109" s="427"/>
      <c r="ES109" s="427"/>
      <c r="ET109" s="427"/>
      <c r="EU109" s="427"/>
      <c r="EV109" s="427"/>
      <c r="EW109" s="427"/>
      <c r="FB109" s="426"/>
      <c r="FC109" s="426"/>
    </row>
    <row r="110" spans="1:159" hidden="1">
      <c r="B110" s="51"/>
      <c r="C110" s="52"/>
      <c r="D110" s="52"/>
      <c r="E110" s="52"/>
      <c r="F110" s="52"/>
      <c r="G110" s="51"/>
      <c r="H110" s="51"/>
      <c r="I110" s="51"/>
      <c r="J110" s="51"/>
      <c r="K110" s="51"/>
      <c r="L110" s="52"/>
      <c r="M110" s="51"/>
      <c r="N110" s="52"/>
      <c r="O110" s="51"/>
      <c r="R110" s="52"/>
      <c r="S110" s="52"/>
      <c r="T110" s="52"/>
      <c r="U110" s="52"/>
      <c r="V110" s="52"/>
      <c r="W110" s="52"/>
      <c r="X110" s="52"/>
      <c r="Y110" s="896"/>
      <c r="Z110" s="52"/>
      <c r="AA110" s="51"/>
      <c r="AB110" s="51"/>
      <c r="AC110"/>
      <c r="AD110" s="1"/>
      <c r="AE110" s="1"/>
      <c r="AJ110" s="1"/>
      <c r="AK110" s="1"/>
      <c r="AL110" s="1"/>
      <c r="AM110" s="1"/>
      <c r="AN110" s="1"/>
      <c r="AO110" s="1"/>
      <c r="AP110" s="1"/>
      <c r="AQ110" s="1"/>
      <c r="AR110" s="1"/>
      <c r="AS110" s="6"/>
      <c r="AT110" s="6"/>
      <c r="AU110" s="6"/>
      <c r="AW110" s="1"/>
      <c r="BJ110" s="498"/>
      <c r="BK110" s="421"/>
      <c r="BL110" s="899"/>
      <c r="BM110" s="502"/>
      <c r="BN110" s="502"/>
      <c r="BO110" s="502"/>
      <c r="BP110" s="502"/>
      <c r="BQ110" s="498"/>
      <c r="BR110" s="502"/>
      <c r="BS110" s="502"/>
      <c r="BT110" s="502"/>
      <c r="BU110" s="502"/>
      <c r="BV110" s="498"/>
      <c r="BW110" s="498"/>
      <c r="BX110" s="498"/>
      <c r="BY110" s="498"/>
      <c r="BZ110" s="498"/>
      <c r="CA110" s="498"/>
      <c r="CB110" s="498"/>
      <c r="CC110" s="498"/>
      <c r="CD110" s="498"/>
      <c r="CE110" s="498"/>
      <c r="CF110" s="498"/>
      <c r="CG110" s="498"/>
      <c r="CH110" s="502"/>
      <c r="CI110" s="502"/>
      <c r="CJ110" s="498"/>
      <c r="CK110" s="498"/>
      <c r="DC110" s="994"/>
      <c r="FB110" s="426"/>
      <c r="FC110" s="426"/>
    </row>
    <row r="111" spans="1:159" hidden="1">
      <c r="B111" s="51"/>
      <c r="C111" s="52"/>
      <c r="D111" s="52"/>
      <c r="E111" s="52"/>
      <c r="F111" s="52"/>
      <c r="G111" s="51"/>
      <c r="H111" s="51"/>
      <c r="I111" s="51"/>
      <c r="J111" s="51"/>
      <c r="K111" s="51"/>
      <c r="L111" s="52"/>
      <c r="M111" s="51"/>
      <c r="N111" s="52"/>
      <c r="O111" s="51"/>
      <c r="R111" s="52"/>
      <c r="S111" s="52"/>
      <c r="T111" s="52"/>
      <c r="U111" s="52"/>
      <c r="V111" s="52"/>
      <c r="W111" s="52"/>
      <c r="X111" s="52"/>
      <c r="Y111" s="896"/>
      <c r="Z111" s="52"/>
      <c r="AA111" s="51"/>
      <c r="AB111" s="51"/>
      <c r="AC111"/>
      <c r="AD111" s="1"/>
      <c r="AE111" s="1"/>
      <c r="AJ111" s="1"/>
      <c r="AK111" s="1"/>
      <c r="AL111" s="1"/>
      <c r="AM111" s="1"/>
      <c r="AN111" s="1"/>
      <c r="AO111" s="1"/>
      <c r="AP111" s="1"/>
      <c r="AQ111" s="1"/>
      <c r="AR111" s="1"/>
      <c r="AS111" s="6"/>
      <c r="AT111" s="6"/>
      <c r="AU111" s="6"/>
      <c r="AW111" s="1"/>
      <c r="FB111" s="426"/>
      <c r="FC111" s="426"/>
    </row>
    <row r="112" spans="1:159" hidden="1">
      <c r="B112" s="1"/>
      <c r="C112" s="9"/>
      <c r="F112" s="9"/>
      <c r="G112" s="1"/>
      <c r="I112" s="1"/>
      <c r="J112" s="1"/>
      <c r="R112" s="52"/>
      <c r="S112" s="52"/>
      <c r="T112" s="52"/>
      <c r="U112" s="52"/>
      <c r="V112" s="52"/>
      <c r="W112" s="52"/>
      <c r="X112" s="52"/>
      <c r="Y112" s="896"/>
      <c r="Z112" s="52"/>
      <c r="AA112" s="51"/>
      <c r="AB112" s="51"/>
      <c r="AC112"/>
      <c r="AD112" s="1"/>
      <c r="AE112" s="1"/>
      <c r="AF112" s="1"/>
      <c r="AG112" s="1"/>
      <c r="AJ112" s="1"/>
      <c r="AK112" s="1"/>
      <c r="AL112" s="1"/>
      <c r="AM112" s="1"/>
      <c r="AN112" s="1"/>
      <c r="AO112" s="1"/>
      <c r="AP112" s="1"/>
      <c r="AQ112" s="1"/>
      <c r="AR112" s="1"/>
      <c r="AS112" s="6"/>
      <c r="AT112" s="6"/>
      <c r="AU112" s="6"/>
      <c r="AW112" s="1"/>
      <c r="FB112" s="426"/>
      <c r="FC112" s="426"/>
    </row>
    <row r="113" spans="2:159" hidden="1">
      <c r="B113" s="1"/>
      <c r="C113" s="9"/>
      <c r="F113" s="9"/>
      <c r="G113" s="1"/>
      <c r="I113" s="1"/>
      <c r="J113" s="1"/>
      <c r="R113" s="52"/>
      <c r="S113" s="52"/>
      <c r="T113" s="52"/>
      <c r="U113" s="52"/>
      <c r="V113" s="52"/>
      <c r="W113" s="52"/>
      <c r="X113" s="52"/>
      <c r="Y113" s="896"/>
      <c r="Z113" s="52"/>
      <c r="AA113" s="51"/>
      <c r="AB113" s="51"/>
      <c r="AC113"/>
      <c r="AD113" s="1"/>
      <c r="AE113" s="1"/>
      <c r="AF113" s="1"/>
      <c r="AG113" s="1"/>
      <c r="AJ113" s="1"/>
      <c r="AK113" s="1"/>
      <c r="AL113" s="1"/>
      <c r="AM113" s="1"/>
      <c r="AN113" s="1"/>
      <c r="AO113" s="1"/>
      <c r="AP113" s="1"/>
      <c r="AQ113" s="1"/>
      <c r="AR113" s="1"/>
      <c r="AS113" s="6"/>
      <c r="AT113" s="6"/>
      <c r="AU113" s="6"/>
      <c r="AW113" s="1"/>
      <c r="FB113" s="426"/>
      <c r="FC113" s="426"/>
    </row>
    <row r="114" spans="2:159" hidden="1">
      <c r="B114" s="1"/>
      <c r="C114" s="9"/>
      <c r="F114" s="9"/>
      <c r="G114" s="1"/>
      <c r="I114" s="1"/>
      <c r="J114" s="1"/>
      <c r="R114" s="52"/>
      <c r="S114" s="52"/>
      <c r="T114" s="52"/>
      <c r="U114" s="52"/>
      <c r="V114" s="52"/>
      <c r="W114" s="52"/>
      <c r="X114" s="52"/>
      <c r="Y114" s="896"/>
      <c r="Z114" s="52"/>
      <c r="AA114" s="51"/>
      <c r="AB114" s="51"/>
      <c r="AD114" s="1"/>
      <c r="AE114" s="1"/>
      <c r="AF114" s="1"/>
      <c r="AG114" s="1"/>
      <c r="AJ114" s="1"/>
      <c r="AK114" s="1"/>
      <c r="AL114" s="1"/>
      <c r="AM114" s="1"/>
      <c r="AN114" s="1"/>
      <c r="AO114" s="1"/>
      <c r="AP114" s="1"/>
      <c r="AQ114" s="1"/>
      <c r="AR114" s="1"/>
      <c r="AS114" s="6"/>
      <c r="AT114" s="6"/>
      <c r="AU114" s="6"/>
      <c r="AW114" s="1"/>
    </row>
    <row r="115" spans="2:159">
      <c r="B115" s="1"/>
      <c r="C115" s="9"/>
      <c r="F115" s="9"/>
      <c r="G115" s="1"/>
      <c r="I115" s="1"/>
      <c r="J115" s="1"/>
      <c r="R115" s="52"/>
      <c r="S115" s="52"/>
      <c r="T115" s="52"/>
      <c r="U115" s="52"/>
      <c r="V115" s="52"/>
      <c r="W115" s="52"/>
      <c r="X115" s="52"/>
      <c r="Y115" s="896"/>
      <c r="Z115" s="52"/>
      <c r="AA115" s="51"/>
      <c r="AB115" s="51"/>
      <c r="AD115" s="1"/>
      <c r="AE115" s="1"/>
      <c r="AF115" s="1"/>
      <c r="AG115" s="1"/>
      <c r="AJ115" s="1"/>
      <c r="AK115" s="1"/>
      <c r="AL115" s="1"/>
      <c r="AM115" s="1"/>
      <c r="AN115" s="1"/>
      <c r="AO115" s="1"/>
      <c r="AP115" s="1"/>
      <c r="AQ115" s="1"/>
      <c r="AR115" s="1"/>
      <c r="AS115" s="6"/>
      <c r="AT115" s="6"/>
      <c r="AU115" s="6"/>
      <c r="AW115" s="1"/>
    </row>
    <row r="116" spans="2:159">
      <c r="B116" s="1"/>
      <c r="C116" s="9"/>
      <c r="F116" s="9"/>
      <c r="G116" s="1"/>
      <c r="I116" s="1"/>
      <c r="J116" s="1"/>
      <c r="R116" s="52"/>
      <c r="S116" s="52"/>
      <c r="T116" s="52"/>
      <c r="U116" s="52"/>
      <c r="V116" s="52"/>
      <c r="W116" s="52"/>
      <c r="X116" s="52"/>
      <c r="Y116" s="896"/>
      <c r="Z116" s="52"/>
      <c r="AA116" s="51"/>
      <c r="AB116" s="51"/>
      <c r="AD116" s="1"/>
      <c r="AE116" s="1"/>
      <c r="AF116" s="1"/>
      <c r="AG116" s="1"/>
      <c r="AJ116" s="1"/>
      <c r="AK116" s="1"/>
      <c r="AL116" s="1"/>
      <c r="AM116" s="1"/>
      <c r="AN116" s="1"/>
      <c r="AO116" s="1"/>
      <c r="AP116" s="1"/>
      <c r="AQ116" s="1"/>
      <c r="AR116" s="1"/>
      <c r="AS116" s="6"/>
      <c r="AT116" s="6"/>
      <c r="AU116" s="6"/>
      <c r="AW116" s="1"/>
    </row>
    <row r="117" spans="2:159">
      <c r="B117" s="1"/>
      <c r="C117" s="9"/>
      <c r="F117" s="9"/>
      <c r="G117" s="1"/>
      <c r="I117" s="1"/>
      <c r="J117" s="1"/>
      <c r="R117" s="52"/>
      <c r="S117" s="52"/>
      <c r="T117" s="52"/>
      <c r="U117" s="52"/>
      <c r="V117" s="52"/>
      <c r="W117" s="52"/>
      <c r="X117" s="52"/>
      <c r="Y117" s="896"/>
      <c r="Z117" s="52"/>
      <c r="AA117" s="51"/>
      <c r="AB117" s="51"/>
      <c r="AD117" s="1"/>
      <c r="AE117" s="1"/>
      <c r="AF117" s="1"/>
      <c r="AG117" s="1"/>
      <c r="AJ117" s="1"/>
      <c r="AK117" s="1"/>
      <c r="AL117" s="1"/>
      <c r="AM117" s="1"/>
      <c r="AN117" s="1"/>
      <c r="AO117" s="1"/>
      <c r="AP117" s="1"/>
      <c r="AQ117" s="1"/>
      <c r="AR117" s="1"/>
      <c r="AS117" s="6"/>
      <c r="AT117" s="6"/>
      <c r="AU117" s="6"/>
      <c r="AW117" s="1"/>
    </row>
    <row r="118" spans="2:159">
      <c r="B118" s="1"/>
      <c r="C118" s="9"/>
      <c r="F118" s="9"/>
      <c r="G118" s="1"/>
      <c r="I118" s="1"/>
      <c r="J118" s="1"/>
      <c r="R118" s="52"/>
      <c r="S118" s="52"/>
      <c r="T118" s="52"/>
      <c r="U118" s="52"/>
      <c r="V118" s="52"/>
      <c r="W118" s="52"/>
      <c r="X118" s="52"/>
      <c r="Y118" s="896"/>
      <c r="Z118" s="52"/>
      <c r="AA118" s="51"/>
      <c r="AB118" s="51"/>
      <c r="AD118" s="1"/>
      <c r="AE118" s="1"/>
      <c r="AF118" s="1"/>
      <c r="AG118" s="1"/>
      <c r="AJ118" s="1"/>
      <c r="AK118" s="1"/>
      <c r="AL118" s="1"/>
      <c r="AM118" s="1"/>
      <c r="AN118" s="1"/>
      <c r="AO118" s="1"/>
      <c r="AP118" s="1"/>
      <c r="AQ118" s="1"/>
      <c r="AR118" s="1"/>
      <c r="AS118" s="6"/>
      <c r="AT118" s="6"/>
      <c r="AU118" s="6"/>
      <c r="AW118" s="1"/>
    </row>
    <row r="119" spans="2:159">
      <c r="B119" s="1"/>
      <c r="C119" s="9"/>
      <c r="F119" s="9"/>
      <c r="G119" s="1"/>
      <c r="I119" s="1"/>
      <c r="J119" s="1"/>
      <c r="R119" s="52"/>
      <c r="S119" s="52"/>
      <c r="T119" s="52"/>
      <c r="U119" s="52"/>
      <c r="V119" s="52"/>
      <c r="W119" s="52"/>
      <c r="X119" s="52"/>
      <c r="Y119" s="896"/>
      <c r="Z119" s="52"/>
      <c r="AA119" s="51"/>
      <c r="AB119" s="51"/>
      <c r="AD119" s="1"/>
      <c r="AE119" s="1"/>
      <c r="AF119" s="1"/>
      <c r="AG119" s="1"/>
      <c r="AJ119" s="1"/>
      <c r="AK119" s="1"/>
      <c r="AL119" s="1"/>
      <c r="AM119" s="1"/>
      <c r="AN119" s="1"/>
      <c r="AO119" s="1"/>
      <c r="AP119" s="1"/>
      <c r="AQ119" s="1"/>
      <c r="AR119" s="1"/>
      <c r="AS119" s="6"/>
      <c r="AT119" s="6"/>
      <c r="AU119" s="6"/>
      <c r="AW119" s="1"/>
    </row>
    <row r="120" spans="2:159">
      <c r="B120" s="1"/>
      <c r="C120" s="9"/>
      <c r="F120" s="9"/>
      <c r="G120" s="1"/>
      <c r="I120" s="1"/>
      <c r="J120" s="1"/>
      <c r="R120" s="52"/>
      <c r="S120" s="52"/>
      <c r="T120" s="52"/>
      <c r="U120" s="52"/>
      <c r="V120" s="52"/>
      <c r="W120" s="52"/>
      <c r="X120" s="52"/>
      <c r="Y120" s="896"/>
      <c r="Z120" s="52"/>
      <c r="AA120" s="51"/>
      <c r="AB120" s="51"/>
      <c r="AD120" s="1"/>
      <c r="AE120" s="1"/>
      <c r="AF120" s="1"/>
      <c r="AG120" s="1"/>
      <c r="AJ120" s="1"/>
      <c r="AK120" s="1"/>
      <c r="AL120" s="1"/>
      <c r="AM120" s="1"/>
      <c r="AN120" s="1"/>
      <c r="AO120" s="1"/>
      <c r="AP120" s="1"/>
      <c r="AQ120" s="1"/>
      <c r="AR120" s="1"/>
      <c r="AS120" s="6"/>
      <c r="AT120" s="6"/>
      <c r="AU120" s="6"/>
      <c r="AW120" s="1"/>
    </row>
    <row r="121" spans="2:159">
      <c r="B121" s="1"/>
      <c r="C121" s="9"/>
      <c r="F121" s="9"/>
      <c r="G121" s="1"/>
      <c r="I121" s="1"/>
      <c r="J121" s="1"/>
      <c r="R121" s="52"/>
      <c r="S121" s="52"/>
      <c r="T121" s="52"/>
      <c r="U121" s="52"/>
      <c r="V121" s="52"/>
      <c r="W121" s="52"/>
      <c r="X121" s="52"/>
      <c r="Y121" s="896"/>
      <c r="Z121" s="52"/>
      <c r="AA121" s="51"/>
      <c r="AB121" s="51"/>
      <c r="AD121" s="1"/>
      <c r="AE121" s="1"/>
      <c r="AF121" s="1"/>
      <c r="AG121" s="1"/>
      <c r="AJ121" s="1"/>
      <c r="AK121" s="1"/>
      <c r="AL121" s="1"/>
      <c r="AM121" s="1"/>
      <c r="AN121" s="1"/>
      <c r="AO121" s="1"/>
      <c r="AP121" s="1"/>
      <c r="AQ121" s="1"/>
      <c r="AR121" s="1"/>
      <c r="AS121" s="6"/>
      <c r="AT121" s="6"/>
      <c r="AU121" s="6"/>
      <c r="AW121" s="1"/>
    </row>
    <row r="122" spans="2:159">
      <c r="B122" s="1"/>
      <c r="C122" s="9"/>
      <c r="F122" s="9"/>
      <c r="G122" s="1"/>
      <c r="I122" s="1"/>
      <c r="J122" s="1"/>
      <c r="R122" s="52"/>
      <c r="S122" s="52"/>
      <c r="T122" s="52"/>
      <c r="U122" s="52"/>
      <c r="V122" s="52"/>
      <c r="W122" s="52"/>
      <c r="X122" s="52"/>
      <c r="Y122" s="896"/>
      <c r="Z122" s="52"/>
      <c r="AA122" s="51"/>
      <c r="AB122" s="51"/>
      <c r="AD122" s="1"/>
      <c r="AE122" s="1"/>
      <c r="AF122" s="1"/>
      <c r="AG122" s="1"/>
      <c r="AJ122" s="1"/>
      <c r="AK122" s="1"/>
      <c r="AL122" s="1"/>
      <c r="AM122" s="1"/>
      <c r="AN122" s="1"/>
      <c r="AO122" s="1"/>
      <c r="AP122" s="1"/>
      <c r="AQ122" s="1"/>
      <c r="AR122" s="1"/>
      <c r="AS122" s="6"/>
      <c r="AT122" s="6"/>
      <c r="AU122" s="6"/>
      <c r="AW122" s="1"/>
    </row>
    <row r="123" spans="2:159">
      <c r="B123" s="1"/>
      <c r="C123" s="9"/>
      <c r="F123" s="9"/>
      <c r="G123" s="1"/>
      <c r="I123" s="1"/>
      <c r="J123" s="1"/>
      <c r="R123" s="52"/>
      <c r="S123" s="52"/>
      <c r="T123" s="52"/>
      <c r="U123" s="52"/>
      <c r="V123" s="52"/>
      <c r="W123" s="52"/>
      <c r="X123" s="52"/>
      <c r="Y123" s="896"/>
      <c r="Z123" s="52"/>
      <c r="AA123" s="51"/>
      <c r="AB123" s="51"/>
      <c r="AD123" s="1"/>
      <c r="AE123" s="1"/>
      <c r="AF123" s="1"/>
      <c r="AG123" s="1"/>
      <c r="AJ123" s="1"/>
      <c r="AK123" s="1"/>
      <c r="AL123" s="1"/>
      <c r="AM123" s="1"/>
      <c r="AN123" s="1"/>
      <c r="AO123" s="1"/>
      <c r="AP123" s="1"/>
      <c r="AQ123" s="1"/>
      <c r="AR123" s="1"/>
      <c r="AS123" s="6"/>
      <c r="AT123" s="6"/>
      <c r="AU123" s="6"/>
      <c r="AW123" s="1"/>
    </row>
    <row r="124" spans="2:159">
      <c r="B124" s="1"/>
      <c r="C124" s="9"/>
      <c r="F124" s="9"/>
      <c r="G124" s="1"/>
      <c r="I124" s="1"/>
      <c r="J124" s="1"/>
      <c r="R124" s="52"/>
      <c r="S124" s="52"/>
      <c r="T124" s="52"/>
      <c r="U124" s="52"/>
      <c r="V124" s="52"/>
      <c r="W124" s="52"/>
      <c r="X124" s="52"/>
      <c r="Y124" s="896"/>
      <c r="Z124" s="52"/>
      <c r="AA124" s="51"/>
      <c r="AB124" s="51"/>
      <c r="AD124" s="1"/>
      <c r="AE124" s="1"/>
      <c r="AF124" s="1"/>
      <c r="AG124" s="1"/>
      <c r="AJ124" s="1"/>
      <c r="AK124" s="1"/>
      <c r="AL124" s="1"/>
      <c r="AM124" s="1"/>
      <c r="AN124" s="1"/>
      <c r="AO124" s="1"/>
      <c r="AP124" s="1"/>
      <c r="AQ124" s="1"/>
      <c r="AR124" s="1"/>
      <c r="AS124" s="6"/>
      <c r="AT124" s="6"/>
      <c r="AU124" s="6"/>
      <c r="AW124" s="1"/>
    </row>
    <row r="125" spans="2:159">
      <c r="B125" s="1"/>
      <c r="C125" s="9"/>
      <c r="F125" s="9"/>
      <c r="G125" s="1"/>
      <c r="I125" s="1"/>
      <c r="J125" s="1"/>
      <c r="R125" s="52"/>
      <c r="S125" s="52"/>
      <c r="T125" s="52"/>
      <c r="U125" s="52"/>
      <c r="V125" s="52"/>
      <c r="W125" s="52"/>
      <c r="X125" s="52"/>
      <c r="Y125" s="896"/>
      <c r="Z125" s="52"/>
      <c r="AA125" s="51"/>
      <c r="AB125" s="51"/>
      <c r="AD125" s="1"/>
      <c r="AE125" s="1"/>
      <c r="AF125" s="1"/>
      <c r="AG125" s="1"/>
      <c r="AJ125" s="1"/>
      <c r="AK125" s="1"/>
      <c r="AL125" s="1"/>
      <c r="AM125" s="1"/>
      <c r="AN125" s="1"/>
      <c r="AO125" s="1"/>
      <c r="AP125" s="1"/>
      <c r="AQ125" s="1"/>
      <c r="AR125" s="1"/>
      <c r="AS125" s="6"/>
      <c r="AT125" s="6"/>
      <c r="AU125" s="6"/>
      <c r="AW125" s="1"/>
    </row>
    <row r="126" spans="2:159">
      <c r="B126" s="1"/>
      <c r="C126" s="9"/>
      <c r="F126" s="9"/>
      <c r="G126" s="1"/>
      <c r="I126" s="1"/>
      <c r="J126" s="1"/>
      <c r="R126" s="52"/>
      <c r="S126" s="52"/>
      <c r="T126" s="52"/>
      <c r="U126" s="52"/>
      <c r="V126" s="52"/>
      <c r="W126" s="52"/>
      <c r="X126" s="52"/>
      <c r="Y126" s="896"/>
      <c r="Z126" s="52"/>
      <c r="AA126" s="51"/>
      <c r="AB126" s="51"/>
      <c r="AD126" s="1"/>
      <c r="AE126" s="1"/>
      <c r="AF126" s="1"/>
      <c r="AG126" s="1"/>
      <c r="AJ126" s="1"/>
      <c r="AK126" s="1"/>
      <c r="AL126" s="1"/>
      <c r="AM126" s="1"/>
      <c r="AN126" s="1"/>
      <c r="AO126" s="1"/>
      <c r="AP126" s="1"/>
      <c r="AQ126" s="1"/>
      <c r="AR126" s="1"/>
      <c r="AS126" s="6"/>
      <c r="AT126" s="6"/>
      <c r="AU126" s="6"/>
      <c r="AW126" s="1"/>
    </row>
    <row r="127" spans="2:159">
      <c r="B127" s="1"/>
      <c r="C127" s="9"/>
      <c r="F127" s="9"/>
      <c r="G127" s="1"/>
      <c r="I127" s="1"/>
      <c r="J127" s="1"/>
      <c r="R127" s="52"/>
      <c r="S127" s="52"/>
      <c r="T127" s="52"/>
      <c r="U127" s="52"/>
      <c r="V127" s="52"/>
      <c r="W127" s="52"/>
      <c r="X127" s="52"/>
      <c r="Y127" s="896"/>
      <c r="Z127" s="52"/>
      <c r="AA127" s="51"/>
      <c r="AB127" s="51"/>
      <c r="AD127" s="1"/>
      <c r="AE127" s="1"/>
      <c r="AF127" s="1"/>
      <c r="AG127" s="1"/>
      <c r="AJ127" s="1"/>
      <c r="AK127" s="1"/>
      <c r="AL127" s="1"/>
      <c r="AM127" s="1"/>
      <c r="AN127" s="1"/>
      <c r="AO127" s="1"/>
      <c r="AP127" s="1"/>
      <c r="AQ127" s="1"/>
      <c r="AR127" s="1"/>
      <c r="AS127" s="6"/>
      <c r="AT127" s="6"/>
      <c r="AU127" s="6"/>
      <c r="AW127" s="1"/>
    </row>
    <row r="128" spans="2:159">
      <c r="B128" s="1"/>
      <c r="C128" s="9"/>
      <c r="F128" s="9"/>
      <c r="G128" s="1"/>
      <c r="I128" s="1"/>
      <c r="J128" s="1"/>
      <c r="R128" s="52"/>
      <c r="S128" s="52"/>
      <c r="T128" s="52"/>
      <c r="U128" s="52"/>
      <c r="V128" s="52"/>
      <c r="W128" s="52"/>
      <c r="X128" s="52"/>
      <c r="Y128" s="896"/>
      <c r="Z128" s="52"/>
      <c r="AA128" s="51"/>
      <c r="AB128" s="51"/>
      <c r="AD128" s="1"/>
      <c r="AE128" s="1"/>
      <c r="AF128" s="1"/>
      <c r="AG128" s="1"/>
      <c r="AJ128" s="1"/>
      <c r="AK128" s="1"/>
      <c r="AL128" s="1"/>
      <c r="AM128" s="1"/>
      <c r="AN128" s="1"/>
      <c r="AO128" s="1"/>
      <c r="AP128" s="1"/>
      <c r="AQ128" s="1"/>
      <c r="AR128" s="1"/>
      <c r="AS128" s="6"/>
      <c r="AT128" s="6"/>
      <c r="AU128" s="6"/>
      <c r="AW128" s="1"/>
    </row>
    <row r="129" spans="2:49">
      <c r="B129" s="1"/>
      <c r="C129" s="9"/>
      <c r="F129" s="9"/>
      <c r="G129" s="1"/>
      <c r="I129" s="1"/>
      <c r="J129" s="1"/>
      <c r="R129" s="52"/>
      <c r="S129" s="52"/>
      <c r="T129" s="52"/>
      <c r="U129" s="52"/>
      <c r="V129" s="52"/>
      <c r="W129" s="52"/>
      <c r="X129" s="52"/>
      <c r="Y129" s="896"/>
      <c r="Z129" s="52"/>
      <c r="AA129" s="51"/>
      <c r="AB129" s="51"/>
      <c r="AD129" s="1"/>
      <c r="AE129" s="1"/>
      <c r="AF129" s="1"/>
      <c r="AG129" s="1"/>
      <c r="AJ129" s="1"/>
      <c r="AK129" s="1"/>
      <c r="AL129" s="1"/>
      <c r="AM129" s="1"/>
      <c r="AN129" s="1"/>
      <c r="AO129" s="1"/>
      <c r="AP129" s="1"/>
      <c r="AQ129" s="1"/>
      <c r="AR129" s="1"/>
      <c r="AS129" s="6"/>
      <c r="AT129" s="6"/>
      <c r="AU129" s="6"/>
      <c r="AW129" s="1"/>
    </row>
    <row r="130" spans="2:49">
      <c r="B130" s="1"/>
      <c r="C130" s="9"/>
      <c r="F130" s="9"/>
      <c r="G130" s="1"/>
      <c r="I130" s="1"/>
      <c r="J130" s="1"/>
      <c r="R130" s="52"/>
      <c r="S130" s="52"/>
      <c r="T130" s="52"/>
      <c r="U130" s="52"/>
      <c r="V130" s="52"/>
      <c r="W130" s="52"/>
      <c r="X130" s="52"/>
      <c r="Y130" s="896"/>
      <c r="Z130" s="52"/>
      <c r="AA130" s="51"/>
      <c r="AB130" s="51"/>
      <c r="AD130" s="1"/>
      <c r="AE130" s="1"/>
      <c r="AF130" s="1"/>
      <c r="AG130" s="1"/>
      <c r="AJ130" s="1"/>
      <c r="AK130" s="1"/>
      <c r="AL130" s="1"/>
      <c r="AM130" s="1"/>
      <c r="AN130" s="1"/>
      <c r="AO130" s="1"/>
      <c r="AP130" s="1"/>
      <c r="AQ130" s="1"/>
      <c r="AR130" s="1"/>
      <c r="AS130" s="6"/>
      <c r="AT130" s="6"/>
      <c r="AU130" s="6"/>
      <c r="AW130" s="1"/>
    </row>
    <row r="131" spans="2:49">
      <c r="B131" s="1"/>
      <c r="C131" s="9"/>
      <c r="F131" s="9"/>
      <c r="G131" s="1"/>
      <c r="I131" s="1"/>
      <c r="J131" s="1"/>
      <c r="R131" s="52"/>
      <c r="S131" s="52"/>
      <c r="T131" s="52"/>
      <c r="U131" s="52"/>
      <c r="V131" s="52"/>
      <c r="W131" s="52"/>
      <c r="X131" s="52"/>
      <c r="Y131" s="896"/>
      <c r="Z131" s="52"/>
      <c r="AA131" s="51"/>
      <c r="AB131" s="51"/>
      <c r="AD131" s="1"/>
      <c r="AE131" s="1"/>
      <c r="AF131" s="1"/>
      <c r="AG131" s="1"/>
      <c r="AJ131" s="1"/>
      <c r="AK131" s="1"/>
      <c r="AL131" s="1"/>
      <c r="AM131" s="1"/>
      <c r="AN131" s="1"/>
      <c r="AO131" s="1"/>
      <c r="AP131" s="1"/>
      <c r="AQ131" s="1"/>
      <c r="AR131" s="1"/>
      <c r="AS131" s="6"/>
      <c r="AT131" s="6"/>
      <c r="AU131" s="6"/>
      <c r="AW131" s="1"/>
    </row>
    <row r="132" spans="2:49">
      <c r="B132" s="1"/>
      <c r="C132" s="9"/>
      <c r="F132" s="9"/>
      <c r="G132" s="1"/>
      <c r="I132" s="1"/>
      <c r="J132" s="1"/>
      <c r="R132" s="52"/>
      <c r="S132" s="52"/>
      <c r="T132" s="52"/>
      <c r="U132" s="52"/>
      <c r="V132" s="52"/>
      <c r="W132" s="52"/>
      <c r="X132" s="52"/>
      <c r="Y132" s="896"/>
      <c r="Z132" s="52"/>
      <c r="AA132" s="51"/>
      <c r="AB132" s="51"/>
      <c r="AD132" s="1"/>
      <c r="AE132" s="1"/>
      <c r="AF132" s="1"/>
      <c r="AG132" s="1"/>
      <c r="AJ132" s="1"/>
      <c r="AK132" s="1"/>
      <c r="AL132" s="1"/>
      <c r="AM132" s="1"/>
      <c r="AN132" s="1"/>
      <c r="AO132" s="1"/>
      <c r="AP132" s="1"/>
      <c r="AQ132" s="1"/>
      <c r="AR132" s="1"/>
      <c r="AS132" s="6"/>
      <c r="AT132" s="6"/>
      <c r="AU132" s="6"/>
      <c r="AW132" s="1"/>
    </row>
    <row r="133" spans="2:49">
      <c r="B133" s="1"/>
      <c r="C133" s="9"/>
      <c r="F133" s="9"/>
      <c r="G133" s="1"/>
      <c r="I133" s="1"/>
      <c r="J133" s="1"/>
      <c r="R133" s="52"/>
      <c r="S133" s="52"/>
      <c r="T133" s="52"/>
      <c r="U133" s="52"/>
      <c r="V133" s="52"/>
      <c r="W133" s="52"/>
      <c r="X133" s="52"/>
      <c r="Y133" s="896"/>
      <c r="Z133" s="52"/>
      <c r="AA133" s="51"/>
      <c r="AB133" s="51"/>
      <c r="AD133" s="1"/>
      <c r="AE133" s="1"/>
      <c r="AF133" s="1"/>
      <c r="AG133" s="1"/>
      <c r="AJ133" s="1"/>
      <c r="AK133" s="1"/>
      <c r="AL133" s="1"/>
      <c r="AM133" s="1"/>
      <c r="AN133" s="1"/>
      <c r="AO133" s="1"/>
      <c r="AP133" s="1"/>
      <c r="AQ133" s="1"/>
      <c r="AR133" s="1"/>
      <c r="AS133" s="6"/>
      <c r="AT133" s="6"/>
      <c r="AU133" s="6"/>
      <c r="AW133" s="1"/>
    </row>
    <row r="134" spans="2:49">
      <c r="B134" s="1"/>
      <c r="C134" s="9"/>
      <c r="F134" s="9"/>
      <c r="G134" s="1"/>
      <c r="I134" s="1"/>
      <c r="J134" s="1"/>
      <c r="R134" s="52"/>
      <c r="S134" s="52"/>
      <c r="T134" s="52"/>
      <c r="U134" s="52"/>
      <c r="V134" s="52"/>
      <c r="W134" s="52"/>
      <c r="X134" s="52"/>
      <c r="Y134" s="896"/>
      <c r="Z134" s="52"/>
      <c r="AA134" s="51"/>
      <c r="AB134" s="51"/>
      <c r="AD134" s="1"/>
      <c r="AE134" s="1"/>
      <c r="AF134" s="1"/>
      <c r="AG134" s="1"/>
      <c r="AJ134" s="1"/>
      <c r="AK134" s="1"/>
      <c r="AL134" s="1"/>
      <c r="AM134" s="1"/>
      <c r="AN134" s="1"/>
      <c r="AO134" s="1"/>
      <c r="AP134" s="1"/>
      <c r="AQ134" s="1"/>
      <c r="AR134" s="1"/>
      <c r="AS134" s="6"/>
      <c r="AT134" s="6"/>
      <c r="AU134" s="6"/>
      <c r="AW134" s="1"/>
    </row>
    <row r="135" spans="2:49">
      <c r="B135" s="1"/>
      <c r="C135" s="9"/>
      <c r="F135" s="9"/>
      <c r="G135" s="1"/>
      <c r="I135" s="1"/>
      <c r="J135" s="1"/>
      <c r="R135" s="52"/>
      <c r="S135" s="52"/>
      <c r="T135" s="52"/>
      <c r="U135" s="52"/>
      <c r="V135" s="52"/>
      <c r="W135" s="52"/>
      <c r="X135" s="52"/>
      <c r="Y135" s="896"/>
      <c r="Z135" s="52"/>
      <c r="AA135" s="51"/>
      <c r="AB135" s="51"/>
      <c r="AD135" s="1"/>
      <c r="AE135" s="1"/>
      <c r="AF135" s="1"/>
      <c r="AG135" s="1"/>
      <c r="AJ135" s="1"/>
      <c r="AK135" s="1"/>
      <c r="AL135" s="1"/>
      <c r="AM135" s="1"/>
      <c r="AN135" s="1"/>
      <c r="AO135" s="1"/>
      <c r="AP135" s="1"/>
      <c r="AQ135" s="1"/>
      <c r="AR135" s="1"/>
      <c r="AS135" s="6"/>
      <c r="AT135" s="6"/>
      <c r="AU135" s="6"/>
      <c r="AW135" s="1"/>
    </row>
    <row r="136" spans="2:49">
      <c r="B136" s="1"/>
      <c r="C136" s="9"/>
      <c r="F136" s="9"/>
      <c r="G136" s="1"/>
      <c r="I136" s="1"/>
      <c r="J136" s="1"/>
      <c r="R136" s="52"/>
      <c r="S136" s="52"/>
      <c r="T136" s="52"/>
      <c r="U136" s="52"/>
      <c r="V136" s="52"/>
      <c r="W136" s="52"/>
      <c r="X136" s="52"/>
      <c r="Y136" s="896"/>
      <c r="Z136" s="52"/>
      <c r="AA136" s="51"/>
      <c r="AB136" s="51"/>
      <c r="AD136" s="1"/>
      <c r="AE136" s="1"/>
      <c r="AF136" s="1"/>
      <c r="AG136" s="1"/>
      <c r="AJ136" s="1"/>
      <c r="AK136" s="1"/>
      <c r="AL136" s="1"/>
      <c r="AM136" s="1"/>
      <c r="AN136" s="1"/>
      <c r="AO136" s="1"/>
      <c r="AP136" s="1"/>
      <c r="AQ136" s="1"/>
      <c r="AR136" s="1"/>
      <c r="AS136" s="6"/>
      <c r="AT136" s="6"/>
      <c r="AU136" s="6"/>
      <c r="AW136" s="1"/>
    </row>
    <row r="137" spans="2:49">
      <c r="B137" s="1"/>
      <c r="C137" s="9"/>
      <c r="F137" s="9"/>
      <c r="G137" s="1"/>
      <c r="I137" s="1"/>
      <c r="J137" s="1"/>
      <c r="R137" s="52"/>
      <c r="S137" s="52"/>
      <c r="T137" s="52"/>
      <c r="U137" s="52"/>
      <c r="V137" s="52"/>
      <c r="W137" s="52"/>
      <c r="X137" s="52"/>
      <c r="Y137" s="896"/>
      <c r="Z137" s="52"/>
      <c r="AA137" s="51"/>
      <c r="AB137" s="51"/>
      <c r="AD137" s="1"/>
      <c r="AE137" s="1"/>
      <c r="AF137" s="1"/>
      <c r="AG137" s="1"/>
      <c r="AJ137" s="1"/>
      <c r="AK137" s="1"/>
      <c r="AL137" s="1"/>
      <c r="AM137" s="1"/>
      <c r="AN137" s="1"/>
      <c r="AO137" s="1"/>
      <c r="AP137" s="1"/>
      <c r="AQ137" s="1"/>
      <c r="AR137" s="1"/>
      <c r="AS137" s="6"/>
      <c r="AT137" s="6"/>
      <c r="AU137" s="6"/>
      <c r="AW137" s="1"/>
    </row>
    <row r="138" spans="2:49">
      <c r="B138" s="1"/>
      <c r="C138" s="9"/>
      <c r="F138" s="9"/>
      <c r="G138" s="1"/>
      <c r="I138" s="1"/>
      <c r="J138" s="1"/>
      <c r="R138" s="52"/>
      <c r="S138" s="52"/>
      <c r="T138" s="52"/>
      <c r="U138" s="52"/>
      <c r="V138" s="52"/>
      <c r="W138" s="52"/>
      <c r="X138" s="52"/>
      <c r="Y138" s="896"/>
      <c r="Z138" s="52"/>
      <c r="AA138" s="51"/>
      <c r="AB138" s="51"/>
      <c r="AD138" s="1"/>
      <c r="AE138" s="1"/>
      <c r="AF138" s="1"/>
      <c r="AG138" s="1"/>
      <c r="AJ138" s="1"/>
      <c r="AK138" s="1"/>
      <c r="AL138" s="1"/>
      <c r="AM138" s="1"/>
      <c r="AN138" s="1"/>
      <c r="AO138" s="1"/>
      <c r="AP138" s="1"/>
      <c r="AQ138" s="1"/>
      <c r="AR138" s="1"/>
      <c r="AS138" s="6"/>
      <c r="AT138" s="6"/>
      <c r="AU138" s="6"/>
      <c r="AW138" s="1"/>
    </row>
    <row r="139" spans="2:49">
      <c r="B139" s="1"/>
      <c r="C139" s="9"/>
      <c r="F139" s="9"/>
      <c r="G139" s="1"/>
      <c r="I139" s="1"/>
      <c r="J139" s="1"/>
      <c r="R139" s="52"/>
      <c r="S139" s="52"/>
      <c r="T139" s="52"/>
      <c r="U139" s="52"/>
      <c r="V139" s="52"/>
      <c r="W139" s="52"/>
      <c r="X139" s="52"/>
      <c r="Y139" s="896"/>
      <c r="Z139" s="52"/>
      <c r="AA139" s="51"/>
      <c r="AB139" s="51"/>
      <c r="AD139" s="1"/>
      <c r="AE139" s="1"/>
      <c r="AF139" s="1"/>
      <c r="AG139" s="1"/>
      <c r="AJ139" s="1"/>
      <c r="AK139" s="1"/>
      <c r="AL139" s="1"/>
      <c r="AM139" s="1"/>
      <c r="AN139" s="1"/>
      <c r="AO139" s="1"/>
      <c r="AP139" s="1"/>
      <c r="AQ139" s="1"/>
      <c r="AR139" s="1"/>
      <c r="AS139" s="6"/>
      <c r="AT139" s="6"/>
      <c r="AU139" s="6"/>
      <c r="AW139" s="1"/>
    </row>
    <row r="140" spans="2:49">
      <c r="B140" s="1"/>
      <c r="C140" s="9"/>
      <c r="F140" s="9"/>
      <c r="G140" s="1"/>
      <c r="I140" s="1"/>
      <c r="J140" s="1"/>
      <c r="R140" s="52"/>
      <c r="S140" s="52"/>
      <c r="T140" s="52"/>
      <c r="U140" s="52"/>
      <c r="V140" s="52"/>
      <c r="W140" s="52"/>
      <c r="X140" s="52"/>
      <c r="Y140" s="896"/>
      <c r="Z140" s="52"/>
      <c r="AA140" s="51"/>
      <c r="AB140" s="51"/>
      <c r="AD140" s="1"/>
      <c r="AE140" s="1"/>
      <c r="AF140" s="1"/>
      <c r="AG140" s="1"/>
      <c r="AJ140" s="1"/>
      <c r="AK140" s="1"/>
      <c r="AL140" s="1"/>
      <c r="AM140" s="1"/>
      <c r="AN140" s="1"/>
      <c r="AO140" s="1"/>
      <c r="AP140" s="1"/>
      <c r="AQ140" s="1"/>
      <c r="AR140" s="1"/>
      <c r="AS140" s="6"/>
      <c r="AT140" s="6"/>
      <c r="AU140" s="6"/>
      <c r="AW140" s="1"/>
    </row>
    <row r="141" spans="2:49">
      <c r="B141" s="1"/>
      <c r="C141" s="9"/>
      <c r="F141" s="9"/>
      <c r="G141" s="1"/>
      <c r="I141" s="1"/>
      <c r="J141" s="1"/>
      <c r="R141" s="52"/>
      <c r="S141" s="52"/>
      <c r="T141" s="52"/>
      <c r="U141" s="52"/>
      <c r="V141" s="52"/>
      <c r="W141" s="52"/>
      <c r="X141" s="52"/>
      <c r="Y141" s="896"/>
      <c r="Z141" s="52"/>
      <c r="AA141" s="51"/>
      <c r="AB141" s="51"/>
      <c r="AD141" s="1"/>
      <c r="AE141" s="1"/>
      <c r="AJ141" s="1"/>
      <c r="AK141" s="1"/>
      <c r="AL141" s="1"/>
      <c r="AM141" s="1"/>
      <c r="AN141" s="1"/>
      <c r="AO141" s="1"/>
      <c r="AP141" s="1"/>
      <c r="AQ141" s="1"/>
      <c r="AR141" s="1"/>
      <c r="AS141" s="6"/>
      <c r="AT141" s="6"/>
      <c r="AU141" s="6"/>
      <c r="AW141" s="1"/>
    </row>
    <row r="142" spans="2:49">
      <c r="B142" s="1"/>
      <c r="C142" s="9"/>
      <c r="F142" s="9"/>
      <c r="G142" s="1"/>
      <c r="I142" s="1"/>
      <c r="J142" s="1"/>
      <c r="R142" s="52"/>
      <c r="S142" s="52"/>
      <c r="T142" s="52"/>
      <c r="U142" s="52"/>
      <c r="V142" s="52"/>
      <c r="W142" s="52"/>
      <c r="X142" s="52"/>
      <c r="Y142" s="896"/>
      <c r="Z142" s="52"/>
      <c r="AA142" s="51"/>
      <c r="AB142" s="51"/>
      <c r="AD142" s="1"/>
      <c r="AE142" s="1"/>
      <c r="AJ142" s="1"/>
      <c r="AK142" s="1"/>
      <c r="AL142" s="1"/>
      <c r="AM142" s="1"/>
      <c r="AN142" s="1"/>
      <c r="AO142" s="1"/>
      <c r="AP142" s="1"/>
      <c r="AQ142" s="1"/>
      <c r="AR142" s="1"/>
      <c r="AS142" s="6"/>
      <c r="AT142" s="6"/>
      <c r="AU142" s="6"/>
      <c r="AW142" s="1"/>
    </row>
    <row r="143" spans="2:49">
      <c r="B143" s="1"/>
      <c r="C143" s="9"/>
      <c r="F143" s="9"/>
      <c r="G143" s="1"/>
      <c r="I143" s="1"/>
      <c r="J143" s="1"/>
      <c r="R143" s="52"/>
      <c r="S143" s="52"/>
      <c r="T143" s="52"/>
      <c r="U143" s="52"/>
      <c r="V143" s="52"/>
      <c r="W143" s="52"/>
      <c r="X143" s="52"/>
      <c r="Y143" s="896"/>
      <c r="Z143" s="52"/>
      <c r="AA143" s="51"/>
      <c r="AB143" s="51"/>
      <c r="AD143" s="1"/>
      <c r="AE143" s="1"/>
      <c r="AJ143" s="1"/>
      <c r="AK143" s="1"/>
      <c r="AL143" s="1"/>
      <c r="AM143" s="1"/>
      <c r="AN143" s="1"/>
      <c r="AO143" s="1"/>
      <c r="AP143" s="1"/>
      <c r="AQ143" s="1"/>
      <c r="AR143" s="1"/>
      <c r="AS143" s="6"/>
      <c r="AT143" s="6"/>
      <c r="AU143" s="6"/>
      <c r="AW143" s="1"/>
    </row>
    <row r="144" spans="2:49">
      <c r="B144" s="1"/>
      <c r="C144" s="9"/>
      <c r="F144" s="9"/>
      <c r="G144" s="1"/>
      <c r="I144" s="1"/>
      <c r="J144" s="1"/>
      <c r="R144" s="52"/>
      <c r="S144" s="52"/>
      <c r="T144" s="52"/>
      <c r="U144" s="52"/>
      <c r="V144" s="52"/>
      <c r="W144" s="52"/>
      <c r="X144" s="52"/>
      <c r="Y144" s="896"/>
      <c r="Z144" s="52"/>
      <c r="AA144" s="51"/>
      <c r="AB144" s="51"/>
      <c r="AD144" s="1"/>
      <c r="AE144" s="1"/>
      <c r="AJ144" s="1"/>
      <c r="AK144" s="1"/>
      <c r="AL144" s="1"/>
      <c r="AM144" s="1"/>
      <c r="AN144" s="1"/>
      <c r="AO144" s="1"/>
      <c r="AP144" s="1"/>
      <c r="AQ144" s="1"/>
      <c r="AR144" s="1"/>
      <c r="AS144" s="6"/>
      <c r="AT144" s="6"/>
      <c r="AU144" s="6"/>
      <c r="AW144" s="1"/>
    </row>
    <row r="145" spans="2:49">
      <c r="B145" s="1"/>
      <c r="C145" s="9"/>
      <c r="F145" s="9"/>
      <c r="G145" s="1"/>
      <c r="I145" s="1"/>
      <c r="J145" s="1"/>
      <c r="R145" s="52"/>
      <c r="S145" s="52"/>
      <c r="T145" s="52"/>
      <c r="U145" s="52"/>
      <c r="V145" s="52"/>
      <c r="W145" s="52"/>
      <c r="X145" s="52"/>
      <c r="Y145" s="896"/>
      <c r="Z145" s="52"/>
      <c r="AA145" s="51"/>
      <c r="AB145" s="51"/>
      <c r="AD145" s="1"/>
      <c r="AE145" s="1"/>
      <c r="AJ145" s="1"/>
      <c r="AK145" s="1"/>
      <c r="AL145" s="1"/>
      <c r="AM145" s="1"/>
      <c r="AN145" s="1"/>
      <c r="AO145" s="1"/>
      <c r="AP145" s="1"/>
      <c r="AQ145" s="1"/>
      <c r="AR145" s="1"/>
      <c r="AS145" s="6"/>
      <c r="AT145" s="6"/>
      <c r="AU145" s="6"/>
      <c r="AW145" s="1"/>
    </row>
    <row r="146" spans="2:49">
      <c r="B146" s="1"/>
      <c r="C146" s="9"/>
      <c r="F146" s="9"/>
      <c r="G146" s="1"/>
      <c r="I146" s="1"/>
      <c r="J146" s="1"/>
      <c r="R146" s="52"/>
      <c r="S146" s="52"/>
      <c r="T146" s="52"/>
      <c r="U146" s="52"/>
      <c r="V146" s="52"/>
      <c r="W146" s="52"/>
      <c r="X146" s="52"/>
      <c r="Y146" s="896"/>
      <c r="Z146" s="52"/>
      <c r="AA146" s="51"/>
      <c r="AB146" s="51"/>
      <c r="AD146" s="1"/>
      <c r="AE146" s="1"/>
      <c r="AJ146" s="1"/>
      <c r="AK146" s="1"/>
      <c r="AL146" s="1"/>
      <c r="AM146" s="1"/>
      <c r="AN146" s="1"/>
      <c r="AO146" s="1"/>
      <c r="AP146" s="1"/>
      <c r="AQ146" s="1"/>
      <c r="AR146" s="1"/>
      <c r="AS146" s="6"/>
      <c r="AT146" s="6"/>
      <c r="AU146" s="6"/>
      <c r="AW146" s="1"/>
    </row>
    <row r="147" spans="2:49">
      <c r="B147" s="1"/>
      <c r="C147" s="9"/>
      <c r="F147" s="9"/>
      <c r="G147" s="1"/>
      <c r="I147" s="1"/>
      <c r="J147" s="1"/>
      <c r="R147" s="52"/>
      <c r="S147" s="52"/>
      <c r="T147" s="52"/>
      <c r="U147" s="52"/>
      <c r="V147" s="52"/>
      <c r="W147" s="52"/>
      <c r="X147" s="52"/>
      <c r="Y147" s="896"/>
      <c r="Z147" s="52"/>
      <c r="AA147" s="51"/>
      <c r="AB147" s="51"/>
      <c r="AD147" s="1"/>
      <c r="AE147" s="1"/>
      <c r="AJ147" s="1"/>
      <c r="AK147" s="1"/>
      <c r="AL147" s="1"/>
      <c r="AM147" s="1"/>
      <c r="AN147" s="1"/>
      <c r="AO147" s="1"/>
      <c r="AP147" s="1"/>
      <c r="AQ147" s="1"/>
      <c r="AR147" s="1"/>
      <c r="AS147" s="6"/>
      <c r="AT147" s="6"/>
      <c r="AU147" s="6"/>
      <c r="AW147" s="1"/>
    </row>
    <row r="148" spans="2:49">
      <c r="B148" s="1"/>
      <c r="C148" s="9"/>
      <c r="F148" s="9"/>
      <c r="G148" s="1"/>
      <c r="I148" s="1"/>
      <c r="J148" s="1"/>
      <c r="R148" s="52"/>
      <c r="S148" s="52"/>
      <c r="T148" s="52"/>
      <c r="U148" s="52"/>
      <c r="V148" s="52"/>
      <c r="W148" s="52"/>
      <c r="X148" s="52"/>
      <c r="Y148" s="896"/>
      <c r="Z148" s="52"/>
      <c r="AA148" s="51"/>
      <c r="AB148" s="51"/>
      <c r="AD148" s="1"/>
      <c r="AE148" s="1"/>
      <c r="AJ148" s="1"/>
      <c r="AK148" s="1"/>
      <c r="AL148" s="1"/>
      <c r="AM148" s="1"/>
      <c r="AN148" s="1"/>
      <c r="AO148" s="1"/>
      <c r="AP148" s="1"/>
      <c r="AQ148" s="1"/>
      <c r="AR148" s="1"/>
      <c r="AS148" s="6"/>
      <c r="AT148" s="6"/>
      <c r="AU148" s="6"/>
      <c r="AW148" s="1"/>
    </row>
    <row r="149" spans="2:49">
      <c r="B149" s="1"/>
      <c r="C149" s="9"/>
      <c r="F149" s="9"/>
      <c r="G149" s="1"/>
      <c r="I149" s="1"/>
      <c r="J149" s="1"/>
      <c r="R149" s="52"/>
      <c r="S149" s="52"/>
      <c r="T149" s="52"/>
      <c r="U149" s="52"/>
      <c r="V149" s="52"/>
      <c r="W149" s="52"/>
      <c r="X149" s="52"/>
      <c r="Y149" s="896"/>
      <c r="Z149" s="52"/>
      <c r="AA149" s="51"/>
      <c r="AB149" s="51"/>
      <c r="AD149" s="1"/>
      <c r="AE149" s="1"/>
      <c r="AJ149" s="1"/>
      <c r="AK149" s="1"/>
      <c r="AL149" s="1"/>
      <c r="AM149" s="1"/>
      <c r="AN149" s="1"/>
      <c r="AO149" s="1"/>
      <c r="AP149" s="1"/>
      <c r="AQ149" s="1"/>
      <c r="AR149" s="1"/>
      <c r="AS149" s="6"/>
      <c r="AT149" s="6"/>
      <c r="AU149" s="6"/>
      <c r="AW149" s="1"/>
    </row>
    <row r="150" spans="2:49">
      <c r="B150" s="1"/>
      <c r="C150" s="9"/>
      <c r="F150" s="9"/>
      <c r="G150" s="1"/>
      <c r="I150" s="1"/>
      <c r="J150" s="1"/>
      <c r="R150" s="52"/>
      <c r="S150" s="52"/>
      <c r="T150" s="52"/>
      <c r="U150" s="52"/>
      <c r="V150" s="52"/>
      <c r="W150" s="52"/>
      <c r="X150" s="52"/>
      <c r="Y150" s="896"/>
      <c r="Z150" s="52"/>
      <c r="AA150" s="51"/>
      <c r="AB150" s="51"/>
      <c r="AD150" s="1"/>
      <c r="AE150" s="1"/>
      <c r="AJ150" s="1"/>
      <c r="AK150" s="1"/>
      <c r="AL150" s="1"/>
      <c r="AM150" s="1"/>
      <c r="AN150" s="1"/>
      <c r="AO150" s="1"/>
      <c r="AP150" s="1"/>
      <c r="AQ150" s="1"/>
      <c r="AR150" s="1"/>
      <c r="AS150" s="6"/>
      <c r="AT150" s="6"/>
      <c r="AU150" s="6"/>
      <c r="AW150" s="1"/>
    </row>
    <row r="151" spans="2:49">
      <c r="B151" s="1"/>
      <c r="C151" s="9"/>
      <c r="F151" s="9"/>
      <c r="G151" s="1"/>
      <c r="I151" s="1"/>
      <c r="J151" s="1"/>
      <c r="R151" s="52"/>
      <c r="S151" s="52"/>
      <c r="T151" s="52"/>
      <c r="U151" s="52"/>
      <c r="V151" s="52"/>
      <c r="W151" s="52"/>
      <c r="X151" s="52"/>
      <c r="Y151" s="896"/>
      <c r="Z151" s="52"/>
      <c r="AA151" s="51"/>
      <c r="AB151" s="51"/>
      <c r="AD151" s="1"/>
      <c r="AE151" s="1"/>
      <c r="AJ151" s="1"/>
      <c r="AK151" s="1"/>
      <c r="AL151" s="1"/>
      <c r="AM151" s="1"/>
      <c r="AN151" s="1"/>
      <c r="AO151" s="1"/>
      <c r="AP151" s="1"/>
      <c r="AQ151" s="1"/>
      <c r="AR151" s="1"/>
      <c r="AS151" s="6"/>
      <c r="AT151" s="6"/>
      <c r="AU151" s="6"/>
      <c r="AW151" s="1"/>
    </row>
    <row r="152" spans="2:49">
      <c r="B152" s="1"/>
      <c r="C152" s="9"/>
      <c r="F152" s="9"/>
      <c r="G152" s="1"/>
      <c r="I152" s="1"/>
      <c r="J152" s="1"/>
      <c r="R152" s="52"/>
      <c r="S152" s="52"/>
      <c r="T152" s="52"/>
      <c r="U152" s="52"/>
      <c r="V152" s="52"/>
      <c r="W152" s="52"/>
      <c r="X152" s="52"/>
      <c r="Y152" s="896"/>
      <c r="Z152" s="52"/>
      <c r="AA152" s="51"/>
      <c r="AB152" s="51"/>
      <c r="AD152" s="1"/>
      <c r="AE152" s="1"/>
      <c r="AJ152" s="1"/>
      <c r="AK152" s="1"/>
      <c r="AL152" s="1"/>
      <c r="AM152" s="1"/>
      <c r="AN152" s="1"/>
      <c r="AO152" s="1"/>
      <c r="AP152" s="1"/>
      <c r="AQ152" s="1"/>
      <c r="AR152" s="1"/>
      <c r="AS152" s="6"/>
      <c r="AT152" s="6"/>
      <c r="AU152" s="6"/>
      <c r="AW152" s="1"/>
    </row>
    <row r="153" spans="2:49">
      <c r="B153" s="1"/>
      <c r="C153" s="9"/>
      <c r="F153" s="9"/>
      <c r="G153" s="1"/>
      <c r="I153" s="1"/>
      <c r="J153" s="1"/>
      <c r="R153" s="52"/>
      <c r="S153" s="52"/>
      <c r="T153" s="52"/>
      <c r="U153" s="52"/>
      <c r="V153" s="52"/>
      <c r="W153" s="52"/>
      <c r="X153" s="52"/>
      <c r="Y153" s="896"/>
      <c r="Z153" s="52"/>
      <c r="AA153" s="51"/>
      <c r="AB153" s="51"/>
      <c r="AD153" s="1"/>
      <c r="AE153" s="1"/>
      <c r="AJ153" s="1"/>
      <c r="AK153" s="1"/>
      <c r="AL153" s="1"/>
      <c r="AM153" s="1"/>
      <c r="AN153" s="1"/>
      <c r="AO153" s="1"/>
      <c r="AP153" s="1"/>
      <c r="AQ153" s="1"/>
      <c r="AR153" s="1"/>
      <c r="AS153" s="6"/>
      <c r="AT153" s="6"/>
      <c r="AU153" s="6"/>
      <c r="AW153" s="1"/>
    </row>
    <row r="154" spans="2:49">
      <c r="B154" s="1"/>
      <c r="C154" s="9"/>
      <c r="F154" s="9"/>
      <c r="G154" s="1"/>
      <c r="I154" s="1"/>
      <c r="J154" s="1"/>
      <c r="R154" s="52"/>
      <c r="S154" s="52"/>
      <c r="T154" s="52"/>
      <c r="U154" s="52"/>
      <c r="V154" s="52"/>
      <c r="W154" s="52"/>
      <c r="X154" s="52"/>
      <c r="Y154" s="896"/>
      <c r="Z154" s="52"/>
      <c r="AA154" s="51"/>
      <c r="AB154" s="51"/>
      <c r="AD154" s="1"/>
      <c r="AE154" s="1"/>
      <c r="AJ154" s="1"/>
      <c r="AK154" s="1"/>
      <c r="AL154" s="1"/>
      <c r="AM154" s="1"/>
      <c r="AN154" s="1"/>
      <c r="AO154" s="1"/>
      <c r="AP154" s="1"/>
      <c r="AQ154" s="1"/>
      <c r="AR154" s="1"/>
      <c r="AS154" s="6"/>
      <c r="AT154" s="6"/>
      <c r="AU154" s="6"/>
      <c r="AW154" s="1"/>
    </row>
    <row r="155" spans="2:49">
      <c r="B155" s="1"/>
      <c r="C155" s="9"/>
      <c r="F155" s="9"/>
      <c r="G155" s="1"/>
      <c r="I155" s="1"/>
      <c r="J155" s="1"/>
      <c r="R155" s="52"/>
      <c r="S155" s="52"/>
      <c r="T155" s="52"/>
      <c r="U155" s="52"/>
      <c r="V155" s="52"/>
      <c r="W155" s="52"/>
      <c r="X155" s="52"/>
      <c r="Y155" s="896"/>
      <c r="Z155" s="52"/>
      <c r="AA155" s="51"/>
      <c r="AB155" s="51"/>
      <c r="AD155" s="1"/>
      <c r="AE155" s="1"/>
      <c r="AF155" s="653"/>
      <c r="AG155" s="653"/>
      <c r="AJ155" s="1"/>
      <c r="AK155" s="1"/>
      <c r="AL155" s="1"/>
      <c r="AM155" s="1"/>
      <c r="AN155" s="1"/>
      <c r="AO155" s="1"/>
      <c r="AP155" s="1"/>
      <c r="AQ155" s="1"/>
      <c r="AR155" s="1"/>
      <c r="AS155" s="6"/>
      <c r="AT155" s="6"/>
      <c r="AU155" s="6"/>
      <c r="AW155" s="1"/>
    </row>
    <row r="156" spans="2:49">
      <c r="B156" s="1"/>
      <c r="C156" s="9"/>
      <c r="F156" s="9"/>
      <c r="G156" s="1"/>
      <c r="I156" s="1"/>
      <c r="J156" s="1"/>
      <c r="R156" s="52"/>
      <c r="S156" s="52"/>
      <c r="T156" s="52"/>
      <c r="U156" s="52"/>
      <c r="V156" s="52"/>
      <c r="W156" s="52"/>
      <c r="X156" s="52"/>
      <c r="Y156" s="896"/>
      <c r="Z156" s="52"/>
      <c r="AA156" s="51"/>
      <c r="AB156" s="51"/>
      <c r="AD156" s="1"/>
      <c r="AE156" s="1"/>
      <c r="AJ156" s="1"/>
      <c r="AK156" s="1"/>
      <c r="AL156" s="1"/>
      <c r="AM156" s="1"/>
      <c r="AN156" s="1"/>
      <c r="AO156" s="1"/>
      <c r="AP156" s="1"/>
      <c r="AQ156" s="1"/>
      <c r="AR156" s="1"/>
      <c r="AS156" s="6"/>
      <c r="AT156" s="6"/>
      <c r="AU156" s="6"/>
      <c r="AW156" s="1"/>
    </row>
    <row r="157" spans="2:49">
      <c r="B157" s="1"/>
      <c r="C157" s="9"/>
      <c r="F157" s="9"/>
      <c r="G157" s="1"/>
      <c r="I157" s="1"/>
      <c r="J157" s="1"/>
      <c r="R157" s="52"/>
      <c r="S157" s="52"/>
      <c r="T157" s="52"/>
      <c r="U157" s="52"/>
      <c r="V157" s="52"/>
      <c r="W157" s="52"/>
      <c r="X157" s="52"/>
      <c r="Y157" s="896"/>
      <c r="Z157" s="52"/>
      <c r="AA157" s="51"/>
      <c r="AB157" s="51"/>
      <c r="AD157" s="1"/>
      <c r="AE157" s="1"/>
      <c r="AJ157" s="1"/>
      <c r="AK157" s="1"/>
      <c r="AL157" s="1"/>
      <c r="AM157" s="1"/>
      <c r="AN157" s="1"/>
      <c r="AO157" s="1"/>
      <c r="AP157" s="1"/>
      <c r="AQ157" s="1"/>
      <c r="AR157" s="1"/>
      <c r="AS157" s="6"/>
      <c r="AT157" s="6"/>
      <c r="AU157" s="6"/>
      <c r="AW157" s="1"/>
    </row>
    <row r="158" spans="2:49">
      <c r="B158" s="1"/>
      <c r="C158" s="9"/>
      <c r="F158" s="9"/>
      <c r="G158" s="1"/>
      <c r="I158" s="1"/>
      <c r="J158" s="1"/>
      <c r="R158" s="52"/>
      <c r="S158" s="52"/>
      <c r="T158" s="52"/>
      <c r="U158" s="52"/>
      <c r="V158" s="52"/>
      <c r="W158" s="52"/>
      <c r="X158" s="52"/>
      <c r="Y158" s="896"/>
      <c r="Z158" s="52"/>
      <c r="AA158" s="51"/>
      <c r="AB158" s="51"/>
      <c r="AD158" s="1"/>
      <c r="AE158" s="1"/>
      <c r="AJ158" s="1"/>
      <c r="AK158" s="1"/>
      <c r="AL158" s="1"/>
      <c r="AM158" s="1"/>
      <c r="AN158" s="1"/>
      <c r="AO158" s="1"/>
      <c r="AP158" s="1"/>
      <c r="AQ158" s="1"/>
      <c r="AR158" s="1"/>
      <c r="AS158" s="6"/>
      <c r="AT158" s="6"/>
      <c r="AU158" s="6"/>
      <c r="AW158" s="1"/>
    </row>
    <row r="159" spans="2:49">
      <c r="B159" s="1"/>
      <c r="C159" s="9"/>
      <c r="F159" s="9"/>
      <c r="G159" s="1"/>
      <c r="I159" s="1"/>
      <c r="J159" s="1"/>
      <c r="R159" s="52"/>
      <c r="S159" s="52"/>
      <c r="T159" s="52"/>
      <c r="U159" s="52"/>
      <c r="V159" s="52"/>
      <c r="W159" s="52"/>
      <c r="X159" s="52"/>
      <c r="Y159" s="896"/>
      <c r="Z159" s="52"/>
      <c r="AA159" s="51"/>
      <c r="AB159" s="51"/>
      <c r="AD159" s="1"/>
      <c r="AE159" s="1"/>
      <c r="AJ159" s="1"/>
      <c r="AK159" s="1"/>
      <c r="AL159" s="1"/>
      <c r="AM159" s="1"/>
      <c r="AN159" s="1"/>
      <c r="AO159" s="1"/>
      <c r="AP159" s="1"/>
      <c r="AQ159" s="1"/>
      <c r="AR159" s="1"/>
      <c r="AS159" s="6"/>
      <c r="AT159" s="6"/>
      <c r="AU159" s="6"/>
      <c r="AW159" s="1"/>
    </row>
    <row r="160" spans="2:49">
      <c r="B160" s="1"/>
      <c r="C160" s="9"/>
      <c r="F160" s="9"/>
      <c r="G160" s="1"/>
      <c r="I160" s="1"/>
      <c r="J160" s="1"/>
      <c r="R160" s="52"/>
      <c r="S160" s="52"/>
      <c r="T160" s="52"/>
      <c r="U160" s="52"/>
      <c r="V160" s="52"/>
      <c r="W160" s="52"/>
      <c r="X160" s="52"/>
      <c r="Y160" s="896"/>
      <c r="Z160" s="52"/>
      <c r="AA160" s="51"/>
      <c r="AB160" s="51"/>
      <c r="AD160" s="1"/>
      <c r="AE160" s="1"/>
      <c r="AJ160" s="1"/>
      <c r="AK160" s="1"/>
      <c r="AL160" s="1"/>
      <c r="AM160" s="1"/>
      <c r="AN160" s="1"/>
      <c r="AO160" s="1"/>
      <c r="AP160" s="1"/>
      <c r="AQ160" s="1"/>
      <c r="AR160" s="1"/>
      <c r="AS160" s="6"/>
      <c r="AT160" s="6"/>
      <c r="AU160" s="6"/>
      <c r="AW160" s="1"/>
    </row>
    <row r="161" spans="2:49">
      <c r="B161" s="1"/>
      <c r="C161" s="9"/>
      <c r="F161" s="9"/>
      <c r="G161" s="1"/>
      <c r="I161" s="1"/>
      <c r="J161" s="1"/>
      <c r="R161" s="52"/>
      <c r="S161" s="52"/>
      <c r="T161" s="52"/>
      <c r="U161" s="52"/>
      <c r="V161" s="52"/>
      <c r="W161" s="52"/>
      <c r="X161" s="52"/>
      <c r="Y161" s="896"/>
      <c r="Z161" s="52"/>
      <c r="AA161" s="51"/>
      <c r="AB161" s="51"/>
      <c r="AD161" s="1"/>
      <c r="AE161" s="1"/>
      <c r="AJ161" s="1"/>
      <c r="AK161" s="1"/>
      <c r="AL161" s="1"/>
      <c r="AM161" s="1"/>
      <c r="AN161" s="1"/>
      <c r="AO161" s="1"/>
      <c r="AP161" s="1"/>
      <c r="AQ161" s="1"/>
      <c r="AR161" s="1"/>
      <c r="AS161" s="6"/>
      <c r="AT161" s="6"/>
      <c r="AU161" s="6"/>
      <c r="AW161" s="1"/>
    </row>
    <row r="162" spans="2:49">
      <c r="B162" s="1"/>
      <c r="C162" s="9"/>
      <c r="F162" s="9"/>
      <c r="G162" s="1"/>
      <c r="I162" s="1"/>
      <c r="J162" s="1"/>
      <c r="R162" s="52"/>
      <c r="S162" s="52"/>
      <c r="T162" s="52"/>
      <c r="U162" s="52"/>
      <c r="V162" s="52"/>
      <c r="W162" s="52"/>
      <c r="X162" s="52"/>
      <c r="Y162" s="896"/>
      <c r="Z162" s="52"/>
      <c r="AA162" s="51"/>
      <c r="AB162" s="51"/>
      <c r="AD162" s="1"/>
      <c r="AE162" s="1"/>
      <c r="AJ162" s="1"/>
      <c r="AK162" s="1"/>
      <c r="AL162" s="1"/>
      <c r="AM162" s="1"/>
      <c r="AN162" s="1"/>
      <c r="AO162" s="1"/>
      <c r="AP162" s="1"/>
      <c r="AQ162" s="1"/>
      <c r="AR162" s="1"/>
      <c r="AS162" s="6"/>
      <c r="AT162" s="6"/>
      <c r="AU162" s="6"/>
      <c r="AW162" s="1"/>
    </row>
    <row r="163" spans="2:49">
      <c r="B163" s="1"/>
      <c r="C163" s="9"/>
      <c r="F163" s="9"/>
      <c r="G163" s="1"/>
      <c r="I163" s="1"/>
      <c r="J163" s="1"/>
      <c r="R163" s="52"/>
      <c r="S163" s="52"/>
      <c r="T163" s="52"/>
      <c r="U163" s="52"/>
      <c r="V163" s="52"/>
      <c r="W163" s="52"/>
      <c r="X163" s="52"/>
      <c r="Y163" s="896"/>
      <c r="Z163" s="52"/>
      <c r="AA163" s="51"/>
      <c r="AB163" s="51"/>
      <c r="AD163" s="1"/>
      <c r="AE163" s="1"/>
      <c r="AJ163" s="1"/>
      <c r="AK163" s="1"/>
      <c r="AL163" s="1"/>
      <c r="AM163" s="1"/>
      <c r="AN163" s="1"/>
      <c r="AO163" s="1"/>
      <c r="AP163" s="1"/>
      <c r="AQ163" s="1"/>
      <c r="AR163" s="1"/>
      <c r="AS163" s="6"/>
      <c r="AT163" s="6"/>
      <c r="AU163" s="6"/>
      <c r="AW163" s="1"/>
    </row>
    <row r="164" spans="2:49">
      <c r="B164" s="1"/>
      <c r="C164" s="9"/>
      <c r="F164" s="9"/>
      <c r="G164" s="1"/>
      <c r="I164" s="1"/>
      <c r="J164" s="1"/>
      <c r="R164" s="52"/>
      <c r="S164" s="52"/>
      <c r="T164" s="52"/>
      <c r="U164" s="52"/>
      <c r="V164" s="52"/>
      <c r="W164" s="52"/>
      <c r="X164" s="52"/>
      <c r="Y164" s="896"/>
      <c r="Z164" s="52"/>
      <c r="AA164" s="51"/>
      <c r="AB164" s="51"/>
      <c r="AD164" s="1"/>
      <c r="AE164" s="1"/>
      <c r="AJ164" s="1"/>
      <c r="AK164" s="1"/>
      <c r="AL164" s="1"/>
      <c r="AM164" s="1"/>
      <c r="AN164" s="1"/>
      <c r="AO164" s="1"/>
      <c r="AP164" s="1"/>
      <c r="AQ164" s="1"/>
      <c r="AR164" s="1"/>
      <c r="AS164" s="6"/>
      <c r="AT164" s="6"/>
      <c r="AU164" s="6"/>
      <c r="AW164" s="1"/>
    </row>
    <row r="165" spans="2:49">
      <c r="B165" s="1"/>
      <c r="C165" s="9"/>
      <c r="F165" s="9"/>
      <c r="G165" s="1"/>
      <c r="I165" s="1"/>
      <c r="J165" s="1"/>
      <c r="R165" s="52"/>
      <c r="S165" s="52"/>
      <c r="T165" s="52"/>
      <c r="U165" s="52"/>
      <c r="V165" s="52"/>
      <c r="W165" s="52"/>
      <c r="X165" s="52"/>
      <c r="Y165" s="896"/>
      <c r="Z165" s="52"/>
      <c r="AA165" s="51"/>
      <c r="AB165" s="51"/>
      <c r="AD165" s="1"/>
      <c r="AE165" s="1"/>
      <c r="AF165" s="456"/>
      <c r="AG165" s="456"/>
      <c r="AJ165" s="1"/>
      <c r="AK165" s="1"/>
      <c r="AL165" s="1"/>
      <c r="AM165" s="1"/>
      <c r="AN165" s="1"/>
      <c r="AO165" s="1"/>
      <c r="AP165" s="1"/>
      <c r="AQ165" s="1"/>
      <c r="AR165" s="1"/>
      <c r="AS165" s="6"/>
      <c r="AT165" s="6"/>
      <c r="AU165" s="6"/>
      <c r="AW165" s="1"/>
    </row>
    <row r="166" spans="2:49">
      <c r="B166" s="1"/>
      <c r="C166" s="9"/>
      <c r="F166" s="9"/>
      <c r="G166" s="1"/>
      <c r="I166" s="1"/>
      <c r="J166" s="1"/>
      <c r="R166" s="52"/>
      <c r="S166" s="52"/>
      <c r="T166" s="52"/>
      <c r="U166" s="52"/>
      <c r="V166" s="52"/>
      <c r="W166" s="52"/>
      <c r="X166" s="52"/>
      <c r="Y166" s="896"/>
      <c r="Z166" s="52"/>
      <c r="AA166" s="51"/>
      <c r="AB166" s="51"/>
      <c r="AD166" s="1"/>
      <c r="AE166" s="1"/>
      <c r="AJ166" s="1"/>
      <c r="AK166" s="1"/>
      <c r="AL166" s="1"/>
      <c r="AM166" s="1"/>
      <c r="AN166" s="1"/>
      <c r="AO166" s="1"/>
      <c r="AP166" s="1"/>
      <c r="AQ166" s="1"/>
      <c r="AR166" s="1"/>
      <c r="AS166" s="6"/>
      <c r="AT166" s="6"/>
      <c r="AU166" s="6"/>
      <c r="AW166" s="1"/>
    </row>
    <row r="167" spans="2:49">
      <c r="B167" s="1"/>
      <c r="C167" s="9"/>
      <c r="F167" s="9"/>
      <c r="G167" s="1"/>
      <c r="I167" s="1"/>
      <c r="J167" s="1"/>
      <c r="R167" s="52"/>
      <c r="S167" s="52"/>
      <c r="T167" s="52"/>
      <c r="U167" s="52"/>
      <c r="V167" s="52"/>
      <c r="W167" s="52"/>
      <c r="X167" s="52"/>
      <c r="Y167" s="896"/>
      <c r="Z167" s="52"/>
      <c r="AA167" s="51"/>
      <c r="AB167" s="51"/>
      <c r="AD167" s="1"/>
      <c r="AE167" s="1"/>
      <c r="AJ167" s="1"/>
      <c r="AK167" s="1"/>
      <c r="AL167" s="1"/>
      <c r="AM167" s="1"/>
      <c r="AN167" s="1"/>
      <c r="AO167" s="1"/>
      <c r="AP167" s="1"/>
      <c r="AQ167" s="1"/>
      <c r="AR167" s="1"/>
      <c r="AS167" s="6"/>
      <c r="AT167" s="6"/>
      <c r="AU167" s="6"/>
      <c r="AW167" s="1"/>
    </row>
    <row r="168" spans="2:49">
      <c r="B168" s="1"/>
      <c r="C168" s="9"/>
      <c r="F168" s="9"/>
      <c r="G168" s="1"/>
      <c r="I168" s="1"/>
      <c r="J168" s="1"/>
      <c r="R168" s="52"/>
      <c r="S168" s="52"/>
      <c r="T168" s="52"/>
      <c r="U168" s="52"/>
      <c r="V168" s="52"/>
      <c r="W168" s="52"/>
      <c r="X168" s="52"/>
      <c r="Y168" s="896"/>
      <c r="Z168" s="52"/>
      <c r="AA168" s="51"/>
      <c r="AB168" s="51"/>
      <c r="AD168" s="1"/>
      <c r="AE168" s="1"/>
      <c r="AJ168" s="1"/>
      <c r="AK168" s="1"/>
      <c r="AL168" s="1"/>
      <c r="AM168" s="1"/>
      <c r="AN168" s="1"/>
      <c r="AO168" s="1"/>
      <c r="AP168" s="1"/>
      <c r="AQ168" s="1"/>
      <c r="AR168" s="1"/>
      <c r="AS168" s="6"/>
      <c r="AT168" s="6"/>
      <c r="AU168" s="6"/>
      <c r="AW168" s="1"/>
    </row>
    <row r="169" spans="2:49">
      <c r="B169" s="1"/>
      <c r="C169" s="9"/>
      <c r="F169" s="9"/>
      <c r="G169" s="1"/>
      <c r="I169" s="1"/>
      <c r="J169" s="1"/>
      <c r="R169" s="52"/>
      <c r="S169" s="52"/>
      <c r="T169" s="52"/>
      <c r="U169" s="52"/>
      <c r="V169" s="52"/>
      <c r="W169" s="52"/>
      <c r="X169" s="52"/>
      <c r="Y169" s="896"/>
      <c r="Z169" s="52"/>
      <c r="AA169" s="51"/>
      <c r="AB169" s="51"/>
      <c r="AD169" s="1"/>
      <c r="AE169" s="1"/>
      <c r="AF169" s="1"/>
      <c r="AG169" s="1"/>
      <c r="AJ169" s="1"/>
      <c r="AK169" s="1"/>
      <c r="AL169" s="1"/>
      <c r="AM169" s="1"/>
      <c r="AN169" s="1"/>
      <c r="AO169" s="1"/>
      <c r="AP169" s="1"/>
      <c r="AQ169" s="1"/>
      <c r="AR169" s="1"/>
      <c r="AS169" s="6"/>
      <c r="AT169" s="6"/>
      <c r="AU169" s="6"/>
      <c r="AW169" s="1"/>
    </row>
    <row r="170" spans="2:49">
      <c r="B170" s="1"/>
      <c r="C170" s="9"/>
      <c r="F170" s="9"/>
      <c r="G170" s="1"/>
      <c r="I170" s="1"/>
      <c r="J170" s="1"/>
      <c r="R170" s="52"/>
      <c r="S170" s="52"/>
      <c r="T170" s="52"/>
      <c r="U170" s="52"/>
      <c r="V170" s="52"/>
      <c r="W170" s="52"/>
      <c r="X170" s="52"/>
      <c r="Y170" s="896"/>
      <c r="Z170" s="52"/>
      <c r="AA170" s="51"/>
      <c r="AB170" s="51"/>
      <c r="AD170" s="1"/>
      <c r="AE170" s="1"/>
      <c r="AF170" s="1"/>
      <c r="AG170" s="1"/>
      <c r="AJ170" s="1"/>
      <c r="AK170" s="1"/>
      <c r="AL170" s="1"/>
      <c r="AM170" s="1"/>
      <c r="AN170" s="1"/>
      <c r="AO170" s="1"/>
      <c r="AP170" s="1"/>
      <c r="AQ170" s="1"/>
      <c r="AR170" s="1"/>
      <c r="AS170" s="6"/>
      <c r="AT170" s="6"/>
      <c r="AU170" s="6"/>
      <c r="AW170" s="1"/>
    </row>
    <row r="171" spans="2:49">
      <c r="B171" s="1"/>
      <c r="C171" s="9"/>
      <c r="F171" s="9"/>
      <c r="G171" s="1"/>
      <c r="I171" s="1"/>
      <c r="J171" s="1"/>
      <c r="R171" s="52"/>
      <c r="S171" s="52"/>
      <c r="T171" s="52"/>
      <c r="U171" s="52"/>
      <c r="V171" s="52"/>
      <c r="W171" s="52"/>
      <c r="X171" s="52"/>
      <c r="Y171" s="896"/>
      <c r="Z171" s="52"/>
      <c r="AA171" s="51"/>
      <c r="AB171" s="51"/>
      <c r="AD171" s="1"/>
      <c r="AE171" s="1"/>
      <c r="AF171" s="1"/>
      <c r="AG171" s="1"/>
      <c r="AJ171" s="1"/>
      <c r="AK171" s="1"/>
      <c r="AL171" s="1"/>
      <c r="AM171" s="1"/>
      <c r="AN171" s="1"/>
      <c r="AO171" s="1"/>
      <c r="AP171" s="1"/>
      <c r="AQ171" s="1"/>
      <c r="AR171" s="1"/>
      <c r="AS171" s="6"/>
      <c r="AT171" s="6"/>
      <c r="AU171" s="6"/>
      <c r="AW171" s="1"/>
    </row>
    <row r="172" spans="2:49">
      <c r="B172" s="1"/>
      <c r="C172" s="9"/>
      <c r="F172" s="9"/>
      <c r="G172" s="1"/>
      <c r="I172" s="1"/>
      <c r="J172" s="1"/>
      <c r="R172" s="52"/>
      <c r="S172" s="52"/>
      <c r="T172" s="52"/>
      <c r="U172" s="52"/>
      <c r="V172" s="52"/>
      <c r="W172" s="52"/>
      <c r="X172" s="52"/>
      <c r="Y172" s="896"/>
      <c r="Z172" s="52"/>
      <c r="AA172" s="51"/>
      <c r="AB172" s="51"/>
      <c r="AD172" s="1"/>
      <c r="AE172" s="1"/>
      <c r="AF172" s="1"/>
      <c r="AG172" s="1"/>
      <c r="AJ172" s="1"/>
      <c r="AK172" s="1"/>
      <c r="AL172" s="1"/>
      <c r="AM172" s="1"/>
      <c r="AN172" s="1"/>
      <c r="AO172" s="1"/>
      <c r="AP172" s="1"/>
      <c r="AQ172" s="1"/>
      <c r="AR172" s="1"/>
      <c r="AS172" s="6"/>
      <c r="AT172" s="6"/>
      <c r="AU172" s="6"/>
      <c r="AW172" s="1"/>
    </row>
    <row r="173" spans="2:49">
      <c r="B173" s="1"/>
      <c r="C173" s="9"/>
      <c r="F173" s="9"/>
      <c r="G173" s="1"/>
      <c r="I173" s="1"/>
      <c r="J173" s="1"/>
      <c r="R173" s="52"/>
      <c r="S173" s="52"/>
      <c r="T173" s="52"/>
      <c r="U173" s="52"/>
      <c r="V173" s="52"/>
      <c r="W173" s="52"/>
      <c r="X173" s="52"/>
      <c r="Y173" s="896"/>
      <c r="Z173" s="52"/>
      <c r="AA173" s="51"/>
      <c r="AB173" s="51"/>
      <c r="AD173" s="1"/>
      <c r="AE173" s="1"/>
      <c r="AF173" s="1"/>
      <c r="AG173" s="1"/>
      <c r="AJ173" s="1"/>
      <c r="AK173" s="1"/>
      <c r="AL173" s="1"/>
      <c r="AM173" s="1"/>
      <c r="AN173" s="1"/>
      <c r="AO173" s="1"/>
      <c r="AP173" s="1"/>
      <c r="AQ173" s="1"/>
      <c r="AR173" s="1"/>
      <c r="AS173" s="6"/>
      <c r="AT173" s="6"/>
      <c r="AU173" s="6"/>
      <c r="AW173" s="1"/>
    </row>
    <row r="174" spans="2:49">
      <c r="B174" s="1"/>
      <c r="C174" s="9"/>
      <c r="F174" s="9"/>
      <c r="G174" s="1"/>
      <c r="I174" s="1"/>
      <c r="J174" s="1"/>
      <c r="R174" s="52"/>
      <c r="S174" s="52"/>
      <c r="T174" s="52"/>
      <c r="U174" s="52"/>
      <c r="V174" s="52"/>
      <c r="W174" s="52"/>
      <c r="X174" s="52"/>
      <c r="Y174" s="896"/>
      <c r="Z174" s="52"/>
      <c r="AA174" s="51"/>
      <c r="AB174" s="51"/>
      <c r="AD174" s="1"/>
      <c r="AE174" s="1"/>
      <c r="AF174" s="1"/>
      <c r="AG174" s="1"/>
      <c r="AJ174" s="1"/>
      <c r="AK174" s="1"/>
      <c r="AL174" s="1"/>
      <c r="AM174" s="1"/>
      <c r="AN174" s="1"/>
      <c r="AO174" s="1"/>
      <c r="AP174" s="1"/>
      <c r="AQ174" s="1"/>
      <c r="AR174" s="1"/>
      <c r="AS174" s="6"/>
      <c r="AT174" s="6"/>
      <c r="AU174" s="6"/>
      <c r="AW174" s="1"/>
    </row>
    <row r="175" spans="2:49">
      <c r="B175" s="1"/>
      <c r="C175" s="9"/>
      <c r="F175" s="9"/>
      <c r="G175" s="1"/>
      <c r="I175" s="1"/>
      <c r="J175" s="1"/>
      <c r="R175" s="52"/>
      <c r="S175" s="52"/>
      <c r="T175" s="52"/>
      <c r="U175" s="52"/>
      <c r="V175" s="52"/>
      <c r="W175" s="52"/>
      <c r="X175" s="52"/>
      <c r="Y175" s="896"/>
      <c r="Z175" s="52"/>
      <c r="AA175" s="51"/>
      <c r="AB175" s="51"/>
      <c r="AD175" s="1"/>
      <c r="AE175" s="1"/>
      <c r="AF175" s="1"/>
      <c r="AG175" s="1"/>
      <c r="AJ175" s="1"/>
      <c r="AK175" s="1"/>
      <c r="AL175" s="1"/>
      <c r="AM175" s="1"/>
      <c r="AN175" s="1"/>
      <c r="AO175" s="1"/>
      <c r="AP175" s="1"/>
      <c r="AQ175" s="1"/>
      <c r="AR175" s="1"/>
      <c r="AS175" s="6"/>
      <c r="AT175" s="6"/>
      <c r="AU175" s="6"/>
      <c r="AW175" s="1"/>
    </row>
    <row r="176" spans="2:49">
      <c r="B176" s="1"/>
      <c r="C176" s="9"/>
      <c r="F176" s="9"/>
      <c r="G176" s="1"/>
      <c r="I176" s="1"/>
      <c r="J176" s="1"/>
      <c r="R176" s="52"/>
      <c r="S176" s="52"/>
      <c r="T176" s="52"/>
      <c r="U176" s="52"/>
      <c r="V176" s="52"/>
      <c r="W176" s="52"/>
      <c r="X176" s="52"/>
      <c r="Y176" s="896"/>
      <c r="Z176" s="52"/>
      <c r="AA176" s="51"/>
      <c r="AB176" s="51"/>
      <c r="AD176" s="1"/>
      <c r="AE176" s="1"/>
      <c r="AF176" s="1"/>
      <c r="AG176" s="1"/>
      <c r="AJ176" s="1"/>
      <c r="AK176" s="1"/>
      <c r="AL176" s="1"/>
      <c r="AM176" s="1"/>
      <c r="AN176" s="1"/>
      <c r="AO176" s="1"/>
      <c r="AP176" s="1"/>
      <c r="AQ176" s="1"/>
      <c r="AR176" s="1"/>
      <c r="AS176" s="6"/>
      <c r="AT176" s="6"/>
      <c r="AU176" s="6"/>
      <c r="AW176" s="1"/>
    </row>
    <row r="177" spans="2:49">
      <c r="B177" s="1"/>
      <c r="C177" s="9"/>
      <c r="F177" s="9"/>
      <c r="G177" s="1"/>
      <c r="I177" s="1"/>
      <c r="J177" s="1"/>
      <c r="R177" s="52"/>
      <c r="S177" s="52"/>
      <c r="T177" s="52"/>
      <c r="U177" s="52"/>
      <c r="V177" s="52"/>
      <c r="W177" s="52"/>
      <c r="X177" s="52"/>
      <c r="Y177" s="896"/>
      <c r="Z177" s="52"/>
      <c r="AA177" s="51"/>
      <c r="AB177" s="51"/>
      <c r="AD177" s="1"/>
      <c r="AE177" s="1"/>
      <c r="AF177" s="1"/>
      <c r="AG177" s="1"/>
      <c r="AJ177" s="1"/>
      <c r="AK177" s="1"/>
      <c r="AL177" s="1"/>
      <c r="AM177" s="1"/>
      <c r="AN177" s="1"/>
      <c r="AO177" s="1"/>
      <c r="AP177" s="1"/>
      <c r="AQ177" s="1"/>
      <c r="AR177" s="1"/>
      <c r="AS177" s="6"/>
      <c r="AT177" s="6"/>
      <c r="AU177" s="6"/>
      <c r="AW177" s="1"/>
    </row>
    <row r="178" spans="2:49">
      <c r="B178" s="1"/>
      <c r="C178" s="9"/>
      <c r="F178" s="9"/>
      <c r="G178" s="1"/>
      <c r="I178" s="1"/>
      <c r="J178" s="1"/>
      <c r="R178" s="52"/>
      <c r="S178" s="52"/>
      <c r="T178" s="52"/>
      <c r="U178" s="52"/>
      <c r="V178" s="52"/>
      <c r="W178" s="52"/>
      <c r="X178" s="52"/>
      <c r="Y178" s="896"/>
      <c r="Z178" s="52"/>
      <c r="AA178" s="51"/>
      <c r="AB178" s="51"/>
      <c r="AD178" s="1"/>
      <c r="AE178" s="1"/>
      <c r="AF178" s="1"/>
      <c r="AG178" s="1"/>
      <c r="AJ178" s="1"/>
      <c r="AK178" s="1"/>
      <c r="AL178" s="1"/>
      <c r="AM178" s="1"/>
      <c r="AN178" s="1"/>
      <c r="AO178" s="1"/>
      <c r="AP178" s="1"/>
      <c r="AQ178" s="1"/>
      <c r="AR178" s="1"/>
      <c r="AS178" s="6"/>
      <c r="AT178" s="6"/>
      <c r="AU178" s="6"/>
      <c r="AW178" s="1"/>
    </row>
    <row r="179" spans="2:49">
      <c r="B179" s="1"/>
      <c r="C179" s="9"/>
      <c r="F179" s="9"/>
      <c r="G179" s="1"/>
      <c r="I179" s="1"/>
      <c r="J179" s="1"/>
      <c r="R179" s="52"/>
      <c r="S179" s="52"/>
      <c r="T179" s="52"/>
      <c r="U179" s="52"/>
      <c r="V179" s="52"/>
      <c r="W179" s="52"/>
      <c r="X179" s="52"/>
      <c r="Y179" s="896"/>
      <c r="Z179" s="52"/>
      <c r="AA179" s="51"/>
      <c r="AB179" s="51"/>
      <c r="AD179" s="1"/>
      <c r="AE179" s="1"/>
      <c r="AF179" s="1"/>
      <c r="AG179" s="1"/>
      <c r="AJ179" s="1"/>
      <c r="AK179" s="1"/>
      <c r="AL179" s="1"/>
      <c r="AM179" s="1"/>
      <c r="AN179" s="1"/>
      <c r="AO179" s="1"/>
      <c r="AP179" s="1"/>
      <c r="AQ179" s="1"/>
      <c r="AR179" s="1"/>
      <c r="AS179" s="6"/>
      <c r="AT179" s="6"/>
      <c r="AU179" s="6"/>
      <c r="AW179" s="1"/>
    </row>
    <row r="180" spans="2:49">
      <c r="B180" s="1"/>
      <c r="C180" s="9"/>
      <c r="F180" s="9"/>
      <c r="G180" s="1"/>
      <c r="I180" s="1"/>
      <c r="J180" s="1"/>
      <c r="R180" s="52"/>
      <c r="S180" s="52"/>
      <c r="T180" s="52"/>
      <c r="U180" s="52"/>
      <c r="V180" s="52"/>
      <c r="W180" s="52"/>
      <c r="X180" s="52"/>
      <c r="Y180" s="896"/>
      <c r="Z180" s="52"/>
      <c r="AA180" s="51"/>
      <c r="AB180" s="51"/>
      <c r="AD180" s="1"/>
      <c r="AE180" s="1"/>
      <c r="AF180" s="1"/>
      <c r="AG180" s="1"/>
      <c r="AJ180" s="1"/>
      <c r="AK180" s="1"/>
      <c r="AL180" s="1"/>
      <c r="AM180" s="1"/>
      <c r="AN180" s="1"/>
      <c r="AO180" s="1"/>
      <c r="AP180" s="1"/>
      <c r="AQ180" s="1"/>
      <c r="AR180" s="1"/>
      <c r="AS180" s="6"/>
      <c r="AT180" s="6"/>
      <c r="AU180" s="6"/>
      <c r="AW180" s="1"/>
    </row>
    <row r="181" spans="2:49">
      <c r="B181" s="1"/>
      <c r="C181" s="9"/>
      <c r="F181" s="9"/>
      <c r="G181" s="1"/>
      <c r="I181" s="1"/>
      <c r="J181" s="1"/>
      <c r="R181" s="52"/>
      <c r="S181" s="52"/>
      <c r="T181" s="52"/>
      <c r="U181" s="52"/>
      <c r="V181" s="52"/>
      <c r="W181" s="52"/>
      <c r="X181" s="52"/>
      <c r="Y181" s="896"/>
      <c r="Z181" s="52"/>
      <c r="AA181" s="51"/>
      <c r="AB181" s="51"/>
      <c r="AD181" s="1"/>
      <c r="AE181" s="1"/>
      <c r="AF181" s="1"/>
      <c r="AG181" s="1"/>
      <c r="AJ181" s="1"/>
      <c r="AK181" s="1"/>
      <c r="AL181" s="1"/>
      <c r="AM181" s="1"/>
      <c r="AN181" s="1"/>
      <c r="AO181" s="1"/>
      <c r="AP181" s="1"/>
      <c r="AQ181" s="1"/>
      <c r="AR181" s="1"/>
      <c r="AS181" s="6"/>
      <c r="AT181" s="6"/>
      <c r="AU181" s="6"/>
      <c r="AW181" s="1"/>
    </row>
    <row r="182" spans="2:49">
      <c r="B182" s="1"/>
      <c r="C182" s="9"/>
      <c r="F182" s="9"/>
      <c r="G182" s="1"/>
      <c r="I182" s="1"/>
      <c r="J182" s="1"/>
      <c r="R182" s="52"/>
      <c r="S182" s="52"/>
      <c r="T182" s="52"/>
      <c r="U182" s="52"/>
      <c r="V182" s="52"/>
      <c r="W182" s="52"/>
      <c r="X182" s="52"/>
      <c r="Y182" s="896"/>
      <c r="Z182" s="52"/>
      <c r="AA182" s="51"/>
      <c r="AB182" s="51"/>
      <c r="AD182" s="1"/>
      <c r="AE182" s="1"/>
      <c r="AF182" s="1"/>
      <c r="AG182" s="1"/>
      <c r="AJ182" s="1"/>
      <c r="AK182" s="1"/>
      <c r="AL182" s="1"/>
      <c r="AM182" s="1"/>
      <c r="AN182" s="1"/>
      <c r="AO182" s="1"/>
      <c r="AP182" s="1"/>
      <c r="AQ182" s="1"/>
      <c r="AR182" s="1"/>
      <c r="AS182" s="6"/>
      <c r="AT182" s="6"/>
      <c r="AU182" s="6"/>
      <c r="AW182" s="1"/>
    </row>
    <row r="183" spans="2:49">
      <c r="B183" s="1"/>
      <c r="C183" s="9"/>
      <c r="F183" s="9"/>
      <c r="G183" s="1"/>
      <c r="I183" s="1"/>
      <c r="J183" s="1"/>
      <c r="R183" s="52"/>
      <c r="S183" s="52"/>
      <c r="T183" s="52"/>
      <c r="U183" s="52"/>
      <c r="V183" s="52"/>
      <c r="W183" s="52"/>
      <c r="X183" s="52"/>
      <c r="Y183" s="896"/>
      <c r="Z183" s="52"/>
      <c r="AA183" s="51"/>
      <c r="AB183" s="51"/>
      <c r="AD183" s="1"/>
      <c r="AE183" s="1"/>
      <c r="AF183" s="1"/>
      <c r="AG183" s="1"/>
      <c r="AJ183" s="1"/>
      <c r="AK183" s="1"/>
      <c r="AL183" s="1"/>
      <c r="AM183" s="1"/>
      <c r="AN183" s="1"/>
      <c r="AO183" s="1"/>
      <c r="AP183" s="1"/>
      <c r="AQ183" s="1"/>
      <c r="AR183" s="1"/>
      <c r="AS183" s="6"/>
      <c r="AT183" s="6"/>
      <c r="AU183" s="6"/>
      <c r="AW183" s="1"/>
    </row>
    <row r="184" spans="2:49">
      <c r="B184" s="1"/>
      <c r="C184" s="9"/>
      <c r="F184" s="9"/>
      <c r="G184" s="1"/>
      <c r="I184" s="1"/>
      <c r="J184" s="1"/>
      <c r="R184" s="52"/>
      <c r="S184" s="52"/>
      <c r="T184" s="52"/>
      <c r="U184" s="52"/>
      <c r="V184" s="52"/>
      <c r="W184" s="52"/>
      <c r="X184" s="52"/>
      <c r="Y184" s="896"/>
      <c r="Z184" s="52"/>
      <c r="AA184" s="51"/>
      <c r="AB184" s="51"/>
      <c r="AD184" s="1"/>
      <c r="AE184" s="1"/>
      <c r="AF184" s="1"/>
      <c r="AG184" s="1"/>
      <c r="AJ184" s="1"/>
      <c r="AK184" s="1"/>
      <c r="AL184" s="1"/>
      <c r="AM184" s="1"/>
      <c r="AN184" s="1"/>
      <c r="AO184" s="1"/>
      <c r="AP184" s="1"/>
      <c r="AQ184" s="1"/>
      <c r="AR184" s="1"/>
      <c r="AS184" s="6"/>
      <c r="AT184" s="6"/>
      <c r="AU184" s="6"/>
      <c r="AW184" s="1"/>
    </row>
    <row r="185" spans="2:49">
      <c r="B185" s="1"/>
      <c r="C185" s="9"/>
      <c r="F185" s="9"/>
      <c r="G185" s="1"/>
      <c r="I185" s="1"/>
      <c r="J185" s="1"/>
      <c r="R185" s="52"/>
      <c r="S185" s="52"/>
      <c r="T185" s="52"/>
      <c r="U185" s="52"/>
      <c r="V185" s="52"/>
      <c r="W185" s="52"/>
      <c r="X185" s="52"/>
      <c r="Y185" s="896"/>
      <c r="Z185" s="52"/>
      <c r="AA185" s="51"/>
      <c r="AB185" s="51"/>
      <c r="AD185" s="1"/>
      <c r="AE185" s="1"/>
      <c r="AF185" s="1"/>
      <c r="AG185" s="1"/>
      <c r="AJ185" s="1"/>
      <c r="AK185" s="1"/>
      <c r="AL185" s="1"/>
      <c r="AM185" s="1"/>
      <c r="AN185" s="1"/>
      <c r="AO185" s="1"/>
      <c r="AP185" s="1"/>
      <c r="AQ185" s="1"/>
      <c r="AR185" s="1"/>
      <c r="AS185" s="6"/>
      <c r="AT185" s="6"/>
      <c r="AU185" s="6"/>
      <c r="AW185" s="1"/>
    </row>
    <row r="186" spans="2:49">
      <c r="B186" s="1"/>
      <c r="C186" s="9"/>
      <c r="F186" s="9"/>
      <c r="G186" s="1"/>
      <c r="I186" s="1"/>
      <c r="J186" s="1"/>
      <c r="R186" s="52"/>
      <c r="S186" s="52"/>
      <c r="T186" s="52"/>
      <c r="U186" s="52"/>
      <c r="V186" s="52"/>
      <c r="W186" s="52"/>
      <c r="X186" s="52"/>
      <c r="Y186" s="896"/>
      <c r="Z186" s="52"/>
      <c r="AA186" s="51"/>
      <c r="AB186" s="51"/>
      <c r="AD186" s="1"/>
      <c r="AE186" s="1"/>
      <c r="AF186" s="1"/>
      <c r="AG186" s="1"/>
      <c r="AJ186" s="1"/>
      <c r="AK186" s="1"/>
      <c r="AL186" s="1"/>
      <c r="AM186" s="1"/>
      <c r="AN186" s="1"/>
      <c r="AO186" s="1"/>
      <c r="AP186" s="1"/>
      <c r="AQ186" s="1"/>
      <c r="AR186" s="1"/>
      <c r="AS186" s="6"/>
      <c r="AT186" s="6"/>
      <c r="AU186" s="6"/>
      <c r="AW186" s="1"/>
    </row>
    <row r="187" spans="2:49">
      <c r="B187" s="1"/>
      <c r="C187" s="9"/>
      <c r="F187" s="9"/>
      <c r="G187" s="1"/>
      <c r="I187" s="1"/>
      <c r="J187" s="1"/>
      <c r="R187" s="52"/>
      <c r="S187" s="52"/>
      <c r="T187" s="52"/>
      <c r="U187" s="52"/>
      <c r="V187" s="52"/>
      <c r="W187" s="52"/>
      <c r="X187" s="52"/>
      <c r="Y187" s="896"/>
      <c r="Z187" s="52"/>
      <c r="AA187" s="51"/>
      <c r="AB187" s="51"/>
      <c r="AD187" s="1"/>
      <c r="AE187" s="1"/>
      <c r="AF187" s="1"/>
      <c r="AG187" s="1"/>
      <c r="AJ187" s="1"/>
      <c r="AK187" s="1"/>
      <c r="AL187" s="1"/>
      <c r="AM187" s="1"/>
      <c r="AN187" s="1"/>
      <c r="AO187" s="1"/>
      <c r="AP187" s="1"/>
      <c r="AQ187" s="1"/>
      <c r="AR187" s="1"/>
      <c r="AS187" s="6"/>
      <c r="AT187" s="6"/>
      <c r="AU187" s="6"/>
      <c r="AW187" s="1"/>
    </row>
    <row r="188" spans="2:49">
      <c r="B188" s="1"/>
      <c r="C188" s="9"/>
      <c r="F188" s="9"/>
      <c r="G188" s="1"/>
      <c r="I188" s="1"/>
      <c r="J188" s="1"/>
      <c r="R188" s="52"/>
      <c r="S188" s="52"/>
      <c r="T188" s="52"/>
      <c r="U188" s="52"/>
      <c r="V188" s="52"/>
      <c r="W188" s="52"/>
      <c r="X188" s="52"/>
      <c r="Y188" s="896"/>
      <c r="Z188" s="52"/>
      <c r="AA188" s="51"/>
      <c r="AB188" s="51"/>
      <c r="AD188" s="1"/>
      <c r="AE188" s="1"/>
      <c r="AF188" s="1"/>
      <c r="AG188" s="1"/>
      <c r="AJ188" s="1"/>
      <c r="AK188" s="1"/>
      <c r="AL188" s="1"/>
      <c r="AM188" s="1"/>
      <c r="AN188" s="1"/>
      <c r="AO188" s="1"/>
      <c r="AP188" s="1"/>
      <c r="AQ188" s="1"/>
      <c r="AR188" s="1"/>
      <c r="AS188" s="6"/>
      <c r="AT188" s="6"/>
      <c r="AU188" s="6"/>
      <c r="AW188" s="1"/>
    </row>
    <row r="189" spans="2:49">
      <c r="B189" s="1"/>
      <c r="C189" s="9"/>
      <c r="F189" s="9"/>
      <c r="G189" s="1"/>
      <c r="I189" s="1"/>
      <c r="J189" s="1"/>
      <c r="R189" s="52"/>
      <c r="S189" s="52"/>
      <c r="T189" s="52"/>
      <c r="U189" s="52"/>
      <c r="V189" s="52"/>
      <c r="W189" s="52"/>
      <c r="X189" s="52"/>
      <c r="Y189" s="896"/>
      <c r="Z189" s="52"/>
      <c r="AA189" s="51"/>
      <c r="AB189" s="51"/>
      <c r="AD189" s="1"/>
      <c r="AE189" s="1"/>
      <c r="AF189" s="1"/>
      <c r="AG189" s="1"/>
      <c r="AJ189" s="1"/>
      <c r="AK189" s="1"/>
      <c r="AL189" s="1"/>
      <c r="AM189" s="1"/>
      <c r="AN189" s="1"/>
      <c r="AO189" s="1"/>
      <c r="AP189" s="1"/>
      <c r="AQ189" s="1"/>
      <c r="AR189" s="1"/>
      <c r="AS189" s="6"/>
      <c r="AT189" s="6"/>
      <c r="AU189" s="6"/>
      <c r="AW189" s="1"/>
    </row>
    <row r="190" spans="2:49">
      <c r="B190" s="1"/>
      <c r="C190" s="9"/>
      <c r="F190" s="9"/>
      <c r="G190" s="1"/>
      <c r="I190" s="1"/>
      <c r="J190" s="1"/>
      <c r="R190" s="52"/>
      <c r="S190" s="52"/>
      <c r="T190" s="52"/>
      <c r="U190" s="52"/>
      <c r="V190" s="52"/>
      <c r="W190" s="52"/>
      <c r="X190" s="52"/>
      <c r="Y190" s="896"/>
      <c r="Z190" s="52"/>
      <c r="AA190" s="51"/>
      <c r="AB190" s="51"/>
      <c r="AD190" s="1"/>
      <c r="AE190" s="1"/>
      <c r="AF190" s="1"/>
      <c r="AG190" s="1"/>
      <c r="AJ190" s="1"/>
      <c r="AK190" s="1"/>
      <c r="AL190" s="1"/>
      <c r="AM190" s="1"/>
      <c r="AN190" s="1"/>
      <c r="AO190" s="1"/>
      <c r="AP190" s="1"/>
      <c r="AQ190" s="1"/>
      <c r="AR190" s="1"/>
      <c r="AS190" s="6"/>
      <c r="AT190" s="6"/>
      <c r="AU190" s="6"/>
      <c r="AW190" s="1"/>
    </row>
    <row r="191" spans="2:49">
      <c r="B191" s="1"/>
      <c r="C191" s="9"/>
      <c r="F191" s="9"/>
      <c r="G191" s="1"/>
      <c r="I191" s="1"/>
      <c r="J191" s="1"/>
      <c r="R191" s="52"/>
      <c r="S191" s="52"/>
      <c r="T191" s="52"/>
      <c r="U191" s="52"/>
      <c r="V191" s="52"/>
      <c r="W191" s="52"/>
      <c r="X191" s="52"/>
      <c r="Y191" s="896"/>
      <c r="Z191" s="52"/>
      <c r="AA191" s="51"/>
      <c r="AB191" s="51"/>
      <c r="AD191" s="1"/>
      <c r="AE191" s="1"/>
      <c r="AF191" s="1"/>
      <c r="AG191" s="1"/>
      <c r="AJ191" s="1"/>
      <c r="AK191" s="1"/>
      <c r="AL191" s="1"/>
      <c r="AM191" s="1"/>
      <c r="AN191" s="1"/>
      <c r="AO191" s="1"/>
      <c r="AP191" s="1"/>
      <c r="AQ191" s="1"/>
      <c r="AR191" s="1"/>
      <c r="AS191" s="6"/>
      <c r="AT191" s="6"/>
      <c r="AU191" s="6"/>
      <c r="AW191" s="1"/>
    </row>
    <row r="192" spans="2:49">
      <c r="B192" s="1"/>
      <c r="C192" s="9"/>
      <c r="F192" s="9"/>
      <c r="G192" s="1"/>
      <c r="I192" s="1"/>
      <c r="J192" s="1"/>
      <c r="R192" s="52"/>
      <c r="S192" s="52"/>
      <c r="T192" s="52"/>
      <c r="U192" s="52"/>
      <c r="V192" s="52"/>
      <c r="W192" s="52"/>
      <c r="X192" s="52"/>
      <c r="Y192" s="896"/>
      <c r="Z192" s="52"/>
      <c r="AA192" s="51"/>
      <c r="AB192" s="51"/>
      <c r="AD192" s="1"/>
      <c r="AE192" s="1"/>
      <c r="AF192" s="1"/>
      <c r="AG192" s="1"/>
      <c r="AJ192" s="1"/>
      <c r="AK192" s="1"/>
      <c r="AL192" s="1"/>
      <c r="AM192" s="1"/>
      <c r="AN192" s="1"/>
      <c r="AO192" s="1"/>
      <c r="AP192" s="1"/>
      <c r="AQ192" s="1"/>
      <c r="AR192" s="1"/>
      <c r="AS192" s="6"/>
      <c r="AT192" s="6"/>
      <c r="AU192" s="6"/>
      <c r="AW192" s="1"/>
    </row>
    <row r="193" spans="2:49">
      <c r="B193" s="1"/>
      <c r="C193" s="9"/>
      <c r="F193" s="9"/>
      <c r="G193" s="1"/>
      <c r="I193" s="1"/>
      <c r="J193" s="1"/>
      <c r="R193" s="52"/>
      <c r="S193" s="52"/>
      <c r="T193" s="52"/>
      <c r="U193" s="52"/>
      <c r="V193" s="52"/>
      <c r="W193" s="52"/>
      <c r="X193" s="52"/>
      <c r="Y193" s="896"/>
      <c r="Z193" s="52"/>
      <c r="AA193" s="51"/>
      <c r="AB193" s="51"/>
      <c r="AD193" s="1"/>
      <c r="AE193" s="1"/>
      <c r="AF193" s="1"/>
      <c r="AG193" s="1"/>
      <c r="AJ193" s="1"/>
      <c r="AK193" s="1"/>
      <c r="AL193" s="1"/>
      <c r="AM193" s="1"/>
      <c r="AN193" s="1"/>
      <c r="AO193" s="1"/>
      <c r="AP193" s="1"/>
      <c r="AQ193" s="1"/>
      <c r="AR193" s="1"/>
      <c r="AS193" s="6"/>
      <c r="AT193" s="6"/>
      <c r="AU193" s="6"/>
      <c r="AW193" s="1"/>
    </row>
    <row r="194" spans="2:49">
      <c r="B194" s="1"/>
      <c r="C194" s="9"/>
      <c r="F194" s="9"/>
      <c r="G194" s="1"/>
      <c r="I194" s="1"/>
      <c r="J194" s="1"/>
      <c r="R194" s="52"/>
      <c r="S194" s="52"/>
      <c r="T194" s="52"/>
      <c r="U194" s="52"/>
      <c r="V194" s="52"/>
      <c r="W194" s="52"/>
      <c r="X194" s="52"/>
      <c r="Y194" s="896"/>
      <c r="Z194" s="52"/>
      <c r="AA194" s="51"/>
      <c r="AB194" s="51"/>
      <c r="AD194" s="1"/>
      <c r="AE194" s="1"/>
      <c r="AF194" s="1"/>
      <c r="AG194" s="1"/>
      <c r="AJ194" s="1"/>
      <c r="AK194" s="1"/>
      <c r="AL194" s="1"/>
      <c r="AM194" s="1"/>
      <c r="AN194" s="1"/>
      <c r="AO194" s="1"/>
      <c r="AP194" s="1"/>
      <c r="AQ194" s="1"/>
      <c r="AR194" s="1"/>
      <c r="AS194" s="6"/>
      <c r="AT194" s="6"/>
      <c r="AU194" s="6"/>
      <c r="AW194" s="1"/>
    </row>
    <row r="195" spans="2:49">
      <c r="B195" s="1"/>
      <c r="C195" s="9"/>
      <c r="F195" s="9"/>
      <c r="G195" s="1"/>
      <c r="I195" s="1"/>
      <c r="J195" s="1"/>
      <c r="R195" s="52"/>
      <c r="S195" s="52"/>
      <c r="T195" s="52"/>
      <c r="U195" s="52"/>
      <c r="V195" s="52"/>
      <c r="W195" s="52"/>
      <c r="X195" s="52"/>
      <c r="Y195" s="896"/>
      <c r="Z195" s="52"/>
      <c r="AA195" s="51"/>
      <c r="AB195" s="51"/>
      <c r="AD195" s="1"/>
      <c r="AE195" s="1"/>
      <c r="AF195" s="1"/>
      <c r="AG195" s="1"/>
      <c r="AJ195" s="1"/>
      <c r="AK195" s="1"/>
      <c r="AL195" s="1"/>
      <c r="AM195" s="1"/>
      <c r="AN195" s="1"/>
      <c r="AO195" s="1"/>
      <c r="AP195" s="1"/>
      <c r="AQ195" s="1"/>
      <c r="AR195" s="1"/>
      <c r="AS195" s="6"/>
      <c r="AT195" s="6"/>
      <c r="AU195" s="6"/>
      <c r="AW195" s="1"/>
    </row>
    <row r="196" spans="2:49">
      <c r="B196" s="1"/>
      <c r="C196" s="9"/>
      <c r="F196" s="9"/>
      <c r="G196" s="1"/>
      <c r="I196" s="1"/>
      <c r="J196" s="1"/>
      <c r="R196" s="52"/>
      <c r="S196" s="52"/>
      <c r="T196" s="52"/>
      <c r="U196" s="52"/>
      <c r="V196" s="52"/>
      <c r="W196" s="52"/>
      <c r="X196" s="52"/>
      <c r="Y196" s="896"/>
      <c r="Z196" s="52"/>
      <c r="AA196" s="51"/>
      <c r="AB196" s="51"/>
      <c r="AD196" s="1"/>
      <c r="AE196" s="1"/>
      <c r="AF196" s="1"/>
      <c r="AG196" s="1"/>
      <c r="AJ196" s="1"/>
      <c r="AK196" s="1"/>
      <c r="AL196" s="1"/>
      <c r="AM196" s="1"/>
      <c r="AN196" s="1"/>
      <c r="AO196" s="1"/>
      <c r="AP196" s="1"/>
      <c r="AQ196" s="1"/>
      <c r="AR196" s="1"/>
      <c r="AS196" s="6"/>
      <c r="AT196" s="6"/>
      <c r="AU196" s="6"/>
      <c r="AW196" s="1"/>
    </row>
    <row r="197" spans="2:49">
      <c r="B197" s="1"/>
      <c r="C197" s="9"/>
      <c r="F197" s="9"/>
      <c r="G197" s="1"/>
      <c r="I197" s="1"/>
      <c r="J197" s="1"/>
      <c r="R197" s="52"/>
      <c r="S197" s="52"/>
      <c r="T197" s="52"/>
      <c r="U197" s="52"/>
      <c r="V197" s="52"/>
      <c r="W197" s="52"/>
      <c r="X197" s="52"/>
      <c r="Y197" s="896"/>
      <c r="Z197" s="52"/>
      <c r="AA197" s="51"/>
      <c r="AB197" s="51"/>
      <c r="AD197" s="1"/>
      <c r="AE197" s="1"/>
      <c r="AF197" s="1"/>
      <c r="AG197" s="1"/>
      <c r="AJ197" s="1"/>
      <c r="AK197" s="1"/>
      <c r="AL197" s="1"/>
      <c r="AM197" s="1"/>
      <c r="AN197" s="1"/>
      <c r="AO197" s="1"/>
      <c r="AP197" s="1"/>
      <c r="AQ197" s="1"/>
      <c r="AR197" s="1"/>
      <c r="AS197" s="6"/>
      <c r="AT197" s="6"/>
      <c r="AU197" s="6"/>
      <c r="AW197" s="1"/>
    </row>
    <row r="198" spans="2:49">
      <c r="B198" s="1"/>
      <c r="C198" s="9"/>
      <c r="F198" s="9"/>
      <c r="G198" s="1"/>
      <c r="I198" s="1"/>
      <c r="J198" s="1"/>
      <c r="R198" s="52"/>
      <c r="S198" s="52"/>
      <c r="T198" s="52"/>
      <c r="U198" s="52"/>
      <c r="V198" s="52"/>
      <c r="W198" s="52"/>
      <c r="X198" s="52"/>
      <c r="Y198" s="896"/>
      <c r="Z198" s="52"/>
      <c r="AA198" s="51"/>
      <c r="AB198" s="51"/>
      <c r="AD198" s="1"/>
      <c r="AE198" s="1"/>
      <c r="AF198" s="1"/>
      <c r="AG198" s="1"/>
      <c r="AJ198" s="1"/>
      <c r="AK198" s="1"/>
      <c r="AL198" s="1"/>
      <c r="AM198" s="1"/>
      <c r="AN198" s="1"/>
      <c r="AO198" s="1"/>
      <c r="AP198" s="1"/>
      <c r="AQ198" s="1"/>
      <c r="AR198" s="1"/>
      <c r="AS198" s="6"/>
      <c r="AT198" s="6"/>
      <c r="AU198" s="6"/>
      <c r="AW198" s="1"/>
    </row>
    <row r="199" spans="2:49">
      <c r="B199" s="1"/>
      <c r="C199" s="9"/>
      <c r="F199" s="9"/>
      <c r="G199" s="1"/>
      <c r="I199" s="1"/>
      <c r="J199" s="1"/>
      <c r="R199" s="52"/>
      <c r="S199" s="52"/>
      <c r="T199" s="52"/>
      <c r="U199" s="52"/>
      <c r="V199" s="52"/>
      <c r="W199" s="52"/>
      <c r="X199" s="52"/>
      <c r="Y199" s="896"/>
      <c r="Z199" s="52"/>
      <c r="AA199" s="51"/>
      <c r="AB199" s="51"/>
      <c r="AD199" s="1"/>
      <c r="AE199" s="1"/>
      <c r="AF199" s="1"/>
      <c r="AG199" s="1"/>
      <c r="AJ199" s="1"/>
      <c r="AK199" s="1"/>
      <c r="AL199" s="1"/>
      <c r="AM199" s="1"/>
      <c r="AN199" s="1"/>
      <c r="AO199" s="1"/>
      <c r="AP199" s="1"/>
      <c r="AQ199" s="1"/>
      <c r="AR199" s="1"/>
      <c r="AS199" s="6"/>
      <c r="AT199" s="6"/>
      <c r="AU199" s="6"/>
      <c r="AW199" s="1"/>
    </row>
    <row r="200" spans="2:49">
      <c r="B200" s="1"/>
      <c r="C200" s="9"/>
      <c r="F200" s="9"/>
      <c r="G200" s="1"/>
      <c r="I200" s="1"/>
      <c r="J200" s="1"/>
      <c r="R200" s="52"/>
      <c r="S200" s="52"/>
      <c r="T200" s="52"/>
      <c r="U200" s="52"/>
      <c r="V200" s="52"/>
      <c r="W200" s="52"/>
      <c r="X200" s="52"/>
      <c r="Y200" s="896"/>
      <c r="Z200" s="52"/>
      <c r="AA200" s="51"/>
      <c r="AB200" s="51"/>
      <c r="AD200" s="1"/>
      <c r="AE200" s="1"/>
      <c r="AF200" s="1"/>
      <c r="AG200" s="1"/>
      <c r="AJ200" s="1"/>
      <c r="AK200" s="1"/>
      <c r="AL200" s="1"/>
      <c r="AM200" s="1"/>
      <c r="AN200" s="1"/>
      <c r="AO200" s="1"/>
      <c r="AP200" s="1"/>
      <c r="AQ200" s="1"/>
      <c r="AR200" s="1"/>
      <c r="AS200" s="6"/>
      <c r="AT200" s="6"/>
      <c r="AU200" s="6"/>
      <c r="AW200" s="1"/>
    </row>
    <row r="201" spans="2:49">
      <c r="B201" s="1"/>
      <c r="C201" s="9"/>
      <c r="F201" s="9"/>
      <c r="G201" s="1"/>
      <c r="I201" s="1"/>
      <c r="J201" s="1"/>
      <c r="R201" s="52"/>
      <c r="S201" s="52"/>
      <c r="T201" s="52"/>
      <c r="U201" s="52"/>
      <c r="V201" s="52"/>
      <c r="W201" s="52"/>
      <c r="X201" s="52"/>
      <c r="Y201" s="896"/>
      <c r="Z201" s="52"/>
      <c r="AA201" s="51"/>
      <c r="AB201" s="51"/>
      <c r="AD201" s="1"/>
      <c r="AE201" s="1"/>
      <c r="AF201" s="1"/>
      <c r="AG201" s="1"/>
      <c r="AJ201" s="1"/>
      <c r="AK201" s="1"/>
      <c r="AL201" s="1"/>
      <c r="AM201" s="1"/>
      <c r="AN201" s="1"/>
      <c r="AO201" s="1"/>
      <c r="AP201" s="1"/>
      <c r="AQ201" s="1"/>
      <c r="AR201" s="1"/>
      <c r="AS201" s="6"/>
      <c r="AT201" s="6"/>
      <c r="AU201" s="6"/>
      <c r="AW201" s="1"/>
    </row>
    <row r="202" spans="2:49">
      <c r="B202" s="1"/>
      <c r="C202" s="9"/>
      <c r="F202" s="9"/>
      <c r="G202" s="1"/>
      <c r="I202" s="1"/>
      <c r="J202" s="1"/>
      <c r="R202" s="52"/>
      <c r="S202" s="52"/>
      <c r="T202" s="52"/>
      <c r="U202" s="52"/>
      <c r="V202" s="52"/>
      <c r="W202" s="52"/>
      <c r="X202" s="52"/>
      <c r="Y202" s="896"/>
      <c r="Z202" s="52"/>
      <c r="AA202" s="51"/>
      <c r="AB202" s="51"/>
      <c r="AD202" s="1"/>
      <c r="AE202" s="1"/>
      <c r="AF202" s="1"/>
      <c r="AG202" s="1"/>
      <c r="AJ202" s="1"/>
      <c r="AK202" s="1"/>
      <c r="AL202" s="1"/>
      <c r="AM202" s="1"/>
      <c r="AN202" s="1"/>
      <c r="AO202" s="1"/>
      <c r="AP202" s="1"/>
      <c r="AQ202" s="1"/>
      <c r="AR202" s="1"/>
      <c r="AS202" s="6"/>
      <c r="AT202" s="6"/>
      <c r="AU202" s="6"/>
      <c r="AW202" s="1"/>
    </row>
    <row r="203" spans="2:49">
      <c r="B203" s="1"/>
      <c r="C203" s="9"/>
      <c r="F203" s="9"/>
      <c r="G203" s="1"/>
      <c r="I203" s="1"/>
      <c r="J203" s="1"/>
      <c r="R203" s="52"/>
      <c r="S203" s="52"/>
      <c r="T203" s="52"/>
      <c r="U203" s="52"/>
      <c r="V203" s="52"/>
      <c r="W203" s="52"/>
      <c r="X203" s="52"/>
      <c r="Y203" s="896"/>
      <c r="Z203" s="52"/>
      <c r="AA203" s="51"/>
      <c r="AB203" s="51"/>
      <c r="AD203" s="1"/>
      <c r="AE203" s="1"/>
      <c r="AF203" s="1"/>
      <c r="AG203" s="1"/>
      <c r="AJ203" s="1"/>
      <c r="AK203" s="1"/>
      <c r="AL203" s="1"/>
      <c r="AM203" s="1"/>
      <c r="AN203" s="1"/>
      <c r="AO203" s="1"/>
      <c r="AP203" s="1"/>
      <c r="AQ203" s="1"/>
      <c r="AR203" s="1"/>
      <c r="AS203" s="6"/>
      <c r="AT203" s="6"/>
      <c r="AU203" s="6"/>
      <c r="AW203" s="1"/>
    </row>
    <row r="204" spans="2:49">
      <c r="B204" s="1"/>
      <c r="C204" s="9"/>
      <c r="F204" s="9"/>
      <c r="G204" s="1"/>
      <c r="I204" s="1"/>
      <c r="J204" s="1"/>
      <c r="R204" s="52"/>
      <c r="S204" s="52"/>
      <c r="T204" s="52"/>
      <c r="U204" s="52"/>
      <c r="V204" s="52"/>
      <c r="W204" s="52"/>
      <c r="X204" s="52"/>
      <c r="Y204" s="896"/>
      <c r="Z204" s="52"/>
      <c r="AA204" s="51"/>
      <c r="AB204" s="51"/>
      <c r="AD204" s="1"/>
      <c r="AE204" s="1"/>
      <c r="AF204" s="1"/>
      <c r="AG204" s="1"/>
      <c r="AJ204" s="1"/>
      <c r="AK204" s="1"/>
      <c r="AL204" s="1"/>
      <c r="AM204" s="1"/>
      <c r="AN204" s="1"/>
      <c r="AO204" s="1"/>
      <c r="AP204" s="1"/>
      <c r="AQ204" s="1"/>
      <c r="AR204" s="1"/>
      <c r="AS204" s="6"/>
      <c r="AT204" s="6"/>
      <c r="AU204" s="6"/>
      <c r="AW204" s="1"/>
    </row>
    <row r="205" spans="2:49">
      <c r="B205" s="1"/>
      <c r="C205" s="9"/>
      <c r="F205" s="9"/>
      <c r="G205" s="1"/>
      <c r="I205" s="1"/>
      <c r="J205" s="1"/>
      <c r="R205" s="52"/>
      <c r="S205" s="52"/>
      <c r="T205" s="52"/>
      <c r="U205" s="52"/>
      <c r="V205" s="52"/>
      <c r="W205" s="52"/>
      <c r="X205" s="52"/>
      <c r="Y205" s="896"/>
      <c r="Z205" s="52"/>
      <c r="AA205" s="51"/>
      <c r="AB205" s="51"/>
      <c r="AD205" s="1"/>
      <c r="AE205" s="1"/>
      <c r="AF205" s="1"/>
      <c r="AG205" s="1"/>
      <c r="AJ205" s="1"/>
      <c r="AK205" s="1"/>
      <c r="AL205" s="1"/>
      <c r="AM205" s="1"/>
      <c r="AN205" s="1"/>
      <c r="AO205" s="1"/>
      <c r="AP205" s="1"/>
      <c r="AQ205" s="1"/>
      <c r="AR205" s="1"/>
      <c r="AS205" s="6"/>
      <c r="AT205" s="6"/>
      <c r="AU205" s="6"/>
      <c r="AW205" s="1"/>
    </row>
    <row r="206" spans="2:49">
      <c r="B206" s="1"/>
      <c r="C206" s="9"/>
      <c r="F206" s="9"/>
      <c r="G206" s="1"/>
      <c r="I206" s="1"/>
      <c r="J206" s="1"/>
      <c r="R206" s="52"/>
      <c r="S206" s="52"/>
      <c r="T206" s="52"/>
      <c r="U206" s="52"/>
      <c r="V206" s="52"/>
      <c r="W206" s="52"/>
      <c r="X206" s="52"/>
      <c r="Y206" s="896"/>
      <c r="Z206" s="52"/>
      <c r="AA206" s="51"/>
      <c r="AB206" s="51"/>
      <c r="AD206" s="1"/>
      <c r="AE206" s="1"/>
      <c r="AF206" s="1"/>
      <c r="AG206" s="1"/>
      <c r="AJ206" s="1"/>
      <c r="AK206" s="1"/>
      <c r="AL206" s="1"/>
      <c r="AM206" s="1"/>
      <c r="AN206" s="1"/>
      <c r="AO206" s="1"/>
      <c r="AP206" s="1"/>
      <c r="AQ206" s="1"/>
      <c r="AR206" s="1"/>
      <c r="AS206" s="6"/>
      <c r="AT206" s="6"/>
      <c r="AU206" s="6"/>
      <c r="AW206" s="1"/>
    </row>
    <row r="207" spans="2:49">
      <c r="B207" s="1"/>
      <c r="C207" s="9"/>
      <c r="F207" s="9"/>
      <c r="G207" s="1"/>
      <c r="I207" s="1"/>
      <c r="J207" s="1"/>
      <c r="R207" s="52"/>
      <c r="S207" s="52"/>
      <c r="T207" s="52"/>
      <c r="U207" s="52"/>
      <c r="V207" s="52"/>
      <c r="W207" s="52"/>
      <c r="X207" s="52"/>
      <c r="Y207" s="896"/>
      <c r="Z207" s="52"/>
      <c r="AA207" s="51"/>
      <c r="AB207" s="51"/>
      <c r="AD207" s="1"/>
      <c r="AE207" s="1"/>
      <c r="AF207" s="1"/>
      <c r="AG207" s="1"/>
      <c r="AJ207" s="1"/>
      <c r="AK207" s="1"/>
      <c r="AL207" s="1"/>
      <c r="AM207" s="1"/>
      <c r="AN207" s="1"/>
      <c r="AO207" s="1"/>
      <c r="AP207" s="1"/>
      <c r="AQ207" s="1"/>
      <c r="AR207" s="1"/>
      <c r="AS207" s="6"/>
      <c r="AT207" s="6"/>
      <c r="AU207" s="6"/>
      <c r="AW207" s="1"/>
    </row>
    <row r="208" spans="2:49">
      <c r="B208" s="1"/>
      <c r="C208" s="9"/>
      <c r="F208" s="9"/>
      <c r="G208" s="1"/>
      <c r="I208" s="1"/>
      <c r="J208" s="1"/>
      <c r="R208" s="52"/>
      <c r="S208" s="52"/>
      <c r="T208" s="52"/>
      <c r="U208" s="52"/>
      <c r="V208" s="52"/>
      <c r="W208" s="52"/>
      <c r="X208" s="52"/>
      <c r="Y208" s="896"/>
      <c r="Z208" s="52"/>
      <c r="AA208" s="51"/>
      <c r="AB208" s="51"/>
      <c r="AD208" s="1"/>
      <c r="AE208" s="1"/>
      <c r="AF208" s="1"/>
      <c r="AG208" s="1"/>
      <c r="AJ208" s="1"/>
      <c r="AK208" s="1"/>
      <c r="AL208" s="1"/>
      <c r="AM208" s="1"/>
      <c r="AN208" s="1"/>
      <c r="AO208" s="1"/>
      <c r="AP208" s="1"/>
      <c r="AQ208" s="1"/>
      <c r="AR208" s="1"/>
      <c r="AS208" s="6"/>
      <c r="AT208" s="6"/>
      <c r="AU208" s="6"/>
      <c r="AW208" s="1"/>
    </row>
    <row r="209" spans="2:49">
      <c r="B209" s="1"/>
      <c r="C209" s="9"/>
      <c r="F209" s="9"/>
      <c r="G209" s="1"/>
      <c r="I209" s="1"/>
      <c r="J209" s="1"/>
      <c r="R209" s="52"/>
      <c r="S209" s="52"/>
      <c r="T209" s="52"/>
      <c r="U209" s="52"/>
      <c r="V209" s="52"/>
      <c r="W209" s="52"/>
      <c r="X209" s="52"/>
      <c r="Y209" s="896"/>
      <c r="Z209" s="52"/>
      <c r="AA209" s="51"/>
      <c r="AB209" s="51"/>
      <c r="AD209" s="1"/>
      <c r="AE209" s="1"/>
      <c r="AF209" s="1"/>
      <c r="AG209" s="1"/>
      <c r="AJ209" s="1"/>
      <c r="AK209" s="1"/>
      <c r="AL209" s="1"/>
      <c r="AM209" s="1"/>
      <c r="AN209" s="1"/>
      <c r="AO209" s="1"/>
      <c r="AP209" s="1"/>
      <c r="AQ209" s="1"/>
      <c r="AR209" s="1"/>
      <c r="AS209" s="6"/>
      <c r="AT209" s="6"/>
      <c r="AU209" s="6"/>
      <c r="AW209" s="1"/>
    </row>
    <row r="210" spans="2:49">
      <c r="B210" s="1"/>
      <c r="C210" s="9"/>
      <c r="F210" s="9"/>
      <c r="G210" s="1"/>
      <c r="I210" s="1"/>
      <c r="J210" s="1"/>
      <c r="R210" s="52"/>
      <c r="S210" s="52"/>
      <c r="T210" s="52"/>
      <c r="U210" s="52"/>
      <c r="V210" s="52"/>
      <c r="W210" s="52"/>
      <c r="X210" s="52"/>
      <c r="Y210" s="896"/>
      <c r="Z210" s="52"/>
      <c r="AA210" s="51"/>
      <c r="AB210" s="51"/>
      <c r="AD210" s="1"/>
      <c r="AE210" s="1"/>
      <c r="AF210" s="1"/>
      <c r="AG210" s="1"/>
      <c r="AJ210" s="1"/>
      <c r="AK210" s="1"/>
      <c r="AL210" s="1"/>
      <c r="AM210" s="1"/>
      <c r="AN210" s="1"/>
      <c r="AO210" s="1"/>
      <c r="AP210" s="1"/>
      <c r="AQ210" s="1"/>
      <c r="AR210" s="1"/>
      <c r="AS210" s="6"/>
      <c r="AT210" s="6"/>
      <c r="AU210" s="6"/>
      <c r="AW210" s="1"/>
    </row>
    <row r="211" spans="2:49">
      <c r="B211" s="1"/>
      <c r="C211" s="9"/>
      <c r="F211" s="9"/>
      <c r="G211" s="1"/>
      <c r="I211" s="1"/>
      <c r="J211" s="1"/>
      <c r="R211" s="52"/>
      <c r="S211" s="52"/>
      <c r="T211" s="52"/>
      <c r="U211" s="52"/>
      <c r="V211" s="52"/>
      <c r="W211" s="52"/>
      <c r="X211" s="52"/>
      <c r="Y211" s="896"/>
      <c r="Z211" s="52"/>
      <c r="AA211" s="51"/>
      <c r="AB211" s="51"/>
      <c r="AD211" s="1"/>
      <c r="AE211" s="1"/>
      <c r="AF211" s="1"/>
      <c r="AG211" s="1"/>
      <c r="AJ211" s="1"/>
      <c r="AK211" s="1"/>
      <c r="AL211" s="1"/>
      <c r="AM211" s="1"/>
      <c r="AN211" s="1"/>
      <c r="AO211" s="1"/>
      <c r="AP211" s="1"/>
      <c r="AQ211" s="1"/>
      <c r="AR211" s="1"/>
      <c r="AS211" s="6"/>
      <c r="AT211" s="6"/>
      <c r="AU211" s="6"/>
      <c r="AW211" s="1"/>
    </row>
    <row r="212" spans="2:49">
      <c r="B212" s="1"/>
      <c r="C212" s="9"/>
      <c r="F212" s="9"/>
      <c r="G212" s="1"/>
      <c r="I212" s="1"/>
      <c r="J212" s="1"/>
      <c r="R212" s="52"/>
      <c r="S212" s="52"/>
      <c r="T212" s="52"/>
      <c r="U212" s="52"/>
      <c r="V212" s="52"/>
      <c r="W212" s="52"/>
      <c r="X212" s="52"/>
      <c r="Y212" s="896"/>
      <c r="Z212" s="52"/>
      <c r="AA212" s="51"/>
      <c r="AB212" s="51"/>
      <c r="AD212" s="1"/>
      <c r="AE212" s="1"/>
      <c r="AF212" s="1"/>
      <c r="AG212" s="1"/>
      <c r="AJ212" s="1"/>
      <c r="AK212" s="1"/>
      <c r="AL212" s="1"/>
      <c r="AM212" s="1"/>
      <c r="AN212" s="1"/>
      <c r="AO212" s="1"/>
      <c r="AP212" s="1"/>
      <c r="AQ212" s="1"/>
      <c r="AR212" s="1"/>
      <c r="AS212" s="6"/>
      <c r="AT212" s="6"/>
      <c r="AU212" s="6"/>
      <c r="AW212" s="1"/>
    </row>
    <row r="213" spans="2:49">
      <c r="B213" s="1"/>
      <c r="C213" s="9"/>
      <c r="F213" s="9"/>
      <c r="G213" s="1"/>
      <c r="I213" s="1"/>
      <c r="J213" s="1"/>
      <c r="R213" s="52"/>
      <c r="S213" s="52"/>
      <c r="T213" s="52"/>
      <c r="U213" s="52"/>
      <c r="V213" s="52"/>
      <c r="W213" s="52"/>
      <c r="X213" s="52"/>
      <c r="Y213" s="896"/>
      <c r="Z213" s="52"/>
      <c r="AA213" s="51"/>
      <c r="AB213" s="51"/>
      <c r="AD213"/>
      <c r="AE213"/>
      <c r="AJ213"/>
      <c r="AK213"/>
    </row>
    <row r="214" spans="2:49">
      <c r="B214" s="1"/>
      <c r="C214" s="9"/>
      <c r="F214" s="9"/>
      <c r="G214" s="1"/>
      <c r="I214" s="1"/>
      <c r="J214" s="1"/>
      <c r="R214" s="52"/>
      <c r="S214" s="52"/>
      <c r="T214" s="52"/>
      <c r="U214" s="52"/>
      <c r="V214" s="52"/>
      <c r="W214" s="52"/>
      <c r="X214" s="52"/>
      <c r="Y214" s="896"/>
      <c r="Z214" s="52"/>
      <c r="AA214" s="51"/>
      <c r="AB214" s="51"/>
      <c r="AD214"/>
      <c r="AE214"/>
      <c r="AJ214"/>
      <c r="AK214"/>
    </row>
    <row r="215" spans="2:49">
      <c r="B215" s="1"/>
      <c r="C215" s="9"/>
      <c r="F215" s="9"/>
      <c r="G215" s="1"/>
      <c r="I215" s="1"/>
      <c r="J215" s="1"/>
      <c r="R215" s="52"/>
      <c r="S215" s="52"/>
      <c r="T215" s="52"/>
      <c r="U215" s="52"/>
      <c r="V215" s="52"/>
      <c r="W215" s="52"/>
      <c r="X215" s="52"/>
      <c r="Y215" s="896"/>
      <c r="Z215" s="52"/>
      <c r="AA215" s="51"/>
      <c r="AB215" s="51"/>
      <c r="AD215"/>
      <c r="AE215"/>
      <c r="AJ215"/>
      <c r="AK215"/>
    </row>
    <row r="216" spans="2:49">
      <c r="B216" s="1"/>
      <c r="C216" s="9"/>
      <c r="F216" s="9"/>
      <c r="G216" s="1"/>
      <c r="I216" s="1"/>
      <c r="J216" s="1"/>
      <c r="R216" s="52"/>
      <c r="S216" s="52"/>
      <c r="T216" s="52"/>
      <c r="U216" s="52"/>
      <c r="V216" s="52"/>
      <c r="W216" s="52"/>
      <c r="X216" s="52"/>
      <c r="Y216" s="896"/>
      <c r="Z216" s="52"/>
      <c r="AA216" s="51"/>
      <c r="AB216" s="51"/>
      <c r="AD216"/>
      <c r="AE216"/>
      <c r="AJ216"/>
      <c r="AK216"/>
    </row>
  </sheetData>
  <sheetProtection algorithmName="SHA-512" hashValue="YrcKMAPPDVxK+Sk0Ey5a6s5XqFp4DfAlbziFBaLhF68EBZ24AtjEzeTkzaiqAf5Xxam8L2/9Cy3JbL41sbMcBA==" saltValue="NC8qQhQtKC5eqqZJ0GWYpw==" spinCount="100000" sheet="1" objects="1" formatRows="0"/>
  <dataConsolidate/>
  <mergeCells count="182">
    <mergeCell ref="B1:I1"/>
    <mergeCell ref="AQ45:AQ47"/>
    <mergeCell ref="B5:H5"/>
    <mergeCell ref="L92:M92"/>
    <mergeCell ref="N92:O92"/>
    <mergeCell ref="I90:K90"/>
    <mergeCell ref="I92:K92"/>
    <mergeCell ref="AL20:AL22"/>
    <mergeCell ref="AL26:AL28"/>
    <mergeCell ref="AL36:AL38"/>
    <mergeCell ref="AL39:AL41"/>
    <mergeCell ref="AL29:AL31"/>
    <mergeCell ref="AK24:AK34"/>
    <mergeCell ref="AK13:AK22"/>
    <mergeCell ref="AL32:AL34"/>
    <mergeCell ref="L91:M91"/>
    <mergeCell ref="N91:O91"/>
    <mergeCell ref="E80:K80"/>
    <mergeCell ref="B82:H82"/>
    <mergeCell ref="F81:G81"/>
    <mergeCell ref="I86:K86"/>
    <mergeCell ref="J81:K81"/>
    <mergeCell ref="L89:M89"/>
    <mergeCell ref="N89:O89"/>
    <mergeCell ref="B85:F85"/>
    <mergeCell ref="I82:K82"/>
    <mergeCell ref="H81:I81"/>
    <mergeCell ref="AB6:AB7"/>
    <mergeCell ref="B6:B7"/>
    <mergeCell ref="AM8:AO8"/>
    <mergeCell ref="AJ6:AU6"/>
    <mergeCell ref="AL9:AL11"/>
    <mergeCell ref="AU9:AU11"/>
    <mergeCell ref="U6:U7"/>
    <mergeCell ref="T6:T7"/>
    <mergeCell ref="AU39:AU41"/>
    <mergeCell ref="AJ12:AJ41"/>
    <mergeCell ref="AL17:AL19"/>
    <mergeCell ref="J6:J7"/>
    <mergeCell ref="AM9:AM11"/>
    <mergeCell ref="AN9:AN11"/>
    <mergeCell ref="AO9:AO11"/>
    <mergeCell ref="AQ8:AR8"/>
    <mergeCell ref="AK12:AN12"/>
    <mergeCell ref="AK23:AN23"/>
    <mergeCell ref="AS9:AS11"/>
    <mergeCell ref="AQ39:AR41"/>
    <mergeCell ref="AR45:AR47"/>
    <mergeCell ref="AS45:AS47"/>
    <mergeCell ref="AU20:AU22"/>
    <mergeCell ref="AU32:AU34"/>
    <mergeCell ref="AW8:AX8"/>
    <mergeCell ref="B43:C43"/>
    <mergeCell ref="AJ8:AJ11"/>
    <mergeCell ref="AW9:AW11"/>
    <mergeCell ref="AX9:AX11"/>
    <mergeCell ref="BD29:BD37"/>
    <mergeCell ref="AQ9:AR11"/>
    <mergeCell ref="AQ13:AR13"/>
    <mergeCell ref="AQ14:AR16"/>
    <mergeCell ref="AQ17:AR19"/>
    <mergeCell ref="AQ20:AR22"/>
    <mergeCell ref="AQ24:AR25"/>
    <mergeCell ref="AQ26:AR28"/>
    <mergeCell ref="AQ29:AR31"/>
    <mergeCell ref="AQ32:AR34"/>
    <mergeCell ref="AQ36:AR38"/>
    <mergeCell ref="AD1:AG1"/>
    <mergeCell ref="AK45:AK47"/>
    <mergeCell ref="AL45:AL47"/>
    <mergeCell ref="AM45:AM47"/>
    <mergeCell ref="AO45:AO47"/>
    <mergeCell ref="AD4:AE4"/>
    <mergeCell ref="AF4:AG4"/>
    <mergeCell ref="AD2:AE2"/>
    <mergeCell ref="AF2:AG2"/>
    <mergeCell ref="AD6:AE6"/>
    <mergeCell ref="AF6:AG6"/>
    <mergeCell ref="AD7:AE7"/>
    <mergeCell ref="AF7:AG7"/>
    <mergeCell ref="AK35:AO35"/>
    <mergeCell ref="AK36:AK41"/>
    <mergeCell ref="AL14:AL16"/>
    <mergeCell ref="AM3:AN3"/>
    <mergeCell ref="AJ4:AK4"/>
    <mergeCell ref="AM4:AN4"/>
    <mergeCell ref="AJ5:AU5"/>
    <mergeCell ref="AN45:AN47"/>
    <mergeCell ref="AK8:AK11"/>
    <mergeCell ref="AS36:AS38"/>
    <mergeCell ref="AU36:AU38"/>
    <mergeCell ref="EU5:EU6"/>
    <mergeCell ref="BG7:BH7"/>
    <mergeCell ref="BX2:CG2"/>
    <mergeCell ref="CO6:CO7"/>
    <mergeCell ref="ER5:ES6"/>
    <mergeCell ref="DW6:DX6"/>
    <mergeCell ref="CS6:CT6"/>
    <mergeCell ref="CU6:CV6"/>
    <mergeCell ref="DT6:DT7"/>
    <mergeCell ref="EG5:EL5"/>
    <mergeCell ref="EM5:EO5"/>
    <mergeCell ref="CN6:CN7"/>
    <mergeCell ref="DU6:DV6"/>
    <mergeCell ref="DG6:DH6"/>
    <mergeCell ref="CL6:CL7"/>
    <mergeCell ref="BV6:BW7"/>
    <mergeCell ref="DI6:DJ6"/>
    <mergeCell ref="DC6:DC7"/>
    <mergeCell ref="DF6:DF7"/>
    <mergeCell ref="B81:C81"/>
    <mergeCell ref="L83:M83"/>
    <mergeCell ref="N83:O83"/>
    <mergeCell ref="L86:O86"/>
    <mergeCell ref="L87:M87"/>
    <mergeCell ref="N87:O87"/>
    <mergeCell ref="BE61:BG61"/>
    <mergeCell ref="BD12:BD17"/>
    <mergeCell ref="AL24:AL25"/>
    <mergeCell ref="AU24:AU25"/>
    <mergeCell ref="AS26:AS28"/>
    <mergeCell ref="AU26:AU28"/>
    <mergeCell ref="AS29:AS31"/>
    <mergeCell ref="AU29:AU31"/>
    <mergeCell ref="AS14:AS16"/>
    <mergeCell ref="AU14:AU16"/>
    <mergeCell ref="AS17:AS19"/>
    <mergeCell ref="AU17:AU19"/>
    <mergeCell ref="AS39:AS41"/>
    <mergeCell ref="BE68:BH68"/>
    <mergeCell ref="BE66:BG66"/>
    <mergeCell ref="B61:C61"/>
    <mergeCell ref="BE62:BG62"/>
    <mergeCell ref="AZ45:AZ47"/>
    <mergeCell ref="B3:C3"/>
    <mergeCell ref="I3:J3"/>
    <mergeCell ref="B4:C4"/>
    <mergeCell ref="BE54:BH54"/>
    <mergeCell ref="BE57:BG57"/>
    <mergeCell ref="BE58:BG58"/>
    <mergeCell ref="BE59:BG59"/>
    <mergeCell ref="Q6:Q7"/>
    <mergeCell ref="G3:H3"/>
    <mergeCell ref="L6:M6"/>
    <mergeCell ref="N6:O6"/>
    <mergeCell ref="BE5:BF5"/>
    <mergeCell ref="B55:C55"/>
    <mergeCell ref="B49:C49"/>
    <mergeCell ref="BE4:BF4"/>
    <mergeCell ref="K6:K7"/>
    <mergeCell ref="BF6:BF7"/>
    <mergeCell ref="BF9:BH9"/>
    <mergeCell ref="BF10:BH10"/>
    <mergeCell ref="AS24:AS25"/>
    <mergeCell ref="AS20:AS22"/>
    <mergeCell ref="BD9:BD11"/>
    <mergeCell ref="BD19:BD27"/>
    <mergeCell ref="AS32:AS34"/>
    <mergeCell ref="A42:A80"/>
    <mergeCell ref="L1:M1"/>
    <mergeCell ref="N1:O1"/>
    <mergeCell ref="D3:F3"/>
    <mergeCell ref="B31:C31"/>
    <mergeCell ref="B13:C13"/>
    <mergeCell ref="B37:C37"/>
    <mergeCell ref="B73:C73"/>
    <mergeCell ref="B79:C79"/>
    <mergeCell ref="B80:D80"/>
    <mergeCell ref="C6:C7"/>
    <mergeCell ref="D6:D7"/>
    <mergeCell ref="E6:E7"/>
    <mergeCell ref="F6:F7"/>
    <mergeCell ref="G6:G7"/>
    <mergeCell ref="H6:H7"/>
    <mergeCell ref="D4:H4"/>
    <mergeCell ref="I4:K4"/>
    <mergeCell ref="I5:K5"/>
    <mergeCell ref="B67:C67"/>
    <mergeCell ref="B19:C19"/>
    <mergeCell ref="B25:C25"/>
    <mergeCell ref="B2:H2"/>
    <mergeCell ref="I2:J2"/>
  </mergeCells>
  <conditionalFormatting sqref="B83">
    <cfRule type="expression" dxfId="1178" priority="531" stopIfTrue="1">
      <formula>$Q$97=0</formula>
    </cfRule>
  </conditionalFormatting>
  <conditionalFormatting sqref="B13">
    <cfRule type="expression" dxfId="1177" priority="529" stopIfTrue="1">
      <formula>$B8=$B14</formula>
    </cfRule>
  </conditionalFormatting>
  <conditionalFormatting sqref="M13 O13">
    <cfRule type="expression" dxfId="1176" priority="516" stopIfTrue="1">
      <formula>$B8=$B14</formula>
    </cfRule>
  </conditionalFormatting>
  <conditionalFormatting sqref="M19 O19">
    <cfRule type="expression" dxfId="1175" priority="515" stopIfTrue="1">
      <formula>$B14=$B20</formula>
    </cfRule>
  </conditionalFormatting>
  <conditionalFormatting sqref="M25 O25">
    <cfRule type="expression" dxfId="1174" priority="514" stopIfTrue="1">
      <formula>$B20=$B26</formula>
    </cfRule>
  </conditionalFormatting>
  <conditionalFormatting sqref="M31 O31">
    <cfRule type="expression" dxfId="1173" priority="513" stopIfTrue="1">
      <formula>$B26=$B32</formula>
    </cfRule>
  </conditionalFormatting>
  <conditionalFormatting sqref="M37 O37">
    <cfRule type="expression" dxfId="1172" priority="512" stopIfTrue="1">
      <formula>$B32=$B38</formula>
    </cfRule>
  </conditionalFormatting>
  <conditionalFormatting sqref="M43 O43">
    <cfRule type="expression" dxfId="1171" priority="511" stopIfTrue="1">
      <formula>$B38=$B44</formula>
    </cfRule>
  </conditionalFormatting>
  <conditionalFormatting sqref="M49 O49">
    <cfRule type="expression" dxfId="1170" priority="510" stopIfTrue="1">
      <formula>$B44=$B50</formula>
    </cfRule>
  </conditionalFormatting>
  <conditionalFormatting sqref="M55 O55">
    <cfRule type="expression" dxfId="1169" priority="509" stopIfTrue="1">
      <formula>$B50=$B56</formula>
    </cfRule>
  </conditionalFormatting>
  <conditionalFormatting sqref="M61 O61">
    <cfRule type="expression" dxfId="1168" priority="508" stopIfTrue="1">
      <formula>$B56=$B62</formula>
    </cfRule>
  </conditionalFormatting>
  <conditionalFormatting sqref="L8:O12 L14:O18 M13 L20:O24 M19 L26:O30 M25 L32:O36 M31 L38:O42 M37 L44:O48 M43 L50:O54 M49 L56:O60 M55 L62:O66 M61 M67 O13 O19 O67 O61 O55 O49 O43 O37 O31 O25 M73 O73 M79 O79">
    <cfRule type="expression" dxfId="1167" priority="507" stopIfTrue="1">
      <formula>$BE$3=2</formula>
    </cfRule>
  </conditionalFormatting>
  <conditionalFormatting sqref="O81:O82">
    <cfRule type="expression" dxfId="1166" priority="503" stopIfTrue="1">
      <formula>$BE$3=2</formula>
    </cfRule>
  </conditionalFormatting>
  <conditionalFormatting sqref="M81:M82">
    <cfRule type="expression" dxfId="1165" priority="504" stopIfTrue="1">
      <formula>$BE$3=2</formula>
    </cfRule>
  </conditionalFormatting>
  <conditionalFormatting sqref="J13">
    <cfRule type="expression" dxfId="1164" priority="421" stopIfTrue="1">
      <formula>$B8=$B14</formula>
    </cfRule>
  </conditionalFormatting>
  <conditionalFormatting sqref="L68:O72">
    <cfRule type="expression" dxfId="1163" priority="500" stopIfTrue="1">
      <formula>$BE$3=2</formula>
    </cfRule>
  </conditionalFormatting>
  <conditionalFormatting sqref="L74:O78">
    <cfRule type="expression" dxfId="1162" priority="494" stopIfTrue="1">
      <formula>$BE$3=2</formula>
    </cfRule>
  </conditionalFormatting>
  <conditionalFormatting sqref="J13">
    <cfRule type="expression" dxfId="1161" priority="501" stopIfTrue="1">
      <formula>$M13=0</formula>
    </cfRule>
  </conditionalFormatting>
  <conditionalFormatting sqref="J19">
    <cfRule type="expression" dxfId="1160" priority="405" stopIfTrue="1">
      <formula>$B14=$B20</formula>
    </cfRule>
  </conditionalFormatting>
  <conditionalFormatting sqref="J19">
    <cfRule type="expression" dxfId="1159" priority="406" stopIfTrue="1">
      <formula>$M19=0</formula>
    </cfRule>
  </conditionalFormatting>
  <conditionalFormatting sqref="J25">
    <cfRule type="expression" dxfId="1158" priority="403" stopIfTrue="1">
      <formula>$B20=$B26</formula>
    </cfRule>
  </conditionalFormatting>
  <conditionalFormatting sqref="J25">
    <cfRule type="expression" dxfId="1157" priority="404" stopIfTrue="1">
      <formula>$M25=0</formula>
    </cfRule>
  </conditionalFormatting>
  <conditionalFormatting sqref="J31">
    <cfRule type="expression" dxfId="1156" priority="401" stopIfTrue="1">
      <formula>$B26=$B32</formula>
    </cfRule>
  </conditionalFormatting>
  <conditionalFormatting sqref="J31">
    <cfRule type="expression" dxfId="1155" priority="402" stopIfTrue="1">
      <formula>$M31=0</formula>
    </cfRule>
  </conditionalFormatting>
  <conditionalFormatting sqref="J37">
    <cfRule type="expression" dxfId="1154" priority="399" stopIfTrue="1">
      <formula>$B32=$B38</formula>
    </cfRule>
  </conditionalFormatting>
  <conditionalFormatting sqref="J37">
    <cfRule type="expression" dxfId="1153" priority="400" stopIfTrue="1">
      <formula>$M37=0</formula>
    </cfRule>
  </conditionalFormatting>
  <conditionalFormatting sqref="J43">
    <cfRule type="expression" dxfId="1152" priority="397" stopIfTrue="1">
      <formula>$B38=$B44</formula>
    </cfRule>
  </conditionalFormatting>
  <conditionalFormatting sqref="J43">
    <cfRule type="expression" dxfId="1151" priority="398" stopIfTrue="1">
      <formula>$M43=0</formula>
    </cfRule>
  </conditionalFormatting>
  <conditionalFormatting sqref="J49">
    <cfRule type="expression" dxfId="1150" priority="395" stopIfTrue="1">
      <formula>$B44=$B50</formula>
    </cfRule>
  </conditionalFormatting>
  <conditionalFormatting sqref="J49">
    <cfRule type="expression" dxfId="1149" priority="396" stopIfTrue="1">
      <formula>$M49=0</formula>
    </cfRule>
  </conditionalFormatting>
  <conditionalFormatting sqref="J55">
    <cfRule type="expression" dxfId="1148" priority="393" stopIfTrue="1">
      <formula>$B50=$B56</formula>
    </cfRule>
  </conditionalFormatting>
  <conditionalFormatting sqref="J55">
    <cfRule type="expression" dxfId="1147" priority="394" stopIfTrue="1">
      <formula>$M55=0</formula>
    </cfRule>
  </conditionalFormatting>
  <conditionalFormatting sqref="J61">
    <cfRule type="expression" dxfId="1146" priority="391" stopIfTrue="1">
      <formula>$B56=$B62</formula>
    </cfRule>
  </conditionalFormatting>
  <conditionalFormatting sqref="J61">
    <cfRule type="expression" dxfId="1145" priority="392" stopIfTrue="1">
      <formula>$M61=0</formula>
    </cfRule>
  </conditionalFormatting>
  <conditionalFormatting sqref="J67">
    <cfRule type="expression" dxfId="1144" priority="389" stopIfTrue="1">
      <formula>$B62=$B68</formula>
    </cfRule>
  </conditionalFormatting>
  <conditionalFormatting sqref="J67">
    <cfRule type="expression" dxfId="1143" priority="390" stopIfTrue="1">
      <formula>$M67=0</formula>
    </cfRule>
  </conditionalFormatting>
  <conditionalFormatting sqref="J73">
    <cfRule type="expression" dxfId="1142" priority="387" stopIfTrue="1">
      <formula>$B68=$B74</formula>
    </cfRule>
  </conditionalFormatting>
  <conditionalFormatting sqref="J73">
    <cfRule type="expression" dxfId="1141" priority="388" stopIfTrue="1">
      <formula>$M73=0</formula>
    </cfRule>
  </conditionalFormatting>
  <conditionalFormatting sqref="J79">
    <cfRule type="expression" dxfId="1140" priority="385" stopIfTrue="1">
      <formula>$B74=$B80</formula>
    </cfRule>
  </conditionalFormatting>
  <conditionalFormatting sqref="J79">
    <cfRule type="expression" dxfId="1139" priority="386" stopIfTrue="1">
      <formula>$M79=0</formula>
    </cfRule>
  </conditionalFormatting>
  <conditionalFormatting sqref="Q68:Q72">
    <cfRule type="expression" dxfId="1138" priority="364" stopIfTrue="1">
      <formula>$DE68&lt;&gt;""</formula>
    </cfRule>
    <cfRule type="expression" dxfId="1137" priority="365" stopIfTrue="1">
      <formula>$EU68=1</formula>
    </cfRule>
  </conditionalFormatting>
  <conditionalFormatting sqref="Q74:Q78">
    <cfRule type="expression" dxfId="1136" priority="362" stopIfTrue="1">
      <formula>$DE74&lt;&gt;""</formula>
    </cfRule>
    <cfRule type="expression" dxfId="1135" priority="363" stopIfTrue="1">
      <formula>$EU74=1</formula>
    </cfRule>
  </conditionalFormatting>
  <conditionalFormatting sqref="L88">
    <cfRule type="expression" dxfId="1134" priority="347" stopIfTrue="1">
      <formula>$L$90&lt;$L$92</formula>
    </cfRule>
  </conditionalFormatting>
  <conditionalFormatting sqref="N88">
    <cfRule type="expression" dxfId="1133" priority="346" stopIfTrue="1">
      <formula>$N$90&lt;$N$92</formula>
    </cfRule>
  </conditionalFormatting>
  <conditionalFormatting sqref="L90">
    <cfRule type="expression" dxfId="1132" priority="345" stopIfTrue="1">
      <formula>$L$90&lt;$L$92</formula>
    </cfRule>
  </conditionalFormatting>
  <conditionalFormatting sqref="N90">
    <cfRule type="expression" dxfId="1131" priority="344" stopIfTrue="1">
      <formula>$N$90&lt;$N$92</formula>
    </cfRule>
  </conditionalFormatting>
  <conditionalFormatting sqref="M90">
    <cfRule type="expression" dxfId="1130" priority="348" stopIfTrue="1">
      <formula>$M$90&lt;$L$92</formula>
    </cfRule>
  </conditionalFormatting>
  <conditionalFormatting sqref="O90">
    <cfRule type="expression" dxfId="1129" priority="349" stopIfTrue="1">
      <formula>$O$90&lt;$N$92</formula>
    </cfRule>
  </conditionalFormatting>
  <conditionalFormatting sqref="O88">
    <cfRule type="expression" dxfId="1128" priority="350" stopIfTrue="1">
      <formula>$O$90&lt;$N$92</formula>
    </cfRule>
  </conditionalFormatting>
  <conditionalFormatting sqref="M88">
    <cfRule type="expression" dxfId="1127" priority="351" stopIfTrue="1">
      <formula>$M$90&lt;$L$92</formula>
    </cfRule>
  </conditionalFormatting>
  <conditionalFormatting sqref="AD3">
    <cfRule type="expression" dxfId="1126" priority="338" stopIfTrue="1">
      <formula>$AD$5&lt;$AD$7</formula>
    </cfRule>
  </conditionalFormatting>
  <conditionalFormatting sqref="AF3">
    <cfRule type="expression" dxfId="1125" priority="337" stopIfTrue="1">
      <formula>$AF$5&lt;$AF$7</formula>
    </cfRule>
  </conditionalFormatting>
  <conditionalFormatting sqref="AG3">
    <cfRule type="expression" dxfId="1124" priority="341" stopIfTrue="1">
      <formula>$AG$5&lt;$AF$7</formula>
    </cfRule>
  </conditionalFormatting>
  <conditionalFormatting sqref="AE3">
    <cfRule type="expression" dxfId="1123" priority="342" stopIfTrue="1">
      <formula>$AE$5&lt;$AD$7</formula>
    </cfRule>
  </conditionalFormatting>
  <conditionalFormatting sqref="I90:K90">
    <cfRule type="expression" dxfId="1122" priority="334" stopIfTrue="1">
      <formula>$I$90="External Line Totals Not Reached"</formula>
    </cfRule>
  </conditionalFormatting>
  <conditionalFormatting sqref="B19">
    <cfRule type="expression" dxfId="1121" priority="333" stopIfTrue="1">
      <formula>$B14=$B20</formula>
    </cfRule>
  </conditionalFormatting>
  <conditionalFormatting sqref="B25">
    <cfRule type="expression" dxfId="1120" priority="332" stopIfTrue="1">
      <formula>$B20=$B26</formula>
    </cfRule>
  </conditionalFormatting>
  <conditionalFormatting sqref="B31">
    <cfRule type="expression" dxfId="1119" priority="331" stopIfTrue="1">
      <formula>$B26=$B32</formula>
    </cfRule>
  </conditionalFormatting>
  <conditionalFormatting sqref="B37">
    <cfRule type="expression" dxfId="1118" priority="330" stopIfTrue="1">
      <formula>$B32=$B38</formula>
    </cfRule>
  </conditionalFormatting>
  <conditionalFormatting sqref="B43">
    <cfRule type="expression" dxfId="1117" priority="329" stopIfTrue="1">
      <formula>$B38=$B44</formula>
    </cfRule>
  </conditionalFormatting>
  <conditionalFormatting sqref="B49">
    <cfRule type="expression" dxfId="1116" priority="328" stopIfTrue="1">
      <formula>$B44=$B50</formula>
    </cfRule>
  </conditionalFormatting>
  <conditionalFormatting sqref="B55">
    <cfRule type="expression" dxfId="1115" priority="327" stopIfTrue="1">
      <formula>$B50=$B56</formula>
    </cfRule>
  </conditionalFormatting>
  <conditionalFormatting sqref="B61">
    <cfRule type="expression" dxfId="1114" priority="326" stopIfTrue="1">
      <formula>$B56=$B62</formula>
    </cfRule>
  </conditionalFormatting>
  <conditionalFormatting sqref="B67">
    <cfRule type="expression" dxfId="1113" priority="325" stopIfTrue="1">
      <formula>$B62=$B68</formula>
    </cfRule>
  </conditionalFormatting>
  <conditionalFormatting sqref="B73">
    <cfRule type="expression" dxfId="1112" priority="324" stopIfTrue="1">
      <formula>$B68=$B74</formula>
    </cfRule>
  </conditionalFormatting>
  <conditionalFormatting sqref="B79">
    <cfRule type="expression" dxfId="1111" priority="323" stopIfTrue="1">
      <formula>$B74=$B92</formula>
    </cfRule>
  </conditionalFormatting>
  <conditionalFormatting sqref="K19">
    <cfRule type="expression" dxfId="1110" priority="290" stopIfTrue="1">
      <formula>$B14=$B20</formula>
    </cfRule>
  </conditionalFormatting>
  <conditionalFormatting sqref="K13">
    <cfRule type="expression" dxfId="1109" priority="288" stopIfTrue="1">
      <formula>$B8=$B14</formula>
    </cfRule>
  </conditionalFormatting>
  <conditionalFormatting sqref="K45:K48">
    <cfRule type="expression" dxfId="1108" priority="289" stopIfTrue="1">
      <formula>$EM45="Error"</formula>
    </cfRule>
  </conditionalFormatting>
  <conditionalFormatting sqref="K44">
    <cfRule type="expression" dxfId="1107" priority="287" stopIfTrue="1">
      <formula>$EM44="Error"</formula>
    </cfRule>
  </conditionalFormatting>
  <conditionalFormatting sqref="K42">
    <cfRule type="expression" dxfId="1106" priority="286" stopIfTrue="1">
      <formula>$EM42="Error"</formula>
    </cfRule>
  </conditionalFormatting>
  <conditionalFormatting sqref="K41">
    <cfRule type="expression" dxfId="1105" priority="285" stopIfTrue="1">
      <formula>$EM41="Error"</formula>
    </cfRule>
  </conditionalFormatting>
  <conditionalFormatting sqref="K40">
    <cfRule type="expression" dxfId="1104" priority="284" stopIfTrue="1">
      <formula>$EM40="Error"</formula>
    </cfRule>
  </conditionalFormatting>
  <conditionalFormatting sqref="K39">
    <cfRule type="expression" dxfId="1103" priority="283" stopIfTrue="1">
      <formula>$EM39="Error"</formula>
    </cfRule>
  </conditionalFormatting>
  <conditionalFormatting sqref="K38">
    <cfRule type="expression" dxfId="1102" priority="282" stopIfTrue="1">
      <formula>$EM38="Error"</formula>
    </cfRule>
  </conditionalFormatting>
  <conditionalFormatting sqref="K36">
    <cfRule type="expression" dxfId="1101" priority="281" stopIfTrue="1">
      <formula>$EM36="Error"</formula>
    </cfRule>
  </conditionalFormatting>
  <conditionalFormatting sqref="K35">
    <cfRule type="expression" dxfId="1100" priority="280" stopIfTrue="1">
      <formula>$EM35="Error"</formula>
    </cfRule>
  </conditionalFormatting>
  <conditionalFormatting sqref="K34">
    <cfRule type="expression" dxfId="1099" priority="279" stopIfTrue="1">
      <formula>$EM34="Error"</formula>
    </cfRule>
  </conditionalFormatting>
  <conditionalFormatting sqref="K33">
    <cfRule type="expression" dxfId="1098" priority="278" stopIfTrue="1">
      <formula>$EM33="Error"</formula>
    </cfRule>
  </conditionalFormatting>
  <conditionalFormatting sqref="K32">
    <cfRule type="expression" dxfId="1097" priority="277" stopIfTrue="1">
      <formula>$EM32="Error"</formula>
    </cfRule>
  </conditionalFormatting>
  <conditionalFormatting sqref="K30">
    <cfRule type="expression" dxfId="1096" priority="276" stopIfTrue="1">
      <formula>$EM30="Error"</formula>
    </cfRule>
  </conditionalFormatting>
  <conditionalFormatting sqref="K29">
    <cfRule type="expression" dxfId="1095" priority="275" stopIfTrue="1">
      <formula>$EM29="Error"</formula>
    </cfRule>
  </conditionalFormatting>
  <conditionalFormatting sqref="K28">
    <cfRule type="expression" dxfId="1094" priority="274" stopIfTrue="1">
      <formula>$EM28="Error"</formula>
    </cfRule>
  </conditionalFormatting>
  <conditionalFormatting sqref="K27">
    <cfRule type="expression" dxfId="1093" priority="273" stopIfTrue="1">
      <formula>$EM27="Error"</formula>
    </cfRule>
  </conditionalFormatting>
  <conditionalFormatting sqref="K26">
    <cfRule type="expression" dxfId="1092" priority="272" stopIfTrue="1">
      <formula>$EM26="Error"</formula>
    </cfRule>
  </conditionalFormatting>
  <conditionalFormatting sqref="K24">
    <cfRule type="expression" dxfId="1091" priority="271" stopIfTrue="1">
      <formula>$EM24="Error"</formula>
    </cfRule>
  </conditionalFormatting>
  <conditionalFormatting sqref="K23">
    <cfRule type="expression" dxfId="1090" priority="270" stopIfTrue="1">
      <formula>$EM23="Error"</formula>
    </cfRule>
  </conditionalFormatting>
  <conditionalFormatting sqref="K22">
    <cfRule type="expression" dxfId="1089" priority="269" stopIfTrue="1">
      <formula>$EM22="Error"</formula>
    </cfRule>
  </conditionalFormatting>
  <conditionalFormatting sqref="K21">
    <cfRule type="expression" dxfId="1088" priority="268" stopIfTrue="1">
      <formula>$EM21="Error"</formula>
    </cfRule>
  </conditionalFormatting>
  <conditionalFormatting sqref="K20">
    <cfRule type="expression" dxfId="1087" priority="267" stopIfTrue="1">
      <formula>$EM20="Error"</formula>
    </cfRule>
  </conditionalFormatting>
  <conditionalFormatting sqref="K18">
    <cfRule type="expression" dxfId="1086" priority="266" stopIfTrue="1">
      <formula>$EM18="Error"</formula>
    </cfRule>
  </conditionalFormatting>
  <conditionalFormatting sqref="K17">
    <cfRule type="expression" dxfId="1085" priority="265" stopIfTrue="1">
      <formula>$EM17="Error"</formula>
    </cfRule>
  </conditionalFormatting>
  <conditionalFormatting sqref="K16">
    <cfRule type="expression" dxfId="1084" priority="264" stopIfTrue="1">
      <formula>$EM16="Error"</formula>
    </cfRule>
  </conditionalFormatting>
  <conditionalFormatting sqref="K15">
    <cfRule type="expression" dxfId="1083" priority="263" stopIfTrue="1">
      <formula>$EM15="Error"</formula>
    </cfRule>
  </conditionalFormatting>
  <conditionalFormatting sqref="K14">
    <cfRule type="expression" dxfId="1082" priority="262" stopIfTrue="1">
      <formula>$EM14="Error"</formula>
    </cfRule>
  </conditionalFormatting>
  <conditionalFormatting sqref="K12">
    <cfRule type="expression" dxfId="1081" priority="261" stopIfTrue="1">
      <formula>$EM12="Error"</formula>
    </cfRule>
  </conditionalFormatting>
  <conditionalFormatting sqref="K8">
    <cfRule type="expression" dxfId="1080" priority="257" stopIfTrue="1">
      <formula>$EM8="Error"</formula>
    </cfRule>
  </conditionalFormatting>
  <conditionalFormatting sqref="K11">
    <cfRule type="expression" dxfId="1079" priority="260" stopIfTrue="1">
      <formula>$EM11="Error"</formula>
    </cfRule>
  </conditionalFormatting>
  <conditionalFormatting sqref="K10">
    <cfRule type="expression" dxfId="1078" priority="259" stopIfTrue="1">
      <formula>$EM10="Error"</formula>
    </cfRule>
  </conditionalFormatting>
  <conditionalFormatting sqref="K9">
    <cfRule type="expression" dxfId="1077" priority="258" stopIfTrue="1">
      <formula>$EM9="Error"</formula>
    </cfRule>
  </conditionalFormatting>
  <conditionalFormatting sqref="K51:K54">
    <cfRule type="expression" dxfId="1076" priority="256" stopIfTrue="1">
      <formula>$EM51="Error"</formula>
    </cfRule>
  </conditionalFormatting>
  <conditionalFormatting sqref="K50">
    <cfRule type="expression" dxfId="1075" priority="255" stopIfTrue="1">
      <formula>$EM50="Error"</formula>
    </cfRule>
  </conditionalFormatting>
  <conditionalFormatting sqref="K57:K60">
    <cfRule type="expression" dxfId="1074" priority="254" stopIfTrue="1">
      <formula>$EM57="Error"</formula>
    </cfRule>
  </conditionalFormatting>
  <conditionalFormatting sqref="K56">
    <cfRule type="expression" dxfId="1073" priority="253" stopIfTrue="1">
      <formula>$EM56="Error"</formula>
    </cfRule>
  </conditionalFormatting>
  <conditionalFormatting sqref="K63:K66">
    <cfRule type="expression" dxfId="1072" priority="252" stopIfTrue="1">
      <formula>$EM63="Error"</formula>
    </cfRule>
  </conditionalFormatting>
  <conditionalFormatting sqref="K62">
    <cfRule type="expression" dxfId="1071" priority="251" stopIfTrue="1">
      <formula>$EM62="Error"</formula>
    </cfRule>
  </conditionalFormatting>
  <conditionalFormatting sqref="K69:K72">
    <cfRule type="expression" dxfId="1070" priority="250" stopIfTrue="1">
      <formula>$EM69="Error"</formula>
    </cfRule>
  </conditionalFormatting>
  <conditionalFormatting sqref="K68">
    <cfRule type="expression" dxfId="1069" priority="249" stopIfTrue="1">
      <formula>$EM68="Error"</formula>
    </cfRule>
  </conditionalFormatting>
  <conditionalFormatting sqref="K75:K78">
    <cfRule type="expression" dxfId="1068" priority="248" stopIfTrue="1">
      <formula>$EM75="Error"</formula>
    </cfRule>
  </conditionalFormatting>
  <conditionalFormatting sqref="K74">
    <cfRule type="expression" dxfId="1067" priority="247" stopIfTrue="1">
      <formula>$EM74="Error"</formula>
    </cfRule>
  </conditionalFormatting>
  <conditionalFormatting sqref="H8:H12">
    <cfRule type="expression" dxfId="1066" priority="246" stopIfTrue="1">
      <formula>$ES8="Changed"</formula>
    </cfRule>
  </conditionalFormatting>
  <conditionalFormatting sqref="H14:H18">
    <cfRule type="expression" dxfId="1065" priority="245" stopIfTrue="1">
      <formula>$ES14="Changed"</formula>
    </cfRule>
  </conditionalFormatting>
  <conditionalFormatting sqref="H20:H24">
    <cfRule type="expression" dxfId="1064" priority="244" stopIfTrue="1">
      <formula>$ES20="Changed"</formula>
    </cfRule>
  </conditionalFormatting>
  <conditionalFormatting sqref="H26:H30">
    <cfRule type="expression" dxfId="1063" priority="243" stopIfTrue="1">
      <formula>$ES26="Changed"</formula>
    </cfRule>
  </conditionalFormatting>
  <conditionalFormatting sqref="H32:H36">
    <cfRule type="expression" dxfId="1062" priority="242" stopIfTrue="1">
      <formula>$ES32="Changed"</formula>
    </cfRule>
  </conditionalFormatting>
  <conditionalFormatting sqref="H38:H42">
    <cfRule type="expression" dxfId="1061" priority="241" stopIfTrue="1">
      <formula>$ES38="Changed"</formula>
    </cfRule>
  </conditionalFormatting>
  <conditionalFormatting sqref="H44:H48">
    <cfRule type="expression" dxfId="1060" priority="240" stopIfTrue="1">
      <formula>$ES44="Changed"</formula>
    </cfRule>
  </conditionalFormatting>
  <conditionalFormatting sqref="H50:H54">
    <cfRule type="expression" dxfId="1059" priority="239" stopIfTrue="1">
      <formula>$ES50="Changed"</formula>
    </cfRule>
  </conditionalFormatting>
  <conditionalFormatting sqref="H56:H60">
    <cfRule type="expression" dxfId="1058" priority="238" stopIfTrue="1">
      <formula>$ES56="Changed"</formula>
    </cfRule>
  </conditionalFormatting>
  <conditionalFormatting sqref="H62:H66">
    <cfRule type="expression" dxfId="1057" priority="237" stopIfTrue="1">
      <formula>$ES62="Changed"</formula>
    </cfRule>
  </conditionalFormatting>
  <conditionalFormatting sqref="H68:H72">
    <cfRule type="expression" dxfId="1056" priority="236" stopIfTrue="1">
      <formula>$ES68="Changed"</formula>
    </cfRule>
  </conditionalFormatting>
  <conditionalFormatting sqref="H74:H78">
    <cfRule type="expression" dxfId="1055" priority="235" stopIfTrue="1">
      <formula>$ES74="Changed"</formula>
    </cfRule>
  </conditionalFormatting>
  <conditionalFormatting sqref="AU67">
    <cfRule type="expression" dxfId="1054" priority="217">
      <formula>$AK67="E"</formula>
    </cfRule>
  </conditionalFormatting>
  <conditionalFormatting sqref="AU57">
    <cfRule type="expression" dxfId="1053" priority="227">
      <formula>$AK57="E"</formula>
    </cfRule>
  </conditionalFormatting>
  <conditionalFormatting sqref="AU58">
    <cfRule type="expression" dxfId="1052" priority="226">
      <formula>$AK58="E"</formula>
    </cfRule>
  </conditionalFormatting>
  <conditionalFormatting sqref="AU59">
    <cfRule type="expression" dxfId="1051" priority="225">
      <formula>$AK59="E"</formula>
    </cfRule>
  </conditionalFormatting>
  <conditionalFormatting sqref="AU60">
    <cfRule type="expression" dxfId="1050" priority="224">
      <formula>$AK60="E"</formula>
    </cfRule>
  </conditionalFormatting>
  <conditionalFormatting sqref="AU61">
    <cfRule type="expression" dxfId="1049" priority="223">
      <formula>$AK61="E"</formula>
    </cfRule>
  </conditionalFormatting>
  <conditionalFormatting sqref="AU62">
    <cfRule type="expression" dxfId="1048" priority="222">
      <formula>$AK62="E"</formula>
    </cfRule>
  </conditionalFormatting>
  <conditionalFormatting sqref="AU63">
    <cfRule type="expression" dxfId="1047" priority="221">
      <formula>$AK63="E"</formula>
    </cfRule>
  </conditionalFormatting>
  <conditionalFormatting sqref="AU64">
    <cfRule type="expression" dxfId="1046" priority="220">
      <formula>$AK64="E"</formula>
    </cfRule>
  </conditionalFormatting>
  <conditionalFormatting sqref="AU65">
    <cfRule type="expression" dxfId="1045" priority="219">
      <formula>$AK65="E"</formula>
    </cfRule>
  </conditionalFormatting>
  <conditionalFormatting sqref="AU66">
    <cfRule type="expression" dxfId="1044" priority="218">
      <formula>$AK66="E"</formula>
    </cfRule>
  </conditionalFormatting>
  <conditionalFormatting sqref="AN48:AP67">
    <cfRule type="expression" dxfId="1043" priority="234" stopIfTrue="1">
      <formula>$BD$3=2</formula>
    </cfRule>
  </conditionalFormatting>
  <conditionalFormatting sqref="AJ3">
    <cfRule type="expression" dxfId="1042" priority="233" stopIfTrue="1">
      <formula>$L$88&lt;$L$89</formula>
    </cfRule>
  </conditionalFormatting>
  <conditionalFormatting sqref="AK3">
    <cfRule type="expression" dxfId="1041" priority="232" stopIfTrue="1">
      <formula>$AE$3&lt;$AD$4</formula>
    </cfRule>
  </conditionalFormatting>
  <conditionalFormatting sqref="AL3">
    <cfRule type="expression" dxfId="1040" priority="231" stopIfTrue="1">
      <formula>$N$88&lt;$N$89</formula>
    </cfRule>
  </conditionalFormatting>
  <conditionalFormatting sqref="AK2">
    <cfRule type="expression" dxfId="1039" priority="230" stopIfTrue="1">
      <formula>$AE$3&lt;$AD$4</formula>
    </cfRule>
  </conditionalFormatting>
  <conditionalFormatting sqref="AJ2">
    <cfRule type="expression" dxfId="1038" priority="229" stopIfTrue="1">
      <formula>$L$88&lt;$L$89</formula>
    </cfRule>
  </conditionalFormatting>
  <conditionalFormatting sqref="AL2">
    <cfRule type="expression" dxfId="1037" priority="228" stopIfTrue="1">
      <formula>$N$88&lt;$N$89</formula>
    </cfRule>
  </conditionalFormatting>
  <conditionalFormatting sqref="I3:J3">
    <cfRule type="expression" dxfId="1036" priority="211" stopIfTrue="1">
      <formula>$BG$5="Yes"</formula>
    </cfRule>
  </conditionalFormatting>
  <conditionalFormatting sqref="L4:L5 N4:N5 O2:O3 M2:M3">
    <cfRule type="expression" dxfId="1035" priority="210" stopIfTrue="1">
      <formula>$BE$3=1</formula>
    </cfRule>
  </conditionalFormatting>
  <conditionalFormatting sqref="AD5">
    <cfRule type="expression" dxfId="1034" priority="207" stopIfTrue="1">
      <formula>$AD$5&lt;$AD$7</formula>
    </cfRule>
  </conditionalFormatting>
  <conditionalFormatting sqref="AF5">
    <cfRule type="expression" dxfId="1033" priority="206" stopIfTrue="1">
      <formula>$AF$5&lt;$AF$7</formula>
    </cfRule>
  </conditionalFormatting>
  <conditionalFormatting sqref="AE5">
    <cfRule type="expression" dxfId="1032" priority="208" stopIfTrue="1">
      <formula>$AE$5&lt;$AD$7</formula>
    </cfRule>
  </conditionalFormatting>
  <conditionalFormatting sqref="AG5">
    <cfRule type="expression" dxfId="1031" priority="209" stopIfTrue="1">
      <formula>$AG$5&lt;$AF$7</formula>
    </cfRule>
  </conditionalFormatting>
  <conditionalFormatting sqref="AN36:AP41 AN13:AP22 AN24:AP34">
    <cfRule type="expression" dxfId="1030" priority="205" stopIfTrue="1">
      <formula>$BD$3=2</formula>
    </cfRule>
  </conditionalFormatting>
  <conditionalFormatting sqref="Q8">
    <cfRule type="expression" dxfId="1029" priority="203" stopIfTrue="1">
      <formula>$DE8&lt;&gt;""</formula>
    </cfRule>
    <cfRule type="expression" dxfId="1028" priority="204" stopIfTrue="1">
      <formula>$EU8=1</formula>
    </cfRule>
  </conditionalFormatting>
  <conditionalFormatting sqref="Q9">
    <cfRule type="expression" dxfId="1027" priority="201" stopIfTrue="1">
      <formula>$DE9&lt;&gt;""</formula>
    </cfRule>
    <cfRule type="expression" dxfId="1026" priority="202" stopIfTrue="1">
      <formula>$EU9=1</formula>
    </cfRule>
  </conditionalFormatting>
  <conditionalFormatting sqref="Q10">
    <cfRule type="expression" dxfId="1025" priority="199" stopIfTrue="1">
      <formula>$DE10&lt;&gt;""</formula>
    </cfRule>
    <cfRule type="expression" dxfId="1024" priority="200" stopIfTrue="1">
      <formula>$EU10=1</formula>
    </cfRule>
  </conditionalFormatting>
  <conditionalFormatting sqref="Q11">
    <cfRule type="expression" dxfId="1023" priority="197" stopIfTrue="1">
      <formula>$DE11&lt;&gt;""</formula>
    </cfRule>
    <cfRule type="expression" dxfId="1022" priority="198" stopIfTrue="1">
      <formula>$EU11=1</formula>
    </cfRule>
  </conditionalFormatting>
  <conditionalFormatting sqref="Q12">
    <cfRule type="expression" dxfId="1021" priority="195" stopIfTrue="1">
      <formula>$DE12&lt;&gt;""</formula>
    </cfRule>
    <cfRule type="expression" dxfId="1020" priority="196" stopIfTrue="1">
      <formula>$EU12=1</formula>
    </cfRule>
  </conditionalFormatting>
  <conditionalFormatting sqref="Q14">
    <cfRule type="expression" dxfId="1019" priority="193" stopIfTrue="1">
      <formula>$DE14&lt;&gt;""</formula>
    </cfRule>
    <cfRule type="expression" dxfId="1018" priority="194" stopIfTrue="1">
      <formula>$EU14=1</formula>
    </cfRule>
  </conditionalFormatting>
  <conditionalFormatting sqref="Q15">
    <cfRule type="expression" dxfId="1017" priority="191" stopIfTrue="1">
      <formula>$DE15&lt;&gt;""</formula>
    </cfRule>
    <cfRule type="expression" dxfId="1016" priority="192" stopIfTrue="1">
      <formula>$EU15=1</formula>
    </cfRule>
  </conditionalFormatting>
  <conditionalFormatting sqref="Q16">
    <cfRule type="expression" dxfId="1015" priority="189" stopIfTrue="1">
      <formula>$DE16&lt;&gt;""</formula>
    </cfRule>
    <cfRule type="expression" dxfId="1014" priority="190" stopIfTrue="1">
      <formula>$EU16=1</formula>
    </cfRule>
  </conditionalFormatting>
  <conditionalFormatting sqref="Q17">
    <cfRule type="expression" dxfId="1013" priority="187" stopIfTrue="1">
      <formula>$DE17&lt;&gt;""</formula>
    </cfRule>
    <cfRule type="expression" dxfId="1012" priority="188" stopIfTrue="1">
      <formula>$EU17=1</formula>
    </cfRule>
  </conditionalFormatting>
  <conditionalFormatting sqref="Q18">
    <cfRule type="expression" dxfId="1011" priority="185" stopIfTrue="1">
      <formula>$DE18&lt;&gt;""</formula>
    </cfRule>
    <cfRule type="expression" dxfId="1010" priority="186" stopIfTrue="1">
      <formula>$EU18=1</formula>
    </cfRule>
  </conditionalFormatting>
  <conditionalFormatting sqref="Q20">
    <cfRule type="expression" dxfId="1009" priority="183" stopIfTrue="1">
      <formula>$DE20&lt;&gt;""</formula>
    </cfRule>
    <cfRule type="expression" dxfId="1008" priority="184" stopIfTrue="1">
      <formula>$EU20=1</formula>
    </cfRule>
  </conditionalFormatting>
  <conditionalFormatting sqref="Q21">
    <cfRule type="expression" dxfId="1007" priority="181" stopIfTrue="1">
      <formula>$DE21&lt;&gt;""</formula>
    </cfRule>
    <cfRule type="expression" dxfId="1006" priority="182" stopIfTrue="1">
      <formula>$EU21=1</formula>
    </cfRule>
  </conditionalFormatting>
  <conditionalFormatting sqref="Q22">
    <cfRule type="expression" dxfId="1005" priority="179" stopIfTrue="1">
      <formula>$DE22&lt;&gt;""</formula>
    </cfRule>
    <cfRule type="expression" dxfId="1004" priority="180" stopIfTrue="1">
      <formula>$EU22=1</formula>
    </cfRule>
  </conditionalFormatting>
  <conditionalFormatting sqref="Q23">
    <cfRule type="expression" dxfId="1003" priority="177" stopIfTrue="1">
      <formula>$DE23&lt;&gt;""</formula>
    </cfRule>
    <cfRule type="expression" dxfId="1002" priority="178" stopIfTrue="1">
      <formula>$EU23=1</formula>
    </cfRule>
  </conditionalFormatting>
  <conditionalFormatting sqref="Q24">
    <cfRule type="expression" dxfId="1001" priority="175" stopIfTrue="1">
      <formula>$DE24&lt;&gt;""</formula>
    </cfRule>
    <cfRule type="expression" dxfId="1000" priority="176" stopIfTrue="1">
      <formula>$EU24=1</formula>
    </cfRule>
  </conditionalFormatting>
  <conditionalFormatting sqref="Q26">
    <cfRule type="expression" dxfId="999" priority="173" stopIfTrue="1">
      <formula>$DE26&lt;&gt;""</formula>
    </cfRule>
    <cfRule type="expression" dxfId="998" priority="174" stopIfTrue="1">
      <formula>$EU26=1</formula>
    </cfRule>
  </conditionalFormatting>
  <conditionalFormatting sqref="Q27">
    <cfRule type="expression" dxfId="997" priority="171" stopIfTrue="1">
      <formula>$DE27&lt;&gt;""</formula>
    </cfRule>
    <cfRule type="expression" dxfId="996" priority="172" stopIfTrue="1">
      <formula>$EU27=1</formula>
    </cfRule>
  </conditionalFormatting>
  <conditionalFormatting sqref="Q28">
    <cfRule type="expression" dxfId="995" priority="169" stopIfTrue="1">
      <formula>$DE28&lt;&gt;""</formula>
    </cfRule>
    <cfRule type="expression" dxfId="994" priority="170" stopIfTrue="1">
      <formula>$EU28=1</formula>
    </cfRule>
  </conditionalFormatting>
  <conditionalFormatting sqref="Q29">
    <cfRule type="expression" dxfId="993" priority="167" stopIfTrue="1">
      <formula>$DE29&lt;&gt;""</formula>
    </cfRule>
    <cfRule type="expression" dxfId="992" priority="168" stopIfTrue="1">
      <formula>$EU29=1</formula>
    </cfRule>
  </conditionalFormatting>
  <conditionalFormatting sqref="Q30">
    <cfRule type="expression" dxfId="991" priority="165" stopIfTrue="1">
      <formula>$DE30&lt;&gt;""</formula>
    </cfRule>
    <cfRule type="expression" dxfId="990" priority="166" stopIfTrue="1">
      <formula>$EU30=1</formula>
    </cfRule>
  </conditionalFormatting>
  <conditionalFormatting sqref="Q32">
    <cfRule type="expression" dxfId="989" priority="163" stopIfTrue="1">
      <formula>$DE32&lt;&gt;""</formula>
    </cfRule>
    <cfRule type="expression" dxfId="988" priority="164" stopIfTrue="1">
      <formula>$EU32=1</formula>
    </cfRule>
  </conditionalFormatting>
  <conditionalFormatting sqref="Q33">
    <cfRule type="expression" dxfId="987" priority="161" stopIfTrue="1">
      <formula>$DE33&lt;&gt;""</formula>
    </cfRule>
    <cfRule type="expression" dxfId="986" priority="162" stopIfTrue="1">
      <formula>$EU33=1</formula>
    </cfRule>
  </conditionalFormatting>
  <conditionalFormatting sqref="Q34">
    <cfRule type="expression" dxfId="985" priority="159" stopIfTrue="1">
      <formula>$DE34&lt;&gt;""</formula>
    </cfRule>
    <cfRule type="expression" dxfId="984" priority="160" stopIfTrue="1">
      <formula>$EU34=1</formula>
    </cfRule>
  </conditionalFormatting>
  <conditionalFormatting sqref="Q35">
    <cfRule type="expression" dxfId="983" priority="157" stopIfTrue="1">
      <formula>$DE35&lt;&gt;""</formula>
    </cfRule>
    <cfRule type="expression" dxfId="982" priority="158" stopIfTrue="1">
      <formula>$EU35=1</formula>
    </cfRule>
  </conditionalFormatting>
  <conditionalFormatting sqref="Q36">
    <cfRule type="expression" dxfId="981" priority="155" stopIfTrue="1">
      <formula>$DE36&lt;&gt;""</formula>
    </cfRule>
    <cfRule type="expression" dxfId="980" priority="156" stopIfTrue="1">
      <formula>$EU36=1</formula>
    </cfRule>
  </conditionalFormatting>
  <conditionalFormatting sqref="Q38">
    <cfRule type="expression" dxfId="979" priority="153" stopIfTrue="1">
      <formula>$DE38&lt;&gt;""</formula>
    </cfRule>
    <cfRule type="expression" dxfId="978" priority="154" stopIfTrue="1">
      <formula>$EU38=1</formula>
    </cfRule>
  </conditionalFormatting>
  <conditionalFormatting sqref="Q39">
    <cfRule type="expression" dxfId="977" priority="151" stopIfTrue="1">
      <formula>$DE39&lt;&gt;""</formula>
    </cfRule>
    <cfRule type="expression" dxfId="976" priority="152" stopIfTrue="1">
      <formula>$EU39=1</formula>
    </cfRule>
  </conditionalFormatting>
  <conditionalFormatting sqref="Q40">
    <cfRule type="expression" dxfId="975" priority="149" stopIfTrue="1">
      <formula>$DE40&lt;&gt;""</formula>
    </cfRule>
    <cfRule type="expression" dxfId="974" priority="150" stopIfTrue="1">
      <formula>$EU40=1</formula>
    </cfRule>
  </conditionalFormatting>
  <conditionalFormatting sqref="Q41">
    <cfRule type="expression" dxfId="973" priority="147" stopIfTrue="1">
      <formula>$DE41&lt;&gt;""</formula>
    </cfRule>
    <cfRule type="expression" dxfId="972" priority="148" stopIfTrue="1">
      <formula>$EU41=1</formula>
    </cfRule>
  </conditionalFormatting>
  <conditionalFormatting sqref="Q42">
    <cfRule type="expression" dxfId="971" priority="145" stopIfTrue="1">
      <formula>$DE42&lt;&gt;""</formula>
    </cfRule>
    <cfRule type="expression" dxfId="970" priority="146" stopIfTrue="1">
      <formula>$EU42=1</formula>
    </cfRule>
  </conditionalFormatting>
  <conditionalFormatting sqref="Q44">
    <cfRule type="expression" dxfId="969" priority="143" stopIfTrue="1">
      <formula>$DE44&lt;&gt;""</formula>
    </cfRule>
    <cfRule type="expression" dxfId="968" priority="144" stopIfTrue="1">
      <formula>$EU44=1</formula>
    </cfRule>
  </conditionalFormatting>
  <conditionalFormatting sqref="Q45">
    <cfRule type="expression" dxfId="967" priority="141" stopIfTrue="1">
      <formula>$DE45&lt;&gt;""</formula>
    </cfRule>
    <cfRule type="expression" dxfId="966" priority="142" stopIfTrue="1">
      <formula>$EU45=1</formula>
    </cfRule>
  </conditionalFormatting>
  <conditionalFormatting sqref="Q46">
    <cfRule type="expression" dxfId="965" priority="139" stopIfTrue="1">
      <formula>$DE46&lt;&gt;""</formula>
    </cfRule>
    <cfRule type="expression" dxfId="964" priority="140" stopIfTrue="1">
      <formula>$EU46=1</formula>
    </cfRule>
  </conditionalFormatting>
  <conditionalFormatting sqref="Q47">
    <cfRule type="expression" dxfId="963" priority="137" stopIfTrue="1">
      <formula>$DE47&lt;&gt;""</formula>
    </cfRule>
    <cfRule type="expression" dxfId="962" priority="138" stopIfTrue="1">
      <formula>$EU47=1</formula>
    </cfRule>
  </conditionalFormatting>
  <conditionalFormatting sqref="Q48">
    <cfRule type="expression" dxfId="961" priority="135" stopIfTrue="1">
      <formula>$DE48&lt;&gt;""</formula>
    </cfRule>
    <cfRule type="expression" dxfId="960" priority="136" stopIfTrue="1">
      <formula>$EU48=1</formula>
    </cfRule>
  </conditionalFormatting>
  <conditionalFormatting sqref="Q50">
    <cfRule type="expression" dxfId="959" priority="133" stopIfTrue="1">
      <formula>$DE50&lt;&gt;""</formula>
    </cfRule>
    <cfRule type="expression" dxfId="958" priority="134" stopIfTrue="1">
      <formula>$EU50=1</formula>
    </cfRule>
  </conditionalFormatting>
  <conditionalFormatting sqref="Q51">
    <cfRule type="expression" dxfId="957" priority="131" stopIfTrue="1">
      <formula>$DE51&lt;&gt;""</formula>
    </cfRule>
    <cfRule type="expression" dxfId="956" priority="132" stopIfTrue="1">
      <formula>$EU51=1</formula>
    </cfRule>
  </conditionalFormatting>
  <conditionalFormatting sqref="Q52">
    <cfRule type="expression" dxfId="955" priority="129" stopIfTrue="1">
      <formula>$DE52&lt;&gt;""</formula>
    </cfRule>
    <cfRule type="expression" dxfId="954" priority="130" stopIfTrue="1">
      <formula>$EU52=1</formula>
    </cfRule>
  </conditionalFormatting>
  <conditionalFormatting sqref="Q53">
    <cfRule type="expression" dxfId="953" priority="127" stopIfTrue="1">
      <formula>$DE53&lt;&gt;""</formula>
    </cfRule>
    <cfRule type="expression" dxfId="952" priority="128" stopIfTrue="1">
      <formula>$EU53=1</formula>
    </cfRule>
  </conditionalFormatting>
  <conditionalFormatting sqref="Q54">
    <cfRule type="expression" dxfId="951" priority="125" stopIfTrue="1">
      <formula>$DE54&lt;&gt;""</formula>
    </cfRule>
    <cfRule type="expression" dxfId="950" priority="126" stopIfTrue="1">
      <formula>$EU54=1</formula>
    </cfRule>
  </conditionalFormatting>
  <conditionalFormatting sqref="Q56">
    <cfRule type="expression" dxfId="949" priority="123" stopIfTrue="1">
      <formula>$DE56&lt;&gt;""</formula>
    </cfRule>
    <cfRule type="expression" dxfId="948" priority="124" stopIfTrue="1">
      <formula>$EU56=1</formula>
    </cfRule>
  </conditionalFormatting>
  <conditionalFormatting sqref="Q57">
    <cfRule type="expression" dxfId="947" priority="121" stopIfTrue="1">
      <formula>$DE57&lt;&gt;""</formula>
    </cfRule>
    <cfRule type="expression" dxfId="946" priority="122" stopIfTrue="1">
      <formula>$EU57=1</formula>
    </cfRule>
  </conditionalFormatting>
  <conditionalFormatting sqref="Q58">
    <cfRule type="expression" dxfId="945" priority="119" stopIfTrue="1">
      <formula>$DE58&lt;&gt;""</formula>
    </cfRule>
    <cfRule type="expression" dxfId="944" priority="120" stopIfTrue="1">
      <formula>$EU58=1</formula>
    </cfRule>
  </conditionalFormatting>
  <conditionalFormatting sqref="Q59">
    <cfRule type="expression" dxfId="943" priority="117" stopIfTrue="1">
      <formula>$DE59&lt;&gt;""</formula>
    </cfRule>
    <cfRule type="expression" dxfId="942" priority="118" stopIfTrue="1">
      <formula>$EU59=1</formula>
    </cfRule>
  </conditionalFormatting>
  <conditionalFormatting sqref="Q60">
    <cfRule type="expression" dxfId="941" priority="115" stopIfTrue="1">
      <formula>$DE60&lt;&gt;""</formula>
    </cfRule>
    <cfRule type="expression" dxfId="940" priority="116" stopIfTrue="1">
      <formula>$EU60=1</formula>
    </cfRule>
  </conditionalFormatting>
  <conditionalFormatting sqref="Q62">
    <cfRule type="expression" dxfId="939" priority="113" stopIfTrue="1">
      <formula>$DE62&lt;&gt;""</formula>
    </cfRule>
    <cfRule type="expression" dxfId="938" priority="114" stopIfTrue="1">
      <formula>$EU62=1</formula>
    </cfRule>
  </conditionalFormatting>
  <conditionalFormatting sqref="Q63">
    <cfRule type="expression" dxfId="937" priority="111" stopIfTrue="1">
      <formula>$DE63&lt;&gt;""</formula>
    </cfRule>
    <cfRule type="expression" dxfId="936" priority="112" stopIfTrue="1">
      <formula>$EU63=1</formula>
    </cfRule>
  </conditionalFormatting>
  <conditionalFormatting sqref="Q64">
    <cfRule type="expression" dxfId="935" priority="109" stopIfTrue="1">
      <formula>$DE64&lt;&gt;""</formula>
    </cfRule>
    <cfRule type="expression" dxfId="934" priority="110" stopIfTrue="1">
      <formula>$EU64=1</formula>
    </cfRule>
  </conditionalFormatting>
  <conditionalFormatting sqref="Q65">
    <cfRule type="expression" dxfId="933" priority="107" stopIfTrue="1">
      <formula>$DE65&lt;&gt;""</formula>
    </cfRule>
    <cfRule type="expression" dxfId="932" priority="108" stopIfTrue="1">
      <formula>$EU65=1</formula>
    </cfRule>
  </conditionalFormatting>
  <conditionalFormatting sqref="Q66">
    <cfRule type="expression" dxfId="931" priority="105" stopIfTrue="1">
      <formula>$DE66&lt;&gt;""</formula>
    </cfRule>
    <cfRule type="expression" dxfId="930" priority="106" stopIfTrue="1">
      <formula>$EU66=1</formula>
    </cfRule>
  </conditionalFormatting>
  <conditionalFormatting sqref="L13">
    <cfRule type="expression" dxfId="929" priority="93" stopIfTrue="1">
      <formula>$B8=$B14</formula>
    </cfRule>
    <cfRule type="expression" dxfId="928" priority="94" stopIfTrue="1">
      <formula>M13=0</formula>
    </cfRule>
    <cfRule type="expression" dxfId="927" priority="95" stopIfTrue="1">
      <formula>L13=0</formula>
    </cfRule>
    <cfRule type="expression" dxfId="926" priority="96" stopIfTrue="1">
      <formula>$BE$3=1</formula>
    </cfRule>
  </conditionalFormatting>
  <conditionalFormatting sqref="L19">
    <cfRule type="expression" dxfId="925" priority="89" stopIfTrue="1">
      <formula>$B14=$B20</formula>
    </cfRule>
    <cfRule type="expression" dxfId="924" priority="90" stopIfTrue="1">
      <formula>M19=0</formula>
    </cfRule>
    <cfRule type="expression" dxfId="923" priority="91" stopIfTrue="1">
      <formula>L19=0</formula>
    </cfRule>
    <cfRule type="expression" dxfId="922" priority="92" stopIfTrue="1">
      <formula>$BE$3=1</formula>
    </cfRule>
  </conditionalFormatting>
  <conditionalFormatting sqref="L25">
    <cfRule type="expression" dxfId="921" priority="85" stopIfTrue="1">
      <formula>$B20=$B26</formula>
    </cfRule>
    <cfRule type="expression" dxfId="920" priority="86" stopIfTrue="1">
      <formula>M25=0</formula>
    </cfRule>
    <cfRule type="expression" dxfId="919" priority="87" stopIfTrue="1">
      <formula>L25=0</formula>
    </cfRule>
    <cfRule type="expression" dxfId="918" priority="88" stopIfTrue="1">
      <formula>$BE$3=1</formula>
    </cfRule>
  </conditionalFormatting>
  <conditionalFormatting sqref="L31">
    <cfRule type="expression" dxfId="917" priority="81" stopIfTrue="1">
      <formula>$B26=$B32</formula>
    </cfRule>
    <cfRule type="expression" dxfId="916" priority="82" stopIfTrue="1">
      <formula>M31=0</formula>
    </cfRule>
    <cfRule type="expression" dxfId="915" priority="83" stopIfTrue="1">
      <formula>L31=0</formula>
    </cfRule>
    <cfRule type="expression" dxfId="914" priority="84" stopIfTrue="1">
      <formula>$BE$3=1</formula>
    </cfRule>
  </conditionalFormatting>
  <conditionalFormatting sqref="L37">
    <cfRule type="expression" dxfId="913" priority="77" stopIfTrue="1">
      <formula>$B32=$B38</formula>
    </cfRule>
    <cfRule type="expression" dxfId="912" priority="78" stopIfTrue="1">
      <formula>M37=0</formula>
    </cfRule>
    <cfRule type="expression" dxfId="911" priority="79" stopIfTrue="1">
      <formula>L37=0</formula>
    </cfRule>
    <cfRule type="expression" dxfId="910" priority="80" stopIfTrue="1">
      <formula>$BE$3=1</formula>
    </cfRule>
  </conditionalFormatting>
  <conditionalFormatting sqref="L43">
    <cfRule type="expression" dxfId="909" priority="73" stopIfTrue="1">
      <formula>$B38=$B44</formula>
    </cfRule>
    <cfRule type="expression" dxfId="908" priority="74" stopIfTrue="1">
      <formula>M43=0</formula>
    </cfRule>
    <cfRule type="expression" dxfId="907" priority="75" stopIfTrue="1">
      <formula>L43=0</formula>
    </cfRule>
    <cfRule type="expression" dxfId="906" priority="76" stopIfTrue="1">
      <formula>$BE$3=1</formula>
    </cfRule>
  </conditionalFormatting>
  <conditionalFormatting sqref="L49">
    <cfRule type="expression" dxfId="905" priority="69" stopIfTrue="1">
      <formula>$B44=$B50</formula>
    </cfRule>
    <cfRule type="expression" dxfId="904" priority="70" stopIfTrue="1">
      <formula>M49=0</formula>
    </cfRule>
    <cfRule type="expression" dxfId="903" priority="71" stopIfTrue="1">
      <formula>L49=0</formula>
    </cfRule>
    <cfRule type="expression" dxfId="902" priority="72" stopIfTrue="1">
      <formula>$BE$3=1</formula>
    </cfRule>
  </conditionalFormatting>
  <conditionalFormatting sqref="L55">
    <cfRule type="expression" dxfId="901" priority="65" stopIfTrue="1">
      <formula>$B50=$B56</formula>
    </cfRule>
    <cfRule type="expression" dxfId="900" priority="66" stopIfTrue="1">
      <formula>M55=0</formula>
    </cfRule>
    <cfRule type="expression" dxfId="899" priority="67" stopIfTrue="1">
      <formula>L55=0</formula>
    </cfRule>
    <cfRule type="expression" dxfId="898" priority="68" stopIfTrue="1">
      <formula>$BE$3=1</formula>
    </cfRule>
  </conditionalFormatting>
  <conditionalFormatting sqref="L61">
    <cfRule type="expression" dxfId="897" priority="61" stopIfTrue="1">
      <formula>$B56=$B62</formula>
    </cfRule>
    <cfRule type="expression" dxfId="896" priority="62" stopIfTrue="1">
      <formula>M61=0</formula>
    </cfRule>
    <cfRule type="expression" dxfId="895" priority="63" stopIfTrue="1">
      <formula>L61=0</formula>
    </cfRule>
    <cfRule type="expression" dxfId="894" priority="64" stopIfTrue="1">
      <formula>$BE$3=1</formula>
    </cfRule>
  </conditionalFormatting>
  <conditionalFormatting sqref="L67">
    <cfRule type="expression" dxfId="893" priority="57" stopIfTrue="1">
      <formula>$B62=$B68</formula>
    </cfRule>
    <cfRule type="expression" dxfId="892" priority="58" stopIfTrue="1">
      <formula>M67=0</formula>
    </cfRule>
    <cfRule type="expression" dxfId="891" priority="59" stopIfTrue="1">
      <formula>L67=0</formula>
    </cfRule>
    <cfRule type="expression" dxfId="890" priority="60" stopIfTrue="1">
      <formula>$BE$3=1</formula>
    </cfRule>
  </conditionalFormatting>
  <conditionalFormatting sqref="L73">
    <cfRule type="expression" dxfId="889" priority="53" stopIfTrue="1">
      <formula>$B68=$B74</formula>
    </cfRule>
    <cfRule type="expression" dxfId="888" priority="54" stopIfTrue="1">
      <formula>M73=0</formula>
    </cfRule>
    <cfRule type="expression" dxfId="887" priority="55" stopIfTrue="1">
      <formula>L73=0</formula>
    </cfRule>
    <cfRule type="expression" dxfId="886" priority="56" stopIfTrue="1">
      <formula>$BE$3=1</formula>
    </cfRule>
  </conditionalFormatting>
  <conditionalFormatting sqref="L79">
    <cfRule type="expression" dxfId="885" priority="49" stopIfTrue="1">
      <formula>$B74=$B80</formula>
    </cfRule>
    <cfRule type="expression" dxfId="884" priority="50" stopIfTrue="1">
      <formula>M79=0</formula>
    </cfRule>
    <cfRule type="expression" dxfId="883" priority="51" stopIfTrue="1">
      <formula>L79=0</formula>
    </cfRule>
    <cfRule type="expression" dxfId="882" priority="52" stopIfTrue="1">
      <formula>$BE$3=1</formula>
    </cfRule>
  </conditionalFormatting>
  <conditionalFormatting sqref="N13">
    <cfRule type="expression" dxfId="881" priority="45" stopIfTrue="1">
      <formula>$B8=$B14</formula>
    </cfRule>
    <cfRule type="expression" dxfId="880" priority="46" stopIfTrue="1">
      <formula>O13=0</formula>
    </cfRule>
    <cfRule type="expression" dxfId="879" priority="47" stopIfTrue="1">
      <formula>N13=0</formula>
    </cfRule>
    <cfRule type="expression" dxfId="878" priority="48" stopIfTrue="1">
      <formula>$BE$3=1</formula>
    </cfRule>
  </conditionalFormatting>
  <conditionalFormatting sqref="N19">
    <cfRule type="expression" dxfId="877" priority="41" stopIfTrue="1">
      <formula>$B14=$B20</formula>
    </cfRule>
    <cfRule type="expression" dxfId="876" priority="42" stopIfTrue="1">
      <formula>O19=0</formula>
    </cfRule>
    <cfRule type="expression" dxfId="875" priority="43" stopIfTrue="1">
      <formula>N19=0</formula>
    </cfRule>
    <cfRule type="expression" dxfId="874" priority="44" stopIfTrue="1">
      <formula>$BE$3=1</formula>
    </cfRule>
  </conditionalFormatting>
  <conditionalFormatting sqref="N25">
    <cfRule type="expression" dxfId="873" priority="37" stopIfTrue="1">
      <formula>$B20=$B26</formula>
    </cfRule>
    <cfRule type="expression" dxfId="872" priority="38" stopIfTrue="1">
      <formula>O25=0</formula>
    </cfRule>
    <cfRule type="expression" dxfId="871" priority="39" stopIfTrue="1">
      <formula>N25=0</formula>
    </cfRule>
    <cfRule type="expression" dxfId="870" priority="40" stopIfTrue="1">
      <formula>$BE$3=1</formula>
    </cfRule>
  </conditionalFormatting>
  <conditionalFormatting sqref="N31">
    <cfRule type="expression" dxfId="869" priority="33" stopIfTrue="1">
      <formula>$B26=$B32</formula>
    </cfRule>
    <cfRule type="expression" dxfId="868" priority="34" stopIfTrue="1">
      <formula>O31=0</formula>
    </cfRule>
    <cfRule type="expression" dxfId="867" priority="35" stopIfTrue="1">
      <formula>N31=0</formula>
    </cfRule>
    <cfRule type="expression" dxfId="866" priority="36" stopIfTrue="1">
      <formula>$BE$3=1</formula>
    </cfRule>
  </conditionalFormatting>
  <conditionalFormatting sqref="N37">
    <cfRule type="expression" dxfId="865" priority="29" stopIfTrue="1">
      <formula>$B32=$B38</formula>
    </cfRule>
    <cfRule type="expression" dxfId="864" priority="30" stopIfTrue="1">
      <formula>O37=0</formula>
    </cfRule>
    <cfRule type="expression" dxfId="863" priority="31" stopIfTrue="1">
      <formula>N37=0</formula>
    </cfRule>
    <cfRule type="expression" dxfId="862" priority="32" stopIfTrue="1">
      <formula>$BE$3=1</formula>
    </cfRule>
  </conditionalFormatting>
  <conditionalFormatting sqref="N43">
    <cfRule type="expression" dxfId="861" priority="25" stopIfTrue="1">
      <formula>$B38=$B44</formula>
    </cfRule>
    <cfRule type="expression" dxfId="860" priority="26" stopIfTrue="1">
      <formula>O43=0</formula>
    </cfRule>
    <cfRule type="expression" dxfId="859" priority="27" stopIfTrue="1">
      <formula>N43=0</formula>
    </cfRule>
    <cfRule type="expression" dxfId="858" priority="28" stopIfTrue="1">
      <formula>$BE$3=1</formula>
    </cfRule>
  </conditionalFormatting>
  <conditionalFormatting sqref="N49">
    <cfRule type="expression" dxfId="857" priority="21" stopIfTrue="1">
      <formula>$B44=$B50</formula>
    </cfRule>
    <cfRule type="expression" dxfId="856" priority="22" stopIfTrue="1">
      <formula>O49=0</formula>
    </cfRule>
    <cfRule type="expression" dxfId="855" priority="23" stopIfTrue="1">
      <formula>N49=0</formula>
    </cfRule>
    <cfRule type="expression" dxfId="854" priority="24" stopIfTrue="1">
      <formula>$BE$3=1</formula>
    </cfRule>
  </conditionalFormatting>
  <conditionalFormatting sqref="N55">
    <cfRule type="expression" dxfId="853" priority="17" stopIfTrue="1">
      <formula>$B50=$B56</formula>
    </cfRule>
    <cfRule type="expression" dxfId="852" priority="18" stopIfTrue="1">
      <formula>O55=0</formula>
    </cfRule>
    <cfRule type="expression" dxfId="851" priority="19" stopIfTrue="1">
      <formula>N55=0</formula>
    </cfRule>
    <cfRule type="expression" dxfId="850" priority="20" stopIfTrue="1">
      <formula>$BE$3=1</formula>
    </cfRule>
  </conditionalFormatting>
  <conditionalFormatting sqref="N61">
    <cfRule type="expression" dxfId="849" priority="13" stopIfTrue="1">
      <formula>$B56=$B62</formula>
    </cfRule>
    <cfRule type="expression" dxfId="848" priority="14" stopIfTrue="1">
      <formula>O61=0</formula>
    </cfRule>
    <cfRule type="expression" dxfId="847" priority="15" stopIfTrue="1">
      <formula>N61=0</formula>
    </cfRule>
    <cfRule type="expression" dxfId="846" priority="16" stopIfTrue="1">
      <formula>$BE$3=1</formula>
    </cfRule>
  </conditionalFormatting>
  <conditionalFormatting sqref="N67">
    <cfRule type="expression" dxfId="845" priority="9" stopIfTrue="1">
      <formula>$B62=$B68</formula>
    </cfRule>
    <cfRule type="expression" dxfId="844" priority="10" stopIfTrue="1">
      <formula>O67=0</formula>
    </cfRule>
    <cfRule type="expression" dxfId="843" priority="11" stopIfTrue="1">
      <formula>N67=0</formula>
    </cfRule>
    <cfRule type="expression" dxfId="842" priority="12" stopIfTrue="1">
      <formula>$BE$3=1</formula>
    </cfRule>
  </conditionalFormatting>
  <conditionalFormatting sqref="N73">
    <cfRule type="expression" dxfId="841" priority="5" stopIfTrue="1">
      <formula>$B68=$B74</formula>
    </cfRule>
    <cfRule type="expression" dxfId="840" priority="6" stopIfTrue="1">
      <formula>O73=0</formula>
    </cfRule>
    <cfRule type="expression" dxfId="839" priority="7" stopIfTrue="1">
      <formula>N73=0</formula>
    </cfRule>
    <cfRule type="expression" dxfId="838" priority="8" stopIfTrue="1">
      <formula>$BE$3=1</formula>
    </cfRule>
  </conditionalFormatting>
  <conditionalFormatting sqref="N79">
    <cfRule type="expression" dxfId="837" priority="1" stopIfTrue="1">
      <formula>$B74=$B80</formula>
    </cfRule>
    <cfRule type="expression" dxfId="836" priority="2" stopIfTrue="1">
      <formula>O79=0</formula>
    </cfRule>
    <cfRule type="expression" dxfId="835" priority="3" stopIfTrue="1">
      <formula>N79=0</formula>
    </cfRule>
    <cfRule type="expression" dxfId="834" priority="4" stopIfTrue="1">
      <formula>$BE$3=1</formula>
    </cfRule>
  </conditionalFormatting>
  <dataValidations count="10">
    <dataValidation type="decimal" allowBlank="1" showInputMessage="1" showErrorMessage="1" sqref="F62:F66 F26:F30 F74:F78 F44:F48 F38:F42 F56:F60 F50:F54 F20:F24 F32:F36 F14:F18 F68:F72 F8:F12" xr:uid="{00000000-0002-0000-0C00-000000000000}">
      <formula1>0</formula1>
      <formula2>200</formula2>
    </dataValidation>
    <dataValidation type="list" allowBlank="1" showInputMessage="1" showErrorMessage="1" sqref="D20:D24 D74:D78 D26:D30 D32:D36 D14:D18 D38:D42 D44:D48 D50:D54 D56:D60 D62:D66 D68:D72 D8:D12" xr:uid="{00000000-0002-0000-0C00-000001000000}">
      <formula1>$BG$11:$BG$14</formula1>
    </dataValidation>
    <dataValidation type="list" allowBlank="1" showInputMessage="1" showErrorMessage="1" sqref="E14:E18 E8:E12 E20:E24 E68:E72 E74:E78 E32:E36 E38:E42 E44:E48 E50:E54 E56:E60 E62:E66 E26:E30" xr:uid="{00000000-0002-0000-0C00-000002000000}">
      <formula1>$BG$15:$BG$17</formula1>
    </dataValidation>
    <dataValidation type="list" allowBlank="1" showInputMessage="1" showErrorMessage="1" sqref="B5" xr:uid="{00000000-0002-0000-0C00-000003000000}">
      <formula1>$BF$9:$BF$10</formula1>
    </dataValidation>
    <dataValidation type="list" allowBlank="1" showInputMessage="1" showErrorMessage="1" sqref="I44:I48 I14:I18 I56:I60 I50:I54 I62:I66 I38:I42 I32:I36 I8:I12 I26:I30 I20:I24 I68:I72 I74:I78" xr:uid="{00000000-0002-0000-0C00-000004000000}">
      <formula1>$BF$11:$BF$45</formula1>
    </dataValidation>
    <dataValidation type="list" allowBlank="1" showInputMessage="1" showErrorMessage="1" sqref="K50:K54 K14:K18 K8:K12 K20:K24 K44:K48 K38:K42 K32:K36 K26:K30 K68:K72 K62:K66 K56:K60 K74:K78" xr:uid="{00000000-0002-0000-0C00-000005000000}">
      <formula1>$BH$12:$BH$14</formula1>
    </dataValidation>
    <dataValidation type="decimal" allowBlank="1" showInputMessage="1" showErrorMessage="1" sqref="G8:G12 G14:G18 G20:G24 G26:G30 G32:G36 G38:G42 G44:G48 G50:G54 G56:G60 G62:G66 G68:G72 G74:G78" xr:uid="{00000000-0002-0000-0C00-000006000000}">
      <formula1>0</formula1>
      <formula2>90</formula2>
    </dataValidation>
    <dataValidation type="list" allowBlank="1" showErrorMessage="1" error="Select &quot;T&quot; - Tested or &quot;E&quot; - Specific Engineered" sqref="AK165:AL165 AK155:AL155 AW36:AX41" xr:uid="{00000000-0002-0000-0C00-000007000000}">
      <formula1>#REF!</formula1>
    </dataValidation>
    <dataValidation type="list" allowBlank="1" showInputMessage="1" showErrorMessage="1" sqref="I6" xr:uid="{00000000-0002-0000-0C00-000008000000}">
      <formula1>$BG$8:$BH$8</formula1>
    </dataValidation>
    <dataValidation type="decimal" allowBlank="1" showInputMessage="1" showErrorMessage="1" sqref="L13 L19 L25 L31 L37 L43 L49 L55 L61 L67 L73 L79 N13 N19 N25 N31 N37 N43 N49 N55 N61 N67 N73 N79" xr:uid="{00000000-0002-0000-0C00-000009000000}">
      <formula1>0</formula1>
      <formula2>100000</formula2>
    </dataValidation>
  </dataValidations>
  <printOptions horizontalCentered="1"/>
  <pageMargins left="0.31496062992125984" right="0.31496062992125984" top="0.51181102362204722" bottom="0.47244094488188981" header="0.23622047244094491" footer="0.23622047244094491"/>
  <pageSetup paperSize="9" scale="55" orientation="portrait" r:id="rId1"/>
  <headerFooter>
    <oddHeader>&amp;L&amp;D&amp;C&amp;F
&amp;A&amp;RPage &amp;P of &amp;N</oddHeader>
    <oddFooter>&amp;LPage &amp;P of &amp;N&amp;C&amp;F
&amp;A&amp;R&amp;D</oddFooter>
  </headerFooter>
  <colBreaks count="1" manualBreakCount="1">
    <brk id="21" min="1" max="62"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indexed="11"/>
    <pageSetUpPr fitToPage="1"/>
  </sheetPr>
  <dimension ref="A1:EY216"/>
  <sheetViews>
    <sheetView showGridLines="0" zoomScale="85" zoomScaleNormal="85" zoomScaleSheetLayoutView="70" workbookViewId="0">
      <pane xSplit="1" ySplit="7" topLeftCell="B8" activePane="bottomRight" state="frozen"/>
      <selection activeCell="K9" sqref="K9"/>
      <selection pane="topRight" activeCell="K9" sqref="K9"/>
      <selection pane="bottomLeft" activeCell="K9" sqref="K9"/>
      <selection pane="bottomRight" activeCell="F8" sqref="F8"/>
    </sheetView>
  </sheetViews>
  <sheetFormatPr defaultRowHeight="12.75"/>
  <cols>
    <col min="1" max="1" width="3.7109375" style="1" customWidth="1"/>
    <col min="2" max="2" width="6.28515625" customWidth="1"/>
    <col min="3" max="3" width="8.140625" style="3" customWidth="1"/>
    <col min="4" max="4" width="12.28515625" style="9" customWidth="1"/>
    <col min="5" max="5" width="12.7109375" style="9" customWidth="1"/>
    <col min="6" max="6" width="8.7109375" style="5" customWidth="1"/>
    <col min="7" max="7" width="8.5703125" customWidth="1"/>
    <col min="8" max="8" width="8.42578125" style="1" customWidth="1"/>
    <col min="9" max="9" width="14.7109375" customWidth="1"/>
    <col min="10" max="10" width="11.7109375" customWidth="1"/>
    <col min="11" max="11" width="15.7109375" style="1" customWidth="1"/>
    <col min="12" max="12" width="9.42578125" style="9" customWidth="1"/>
    <col min="13" max="13" width="9.42578125" style="1" customWidth="1"/>
    <col min="14" max="14" width="9.42578125" style="9" customWidth="1"/>
    <col min="15" max="15" width="9.42578125" style="1" customWidth="1"/>
    <col min="16" max="16" width="1.7109375" style="1" customWidth="1"/>
    <col min="17" max="17" width="38" style="9" customWidth="1"/>
    <col min="18" max="18" width="7.5703125" style="451" hidden="1" customWidth="1"/>
    <col min="19" max="19" width="4.7109375" style="451" hidden="1" customWidth="1"/>
    <col min="20" max="20" width="8" style="451" hidden="1" customWidth="1"/>
    <col min="21" max="21" width="6.5703125" style="451" hidden="1" customWidth="1"/>
    <col min="22" max="22" width="7.5703125" style="451" hidden="1" customWidth="1"/>
    <col min="23" max="24" width="8.7109375" style="451" hidden="1" customWidth="1"/>
    <col min="25" max="25" width="6.140625" style="509" hidden="1" customWidth="1"/>
    <col min="26" max="26" width="8.7109375" style="451" hidden="1" customWidth="1"/>
    <col min="27" max="27" width="8.7109375" style="426" hidden="1" customWidth="1"/>
    <col min="28" max="28" width="10.85546875" style="426" hidden="1" customWidth="1"/>
    <col min="29" max="29" width="2.7109375" style="2" customWidth="1"/>
    <col min="30" max="31" width="8.7109375" style="2" customWidth="1"/>
    <col min="32" max="34" width="8.7109375" style="4" customWidth="1"/>
    <col min="35" max="35" width="3.7109375" style="4" customWidth="1"/>
    <col min="36" max="37" width="8.7109375" style="4" hidden="1" customWidth="1"/>
    <col min="38" max="38" width="13.7109375" style="4" hidden="1" customWidth="1"/>
    <col min="39" max="39" width="8.7109375" style="10" hidden="1" customWidth="1"/>
    <col min="40" max="41" width="8.7109375" style="430" hidden="1" customWidth="1"/>
    <col min="42" max="42" width="3.28515625" style="430" hidden="1" customWidth="1"/>
    <col min="43" max="44" width="10.7109375" style="430" hidden="1" customWidth="1"/>
    <col min="45" max="45" width="11.140625" style="430" hidden="1" customWidth="1"/>
    <col min="46" max="46" width="37.7109375" style="430" hidden="1" customWidth="1"/>
    <col min="47" max="47" width="8.7109375" style="430" customWidth="1"/>
    <col min="48" max="48" width="14.5703125" style="430" hidden="1" customWidth="1"/>
    <col min="49" max="49" width="2.140625" style="430" hidden="1" customWidth="1"/>
    <col min="50" max="50" width="15.5703125" style="430" hidden="1" customWidth="1"/>
    <col min="51" max="51" width="3.28515625" style="430" customWidth="1"/>
    <col min="52" max="52" width="11.28515625" style="430" hidden="1" customWidth="1"/>
    <col min="53" max="55" width="8.7109375" style="430" customWidth="1"/>
    <col min="56" max="56" width="2.7109375" style="430" hidden="1" customWidth="1"/>
    <col min="57" max="57" width="6.7109375" style="4" hidden="1" customWidth="1"/>
    <col min="58" max="58" width="11.85546875" style="430" hidden="1" customWidth="1"/>
    <col min="59" max="59" width="15.140625" style="430" hidden="1" customWidth="1"/>
    <col min="60" max="60" width="13.7109375" style="51" hidden="1" customWidth="1"/>
    <col min="61" max="61" width="5.140625" style="51" hidden="1" customWidth="1"/>
    <col min="62" max="62" width="7.28515625" style="51" hidden="1" customWidth="1"/>
    <col min="63" max="63" width="10.5703125" style="426" hidden="1" customWidth="1"/>
    <col min="64" max="64" width="12" style="430" hidden="1" customWidth="1"/>
    <col min="65" max="65" width="8" style="52" hidden="1" customWidth="1"/>
    <col min="66" max="66" width="8.5703125" style="52" hidden="1" customWidth="1"/>
    <col min="67" max="67" width="9.42578125" style="52" hidden="1" customWidth="1"/>
    <col min="68" max="68" width="8.7109375" style="52" hidden="1" customWidth="1"/>
    <col min="69" max="69" width="3" style="51" hidden="1" customWidth="1"/>
    <col min="70" max="70" width="9.7109375" style="52" hidden="1" customWidth="1"/>
    <col min="71" max="71" width="9.140625" style="52" hidden="1" customWidth="1"/>
    <col min="72" max="72" width="6.7109375" style="52" hidden="1" customWidth="1"/>
    <col min="73" max="73" width="7.5703125" style="52" hidden="1" customWidth="1"/>
    <col min="74" max="74" width="10.7109375" style="51" hidden="1" customWidth="1"/>
    <col min="75" max="75" width="6.42578125" style="51" hidden="1" customWidth="1"/>
    <col min="76" max="76" width="8" style="51" hidden="1" customWidth="1"/>
    <col min="77" max="85" width="0.85546875" style="51" hidden="1" customWidth="1"/>
    <col min="86" max="87" width="9.140625" style="52" hidden="1" customWidth="1"/>
    <col min="88" max="88" width="7.5703125" style="51" hidden="1" customWidth="1"/>
    <col min="89" max="89" width="6.42578125" style="51" hidden="1" customWidth="1"/>
    <col min="90" max="90" width="16.7109375" style="779" hidden="1" customWidth="1"/>
    <col min="91" max="91" width="4.42578125" style="188" hidden="1" customWidth="1"/>
    <col min="92" max="92" width="15.5703125" style="779" hidden="1" customWidth="1"/>
    <col min="93" max="93" width="10.28515625" style="779" hidden="1" customWidth="1"/>
    <col min="94" max="104" width="9.140625" style="188" hidden="1" customWidth="1"/>
    <col min="105" max="106" width="9.140625" style="51" hidden="1" customWidth="1"/>
    <col min="107" max="107" width="10.85546875" style="993" hidden="1" customWidth="1"/>
    <col min="108" max="108" width="9.140625" style="51" hidden="1" customWidth="1"/>
    <col min="109" max="110" width="19.85546875" style="51" hidden="1" customWidth="1"/>
    <col min="111" max="122" width="9.140625" style="426" hidden="1" customWidth="1"/>
    <col min="123" max="123" width="13.140625" style="426" hidden="1" customWidth="1"/>
    <col min="124" max="124" width="14.42578125" style="426" hidden="1" customWidth="1"/>
    <col min="125" max="136" width="9.140625" style="426" hidden="1" customWidth="1"/>
    <col min="137" max="137" width="11.42578125" style="426" hidden="1" customWidth="1"/>
    <col min="138" max="138" width="11.140625" style="426" hidden="1" customWidth="1"/>
    <col min="139" max="142" width="9.140625" style="426" hidden="1" customWidth="1"/>
    <col min="143" max="143" width="8.42578125" style="426" hidden="1" customWidth="1"/>
    <col min="144" max="145" width="9.140625" style="426" hidden="1" customWidth="1"/>
    <col min="146" max="146" width="9.140625" style="497" hidden="1" customWidth="1"/>
    <col min="147" max="147" width="9.140625" style="430" hidden="1" customWidth="1"/>
    <col min="148" max="153" width="9.140625" style="426" hidden="1" customWidth="1"/>
    <col min="154" max="154" width="9.140625" style="426"/>
  </cols>
  <sheetData>
    <row r="1" spans="1:155" ht="24" customHeight="1" thickBot="1">
      <c r="L1" s="2638" t="s">
        <v>1</v>
      </c>
      <c r="M1" s="2639"/>
      <c r="N1" s="2638" t="s">
        <v>17</v>
      </c>
      <c r="O1" s="2788"/>
      <c r="AD1" s="2763" t="s">
        <v>1089</v>
      </c>
      <c r="AE1" s="2764"/>
      <c r="AF1" s="2764"/>
      <c r="AG1" s="2765"/>
      <c r="AH1" s="2"/>
      <c r="AN1" s="1412"/>
      <c r="AO1" s="2891"/>
      <c r="AP1" s="2891"/>
      <c r="AQ1" s="2891"/>
      <c r="AR1" s="2891"/>
      <c r="AS1" s="2891"/>
      <c r="AT1" s="2891"/>
      <c r="AU1" s="51"/>
      <c r="AV1" s="51"/>
      <c r="AW1" s="51"/>
      <c r="AX1" s="51"/>
      <c r="AY1" s="51"/>
      <c r="AZ1" s="51"/>
      <c r="BA1" s="51"/>
      <c r="BB1" s="51"/>
      <c r="BC1" s="51"/>
      <c r="BD1" s="641"/>
      <c r="BE1" s="641"/>
      <c r="BF1" s="652"/>
      <c r="BG1" s="652"/>
      <c r="BH1" s="652"/>
      <c r="BI1" s="759"/>
      <c r="BJ1" s="759"/>
      <c r="BK1" s="931"/>
      <c r="BL1" s="759"/>
      <c r="BM1" s="760"/>
      <c r="BN1" s="760"/>
      <c r="BO1" s="760"/>
      <c r="BP1" s="760"/>
      <c r="BQ1" s="759"/>
      <c r="BR1" s="760"/>
      <c r="BS1" s="760"/>
      <c r="BT1" s="760"/>
      <c r="BU1" s="760"/>
      <c r="BV1" s="759"/>
      <c r="BW1" s="759"/>
      <c r="BX1" s="759"/>
      <c r="BY1" s="759"/>
      <c r="BZ1" s="759"/>
      <c r="CA1" s="759"/>
      <c r="CB1" s="759"/>
      <c r="CC1" s="759"/>
      <c r="CD1" s="759"/>
      <c r="CE1" s="759"/>
      <c r="CF1" s="759"/>
      <c r="CG1" s="759"/>
      <c r="CH1" s="760"/>
      <c r="CI1" s="760"/>
      <c r="CJ1" s="759"/>
      <c r="CK1" s="188"/>
    </row>
    <row r="2" spans="1:155" ht="24" customHeight="1" thickBot="1">
      <c r="B2" s="2690" t="str">
        <f>'Terms and Conditions'!B19</f>
        <v>Elephant QuickBrace™ September 2018  V.1.0</v>
      </c>
      <c r="C2" s="2691"/>
      <c r="D2" s="2691"/>
      <c r="E2" s="2691"/>
      <c r="F2" s="2691"/>
      <c r="G2" s="2691"/>
      <c r="H2" s="2692"/>
      <c r="I2" s="2693" t="s">
        <v>358</v>
      </c>
      <c r="J2" s="2694"/>
      <c r="K2" s="123" t="s">
        <v>341</v>
      </c>
      <c r="L2" s="124">
        <f ca="1">M2/M3</f>
        <v>0</v>
      </c>
      <c r="M2" s="1544">
        <f ca="1">(SUM(M8:M12)+SUM(M14:M18)+SUM(M20:M24)+SUM(M26:M30)+SUM(M32:M36)+SUM(M38:M42)+SUM(M44:M48)+SUM(M50:M54)+SUM(M56:M60)+SUM(M62:M66)+SUM(M68:M72)+SUM(M74:M78))</f>
        <v>0</v>
      </c>
      <c r="N2" s="124">
        <f ca="1">O2/O3</f>
        <v>0</v>
      </c>
      <c r="O2" s="1545">
        <f ca="1">(SUM(O8:O12)+SUM(O14:O18)+SUM(O20:O24)+SUM(O26:O30)+SUM(O32:O36)+SUM(O38:O42)+SUM(O44:O48)+SUM(O50:O54)+SUM(O56:O60)+SUM(O62:O66)+SUM(O68:O72)+SUM(O74:O78))</f>
        <v>0</v>
      </c>
      <c r="P2" s="133"/>
      <c r="Q2" s="77" t="s">
        <v>370</v>
      </c>
      <c r="R2" s="982"/>
      <c r="S2" s="982"/>
      <c r="T2" s="982"/>
      <c r="U2" s="982"/>
      <c r="V2" s="982"/>
      <c r="W2" s="982"/>
      <c r="X2" s="982"/>
      <c r="Y2" s="1001"/>
      <c r="Z2" s="428"/>
      <c r="AA2" s="427"/>
      <c r="AB2" s="1779"/>
      <c r="AD2" s="2621" t="s">
        <v>1</v>
      </c>
      <c r="AE2" s="2622"/>
      <c r="AF2" s="2623" t="s">
        <v>17</v>
      </c>
      <c r="AG2" s="2624"/>
      <c r="AH2" s="2"/>
      <c r="AJ2" s="14"/>
      <c r="AK2" s="14"/>
      <c r="AL2" s="14"/>
      <c r="AM2" s="6"/>
      <c r="AN2" s="476"/>
      <c r="AO2" s="476"/>
      <c r="AP2" s="476"/>
      <c r="AQ2" s="476"/>
      <c r="AR2" s="476"/>
      <c r="AS2" s="476"/>
      <c r="AT2" s="476"/>
      <c r="AU2" s="476"/>
      <c r="AV2" s="476"/>
      <c r="AW2" s="476"/>
      <c r="AX2" s="476"/>
      <c r="AY2" s="476"/>
      <c r="AZ2" s="476"/>
      <c r="BA2" s="476"/>
      <c r="BB2" s="476"/>
      <c r="BC2" s="476"/>
      <c r="BD2" s="650"/>
      <c r="BE2" s="697" t="s">
        <v>816</v>
      </c>
      <c r="BF2" s="698" t="s">
        <v>817</v>
      </c>
      <c r="BG2" s="698" t="s">
        <v>818</v>
      </c>
      <c r="BH2" s="699"/>
      <c r="BI2" s="759"/>
      <c r="BJ2" s="188"/>
      <c r="BK2" s="506"/>
      <c r="BL2" s="188"/>
      <c r="BM2" s="779"/>
      <c r="BN2" s="779"/>
      <c r="BO2" s="779"/>
      <c r="BP2" s="972"/>
      <c r="BY2" s="2682" t="s">
        <v>921</v>
      </c>
      <c r="BZ2" s="2683"/>
      <c r="CA2" s="2683"/>
      <c r="CB2" s="2683"/>
      <c r="CC2" s="2683"/>
      <c r="CD2" s="2683"/>
      <c r="CE2" s="2683"/>
      <c r="CF2" s="2683"/>
      <c r="CG2" s="2684"/>
      <c r="CJ2" s="759"/>
      <c r="CL2" s="906" t="s">
        <v>821</v>
      </c>
      <c r="CM2" s="711" t="s">
        <v>822</v>
      </c>
      <c r="CN2" s="974"/>
      <c r="CO2" s="713" t="s">
        <v>823</v>
      </c>
      <c r="CP2" s="714" t="s">
        <v>824</v>
      </c>
      <c r="CQ2" s="712"/>
      <c r="CR2" s="714" t="s">
        <v>1123</v>
      </c>
      <c r="CS2" s="704"/>
      <c r="CT2" s="712"/>
      <c r="CU2" s="714" t="s">
        <v>777</v>
      </c>
      <c r="CV2" s="715"/>
      <c r="CW2" s="712"/>
      <c r="CX2" s="481" t="s">
        <v>784</v>
      </c>
      <c r="CY2" s="714" t="s">
        <v>825</v>
      </c>
      <c r="CZ2" s="712"/>
      <c r="DA2" s="714" t="s">
        <v>371</v>
      </c>
      <c r="DB2" s="712"/>
      <c r="DC2" s="994"/>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8"/>
      <c r="EQ2" s="431"/>
      <c r="ER2" s="427"/>
      <c r="ES2" s="427"/>
      <c r="ET2" s="427"/>
      <c r="EU2" s="427"/>
      <c r="EV2" s="427"/>
      <c r="EW2" s="427"/>
    </row>
    <row r="3" spans="1:155" s="21" customFormat="1" ht="24" customHeight="1" thickBot="1">
      <c r="A3" s="18"/>
      <c r="B3" s="2688" t="s">
        <v>47</v>
      </c>
      <c r="C3" s="2639"/>
      <c r="D3" s="2695" t="str">
        <f>'Project Demand'!E8</f>
        <v xml:space="preserve"> </v>
      </c>
      <c r="E3" s="2696"/>
      <c r="F3" s="2697"/>
      <c r="G3" s="2698" t="str">
        <f>'Project Demand'!E9</f>
        <v xml:space="preserve"> </v>
      </c>
      <c r="H3" s="2699"/>
      <c r="I3" s="2700" t="str">
        <f>IF('Project Demand'!AQ72=1,'Terms and Conditions'!B22,'Project Demand'!L54)</f>
        <v>QuickBrace©                        First Principles</v>
      </c>
      <c r="J3" s="2701"/>
      <c r="K3" s="1791" t="str">
        <f>IF('Project Demand'!AQ72=1,"Total Demand =","Alternative Demand =")</f>
        <v>Total Demand =</v>
      </c>
      <c r="L3" s="1792" t="str">
        <f>$BH$3</f>
        <v>Bu's</v>
      </c>
      <c r="M3" s="1793">
        <f>IF('Project Demand'!AQ72=2,IF('Project Demand'!AQ9=1,"N/A",'Project Demand'!M57),'FP Calcs'!I67)</f>
        <v>685</v>
      </c>
      <c r="N3" s="1792" t="str">
        <f>$BH$3</f>
        <v>Bu's</v>
      </c>
      <c r="O3" s="1794">
        <f>IF('Project Demand'!AQ72=2,IF('Project Demand'!AQ9=1,"N/A",'Project Demand'!M59),'FP Calcs'!I71)</f>
        <v>1206</v>
      </c>
      <c r="P3" s="134"/>
      <c r="Q3" s="676" t="str">
        <f ca="1">IF(OR(M2&lt;M3,O2&lt;O3),"Total Achieved &lt; Total Demand","")</f>
        <v>Total Achieved &lt; Total Demand</v>
      </c>
      <c r="R3" s="923"/>
      <c r="S3" s="923"/>
      <c r="T3" s="923"/>
      <c r="U3" s="923"/>
      <c r="V3" s="923"/>
      <c r="W3" s="923"/>
      <c r="X3" s="923"/>
      <c r="Y3" s="1002"/>
      <c r="Z3" s="452"/>
      <c r="AC3" s="22"/>
      <c r="AD3" s="1357" t="str">
        <f>IF($BG$4=1,$BG$42,$BH$42)</f>
        <v>Top    Line</v>
      </c>
      <c r="AE3" s="1434" t="str">
        <f>IF($BG$4=1,$BG$43,$BH$43)</f>
        <v>Bottom Line</v>
      </c>
      <c r="AF3" s="1449" t="str">
        <f>IF($BG$4=1,$BG$42,$BH$42)</f>
        <v>Top    Line</v>
      </c>
      <c r="AG3" s="1358" t="str">
        <f>IF($BG$4=1,$BG$43,$BH$43)</f>
        <v>Bottom Line</v>
      </c>
      <c r="AM3" s="20"/>
      <c r="AN3" s="18"/>
      <c r="AO3" s="18"/>
      <c r="AP3" s="18"/>
      <c r="AQ3" s="18"/>
      <c r="AR3" s="18"/>
      <c r="AS3" s="18"/>
      <c r="AT3" s="18"/>
      <c r="AU3" s="18"/>
      <c r="AV3" s="18"/>
      <c r="AW3" s="18"/>
      <c r="AX3" s="18"/>
      <c r="AY3" s="18"/>
      <c r="AZ3" s="18"/>
      <c r="BA3" s="18"/>
      <c r="BB3" s="18"/>
      <c r="BC3" s="18"/>
      <c r="BD3" s="639"/>
      <c r="BE3" s="700">
        <f>'Project Demand'!AX5</f>
        <v>1</v>
      </c>
      <c r="BF3" s="701">
        <f>IF($BE$3=1,100,5)</f>
        <v>100</v>
      </c>
      <c r="BG3" s="702">
        <f>IF($BE$3=1,15,0.75)</f>
        <v>15</v>
      </c>
      <c r="BH3" s="763" t="str">
        <f>IF($BE$3=1,CX2,CX3)</f>
        <v>Bu's</v>
      </c>
      <c r="BI3" s="931"/>
      <c r="BJ3" s="18"/>
      <c r="BM3" s="923"/>
      <c r="BP3" s="449"/>
      <c r="BT3" s="923"/>
      <c r="BU3" s="923"/>
      <c r="CH3" s="923"/>
      <c r="CI3" s="923"/>
      <c r="CJ3" s="927"/>
      <c r="CL3" s="907" t="s">
        <v>826</v>
      </c>
      <c r="CM3" s="716" t="s">
        <v>827</v>
      </c>
      <c r="CN3" s="975"/>
      <c r="CO3" s="717" t="s">
        <v>828</v>
      </c>
      <c r="CP3" s="705" t="s">
        <v>829</v>
      </c>
      <c r="CQ3" s="718"/>
      <c r="CR3" s="705" t="s">
        <v>830</v>
      </c>
      <c r="CS3" s="719"/>
      <c r="CT3" s="718"/>
      <c r="CU3" s="705" t="s">
        <v>831</v>
      </c>
      <c r="CV3" s="720"/>
      <c r="CW3" s="721"/>
      <c r="CX3" s="482" t="s">
        <v>786</v>
      </c>
      <c r="CY3" s="705" t="s">
        <v>832</v>
      </c>
      <c r="CZ3" s="718"/>
      <c r="DA3" s="705" t="s">
        <v>833</v>
      </c>
      <c r="DB3" s="718"/>
      <c r="DU3" s="651"/>
      <c r="EP3" s="1013"/>
      <c r="EQ3" s="432"/>
      <c r="EW3" s="651"/>
      <c r="EY3" s="425"/>
    </row>
    <row r="4" spans="1:155" ht="24" customHeight="1" thickBot="1">
      <c r="B4" s="2688" t="s">
        <v>65</v>
      </c>
      <c r="C4" s="2689"/>
      <c r="D4" s="2618" t="str">
        <f>'Project Demand'!E10</f>
        <v xml:space="preserve"> </v>
      </c>
      <c r="E4" s="2619"/>
      <c r="F4" s="2619"/>
      <c r="G4" s="2619"/>
      <c r="H4" s="2620"/>
      <c r="I4" s="2702" t="str">
        <f>CU4</f>
        <v>Min. Bu's per either External side of Project=</v>
      </c>
      <c r="J4" s="2703"/>
      <c r="K4" s="2704"/>
      <c r="L4" s="1785">
        <f ca="1">(IF(L5&gt;'Project Demand'!$E56*$BG$3,L5,IF('Project Demand'!$E56*$BG$3&gt;$BF$3,'Project Demand'!$E56*$BG$3,$BF$3)))</f>
        <v>180</v>
      </c>
      <c r="M4" s="1786"/>
      <c r="N4" s="1785">
        <f ca="1">(IF(N5&gt;'Project Demand'!$E56*$BG$3,N5,IF('Project Demand'!$E56*$BG$3&gt;$BF$3,'Project Demand'!$E56*$BG$3,$BF$3)))</f>
        <v>180</v>
      </c>
      <c r="O4" s="1787"/>
      <c r="P4" s="135"/>
      <c r="Q4" s="1018" t="str">
        <f ca="1">IF(OR(L4&gt;EI81,N4&gt;EJ81,L4&gt;EK81,N4&gt;EL81),"Min. Req. on Ext Lines not reached,  See Table below or at right ===&gt;","")</f>
        <v>Min. Req. on Ext Lines not reached,  See Table below or at right ===&gt;</v>
      </c>
      <c r="T4" s="3"/>
      <c r="Z4" s="452"/>
      <c r="AD4" s="2636" t="str">
        <f ca="1">IF(AND(AD5&gt;=AD7,AE5&gt;=AD7),"Achieved","Not reached")</f>
        <v>Not reached</v>
      </c>
      <c r="AE4" s="2637"/>
      <c r="AF4" s="2626" t="str">
        <f ca="1">IF(AND(AF5&gt;=AF7,AG5&gt;=AF7),"Achieved","Not reached")</f>
        <v>Not reached</v>
      </c>
      <c r="AG4" s="2627"/>
      <c r="AL4" s="479"/>
      <c r="AM4" s="1"/>
      <c r="AN4" s="479"/>
      <c r="AO4" s="479"/>
      <c r="AP4" s="479"/>
      <c r="AQ4" s="479"/>
      <c r="AR4" s="479"/>
      <c r="AS4" s="479"/>
      <c r="AT4" s="479"/>
      <c r="AU4" s="479"/>
      <c r="AV4" s="479"/>
      <c r="AW4" s="479"/>
      <c r="AX4" s="479"/>
      <c r="AY4" s="479"/>
      <c r="AZ4" s="479"/>
      <c r="BA4" s="479"/>
      <c r="BB4" s="479"/>
      <c r="BC4" s="479"/>
      <c r="BD4" s="640"/>
      <c r="BE4" s="2673" t="s">
        <v>925</v>
      </c>
      <c r="BF4" s="2674"/>
      <c r="BG4" s="450">
        <f>'Project Demand'!AX21</f>
        <v>1</v>
      </c>
      <c r="BH4" s="703"/>
      <c r="BI4" s="932"/>
      <c r="CJ4" s="759"/>
      <c r="CL4" s="950" t="s">
        <v>834</v>
      </c>
      <c r="CM4" s="951" t="str">
        <f>IF($BE$3=1,CM2,CM3)</f>
        <v>"Min Bu's entered &lt; 100"</v>
      </c>
      <c r="CN4" s="976"/>
      <c r="CO4" s="953" t="str">
        <f>IF($BE$3=1,CO2,CO3)</f>
        <v>Bu/m</v>
      </c>
      <c r="CP4" s="951" t="str">
        <f>IF($BE$3=1,CP2,CP3)</f>
        <v>Achieved Bu's</v>
      </c>
      <c r="CQ4" s="952"/>
      <c r="CR4" s="951" t="str">
        <f>IF($BE$3=1,CR2,CR3)</f>
        <v>Element Resistance Limitations</v>
      </c>
      <c r="CS4" s="930"/>
      <c r="CT4" s="952"/>
      <c r="CU4" s="951" t="str">
        <f>IF($BE$3=1,CU2,CU3)</f>
        <v>Min. Bu's per either External side of Project=</v>
      </c>
      <c r="CV4" s="954"/>
      <c r="CW4" s="952"/>
      <c r="CY4" s="951" t="str">
        <f>IF($BE$3=1,CY2,CY3)</f>
        <v>Minimum Bu's Req. on each Bracing Line =</v>
      </c>
      <c r="CZ4" s="952"/>
      <c r="DA4" s="951" t="str">
        <f>IF($BE$3=1,DA2,DA3)</f>
        <v>Achieved BU's =</v>
      </c>
      <c r="DB4" s="952"/>
      <c r="EM4" s="427" t="s">
        <v>948</v>
      </c>
      <c r="EP4" s="428" t="s">
        <v>950</v>
      </c>
      <c r="EQ4" s="497">
        <f>BH30</f>
        <v>1</v>
      </c>
      <c r="EW4" s="427"/>
      <c r="EY4" s="421"/>
    </row>
    <row r="5" spans="1:155" ht="24" customHeight="1" thickBot="1">
      <c r="A5" s="36"/>
      <c r="B5" s="2643" t="s">
        <v>1084</v>
      </c>
      <c r="C5" s="2644"/>
      <c r="D5" s="2644"/>
      <c r="E5" s="2644"/>
      <c r="F5" s="2644"/>
      <c r="G5" s="2644"/>
      <c r="H5" s="2645"/>
      <c r="I5" s="2711" t="str">
        <f>CY4</f>
        <v>Minimum Bu's Req. on each Bracing Line =</v>
      </c>
      <c r="J5" s="2712"/>
      <c r="K5" s="2713"/>
      <c r="L5" s="1788">
        <f ca="1">M105</f>
        <v>0</v>
      </c>
      <c r="M5" s="1789"/>
      <c r="N5" s="1788">
        <f ca="1">O105</f>
        <v>0</v>
      </c>
      <c r="O5" s="1790"/>
      <c r="P5" s="135"/>
      <c r="Q5" s="76" t="str">
        <f ca="1">IF(ISERROR(FIND("&lt;Min BU/",Q13&amp;Q19&amp;Q25&amp;Q31&amp;Q37&amp;Q43&amp;Q49&amp;Q55&amp;Q61&amp;Q67&amp;Q73&amp;Q79,1)),"","Min. Req. on each Bracing Line not reached")</f>
        <v/>
      </c>
      <c r="T5" s="1373" t="s">
        <v>8</v>
      </c>
      <c r="AC5"/>
      <c r="AD5" s="1780">
        <f ca="1">$EI$81</f>
        <v>0</v>
      </c>
      <c r="AE5" s="1781">
        <f>$EK$81</f>
        <v>0</v>
      </c>
      <c r="AF5" s="1782">
        <f ca="1">$EJ$81</f>
        <v>0</v>
      </c>
      <c r="AG5" s="1783">
        <f>$EL$81</f>
        <v>0</v>
      </c>
      <c r="AJ5" s="1"/>
      <c r="AK5" s="1"/>
      <c r="AL5" s="1"/>
      <c r="AM5" s="6"/>
      <c r="AN5" s="51"/>
      <c r="AO5" s="51"/>
      <c r="AP5" s="51"/>
      <c r="AQ5" s="51"/>
      <c r="AR5" s="51"/>
      <c r="AS5" s="51"/>
      <c r="AT5" s="51"/>
      <c r="AU5" s="51"/>
      <c r="AV5" s="51"/>
      <c r="AW5" s="51"/>
      <c r="AX5" s="51"/>
      <c r="AY5" s="51"/>
      <c r="AZ5" s="51"/>
      <c r="BA5" s="51"/>
      <c r="BB5" s="51"/>
      <c r="BC5" s="51"/>
      <c r="BD5" s="641"/>
      <c r="BE5" s="2677" t="s">
        <v>815</v>
      </c>
      <c r="BF5" s="2678"/>
      <c r="BG5" s="959" t="str">
        <f>IF('Project Demand'!AQ72&lt;&gt;1,"Yes","No")</f>
        <v>No</v>
      </c>
      <c r="BI5" s="759"/>
      <c r="CJ5" s="759"/>
      <c r="CK5" s="188"/>
      <c r="CL5" s="977"/>
      <c r="CM5" s="777"/>
      <c r="CN5" s="778"/>
      <c r="CO5" s="778"/>
      <c r="CP5" s="777"/>
      <c r="CQ5" s="777"/>
      <c r="CR5" s="777"/>
      <c r="CS5" s="777"/>
      <c r="CT5" s="777"/>
      <c r="CU5" s="777"/>
      <c r="CV5" s="777"/>
      <c r="CW5" s="777"/>
      <c r="CX5" s="777"/>
      <c r="CY5" s="777"/>
      <c r="CZ5" s="777"/>
      <c r="DA5" s="920"/>
      <c r="DB5" s="920"/>
      <c r="DC5" s="997"/>
      <c r="DD5" s="920"/>
      <c r="DE5" s="920"/>
      <c r="DF5" s="920"/>
      <c r="DG5" s="955"/>
      <c r="DH5" s="955" t="s">
        <v>261</v>
      </c>
      <c r="DI5" s="955"/>
      <c r="DJ5" s="955"/>
      <c r="DK5" s="955"/>
      <c r="DL5" s="955"/>
      <c r="DM5" s="955"/>
      <c r="DN5" s="955"/>
      <c r="DO5" s="920" t="s">
        <v>250</v>
      </c>
      <c r="DP5" s="955"/>
      <c r="DQ5" s="955"/>
      <c r="DR5" s="955"/>
      <c r="DS5" s="955" t="s">
        <v>262</v>
      </c>
      <c r="DT5" s="955" t="s">
        <v>265</v>
      </c>
      <c r="DU5" s="955" t="s">
        <v>261</v>
      </c>
      <c r="DV5" s="955"/>
      <c r="DW5" s="955"/>
      <c r="DX5" s="955"/>
      <c r="DY5" s="955"/>
      <c r="DZ5" s="955"/>
      <c r="EA5" s="955"/>
      <c r="EB5" s="955"/>
      <c r="EC5" s="920" t="s">
        <v>250</v>
      </c>
      <c r="ED5" s="955"/>
      <c r="EE5" s="955"/>
      <c r="EF5" s="955"/>
      <c r="EG5" s="2738" t="s">
        <v>617</v>
      </c>
      <c r="EH5" s="2739"/>
      <c r="EI5" s="2739"/>
      <c r="EJ5" s="2739"/>
      <c r="EK5" s="2739"/>
      <c r="EL5" s="2740"/>
      <c r="EM5" s="2873" t="s">
        <v>588</v>
      </c>
      <c r="EN5" s="2874"/>
      <c r="EO5" s="2875"/>
      <c r="EP5" s="497">
        <f>BG28</f>
        <v>2</v>
      </c>
      <c r="EQ5" s="497">
        <f>BH28</f>
        <v>2</v>
      </c>
      <c r="ER5" s="2871" t="s">
        <v>601</v>
      </c>
      <c r="ES5" s="2872"/>
      <c r="EU5" s="426" t="s">
        <v>835</v>
      </c>
      <c r="EW5" s="427"/>
      <c r="EY5" s="421"/>
    </row>
    <row r="6" spans="1:155" ht="24" customHeight="1" thickBot="1">
      <c r="A6" s="37"/>
      <c r="B6" s="2705" t="s">
        <v>32</v>
      </c>
      <c r="C6" s="2646" t="s">
        <v>1051</v>
      </c>
      <c r="D6" s="2846" t="str">
        <f>IF($BG$4=1,BG39,BG40)</f>
        <v>Top, Bottom OR Internal</v>
      </c>
      <c r="E6" s="2846" t="s">
        <v>1047</v>
      </c>
      <c r="F6" s="2846" t="s">
        <v>1046</v>
      </c>
      <c r="G6" s="2847" t="s">
        <v>483</v>
      </c>
      <c r="H6" s="2846" t="s">
        <v>36</v>
      </c>
      <c r="I6" s="1692" t="s">
        <v>1107</v>
      </c>
      <c r="J6" s="2791" t="s">
        <v>49</v>
      </c>
      <c r="K6" s="2789" t="str">
        <f>CR4</f>
        <v>Element Resistance Limitations</v>
      </c>
      <c r="L6" s="2638" t="s">
        <v>1</v>
      </c>
      <c r="M6" s="2639"/>
      <c r="N6" s="2638" t="s">
        <v>17</v>
      </c>
      <c r="O6" s="2788"/>
      <c r="P6" s="136"/>
      <c r="Q6" s="2641" t="str">
        <f ca="1">IF(Q98&lt;&gt;0,"Check Warnings below and at bottom of this page","")</f>
        <v>Check Warnings below and at bottom of this page</v>
      </c>
      <c r="T6" s="2640" t="s">
        <v>1070</v>
      </c>
      <c r="U6" s="2640" t="s">
        <v>1071</v>
      </c>
      <c r="W6" s="3"/>
      <c r="X6" s="3"/>
      <c r="AB6" s="2625" t="s">
        <v>1050</v>
      </c>
      <c r="AC6"/>
      <c r="AD6" s="2630" t="s">
        <v>1092</v>
      </c>
      <c r="AE6" s="2631"/>
      <c r="AF6" s="2632" t="s">
        <v>1090</v>
      </c>
      <c r="AG6" s="2633"/>
      <c r="AJ6" s="2892" t="s">
        <v>908</v>
      </c>
      <c r="AK6" s="2893"/>
      <c r="AL6" s="2893"/>
      <c r="AM6" s="2896" t="s">
        <v>484</v>
      </c>
      <c r="AN6" s="2897"/>
      <c r="AO6" s="2897"/>
      <c r="AP6" s="2897"/>
      <c r="AQ6" s="2897"/>
      <c r="AR6" s="2898"/>
      <c r="AS6" s="1642"/>
      <c r="AT6" s="2869"/>
      <c r="AU6" s="25"/>
      <c r="AV6" s="25"/>
      <c r="AW6" s="25"/>
      <c r="AX6" s="25"/>
      <c r="AY6" s="25"/>
      <c r="AZ6" s="25"/>
      <c r="BA6" s="25"/>
      <c r="BB6" s="25"/>
      <c r="BC6" s="25"/>
      <c r="BD6" s="642"/>
      <c r="BE6" s="25"/>
      <c r="BF6" s="2670" t="s">
        <v>586</v>
      </c>
      <c r="BG6" s="918" t="s">
        <v>610</v>
      </c>
      <c r="BH6" s="919">
        <f>'Regular and QuickBrace Systems'!W2</f>
        <v>1</v>
      </c>
      <c r="BI6" s="933"/>
      <c r="BJ6" s="898"/>
      <c r="BL6" s="119"/>
      <c r="BR6" s="450" t="s">
        <v>248</v>
      </c>
      <c r="BS6" s="450" t="s">
        <v>248</v>
      </c>
      <c r="BT6" s="450" t="s">
        <v>323</v>
      </c>
      <c r="BU6" s="450" t="s">
        <v>267</v>
      </c>
      <c r="BV6" s="2730" t="s">
        <v>930</v>
      </c>
      <c r="BW6" s="2731"/>
      <c r="BX6" s="479" t="s">
        <v>380</v>
      </c>
      <c r="CH6" s="52" t="s">
        <v>235</v>
      </c>
      <c r="CI6" s="52" t="s">
        <v>235</v>
      </c>
      <c r="CJ6" s="759"/>
      <c r="CK6" s="188"/>
      <c r="CL6" s="2675" t="s">
        <v>670</v>
      </c>
      <c r="CN6" s="2721" t="s">
        <v>670</v>
      </c>
      <c r="CO6" s="2723"/>
      <c r="CR6" s="930" t="s">
        <v>851</v>
      </c>
      <c r="CS6" s="2672" t="s">
        <v>1</v>
      </c>
      <c r="CT6" s="2672"/>
      <c r="CU6" s="2672" t="s">
        <v>229</v>
      </c>
      <c r="CV6" s="2672"/>
      <c r="CW6" s="51"/>
      <c r="CX6" s="51"/>
      <c r="CY6" s="51"/>
      <c r="CZ6" s="51"/>
      <c r="DC6" s="2734" t="s">
        <v>924</v>
      </c>
      <c r="DD6" s="603" t="s">
        <v>323</v>
      </c>
      <c r="DE6" s="51" t="s">
        <v>1049</v>
      </c>
      <c r="DF6" s="2743" t="s">
        <v>1048</v>
      </c>
      <c r="DG6" s="2672" t="s">
        <v>1</v>
      </c>
      <c r="DH6" s="2672"/>
      <c r="DI6" s="2672" t="s">
        <v>229</v>
      </c>
      <c r="DJ6" s="2672"/>
      <c r="DK6" s="51"/>
      <c r="DL6" s="51"/>
      <c r="DM6" s="51"/>
      <c r="DN6" s="51"/>
      <c r="DO6" s="426" t="s">
        <v>1</v>
      </c>
      <c r="DQ6" s="426" t="s">
        <v>230</v>
      </c>
      <c r="DT6" s="2741" t="s">
        <v>670</v>
      </c>
      <c r="DU6" s="2672" t="s">
        <v>1</v>
      </c>
      <c r="DV6" s="2672"/>
      <c r="DW6" s="2672" t="s">
        <v>229</v>
      </c>
      <c r="DX6" s="2672"/>
      <c r="DY6" s="51"/>
      <c r="DZ6" s="51"/>
      <c r="EA6" s="51"/>
      <c r="EB6" s="51"/>
      <c r="EC6" s="426" t="s">
        <v>1</v>
      </c>
      <c r="EE6" s="426" t="s">
        <v>230</v>
      </c>
      <c r="EG6" s="601"/>
      <c r="EH6" s="465"/>
      <c r="EI6" s="604" t="s">
        <v>642</v>
      </c>
      <c r="EJ6" s="605"/>
      <c r="EK6" s="606" t="s">
        <v>644</v>
      </c>
      <c r="EL6" s="607"/>
      <c r="EM6" s="426" t="s">
        <v>368</v>
      </c>
      <c r="EN6" s="2876" t="s">
        <v>945</v>
      </c>
      <c r="EO6" s="2878" t="s">
        <v>946</v>
      </c>
      <c r="EP6" s="2876" t="s">
        <v>949</v>
      </c>
      <c r="ER6" s="2728"/>
      <c r="ES6" s="2729"/>
      <c r="EW6" s="427"/>
      <c r="EY6" s="421"/>
    </row>
    <row r="7" spans="1:155" ht="24" customHeight="1" thickBot="1">
      <c r="B7" s="2706"/>
      <c r="C7" s="2647"/>
      <c r="D7" s="2708"/>
      <c r="E7" s="2708"/>
      <c r="F7" s="2708"/>
      <c r="G7" s="2710"/>
      <c r="H7" s="2708"/>
      <c r="I7" s="1685" t="str">
        <f>IF(I6=BG8,"Suggested Systems","Select Systems")</f>
        <v>Suggested Systems</v>
      </c>
      <c r="J7" s="2792"/>
      <c r="K7" s="2790"/>
      <c r="L7" s="722" t="str">
        <f>CO4</f>
        <v>Bu/m</v>
      </c>
      <c r="M7" s="690" t="str">
        <f>CP4</f>
        <v>Achieved Bu's</v>
      </c>
      <c r="N7" s="722" t="str">
        <f>CO4</f>
        <v>Bu/m</v>
      </c>
      <c r="O7" s="723" t="str">
        <f>CP4</f>
        <v>Achieved Bu's</v>
      </c>
      <c r="P7" s="137"/>
      <c r="Q7" s="2642"/>
      <c r="R7" s="451">
        <v>1</v>
      </c>
      <c r="T7" s="2640"/>
      <c r="U7" s="2640"/>
      <c r="W7" s="451">
        <v>0</v>
      </c>
      <c r="Z7" s="429" t="s">
        <v>269</v>
      </c>
      <c r="AB7" s="2625"/>
      <c r="AD7" s="2634">
        <f ca="1">$L$4</f>
        <v>180</v>
      </c>
      <c r="AE7" s="2635"/>
      <c r="AF7" s="2628">
        <f ca="1">$N$4</f>
        <v>180</v>
      </c>
      <c r="AG7" s="2629"/>
      <c r="AJ7" s="2894"/>
      <c r="AK7" s="2895"/>
      <c r="AL7" s="2895"/>
      <c r="AM7" s="2899"/>
      <c r="AN7" s="2900"/>
      <c r="AO7" s="2900"/>
      <c r="AP7" s="2900"/>
      <c r="AQ7" s="2900"/>
      <c r="AR7" s="2901"/>
      <c r="AS7" s="1642"/>
      <c r="AT7" s="2870"/>
      <c r="AU7" s="426"/>
      <c r="AV7" s="426"/>
      <c r="AW7" s="426"/>
      <c r="AX7" s="426"/>
      <c r="AY7" s="426"/>
      <c r="AZ7" s="426"/>
      <c r="BA7" s="426"/>
      <c r="BB7" s="426"/>
      <c r="BC7" s="426"/>
      <c r="BD7" s="643"/>
      <c r="BF7" s="2842"/>
      <c r="BG7" s="2724"/>
      <c r="BH7" s="2725"/>
      <c r="BI7" s="759"/>
      <c r="BJ7" s="915" t="s">
        <v>863</v>
      </c>
      <c r="BK7" s="119" t="s">
        <v>49</v>
      </c>
      <c r="BL7" s="916" t="s">
        <v>37</v>
      </c>
      <c r="BM7" s="52" t="s">
        <v>41</v>
      </c>
      <c r="BN7" s="52" t="s">
        <v>40</v>
      </c>
      <c r="BO7" s="52" t="s">
        <v>42</v>
      </c>
      <c r="BP7" s="52" t="s">
        <v>43</v>
      </c>
      <c r="BR7" s="450" t="s">
        <v>263</v>
      </c>
      <c r="BS7" s="450" t="s">
        <v>264</v>
      </c>
      <c r="BT7" s="450" t="s">
        <v>324</v>
      </c>
      <c r="BU7" s="450" t="s">
        <v>268</v>
      </c>
      <c r="BV7" s="2732"/>
      <c r="BW7" s="2733"/>
      <c r="BX7" s="479" t="s">
        <v>379</v>
      </c>
      <c r="CH7" s="52" t="s">
        <v>1</v>
      </c>
      <c r="CI7" s="52" t="s">
        <v>236</v>
      </c>
      <c r="CJ7" s="759"/>
      <c r="CK7" s="188"/>
      <c r="CL7" s="2676"/>
      <c r="CN7" s="2722"/>
      <c r="CO7" s="2723" t="s">
        <v>249</v>
      </c>
      <c r="CR7" s="52" t="s">
        <v>226</v>
      </c>
      <c r="CS7" s="956" t="s">
        <v>227</v>
      </c>
      <c r="CT7" s="52" t="s">
        <v>228</v>
      </c>
      <c r="CU7" s="956" t="s">
        <v>227</v>
      </c>
      <c r="CV7" s="52" t="s">
        <v>228</v>
      </c>
      <c r="CW7" s="52" t="s">
        <v>253</v>
      </c>
      <c r="CX7" s="52" t="s">
        <v>1</v>
      </c>
      <c r="CY7" s="52" t="s">
        <v>254</v>
      </c>
      <c r="CZ7" s="52" t="s">
        <v>230</v>
      </c>
      <c r="DA7" s="52" t="s">
        <v>255</v>
      </c>
      <c r="DB7" s="52" t="s">
        <v>256</v>
      </c>
      <c r="DC7" s="2734"/>
      <c r="DD7" s="602" t="s">
        <v>324</v>
      </c>
      <c r="DF7" s="2743"/>
      <c r="DG7" s="956" t="s">
        <v>227</v>
      </c>
      <c r="DH7" s="52" t="s">
        <v>228</v>
      </c>
      <c r="DI7" s="956" t="s">
        <v>227</v>
      </c>
      <c r="DJ7" s="52" t="s">
        <v>228</v>
      </c>
      <c r="DK7" s="51"/>
      <c r="DL7" s="51" t="s">
        <v>1</v>
      </c>
      <c r="DM7" s="51"/>
      <c r="DN7" s="51" t="s">
        <v>230</v>
      </c>
      <c r="DO7" s="51" t="s">
        <v>251</v>
      </c>
      <c r="DP7" s="51" t="s">
        <v>252</v>
      </c>
      <c r="DQ7" s="51" t="s">
        <v>251</v>
      </c>
      <c r="DR7" s="51" t="s">
        <v>252</v>
      </c>
      <c r="DT7" s="2742"/>
      <c r="DU7" s="956" t="s">
        <v>227</v>
      </c>
      <c r="DV7" s="52" t="s">
        <v>228</v>
      </c>
      <c r="DW7" s="956" t="s">
        <v>227</v>
      </c>
      <c r="DX7" s="52" t="s">
        <v>228</v>
      </c>
      <c r="DY7" s="51"/>
      <c r="DZ7" s="51" t="s">
        <v>1</v>
      </c>
      <c r="EA7" s="51"/>
      <c r="EB7" s="51" t="s">
        <v>230</v>
      </c>
      <c r="EC7" s="51" t="s">
        <v>251</v>
      </c>
      <c r="ED7" s="51" t="s">
        <v>252</v>
      </c>
      <c r="EE7" s="51" t="s">
        <v>251</v>
      </c>
      <c r="EF7" s="51" t="s">
        <v>252</v>
      </c>
      <c r="EG7" s="433"/>
      <c r="EH7" s="602"/>
      <c r="EI7" s="608" t="s">
        <v>1</v>
      </c>
      <c r="EJ7" s="609" t="s">
        <v>643</v>
      </c>
      <c r="EK7" s="610" t="s">
        <v>1</v>
      </c>
      <c r="EL7" s="609" t="s">
        <v>230</v>
      </c>
      <c r="EM7" s="51" t="s">
        <v>369</v>
      </c>
      <c r="EN7" s="2877"/>
      <c r="EO7" s="2879"/>
      <c r="EP7" s="2877"/>
      <c r="EQ7" s="1017" t="s">
        <v>947</v>
      </c>
      <c r="ER7" s="548">
        <f>'Project Demand'!E55</f>
        <v>0.2</v>
      </c>
      <c r="ES7" s="434"/>
      <c r="EW7" s="427"/>
      <c r="EY7" s="421"/>
    </row>
    <row r="8" spans="1:155" ht="17.100000000000001" customHeight="1" thickBot="1">
      <c r="B8" s="689" t="s">
        <v>2</v>
      </c>
      <c r="C8" s="684" t="str">
        <f>IF(OR(F8=0,I8="",I8=" ")," ",$V8)</f>
        <v xml:space="preserve"> </v>
      </c>
      <c r="D8" s="1413" t="str">
        <f>BG$12</f>
        <v>Top External</v>
      </c>
      <c r="E8" s="1360"/>
      <c r="F8" s="1415"/>
      <c r="G8" s="1416"/>
      <c r="H8" s="1417" t="str">
        <f ca="1">IF(OR(F8=0,Z8="E",Z8="f")," ",'Project Demand'!E$55)</f>
        <v xml:space="preserve"> </v>
      </c>
      <c r="I8" s="631" t="str">
        <f>IF($I$6&lt;&gt;$BG$8," ",AB8)</f>
        <v xml:space="preserve"> </v>
      </c>
      <c r="J8" s="43" t="str">
        <f ca="1">IF(OR(I8=" ",I8="")," ",OFFSET($BO$9,CL8-1,0-4,1,1))</f>
        <v xml:space="preserve"> </v>
      </c>
      <c r="K8" s="55" t="str">
        <f>IF(OR(I8=" ",I8="")," ",IF(OR(Z8="e",Z8="h"),"SD",IF(BG$24=BH$11,BH$13,BG$24)))</f>
        <v xml:space="preserve"> </v>
      </c>
      <c r="L8" s="725">
        <f ca="1">CW8</f>
        <v>0</v>
      </c>
      <c r="M8" s="446">
        <f ca="1">CY8</f>
        <v>0</v>
      </c>
      <c r="N8" s="445">
        <f t="shared" ref="N8:O12" ca="1" si="0">DA8</f>
        <v>0</v>
      </c>
      <c r="O8" s="728">
        <f t="shared" ca="1" si="0"/>
        <v>0</v>
      </c>
      <c r="P8" s="138"/>
      <c r="Q8" s="752" t="str">
        <f ca="1">IF(AND(OR(Z8="t",Z8="f"),K8=$BH$11),"No Floor!  Change Floor Type",IF(OR(I8=" ",I8="")," ",IF(F8&lt;OFFSET($BM$9,CL8-1,0,1,1),"check L(m)",DE8&amp;IF(AND(DP8&gt;=CY8,DR8&gt;=DB8),IF(AND(ED8&gt;=DP8,EF8&gt;=DR8),CONCATENATE(DS8," will provide same result"),CONCATENATE(CO8," will provide same result")),IF((DP8&gt;=CY8),CONCATENATE(CO8," provides same result in WIND"),IF((DR8&gt;=DB8),CONCATENATE(CO8," provides same result in EQ"),""))))))&amp;IF(ISERROR(FIND("pile",I8,1)),"",IF(INT(F8)&lt;&gt;F8,"Pile!  Use Whole Numbers Only",""))</f>
        <v xml:space="preserve"> </v>
      </c>
      <c r="R8" s="52">
        <f ca="1">COLUMN(INDIRECT(B8&amp;1))</f>
        <v>1</v>
      </c>
      <c r="S8" s="1372" t="str">
        <f ca="1">SUBSTITUTE(ADDRESS(1,R8,4),"1","")</f>
        <v>A</v>
      </c>
      <c r="T8" s="451">
        <f>IF(AND(ISTEXT(B8),SUBSTITUTE(SUBSTITUTE(SUBSTITUTE(SUBSTITUTE(SUBSTITUTE(SUBSTITUTE(SUBSTITUTE(SUBSTITUTE(SUBSTITUTE(SUBSTITUTE(SUBSTITUTE(SUBSTITUTE(SUBSTITUTE(SUBSTITUTE(SUBSTITUTE(SUBSTITUTE(SUBSTITUTE(SUBSTITUTE(SUBSTITUTE(SUBSTITUTE(SUBSTITUTE(SUBSTITUTE(SUBSTITUTE(SUBSTITUTE(SUBSTITUTE(SUBSTITUTE(LOWER(B8),"a",),"b",),"c",),"d",),"e",),"f",),"g",),"h",),"i",),"j",),"k",),"l",),"m",),"n",),"o",),"p",),"q",),"r",),"s",),"t",),"u",),"v",),"w",),"x",),"y",),"z",)=""),1,2)</f>
        <v>1</v>
      </c>
      <c r="U8" s="1377">
        <v>1</v>
      </c>
      <c r="V8" s="52" t="str">
        <f>IF(AND(B$5=$BF$9,OR(I8=BH$16,I8=BH$17))," ",IF(ISNUMBER(B$8),(CONCATENATE(B$8,".",W8)),(CONCATENATE(B$8,W8))))</f>
        <v>A0</v>
      </c>
      <c r="W8" s="9">
        <f>W7+X8</f>
        <v>0</v>
      </c>
      <c r="X8" s="9">
        <f>IF(AND(B$5=$BF$9,OR($I8=$BH$16,$I8=$BH$17,$I8=" ",$I8="",$F8=0)),0,IF(OR($I8=" ",$I8="",$F8=0),0,1))</f>
        <v>0</v>
      </c>
      <c r="Y8" s="896">
        <f ca="1">IF(AND(M13&gt;0,B8&lt;&gt;B14),1,0)</f>
        <v>0</v>
      </c>
      <c r="Z8" s="52" t="str">
        <f ca="1">IF(I8=" "," ",OFFSET($BM$9,$CL8-1,8,1,1))</f>
        <v xml:space="preserve"> </v>
      </c>
      <c r="AA8" s="51" t="str">
        <f>IF(G8&gt;=45,"WA","")</f>
        <v/>
      </c>
      <c r="AB8" s="1364" t="str">
        <f>IF(OR(E8=" ",E8="")," ",(IF(F8&lt;&gt;"",IF(OR(D8=$BG$12,D8=$BG$13),IF(E8&lt;&gt;$BG$17,$BF$20,$BF$21),IF(E8&lt;&gt;$BG$17,$BF$20,$BF$21))," ")))</f>
        <v xml:space="preserve"> </v>
      </c>
      <c r="AC8" s="1"/>
      <c r="AJ8" s="2184" t="str">
        <f>'Custom Elements'!O6</f>
        <v>Supplier</v>
      </c>
      <c r="AK8" s="2186" t="str">
        <f>'Regular and QuickBrace Systems'!D5</f>
        <v>Internal or External Usage</v>
      </c>
      <c r="AL8" s="2823" t="str">
        <f>'Custom Elements'!P6</f>
        <v>System</v>
      </c>
      <c r="AM8" s="2858" t="str">
        <f>'Regular and QuickBrace Systems'!F5</f>
        <v xml:space="preserve"> Performance</v>
      </c>
      <c r="AN8" s="2859"/>
      <c r="AO8" s="2860"/>
      <c r="AP8" s="1353"/>
      <c r="AQ8" s="2823" t="str">
        <f>'Custom Elements'!V6</f>
        <v>Height Dependant</v>
      </c>
      <c r="AR8" s="2232" t="str">
        <f>'Custom Elements'!W6</f>
        <v>Foundation Dependant</v>
      </c>
      <c r="AS8" s="1639"/>
      <c r="AT8" s="2861" t="str">
        <f>'Custom Elements'!AH6</f>
        <v>NZS3604:2011  Systems</v>
      </c>
      <c r="AU8" s="51"/>
      <c r="AV8" s="51"/>
      <c r="AW8" s="51"/>
      <c r="AX8" s="51"/>
      <c r="AY8" s="51"/>
      <c r="AZ8" s="51"/>
      <c r="BA8" s="51"/>
      <c r="BB8" s="51"/>
      <c r="BC8" s="51"/>
      <c r="BD8" s="641"/>
      <c r="BE8" s="457" t="s">
        <v>1069</v>
      </c>
      <c r="BF8" s="1379"/>
      <c r="BG8" s="430" t="s">
        <v>1107</v>
      </c>
      <c r="BH8" s="51" t="s">
        <v>1108</v>
      </c>
      <c r="BI8" s="759"/>
      <c r="BJ8" s="896"/>
      <c r="BK8" s="51"/>
      <c r="BL8" s="51"/>
      <c r="BM8" s="966" t="s">
        <v>8</v>
      </c>
      <c r="CJ8" s="759"/>
      <c r="CK8" s="188"/>
      <c r="CL8" s="978">
        <f>VLOOKUP(I8,Prodlink,2,0)</f>
        <v>0</v>
      </c>
      <c r="CN8" s="497">
        <f ca="1">VLOOKUP(CO8,Prodlink,2,0)</f>
        <v>0</v>
      </c>
      <c r="CO8" s="497">
        <f ca="1">OFFSET($CH$9,CL8-1,-15,1,1)</f>
        <v>0</v>
      </c>
      <c r="CQ8" s="51">
        <v>0</v>
      </c>
      <c r="CR8" s="51">
        <f ca="1">IF(AND(Z8&lt;&gt;"t",Z8&lt;&gt;"f"),10000,IF(K8=$BH$11,0,IF(K8=$BH$12,$BH$23,IF(K8=$BH$13,$BH$24,10000))))</f>
        <v>10000</v>
      </c>
      <c r="CS8" s="51">
        <f ca="1">IF(F8&lt;OFFSET($BM$9,CL8-1,0,1,1),0,IF(F8&lt;OFFSET($BN$9,CL8-1,0,1,1),((F8-OFFSET($BM$9,CL8-1,0,1,1))*OFFSET($CH$9,CL8-1,0,1,1))+OFFSET($BO$9,CL8-1,CQ8,1,1),IF(F8&lt;OFFSET($BN$9,CL8+0,0,1,1),((F8-OFFSET($BM$9,CL8+0,0,1,1))*OFFSET($CH$9,CL8+0,0,1,1))+OFFSET($BO$9,CL8+0,CQ8,1,1),IF(F8&lt;OFFSET($BN$9,CL8+1,0,1,1),((F8-OFFSET($BM$9,CL8+1,0,1,1))*OFFSET($CH$9,CL8+1,0,1,1))+OFFSET($BO$9,CL8+1,CQ8,1,1),IF(F8&lt;OFFSET($BN$9,CL8+2,0,1,1),((F8-OFFSET($BM$9,CL8+2,0,1,1))*OFFSET($CH$9,CL8+2,0,1,1))+OFFSET($BO$9,CL8+2,CQ8,1,1),IF(F8&lt;OFFSET($BN$9,CL8+3,0,1,1),((F8-OFFSET($BM$9,CL8+3,0,1,1))*OFFSET($CH$9,CL8+3,0,1,1))+OFFSET($BO$9,CL8+3,CQ8,1,1),0))))))</f>
        <v>0</v>
      </c>
      <c r="CT8" s="51">
        <f ca="1">IF($F8&lt;OFFSET($BM$9,$CL8-1,0,1,1),0,IF($F8&lt;OFFSET($BN$9,$CL8-1,0,1,1),IF(AND($H8&gt;2.4,Z8&lt;&gt;"e",Z8&lt;&gt;"f"),CX8*2.4/$H8,CX8),IF($F8&lt;OFFSET($BN$9,$CL8+0,0,1,1),IF(AND($H8&gt;2.4,Z8&lt;&gt;"e",Z8&lt;&gt;"f"),CX8*2.4/$H8,CX8),IF($F8&lt;OFFSET($BN$9,$CL8+1,0,1,1),IF(AND($H8&gt;2.4,Z8&lt;&gt;"e",Z8&lt;&gt;"f"),CX8*2.4/$H8,CX8),IF($F8&lt;OFFSET($BN$9,CL8+2,0,1,1),IF(AND($H8&gt;2.4,Z8&lt;&gt;"e",Z8&lt;&gt;"f"),CX8*2.4/$H8,CX8),IF($F8&lt;OFFSET($BN$9,CL8+3,0,1,1),IF(AND($H8&gt;2.4,Z8&lt;&gt;"e",Z8&lt;&gt;"f"),CX8*2.4/$H8,CX8),0)))))*COS(RADIANS($G8)))</f>
        <v>0</v>
      </c>
      <c r="CU8" s="51">
        <f ca="1">IF(F8&lt;OFFSET($BM$9,CL8-1,0,1,1),0,IF(F8&lt;OFFSET($BN$9,CL8-1,0,1,1),((F8-OFFSET($BM$9,CL8-1,0,1,1))*OFFSET($CI$9,CL8-1,0,1,1))+OFFSET($BP$9,CL8-1,CQ8,1,1),IF(F8&lt;OFFSET($BN$9,CL8+0,0,1,1),((F8-OFFSET($BM$9,CL8+0,0,1,1))*OFFSET($CI$9,CL8+0,0,1,1))+OFFSET($BP$9,CL8+0,CQ8,1,1),IF(F8&lt;OFFSET($BN$9,CL8+1,0,1,1),((F8-OFFSET($BM$9,CL8+1,0,1,1))*OFFSET($CI$9,CL8+1,0,1,1))+OFFSET($BP$9,CL8+1,CQ8,1,1),IF(F8&lt;OFFSET($BN$9,CL8+2,0,1,1),((F8-OFFSET($BM$9,CL8+2,0,1,1))*OFFSET($CI$9,CL8+2,0,1,1))+OFFSET($BP$9,CL8+2,CQ8,1,1),IF(F8&lt;OFFSET($BN$9,CL8+3,0,1,1),((F8-OFFSET($BM$9,CL8+3,0,1,1))*OFFSET($CI$9,CL8+3,0,1,1))+OFFSET($BP$9,CL8+3,CQ8,1,1),0))))))</f>
        <v>0</v>
      </c>
      <c r="CV8" s="51">
        <f ca="1">IF($F8&lt;OFFSET($BM$9,$CL8-1,0,1,1),0,IF($F8&lt;OFFSET($BN$9,$CL8-1,0,1,1),IF(AND($H8&gt;2.4,Z8&lt;&gt;"e",Z8&lt;&gt;"f"),CZ8*2.4/$H8,CZ8),IF($F8&lt;OFFSET($BN$9,$CL8+0,0,1,1),IF(AND($H8&gt;2.4,Z8&lt;&gt;"e",Z8&lt;&gt;"f"),CZ8*2.4/$H8,CZ8),IF($F8&lt;OFFSET($BN$9,$CL8+1,0,1,1),IF(AND($H8&gt;2.4,Z8&lt;&gt;"e",Z8&lt;&gt;"f"),CZ8*2.4/$H8,CZ8),IF($F8&lt;OFFSET($BN$9,$CL8+2,0,1,1),IF(AND($H8&gt;2.4,Z8&lt;&gt;"e",Z8&lt;&gt;"f"),CZ8*2.4/$H8,CZ8),IF($F8&lt;OFFSET($BN$9,$CL8+3,0,1,1),IF(AND($H8&gt;2.4,Z8&lt;&gt;"e",Z8&lt;&gt;"f"),CZ8*2.4/$H8,CZ8),0)))))*COS(RADIANS($G8)))</f>
        <v>0</v>
      </c>
      <c r="CW8" s="51">
        <f ca="1">IF(CT8&gt;CR8,CR8,CT8)</f>
        <v>0</v>
      </c>
      <c r="CX8" s="51">
        <f ca="1">IF(CS8&gt;$CR8,$CR8,CS8)</f>
        <v>0</v>
      </c>
      <c r="CY8" s="51">
        <f ca="1">CW8*F8</f>
        <v>0</v>
      </c>
      <c r="CZ8" s="51">
        <f ca="1">IF($CU8&gt;$CR8,$CR8,$CU8)</f>
        <v>0</v>
      </c>
      <c r="DA8" s="51">
        <f ca="1">IF(CV8&gt;CR8,CR8,CV8)</f>
        <v>0</v>
      </c>
      <c r="DB8" s="51">
        <f ca="1">DA8*F8</f>
        <v>0</v>
      </c>
      <c r="DC8" s="993">
        <v>2</v>
      </c>
      <c r="DD8" s="758" t="str">
        <f>IF(OR(D8=BG$12,D8=BG$13),"External",IF(D8=BG$14,"Internal"," "))</f>
        <v>External</v>
      </c>
      <c r="DE8" s="51" t="str">
        <f ca="1">IF(AND(OFFSET($CH$9,CL8-1,-14,1,1)="I",DD8="External"),BE$66,IF(AND(OFFSET($CH$9,CL8-1,-14,1,1)="M",DD8="Internal"),BE$65,IF(AND(OFFSET($CH$9,CL8-1,-14,1,1)="M",DD8=" "),BE$64,IF(AND(OFFSET($CH$9,CL8-1,-14,1,1)="E",DD8="Internal"),BE$62,IF(AND(OFFSET($CH$9,CL8-1,-14,1,1)="E",DD8=" "),BE$61,IF(AND(DF8="Double",E8=$BG$16),BE$67,""))))))</f>
        <v/>
      </c>
      <c r="DF8" s="52" t="str">
        <f ca="1">IF(I8=" "," ",OFFSET($BM$9,$CL8-1,11,1,1))</f>
        <v xml:space="preserve"> </v>
      </c>
      <c r="DG8" s="51">
        <f ca="1">IF(F8&lt;OFFSET($BM$9,CN8-1,0,1,1),0,IF(F8&lt;OFFSET($BN$9,CN8-1,0,1,1),((F8-OFFSET($BM$9,CN8-1,0,1,1))*OFFSET($CH$9,CN8-1,0,1,1))+OFFSET($BO$9,CN8-1,CQ8,1,1),IF(F8&lt;OFFSET($BN$9,CN8+0,0,1,1),((F8-OFFSET($BM$9,CN8+0,0,1,1))*OFFSET($CH$9,CN8+0,0,1,1))+OFFSET($BO$9,CN8+0,CQ8,1,1),IF(F8&lt;OFFSET($BN$9,CN8+1,0,1,1),((F8-OFFSET($BM$9,CN8+1,0,1,1))*OFFSET($CH$9,CN8+1,0,1,1))+OFFSET($BO$9,CN8+1,CQ8,1,1),IF(F8&lt;OFFSET($BN$9,CN8+2,0,1,1),((F8-OFFSET($BM$9,CN8+2,0,1,1))*OFFSET($CH$9,CN8+2,0,1,1))+OFFSET($BO$9,CN8+2,CQ8,1,1),IF(F8&lt;OFFSET($BN$9,CN8+3,0,1,1),((F8-OFFSET($BM$9,CN8+3,0,1,1))*OFFSET($CH$9,CN8+3,0,1,1))+OFFSET($BO$9,CN8+3,CQ8,1,1),0))))))</f>
        <v>0</v>
      </c>
      <c r="DH8" s="51">
        <f ca="1">IF($F8&lt;OFFSET($BM$9,$CN8-1,0,1,1),0,IF($F8&lt;OFFSET($BN$9,$CN8-1,0,1,1),IF(AND($H8&gt;2.4,Z8&lt;&gt;"e",Z8&lt;&gt;"f"),DL8*2.4/$H8,DL8),IF($F8&lt;OFFSET($BN$9,$CN8+0,0,1,1),IF(AND($H8&gt;2.4,Z8&lt;&gt;"e",Z8&lt;&gt;"f"),DL8*2.4/$H8,DL8),IF($F8&lt;OFFSET($BN$9,$CN8+1,0,1,1),IF(AND($H8&gt;2.4,Z8&lt;&gt;"e",Z8&lt;&gt;"f"),DL8*2.4/$H8,DL8),IF($F8&lt;OFFSET($BN$9,$CN8+2,0,1,1),IF(AND($H8&gt;2.4,Z8&lt;&gt;"e",Z8&lt;&gt;"f"),DL8*2.4/$H8,DL8),IF($F8&lt;OFFSET($BN$9,$CN8+3,0,1,1),IF(AND($H8&gt;2.4,Z8&lt;&gt;"e",Z8&lt;&gt;"f"),DL8*2.4/$H8,DL8),0)))))*COS(RADIANS($G8)))</f>
        <v>0</v>
      </c>
      <c r="DI8" s="51">
        <f ca="1">IF(F8&lt;OFFSET($BM$9,CN8-1,0,1,1),0,IF(F8&lt;OFFSET($BN$9,CN8-1,0,1,1),((F8-OFFSET($BM$9,CN8-1,0,1,1))*OFFSET($CI$9,CN8-1,0,1,1))+OFFSET($BP$9,CN8-1,CQ8,1,1),IF(F8&lt;OFFSET($BN$9,CN8+0,0,1,1),((F8-OFFSET($BM$9,CN8+0,0,1,1))*OFFSET($CI$9,CN8+0,0,1,1))+OFFSET($BP$9,CN8+0,CQ8,1,1),IF(F8&lt;OFFSET($BN$9,CN8+1,0,1,1),((F8-OFFSET($BM$9,CN8+1,0,1,1))*OFFSET($CI$9,CN8+1,0,1,1))+OFFSET($BP$9,CN8+1,CQ8,1,1),IF(F8&lt;OFFSET($BN$9,CN8+2,0,1,1),((F8-OFFSET($BM$9,CN8+2,0,1,1))*OFFSET($CI$9,CN8+2,0,1,1))+OFFSET($BP$9,CN8+2,CQ8,1,1),IF(F8&lt;OFFSET($BN$9,CN8+3,0,1,1),((F8-OFFSET($BM$9,CN8+3,0,1,1))*OFFSET($CI$9,CN8+3,0,1,1))+OFFSET($BP$9,CN8+3,CQ8,1,1),0))))))</f>
        <v>0</v>
      </c>
      <c r="DJ8" s="51">
        <f ca="1">IF($F8&lt;OFFSET($BM$9,$CN8-1,0,1,1),0,IF($F8&lt;OFFSET($BN$9,$CN8-1,0,1,1),IF(AND($H8&gt;2.4,Z8&lt;&gt;"e",Z8&lt;&gt;"f"),DN8*2.4/$H8,DN8),IF($F8&lt;OFFSET($BN$9,$CN8+0,0,1,1),IF(AND($H8&gt;2.4,Z8&lt;&gt;"e",Z8&lt;&gt;"f"),DN8*2.4/$H8,DN8),IF($F8&lt;OFFSET($BN$9,$CN8+1,0,1,1),IF(AND($H8&gt;2.4,Z8&lt;&gt;"e",Z8&lt;&gt;"f"),DN8*2.4/$H8,DN8),IF($F8&lt;OFFSET($BN$9,$CN8+2,0,1,1),IF(AND($H8&gt;2.4,Z8&lt;&gt;"e",Z8&lt;&gt;"f"),DN8*2.4/$H8,DN8),IF($F8&lt;OFFSET($BN$9,$CN8+3,0,1,1),IF(AND($H8&gt;2.4,Z8&lt;&gt;"e",Z8&lt;&gt;"f"),DN8*2.4/$H8,DN8),0)))))*COS(RADIANS($G8)))</f>
        <v>0</v>
      </c>
      <c r="DK8" s="51"/>
      <c r="DL8" s="51">
        <f ca="1">IF(DG8&gt;$CR8,$CR8,DG8)</f>
        <v>0</v>
      </c>
      <c r="DM8" s="51"/>
      <c r="DN8" s="51">
        <f ca="1">IF(DI8&gt;$CR8,$CR8,DI8)</f>
        <v>0</v>
      </c>
      <c r="DO8" s="435">
        <f ca="1">IF(DH8&gt;$CR8,$CR8,DH8)</f>
        <v>0</v>
      </c>
      <c r="DP8" s="435">
        <f ca="1">DO8*F8</f>
        <v>0</v>
      </c>
      <c r="DQ8" s="436">
        <f ca="1">IF(DJ8&gt;$CR8,$CR8,DJ8)</f>
        <v>0</v>
      </c>
      <c r="DR8" s="437">
        <f ca="1">DQ8*F8</f>
        <v>0</v>
      </c>
      <c r="DS8" s="426">
        <f ca="1">OFFSET($CH$9,CL8-1,-15,1,1)</f>
        <v>0</v>
      </c>
      <c r="DT8" s="426">
        <f t="shared" ref="DT8:DT39" ca="1" si="1">VLOOKUP(DS8,Prodlink,2,0)</f>
        <v>0</v>
      </c>
      <c r="DU8" s="188">
        <f ca="1">IF(F8&lt;OFFSET($BM$9,DT8-1,0,1,1),0,IF(F8&lt;OFFSET($BN$9,DT8-1,0,1,1),((F8-OFFSET($BM$9,DT8-1,0,1,1))*OFFSET($CH$9,DT8-1,0,1,1))+OFFSET($BO$9,DT8-1,CQ8,1,1),IF(F8&lt;OFFSET($BN$9,DT8+0,0,1,1),((F8-OFFSET($BM$9,DT8+0,0,1,1))*OFFSET($CH$9,DT8+0,0,1,1))+OFFSET($BO$9,DT8+0,CQ8,1,1),IF(F8&lt;OFFSET($BN$9,DT8+1,0,1,1),((F8-OFFSET($BM$9,DT8+1,0,1,1))*OFFSET($CH$9,DT8+1,0,1,1))+OFFSET($BO$9,DT8+1,CQ8,1,1),IF(F8&lt;OFFSET($BN$9,DT8+2,0,1,1),((F8-OFFSET($BM$9,DT8+2,0,1,1))*OFFSET($CH$9,DT8+2,0,1,1))+OFFSET($BO$9,DT8+2,CQ8,1,1),IF(F8&lt;OFFSET($BN$9,DT8+3,0,1,1),((F8-OFFSET($BM$9,DT8+3,0,1,1))*OFFSET($CH$9,DT8+3,0,1,1))+OFFSET($BO$9,DT8+3,CQ8,1,1),0))))))</f>
        <v>0</v>
      </c>
      <c r="DV8" s="51">
        <f ca="1">IF($F8&lt;OFFSET($BM$9,$DT8-1,0,1,1),0,IF($F8&lt;OFFSET($BN$9,$DT8-1,0,1,1),IF(AND($H8&gt;2.4,Z8&lt;&gt;"e",Z8&lt;&gt;"f"),DZ8*2.4/$H8,DZ8),IF($F8&lt;OFFSET($BN$9,$DT8+0,0,1,1),IF(AND($H8&gt;2.4,Z8&lt;&gt;"e",Z8&lt;&gt;"f"),DZ8*2.4/$H8,DZ8),IF($F8&lt;OFFSET($BN$9,$DT8+1,0,1,1),IF(AND($H8&gt;2.4,Z8&lt;&gt;"e",Z8&lt;&gt;"f"),DZ8*2.4/$H8,DZ8),IF($F8&lt;OFFSET($BN$9,$DT8+2,0,1,1),IF(AND($H8&gt;2.4,Z8&lt;&gt;"e",Z8&lt;&gt;"f"),DZ8*2.4/$H8,DZ8),IF($F8&lt;OFFSET($BN$9,$DT8+3,0,1,1),IF(AND($H8&gt;2.4,Z8&lt;&gt;"e",Z8&lt;&gt;"f"),DZ8*2.4/$H8,DZ8),0)))))*COS(RADIANS($G8)))</f>
        <v>0</v>
      </c>
      <c r="DW8" s="188">
        <f ca="1">IF(F8&lt;OFFSET($BM$9,DT8-1,0,1,1),0,IF(F8&lt;OFFSET($BN$9,DT8-1,0,1,1),((F8-OFFSET($BM$9,DT8-1,0,1,1))*OFFSET($CI$9,DT8-1,0,1,1))+OFFSET($BP$9,DT8-1,CQ8,1,1),IF(F8&lt;OFFSET($BN$9,DT8+0,0,1,1),((F8-OFFSET($BM$9,DT8+0,0,1,1))*OFFSET($CI$9,DT8+0,0,1,1))+OFFSET($BP$9,DT8+0,CQ8,1,1),IF(F8&lt;OFFSET($BN$9,DT8+1,0,1,1),((F8-OFFSET($BM$9,DT8+1,0,1,1))*OFFSET($CI$9,DT8+1,0,1,1))+OFFSET($BP$9,DT8+1,CQ8,1,1),IF(F8&lt;OFFSET($BN$9,DT8+2,0,1,1),((F8-OFFSET($BM$9,DT8+2,0,1,1))*OFFSET($CI$9,DT8+2,0,1,1))+OFFSET($BP$9,DT8+2,CQ8,1,1),IF(F8&lt;OFFSET($BN$9,DT8+3,0,1,1),((F8-OFFSET($BM$9,DT8+3,0,1,1))*OFFSET($CI$9,DT8+3,0,1,1))+OFFSET($BP$9,DT8+3,CQ8,1,1),0))))))</f>
        <v>0</v>
      </c>
      <c r="DX8" s="51">
        <f ca="1">IF($F8&lt;OFFSET($BM$9,$DT8-1,0,1,1),0,IF($F8&lt;OFFSET($BN$9,$DT8-1,0,1,1),IF(AND($H8&gt;2.4,Z8&lt;&gt;"e",Z8&lt;&gt;"f"),EB8*2.4/$H8,EB8),IF($F8&lt;OFFSET($BN$9,$DT8+0,0,1,1),IF(AND($H8&gt;2.4,Z8&lt;&gt;"e",Z8&lt;&gt;"f"),EB8*2.4/$H8,EB8),IF($F8&lt;OFFSET($BN$9,$DT8+1,0,1,1),IF(AND($H8&gt;2.4,Z8&lt;&gt;"e",Z8&lt;&gt;"f"),EB8*2.4/$H8,EB8),IF($F8&lt;OFFSET($BN$9,$DT8+2,0,1,1),IF(AND($H8&gt;2.4,Z8&lt;&gt;"e",Z8&lt;&gt;"f"),EB8*2.4/$H8,EB8),IF($F8&lt;OFFSET($BN$9,$DT8+3,0,1,1),IF(AND($H8&gt;2.4,Z8&lt;&gt;"e",Z8&lt;&gt;"f"),EB8*2.4/$H8,EB8),0)))))*COS(RADIANS($G8)))</f>
        <v>0</v>
      </c>
      <c r="DY8" s="188"/>
      <c r="DZ8" s="188">
        <f ca="1">IF(DU8&gt;$CR8,$CR8,DU8)</f>
        <v>0</v>
      </c>
      <c r="EA8" s="188"/>
      <c r="EB8" s="188">
        <f ca="1">IF(DW8&gt;$CR8,$CR8,DW8)</f>
        <v>0</v>
      </c>
      <c r="EC8" s="435">
        <f ca="1">IF(DV8&gt;$CR8,$CR8,DV8)</f>
        <v>0</v>
      </c>
      <c r="ED8" s="435">
        <f ca="1">EC8*F8</f>
        <v>0</v>
      </c>
      <c r="EE8" s="436">
        <f ca="1">IF(DX8&gt;$CR8,$CR8,DX8)</f>
        <v>0</v>
      </c>
      <c r="EF8" s="437">
        <f ca="1">EE8*F8</f>
        <v>0</v>
      </c>
      <c r="EG8" s="613" t="str">
        <f>IF(D8=BG$12,BG$12,"")</f>
        <v>Top External</v>
      </c>
      <c r="EH8" s="614" t="str">
        <f>IF(D8=BG$13,BG$13,"")</f>
        <v/>
      </c>
      <c r="EI8" s="611">
        <f ca="1">IF(EG8=BG$12,M8,0)</f>
        <v>0</v>
      </c>
      <c r="EJ8" s="451">
        <f ca="1">IF(EG8=BG$12,O8,0)</f>
        <v>0</v>
      </c>
      <c r="EK8" s="451">
        <f>IF(EH8=BG$13,M8,0)</f>
        <v>0</v>
      </c>
      <c r="EL8" s="612">
        <f>IF(EH8=BG$13,O8,0)</f>
        <v>0</v>
      </c>
      <c r="EM8" s="426" t="str">
        <f ca="1">IF(AND(Z8&lt;&gt;"t",Z8&lt;&gt;"f"),"",IF(AND(EN8=$BH$11,K8&lt;&gt;EN8),EM$4,IF(AND(EN8=$BH$12,K8=$BH$13),EM$4,IF(AND(EN8=$BH$12,K8=$BH$14),EM$4,IF(AND(EN8=$BH$13,K8=$BH$14),$EM$4,IF(EN8=$BH$14,$EM$4,""))))))</f>
        <v/>
      </c>
      <c r="EN8" s="489" t="str">
        <f>BG$24</f>
        <v>No Floor</v>
      </c>
      <c r="EO8" s="426" t="str">
        <f>K8</f>
        <v xml:space="preserve"> </v>
      </c>
      <c r="EP8" s="497" t="str">
        <f ca="1">IF(AND(Z8&lt;&gt;"t",Z8&lt;&gt;"f"),"",IF(AND(EN8=$BH$14,K8&lt;&gt;EN8),EP$4,IF(AND(EN8=$BH$13,K8=$BH$12),EP$4,IF(AND(EN8=$BH$13,K8=$BH$11),EP$4,IF(AND(EN8=$BH$12,K8=$BH$11),$EP$4,IF(EN8=$BH$11,"Earth",""))))))</f>
        <v/>
      </c>
      <c r="EQ8" s="430" t="str">
        <f ca="1">IF(Z8&lt;&gt;"t","",IF(EQ$5=2,IF(K8&lt;&gt;BH$11,EQ$7," ")))</f>
        <v/>
      </c>
      <c r="ER8" s="439" t="str">
        <f ca="1">IF(H8=0," ",H8)</f>
        <v xml:space="preserve"> </v>
      </c>
      <c r="ES8" s="440" t="str">
        <f ca="1">IF(ER8&lt;&gt;" ",IF(ER8&lt;&gt;ER$7,"Changed",""),"")</f>
        <v/>
      </c>
      <c r="ET8" s="440">
        <f ca="1">IF(ER8&lt;&gt;" ",IF(ER8&lt;&gt;ER$7,1,0),0)</f>
        <v>0</v>
      </c>
      <c r="EU8" s="426" t="str">
        <f ca="1">IF(I8=" "," ",IF(F8&lt;OFFSET($BM$9,CL8-1,0,1,1),1,""))</f>
        <v xml:space="preserve"> </v>
      </c>
      <c r="EW8" s="427"/>
      <c r="EY8" s="421"/>
    </row>
    <row r="9" spans="1:155" ht="17.100000000000001" customHeight="1" thickBot="1">
      <c r="B9" s="689" t="s">
        <v>246</v>
      </c>
      <c r="C9" s="684" t="str">
        <f>IF(OR(F9=0,I9="",I9=" ")," ",$V9)</f>
        <v xml:space="preserve"> </v>
      </c>
      <c r="D9" s="1033" t="s">
        <v>8</v>
      </c>
      <c r="E9" s="1360"/>
      <c r="F9" s="201"/>
      <c r="G9" s="1416"/>
      <c r="H9" s="1417" t="str">
        <f ca="1">IF(OR(F9=0,Z9="E",Z9="f")," ",'Project Demand'!E$55)</f>
        <v xml:space="preserve"> </v>
      </c>
      <c r="I9" s="631" t="str">
        <f>IF($I$6&lt;&gt;$BG$8," ",AB9)</f>
        <v xml:space="preserve"> </v>
      </c>
      <c r="J9" s="44" t="str">
        <f ca="1">IF(OR(I9=" ",I9="")," ",OFFSET($BO$9,CL9-1,0-4,1,1))</f>
        <v xml:space="preserve"> </v>
      </c>
      <c r="K9" s="55" t="str">
        <f>IF(OR(I9=" ",I9="")," ",IF(OR(Z9="e",Z9="h"),"SD",IF(BG$24=BH$11,BH$13,BG$24)))</f>
        <v xml:space="preserve"> </v>
      </c>
      <c r="L9" s="725">
        <f ca="1">CW9</f>
        <v>0</v>
      </c>
      <c r="M9" s="726">
        <f ca="1">CY9</f>
        <v>0</v>
      </c>
      <c r="N9" s="445">
        <f t="shared" ca="1" si="0"/>
        <v>0</v>
      </c>
      <c r="O9" s="728">
        <f t="shared" ca="1" si="0"/>
        <v>0</v>
      </c>
      <c r="P9" s="138"/>
      <c r="Q9" s="752" t="str">
        <f ca="1">IF(AND(OR(Z9="t",Z9="f"),K9=$BH$11),"No Floor!  Change Floor Type",IF(OR(I9=" ",I9="")," ",IF(F9&lt;OFFSET($BM$9,CL9-1,0,1,1),"check L(m)",DE9&amp;IF(AND(DP9&gt;=CY9,DR9&gt;=DB9),IF(AND(ED9&gt;=DP9,EF9&gt;=DR9),CONCATENATE(DS9," will provide same result"),CONCATENATE(CO9," will provide same result")),IF((DP9&gt;=CY9),CONCATENATE(CO9," provides same result in WIND"),IF((DR9&gt;=DB9),CONCATENATE(CO9," provides same result in EQ"),""))))))&amp;IF(ISERROR(FIND("pile",I9,1)),"",IF(INT(F9)&lt;&gt;F9,"Pile!  Use Whole Numbers Only",""))</f>
        <v xml:space="preserve"> </v>
      </c>
      <c r="R9" s="52"/>
      <c r="S9" s="1372"/>
      <c r="T9" s="52"/>
      <c r="U9" s="1377"/>
      <c r="V9" s="52" t="str">
        <f>IF(AND(B$5=$BF$9,OR(I9=BH$16,I9=BH$17))," ",IF(ISNUMBER(B$8),(CONCATENATE(B$8,".",W9)),(CONCATENATE(B$8,W9))))</f>
        <v>A0</v>
      </c>
      <c r="W9" s="9">
        <f>W8+X9</f>
        <v>0</v>
      </c>
      <c r="X9" s="9">
        <f>IF(AND(B$5=$BF$9,OR($I9=$BH$16,$I9=$BH$17,$I9=" ",$I9="",$F9=0)),0,IF(OR($I9=" ",$I9="",$F9=0),0,1))</f>
        <v>0</v>
      </c>
      <c r="Y9" s="896"/>
      <c r="Z9" s="52" t="str">
        <f ca="1">IF(I9=" "," ",OFFSET($BM$9,$CL9-1,8,1,1))</f>
        <v xml:space="preserve"> </v>
      </c>
      <c r="AA9" s="51" t="str">
        <f>IF(G9&gt;=45,"WA","")</f>
        <v/>
      </c>
      <c r="AB9" s="1364" t="str">
        <f>IF(OR(E9=" ",E9="")," ",(IF(F9&lt;&gt;"",IF(OR(D9=$BG$12,D9=$BG$13),IF(E9&lt;&gt;$BG$17,$BF$20,$BF$21),IF(E9&lt;&gt;$BG$17,$BF$20,$BF$21))," ")))</f>
        <v xml:space="preserve"> </v>
      </c>
      <c r="AC9" s="1"/>
      <c r="AJ9" s="2185"/>
      <c r="AK9" s="2187"/>
      <c r="AL9" s="2246"/>
      <c r="AM9" s="2246" t="str">
        <f>'Regular and QuickBrace Systems'!F6</f>
        <v>Min Length (m)</v>
      </c>
      <c r="AN9" s="2863" t="str">
        <f>'Regular and QuickBrace Systems'!G6</f>
        <v>BU's/m   Wind</v>
      </c>
      <c r="AO9" s="2601" t="str">
        <f>'Regular and QuickBrace Systems'!H6</f>
        <v>BU's/m   EQ</v>
      </c>
      <c r="AP9" s="1244"/>
      <c r="AQ9" s="2246"/>
      <c r="AR9" s="2233"/>
      <c r="AS9" s="1639"/>
      <c r="AT9" s="2862"/>
      <c r="AU9" s="120"/>
      <c r="AV9" s="120"/>
      <c r="AW9" s="120"/>
      <c r="AX9" s="120"/>
      <c r="AY9" s="120"/>
      <c r="AZ9" s="120"/>
      <c r="BA9" s="120"/>
      <c r="BB9" s="120"/>
      <c r="BC9" s="120"/>
      <c r="BD9" s="2649"/>
      <c r="BE9" s="1380"/>
      <c r="BF9" s="2679" t="s">
        <v>1084</v>
      </c>
      <c r="BG9" s="2679"/>
      <c r="BH9" s="2679"/>
      <c r="BI9" s="759"/>
      <c r="BJ9" s="896">
        <v>1</v>
      </c>
      <c r="BK9" s="119"/>
      <c r="BL9" s="916"/>
      <c r="BM9" s="967">
        <v>0</v>
      </c>
      <c r="BN9" s="966"/>
      <c r="BO9" s="966">
        <v>0</v>
      </c>
      <c r="BP9" s="966"/>
      <c r="BR9" s="450"/>
      <c r="BS9" s="450"/>
      <c r="BT9" s="450"/>
      <c r="BU9" s="450"/>
      <c r="BV9" s="51" t="s">
        <v>8</v>
      </c>
      <c r="CH9" s="966"/>
      <c r="CI9" s="966"/>
      <c r="CJ9" s="928"/>
      <c r="CK9" s="937"/>
      <c r="CL9" s="979">
        <f>VLOOKUP(I9,Prodlink,2,0)</f>
        <v>0</v>
      </c>
      <c r="CN9" s="497">
        <f t="shared" ref="CN9:CN39" ca="1" si="2">VLOOKUP(CO9,Prodlink,2,0)</f>
        <v>0</v>
      </c>
      <c r="CO9" s="497">
        <f ca="1">OFFSET($CH$9,CL9-1,-15,1,1)</f>
        <v>0</v>
      </c>
      <c r="CQ9" s="51">
        <v>0</v>
      </c>
      <c r="CR9" s="51">
        <f ca="1">IF(AND(Z9&lt;&gt;"t",Z9&lt;&gt;"f"),10000,IF(K9=$BH$11,0,IF(K9=$BH$12,$BH$23,IF(K9=$BH$13,$BH$24,10000))))</f>
        <v>10000</v>
      </c>
      <c r="CS9" s="51">
        <f ca="1">IF(F9&lt;OFFSET($BM$9,CL9-1,0,1,1),0,IF(F9&lt;OFFSET($BN$9,CL9-1,0,1,1),((F9-OFFSET($BM$9,CL9-1,0,1,1))*OFFSET($CH$9,CL9-1,0,1,1))+OFFSET($BO$9,CL9-1,CQ9,1,1),IF(F9&lt;OFFSET($BN$9,CL9+0,0,1,1),((F9-OFFSET($BM$9,CL9+0,0,1,1))*OFFSET($CH$9,CL9+0,0,1,1))+OFFSET($BO$9,CL9+0,CQ9,1,1),IF(F9&lt;OFFSET($BN$9,CL9+1,0,1,1),((F9-OFFSET($BM$9,CL9+1,0,1,1))*OFFSET($CH$9,CL9+1,0,1,1))+OFFSET($BO$9,CL9+1,CQ9,1,1),IF(F9&lt;OFFSET($BN$9,CL9+2,0,1,1),((F9-OFFSET($BM$9,CL9+2,0,1,1))*OFFSET($CH$9,CL9+2,0,1,1))+OFFSET($BO$9,CL9+2,CQ9,1,1),IF(F9&lt;OFFSET($BN$9,CL9+3,0,1,1),((F9-OFFSET($BM$9,CL9+3,0,1,1))*OFFSET($CH$9,CL9+3,0,1,1))+OFFSET($BO$9,CL9+3,CQ9,1,1),0))))))</f>
        <v>0</v>
      </c>
      <c r="CT9" s="51">
        <f ca="1">IF($F9&lt;OFFSET($BM$9,$CL9-1,0,1,1),0,IF($F9&lt;OFFSET($BN$9,$CL9-1,0,1,1),IF(AND($H9&gt;2.4,Z9&lt;&gt;"e",Z9&lt;&gt;"f"),CX9*2.4/$H9,CX9),IF($F9&lt;OFFSET($BN$9,$CL9+0,0,1,1),IF(AND($H9&gt;2.4,Z9&lt;&gt;"e",Z9&lt;&gt;"f"),CX9*2.4/$H9,CX9),IF($F9&lt;OFFSET($BN$9,$CL9+1,0,1,1),IF(AND($H9&gt;2.4,Z9&lt;&gt;"e",Z9&lt;&gt;"f"),CX9*2.4/$H9,CX9),IF($F9&lt;OFFSET($BN$9,CL9+2,0,1,1),IF(AND($H9&gt;2.4,Z9&lt;&gt;"e",Z9&lt;&gt;"f"),CX9*2.4/$H9,CX9),IF($F9&lt;OFFSET($BN$9,CL9+3,0,1,1),IF(AND($H9&gt;2.4,Z9&lt;&gt;"e",Z9&lt;&gt;"f"),CX9*2.4/$H9,CX9),0)))))*COS(RADIANS($G9)))</f>
        <v>0</v>
      </c>
      <c r="CU9" s="51">
        <f ca="1">IF(F9&lt;OFFSET($BM$9,CL9-1,0,1,1),0,IF(F9&lt;OFFSET($BN$9,CL9-1,0,1,1),((F9-OFFSET($BM$9,CL9-1,0,1,1))*OFFSET($CI$9,CL9-1,0,1,1))+OFFSET($BP$9,CL9-1,CQ9,1,1),IF(F9&lt;OFFSET($BN$9,CL9+0,0,1,1),((F9-OFFSET($BM$9,CL9+0,0,1,1))*OFFSET($CI$9,CL9+0,0,1,1))+OFFSET($BP$9,CL9+0,CQ9,1,1),IF(F9&lt;OFFSET($BN$9,CL9+1,0,1,1),((F9-OFFSET($BM$9,CL9+1,0,1,1))*OFFSET($CI$9,CL9+1,0,1,1))+OFFSET($BP$9,CL9+1,CQ9,1,1),IF(F9&lt;OFFSET($BN$9,CL9+2,0,1,1),((F9-OFFSET($BM$9,CL9+2,0,1,1))*OFFSET($CI$9,CL9+2,0,1,1))+OFFSET($BP$9,CL9+2,CQ9,1,1),IF(F9&lt;OFFSET($BN$9,CL9+3,0,1,1),((F9-OFFSET($BM$9,CL9+3,0,1,1))*OFFSET($CI$9,CL9+3,0,1,1))+OFFSET($BP$9,CL9+3,CQ9,1,1),0))))))</f>
        <v>0</v>
      </c>
      <c r="CV9" s="51">
        <f ca="1">IF($F9&lt;OFFSET($BM$9,$CL9-1,0,1,1),0,IF($F9&lt;OFFSET($BN$9,$CL9-1,0,1,1),IF(AND($H9&gt;2.4,Z9&lt;&gt;"e",Z9&lt;&gt;"f"),CZ9*2.4/$H9,CZ9),IF($F9&lt;OFFSET($BN$9,$CL9+0,0,1,1),IF(AND($H9&gt;2.4,Z9&lt;&gt;"e",Z9&lt;&gt;"f"),CZ9*2.4/$H9,CZ9),IF($F9&lt;OFFSET($BN$9,$CL9+1,0,1,1),IF(AND($H9&gt;2.4,Z9&lt;&gt;"e",Z9&lt;&gt;"f"),CZ9*2.4/$H9,CZ9),IF($F9&lt;OFFSET($BN$9,$CL9+2,0,1,1),IF(AND($H9&gt;2.4,Z9&lt;&gt;"e",Z9&lt;&gt;"f"),CZ9*2.4/$H9,CZ9),IF($F9&lt;OFFSET($BN$9,$CL9+3,0,1,1),IF(AND($H9&gt;2.4,Z9&lt;&gt;"e",Z9&lt;&gt;"f"),CZ9*2.4/$H9,CZ9),0)))))*COS(RADIANS($G9)))</f>
        <v>0</v>
      </c>
      <c r="CW9" s="51">
        <f ca="1">IF(CT9&gt;CR9,CR9,CT9)</f>
        <v>0</v>
      </c>
      <c r="CX9" s="51">
        <f ca="1">IF(CS9&gt;$CR9,$CR9,CS9)</f>
        <v>0</v>
      </c>
      <c r="CY9" s="51">
        <f ca="1">CW9*F9</f>
        <v>0</v>
      </c>
      <c r="CZ9" s="51">
        <f ca="1">IF($CU9&gt;$CR9,$CR9,$CU9)</f>
        <v>0</v>
      </c>
      <c r="DA9" s="51">
        <f ca="1">IF(CV9&gt;CR9,CR9,CV9)</f>
        <v>0</v>
      </c>
      <c r="DB9" s="51">
        <f ca="1">DA9*F9</f>
        <v>0</v>
      </c>
      <c r="DC9" s="993">
        <v>1</v>
      </c>
      <c r="DD9" s="758" t="str">
        <f>IF(OR(D9=BG$12,D9=BG$13),"External",IF(D9=BG$14,"Internal"," "))</f>
        <v xml:space="preserve"> </v>
      </c>
      <c r="DE9" s="51" t="str">
        <f t="shared" ref="DE9:DE11" ca="1" si="3">IF(AND(OFFSET($CH$9,CL9-1,-14,1,1)="I",DD9="External"),BE$66,IF(AND(OFFSET($CH$9,CL9-1,-14,1,1)="M",DD9="Internal"),BE$65,IF(AND(OFFSET($CH$9,CL9-1,-14,1,1)="M",DD9=" "),BE$64,IF(AND(OFFSET($CH$9,CL9-1,-14,1,1)="E",DD9="Internal"),BE$62,IF(AND(OFFSET($CH$9,CL9-1,-14,1,1)="E",DD9=" "),BE$61,IF(AND(DF9="Double",E9=$BG$16),BE$67,""))))))</f>
        <v/>
      </c>
      <c r="DF9" s="52" t="str">
        <f ca="1">IF(I9=" "," ",OFFSET($BM$9,$CL9-1,11,1,1))</f>
        <v xml:space="preserve"> </v>
      </c>
      <c r="DG9" s="51">
        <f ca="1">IF(F9&lt;OFFSET($BM$9,CN9-1,0,1,1),0,IF(F9&lt;OFFSET($BN$9,CN9-1,0,1,1),((F9-OFFSET($BM$9,CN9-1,0,1,1))*OFFSET($CH$9,CN9-1,0,1,1))+OFFSET($BO$9,CN9-1,CQ9,1,1),IF(F9&lt;OFFSET($BN$9,CN9+0,0,1,1),((F9-OFFSET($BM$9,CN9+0,0,1,1))*OFFSET($CH$9,CN9+0,0,1,1))+OFFSET($BO$9,CN9+0,CQ9,1,1),IF(F9&lt;OFFSET($BN$9,CN9+1,0,1,1),((F9-OFFSET($BM$9,CN9+1,0,1,1))*OFFSET($CH$9,CN9+1,0,1,1))+OFFSET($BO$9,CN9+1,CQ9,1,1),IF(F9&lt;OFFSET($BN$9,CN9+2,0,1,1),((F9-OFFSET($BM$9,CN9+2,0,1,1))*OFFSET($CH$9,CN9+2,0,1,1))+OFFSET($BO$9,CN9+2,CQ9,1,1),IF(F9&lt;OFFSET($BN$9,CN9+3,0,1,1),((F9-OFFSET($BM$9,CN9+3,0,1,1))*OFFSET($CH$9,CN9+3,0,1,1))+OFFSET($BO$9,CN9+3,CQ9,1,1),0))))))</f>
        <v>0</v>
      </c>
      <c r="DH9" s="51">
        <f ca="1">IF($F9&lt;OFFSET($BM$9,$CN9-1,0,1,1),0,IF($F9&lt;OFFSET($BN$9,$CN9-1,0,1,1),IF(AND($H9&gt;2.4,Z9&lt;&gt;"e",Z9&lt;&gt;"f"),DL9*2.4/$H9,DL9),IF($F9&lt;OFFSET($BN$9,$CN9+0,0,1,1),IF(AND($H9&gt;2.4,Z9&lt;&gt;"e",Z9&lt;&gt;"f"),DL9*2.4/$H9,DL9),IF($F9&lt;OFFSET($BN$9,$CN9+1,0,1,1),IF(AND($H9&gt;2.4,Z9&lt;&gt;"e",Z9&lt;&gt;"f"),DL9*2.4/$H9,DL9),IF($F9&lt;OFFSET($BN$9,$CN9+2,0,1,1),IF(AND($H9&gt;2.4,Z9&lt;&gt;"e",Z9&lt;&gt;"f"),DL9*2.4/$H9,DL9),IF($F9&lt;OFFSET($BN$9,$CN9+3,0,1,1),IF(AND($H9&gt;2.4,Z9&lt;&gt;"e",Z9&lt;&gt;"f"),DL9*2.4/$H9,DL9),0)))))*COS(RADIANS($G9)))</f>
        <v>0</v>
      </c>
      <c r="DI9" s="51">
        <f ca="1">IF(F9&lt;OFFSET($BM$9,CN9-1,0,1,1),0,IF(F9&lt;OFFSET($BN$9,CN9-1,0,1,1),((F9-OFFSET($BM$9,CN9-1,0,1,1))*OFFSET($CI$9,CN9-1,0,1,1))+OFFSET($BP$9,CN9-1,CQ9,1,1),IF(F9&lt;OFFSET($BN$9,CN9+0,0,1,1),((F9-OFFSET($BM$9,CN9+0,0,1,1))*OFFSET($CI$9,CN9+0,0,1,1))+OFFSET($BP$9,CN9+0,CQ9,1,1),IF(F9&lt;OFFSET($BN$9,CN9+1,0,1,1),((F9-OFFSET($BM$9,CN9+1,0,1,1))*OFFSET($CI$9,CN9+1,0,1,1))+OFFSET($BP$9,CN9+1,CQ9,1,1),IF(F9&lt;OFFSET($BN$9,CN9+2,0,1,1),((F9-OFFSET($BM$9,CN9+2,0,1,1))*OFFSET($CI$9,CN9+2,0,1,1))+OFFSET($BP$9,CN9+2,CQ9,1,1),IF(F9&lt;OFFSET($BN$9,CN9+3,0,1,1),((F9-OFFSET($BM$9,CN9+3,0,1,1))*OFFSET($CI$9,CN9+3,0,1,1))+OFFSET($BP$9,CN9+3,CQ9,1,1),0))))))</f>
        <v>0</v>
      </c>
      <c r="DJ9" s="51">
        <f ca="1">IF($F9&lt;OFFSET($BM$9,$CN9-1,0,1,1),0,IF($F9&lt;OFFSET($BN$9,$CN9-1,0,1,1),IF(AND($H9&gt;2.4,Z9&lt;&gt;"e",Z9&lt;&gt;"f"),DN9*2.4/$H9,DN9),IF($F9&lt;OFFSET($BN$9,$CN9+0,0,1,1),IF(AND($H9&gt;2.4,Z9&lt;&gt;"e",Z9&lt;&gt;"f"),DN9*2.4/$H9,DN9),IF($F9&lt;OFFSET($BN$9,$CN9+1,0,1,1),IF(AND($H9&gt;2.4,Z9&lt;&gt;"e",Z9&lt;&gt;"f"),DN9*2.4/$H9,DN9),IF($F9&lt;OFFSET($BN$9,$CN9+2,0,1,1),IF(AND($H9&gt;2.4,Z9&lt;&gt;"e",Z9&lt;&gt;"f"),DN9*2.4/$H9,DN9),IF($F9&lt;OFFSET($BN$9,$CN9+3,0,1,1),IF(AND($H9&gt;2.4,Z9&lt;&gt;"e",Z9&lt;&gt;"f"),DN9*2.4/$H9,DN9),0)))))*COS(RADIANS($G9)))</f>
        <v>0</v>
      </c>
      <c r="DK9" s="51"/>
      <c r="DL9" s="51">
        <f ca="1">IF(DG9&gt;$CR9,$CR9,DG9)</f>
        <v>0</v>
      </c>
      <c r="DM9" s="51"/>
      <c r="DN9" s="51">
        <f ca="1">IF(DI9&gt;$CR9,$CR9,DI9)</f>
        <v>0</v>
      </c>
      <c r="DO9" s="435">
        <f ca="1">IF(DH9&gt;$CR9,$CR9,DH9)</f>
        <v>0</v>
      </c>
      <c r="DP9" s="435">
        <f ca="1">DO9*F9</f>
        <v>0</v>
      </c>
      <c r="DQ9" s="436">
        <f ca="1">IF(DJ9&gt;$CR9,$CR9,DJ9)</f>
        <v>0</v>
      </c>
      <c r="DR9" s="437">
        <f ca="1">DQ9*F9</f>
        <v>0</v>
      </c>
      <c r="DS9" s="426">
        <f ca="1">OFFSET($CH$9,CL9-1,-15,1,1)</f>
        <v>0</v>
      </c>
      <c r="DT9" s="426">
        <f t="shared" ca="1" si="1"/>
        <v>0</v>
      </c>
      <c r="DU9" s="188">
        <f ca="1">IF(F9&lt;OFFSET($BM$9,DT9-1,0,1,1),0,IF(F9&lt;OFFSET($BN$9,DT9-1,0,1,1),((F9-OFFSET($BM$9,DT9-1,0,1,1))*OFFSET($CH$9,DT9-1,0,1,1))+OFFSET($BO$9,DT9-1,CQ9,1,1),IF(F9&lt;OFFSET($BN$9,DT9+0,0,1,1),((F9-OFFSET($BM$9,DT9+0,0,1,1))*OFFSET($CH$9,DT9+0,0,1,1))+OFFSET($BO$9,DT9+0,CQ9,1,1),IF(F9&lt;OFFSET($BN$9,DT9+1,0,1,1),((F9-OFFSET($BM$9,DT9+1,0,1,1))*OFFSET($CH$9,DT9+1,0,1,1))+OFFSET($BO$9,DT9+1,CQ9,1,1),IF(F9&lt;OFFSET($BN$9,DT9+2,0,1,1),((F9-OFFSET($BM$9,DT9+2,0,1,1))*OFFSET($CH$9,DT9+2,0,1,1))+OFFSET($BO$9,DT9+2,CQ9,1,1),IF(F9&lt;OFFSET($BN$9,DT9+3,0,1,1),((F9-OFFSET($BM$9,DT9+3,0,1,1))*OFFSET($CH$9,DT9+3,0,1,1))+OFFSET($BO$9,DT9+3,CQ9,1,1),0))))))</f>
        <v>0</v>
      </c>
      <c r="DV9" s="51">
        <f ca="1">IF($F9&lt;OFFSET($BM$9,$DT9-1,0,1,1),0,IF($F9&lt;OFFSET($BN$9,$DT9-1,0,1,1),IF(AND($H9&gt;2.4,Z9&lt;&gt;"e",Z9&lt;&gt;"f"),DZ9*2.4/$H9,DZ9),IF($F9&lt;OFFSET($BN$9,$DT9+0,0,1,1),IF(AND($H9&gt;2.4,Z9&lt;&gt;"e",Z9&lt;&gt;"f"),DZ9*2.4/$H9,DZ9),IF($F9&lt;OFFSET($BN$9,$DT9+1,0,1,1),IF(AND($H9&gt;2.4,Z9&lt;&gt;"e",Z9&lt;&gt;"f"),DZ9*2.4/$H9,DZ9),IF($F9&lt;OFFSET($BN$9,$DT9+2,0,1,1),IF(AND($H9&gt;2.4,Z9&lt;&gt;"e",Z9&lt;&gt;"f"),DZ9*2.4/$H9,DZ9),IF($F9&lt;OFFSET($BN$9,$DT9+3,0,1,1),IF(AND($H9&gt;2.4,Z9&lt;&gt;"e",Z9&lt;&gt;"f"),DZ9*2.4/$H9,DZ9),0)))))*COS(RADIANS($G9)))</f>
        <v>0</v>
      </c>
      <c r="DW9" s="188">
        <f ca="1">IF(F9&lt;OFFSET($BM$9,DT9-1,0,1,1),0,IF(F9&lt;OFFSET($BN$9,DT9-1,0,1,1),((F9-OFFSET($BM$9,DT9-1,0,1,1))*OFFSET($CI$9,DT9-1,0,1,1))+OFFSET($BP$9,DT9-1,CQ9,1,1),IF(F9&lt;OFFSET($BN$9,DT9+0,0,1,1),((F9-OFFSET($BM$9,DT9+0,0,1,1))*OFFSET($CI$9,DT9+0,0,1,1))+OFFSET($BP$9,DT9+0,CQ9,1,1),IF(F9&lt;OFFSET($BN$9,DT9+1,0,1,1),((F9-OFFSET($BM$9,DT9+1,0,1,1))*OFFSET($CI$9,DT9+1,0,1,1))+OFFSET($BP$9,DT9+1,CQ9,1,1),IF(F9&lt;OFFSET($BN$9,DT9+2,0,1,1),((F9-OFFSET($BM$9,DT9+2,0,1,1))*OFFSET($CI$9,DT9+2,0,1,1))+OFFSET($BP$9,DT9+2,CQ9,1,1),IF(F9&lt;OFFSET($BN$9,DT9+3,0,1,1),((F9-OFFSET($BM$9,DT9+3,0,1,1))*OFFSET($CI$9,DT9+3,0,1,1))+OFFSET($BP$9,DT9+3,CQ9,1,1),0))))))</f>
        <v>0</v>
      </c>
      <c r="DX9" s="51">
        <f ca="1">IF($F9&lt;OFFSET($BM$9,$DT9-1,0,1,1),0,IF($F9&lt;OFFSET($BN$9,$DT9-1,0,1,1),IF(AND($H9&gt;2.4,Z9&lt;&gt;"e",Z9&lt;&gt;"f"),EB9*2.4/$H9,EB9),IF($F9&lt;OFFSET($BN$9,$DT9+0,0,1,1),IF(AND($H9&gt;2.4,Z9&lt;&gt;"e",Z9&lt;&gt;"f"),EB9*2.4/$H9,EB9),IF($F9&lt;OFFSET($BN$9,$DT9+1,0,1,1),IF(AND($H9&gt;2.4,Z9&lt;&gt;"e",Z9&lt;&gt;"f"),EB9*2.4/$H9,EB9),IF($F9&lt;OFFSET($BN$9,$DT9+2,0,1,1),IF(AND($H9&gt;2.4,Z9&lt;&gt;"e",Z9&lt;&gt;"f"),EB9*2.4/$H9,EB9),IF($F9&lt;OFFSET($BN$9,$DT9+3,0,1,1),IF(AND($H9&gt;2.4,Z9&lt;&gt;"e",Z9&lt;&gt;"f"),EB9*2.4/$H9,EB9),0)))))*COS(RADIANS($G9)))</f>
        <v>0</v>
      </c>
      <c r="DY9" s="188"/>
      <c r="DZ9" s="188">
        <f ca="1">IF(DU9&gt;$CR9,$CR9,DU9)</f>
        <v>0</v>
      </c>
      <c r="EA9" s="188"/>
      <c r="EB9" s="188">
        <f ca="1">IF(DW9&gt;$CR9,$CR9,DW9)</f>
        <v>0</v>
      </c>
      <c r="EC9" s="435">
        <f ca="1">IF(DV9&gt;$CR9,$CR9,DV9)</f>
        <v>0</v>
      </c>
      <c r="ED9" s="435">
        <f ca="1">EC9*F9</f>
        <v>0</v>
      </c>
      <c r="EE9" s="436">
        <f ca="1">IF(DX9&gt;$CR9,$CR9,DX9)</f>
        <v>0</v>
      </c>
      <c r="EF9" s="437">
        <f ca="1">EE9*F9</f>
        <v>0</v>
      </c>
      <c r="EG9" s="613" t="str">
        <f>IF(D9=BG$12,BG$12,"")</f>
        <v/>
      </c>
      <c r="EH9" s="614" t="str">
        <f>IF(D9=BG$13,BG$13,"")</f>
        <v/>
      </c>
      <c r="EI9" s="611">
        <f>IF(EG9=BG$12,M9,0)</f>
        <v>0</v>
      </c>
      <c r="EJ9" s="451">
        <f>IF(EG9=BG$12,O9,0)</f>
        <v>0</v>
      </c>
      <c r="EK9" s="451">
        <f>IF(EH9=BG$13,M9,0)</f>
        <v>0</v>
      </c>
      <c r="EL9" s="612">
        <f>IF(EH9=BG$13,O9,0)</f>
        <v>0</v>
      </c>
      <c r="EM9" s="426" t="str">
        <f ca="1">IF(AND(Z9&lt;&gt;"t",Z9&lt;&gt;"f"),"",IF(AND(EN9=$BH$11,K9&lt;&gt;EN9),EM$4,IF(AND(EN9=$BH$12,K9=$BH$13),EM$4,IF(AND(EN9=$BH$12,K9=$BH$14),EM$4,IF(AND(EN9=$BH$13,K9=$BH$14),$EM$4,IF(EN9=$BH$14,$EM$4,""))))))</f>
        <v/>
      </c>
      <c r="EN9" s="489" t="str">
        <f>BG$24</f>
        <v>No Floor</v>
      </c>
      <c r="EO9" s="426" t="str">
        <f>K9</f>
        <v xml:space="preserve"> </v>
      </c>
      <c r="EP9" s="497" t="str">
        <f ca="1">IF(AND(Z9&lt;&gt;"t",Z9&lt;&gt;"f"),"",IF(AND(EN9=$BH$14,K9&lt;&gt;EN9),EP$4,IF(AND(EN9=$BH$13,K9=$BH$12),EP$4,IF(AND(EN9=$BH$13,K9=$BH$11),EP$4,IF(AND(EN9=$BH$12,K9=$BH$11),$EP$4,IF(EN9=$BH$11,"Earth",""))))))</f>
        <v/>
      </c>
      <c r="EQ9" s="430" t="str">
        <f ca="1">IF(Z9&lt;&gt;"t","",IF(EQ$5=2,IF(K9&lt;&gt;BH$11,EQ$7," ")))</f>
        <v/>
      </c>
      <c r="ER9" s="439" t="str">
        <f ca="1">IF(H9=0," ",H9)</f>
        <v xml:space="preserve"> </v>
      </c>
      <c r="ES9" s="440" t="str">
        <f ca="1">IF(ER9&lt;&gt;" ",IF(ER9&lt;&gt;ER$7,"Changed",""),"")</f>
        <v/>
      </c>
      <c r="ET9" s="440">
        <f ca="1">IF(ER9&lt;&gt;" ",IF(ER9&lt;&gt;ER$7,1,0),0)</f>
        <v>0</v>
      </c>
      <c r="EU9" s="426" t="str">
        <f ca="1">IF(I9=" "," ",IF(F9&lt;OFFSET($BM$9,CL9-1,0,1,1),1,""))</f>
        <v xml:space="preserve"> </v>
      </c>
      <c r="EW9" s="427"/>
      <c r="EY9" s="421"/>
    </row>
    <row r="10" spans="1:155" ht="17.100000000000001" customHeight="1" thickBot="1">
      <c r="B10" s="689" t="s">
        <v>246</v>
      </c>
      <c r="C10" s="684" t="str">
        <f>IF(OR(F10=0,I10="",I10=" ")," ",$V10)</f>
        <v xml:space="preserve"> </v>
      </c>
      <c r="D10" s="1033" t="s">
        <v>8</v>
      </c>
      <c r="E10" s="1360"/>
      <c r="F10" s="201"/>
      <c r="G10" s="1416"/>
      <c r="H10" s="1417" t="str">
        <f ca="1">IF(OR(F10=0,Z10="E",Z10="f")," ",'Project Demand'!E$55)</f>
        <v xml:space="preserve"> </v>
      </c>
      <c r="I10" s="631" t="str">
        <f>IF($I$6&lt;&gt;$BG$8," ",AB10)</f>
        <v xml:space="preserve"> </v>
      </c>
      <c r="J10" s="44" t="str">
        <f ca="1">IF(OR(I10=" ",I10="")," ",OFFSET($BO$9,CL10-1,0-4,1,1))</f>
        <v xml:space="preserve"> </v>
      </c>
      <c r="K10" s="55" t="str">
        <f>IF(OR(I10=" ",I10="")," ",IF(OR(Z10="e",Z10="h"),"SD",IF(BG$24=BH$11,BH$13,BG$24)))</f>
        <v xml:space="preserve"> </v>
      </c>
      <c r="L10" s="725">
        <f ca="1">CW10</f>
        <v>0</v>
      </c>
      <c r="M10" s="726">
        <f ca="1">CY10</f>
        <v>0</v>
      </c>
      <c r="N10" s="445">
        <f t="shared" ca="1" si="0"/>
        <v>0</v>
      </c>
      <c r="O10" s="728">
        <f t="shared" ca="1" si="0"/>
        <v>0</v>
      </c>
      <c r="P10" s="138"/>
      <c r="Q10" s="752" t="str">
        <f ca="1">IF(AND(OR(Z10="t",Z10="f"),K10=$BH$11),"No Floor!  Change Floor Type",IF(OR(I10=" ",I10="")," ",IF(F10&lt;OFFSET($BM$9,CL10-1,0,1,1),"check L(m)",DE10&amp;IF(AND(DP10&gt;=CY10,DR10&gt;=DB10),IF(AND(ED10&gt;=DP10,EF10&gt;=DR10),CONCATENATE(DS10," will provide same result"),CONCATENATE(CO10," will provide same result")),IF((DP10&gt;=CY10),CONCATENATE(CO10," provides same result in WIND"),IF((DR10&gt;=DB10),CONCATENATE(CO10," provides same result in EQ"),""))))))&amp;IF(ISERROR(FIND("pile",I10,1)),"",IF(INT(F10)&lt;&gt;F10,"Pile!  Use Whole Numbers Only",""))</f>
        <v xml:space="preserve"> </v>
      </c>
      <c r="R10" s="52"/>
      <c r="S10" s="1372"/>
      <c r="T10" s="52"/>
      <c r="U10" s="1377"/>
      <c r="V10" s="52" t="str">
        <f>IF(AND(B$5=$BF$9,OR(I10=BH$16,I10=BH$17))," ",IF(ISNUMBER(B$8),(CONCATENATE(B$8,".",W10)),(CONCATENATE(B$8,W10))))</f>
        <v>A0</v>
      </c>
      <c r="W10" s="9">
        <f>W9+X10</f>
        <v>0</v>
      </c>
      <c r="X10" s="9">
        <f>IF(AND(B$5=$BF$9,OR($I10=$BH$16,$I10=$BH$17,$I10=" ",$I10="",$F10=0)),0,IF(OR($I10=" ",$I10="",$F10=0),0,1))</f>
        <v>0</v>
      </c>
      <c r="Y10" s="896"/>
      <c r="Z10" s="52" t="str">
        <f ca="1">IF(I10=" "," ",OFFSET($BM$9,$CL10-1,8,1,1))</f>
        <v xml:space="preserve"> </v>
      </c>
      <c r="AA10" s="51" t="str">
        <f>IF(G10&gt;=45,"WA","")</f>
        <v/>
      </c>
      <c r="AB10" s="1364" t="str">
        <f>IF(OR(E10=" ",E10="")," ",(IF(F10&lt;&gt;"",IF(OR(D10=$BG$12,D10=$BG$13),IF(E10&lt;&gt;$BG$17,$BF$20,$BF$21),IF(E10&lt;&gt;$BG$17,$BF$20,$BF$21))," ")))</f>
        <v xml:space="preserve"> </v>
      </c>
      <c r="AC10" s="1"/>
      <c r="AJ10" s="2185"/>
      <c r="AK10" s="2187"/>
      <c r="AL10" s="2246"/>
      <c r="AM10" s="2246"/>
      <c r="AN10" s="2252"/>
      <c r="AO10" s="2601"/>
      <c r="AP10" s="1244"/>
      <c r="AQ10" s="2246"/>
      <c r="AR10" s="2233"/>
      <c r="AS10" s="1639"/>
      <c r="AT10" s="2862"/>
      <c r="AU10" s="120"/>
      <c r="AV10" s="120"/>
      <c r="AW10" s="120"/>
      <c r="AX10" s="120"/>
      <c r="AY10" s="120"/>
      <c r="AZ10" s="120"/>
      <c r="BA10" s="120"/>
      <c r="BB10" s="120"/>
      <c r="BC10" s="120"/>
      <c r="BD10" s="2649"/>
      <c r="BE10" s="1381"/>
      <c r="BF10" s="2679" t="s">
        <v>1085</v>
      </c>
      <c r="BG10" s="2679"/>
      <c r="BH10" s="2679"/>
      <c r="BI10" s="759"/>
      <c r="BJ10" s="896">
        <f>BJ9+1</f>
        <v>2</v>
      </c>
      <c r="BK10" s="917"/>
      <c r="BL10" s="898"/>
      <c r="BM10" s="968"/>
      <c r="BV10" s="51" t="s">
        <v>8</v>
      </c>
      <c r="BW10" s="51" t="s">
        <v>8</v>
      </c>
      <c r="CJ10" s="759"/>
      <c r="CK10" s="188"/>
      <c r="CL10" s="979">
        <f>VLOOKUP(I10,Prodlink,2,0)</f>
        <v>0</v>
      </c>
      <c r="CN10" s="497">
        <f t="shared" ca="1" si="2"/>
        <v>0</v>
      </c>
      <c r="CO10" s="497">
        <f ca="1">OFFSET($CH$9,CL10-1,-15,1,1)</f>
        <v>0</v>
      </c>
      <c r="CQ10" s="51">
        <v>0</v>
      </c>
      <c r="CR10" s="51">
        <f ca="1">IF(AND(Z10&lt;&gt;"t",Z10&lt;&gt;"f"),10000,IF(K10=$BH$11,0,IF(K10=$BH$12,$BH$23,IF(K10=$BH$13,$BH$24,10000))))</f>
        <v>10000</v>
      </c>
      <c r="CS10" s="51">
        <f ca="1">IF(F10&lt;OFFSET($BM$9,CL10-1,0,1,1),0,IF(F10&lt;OFFSET($BN$9,CL10-1,0,1,1),((F10-OFFSET($BM$9,CL10-1,0,1,1))*OFFSET($CH$9,CL10-1,0,1,1))+OFFSET($BO$9,CL10-1,CQ10,1,1),IF(F10&lt;OFFSET($BN$9,CL10+0,0,1,1),((F10-OFFSET($BM$9,CL10+0,0,1,1))*OFFSET($CH$9,CL10+0,0,1,1))+OFFSET($BO$9,CL10+0,CQ10,1,1),IF(F10&lt;OFFSET($BN$9,CL10+1,0,1,1),((F10-OFFSET($BM$9,CL10+1,0,1,1))*OFFSET($CH$9,CL10+1,0,1,1))+OFFSET($BO$9,CL10+1,CQ10,1,1),IF(F10&lt;OFFSET($BN$9,CL10+2,0,1,1),((F10-OFFSET($BM$9,CL10+2,0,1,1))*OFFSET($CH$9,CL10+2,0,1,1))+OFFSET($BO$9,CL10+2,CQ10,1,1),IF(F10&lt;OFFSET($BN$9,CL10+3,0,1,1),((F10-OFFSET($BM$9,CL10+3,0,1,1))*OFFSET($CH$9,CL10+3,0,1,1))+OFFSET($BO$9,CL10+3,CQ10,1,1),0))))))</f>
        <v>0</v>
      </c>
      <c r="CT10" s="51">
        <f ca="1">IF($F10&lt;OFFSET($BM$9,$CL10-1,0,1,1),0,IF($F10&lt;OFFSET($BN$9,$CL10-1,0,1,1),IF(AND($H10&gt;2.4,Z10&lt;&gt;"e",Z10&lt;&gt;"f"),CX10*2.4/$H10,CX10),IF($F10&lt;OFFSET($BN$9,$CL10+0,0,1,1),IF(AND($H10&gt;2.4,Z10&lt;&gt;"e",Z10&lt;&gt;"f"),CX10*2.4/$H10,CX10),IF($F10&lt;OFFSET($BN$9,$CL10+1,0,1,1),IF(AND($H10&gt;2.4,Z10&lt;&gt;"e",Z10&lt;&gt;"f"),CX10*2.4/$H10,CX10),IF($F10&lt;OFFSET($BN$9,CL10+2,0,1,1),IF(AND($H10&gt;2.4,Z10&lt;&gt;"e",Z10&lt;&gt;"f"),CX10*2.4/$H10,CX10),IF($F10&lt;OFFSET($BN$9,CL10+3,0,1,1),IF(AND($H10&gt;2.4,Z10&lt;&gt;"e",Z10&lt;&gt;"f"),CX10*2.4/$H10,CX10),0)))))*COS(RADIANS($G10)))</f>
        <v>0</v>
      </c>
      <c r="CU10" s="51">
        <f ca="1">IF(F10&lt;OFFSET($BM$9,CL10-1,0,1,1),0,IF(F10&lt;OFFSET($BN$9,CL10-1,0,1,1),((F10-OFFSET($BM$9,CL10-1,0,1,1))*OFFSET($CI$9,CL10-1,0,1,1))+OFFSET($BP$9,CL10-1,CQ10,1,1),IF(F10&lt;OFFSET($BN$9,CL10+0,0,1,1),((F10-OFFSET($BM$9,CL10+0,0,1,1))*OFFSET($CI$9,CL10+0,0,1,1))+OFFSET($BP$9,CL10+0,CQ10,1,1),IF(F10&lt;OFFSET($BN$9,CL10+1,0,1,1),((F10-OFFSET($BM$9,CL10+1,0,1,1))*OFFSET($CI$9,CL10+1,0,1,1))+OFFSET($BP$9,CL10+1,CQ10,1,1),IF(F10&lt;OFFSET($BN$9,CL10+2,0,1,1),((F10-OFFSET($BM$9,CL10+2,0,1,1))*OFFSET($CI$9,CL10+2,0,1,1))+OFFSET($BP$9,CL10+2,CQ10,1,1),IF(F10&lt;OFFSET($BN$9,CL10+3,0,1,1),((F10-OFFSET($BM$9,CL10+3,0,1,1))*OFFSET($CI$9,CL10+3,0,1,1))+OFFSET($BP$9,CL10+3,CQ10,1,1),0))))))</f>
        <v>0</v>
      </c>
      <c r="CV10" s="51">
        <f ca="1">IF($F10&lt;OFFSET($BM$9,$CL10-1,0,1,1),0,IF($F10&lt;OFFSET($BN$9,$CL10-1,0,1,1),IF(AND($H10&gt;2.4,Z10&lt;&gt;"e",Z10&lt;&gt;"f"),CZ10*2.4/$H10,CZ10),IF($F10&lt;OFFSET($BN$9,$CL10+0,0,1,1),IF(AND($H10&gt;2.4,Z10&lt;&gt;"e",Z10&lt;&gt;"f"),CZ10*2.4/$H10,CZ10),IF($F10&lt;OFFSET($BN$9,$CL10+1,0,1,1),IF(AND($H10&gt;2.4,Z10&lt;&gt;"e",Z10&lt;&gt;"f"),CZ10*2.4/$H10,CZ10),IF($F10&lt;OFFSET($BN$9,$CL10+2,0,1,1),IF(AND($H10&gt;2.4,Z10&lt;&gt;"e",Z10&lt;&gt;"f"),CZ10*2.4/$H10,CZ10),IF($F10&lt;OFFSET($BN$9,$CL10+3,0,1,1),IF(AND($H10&gt;2.4,Z10&lt;&gt;"e",Z10&lt;&gt;"f"),CZ10*2.4/$H10,CZ10),0)))))*COS(RADIANS($G10)))</f>
        <v>0</v>
      </c>
      <c r="CW10" s="51">
        <f ca="1">IF(CT10&gt;CR10,CR10,CT10)</f>
        <v>0</v>
      </c>
      <c r="CX10" s="51">
        <f ca="1">IF(CS10&gt;$CR10,$CR10,CS10)</f>
        <v>0</v>
      </c>
      <c r="CY10" s="51">
        <f ca="1">CW10*F10</f>
        <v>0</v>
      </c>
      <c r="CZ10" s="51">
        <f ca="1">IF($CU10&gt;$CR10,$CR10,$CU10)</f>
        <v>0</v>
      </c>
      <c r="DA10" s="51">
        <f ca="1">IF(CV10&gt;CR10,CR10,CV10)</f>
        <v>0</v>
      </c>
      <c r="DB10" s="51">
        <f ca="1">DA10*F10</f>
        <v>0</v>
      </c>
      <c r="DC10" s="993">
        <v>1</v>
      </c>
      <c r="DD10" s="758" t="str">
        <f>IF(OR(D10=BG$12,D10=BG$13),"External",IF(D10=BG$14,"Internal"," "))</f>
        <v xml:space="preserve"> </v>
      </c>
      <c r="DE10" s="51" t="str">
        <f t="shared" ca="1" si="3"/>
        <v/>
      </c>
      <c r="DF10" s="52" t="str">
        <f t="shared" ref="DF10:DF11" ca="1" si="4">IF(I10=" "," ",OFFSET($BM$9,$CL10-1,11,1,1))</f>
        <v xml:space="preserve"> </v>
      </c>
      <c r="DG10" s="51">
        <f ca="1">IF(F10&lt;OFFSET($BM$9,CN10-1,0,1,1),0,IF(F10&lt;OFFSET($BN$9,CN10-1,0,1,1),((F10-OFFSET($BM$9,CN10-1,0,1,1))*OFFSET($CH$9,CN10-1,0,1,1))+OFFSET($BO$9,CN10-1,CQ10,1,1),IF(F10&lt;OFFSET($BN$9,CN10+0,0,1,1),((F10-OFFSET($BM$9,CN10+0,0,1,1))*OFFSET($CH$9,CN10+0,0,1,1))+OFFSET($BO$9,CN10+0,CQ10,1,1),IF(F10&lt;OFFSET($BN$9,CN10+1,0,1,1),((F10-OFFSET($BM$9,CN10+1,0,1,1))*OFFSET($CH$9,CN10+1,0,1,1))+OFFSET($BO$9,CN10+1,CQ10,1,1),IF(F10&lt;OFFSET($BN$9,CN10+2,0,1,1),((F10-OFFSET($BM$9,CN10+2,0,1,1))*OFFSET($CH$9,CN10+2,0,1,1))+OFFSET($BO$9,CN10+2,CQ10,1,1),IF(F10&lt;OFFSET($BN$9,CN10+3,0,1,1),((F10-OFFSET($BM$9,CN10+3,0,1,1))*OFFSET($CH$9,CN10+3,0,1,1))+OFFSET($BO$9,CN10+3,CQ10,1,1),0))))))</f>
        <v>0</v>
      </c>
      <c r="DH10" s="51">
        <f ca="1">IF($F10&lt;OFFSET($BM$9,$CN10-1,0,1,1),0,IF($F10&lt;OFFSET($BN$9,$CN10-1,0,1,1),IF(AND($H10&gt;2.4,Z10&lt;&gt;"e",Z10&lt;&gt;"f"),DL10*2.4/$H10,DL10),IF($F10&lt;OFFSET($BN$9,$CN10+0,0,1,1),IF(AND($H10&gt;2.4,Z10&lt;&gt;"e",Z10&lt;&gt;"f"),DL10*2.4/$H10,DL10),IF($F10&lt;OFFSET($BN$9,$CN10+1,0,1,1),IF(AND($H10&gt;2.4,Z10&lt;&gt;"e",Z10&lt;&gt;"f"),DL10*2.4/$H10,DL10),IF($F10&lt;OFFSET($BN$9,$CN10+2,0,1,1),IF(AND($H10&gt;2.4,Z10&lt;&gt;"e",Z10&lt;&gt;"f"),DL10*2.4/$H10,DL10),IF($F10&lt;OFFSET($BN$9,$CN10+3,0,1,1),IF(AND($H10&gt;2.4,Z10&lt;&gt;"e",Z10&lt;&gt;"f"),DL10*2.4/$H10,DL10),0)))))*COS(RADIANS($G10)))</f>
        <v>0</v>
      </c>
      <c r="DI10" s="51">
        <f ca="1">IF(F10&lt;OFFSET($BM$9,CN10-1,0,1,1),0,IF(F10&lt;OFFSET($BN$9,CN10-1,0,1,1),((F10-OFFSET($BM$9,CN10-1,0,1,1))*OFFSET($CI$9,CN10-1,0,1,1))+OFFSET($BP$9,CN10-1,CQ10,1,1),IF(F10&lt;OFFSET($BN$9,CN10+0,0,1,1),((F10-OFFSET($BM$9,CN10+0,0,1,1))*OFFSET($CI$9,CN10+0,0,1,1))+OFFSET($BP$9,CN10+0,CQ10,1,1),IF(F10&lt;OFFSET($BN$9,CN10+1,0,1,1),((F10-OFFSET($BM$9,CN10+1,0,1,1))*OFFSET($CI$9,CN10+1,0,1,1))+OFFSET($BP$9,CN10+1,CQ10,1,1),IF(F10&lt;OFFSET($BN$9,CN10+2,0,1,1),((F10-OFFSET($BM$9,CN10+2,0,1,1))*OFFSET($CI$9,CN10+2,0,1,1))+OFFSET($BP$9,CN10+2,CQ10,1,1),IF(F10&lt;OFFSET($BN$9,CN10+3,0,1,1),((F10-OFFSET($BM$9,CN10+3,0,1,1))*OFFSET($CI$9,CN10+3,0,1,1))+OFFSET($BP$9,CN10+3,CQ10,1,1),0))))))</f>
        <v>0</v>
      </c>
      <c r="DJ10" s="51">
        <f ca="1">IF($F10&lt;OFFSET($BM$9,$CN10-1,0,1,1),0,IF($F10&lt;OFFSET($BN$9,$CN10-1,0,1,1),IF(AND($H10&gt;2.4,Z10&lt;&gt;"e",Z10&lt;&gt;"f"),DN10*2.4/$H10,DN10),IF($F10&lt;OFFSET($BN$9,$CN10+0,0,1,1),IF(AND($H10&gt;2.4,Z10&lt;&gt;"e",Z10&lt;&gt;"f"),DN10*2.4/$H10,DN10),IF($F10&lt;OFFSET($BN$9,$CN10+1,0,1,1),IF(AND($H10&gt;2.4,Z10&lt;&gt;"e",Z10&lt;&gt;"f"),DN10*2.4/$H10,DN10),IF($F10&lt;OFFSET($BN$9,$CN10+2,0,1,1),IF(AND($H10&gt;2.4,Z10&lt;&gt;"e",Z10&lt;&gt;"f"),DN10*2.4/$H10,DN10),IF($F10&lt;OFFSET($BN$9,$CN10+3,0,1,1),IF(AND($H10&gt;2.4,Z10&lt;&gt;"e",Z10&lt;&gt;"f"),DN10*2.4/$H10,DN10),0)))))*COS(RADIANS($G10)))</f>
        <v>0</v>
      </c>
      <c r="DK10" s="51"/>
      <c r="DL10" s="51">
        <f ca="1">IF(DG10&gt;$CR10,$CR10,DG10)</f>
        <v>0</v>
      </c>
      <c r="DM10" s="51"/>
      <c r="DN10" s="51">
        <f ca="1">IF(DI10&gt;$CR10,$CR10,DI10)</f>
        <v>0</v>
      </c>
      <c r="DO10" s="435">
        <f ca="1">IF(DH10&gt;$CR10,$CR10,DH10)</f>
        <v>0</v>
      </c>
      <c r="DP10" s="435">
        <f ca="1">DO10*F10</f>
        <v>0</v>
      </c>
      <c r="DQ10" s="436">
        <f ca="1">IF(DJ10&gt;$CR10,$CR10,DJ10)</f>
        <v>0</v>
      </c>
      <c r="DR10" s="437">
        <f ca="1">DQ10*F10</f>
        <v>0</v>
      </c>
      <c r="DS10" s="426">
        <f ca="1">OFFSET($CH$9,CL10-1,-15,1,1)</f>
        <v>0</v>
      </c>
      <c r="DT10" s="426">
        <f t="shared" ca="1" si="1"/>
        <v>0</v>
      </c>
      <c r="DU10" s="188">
        <f ca="1">IF(F10&lt;OFFSET($BM$9,DT10-1,0,1,1),0,IF(F10&lt;OFFSET($BN$9,DT10-1,0,1,1),((F10-OFFSET($BM$9,DT10-1,0,1,1))*OFFSET($CH$9,DT10-1,0,1,1))+OFFSET($BO$9,DT10-1,CQ10,1,1),IF(F10&lt;OFFSET($BN$9,DT10+0,0,1,1),((F10-OFFSET($BM$9,DT10+0,0,1,1))*OFFSET($CH$9,DT10+0,0,1,1))+OFFSET($BO$9,DT10+0,CQ10,1,1),IF(F10&lt;OFFSET($BN$9,DT10+1,0,1,1),((F10-OFFSET($BM$9,DT10+1,0,1,1))*OFFSET($CH$9,DT10+1,0,1,1))+OFFSET($BO$9,DT10+1,CQ10,1,1),IF(F10&lt;OFFSET($BN$9,DT10+2,0,1,1),((F10-OFFSET($BM$9,DT10+2,0,1,1))*OFFSET($CH$9,DT10+2,0,1,1))+OFFSET($BO$9,DT10+2,CQ10,1,1),IF(F10&lt;OFFSET($BN$9,DT10+3,0,1,1),((F10-OFFSET($BM$9,DT10+3,0,1,1))*OFFSET($CH$9,DT10+3,0,1,1))+OFFSET($BO$9,DT10+3,CQ10,1,1),0))))))</f>
        <v>0</v>
      </c>
      <c r="DV10" s="51">
        <f ca="1">IF($F10&lt;OFFSET($BM$9,$DT10-1,0,1,1),0,IF($F10&lt;OFFSET($BN$9,$DT10-1,0,1,1),IF(AND($H10&gt;2.4,Z10&lt;&gt;"e",Z10&lt;&gt;"f"),DZ10*2.4/$H10,DZ10),IF($F10&lt;OFFSET($BN$9,$DT10+0,0,1,1),IF(AND($H10&gt;2.4,Z10&lt;&gt;"e",Z10&lt;&gt;"f"),DZ10*2.4/$H10,DZ10),IF($F10&lt;OFFSET($BN$9,$DT10+1,0,1,1),IF(AND($H10&gt;2.4,Z10&lt;&gt;"e",Z10&lt;&gt;"f"),DZ10*2.4/$H10,DZ10),IF($F10&lt;OFFSET($BN$9,$DT10+2,0,1,1),IF(AND($H10&gt;2.4,Z10&lt;&gt;"e",Z10&lt;&gt;"f"),DZ10*2.4/$H10,DZ10),IF($F10&lt;OFFSET($BN$9,$DT10+3,0,1,1),IF(AND($H10&gt;2.4,Z10&lt;&gt;"e",Z10&lt;&gt;"f"),DZ10*2.4/$H10,DZ10),0)))))*COS(RADIANS($G10)))</f>
        <v>0</v>
      </c>
      <c r="DW10" s="188">
        <f ca="1">IF(F10&lt;OFFSET($BM$9,DT10-1,0,1,1),0,IF(F10&lt;OFFSET($BN$9,DT10-1,0,1,1),((F10-OFFSET($BM$9,DT10-1,0,1,1))*OFFSET($CI$9,DT10-1,0,1,1))+OFFSET($BP$9,DT10-1,CQ10,1,1),IF(F10&lt;OFFSET($BN$9,DT10+0,0,1,1),((F10-OFFSET($BM$9,DT10+0,0,1,1))*OFFSET($CI$9,DT10+0,0,1,1))+OFFSET($BP$9,DT10+0,CQ10,1,1),IF(F10&lt;OFFSET($BN$9,DT10+1,0,1,1),((F10-OFFSET($BM$9,DT10+1,0,1,1))*OFFSET($CI$9,DT10+1,0,1,1))+OFFSET($BP$9,DT10+1,CQ10,1,1),IF(F10&lt;OFFSET($BN$9,DT10+2,0,1,1),((F10-OFFSET($BM$9,DT10+2,0,1,1))*OFFSET($CI$9,DT10+2,0,1,1))+OFFSET($BP$9,DT10+2,CQ10,1,1),IF(F10&lt;OFFSET($BN$9,DT10+3,0,1,1),((F10-OFFSET($BM$9,DT10+3,0,1,1))*OFFSET($CI$9,DT10+3,0,1,1))+OFFSET($BP$9,DT10+3,CQ10,1,1),0))))))</f>
        <v>0</v>
      </c>
      <c r="DX10" s="51">
        <f ca="1">IF($F10&lt;OFFSET($BM$9,$DT10-1,0,1,1),0,IF($F10&lt;OFFSET($BN$9,$DT10-1,0,1,1),IF(AND($H10&gt;2.4,Z10&lt;&gt;"e",Z10&lt;&gt;"f"),EB10*2.4/$H10,EB10),IF($F10&lt;OFFSET($BN$9,$DT10+0,0,1,1),IF(AND($H10&gt;2.4,Z10&lt;&gt;"e",Z10&lt;&gt;"f"),EB10*2.4/$H10,EB10),IF($F10&lt;OFFSET($BN$9,$DT10+1,0,1,1),IF(AND($H10&gt;2.4,Z10&lt;&gt;"e",Z10&lt;&gt;"f"),EB10*2.4/$H10,EB10),IF($F10&lt;OFFSET($BN$9,$DT10+2,0,1,1),IF(AND($H10&gt;2.4,Z10&lt;&gt;"e",Z10&lt;&gt;"f"),EB10*2.4/$H10,EB10),IF($F10&lt;OFFSET($BN$9,$DT10+3,0,1,1),IF(AND($H10&gt;2.4,Z10&lt;&gt;"e",Z10&lt;&gt;"f"),EB10*2.4/$H10,EB10),0)))))*COS(RADIANS($G10)))</f>
        <v>0</v>
      </c>
      <c r="DY10" s="188"/>
      <c r="DZ10" s="188">
        <f ca="1">IF(DU10&gt;$CR10,$CR10,DU10)</f>
        <v>0</v>
      </c>
      <c r="EA10" s="188"/>
      <c r="EB10" s="188">
        <f ca="1">IF(DW10&gt;$CR10,$CR10,DW10)</f>
        <v>0</v>
      </c>
      <c r="EC10" s="435">
        <f ca="1">IF(DV10&gt;$CR10,$CR10,DV10)</f>
        <v>0</v>
      </c>
      <c r="ED10" s="435">
        <f ca="1">EC10*F10</f>
        <v>0</v>
      </c>
      <c r="EE10" s="436">
        <f ca="1">IF(DX10&gt;$CR10,$CR10,DX10)</f>
        <v>0</v>
      </c>
      <c r="EF10" s="437">
        <f ca="1">EE10*F10</f>
        <v>0</v>
      </c>
      <c r="EG10" s="613" t="str">
        <f>IF(D10=BG$12,BG$12,"")</f>
        <v/>
      </c>
      <c r="EH10" s="614" t="str">
        <f>IF(D10=BG$13,BG$13,"")</f>
        <v/>
      </c>
      <c r="EI10" s="611">
        <f>IF(EG10=BG$12,M10,0)</f>
        <v>0</v>
      </c>
      <c r="EJ10" s="451">
        <f>IF(EG10=BG$12,O10,0)</f>
        <v>0</v>
      </c>
      <c r="EK10" s="451">
        <f>IF(EH10=BG$13,M10,0)</f>
        <v>0</v>
      </c>
      <c r="EL10" s="612">
        <f>IF(EH10=BG$13,O10,0)</f>
        <v>0</v>
      </c>
      <c r="EM10" s="426" t="str">
        <f ca="1">IF(AND(Z10&lt;&gt;"t",Z10&lt;&gt;"f"),"",IF(AND(EN10=$BH$11,K10&lt;&gt;EN10),EM$4,IF(AND(EN10=$BH$12,K10=$BH$13),EM$4,IF(AND(EN10=$BH$12,K10=$BH$14),EM$4,IF(AND(EN10=$BH$13,K10=$BH$14),$EM$4,IF(EN10=$BH$14,$EM$4,""))))))</f>
        <v/>
      </c>
      <c r="EN10" s="489" t="str">
        <f>BG$24</f>
        <v>No Floor</v>
      </c>
      <c r="EO10" s="426" t="str">
        <f>K10</f>
        <v xml:space="preserve"> </v>
      </c>
      <c r="EP10" s="497" t="str">
        <f ca="1">IF(AND(Z10&lt;&gt;"t",Z10&lt;&gt;"f"),"",IF(AND(EN10=$BH$14,K10&lt;&gt;EN10),EP$4,IF(AND(EN10=$BH$13,K10=$BH$12),EP$4,IF(AND(EN10=$BH$13,K10=$BH$11),EP$4,IF(AND(EN10=$BH$12,K10=$BH$11),$EP$4,IF(EN10=$BH$11,"Earth",""))))))</f>
        <v/>
      </c>
      <c r="EQ10" s="430" t="str">
        <f ca="1">IF(Z10&lt;&gt;"t","",IF(EQ$5=2,IF(K10&lt;&gt;BH$11,EQ$7," ")))</f>
        <v/>
      </c>
      <c r="ER10" s="439" t="str">
        <f ca="1">IF(H10=0," ",H10)</f>
        <v xml:space="preserve"> </v>
      </c>
      <c r="ES10" s="440" t="str">
        <f ca="1">IF(ER10&lt;&gt;" ",IF(ER10&lt;&gt;ER$7,"Changed",""),"")</f>
        <v/>
      </c>
      <c r="ET10" s="440">
        <f ca="1">IF(ER10&lt;&gt;" ",IF(ER10&lt;&gt;ER$7,1,0),0)</f>
        <v>0</v>
      </c>
      <c r="EU10" s="426" t="str">
        <f ca="1">IF(I10=" "," ",IF(F10&lt;OFFSET($BM$9,CL10-1,0,1,1),1,""))</f>
        <v xml:space="preserve"> </v>
      </c>
      <c r="EW10" s="427"/>
      <c r="EY10" s="421"/>
    </row>
    <row r="11" spans="1:155" ht="17.100000000000001" customHeight="1" thickBot="1">
      <c r="B11" s="689" t="s">
        <v>246</v>
      </c>
      <c r="C11" s="684" t="str">
        <f>IF(OR(F11=0,I11="",I11=" ")," ",$V11)</f>
        <v xml:space="preserve"> </v>
      </c>
      <c r="D11" s="1033" t="s">
        <v>8</v>
      </c>
      <c r="E11" s="1360"/>
      <c r="F11" s="201"/>
      <c r="G11" s="1416"/>
      <c r="H11" s="1417" t="str">
        <f ca="1">IF(OR(F11=0,Z11="E",Z11="f")," ",'Project Demand'!E$55)</f>
        <v xml:space="preserve"> </v>
      </c>
      <c r="I11" s="631" t="str">
        <f>IF($I$6&lt;&gt;$BG$8," ",AB11)</f>
        <v xml:space="preserve"> </v>
      </c>
      <c r="J11" s="44" t="str">
        <f ca="1">IF(OR(I11=" ",I11="")," ",OFFSET($BO$9,CL11-1,0-4,1,1))</f>
        <v xml:space="preserve"> </v>
      </c>
      <c r="K11" s="55" t="str">
        <f>IF(OR(I11=" ",I11="")," ",IF(OR(Z11="e",Z11="h"),"SD",IF(BG$24=BH$11,BH$13,BG$24)))</f>
        <v xml:space="preserve"> </v>
      </c>
      <c r="L11" s="725">
        <f ca="1">CW11</f>
        <v>0</v>
      </c>
      <c r="M11" s="726">
        <f ca="1">CY11</f>
        <v>0</v>
      </c>
      <c r="N11" s="445">
        <f t="shared" ca="1" si="0"/>
        <v>0</v>
      </c>
      <c r="O11" s="728">
        <f t="shared" ca="1" si="0"/>
        <v>0</v>
      </c>
      <c r="P11" s="138"/>
      <c r="Q11" s="752" t="str">
        <f ca="1">IF(AND(OR(Z11="t",Z11="f"),K11=$BH$11),"No Floor!  Change Floor Type",IF(OR(I11=" ",I11="")," ",IF(F11&lt;OFFSET($BM$9,CL11-1,0,1,1),"check L(m)",DE11&amp;IF(AND(DP11&gt;=CY11,DR11&gt;=DB11),IF(AND(ED11&gt;=DP11,EF11&gt;=DR11),CONCATENATE(DS11," will provide same result"),CONCATENATE(CO11," will provide same result")),IF((DP11&gt;=CY11),CONCATENATE(CO11," provides same result in WIND"),IF((DR11&gt;=DB11),CONCATENATE(CO11," provides same result in EQ"),""))))))&amp;IF(ISERROR(FIND("pile",I11,1)),"",IF(INT(F11)&lt;&gt;F11,"Pile!  Use Whole Numbers Only",""))</f>
        <v xml:space="preserve"> </v>
      </c>
      <c r="R11" s="52"/>
      <c r="S11" s="1372"/>
      <c r="T11" s="52"/>
      <c r="U11" s="1377"/>
      <c r="V11" s="52" t="str">
        <f>IF(AND(B$5=$BF$9,OR(I11=BH$16,I11=BH$17))," ",IF(ISNUMBER(B$8),(CONCATENATE(B$8,".",W11)),(CONCATENATE(B$8,W11))))</f>
        <v>A0</v>
      </c>
      <c r="W11" s="9">
        <f>W10+X11</f>
        <v>0</v>
      </c>
      <c r="X11" s="9">
        <f>IF(AND(B$5=$BF$9,OR($I11=$BH$16,$I11=$BH$17,$I11=" ",$I11="",$F11=0)),0,IF(OR($I11=" ",$I11="",$F11=0),0,1))</f>
        <v>0</v>
      </c>
      <c r="Y11" s="896"/>
      <c r="Z11" s="52" t="str">
        <f ca="1">IF(I11=" "," ",OFFSET($BM$9,$CL11-1,8,1,1))</f>
        <v xml:space="preserve"> </v>
      </c>
      <c r="AA11" s="51" t="str">
        <f>IF(G11&gt;=45,"WA","")</f>
        <v/>
      </c>
      <c r="AB11" s="1364" t="str">
        <f>IF(OR(E11=" ",E11="")," ",(IF(F11&lt;&gt;"",IF(OR(D11=$BG$12,D11=$BG$13),IF(E11&lt;&gt;$BG$17,$BF$20,$BF$21),IF(E11&lt;&gt;$BG$17,$BF$20,$BF$21))," ")))</f>
        <v xml:space="preserve"> </v>
      </c>
      <c r="AC11" s="1"/>
      <c r="AJ11" s="2198"/>
      <c r="AK11" s="2187"/>
      <c r="AL11" s="2246"/>
      <c r="AM11" s="2246"/>
      <c r="AN11" s="2252"/>
      <c r="AO11" s="2601"/>
      <c r="AP11" s="1244"/>
      <c r="AQ11" s="2246"/>
      <c r="AR11" s="2234"/>
      <c r="AS11" s="1639"/>
      <c r="AT11" s="2862"/>
      <c r="AU11" s="120"/>
      <c r="AV11" s="120"/>
      <c r="AW11" s="120"/>
      <c r="AX11" s="120"/>
      <c r="AY11" s="120"/>
      <c r="AZ11" s="120"/>
      <c r="BA11" s="120"/>
      <c r="BB11" s="120"/>
      <c r="BC11" s="120"/>
      <c r="BD11" s="2649"/>
      <c r="BF11" s="444" t="s">
        <v>8</v>
      </c>
      <c r="BG11" s="1029" t="s">
        <v>8</v>
      </c>
      <c r="BH11" s="707" t="s">
        <v>1059</v>
      </c>
      <c r="BI11" s="759"/>
      <c r="BJ11" s="922">
        <f>BJ10+1</f>
        <v>3</v>
      </c>
      <c r="BM11" s="52">
        <v>0</v>
      </c>
      <c r="BN11" s="52">
        <v>999</v>
      </c>
      <c r="BO11" s="52">
        <f>AR10</f>
        <v>0</v>
      </c>
      <c r="BP11" s="52">
        <v>0</v>
      </c>
      <c r="BR11" s="52">
        <f>Table!G4</f>
        <v>0</v>
      </c>
      <c r="BS11" s="52">
        <f>Table!G5</f>
        <v>0</v>
      </c>
      <c r="BT11" s="52" t="str">
        <f>Table!H4</f>
        <v>B</v>
      </c>
      <c r="BU11" s="52" t="s">
        <v>242</v>
      </c>
      <c r="BV11" s="909" t="s">
        <v>8</v>
      </c>
      <c r="BW11" s="921">
        <v>0</v>
      </c>
      <c r="CH11" s="768">
        <f>IF(BN11=999,0,(BO12-BO11)/(BN11-BM11))</f>
        <v>0</v>
      </c>
      <c r="CI11" s="924">
        <f>IF(BN11=999,0,(BP12-BP11)/(BN11-BM11))</f>
        <v>0</v>
      </c>
      <c r="CJ11" s="759"/>
      <c r="CK11" s="188"/>
      <c r="CL11" s="979">
        <f>VLOOKUP(I11,Prodlink,2,0)</f>
        <v>0</v>
      </c>
      <c r="CN11" s="497">
        <f t="shared" ca="1" si="2"/>
        <v>0</v>
      </c>
      <c r="CO11" s="497">
        <f ca="1">OFFSET($CH$9,CL11-1,-15,1,1)</f>
        <v>0</v>
      </c>
      <c r="CQ11" s="51">
        <v>0</v>
      </c>
      <c r="CR11" s="51">
        <f ca="1">IF(AND(Z11&lt;&gt;"t",Z11&lt;&gt;"f"),10000,IF(K11=$BH$11,0,IF(K11=$BH$12,$BH$23,IF(K11=$BH$13,$BH$24,10000))))</f>
        <v>10000</v>
      </c>
      <c r="CS11" s="51">
        <f ca="1">IF(F11&lt;OFFSET($BM$9,CL11-1,0,1,1),0,IF(F11&lt;OFFSET($BN$9,CL11-1,0,1,1),((F11-OFFSET($BM$9,CL11-1,0,1,1))*OFFSET($CH$9,CL11-1,0,1,1))+OFFSET($BO$9,CL11-1,CQ11,1,1),IF(F11&lt;OFFSET($BN$9,CL11+0,0,1,1),((F11-OFFSET($BM$9,CL11+0,0,1,1))*OFFSET($CH$9,CL11+0,0,1,1))+OFFSET($BO$9,CL11+0,CQ11,1,1),IF(F11&lt;OFFSET($BN$9,CL11+1,0,1,1),((F11-OFFSET($BM$9,CL11+1,0,1,1))*OFFSET($CH$9,CL11+1,0,1,1))+OFFSET($BO$9,CL11+1,CQ11,1,1),IF(F11&lt;OFFSET($BN$9,CL11+2,0,1,1),((F11-OFFSET($BM$9,CL11+2,0,1,1))*OFFSET($CH$9,CL11+2,0,1,1))+OFFSET($BO$9,CL11+2,CQ11,1,1),IF(F11&lt;OFFSET($BN$9,CL11+3,0,1,1),((F11-OFFSET($BM$9,CL11+3,0,1,1))*OFFSET($CH$9,CL11+3,0,1,1))+OFFSET($BO$9,CL11+3,CQ11,1,1),0))))))</f>
        <v>0</v>
      </c>
      <c r="CT11" s="51">
        <f ca="1">IF($F11&lt;OFFSET($BM$9,$CL11-1,0,1,1),0,IF($F11&lt;OFFSET($BN$9,$CL11-1,0,1,1),IF(AND($H11&gt;2.4,Z11&lt;&gt;"e",Z11&lt;&gt;"f"),CX11*2.4/$H11,CX11),IF($F11&lt;OFFSET($BN$9,$CL11+0,0,1,1),IF(AND($H11&gt;2.4,Z11&lt;&gt;"e",Z11&lt;&gt;"f"),CX11*2.4/$H11,CX11),IF($F11&lt;OFFSET($BN$9,$CL11+1,0,1,1),IF(AND($H11&gt;2.4,Z11&lt;&gt;"e",Z11&lt;&gt;"f"),CX11*2.4/$H11,CX11),IF($F11&lt;OFFSET($BN$9,CL11+2,0,1,1),IF(AND($H11&gt;2.4,Z11&lt;&gt;"e",Z11&lt;&gt;"f"),CX11*2.4/$H11,CX11),IF($F11&lt;OFFSET($BN$9,CL11+3,0,1,1),IF(AND($H11&gt;2.4,Z11&lt;&gt;"e",Z11&lt;&gt;"f"),CX11*2.4/$H11,CX11),0)))))*COS(RADIANS($G11)))</f>
        <v>0</v>
      </c>
      <c r="CU11" s="51">
        <f ca="1">IF(F11&lt;OFFSET($BM$9,CL11-1,0,1,1),0,IF(F11&lt;OFFSET($BN$9,CL11-1,0,1,1),((F11-OFFSET($BM$9,CL11-1,0,1,1))*OFFSET($CI$9,CL11-1,0,1,1))+OFFSET($BP$9,CL11-1,CQ11,1,1),IF(F11&lt;OFFSET($BN$9,CL11+0,0,1,1),((F11-OFFSET($BM$9,CL11+0,0,1,1))*OFFSET($CI$9,CL11+0,0,1,1))+OFFSET($BP$9,CL11+0,CQ11,1,1),IF(F11&lt;OFFSET($BN$9,CL11+1,0,1,1),((F11-OFFSET($BM$9,CL11+1,0,1,1))*OFFSET($CI$9,CL11+1,0,1,1))+OFFSET($BP$9,CL11+1,CQ11,1,1),IF(F11&lt;OFFSET($BN$9,CL11+2,0,1,1),((F11-OFFSET($BM$9,CL11+2,0,1,1))*OFFSET($CI$9,CL11+2,0,1,1))+OFFSET($BP$9,CL11+2,CQ11,1,1),IF(F11&lt;OFFSET($BN$9,CL11+3,0,1,1),((F11-OFFSET($BM$9,CL11+3,0,1,1))*OFFSET($CI$9,CL11+3,0,1,1))+OFFSET($BP$9,CL11+3,CQ11,1,1),0))))))</f>
        <v>0</v>
      </c>
      <c r="CV11" s="51">
        <f ca="1">IF($F11&lt;OFFSET($BM$9,$CL11-1,0,1,1),0,IF($F11&lt;OFFSET($BN$9,$CL11-1,0,1,1),IF(AND($H11&gt;2.4,Z11&lt;&gt;"e",Z11&lt;&gt;"f"),CZ11*2.4/$H11,CZ11),IF($F11&lt;OFFSET($BN$9,$CL11+0,0,1,1),IF(AND($H11&gt;2.4,Z11&lt;&gt;"e",Z11&lt;&gt;"f"),CZ11*2.4/$H11,CZ11),IF($F11&lt;OFFSET($BN$9,$CL11+1,0,1,1),IF(AND($H11&gt;2.4,Z11&lt;&gt;"e",Z11&lt;&gt;"f"),CZ11*2.4/$H11,CZ11),IF($F11&lt;OFFSET($BN$9,$CL11+2,0,1,1),IF(AND($H11&gt;2.4,Z11&lt;&gt;"e",Z11&lt;&gt;"f"),CZ11*2.4/$H11,CZ11),IF($F11&lt;OFFSET($BN$9,$CL11+3,0,1,1),IF(AND($H11&gt;2.4,Z11&lt;&gt;"e",Z11&lt;&gt;"f"),CZ11*2.4/$H11,CZ11),0)))))*COS(RADIANS($G11)))</f>
        <v>0</v>
      </c>
      <c r="CW11" s="51">
        <f ca="1">IF(CT11&gt;CR11,CR11,CT11)</f>
        <v>0</v>
      </c>
      <c r="CX11" s="51">
        <f ca="1">IF(CS11&gt;$CR11,$CR11,CS11)</f>
        <v>0</v>
      </c>
      <c r="CY11" s="51">
        <f ca="1">CW11*F11</f>
        <v>0</v>
      </c>
      <c r="CZ11" s="51">
        <f ca="1">IF($CU11&gt;$CR11,$CR11,$CU11)</f>
        <v>0</v>
      </c>
      <c r="DA11" s="51">
        <f ca="1">IF(CV11&gt;CR11,CR11,CV11)</f>
        <v>0</v>
      </c>
      <c r="DB11" s="51">
        <f ca="1">DA11*F11</f>
        <v>0</v>
      </c>
      <c r="DC11" s="993">
        <v>1</v>
      </c>
      <c r="DD11" s="758" t="str">
        <f>IF(OR(D11=BG$12,D11=BG$13),"External",IF(D11=BG$14,"Internal"," "))</f>
        <v xml:space="preserve"> </v>
      </c>
      <c r="DE11" s="51" t="str">
        <f t="shared" ca="1" si="3"/>
        <v/>
      </c>
      <c r="DF11" s="52" t="str">
        <f t="shared" ca="1" si="4"/>
        <v xml:space="preserve"> </v>
      </c>
      <c r="DG11" s="51">
        <f ca="1">IF(F11&lt;OFFSET($BM$9,CN11-1,0,1,1),0,IF(F11&lt;OFFSET($BN$9,CN11-1,0,1,1),((F11-OFFSET($BM$9,CN11-1,0,1,1))*OFFSET($CH$9,CN11-1,0,1,1))+OFFSET($BO$9,CN11-1,CQ11,1,1),IF(F11&lt;OFFSET($BN$9,CN11+0,0,1,1),((F11-OFFSET($BM$9,CN11+0,0,1,1))*OFFSET($CH$9,CN11+0,0,1,1))+OFFSET($BO$9,CN11+0,CQ11,1,1),IF(F11&lt;OFFSET($BN$9,CN11+1,0,1,1),((F11-OFFSET($BM$9,CN11+1,0,1,1))*OFFSET($CH$9,CN11+1,0,1,1))+OFFSET($BO$9,CN11+1,CQ11,1,1),IF(F11&lt;OFFSET($BN$9,CN11+2,0,1,1),((F11-OFFSET($BM$9,CN11+2,0,1,1))*OFFSET($CH$9,CN11+2,0,1,1))+OFFSET($BO$9,CN11+2,CQ11,1,1),IF(F11&lt;OFFSET($BN$9,CN11+3,0,1,1),((F11-OFFSET($BM$9,CN11+3,0,1,1))*OFFSET($CH$9,CN11+3,0,1,1))+OFFSET($BO$9,CN11+3,CQ11,1,1),0))))))</f>
        <v>0</v>
      </c>
      <c r="DH11" s="51">
        <f ca="1">IF($F11&lt;OFFSET($BM$9,$CN11-1,0,1,1),0,IF($F11&lt;OFFSET($BN$9,$CN11-1,0,1,1),IF(AND($H11&gt;2.4,Z11&lt;&gt;"e",Z11&lt;&gt;"f"),DL11*2.4/$H11,DL11),IF($F11&lt;OFFSET($BN$9,$CN11+0,0,1,1),IF(AND($H11&gt;2.4,Z11&lt;&gt;"e",Z11&lt;&gt;"f"),DL11*2.4/$H11,DL11),IF($F11&lt;OFFSET($BN$9,$CN11+1,0,1,1),IF(AND($H11&gt;2.4,Z11&lt;&gt;"e",Z11&lt;&gt;"f"),DL11*2.4/$H11,DL11),IF($F11&lt;OFFSET($BN$9,$CN11+2,0,1,1),IF(AND($H11&gt;2.4,Z11&lt;&gt;"e",Z11&lt;&gt;"f"),DL11*2.4/$H11,DL11),IF($F11&lt;OFFSET($BN$9,$CN11+3,0,1,1),IF(AND($H11&gt;2.4,Z11&lt;&gt;"e",Z11&lt;&gt;"f"),DL11*2.4/$H11,DL11),0)))))*COS(RADIANS($G11)))</f>
        <v>0</v>
      </c>
      <c r="DI11" s="51">
        <f ca="1">IF(F11&lt;OFFSET($BM$9,CN11-1,0,1,1),0,IF(F11&lt;OFFSET($BN$9,CN11-1,0,1,1),((F11-OFFSET($BM$9,CN11-1,0,1,1))*OFFSET($CI$9,CN11-1,0,1,1))+OFFSET($BP$9,CN11-1,CQ11,1,1),IF(F11&lt;OFFSET($BN$9,CN11+0,0,1,1),((F11-OFFSET($BM$9,CN11+0,0,1,1))*OFFSET($CI$9,CN11+0,0,1,1))+OFFSET($BP$9,CN11+0,CQ11,1,1),IF(F11&lt;OFFSET($BN$9,CN11+1,0,1,1),((F11-OFFSET($BM$9,CN11+1,0,1,1))*OFFSET($CI$9,CN11+1,0,1,1))+OFFSET($BP$9,CN11+1,CQ11,1,1),IF(F11&lt;OFFSET($BN$9,CN11+2,0,1,1),((F11-OFFSET($BM$9,CN11+2,0,1,1))*OFFSET($CI$9,CN11+2,0,1,1))+OFFSET($BP$9,CN11+2,CQ11,1,1),IF(F11&lt;OFFSET($BN$9,CN11+3,0,1,1),((F11-OFFSET($BM$9,CN11+3,0,1,1))*OFFSET($CI$9,CN11+3,0,1,1))+OFFSET($BP$9,CN11+3,CQ11,1,1),0))))))</f>
        <v>0</v>
      </c>
      <c r="DJ11" s="51">
        <f ca="1">IF($F11&lt;OFFSET($BM$9,$CN11-1,0,1,1),0,IF($F11&lt;OFFSET($BN$9,$CN11-1,0,1,1),IF(AND($H11&gt;2.4,Z11&lt;&gt;"e",Z11&lt;&gt;"f"),DN11*2.4/$H11,DN11),IF($F11&lt;OFFSET($BN$9,$CN11+0,0,1,1),IF(AND($H11&gt;2.4,Z11&lt;&gt;"e",Z11&lt;&gt;"f"),DN11*2.4/$H11,DN11),IF($F11&lt;OFFSET($BN$9,$CN11+1,0,1,1),IF(AND($H11&gt;2.4,Z11&lt;&gt;"e",Z11&lt;&gt;"f"),DN11*2.4/$H11,DN11),IF($F11&lt;OFFSET($BN$9,$CN11+2,0,1,1),IF(AND($H11&gt;2.4,Z11&lt;&gt;"e",Z11&lt;&gt;"f"),DN11*2.4/$H11,DN11),IF($F11&lt;OFFSET($BN$9,$CN11+3,0,1,1),IF(AND($H11&gt;2.4,Z11&lt;&gt;"e",Z11&lt;&gt;"f"),DN11*2.4/$H11,DN11),0)))))*COS(RADIANS($G11)))</f>
        <v>0</v>
      </c>
      <c r="DK11" s="51"/>
      <c r="DL11" s="51">
        <f ca="1">IF(DG11&gt;$CR11,$CR11,DG11)</f>
        <v>0</v>
      </c>
      <c r="DM11" s="51"/>
      <c r="DN11" s="51">
        <f ca="1">IF(DI11&gt;$CR11,$CR11,DI11)</f>
        <v>0</v>
      </c>
      <c r="DO11" s="435">
        <f ca="1">IF(DH11&gt;$CR11,$CR11,DH11)</f>
        <v>0</v>
      </c>
      <c r="DP11" s="435">
        <f ca="1">DO11*F11</f>
        <v>0</v>
      </c>
      <c r="DQ11" s="436">
        <f ca="1">IF(DJ11&gt;$CR11,$CR11,DJ11)</f>
        <v>0</v>
      </c>
      <c r="DR11" s="437">
        <f ca="1">DQ11*F11</f>
        <v>0</v>
      </c>
      <c r="DS11" s="426">
        <f ca="1">OFFSET($CH$9,CL11-1,-15,1,1)</f>
        <v>0</v>
      </c>
      <c r="DT11" s="426">
        <f t="shared" ca="1" si="1"/>
        <v>0</v>
      </c>
      <c r="DU11" s="188">
        <f ca="1">IF(F11&lt;OFFSET($BM$9,DT11-1,0,1,1),0,IF(F11&lt;OFFSET($BN$9,DT11-1,0,1,1),((F11-OFFSET($BM$9,DT11-1,0,1,1))*OFFSET($CH$9,DT11-1,0,1,1))+OFFSET($BO$9,DT11-1,CQ11,1,1),IF(F11&lt;OFFSET($BN$9,DT11+0,0,1,1),((F11-OFFSET($BM$9,DT11+0,0,1,1))*OFFSET($CH$9,DT11+0,0,1,1))+OFFSET($BO$9,DT11+0,CQ11,1,1),IF(F11&lt;OFFSET($BN$9,DT11+1,0,1,1),((F11-OFFSET($BM$9,DT11+1,0,1,1))*OFFSET($CH$9,DT11+1,0,1,1))+OFFSET($BO$9,DT11+1,CQ11,1,1),IF(F11&lt;OFFSET($BN$9,DT11+2,0,1,1),((F11-OFFSET($BM$9,DT11+2,0,1,1))*OFFSET($CH$9,DT11+2,0,1,1))+OFFSET($BO$9,DT11+2,CQ11,1,1),IF(F11&lt;OFFSET($BN$9,DT11+3,0,1,1),((F11-OFFSET($BM$9,DT11+3,0,1,1))*OFFSET($CH$9,DT11+3,0,1,1))+OFFSET($BO$9,DT11+3,CQ11,1,1),0))))))</f>
        <v>0</v>
      </c>
      <c r="DV11" s="51">
        <f ca="1">IF($F11&lt;OFFSET($BM$9,$DT11-1,0,1,1),0,IF($F11&lt;OFFSET($BN$9,$DT11-1,0,1,1),IF(AND($H11&gt;2.4,Z11&lt;&gt;"e",Z11&lt;&gt;"f"),DZ11*2.4/$H11,DZ11),IF($F11&lt;OFFSET($BN$9,$DT11+0,0,1,1),IF(AND($H11&gt;2.4,Z11&lt;&gt;"e",Z11&lt;&gt;"f"),DZ11*2.4/$H11,DZ11),IF($F11&lt;OFFSET($BN$9,$DT11+1,0,1,1),IF(AND($H11&gt;2.4,Z11&lt;&gt;"e",Z11&lt;&gt;"f"),DZ11*2.4/$H11,DZ11),IF($F11&lt;OFFSET($BN$9,$DT11+2,0,1,1),IF(AND($H11&gt;2.4,Z11&lt;&gt;"e",Z11&lt;&gt;"f"),DZ11*2.4/$H11,DZ11),IF($F11&lt;OFFSET($BN$9,$DT11+3,0,1,1),IF(AND($H11&gt;2.4,Z11&lt;&gt;"e",Z11&lt;&gt;"f"),DZ11*2.4/$H11,DZ11),0)))))*COS(RADIANS($G11)))</f>
        <v>0</v>
      </c>
      <c r="DW11" s="188">
        <f ca="1">IF(F11&lt;OFFSET($BM$9,DT11-1,0,1,1),0,IF(F11&lt;OFFSET($BN$9,DT11-1,0,1,1),((F11-OFFSET($BM$9,DT11-1,0,1,1))*OFFSET($CI$9,DT11-1,0,1,1))+OFFSET($BP$9,DT11-1,CQ11,1,1),IF(F11&lt;OFFSET($BN$9,DT11+0,0,1,1),((F11-OFFSET($BM$9,DT11+0,0,1,1))*OFFSET($CI$9,DT11+0,0,1,1))+OFFSET($BP$9,DT11+0,CQ11,1,1),IF(F11&lt;OFFSET($BN$9,DT11+1,0,1,1),((F11-OFFSET($BM$9,DT11+1,0,1,1))*OFFSET($CI$9,DT11+1,0,1,1))+OFFSET($BP$9,DT11+1,CQ11,1,1),IF(F11&lt;OFFSET($BN$9,DT11+2,0,1,1),((F11-OFFSET($BM$9,DT11+2,0,1,1))*OFFSET($CI$9,DT11+2,0,1,1))+OFFSET($BP$9,DT11+2,CQ11,1,1),IF(F11&lt;OFFSET($BN$9,DT11+3,0,1,1),((F11-OFFSET($BM$9,DT11+3,0,1,1))*OFFSET($CI$9,DT11+3,0,1,1))+OFFSET($BP$9,DT11+3,CQ11,1,1),0))))))</f>
        <v>0</v>
      </c>
      <c r="DX11" s="51">
        <f ca="1">IF($F11&lt;OFFSET($BM$9,$DT11-1,0,1,1),0,IF($F11&lt;OFFSET($BN$9,$DT11-1,0,1,1),IF(AND($H11&gt;2.4,Z11&lt;&gt;"e",Z11&lt;&gt;"f"),EB11*2.4/$H11,EB11),IF($F11&lt;OFFSET($BN$9,$DT11+0,0,1,1),IF(AND($H11&gt;2.4,Z11&lt;&gt;"e",Z11&lt;&gt;"f"),EB11*2.4/$H11,EB11),IF($F11&lt;OFFSET($BN$9,$DT11+1,0,1,1),IF(AND($H11&gt;2.4,Z11&lt;&gt;"e",Z11&lt;&gt;"f"),EB11*2.4/$H11,EB11),IF($F11&lt;OFFSET($BN$9,$DT11+2,0,1,1),IF(AND($H11&gt;2.4,Z11&lt;&gt;"e",Z11&lt;&gt;"f"),EB11*2.4/$H11,EB11),IF($F11&lt;OFFSET($BN$9,$DT11+3,0,1,1),IF(AND($H11&gt;2.4,Z11&lt;&gt;"e",Z11&lt;&gt;"f"),EB11*2.4/$H11,EB11),0)))))*COS(RADIANS($G11)))</f>
        <v>0</v>
      </c>
      <c r="DY11" s="188"/>
      <c r="DZ11" s="188">
        <f ca="1">IF(DU11&gt;$CR11,$CR11,DU11)</f>
        <v>0</v>
      </c>
      <c r="EA11" s="188"/>
      <c r="EB11" s="188">
        <f ca="1">IF(DW11&gt;$CR11,$CR11,DW11)</f>
        <v>0</v>
      </c>
      <c r="EC11" s="435">
        <f ca="1">IF(DV11&gt;$CR11,$CR11,DV11)</f>
        <v>0</v>
      </c>
      <c r="ED11" s="435">
        <f ca="1">EC11*F11</f>
        <v>0</v>
      </c>
      <c r="EE11" s="436">
        <f ca="1">IF(DX11&gt;$CR11,$CR11,DX11)</f>
        <v>0</v>
      </c>
      <c r="EF11" s="437">
        <f ca="1">EE11*F11</f>
        <v>0</v>
      </c>
      <c r="EG11" s="613" t="str">
        <f>IF(D11=BG$12,BG$12,"")</f>
        <v/>
      </c>
      <c r="EH11" s="614" t="str">
        <f>IF(D11=BG$13,BG$13,"")</f>
        <v/>
      </c>
      <c r="EI11" s="611">
        <f>IF(EG11=BG$12,M11,0)</f>
        <v>0</v>
      </c>
      <c r="EJ11" s="451">
        <f>IF(EG11=BG$12,O11,0)</f>
        <v>0</v>
      </c>
      <c r="EK11" s="451">
        <f>IF(EH11=BG$13,M11,0)</f>
        <v>0</v>
      </c>
      <c r="EL11" s="612">
        <f>IF(EH11=BG$13,O11,0)</f>
        <v>0</v>
      </c>
      <c r="EM11" s="426" t="str">
        <f ca="1">IF(AND(Z11&lt;&gt;"t",Z11&lt;&gt;"f"),"",IF(AND(EN11=$BH$11,K11&lt;&gt;EN11),EM$4,IF(AND(EN11=$BH$12,K11=$BH$13),EM$4,IF(AND(EN11=$BH$12,K11=$BH$14),EM$4,IF(AND(EN11=$BH$13,K11=$BH$14),$EM$4,IF(EN11=$BH$14,$EM$4,""))))))</f>
        <v/>
      </c>
      <c r="EN11" s="489" t="str">
        <f>BG$24</f>
        <v>No Floor</v>
      </c>
      <c r="EO11" s="426" t="str">
        <f>K11</f>
        <v xml:space="preserve"> </v>
      </c>
      <c r="EP11" s="497" t="str">
        <f ca="1">IF(AND(Z11&lt;&gt;"t",Z11&lt;&gt;"f"),"",IF(AND(EN11=$BH$14,K11&lt;&gt;EN11),EP$4,IF(AND(EN11=$BH$13,K11=$BH$12),EP$4,IF(AND(EN11=$BH$13,K11=$BH$11),EP$4,IF(AND(EN11=$BH$12,K11=$BH$11),$EP$4,IF(EN11=$BH$11,"Earth",""))))))</f>
        <v/>
      </c>
      <c r="EQ11" s="430" t="str">
        <f ca="1">IF(Z11&lt;&gt;"t","",IF(EQ$5=2,IF(K11&lt;&gt;BH$11,EQ$7," ")))</f>
        <v/>
      </c>
      <c r="ER11" s="439" t="str">
        <f ca="1">IF(H11=0," ",H11)</f>
        <v xml:space="preserve"> </v>
      </c>
      <c r="ES11" s="440" t="str">
        <f ca="1">IF(ER11&lt;&gt;" ",IF(ER11&lt;&gt;ER$7,"Changed",""),"")</f>
        <v/>
      </c>
      <c r="ET11" s="440">
        <f ca="1">IF(ER11&lt;&gt;" ",IF(ER11&lt;&gt;ER$7,1,0),0)</f>
        <v>0</v>
      </c>
      <c r="EU11" s="426" t="str">
        <f ca="1">IF(I11=" "," ",IF(F11&lt;OFFSET($BM$9,CL11-1,0,1,1),1,""))</f>
        <v xml:space="preserve"> </v>
      </c>
      <c r="EW11" s="427"/>
      <c r="EY11" s="421"/>
    </row>
    <row r="12" spans="1:155" ht="17.100000000000001" customHeight="1" thickBot="1">
      <c r="B12" s="689" t="s">
        <v>246</v>
      </c>
      <c r="C12" s="684" t="str">
        <f>IF(OR(F12=0,I12="",I12=" ")," ",$V12)</f>
        <v xml:space="preserve"> </v>
      </c>
      <c r="D12" s="1418"/>
      <c r="E12" s="1360"/>
      <c r="F12" s="202"/>
      <c r="G12" s="1416"/>
      <c r="H12" s="1417" t="str">
        <f ca="1">IF(OR(F12=0,Z12="E",Z12="f")," ",'Project Demand'!E$55)</f>
        <v xml:space="preserve"> </v>
      </c>
      <c r="I12" s="631" t="str">
        <f>IF($I$6&lt;&gt;$BG$8," ",AB12)</f>
        <v xml:space="preserve"> </v>
      </c>
      <c r="J12" s="44" t="str">
        <f ca="1">IF(OR(I12=" ",I12="")," ",OFFSET($BO$9,CL12-1,0-4,1,1))</f>
        <v xml:space="preserve"> </v>
      </c>
      <c r="K12" s="55" t="str">
        <f>IF(OR(I12=" ",I12="")," ",IF(OR(Z12="e",Z12="h"),"SD",IF(BG$24=BH$11,BH$13,BG$24)))</f>
        <v xml:space="preserve"> </v>
      </c>
      <c r="L12" s="725">
        <f ca="1">CW12</f>
        <v>0</v>
      </c>
      <c r="M12" s="727">
        <f ca="1">CY12</f>
        <v>0</v>
      </c>
      <c r="N12" s="445">
        <f t="shared" ca="1" si="0"/>
        <v>0</v>
      </c>
      <c r="O12" s="728">
        <f t="shared" ca="1" si="0"/>
        <v>0</v>
      </c>
      <c r="P12" s="138"/>
      <c r="Q12" s="752" t="str">
        <f ca="1">IF(AND(OR(Z12="t",Z12="f"),K12=$BH$11),"No Floor!  Change Floor Type",IF(OR(I12=" ",I12="")," ",IF(F12&lt;OFFSET($BM$9,CL12-1,0,1,1),"check L(m)",DE12&amp;IF(AND(DP12&gt;=CY12,DR12&gt;=DB12),IF(AND(ED12&gt;=DP12,EF12&gt;=DR12),CONCATENATE(DS12," will provide same result"),CONCATENATE(CO12," will provide same result")),IF((DP12&gt;=CY12),CONCATENATE(CO12," provides same result in WIND"),IF((DR12&gt;=DB12),CONCATENATE(CO12," provides same result in EQ"),""))))))&amp;IF(ISERROR(FIND("pile",I12,1)),"",IF(INT(F12)&lt;&gt;F12,"Pile!  Use Whole Numbers Only",""))</f>
        <v xml:space="preserve"> </v>
      </c>
      <c r="T12" s="52"/>
      <c r="U12" s="1377"/>
      <c r="V12" s="52" t="str">
        <f>IF(AND(B$5=$BF$9,OR(I12=BH$16,I12=BH$17))," ",IF(ISNUMBER(B$8),(CONCATENATE(B$8,".",W12)),(CONCATENATE(B$8,W12))))</f>
        <v>A0</v>
      </c>
      <c r="W12" s="9">
        <f>W11+X12</f>
        <v>0</v>
      </c>
      <c r="X12" s="9">
        <f>IF(AND(B$5=$BF$9,OR($I12=$BH$16,$I12=$BH$17,$I12=" ",$I12="",$F12=0)),0,IF(OR($I12=" ",$I12="",$F12=0),0,1))</f>
        <v>0</v>
      </c>
      <c r="Y12" s="896"/>
      <c r="Z12" s="52" t="str">
        <f ca="1">IF(I12=" "," ",OFFSET($BM$9,$CL12-1,8,1,1))</f>
        <v xml:space="preserve"> </v>
      </c>
      <c r="AA12" s="51" t="str">
        <f>IF(G12&gt;=45,"WA","")</f>
        <v/>
      </c>
      <c r="AB12" s="1364" t="str">
        <f>IF(OR(E12=" ",E12="")," ",(IF(F12&lt;&gt;"",IF(OR(D12=$BG$12,D12=$BG$13),IF(E12&lt;&gt;$BG$17,$BF$20,$BF$21),IF(E12&lt;&gt;$BG$17,$BF$20,$BF$21))," ")))</f>
        <v xml:space="preserve"> </v>
      </c>
      <c r="AC12" s="1"/>
      <c r="AJ12" s="2866" t="str">
        <f>'Custom Elements'!O9</f>
        <v>NZS 3604</v>
      </c>
      <c r="AK12" s="1625" t="s">
        <v>931</v>
      </c>
      <c r="AL12" s="1626"/>
      <c r="AM12" s="1626"/>
      <c r="AN12" s="1626"/>
      <c r="AO12" s="1626"/>
      <c r="AP12" s="1626"/>
      <c r="AQ12" s="1626"/>
      <c r="AR12" s="1626"/>
      <c r="AS12" s="1641"/>
      <c r="AT12" s="1627"/>
      <c r="AU12" s="119"/>
      <c r="AV12" s="119"/>
      <c r="AW12" s="119"/>
      <c r="AX12" s="119"/>
      <c r="AY12" s="119"/>
      <c r="AZ12" s="119"/>
      <c r="BA12" s="119"/>
      <c r="BB12" s="119"/>
      <c r="BC12" s="119"/>
      <c r="BD12" s="2667"/>
      <c r="BF12" s="598" t="str">
        <f>'Custom Elements'!P9</f>
        <v>Masonry 0.75</v>
      </c>
      <c r="BG12" s="1026" t="str">
        <f>IF('Project Demand'!AX21=1,BG32,BG35)</f>
        <v>Top External</v>
      </c>
      <c r="BH12" s="709" t="str">
        <f>IF($BE$3=1,BH19,BG19)</f>
        <v>120 BU's</v>
      </c>
      <c r="BI12" s="759"/>
      <c r="BJ12" s="897">
        <f t="shared" ref="BJ12:BJ40" si="5">BJ11+1</f>
        <v>4</v>
      </c>
      <c r="BK12" s="769" t="str">
        <f t="shared" ref="BK12:BK31" si="6">AK48</f>
        <v xml:space="preserve">  </v>
      </c>
      <c r="BL12" s="770" t="str">
        <f t="shared" ref="BL12:BL31" si="7">AL48</f>
        <v>Custom1</v>
      </c>
      <c r="BM12" s="454">
        <f t="shared" ref="BM12:BM31" si="8">AM48</f>
        <v>9.9999999999999996E-76</v>
      </c>
      <c r="BN12" s="454">
        <v>999</v>
      </c>
      <c r="BO12" s="454">
        <f t="shared" ref="BO12:BO31" si="9">AN48</f>
        <v>0</v>
      </c>
      <c r="BP12" s="924">
        <f t="shared" ref="BP12:BP31" si="10">AO48</f>
        <v>0</v>
      </c>
      <c r="BR12" s="768"/>
      <c r="BS12" s="454"/>
      <c r="BT12" s="454" t="str">
        <f t="shared" ref="BT12:BT31" si="11">AP48</f>
        <v>B</v>
      </c>
      <c r="BU12" s="924" t="str">
        <f t="shared" ref="BU12:BU31" si="12">AZ48</f>
        <v>T</v>
      </c>
      <c r="BV12" s="483" t="str">
        <f t="shared" ref="BV12:BV31" si="13">AL48</f>
        <v>Custom1</v>
      </c>
      <c r="BW12" s="910">
        <f>BJ12</f>
        <v>4</v>
      </c>
      <c r="BX12" s="924" t="str">
        <f t="shared" ref="BX12:BX31" si="14">AQ48</f>
        <v>Single</v>
      </c>
      <c r="CH12" s="768">
        <f t="shared" ref="CH12:CH31" si="15">IF(BN12=999,0,(BO13-BO12)/(BN12-BM12))</f>
        <v>0</v>
      </c>
      <c r="CI12" s="924">
        <f t="shared" ref="CI12:CI31" si="16">IF(BN12=999,0,(BP13-BP12)/(BN12-BM12))</f>
        <v>0</v>
      </c>
      <c r="CJ12" s="759"/>
      <c r="CK12" s="188"/>
      <c r="CL12" s="979">
        <f>VLOOKUP(I12,Prodlink,2,0)</f>
        <v>0</v>
      </c>
      <c r="CN12" s="497">
        <f t="shared" ca="1" si="2"/>
        <v>0</v>
      </c>
      <c r="CO12" s="497">
        <f ca="1">OFFSET($CH$9,CL12-1,-15,1,1)</f>
        <v>0</v>
      </c>
      <c r="CQ12" s="51">
        <v>0</v>
      </c>
      <c r="CR12" s="51">
        <f ca="1">IF(AND(Z12&lt;&gt;"t",Z12&lt;&gt;"f"),10000,IF(K12=$BH$11,0,IF(K12=$BH$12,$BH$23,IF(K12=$BH$13,$BH$24,10000))))</f>
        <v>10000</v>
      </c>
      <c r="CS12" s="51">
        <f ca="1">IF(F12&lt;OFFSET($BM$9,CL12-1,0,1,1),0,IF(F12&lt;OFFSET($BN$9,CL12-1,0,1,1),((F12-OFFSET($BM$9,CL12-1,0,1,1))*OFFSET($CH$9,CL12-1,0,1,1))+OFFSET($BO$9,CL12-1,CQ12,1,1),IF(F12&lt;OFFSET($BN$9,CL12+0,0,1,1),((F12-OFFSET($BM$9,CL12+0,0,1,1))*OFFSET($CH$9,CL12+0,0,1,1))+OFFSET($BO$9,CL12+0,CQ12,1,1),IF(F12&lt;OFFSET($BN$9,CL12+1,0,1,1),((F12-OFFSET($BM$9,CL12+1,0,1,1))*OFFSET($CH$9,CL12+1,0,1,1))+OFFSET($BO$9,CL12+1,CQ12,1,1),IF(F12&lt;OFFSET($BN$9,CL12+2,0,1,1),((F12-OFFSET($BM$9,CL12+2,0,1,1))*OFFSET($CH$9,CL12+2,0,1,1))+OFFSET($BO$9,CL12+2,CQ12,1,1),IF(F12&lt;OFFSET($BN$9,CL12+3,0,1,1),((F12-OFFSET($BM$9,CL12+3,0,1,1))*OFFSET($CH$9,CL12+3,0,1,1))+OFFSET($BO$9,CL12+3,CQ12,1,1),0))))))</f>
        <v>0</v>
      </c>
      <c r="CT12" s="51">
        <f ca="1">IF($F12&lt;OFFSET($BM$9,$CL12-1,0,1,1),0,IF($F12&lt;OFFSET($BN$9,$CL12-1,0,1,1),IF(AND($H12&gt;2.4,Z12&lt;&gt;"e",Z12&lt;&gt;"f"),CX12*2.4/$H12,CX12),IF($F12&lt;OFFSET($BN$9,$CL12+0,0,1,1),IF(AND($H12&gt;2.4,Z12&lt;&gt;"e",Z12&lt;&gt;"f"),CX12*2.4/$H12,CX12),IF($F12&lt;OFFSET($BN$9,$CL12+1,0,1,1),IF(AND($H12&gt;2.4,Z12&lt;&gt;"e",Z12&lt;&gt;"f"),CX12*2.4/$H12,CX12),IF($F12&lt;OFFSET($BN$9,CL12+2,0,1,1),IF(AND($H12&gt;2.4,Z12&lt;&gt;"e",Z12&lt;&gt;"f"),CX12*2.4/$H12,CX12),IF($F12&lt;OFFSET($BN$9,CL12+3,0,1,1),IF(AND($H12&gt;2.4,Z12&lt;&gt;"e",Z12&lt;&gt;"f"),CX12*2.4/$H12,CX12),0)))))*IF(EXACT(Z12,"e"),1,COS(RADIANS($G12))))</f>
        <v>0</v>
      </c>
      <c r="CU12" s="51">
        <f ca="1">IF(F12&lt;OFFSET($BM$9,CL12-1,0,1,1),0,IF(F12&lt;OFFSET($BN$9,CL12-1,0,1,1),((F12-OFFSET($BM$9,CL12-1,0,1,1))*OFFSET($CI$9,CL12-1,0,1,1))+OFFSET($BP$9,CL12-1,CQ12,1,1),IF(F12&lt;OFFSET($BN$9,CL12+0,0,1,1),((F12-OFFSET($BM$9,CL12+0,0,1,1))*OFFSET($CI$9,CL12+0,0,1,1))+OFFSET($BP$9,CL12+0,CQ12,1,1),IF(F12&lt;OFFSET($BN$9,CL12+1,0,1,1),((F12-OFFSET($BM$9,CL12+1,0,1,1))*OFFSET($CI$9,CL12+1,0,1,1))+OFFSET($BP$9,CL12+1,CQ12,1,1),IF(F12&lt;OFFSET($BN$9,CL12+2,0,1,1),((F12-OFFSET($BM$9,CL12+2,0,1,1))*OFFSET($CI$9,CL12+2,0,1,1))+OFFSET($BP$9,CL12+2,CQ12,1,1),IF(F12&lt;OFFSET($BN$9,CL12+3,0,1,1),((F12-OFFSET($BM$9,CL12+3,0,1,1))*OFFSET($CI$9,CL12+3,0,1,1))+OFFSET($BP$9,CL12+3,CQ12,1,1),0))))))</f>
        <v>0</v>
      </c>
      <c r="CV12" s="51">
        <f ca="1">IF($F12&lt;OFFSET($BM$9,$CL12-1,0,1,1),0,IF($F12&lt;OFFSET($BN$9,$CL12-1,0,1,1),IF(AND($H12&gt;2.4,Z12&lt;&gt;"e",Z12&lt;&gt;"f"),CZ12*2.4/$H12,CZ12),IF($F12&lt;OFFSET($BN$9,$CL12+0,0,1,1),IF(AND($H12&gt;2.4,Z12&lt;&gt;"e",Z12&lt;&gt;"f"),CZ12*2.4/$H12,CZ12),IF($F12&lt;OFFSET($BN$9,$CL12+1,0,1,1),IF(AND($H12&gt;2.4,Z12&lt;&gt;"e",Z12&lt;&gt;"f"),CZ12*2.4/$H12,CZ12),IF($F12&lt;OFFSET($BN$9,$CL12+2,0,1,1),IF(AND($H12&gt;2.4,Z12&lt;&gt;"e",Z12&lt;&gt;"f"),CZ12*2.4/$H12,CZ12),IF($F12&lt;OFFSET($BN$9,$CL12+3,0,1,1),IF(AND($H12&gt;2.4,Z12&lt;&gt;"e",Z12&lt;&gt;"f"),CZ12*2.4/$H12,CZ12),0)))))*COS(RADIANS($G12)))</f>
        <v>0</v>
      </c>
      <c r="CW12" s="51">
        <f t="shared" ref="CW12:CW66" ca="1" si="17">IF(CT12&gt;CR12,CR12,CT12)</f>
        <v>0</v>
      </c>
      <c r="CX12" s="51">
        <f ca="1">IF(CS12&gt;$CR12,$CR12,CS12)</f>
        <v>0</v>
      </c>
      <c r="CY12" s="51">
        <f ca="1">CW12*F12</f>
        <v>0</v>
      </c>
      <c r="CZ12" s="51">
        <f ca="1">IF($CU12&gt;$CR12,$CR12,$CU12)</f>
        <v>0</v>
      </c>
      <c r="DA12" s="51">
        <f ca="1">IF(CV12&gt;CR12,CR12,CV12)</f>
        <v>0</v>
      </c>
      <c r="DB12" s="51">
        <f ca="1">DA12*F12</f>
        <v>0</v>
      </c>
      <c r="DC12" s="993">
        <v>1</v>
      </c>
      <c r="DD12" s="758" t="str">
        <f>IF(OR(D12=BG$12,D12=BG$13),"External",IF(D12=BG$14,"Internal"," "))</f>
        <v xml:space="preserve"> </v>
      </c>
      <c r="DE12" s="51" t="str">
        <f t="shared" ref="DE12:DE75" ca="1" si="18">IF(AND(OFFSET($CH$9,CL12-1,-14,1,1)="I",DD12="External"),BE$66,IF(AND(OFFSET($CH$9,CL12-1,-14,1,1)="M",DD12="Internal"),BE$65,IF(AND(OFFSET($CH$9,CL12-1,-14,1,1)="M",DD12=" "),BE$64,IF(AND(OFFSET($CH$9,CL12-1,-14,1,1)="E",DD12="Internal"),BE$62,IF(AND(OFFSET($CH$9,CL12-1,-14,1,1)="E",DD12=" "),BE$61,IF(AND(DF12="Double",E12=$BG$16),BE$67,""))))))</f>
        <v/>
      </c>
      <c r="DF12" s="52" t="str">
        <f t="shared" ref="DF12:DF75" ca="1" si="19">IF(I12=" "," ",OFFSET($BM$9,$CL12-1,11,1,1))</f>
        <v xml:space="preserve"> </v>
      </c>
      <c r="DG12" s="51">
        <f ca="1">IF(F12&lt;OFFSET($BM$9,CN12-1,0,1,1),0,IF(F12&lt;OFFSET($BN$9,CN12-1,0,1,1),((F12-OFFSET($BM$9,CN12-1,0,1,1))*OFFSET($CH$9,CN12-1,0,1,1))+OFFSET($BO$9,CN12-1,CQ12,1,1),IF(F12&lt;OFFSET($BN$9,CN12+0,0,1,1),((F12-OFFSET($BM$9,CN12+0,0,1,1))*OFFSET($CH$9,CN12+0,0,1,1))+OFFSET($BO$9,CN12+0,CQ12,1,1),IF(F12&lt;OFFSET($BN$9,CN12+1,0,1,1),((F12-OFFSET($BM$9,CN12+1,0,1,1))*OFFSET($CH$9,CN12+1,0,1,1))+OFFSET($BO$9,CN12+1,CQ12,1,1),IF(F12&lt;OFFSET($BN$9,CN12+2,0,1,1),((F12-OFFSET($BM$9,CN12+2,0,1,1))*OFFSET($CH$9,CN12+2,0,1,1))+OFFSET($BO$9,CN12+2,CQ12,1,1),IF(F12&lt;OFFSET($BN$9,CN12+3,0,1,1),((F12-OFFSET($BM$9,CN12+3,0,1,1))*OFFSET($CH$9,CN12+3,0,1,1))+OFFSET($BO$9,CN12+3,CQ12,1,1),0))))))</f>
        <v>0</v>
      </c>
      <c r="DH12" s="51">
        <f ca="1">IF($F12&lt;OFFSET($BM$9,$CN12-1,0,1,1),0,IF($F12&lt;OFFSET($BN$9,$CN12-1,0,1,1),IF(AND($H12&gt;2.4,Z12&lt;&gt;"e",Z12&lt;&gt;"f"),DL12*2.4/$H12,DL12),IF($F12&lt;OFFSET($BN$9,$CN12+0,0,1,1),IF(AND($H12&gt;2.4,Z12&lt;&gt;"e",Z12&lt;&gt;"f"),DL12*2.4/$H12,DL12),IF($F12&lt;OFFSET($BN$9,$CN12+1,0,1,1),IF(AND($H12&gt;2.4,Z12&lt;&gt;"e",Z12&lt;&gt;"f"),DL12*2.4/$H12,DL12),IF($F12&lt;OFFSET($BN$9,$CN12+2,0,1,1),IF(AND($H12&gt;2.4,Z12&lt;&gt;"e",Z12&lt;&gt;"f"),DL12*2.4/$H12,DL12),IF($F12&lt;OFFSET($BN$9,$CN12+3,0,1,1),IF(AND($H12&gt;2.4,Z12&lt;&gt;"e",Z12&lt;&gt;"f"),DL12*2.4/$H12,DL12),0)))))*COS(RADIANS($G12)))</f>
        <v>0</v>
      </c>
      <c r="DI12" s="51">
        <f ca="1">IF(F12&lt;OFFSET($BM$9,CN12-1,0,1,1),0,IF(F12&lt;OFFSET($BN$9,CN12-1,0,1,1),((F12-OFFSET($BM$9,CN12-1,0,1,1))*OFFSET($CI$9,CN12-1,0,1,1))+OFFSET($BP$9,CN12-1,CQ12,1,1),IF(F12&lt;OFFSET($BN$9,CN12+0,0,1,1),((F12-OFFSET($BM$9,CN12+0,0,1,1))*OFFSET($CI$9,CN12+0,0,1,1))+OFFSET($BP$9,CN12+0,CQ12,1,1),IF(F12&lt;OFFSET($BN$9,CN12+1,0,1,1),((F12-OFFSET($BM$9,CN12+1,0,1,1))*OFFSET($CI$9,CN12+1,0,1,1))+OFFSET($BP$9,CN12+1,CQ12,1,1),IF(F12&lt;OFFSET($BN$9,CN12+2,0,1,1),((F12-OFFSET($BM$9,CN12+2,0,1,1))*OFFSET($CI$9,CN12+2,0,1,1))+OFFSET($BP$9,CN12+2,CQ12,1,1),IF(F12&lt;OFFSET($BN$9,CN12+3,0,1,1),((F12-OFFSET($BM$9,CN12+3,0,1,1))*OFFSET($CI$9,CN12+3,0,1,1))+OFFSET($BP$9,CN12+3,CQ12,1,1),0))))))</f>
        <v>0</v>
      </c>
      <c r="DJ12" s="51">
        <f ca="1">IF($F12&lt;OFFSET($BM$9,$CN12-1,0,1,1),0,IF($F12&lt;OFFSET($BN$9,$CN12-1,0,1,1),IF(AND($H12&gt;2.4,Z12&lt;&gt;"e",Z12&lt;&gt;"f"),DN12*2.4/$H12,DN12),IF($F12&lt;OFFSET($BN$9,$CN12+0,0,1,1),IF(AND($H12&gt;2.4,Z12&lt;&gt;"e",Z12&lt;&gt;"f"),DN12*2.4/$H12,DN12),IF($F12&lt;OFFSET($BN$9,$CN12+1,0,1,1),IF(AND($H12&gt;2.4,Z12&lt;&gt;"e",Z12&lt;&gt;"f"),DN12*2.4/$H12,DN12),IF($F12&lt;OFFSET($BN$9,$CN12+2,0,1,1),IF(AND($H12&gt;2.4,Z12&lt;&gt;"e",Z12&lt;&gt;"f"),DN12*2.4/$H12,DN12),IF($F12&lt;OFFSET($BN$9,$CN12+3,0,1,1),IF(AND($H12&gt;2.4,Z12&lt;&gt;"e",Z12&lt;&gt;"f"),DN12*2.4/$H12,DN12),0)))))*COS(RADIANS($G12)))</f>
        <v>0</v>
      </c>
      <c r="DK12" s="51"/>
      <c r="DL12" s="51">
        <f ca="1">IF(DG12&gt;$CR12,$CR12,DG12)</f>
        <v>0</v>
      </c>
      <c r="DM12" s="51"/>
      <c r="DN12" s="51">
        <f ca="1">IF(DI12&gt;$CR12,$CR12,DI12)</f>
        <v>0</v>
      </c>
      <c r="DO12" s="435">
        <f ca="1">IF(DH12&gt;$CR12,$CR12,DH12)</f>
        <v>0</v>
      </c>
      <c r="DP12" s="435">
        <f ca="1">DO12*F12</f>
        <v>0</v>
      </c>
      <c r="DQ12" s="436">
        <f ca="1">IF(DJ12&gt;$CR12,$CR12,DJ12)</f>
        <v>0</v>
      </c>
      <c r="DR12" s="437">
        <f ca="1">DQ12*F12</f>
        <v>0</v>
      </c>
      <c r="DS12" s="426">
        <f ca="1">OFFSET($CH$9,CL12-1,-15,1,1)</f>
        <v>0</v>
      </c>
      <c r="DT12" s="426">
        <f t="shared" ca="1" si="1"/>
        <v>0</v>
      </c>
      <c r="DU12" s="188">
        <f ca="1">IF(F12&lt;OFFSET($BM$9,DT12-1,0,1,1),0,IF(F12&lt;OFFSET($BN$9,DT12-1,0,1,1),((F12-OFFSET($BM$9,DT12-1,0,1,1))*OFFSET($CH$9,DT12-1,0,1,1))+OFFSET($BO$9,DT12-1,CQ12,1,1),IF(F12&lt;OFFSET($BN$9,DT12+0,0,1,1),((F12-OFFSET($BM$9,DT12+0,0,1,1))*OFFSET($CH$9,DT12+0,0,1,1))+OFFSET($BO$9,DT12+0,CQ12,1,1),IF(F12&lt;OFFSET($BN$9,DT12+1,0,1,1),((F12-OFFSET($BM$9,DT12+1,0,1,1))*OFFSET($CH$9,DT12+1,0,1,1))+OFFSET($BO$9,DT12+1,CQ12,1,1),IF(F12&lt;OFFSET($BN$9,DT12+2,0,1,1),((F12-OFFSET($BM$9,DT12+2,0,1,1))*OFFSET($CH$9,DT12+2,0,1,1))+OFFSET($BO$9,DT12+2,CQ12,1,1),IF(F12&lt;OFFSET($BN$9,DT12+3,0,1,1),((F12-OFFSET($BM$9,DT12+3,0,1,1))*OFFSET($CH$9,DT12+3,0,1,1))+OFFSET($BO$9,DT12+3,CQ12,1,1),0))))))</f>
        <v>0</v>
      </c>
      <c r="DV12" s="51">
        <f ca="1">IF($F12&lt;OFFSET($BM$9,$DT12-1,0,1,1),0,IF($F12&lt;OFFSET($BN$9,$DT12-1,0,1,1),IF(AND($H12&gt;2.4,Z12&lt;&gt;"e",Z12&lt;&gt;"f"),DZ12*2.4/$H12,DZ12),IF($F12&lt;OFFSET($BN$9,$DT12+0,0,1,1),IF(AND($H12&gt;2.4,Z12&lt;&gt;"e",Z12&lt;&gt;"f"),DZ12*2.4/$H12,DZ12),IF($F12&lt;OFFSET($BN$9,$DT12+1,0,1,1),IF(AND($H12&gt;2.4,Z12&lt;&gt;"e",Z12&lt;&gt;"f"),DZ12*2.4/$H12,DZ12),IF($F12&lt;OFFSET($BN$9,$DT12+2,0,1,1),IF(AND($H12&gt;2.4,Z12&lt;&gt;"e",Z12&lt;&gt;"f"),DZ12*2.4/$H12,DZ12),IF($F12&lt;OFFSET($BN$9,$DT12+3,0,1,1),IF(AND($H12&gt;2.4,Z12&lt;&gt;"e",Z12&lt;&gt;"f"),DZ12*2.4/$H12,DZ12),0)))))*COS(RADIANS($G12)))</f>
        <v>0</v>
      </c>
      <c r="DW12" s="188">
        <f ca="1">IF(F12&lt;OFFSET($BM$9,DT12-1,0,1,1),0,IF(F12&lt;OFFSET($BN$9,DT12-1,0,1,1),((F12-OFFSET($BM$9,DT12-1,0,1,1))*OFFSET($CI$9,DT12-1,0,1,1))+OFFSET($BP$9,DT12-1,CQ12,1,1),IF(F12&lt;OFFSET($BN$9,DT12+0,0,1,1),((F12-OFFSET($BM$9,DT12+0,0,1,1))*OFFSET($CI$9,DT12+0,0,1,1))+OFFSET($BP$9,DT12+0,CQ12,1,1),IF(F12&lt;OFFSET($BN$9,DT12+1,0,1,1),((F12-OFFSET($BM$9,DT12+1,0,1,1))*OFFSET($CI$9,DT12+1,0,1,1))+OFFSET($BP$9,DT12+1,CQ12,1,1),IF(F12&lt;OFFSET($BN$9,DT12+2,0,1,1),((F12-OFFSET($BM$9,DT12+2,0,1,1))*OFFSET($CI$9,DT12+2,0,1,1))+OFFSET($BP$9,DT12+2,CQ12,1,1),IF(F12&lt;OFFSET($BN$9,DT12+3,0,1,1),((F12-OFFSET($BM$9,DT12+3,0,1,1))*OFFSET($CI$9,DT12+3,0,1,1))+OFFSET($BP$9,DT12+3,CQ12,1,1),0))))))</f>
        <v>0</v>
      </c>
      <c r="DX12" s="51">
        <f ca="1">IF($F12&lt;OFFSET($BM$9,$DT12-1,0,1,1),0,IF($F12&lt;OFFSET($BN$9,$DT12-1,0,1,1),IF(AND($H12&gt;2.4,Z12&lt;&gt;"e",Z12&lt;&gt;"f"),EB12*2.4/$H12,EB12),IF($F12&lt;OFFSET($BN$9,$DT12+0,0,1,1),IF(AND($H12&gt;2.4,Z12&lt;&gt;"e",Z12&lt;&gt;"f"),EB12*2.4/$H12,EB12),IF($F12&lt;OFFSET($BN$9,$DT12+1,0,1,1),IF(AND($H12&gt;2.4,Z12&lt;&gt;"e",Z12&lt;&gt;"f"),EB12*2.4/$H12,EB12),IF($F12&lt;OFFSET($BN$9,$DT12+2,0,1,1),IF(AND($H12&gt;2.4,Z12&lt;&gt;"e",Z12&lt;&gt;"f"),EB12*2.4/$H12,EB12),IF($F12&lt;OFFSET($BN$9,$DT12+3,0,1,1),IF(AND($H12&gt;2.4,Z12&lt;&gt;"e",Z12&lt;&gt;"f"),EB12*2.4/$H12,EB12),0)))))*COS(RADIANS($G12)))</f>
        <v>0</v>
      </c>
      <c r="DY12" s="188"/>
      <c r="DZ12" s="188">
        <f ca="1">IF(DU12&gt;$CR12,$CR12,DU12)</f>
        <v>0</v>
      </c>
      <c r="EA12" s="188"/>
      <c r="EB12" s="188">
        <f ca="1">IF(DW12&gt;$CR12,$CR12,DW12)</f>
        <v>0</v>
      </c>
      <c r="EC12" s="435">
        <f ca="1">IF(DV12&gt;$CR12,$CR12,DV12)</f>
        <v>0</v>
      </c>
      <c r="ED12" s="435">
        <f ca="1">EC12*F12</f>
        <v>0</v>
      </c>
      <c r="EE12" s="436">
        <f ca="1">IF(DX12&gt;$CR12,$CR12,DX12)</f>
        <v>0</v>
      </c>
      <c r="EF12" s="437">
        <f ca="1">EE12*F12</f>
        <v>0</v>
      </c>
      <c r="EG12" s="613" t="str">
        <f>IF(D12=BG$12,BG$12,"")</f>
        <v/>
      </c>
      <c r="EH12" s="614" t="str">
        <f>IF(D12=BG$13,BG$13,"")</f>
        <v/>
      </c>
      <c r="EI12" s="611">
        <f>IF(EG12=BG$12,M12,0)</f>
        <v>0</v>
      </c>
      <c r="EJ12" s="451">
        <f>IF(EG12=BG$12,O12,0)</f>
        <v>0</v>
      </c>
      <c r="EK12" s="451">
        <f>IF(EH12=BG$13,M12,0)</f>
        <v>0</v>
      </c>
      <c r="EL12" s="612">
        <f>IF(EH12=BG$13,O12,0)</f>
        <v>0</v>
      </c>
      <c r="EM12" s="426" t="str">
        <f ca="1">IF(AND(Z12&lt;&gt;"t",Z12&lt;&gt;"f"),"",IF(AND(EN12=$BH$11,K12&lt;&gt;EN12),EM$4,IF(AND(EN12=$BH$12,K12=$BH$13),EM$4,IF(AND(EN12=$BH$12,K12=$BH$14),EM$4,IF(AND(EN12=$BH$13,K12=$BH$14),$EM$4,IF(EN12=$BH$14,$EM$4,""))))))</f>
        <v/>
      </c>
      <c r="EN12" s="489" t="str">
        <f>BG$24</f>
        <v>No Floor</v>
      </c>
      <c r="EO12" s="426" t="str">
        <f>K12</f>
        <v xml:space="preserve"> </v>
      </c>
      <c r="EP12" s="497" t="str">
        <f ca="1">IF(AND(Z12&lt;&gt;"t",Z12&lt;&gt;"f"),"",IF(AND(EN12=$BH$14,K12&lt;&gt;EN12),EP$4,IF(AND(EN12=$BH$13,K12=$BH$12),EP$4,IF(AND(EN12=$BH$13,K12=$BH$11),EP$4,IF(AND(EN12=$BH$12,K12=$BH$11),$EP$4,IF(EN12=$BH$11,"Earth",""))))))</f>
        <v/>
      </c>
      <c r="EQ12" s="430" t="str">
        <f ca="1">IF(Z12&lt;&gt;"t","",IF(EQ$5=2,IF(K12&lt;&gt;BH$11,EQ$7," ")))</f>
        <v/>
      </c>
      <c r="ER12" s="439" t="str">
        <f ca="1">IF(H12=0," ",H12)</f>
        <v xml:space="preserve"> </v>
      </c>
      <c r="ES12" s="440" t="str">
        <f ca="1">IF(ER12&lt;&gt;" ",IF(ER12&lt;&gt;ER$7,"Changed",""),"")</f>
        <v/>
      </c>
      <c r="ET12" s="440">
        <f t="shared" ref="ET12:ET66" ca="1" si="20">IF(ER12&lt;&gt;" ",IF(ER12&lt;&gt;ER$7,1,0),0)</f>
        <v>0</v>
      </c>
      <c r="EU12" s="426" t="str">
        <f ca="1">IF(I12=" "," ",IF(F12&lt;OFFSET($BM$9,CL12-1,0,1,1),1,""))</f>
        <v xml:space="preserve"> </v>
      </c>
      <c r="EW12" s="427"/>
      <c r="EY12" s="421"/>
    </row>
    <row r="13" spans="1:155" ht="17.100000000000001" customHeight="1" thickBot="1">
      <c r="B13" s="2686" t="s">
        <v>8</v>
      </c>
      <c r="C13" s="2687"/>
      <c r="D13" s="1461" t="s">
        <v>8</v>
      </c>
      <c r="E13" s="659"/>
      <c r="F13" s="659"/>
      <c r="G13" s="659"/>
      <c r="H13" s="659"/>
      <c r="I13" s="1462"/>
      <c r="J13" s="1365" t="str">
        <f>(CONCATENATE(B8,$BE$54))</f>
        <v>A  Line:  Min. Requirement</v>
      </c>
      <c r="K13" s="865"/>
      <c r="L13" s="1019">
        <f ca="1">L$5</f>
        <v>0</v>
      </c>
      <c r="M13" s="48">
        <f ca="1">SUM(M8:M12)</f>
        <v>0</v>
      </c>
      <c r="N13" s="1019">
        <f ca="1">N$5</f>
        <v>0</v>
      </c>
      <c r="O13" s="866">
        <f ca="1">SUM(O8:O12)</f>
        <v>0</v>
      </c>
      <c r="P13" s="139"/>
      <c r="Q13" s="42" t="str">
        <f ca="1">IF(B8=B14,"",IF(AND(M13&gt;0,L13=L$5,OR(M13&lt;$M$105,M13&lt;$BF$3)),"Achieved &lt; Min Req per Line",IF(AND(O13&gt;0,N13=N$5,OR(O13&lt;$O$105,O13&lt;$BF$3)),"Achieved &lt; Min Req per Line",IF(AND(M13&gt;0,L13&gt;M13),"More Required on this line",IF(AND(O13&gt;0,N13&gt;O13),"More Required on this line",IF(AND(L13&gt;0,L13&lt;$BF$3),$BE$59,IF(AND(N13&gt;0,N13&lt;$BF$3),$BE$59,"")))))))</f>
        <v/>
      </c>
      <c r="R13" s="52"/>
      <c r="S13" s="52"/>
      <c r="T13" s="52"/>
      <c r="U13" s="1378"/>
      <c r="V13" s="52"/>
      <c r="W13" s="9"/>
      <c r="X13" s="9"/>
      <c r="Y13" s="896"/>
      <c r="Z13" s="52"/>
      <c r="AA13" s="51"/>
      <c r="AB13" s="1364"/>
      <c r="AC13" s="1"/>
      <c r="AJ13" s="2867"/>
      <c r="AK13" s="2864" t="s">
        <v>319</v>
      </c>
      <c r="AL13" s="1384" t="str">
        <f>'Custom Elements'!P9</f>
        <v>Masonry 0.75</v>
      </c>
      <c r="AM13" s="11">
        <f>'Custom Elements'!Q9</f>
        <v>1.5</v>
      </c>
      <c r="AN13" s="877">
        <f>'Custom Elements'!R9</f>
        <v>42</v>
      </c>
      <c r="AO13" s="877">
        <f>'Custom Elements'!S9</f>
        <v>42</v>
      </c>
      <c r="AP13" s="1245"/>
      <c r="AQ13" s="1643" t="str">
        <f>'Custom Elements'!V9</f>
        <v>No</v>
      </c>
      <c r="AR13" s="875" t="str">
        <f>'Custom Elements'!W9</f>
        <v>No</v>
      </c>
      <c r="AS13" s="1640"/>
      <c r="AT13" s="879" t="s">
        <v>910</v>
      </c>
      <c r="AU13" s="119"/>
      <c r="AV13" s="119"/>
      <c r="AW13" s="119"/>
      <c r="AX13" s="119"/>
      <c r="AY13" s="119"/>
      <c r="AZ13" s="119"/>
      <c r="BA13" s="119"/>
      <c r="BB13" s="119"/>
      <c r="BC13" s="119"/>
      <c r="BD13" s="2667"/>
      <c r="BF13" s="598" t="str">
        <f>'Custom Elements'!P10</f>
        <v>Masonry 1.5</v>
      </c>
      <c r="BG13" s="1026" t="str">
        <f>IF('Project Demand'!AX21=1,BG33,BG36)</f>
        <v>Bot. External</v>
      </c>
      <c r="BH13" s="482" t="str">
        <f>IF($BE$3=1,BH20,BG20)</f>
        <v>150 BU's</v>
      </c>
      <c r="BI13" s="759"/>
      <c r="BJ13" s="897">
        <f>BJ12+1</f>
        <v>5</v>
      </c>
      <c r="BK13" s="769" t="str">
        <f t="shared" si="6"/>
        <v xml:space="preserve">  </v>
      </c>
      <c r="BL13" s="771" t="str">
        <f t="shared" si="7"/>
        <v>Custom2</v>
      </c>
      <c r="BM13" s="455">
        <f t="shared" si="8"/>
        <v>9.9999999999999996E-76</v>
      </c>
      <c r="BN13" s="455">
        <v>999</v>
      </c>
      <c r="BO13" s="455">
        <f t="shared" si="9"/>
        <v>0</v>
      </c>
      <c r="BP13" s="925">
        <f t="shared" si="10"/>
        <v>0</v>
      </c>
      <c r="BR13" s="764"/>
      <c r="BS13" s="455"/>
      <c r="BT13" s="455" t="str">
        <f t="shared" si="11"/>
        <v>B</v>
      </c>
      <c r="BU13" s="925" t="str">
        <f t="shared" si="12"/>
        <v>T</v>
      </c>
      <c r="BV13" s="483" t="str">
        <f t="shared" si="13"/>
        <v>Custom2</v>
      </c>
      <c r="BW13" s="910">
        <f>BJ13</f>
        <v>5</v>
      </c>
      <c r="BX13" s="924" t="str">
        <f t="shared" si="14"/>
        <v>Single</v>
      </c>
      <c r="CH13" s="764">
        <f t="shared" si="15"/>
        <v>0</v>
      </c>
      <c r="CI13" s="925">
        <f t="shared" si="16"/>
        <v>0</v>
      </c>
      <c r="CJ13" s="759"/>
      <c r="CK13" s="188"/>
      <c r="CL13" s="979"/>
      <c r="CN13" s="497"/>
      <c r="CO13" s="497"/>
      <c r="CQ13" s="51"/>
      <c r="CR13" s="51"/>
      <c r="CS13" s="51"/>
      <c r="CT13" s="51" t="s">
        <v>8</v>
      </c>
      <c r="CU13" s="51"/>
      <c r="CV13" s="51" t="s">
        <v>8</v>
      </c>
      <c r="CW13" s="51"/>
      <c r="CX13" s="51"/>
      <c r="CY13" s="51"/>
      <c r="CZ13" s="51"/>
      <c r="DD13" s="758"/>
      <c r="DF13" s="52"/>
      <c r="DG13" s="51"/>
      <c r="DH13" s="51"/>
      <c r="DI13" s="51"/>
      <c r="DJ13" s="51"/>
      <c r="DK13" s="51"/>
      <c r="DL13" s="51"/>
      <c r="DM13" s="51"/>
      <c r="DN13" s="51"/>
      <c r="DO13" s="435"/>
      <c r="DP13" s="435"/>
      <c r="DQ13" s="868"/>
      <c r="DR13" s="868"/>
      <c r="DU13" s="188"/>
      <c r="DV13" s="188" t="s">
        <v>8</v>
      </c>
      <c r="DW13" s="188"/>
      <c r="DX13" s="188" t="s">
        <v>8</v>
      </c>
      <c r="DY13" s="188"/>
      <c r="DZ13" s="188"/>
      <c r="EA13" s="188"/>
      <c r="EB13" s="188"/>
      <c r="EC13" s="435"/>
      <c r="ED13" s="435"/>
      <c r="EE13" s="868"/>
      <c r="EF13" s="868"/>
      <c r="EG13" s="613"/>
      <c r="EH13" s="614"/>
      <c r="EI13" s="613"/>
      <c r="EJ13" s="435"/>
      <c r="EK13" s="451"/>
      <c r="EL13" s="612"/>
      <c r="EN13" s="438"/>
      <c r="ER13" s="441"/>
      <c r="ES13" s="440"/>
      <c r="ET13" s="440"/>
      <c r="EW13" s="427"/>
      <c r="EY13" s="421"/>
    </row>
    <row r="14" spans="1:155" ht="17.100000000000001" customHeight="1" thickBot="1">
      <c r="B14" s="1369" t="str">
        <f ca="1">S14</f>
        <v>B</v>
      </c>
      <c r="C14" s="1375" t="str">
        <f>IF(OR(F14=0,I14="",I14=" ")," ",$V14)</f>
        <v xml:space="preserve"> </v>
      </c>
      <c r="D14" s="1361"/>
      <c r="E14" s="1360"/>
      <c r="F14" s="202"/>
      <c r="G14" s="1416"/>
      <c r="H14" s="1417" t="str">
        <f ca="1">IF(OR(F14=0,Z14="E",Z14="f")," ",'Project Demand'!E$55)</f>
        <v xml:space="preserve"> </v>
      </c>
      <c r="I14" s="631" t="str">
        <f>IF($I$6&lt;&gt;$BG$8," ",AB14)</f>
        <v xml:space="preserve"> </v>
      </c>
      <c r="J14" s="43" t="str">
        <f ca="1">IF(OR(I14=" ",I14="")," ",OFFSET($BO$9,CL14-1,0-4,1,1))</f>
        <v xml:space="preserve"> </v>
      </c>
      <c r="K14" s="55" t="str">
        <f>IF(OR(I14=" ",I14="")," ",IF(OR(Z14="e",Z14="h"),"SD",IF(BG$24=BH$11,BH$13,BG$24)))</f>
        <v xml:space="preserve"> </v>
      </c>
      <c r="L14" s="49">
        <f ca="1">CW14</f>
        <v>0</v>
      </c>
      <c r="M14" s="49">
        <f ca="1">CY14</f>
        <v>0</v>
      </c>
      <c r="N14" s="50">
        <f t="shared" ref="N14:O18" ca="1" si="21">DA14</f>
        <v>0</v>
      </c>
      <c r="O14" s="126">
        <f t="shared" ca="1" si="21"/>
        <v>0</v>
      </c>
      <c r="P14" s="140"/>
      <c r="Q14" s="752" t="str">
        <f ca="1">IF(AND(OR(Z14="t",Z14="f"),K14=$BH$11),"No Floor!  Change Floor Type",IF(OR(I14=" ",I14="")," ",IF(F14&lt;OFFSET($BM$9,CL14-1,0,1,1),"check L(m)",DE14&amp;IF(AND(DP14&gt;=CY14,DR14&gt;=DB14),IF(AND(ED14&gt;=DP14,EF14&gt;=DR14),CONCATENATE(DS14," will provide same result"),CONCATENATE(CO14," will provide same result")),IF((DP14&gt;=CY14),CONCATENATE(CO14," provides same result in WIND"),IF((DR14&gt;=DB14),CONCATENATE(CO14," provides same result in EQ"),""))))))&amp;IF(ISERROR(FIND("pile",I14,1)),"",IF(INT(F14)&lt;&gt;F14,"Pile!  Use Whole Numbers Only",""))</f>
        <v xml:space="preserve"> </v>
      </c>
      <c r="R14" s="52">
        <f ca="1">IF(T8&lt;&gt;2,(COLUMN(INDIRECT(B8&amp;1))+1),U14)</f>
        <v>2</v>
      </c>
      <c r="S14" s="1372" t="str">
        <f ca="1">SUBSTITUTE(ADDRESS(1,R14,4),"1","")</f>
        <v>B</v>
      </c>
      <c r="T14" s="451">
        <f ca="1">IF(AND(ISTEXT(B14),SUBSTITUTE(SUBSTITUTE(SUBSTITUTE(SUBSTITUTE(SUBSTITUTE(SUBSTITUTE(SUBSTITUTE(SUBSTITUTE(SUBSTITUTE(SUBSTITUTE(SUBSTITUTE(SUBSTITUTE(SUBSTITUTE(SUBSTITUTE(SUBSTITUTE(SUBSTITUTE(SUBSTITUTE(SUBSTITUTE(SUBSTITUTE(SUBSTITUTE(SUBSTITUTE(SUBSTITUTE(SUBSTITUTE(SUBSTITUTE(SUBSTITUTE(SUBSTITUTE(LOWER(B14),"a",),"b",),"c",),"d",),"e",),"f",),"g",),"h",),"i",),"j",),"k",),"l",),"m",),"n",),"o",),"p",),"q",),"r",),"s",),"t",),"u",),"v",),"w",),"x",),"y",),"z",)=""),1,2)</f>
        <v>1</v>
      </c>
      <c r="U14" s="1377">
        <v>2</v>
      </c>
      <c r="V14" s="52" t="str">
        <f ca="1">IF(AND(B$5=$BF$9,OR(I14=BH$16,I14=BH$17))," ",IF(ISNUMBER(B$14),(CONCATENATE(B$14,".",W14)),(CONCATENATE(B$14,W14))))</f>
        <v>B0</v>
      </c>
      <c r="W14" s="9">
        <f ca="1">IF(B8=B14,W12+X14,X14)</f>
        <v>0</v>
      </c>
      <c r="X14" s="9">
        <f>IF(AND(B$5=$BF$9,OR($I14=$BH$16,$I14=$BH$17,$I14=" ",$I14="",$F14=0)),0,IF(OR($I14=" ",$I14="",$F14=0),0,1))</f>
        <v>0</v>
      </c>
      <c r="Y14" s="896">
        <f ca="1">IF(AND(M19&gt;0,B14&lt;&gt;B20),1,0)</f>
        <v>0</v>
      </c>
      <c r="Z14" s="52" t="str">
        <f ca="1">IF(I14=" "," ",OFFSET($BM$9,$CL14-1,8,1,1))</f>
        <v xml:space="preserve"> </v>
      </c>
      <c r="AA14" s="51" t="str">
        <f>IF(G14&gt;=45,"WA","")</f>
        <v/>
      </c>
      <c r="AB14" s="1364" t="str">
        <f>IF(OR(E14=" ",E14="")," ",(IF(F14&lt;&gt;"",IF(OR(D14=$BG$12,D14=$BG$13),IF(E14&lt;&gt;$BG$17,$BF$20,$BF$21),IF(E14&lt;&gt;$BG$17,$BF$20,$BF$21))," ")))</f>
        <v xml:space="preserve"> </v>
      </c>
      <c r="AC14" s="1"/>
      <c r="AJ14" s="2867"/>
      <c r="AK14" s="2864"/>
      <c r="AL14" s="1384" t="str">
        <f>'Custom Elements'!P10</f>
        <v>Masonry 1.5</v>
      </c>
      <c r="AM14" s="11">
        <f>'Custom Elements'!Q10</f>
        <v>1.5</v>
      </c>
      <c r="AN14" s="877">
        <f>'Custom Elements'!R10</f>
        <v>100</v>
      </c>
      <c r="AO14" s="877">
        <f>'Custom Elements'!S10</f>
        <v>100</v>
      </c>
      <c r="AP14" s="1245"/>
      <c r="AQ14" s="1643" t="str">
        <f>'Custom Elements'!V10</f>
        <v>No</v>
      </c>
      <c r="AR14" s="875" t="str">
        <f>'Custom Elements'!W10</f>
        <v>No</v>
      </c>
      <c r="AS14" s="1640"/>
      <c r="AT14" s="879" t="s">
        <v>913</v>
      </c>
      <c r="AU14" s="119"/>
      <c r="AV14" s="119"/>
      <c r="AW14" s="119"/>
      <c r="AX14" s="119"/>
      <c r="AY14" s="119"/>
      <c r="AZ14" s="119"/>
      <c r="BA14" s="119"/>
      <c r="BB14" s="119"/>
      <c r="BC14" s="119"/>
      <c r="BD14" s="2667"/>
      <c r="BF14" s="598" t="str">
        <f>'Custom Elements'!P11</f>
        <v>Masonry 3.0</v>
      </c>
      <c r="BG14" s="949" t="s">
        <v>318</v>
      </c>
      <c r="BH14" s="949" t="s">
        <v>189</v>
      </c>
      <c r="BI14" s="759"/>
      <c r="BJ14" s="897">
        <f t="shared" si="5"/>
        <v>6</v>
      </c>
      <c r="BK14" s="769" t="str">
        <f t="shared" si="6"/>
        <v xml:space="preserve">  </v>
      </c>
      <c r="BL14" s="771" t="str">
        <f t="shared" si="7"/>
        <v>Custom3</v>
      </c>
      <c r="BM14" s="455">
        <f t="shared" si="8"/>
        <v>9.9999999999999996E-76</v>
      </c>
      <c r="BN14" s="455">
        <v>999</v>
      </c>
      <c r="BO14" s="455">
        <f t="shared" si="9"/>
        <v>0</v>
      </c>
      <c r="BP14" s="925">
        <f t="shared" si="10"/>
        <v>0</v>
      </c>
      <c r="BR14" s="764"/>
      <c r="BS14" s="455"/>
      <c r="BT14" s="455" t="str">
        <f t="shared" si="11"/>
        <v>B</v>
      </c>
      <c r="BU14" s="925" t="str">
        <f t="shared" si="12"/>
        <v>T</v>
      </c>
      <c r="BV14" s="483" t="str">
        <f t="shared" si="13"/>
        <v>Custom3</v>
      </c>
      <c r="BW14" s="910">
        <f t="shared" ref="BW14:BW31" si="22">BJ14</f>
        <v>6</v>
      </c>
      <c r="BX14" s="924" t="str">
        <f t="shared" si="14"/>
        <v>Single</v>
      </c>
      <c r="CH14" s="764">
        <f t="shared" si="15"/>
        <v>0</v>
      </c>
      <c r="CI14" s="925">
        <f t="shared" si="16"/>
        <v>0</v>
      </c>
      <c r="CJ14" s="759"/>
      <c r="CK14" s="188"/>
      <c r="CL14" s="979">
        <f>VLOOKUP(I14,Prodlink,2,0)</f>
        <v>0</v>
      </c>
      <c r="CN14" s="497">
        <f t="shared" ca="1" si="2"/>
        <v>0</v>
      </c>
      <c r="CO14" s="497">
        <f ca="1">OFFSET($CH$9,CL14-1,-15,1,1)</f>
        <v>0</v>
      </c>
      <c r="CQ14" s="51">
        <v>0</v>
      </c>
      <c r="CR14" s="51">
        <f ca="1">IF(AND(Z14&lt;&gt;"t",Z14&lt;&gt;"f"),10000,IF(K14=$BH$11,0,IF(K14=$BH$12,$BH$23,IF(K14=$BH$13,$BH$24,10000))))</f>
        <v>10000</v>
      </c>
      <c r="CS14" s="51">
        <f ca="1">IF(F14&lt;OFFSET($BM$9,CL14-1,0,1,1),0,IF(F14&lt;OFFSET($BN$9,CL14-1,0,1,1),((F14-OFFSET($BM$9,CL14-1,0,1,1))*OFFSET($CH$9,CL14-1,0,1,1))+OFFSET($BO$9,CL14-1,CQ14,1,1),IF(F14&lt;OFFSET($BN$9,CL14+0,0,1,1),((F14-OFFSET($BM$9,CL14+0,0,1,1))*OFFSET($CH$9,CL14+0,0,1,1))+OFFSET($BO$9,CL14+0,CQ14,1,1),IF(F14&lt;OFFSET($BN$9,CL14+1,0,1,1),((F14-OFFSET($BM$9,CL14+1,0,1,1))*OFFSET($CH$9,CL14+1,0,1,1))+OFFSET($BO$9,CL14+1,CQ14,1,1),IF(F14&lt;OFFSET($BN$9,CL14+2,0,1,1),((F14-OFFSET($BM$9,CL14+2,0,1,1))*OFFSET($CH$9,CL14+2,0,1,1))+OFFSET($BO$9,CL14+2,CQ14,1,1),IF(F14&lt;OFFSET($BN$9,CL14+3,0,1,1),((F14-OFFSET($BM$9,CL14+3,0,1,1))*OFFSET($CH$9,CL14+3,0,1,1))+OFFSET($BO$9,CL14+3,CQ14,1,1),0))))))</f>
        <v>0</v>
      </c>
      <c r="CT14" s="51">
        <f ca="1">IF($F14&lt;OFFSET($BM$9,$CL14-1,0,1,1),0,IF($F14&lt;OFFSET($BN$9,$CL14-1,0,1,1),IF(AND($H14&gt;2.4,Z14&lt;&gt;"e",Z14&lt;&gt;"f"),CX14*2.4/$H14,CX14),IF($F14&lt;OFFSET($BN$9,$CL14+0,0,1,1),IF(AND($H14&gt;2.4,Z14&lt;&gt;"e",Z14&lt;&gt;"f"),CX14*2.4/$H14,CX14),IF($F14&lt;OFFSET($BN$9,$CL14+1,0,1,1),IF(AND($H14&gt;2.4,Z14&lt;&gt;"e",Z14&lt;&gt;"f"),CX14*2.4/$H14,CX14),IF($F14&lt;OFFSET($BN$9,CL14+2,0,1,1),IF(AND($H14&gt;2.4,Z14&lt;&gt;"e",Z14&lt;&gt;"f"),CX14*2.4/$H14,CX14),IF($F14&lt;OFFSET($BN$9,CL14+3,0,1,1),IF(AND($H14&gt;2.4,Z14&lt;&gt;"e",Z14&lt;&gt;"f"),CX14*2.4/$H14,CX14),0)))))*COS(RADIANS($G14)))</f>
        <v>0</v>
      </c>
      <c r="CU14" s="51">
        <f ca="1">IF(F14&lt;OFFSET($BM$9,CL14-1,0,1,1),0,IF(F14&lt;OFFSET($BN$9,CL14-1,0,1,1),((F14-OFFSET($BM$9,CL14-1,0,1,1))*OFFSET($CI$9,CL14-1,0,1,1))+OFFSET($BP$9,CL14-1,CQ14,1,1),IF(F14&lt;OFFSET($BN$9,CL14+0,0,1,1),((F14-OFFSET($BM$9,CL14+0,0,1,1))*OFFSET($CI$9,CL14+0,0,1,1))+OFFSET($BP$9,CL14+0,CQ14,1,1),IF(F14&lt;OFFSET($BN$9,CL14+1,0,1,1),((F14-OFFSET($BM$9,CL14+1,0,1,1))*OFFSET($CI$9,CL14+1,0,1,1))+OFFSET($BP$9,CL14+1,CQ14,1,1),IF(F14&lt;OFFSET($BN$9,CL14+2,0,1,1),((F14-OFFSET($BM$9,CL14+2,0,1,1))*OFFSET($CI$9,CL14+2,0,1,1))+OFFSET($BP$9,CL14+2,CQ14,1,1),IF(F14&lt;OFFSET($BN$9,CL14+3,0,1,1),((F14-OFFSET($BM$9,CL14+3,0,1,1))*OFFSET($CI$9,CL14+3,0,1,1))+OFFSET($BP$9,CL14+3,CQ14,1,1),0))))))</f>
        <v>0</v>
      </c>
      <c r="CV14" s="51">
        <f ca="1">IF($F14&lt;OFFSET($BM$9,$CL14-1,0,1,1),0,IF($F14&lt;OFFSET($BN$9,$CL14-1,0,1,1),IF(AND($H14&gt;2.4,Z14&lt;&gt;"e",Z14&lt;&gt;"f"),CZ14*2.4/$H14,CZ14),IF($F14&lt;OFFSET($BN$9,$CL14+0,0,1,1),IF(AND($H14&gt;2.4,Z14&lt;&gt;"e",Z14&lt;&gt;"f"),CZ14*2.4/$H14,CZ14),IF($F14&lt;OFFSET($BN$9,$CL14+1,0,1,1),IF(AND($H14&gt;2.4,Z14&lt;&gt;"e",Z14&lt;&gt;"f"),CZ14*2.4/$H14,CZ14),IF($F14&lt;OFFSET($BN$9,$CL14+2,0,1,1),IF(AND($H14&gt;2.4,Z14&lt;&gt;"e",Z14&lt;&gt;"f"),CZ14*2.4/$H14,CZ14),IF($F14&lt;OFFSET($BN$9,$CL14+3,0,1,1),IF(AND($H14&gt;2.4,Z14&lt;&gt;"e",Z14&lt;&gt;"f"),CZ14*2.4/$H14,CZ14),0)))))*COS(RADIANS($G14)))</f>
        <v>0</v>
      </c>
      <c r="CW14" s="51">
        <f t="shared" ca="1" si="17"/>
        <v>0</v>
      </c>
      <c r="CX14" s="51">
        <f ca="1">IF(CS14&gt;$CR14,$CR14,CS14)</f>
        <v>0</v>
      </c>
      <c r="CY14" s="51">
        <f ca="1">CW14*F14</f>
        <v>0</v>
      </c>
      <c r="CZ14" s="51">
        <f ca="1">IF($CU14&gt;$CR14,$CR14,$CU14)</f>
        <v>0</v>
      </c>
      <c r="DA14" s="51">
        <f ca="1">IF(CV14&gt;CR14,CR14,CV14)</f>
        <v>0</v>
      </c>
      <c r="DB14" s="51">
        <f ca="1">DA14*F14</f>
        <v>0</v>
      </c>
      <c r="DC14" s="993">
        <v>1</v>
      </c>
      <c r="DD14" s="758" t="str">
        <f>IF(OR(D14=BG$12,D14=BG$13),"External",IF(D14=BG$14,"Internal"," "))</f>
        <v xml:space="preserve"> </v>
      </c>
      <c r="DE14" s="51" t="str">
        <f t="shared" ca="1" si="18"/>
        <v/>
      </c>
      <c r="DF14" s="52" t="str">
        <f t="shared" ca="1" si="19"/>
        <v xml:space="preserve"> </v>
      </c>
      <c r="DG14" s="51">
        <f ca="1">IF(F14&lt;OFFSET($BM$9,CN14-1,0,1,1),0,IF(F14&lt;OFFSET($BN$9,CN14-1,0,1,1),((F14-OFFSET($BM$9,CN14-1,0,1,1))*OFFSET($CH$9,CN14-1,0,1,1))+OFFSET($BO$9,CN14-1,CQ14,1,1),IF(F14&lt;OFFSET($BN$9,CN14+0,0,1,1),((F14-OFFSET($BM$9,CN14+0,0,1,1))*OFFSET($CH$9,CN14+0,0,1,1))+OFFSET($BO$9,CN14+0,CQ14,1,1),IF(F14&lt;OFFSET($BN$9,CN14+1,0,1,1),((F14-OFFSET($BM$9,CN14+1,0,1,1))*OFFSET($CH$9,CN14+1,0,1,1))+OFFSET($BO$9,CN14+1,CQ14,1,1),IF(F14&lt;OFFSET($BN$9,CN14+2,0,1,1),((F14-OFFSET($BM$9,CN14+2,0,1,1))*OFFSET($CH$9,CN14+2,0,1,1))+OFFSET($BO$9,CN14+2,CQ14,1,1),IF(F14&lt;OFFSET($BN$9,CN14+3,0,1,1),((F14-OFFSET($BM$9,CN14+3,0,1,1))*OFFSET($CH$9,CN14+3,0,1,1))+OFFSET($BO$9,CN14+3,CQ14,1,1),0))))))</f>
        <v>0</v>
      </c>
      <c r="DH14" s="51">
        <f ca="1">IF($F14&lt;OFFSET($BM$9,$CN14-1,0,1,1),0,IF($F14&lt;OFFSET($BN$9,$CN14-1,0,1,1),IF(AND($H14&gt;2.4,Z14&lt;&gt;"e",Z14&lt;&gt;"f"),DL14*2.4/$H14,DL14),IF($F14&lt;OFFSET($BN$9,$CN14+0,0,1,1),IF(AND($H14&gt;2.4,Z14&lt;&gt;"e",Z14&lt;&gt;"f"),DL14*2.4/$H14,DL14),IF($F14&lt;OFFSET($BN$9,$CN14+1,0,1,1),IF(AND($H14&gt;2.4,Z14&lt;&gt;"e",Z14&lt;&gt;"f"),DL14*2.4/$H14,DL14),IF($F14&lt;OFFSET($BN$9,$CN14+2,0,1,1),IF(AND($H14&gt;2.4,Z14&lt;&gt;"e",Z14&lt;&gt;"f"),DL14*2.4/$H14,DL14),IF($F14&lt;OFFSET($BN$9,$CN14+3,0,1,1),IF(AND($H14&gt;2.4,Z14&lt;&gt;"e",Z14&lt;&gt;"f"),DL14*2.4/$H14,DL14),0)))))*COS(RADIANS($G14)))</f>
        <v>0</v>
      </c>
      <c r="DI14" s="51">
        <f ca="1">IF(F14&lt;OFFSET($BM$9,CN14-1,0,1,1),0,IF(F14&lt;OFFSET($BN$9,CN14-1,0,1,1),((F14-OFFSET($BM$9,CN14-1,0,1,1))*OFFSET($CI$9,CN14-1,0,1,1))+OFFSET($BP$9,CN14-1,CQ14,1,1),IF(F14&lt;OFFSET($BN$9,CN14+0,0,1,1),((F14-OFFSET($BM$9,CN14+0,0,1,1))*OFFSET($CI$9,CN14+0,0,1,1))+OFFSET($BP$9,CN14+0,CQ14,1,1),IF(F14&lt;OFFSET($BN$9,CN14+1,0,1,1),((F14-OFFSET($BM$9,CN14+1,0,1,1))*OFFSET($CI$9,CN14+1,0,1,1))+OFFSET($BP$9,CN14+1,CQ14,1,1),IF(F14&lt;OFFSET($BN$9,CN14+2,0,1,1),((F14-OFFSET($BM$9,CN14+2,0,1,1))*OFFSET($CI$9,CN14+2,0,1,1))+OFFSET($BP$9,CN14+2,CQ14,1,1),IF(F14&lt;OFFSET($BN$9,CN14+3,0,1,1),((F14-OFFSET($BM$9,CN14+3,0,1,1))*OFFSET($CI$9,CN14+3,0,1,1))+OFFSET($BP$9,CN14+3,CQ14,1,1),0))))))</f>
        <v>0</v>
      </c>
      <c r="DJ14" s="51">
        <f ca="1">IF($F14&lt;OFFSET($BM$9,$CN14-1,0,1,1),0,IF($F14&lt;OFFSET($BN$9,$CN14-1,0,1,1),IF(AND($H14&gt;2.4,Z14&lt;&gt;"e",Z14&lt;&gt;"f"),DN14*2.4/$H14,DN14),IF($F14&lt;OFFSET($BN$9,$CN14+0,0,1,1),IF(AND($H14&gt;2.4,Z14&lt;&gt;"e",Z14&lt;&gt;"f"),DN14*2.4/$H14,DN14),IF($F14&lt;OFFSET($BN$9,$CN14+1,0,1,1),IF(AND($H14&gt;2.4,Z14&lt;&gt;"e",Z14&lt;&gt;"f"),DN14*2.4/$H14,DN14),IF($F14&lt;OFFSET($BN$9,$CN14+2,0,1,1),IF(AND($H14&gt;2.4,Z14&lt;&gt;"e",Z14&lt;&gt;"f"),DN14*2.4/$H14,DN14),IF($F14&lt;OFFSET($BN$9,$CN14+3,0,1,1),IF(AND($H14&gt;2.4,Z14&lt;&gt;"e",Z14&lt;&gt;"f"),DN14*2.4/$H14,DN14),0)))))*COS(RADIANS($G14)))</f>
        <v>0</v>
      </c>
      <c r="DK14" s="51"/>
      <c r="DL14" s="51">
        <f ca="1">IF(DG14&gt;$CR14,$CR14,DG14)</f>
        <v>0</v>
      </c>
      <c r="DM14" s="51"/>
      <c r="DN14" s="51">
        <f ca="1">IF(DI14&gt;$CR14,$CR14,DI14)</f>
        <v>0</v>
      </c>
      <c r="DO14" s="435">
        <f ca="1">IF(DH14&gt;$CR14,$CR14,DH14)</f>
        <v>0</v>
      </c>
      <c r="DP14" s="435">
        <f ca="1">DO14*F14</f>
        <v>0</v>
      </c>
      <c r="DQ14" s="436">
        <f ca="1">IF(DJ14&gt;$CR14,$CR14,DJ14)</f>
        <v>0</v>
      </c>
      <c r="DR14" s="437">
        <f ca="1">DQ14*F14</f>
        <v>0</v>
      </c>
      <c r="DS14" s="426">
        <f ca="1">OFFSET($CH$9,CL14-1,-15,1,1)</f>
        <v>0</v>
      </c>
      <c r="DT14" s="426">
        <f t="shared" ca="1" si="1"/>
        <v>0</v>
      </c>
      <c r="DU14" s="188">
        <f ca="1">IF(F14&lt;OFFSET($BM$9,DT14-1,0,1,1),0,IF(F14&lt;OFFSET($BN$9,DT14-1,0,1,1),((F14-OFFSET($BM$9,DT14-1,0,1,1))*OFFSET($CH$9,DT14-1,0,1,1))+OFFSET($BO$9,DT14-1,CQ14,1,1),IF(F14&lt;OFFSET($BN$9,DT14+0,0,1,1),((F14-OFFSET($BM$9,DT14+0,0,1,1))*OFFSET($CH$9,DT14+0,0,1,1))+OFFSET($BO$9,DT14+0,CQ14,1,1),IF(F14&lt;OFFSET($BN$9,DT14+1,0,1,1),((F14-OFFSET($BM$9,DT14+1,0,1,1))*OFFSET($CH$9,DT14+1,0,1,1))+OFFSET($BO$9,DT14+1,CQ14,1,1),IF(F14&lt;OFFSET($BN$9,DT14+2,0,1,1),((F14-OFFSET($BM$9,DT14+2,0,1,1))*OFFSET($CH$9,DT14+2,0,1,1))+OFFSET($BO$9,DT14+2,CQ14,1,1),IF(F14&lt;OFFSET($BN$9,DT14+3,0,1,1),((F14-OFFSET($BM$9,DT14+3,0,1,1))*OFFSET($CH$9,DT14+3,0,1,1))+OFFSET($BO$9,DT14+3,CQ14,1,1),0))))))</f>
        <v>0</v>
      </c>
      <c r="DV14" s="51">
        <f ca="1">IF($F14&lt;OFFSET($BM$9,$DT14-1,0,1,1),0,IF($F14&lt;OFFSET($BN$9,$DT14-1,0,1,1),IF(AND($H14&gt;2.4,Z14&lt;&gt;"e",Z14&lt;&gt;"f"),DZ14*2.4/$H14,DZ14),IF($F14&lt;OFFSET($BN$9,$DT14+0,0,1,1),IF(AND($H14&gt;2.4,Z14&lt;&gt;"e",Z14&lt;&gt;"f"),DZ14*2.4/$H14,DZ14),IF($F14&lt;OFFSET($BN$9,$DT14+1,0,1,1),IF(AND($H14&gt;2.4,Z14&lt;&gt;"e",Z14&lt;&gt;"f"),DZ14*2.4/$H14,DZ14),IF($F14&lt;OFFSET($BN$9,$DT14+2,0,1,1),IF(AND($H14&gt;2.4,Z14&lt;&gt;"e",Z14&lt;&gt;"f"),DZ14*2.4/$H14,DZ14),IF($F14&lt;OFFSET($BN$9,$DT14+3,0,1,1),IF(AND($H14&gt;2.4,Z14&lt;&gt;"e",Z14&lt;&gt;"f"),DZ14*2.4/$H14,DZ14),0)))))*COS(RADIANS($G14)))</f>
        <v>0</v>
      </c>
      <c r="DW14" s="188">
        <f ca="1">IF(F14&lt;OFFSET($BM$9,DT14-1,0,1,1),0,IF(F14&lt;OFFSET($BN$9,DT14-1,0,1,1),((F14-OFFSET($BM$9,DT14-1,0,1,1))*OFFSET($CI$9,DT14-1,0,1,1))+OFFSET($BP$9,DT14-1,CQ14,1,1),IF(F14&lt;OFFSET($BN$9,DT14+0,0,1,1),((F14-OFFSET($BM$9,DT14+0,0,1,1))*OFFSET($CI$9,DT14+0,0,1,1))+OFFSET($BP$9,DT14+0,CQ14,1,1),IF(F14&lt;OFFSET($BN$9,DT14+1,0,1,1),((F14-OFFSET($BM$9,DT14+1,0,1,1))*OFFSET($CI$9,DT14+1,0,1,1))+OFFSET($BP$9,DT14+1,CQ14,1,1),IF(F14&lt;OFFSET($BN$9,DT14+2,0,1,1),((F14-OFFSET($BM$9,DT14+2,0,1,1))*OFFSET($CI$9,DT14+2,0,1,1))+OFFSET($BP$9,DT14+2,CQ14,1,1),IF(F14&lt;OFFSET($BN$9,DT14+3,0,1,1),((F14-OFFSET($BM$9,DT14+3,0,1,1))*OFFSET($CI$9,DT14+3,0,1,1))+OFFSET($BP$9,DT14+3,CQ14,1,1),0))))))</f>
        <v>0</v>
      </c>
      <c r="DX14" s="51">
        <f ca="1">IF($F14&lt;OFFSET($BM$9,$DT14-1,0,1,1),0,IF($F14&lt;OFFSET($BN$9,$DT14-1,0,1,1),IF(AND($H14&gt;2.4,Z14&lt;&gt;"e",Z14&lt;&gt;"f"),EB14*2.4/$H14,EB14),IF($F14&lt;OFFSET($BN$9,$DT14+0,0,1,1),IF(AND($H14&gt;2.4,Z14&lt;&gt;"e",Z14&lt;&gt;"f"),EB14*2.4/$H14,EB14),IF($F14&lt;OFFSET($BN$9,$DT14+1,0,1,1),IF(AND($H14&gt;2.4,Z14&lt;&gt;"e",Z14&lt;&gt;"f"),EB14*2.4/$H14,EB14),IF($F14&lt;OFFSET($BN$9,$DT14+2,0,1,1),IF(AND($H14&gt;2.4,Z14&lt;&gt;"e",Z14&lt;&gt;"f"),EB14*2.4/$H14,EB14),IF($F14&lt;OFFSET($BN$9,$DT14+3,0,1,1),IF(AND($H14&gt;2.4,Z14&lt;&gt;"e",Z14&lt;&gt;"f"),EB14*2.4/$H14,EB14),0)))))*COS(RADIANS($G14)))</f>
        <v>0</v>
      </c>
      <c r="DY14" s="188"/>
      <c r="DZ14" s="188">
        <f ca="1">IF(DU14&gt;$CR14,$CR14,DU14)</f>
        <v>0</v>
      </c>
      <c r="EA14" s="188"/>
      <c r="EB14" s="188">
        <f ca="1">IF(DW14&gt;$CR14,$CR14,DW14)</f>
        <v>0</v>
      </c>
      <c r="EC14" s="435">
        <f ca="1">IF(DV14&gt;$CR14,$CR14,DV14)</f>
        <v>0</v>
      </c>
      <c r="ED14" s="435">
        <f ca="1">EC14*F14</f>
        <v>0</v>
      </c>
      <c r="EE14" s="436">
        <f ca="1">IF(DX14&gt;$CR14,$CR14,DX14)</f>
        <v>0</v>
      </c>
      <c r="EF14" s="437">
        <f ca="1">EE14*F14</f>
        <v>0</v>
      </c>
      <c r="EG14" s="613" t="str">
        <f>IF(D14=BG$12,BG$12,"")</f>
        <v/>
      </c>
      <c r="EH14" s="614" t="str">
        <f>IF(D14=BG$13,BG$13,"")</f>
        <v/>
      </c>
      <c r="EI14" s="611">
        <f>IF(EG14=BG$12,M14,0)</f>
        <v>0</v>
      </c>
      <c r="EJ14" s="451">
        <f>IF(EG14=BG$12,O14,0)</f>
        <v>0</v>
      </c>
      <c r="EK14" s="451">
        <f>IF(EH14=BG$13,M14,0)</f>
        <v>0</v>
      </c>
      <c r="EL14" s="612">
        <f>IF(EH14=BG$13,O14,0)</f>
        <v>0</v>
      </c>
      <c r="EM14" s="426" t="str">
        <f ca="1">IF(AND(Z14&lt;&gt;"t",Z14&lt;&gt;"f"),"",IF(AND(EN14=$BH$11,K14&lt;&gt;EN14),EM$4,IF(AND(EN14=$BH$12,K14=$BH$13),EM$4,IF(AND(EN14=$BH$12,K14=$BH$14),EM$4,IF(AND(EN14=$BH$13,K14=$BH$14),$EM$4,IF(EN14=$BH$14,$EM$4,""))))))</f>
        <v/>
      </c>
      <c r="EN14" s="489" t="str">
        <f>BG$24</f>
        <v>No Floor</v>
      </c>
      <c r="EO14" s="426" t="str">
        <f>K14</f>
        <v xml:space="preserve"> </v>
      </c>
      <c r="EP14" s="497" t="str">
        <f ca="1">IF(AND(Z14&lt;&gt;"t",Z14&lt;&gt;"f"),"",IF(AND(EN14=$BH$14,K14&lt;&gt;EN14),EP$4,IF(AND(EN14=$BH$13,K14=$BH$12),EP$4,IF(AND(EN14=$BH$13,K14=$BH$11),EP$4,IF(AND(EN14=$BH$12,K14=$BH$11),$EP$4,IF(EN14=$BH$11,"Earth",""))))))</f>
        <v/>
      </c>
      <c r="EQ14" s="430" t="str">
        <f ca="1">IF(Z14&lt;&gt;"t","",IF(EQ$5=2,IF(K14&lt;&gt;BH$11,EQ$7," ")))</f>
        <v/>
      </c>
      <c r="ER14" s="439" t="str">
        <f ca="1">IF(H14=0," ",H14)</f>
        <v xml:space="preserve"> </v>
      </c>
      <c r="ES14" s="440" t="str">
        <f ca="1">IF(ER14&lt;&gt;" ",IF(ER14&lt;&gt;ER$7,"Changed",""),"")</f>
        <v/>
      </c>
      <c r="ET14" s="440">
        <f t="shared" ca="1" si="20"/>
        <v>0</v>
      </c>
      <c r="EU14" s="426" t="str">
        <f ca="1">IF(I14=" "," ",IF(F14&lt;OFFSET($BM$9,CL14-1,0,1,1),1,""))</f>
        <v xml:space="preserve"> </v>
      </c>
      <c r="EW14" s="427"/>
      <c r="EY14" s="421"/>
    </row>
    <row r="15" spans="1:155" ht="17.100000000000001" customHeight="1" thickBot="1">
      <c r="B15" s="689" t="s">
        <v>246</v>
      </c>
      <c r="C15" s="684" t="str">
        <f>IF(OR(F15=0,I15="",I15=" ")," ",$V15)</f>
        <v xml:space="preserve"> </v>
      </c>
      <c r="D15" s="1033"/>
      <c r="E15" s="1360"/>
      <c r="F15" s="202"/>
      <c r="G15" s="1416"/>
      <c r="H15" s="1417" t="str">
        <f ca="1">IF(OR(F15=0,Z15="E",Z15="f")," ",'Project Demand'!E$55)</f>
        <v xml:space="preserve"> </v>
      </c>
      <c r="I15" s="631" t="str">
        <f>IF($I$6&lt;&gt;$BG$8," ",AB15)</f>
        <v xml:space="preserve"> </v>
      </c>
      <c r="J15" s="44" t="str">
        <f ca="1">IF(OR(I15=" ",I15="")," ",OFFSET($BO$9,CL15-1,0-4,1,1))</f>
        <v xml:space="preserve"> </v>
      </c>
      <c r="K15" s="55" t="str">
        <f>IF(OR(I15=" ",I15="")," ",IF(OR(Z15="e",Z15="h"),"SD",IF(BG$24=BH$11,BH$13,BG$24)))</f>
        <v xml:space="preserve"> </v>
      </c>
      <c r="L15" s="49">
        <f ca="1">CW15</f>
        <v>0</v>
      </c>
      <c r="M15" s="49">
        <f ca="1">CY15</f>
        <v>0</v>
      </c>
      <c r="N15" s="50">
        <f t="shared" ca="1" si="21"/>
        <v>0</v>
      </c>
      <c r="O15" s="126">
        <f t="shared" ca="1" si="21"/>
        <v>0</v>
      </c>
      <c r="P15" s="140"/>
      <c r="Q15" s="752" t="str">
        <f ca="1">IF(AND(OR(Z15="t",Z15="f"),K15=$BH$11),"No Floor!  Change Floor Type",IF(OR(I15=" ",I15="")," ",IF(F15&lt;OFFSET($BM$9,CL15-1,0,1,1),"check L(m)",DE15&amp;IF(AND(DP15&gt;=CY15,DR15&gt;=DB15),IF(AND(ED15&gt;=DP15,EF15&gt;=DR15),CONCATENATE(DS15," will provide same result"),CONCATENATE(CO15," will provide same result")),IF((DP15&gt;=CY15),CONCATENATE(CO15," provides same result in WIND"),IF((DR15&gt;=DB15),CONCATENATE(CO15," provides same result in EQ"),""))))))&amp;IF(ISERROR(FIND("pile",I15,1)),"",IF(INT(F15)&lt;&gt;F15,"Pile!  Use Whole Numbers Only",""))</f>
        <v xml:space="preserve"> </v>
      </c>
      <c r="R15" s="52"/>
      <c r="S15" s="1372"/>
      <c r="T15" s="52"/>
      <c r="U15" s="1377"/>
      <c r="V15" s="52" t="str">
        <f ca="1">IF(AND(B$5=$BF$9,OR(I15=BH$16,I15=BH$17))," ",IF(ISNUMBER(B$14),(CONCATENATE(B$14,".",W15)),(CONCATENATE(B$14,W15))))</f>
        <v>B0</v>
      </c>
      <c r="W15" s="9">
        <f ca="1">W14+X15</f>
        <v>0</v>
      </c>
      <c r="X15" s="9">
        <f>IF(AND(B$5=$BF$9,OR($I15=$BH$16,$I15=$BH$17,$I15=" ",$I15="",$F15=0)),0,IF(OR($I15=" ",$I15="",$F15=0),0,1))</f>
        <v>0</v>
      </c>
      <c r="Y15" s="896"/>
      <c r="Z15" s="52" t="str">
        <f ca="1">IF(I15=" "," ",OFFSET($BM$9,$CL15-1,8,1,1))</f>
        <v xml:space="preserve"> </v>
      </c>
      <c r="AA15" s="51" t="str">
        <f>IF(G15&gt;=45,"WA","")</f>
        <v/>
      </c>
      <c r="AB15" s="1364" t="str">
        <f>IF(OR(E15=" ",E15="")," ",(IF(F15&lt;&gt;"",IF(OR(D15=$BG$12,D15=$BG$13),IF(E15&lt;&gt;$BG$17,$BF$20,$BF$21),IF(E15&lt;&gt;$BG$17,$BF$20,$BF$21))," ")))</f>
        <v xml:space="preserve"> </v>
      </c>
      <c r="AC15" s="1"/>
      <c r="AJ15" s="2867"/>
      <c r="AK15" s="2864"/>
      <c r="AL15" s="1384" t="str">
        <f>'Custom Elements'!P11</f>
        <v>Masonry 3.0</v>
      </c>
      <c r="AM15" s="11">
        <f>'Custom Elements'!Q11</f>
        <v>1.5</v>
      </c>
      <c r="AN15" s="877">
        <f>'Custom Elements'!R11</f>
        <v>200</v>
      </c>
      <c r="AO15" s="877">
        <f>'Custom Elements'!S11</f>
        <v>200</v>
      </c>
      <c r="AP15" s="1245"/>
      <c r="AQ15" s="1643" t="str">
        <f>'Custom Elements'!V11</f>
        <v>No</v>
      </c>
      <c r="AR15" s="875" t="str">
        <f>'Custom Elements'!W11</f>
        <v>No</v>
      </c>
      <c r="AS15" s="1640"/>
      <c r="AT15" s="879" t="s">
        <v>912</v>
      </c>
      <c r="AU15" s="119"/>
      <c r="AV15" s="119"/>
      <c r="AW15" s="119"/>
      <c r="AX15" s="119"/>
      <c r="AY15" s="119"/>
      <c r="AZ15" s="119"/>
      <c r="BA15" s="119"/>
      <c r="BB15" s="119"/>
      <c r="BC15" s="119"/>
      <c r="BD15" s="2667"/>
      <c r="BF15" s="598" t="str">
        <f>'Custom Elements'!P12</f>
        <v>Masonry 4.5</v>
      </c>
      <c r="BG15" s="1029" t="s">
        <v>8</v>
      </c>
      <c r="BI15" s="759"/>
      <c r="BJ15" s="897">
        <f t="shared" si="5"/>
        <v>7</v>
      </c>
      <c r="BK15" s="769" t="str">
        <f t="shared" si="6"/>
        <v xml:space="preserve">  </v>
      </c>
      <c r="BL15" s="771" t="str">
        <f t="shared" si="7"/>
        <v>Custom4</v>
      </c>
      <c r="BM15" s="455">
        <f t="shared" si="8"/>
        <v>9.9999999999999996E-76</v>
      </c>
      <c r="BN15" s="455">
        <v>999</v>
      </c>
      <c r="BO15" s="455">
        <f t="shared" si="9"/>
        <v>0</v>
      </c>
      <c r="BP15" s="925">
        <f t="shared" si="10"/>
        <v>0</v>
      </c>
      <c r="BR15" s="764"/>
      <c r="BS15" s="455"/>
      <c r="BT15" s="455" t="str">
        <f t="shared" si="11"/>
        <v>B</v>
      </c>
      <c r="BU15" s="925" t="str">
        <f t="shared" si="12"/>
        <v>T</v>
      </c>
      <c r="BV15" s="483" t="str">
        <f t="shared" si="13"/>
        <v>Custom4</v>
      </c>
      <c r="BW15" s="910">
        <f t="shared" si="22"/>
        <v>7</v>
      </c>
      <c r="BX15" s="924" t="str">
        <f t="shared" si="14"/>
        <v>Single</v>
      </c>
      <c r="CH15" s="764">
        <f t="shared" si="15"/>
        <v>0</v>
      </c>
      <c r="CI15" s="925">
        <f t="shared" si="16"/>
        <v>0</v>
      </c>
      <c r="CJ15" s="759"/>
      <c r="CK15" s="188"/>
      <c r="CL15" s="979">
        <f>VLOOKUP(I15,Prodlink,2,0)</f>
        <v>0</v>
      </c>
      <c r="CN15" s="497">
        <f t="shared" ca="1" si="2"/>
        <v>0</v>
      </c>
      <c r="CO15" s="497">
        <f ca="1">OFFSET($CH$9,CL15-1,-15,1,1)</f>
        <v>0</v>
      </c>
      <c r="CQ15" s="51">
        <v>0</v>
      </c>
      <c r="CR15" s="51">
        <f ca="1">IF(AND(Z15&lt;&gt;"t",Z15&lt;&gt;"f"),10000,IF(K15=$BH$11,0,IF(K15=$BH$12,$BH$23,IF(K15=$BH$13,$BH$24,10000))))</f>
        <v>10000</v>
      </c>
      <c r="CS15" s="51">
        <f ca="1">IF(F15&lt;OFFSET($BM$9,CL15-1,0,1,1),0,IF(F15&lt;OFFSET($BN$9,CL15-1,0,1,1),((F15-OFFSET($BM$9,CL15-1,0,1,1))*OFFSET($CH$9,CL15-1,0,1,1))+OFFSET($BO$9,CL15-1,CQ15,1,1),IF(F15&lt;OFFSET($BN$9,CL15+0,0,1,1),((F15-OFFSET($BM$9,CL15+0,0,1,1))*OFFSET($CH$9,CL15+0,0,1,1))+OFFSET($BO$9,CL15+0,CQ15,1,1),IF(F15&lt;OFFSET($BN$9,CL15+1,0,1,1),((F15-OFFSET($BM$9,CL15+1,0,1,1))*OFFSET($CH$9,CL15+1,0,1,1))+OFFSET($BO$9,CL15+1,CQ15,1,1),IF(F15&lt;OFFSET($BN$9,CL15+2,0,1,1),((F15-OFFSET($BM$9,CL15+2,0,1,1))*OFFSET($CH$9,CL15+2,0,1,1))+OFFSET($BO$9,CL15+2,CQ15,1,1),IF(F15&lt;OFFSET($BN$9,CL15+3,0,1,1),((F15-OFFSET($BM$9,CL15+3,0,1,1))*OFFSET($CH$9,CL15+3,0,1,1))+OFFSET($BO$9,CL15+3,CQ15,1,1),0))))))</f>
        <v>0</v>
      </c>
      <c r="CT15" s="51">
        <f ca="1">IF($F15&lt;OFFSET($BM$9,$CL15-1,0,1,1),0,IF($F15&lt;OFFSET($BN$9,$CL15-1,0,1,1),IF(AND($H15&gt;2.4,Z15&lt;&gt;"e",Z15&lt;&gt;"f"),CX15*2.4/$H15,CX15),IF($F15&lt;OFFSET($BN$9,$CL15+0,0,1,1),IF(AND($H15&gt;2.4,Z15&lt;&gt;"e",Z15&lt;&gt;"f"),CX15*2.4/$H15,CX15),IF($F15&lt;OFFSET($BN$9,$CL15+1,0,1,1),IF(AND($H15&gt;2.4,Z15&lt;&gt;"e",Z15&lt;&gt;"f"),CX15*2.4/$H15,CX15),IF($F15&lt;OFFSET($BN$9,CL15+2,0,1,1),IF(AND($H15&gt;2.4,Z15&lt;&gt;"e",Z15&lt;&gt;"f"),CX15*2.4/$H15,CX15),IF($F15&lt;OFFSET($BN$9,CL15+3,0,1,1),IF(AND($H15&gt;2.4,Z15&lt;&gt;"e",Z15&lt;&gt;"f"),CX15*2.4/$H15,CX15),0)))))*COS(RADIANS($G15)))</f>
        <v>0</v>
      </c>
      <c r="CU15" s="51">
        <f ca="1">IF(F15&lt;OFFSET($BM$9,CL15-1,0,1,1),0,IF(F15&lt;OFFSET($BN$9,CL15-1,0,1,1),((F15-OFFSET($BM$9,CL15-1,0,1,1))*OFFSET($CI$9,CL15-1,0,1,1))+OFFSET($BP$9,CL15-1,CQ15,1,1),IF(F15&lt;OFFSET($BN$9,CL15+0,0,1,1),((F15-OFFSET($BM$9,CL15+0,0,1,1))*OFFSET($CI$9,CL15+0,0,1,1))+OFFSET($BP$9,CL15+0,CQ15,1,1),IF(F15&lt;OFFSET($BN$9,CL15+1,0,1,1),((F15-OFFSET($BM$9,CL15+1,0,1,1))*OFFSET($CI$9,CL15+1,0,1,1))+OFFSET($BP$9,CL15+1,CQ15,1,1),IF(F15&lt;OFFSET($BN$9,CL15+2,0,1,1),((F15-OFFSET($BM$9,CL15+2,0,1,1))*OFFSET($CI$9,CL15+2,0,1,1))+OFFSET($BP$9,CL15+2,CQ15,1,1),IF(F15&lt;OFFSET($BN$9,CL15+3,0,1,1),((F15-OFFSET($BM$9,CL15+3,0,1,1))*OFFSET($CI$9,CL15+3,0,1,1))+OFFSET($BP$9,CL15+3,CQ15,1,1),0))))))</f>
        <v>0</v>
      </c>
      <c r="CV15" s="51">
        <f ca="1">IF($F15&lt;OFFSET($BM$9,$CL15-1,0,1,1),0,IF($F15&lt;OFFSET($BN$9,$CL15-1,0,1,1),IF(AND($H15&gt;2.4,Z15&lt;&gt;"e",Z15&lt;&gt;"f"),CZ15*2.4/$H15,CZ15),IF($F15&lt;OFFSET($BN$9,$CL15+0,0,1,1),IF(AND($H15&gt;2.4,Z15&lt;&gt;"e",Z15&lt;&gt;"f"),CZ15*2.4/$H15,CZ15),IF($F15&lt;OFFSET($BN$9,$CL15+1,0,1,1),IF(AND($H15&gt;2.4,Z15&lt;&gt;"e",Z15&lt;&gt;"f"),CZ15*2.4/$H15,CZ15),IF($F15&lt;OFFSET($BN$9,$CL15+2,0,1,1),IF(AND($H15&gt;2.4,Z15&lt;&gt;"e",Z15&lt;&gt;"f"),CZ15*2.4/$H15,CZ15),IF($F15&lt;OFFSET($BN$9,$CL15+3,0,1,1),IF(AND($H15&gt;2.4,Z15&lt;&gt;"e",Z15&lt;&gt;"f"),CZ15*2.4/$H15,CZ15),0)))))*COS(RADIANS($G15)))</f>
        <v>0</v>
      </c>
      <c r="CW15" s="51">
        <f t="shared" ca="1" si="17"/>
        <v>0</v>
      </c>
      <c r="CX15" s="51">
        <f ca="1">IF(CS15&gt;$CR15,$CR15,CS15)</f>
        <v>0</v>
      </c>
      <c r="CY15" s="51">
        <f ca="1">CW15*F15</f>
        <v>0</v>
      </c>
      <c r="CZ15" s="51">
        <f ca="1">IF($CU15&gt;$CR15,$CR15,$CU15)</f>
        <v>0</v>
      </c>
      <c r="DA15" s="51">
        <f ca="1">IF(CV15&gt;CR15,CR15,CV15)</f>
        <v>0</v>
      </c>
      <c r="DB15" s="51">
        <f ca="1">DA15*F15</f>
        <v>0</v>
      </c>
      <c r="DC15" s="993">
        <v>1</v>
      </c>
      <c r="DD15" s="758" t="str">
        <f>IF(OR(D15=BG$12,D15=BG$13),"External",IF(D15=BG$14,"Internal"," "))</f>
        <v xml:space="preserve"> </v>
      </c>
      <c r="DE15" s="51" t="str">
        <f t="shared" ca="1" si="18"/>
        <v/>
      </c>
      <c r="DF15" s="52" t="str">
        <f t="shared" ca="1" si="19"/>
        <v xml:space="preserve"> </v>
      </c>
      <c r="DG15" s="51">
        <f ca="1">IF(F15&lt;OFFSET($BM$9,CN15-1,0,1,1),0,IF(F15&lt;OFFSET($BN$9,CN15-1,0,1,1),((F15-OFFSET($BM$9,CN15-1,0,1,1))*OFFSET($CH$9,CN15-1,0,1,1))+OFFSET($BO$9,CN15-1,CQ15,1,1),IF(F15&lt;OFFSET($BN$9,CN15+0,0,1,1),((F15-OFFSET($BM$9,CN15+0,0,1,1))*OFFSET($CH$9,CN15+0,0,1,1))+OFFSET($BO$9,CN15+0,CQ15,1,1),IF(F15&lt;OFFSET($BN$9,CN15+1,0,1,1),((F15-OFFSET($BM$9,CN15+1,0,1,1))*OFFSET($CH$9,CN15+1,0,1,1))+OFFSET($BO$9,CN15+1,CQ15,1,1),IF(F15&lt;OFFSET($BN$9,CN15+2,0,1,1),((F15-OFFSET($BM$9,CN15+2,0,1,1))*OFFSET($CH$9,CN15+2,0,1,1))+OFFSET($BO$9,CN15+2,CQ15,1,1),IF(F15&lt;OFFSET($BN$9,CN15+3,0,1,1),((F15-OFFSET($BM$9,CN15+3,0,1,1))*OFFSET($CH$9,CN15+3,0,1,1))+OFFSET($BO$9,CN15+3,CQ15,1,1),0))))))</f>
        <v>0</v>
      </c>
      <c r="DH15" s="51">
        <f ca="1">IF($F15&lt;OFFSET($BM$9,$CN15-1,0,1,1),0,IF($F15&lt;OFFSET($BN$9,$CN15-1,0,1,1),IF(AND($H15&gt;2.4,Z15&lt;&gt;"e",Z15&lt;&gt;"f"),DL15*2.4/$H15,DL15),IF($F15&lt;OFFSET($BN$9,$CN15+0,0,1,1),IF(AND($H15&gt;2.4,Z15&lt;&gt;"e",Z15&lt;&gt;"f"),DL15*2.4/$H15,DL15),IF($F15&lt;OFFSET($BN$9,$CN15+1,0,1,1),IF(AND($H15&gt;2.4,Z15&lt;&gt;"e",Z15&lt;&gt;"f"),DL15*2.4/$H15,DL15),IF($F15&lt;OFFSET($BN$9,$CN15+2,0,1,1),IF(AND($H15&gt;2.4,Z15&lt;&gt;"e",Z15&lt;&gt;"f"),DL15*2.4/$H15,DL15),IF($F15&lt;OFFSET($BN$9,$CN15+3,0,1,1),IF(AND($H15&gt;2.4,Z15&lt;&gt;"e",Z15&lt;&gt;"f"),DL15*2.4/$H15,DL15),0)))))*COS(RADIANS($G15)))</f>
        <v>0</v>
      </c>
      <c r="DI15" s="51">
        <f ca="1">IF(F15&lt;OFFSET($BM$9,CN15-1,0,1,1),0,IF(F15&lt;OFFSET($BN$9,CN15-1,0,1,1),((F15-OFFSET($BM$9,CN15-1,0,1,1))*OFFSET($CI$9,CN15-1,0,1,1))+OFFSET($BP$9,CN15-1,CQ15,1,1),IF(F15&lt;OFFSET($BN$9,CN15+0,0,1,1),((F15-OFFSET($BM$9,CN15+0,0,1,1))*OFFSET($CI$9,CN15+0,0,1,1))+OFFSET($BP$9,CN15+0,CQ15,1,1),IF(F15&lt;OFFSET($BN$9,CN15+1,0,1,1),((F15-OFFSET($BM$9,CN15+1,0,1,1))*OFFSET($CI$9,CN15+1,0,1,1))+OFFSET($BP$9,CN15+1,CQ15,1,1),IF(F15&lt;OFFSET($BN$9,CN15+2,0,1,1),((F15-OFFSET($BM$9,CN15+2,0,1,1))*OFFSET($CI$9,CN15+2,0,1,1))+OFFSET($BP$9,CN15+2,CQ15,1,1),IF(F15&lt;OFFSET($BN$9,CN15+3,0,1,1),((F15-OFFSET($BM$9,CN15+3,0,1,1))*OFFSET($CI$9,CN15+3,0,1,1))+OFFSET($BP$9,CN15+3,CQ15,1,1),0))))))</f>
        <v>0</v>
      </c>
      <c r="DJ15" s="51">
        <f ca="1">IF($F15&lt;OFFSET($BM$9,$CN15-1,0,1,1),0,IF($F15&lt;OFFSET($BN$9,$CN15-1,0,1,1),IF(AND($H15&gt;2.4,Z15&lt;&gt;"e",Z15&lt;&gt;"f"),DN15*2.4/$H15,DN15),IF($F15&lt;OFFSET($BN$9,$CN15+0,0,1,1),IF(AND($H15&gt;2.4,Z15&lt;&gt;"e",Z15&lt;&gt;"f"),DN15*2.4/$H15,DN15),IF($F15&lt;OFFSET($BN$9,$CN15+1,0,1,1),IF(AND($H15&gt;2.4,Z15&lt;&gt;"e",Z15&lt;&gt;"f"),DN15*2.4/$H15,DN15),IF($F15&lt;OFFSET($BN$9,$CN15+2,0,1,1),IF(AND($H15&gt;2.4,Z15&lt;&gt;"e",Z15&lt;&gt;"f"),DN15*2.4/$H15,DN15),IF($F15&lt;OFFSET($BN$9,$CN15+3,0,1,1),IF(AND($H15&gt;2.4,Z15&lt;&gt;"e",Z15&lt;&gt;"f"),DN15*2.4/$H15,DN15),0)))))*COS(RADIANS($G15)))</f>
        <v>0</v>
      </c>
      <c r="DK15" s="51"/>
      <c r="DL15" s="51">
        <f ca="1">IF(DG15&gt;$CR15,$CR15,DG15)</f>
        <v>0</v>
      </c>
      <c r="DM15" s="51"/>
      <c r="DN15" s="51">
        <f ca="1">IF(DI15&gt;$CR15,$CR15,DI15)</f>
        <v>0</v>
      </c>
      <c r="DO15" s="435">
        <f ca="1">IF(DH15&gt;$CR15,$CR15,DH15)</f>
        <v>0</v>
      </c>
      <c r="DP15" s="435">
        <f ca="1">DO15*F15</f>
        <v>0</v>
      </c>
      <c r="DQ15" s="436">
        <f ca="1">IF(DJ15&gt;$CR15,$CR15,DJ15)</f>
        <v>0</v>
      </c>
      <c r="DR15" s="437">
        <f ca="1">DQ15*F15</f>
        <v>0</v>
      </c>
      <c r="DS15" s="426">
        <f ca="1">OFFSET($CH$9,CL15-1,-15,1,1)</f>
        <v>0</v>
      </c>
      <c r="DT15" s="426">
        <f t="shared" ca="1" si="1"/>
        <v>0</v>
      </c>
      <c r="DU15" s="188">
        <f ca="1">IF(F15&lt;OFFSET($BM$9,DT15-1,0,1,1),0,IF(F15&lt;OFFSET($BN$9,DT15-1,0,1,1),((F15-OFFSET($BM$9,DT15-1,0,1,1))*OFFSET($CH$9,DT15-1,0,1,1))+OFFSET($BO$9,DT15-1,CQ15,1,1),IF(F15&lt;OFFSET($BN$9,DT15+0,0,1,1),((F15-OFFSET($BM$9,DT15+0,0,1,1))*OFFSET($CH$9,DT15+0,0,1,1))+OFFSET($BO$9,DT15+0,CQ15,1,1),IF(F15&lt;OFFSET($BN$9,DT15+1,0,1,1),((F15-OFFSET($BM$9,DT15+1,0,1,1))*OFFSET($CH$9,DT15+1,0,1,1))+OFFSET($BO$9,DT15+1,CQ15,1,1),IF(F15&lt;OFFSET($BN$9,DT15+2,0,1,1),((F15-OFFSET($BM$9,DT15+2,0,1,1))*OFFSET($CH$9,DT15+2,0,1,1))+OFFSET($BO$9,DT15+2,CQ15,1,1),IF(F15&lt;OFFSET($BN$9,DT15+3,0,1,1),((F15-OFFSET($BM$9,DT15+3,0,1,1))*OFFSET($CH$9,DT15+3,0,1,1))+OFFSET($BO$9,DT15+3,CQ15,1,1),0))))))</f>
        <v>0</v>
      </c>
      <c r="DV15" s="51">
        <f ca="1">IF($F15&lt;OFFSET($BM$9,$DT15-1,0,1,1),0,IF($F15&lt;OFFSET($BN$9,$DT15-1,0,1,1),IF(AND($H15&gt;2.4,Z15&lt;&gt;"e",Z15&lt;&gt;"f"),DZ15*2.4/$H15,DZ15),IF($F15&lt;OFFSET($BN$9,$DT15+0,0,1,1),IF(AND($H15&gt;2.4,Z15&lt;&gt;"e",Z15&lt;&gt;"f"),DZ15*2.4/$H15,DZ15),IF($F15&lt;OFFSET($BN$9,$DT15+1,0,1,1),IF(AND($H15&gt;2.4,Z15&lt;&gt;"e",Z15&lt;&gt;"f"),DZ15*2.4/$H15,DZ15),IF($F15&lt;OFFSET($BN$9,$DT15+2,0,1,1),IF(AND($H15&gt;2.4,Z15&lt;&gt;"e",Z15&lt;&gt;"f"),DZ15*2.4/$H15,DZ15),IF($F15&lt;OFFSET($BN$9,$DT15+3,0,1,1),IF(AND($H15&gt;2.4,Z15&lt;&gt;"e",Z15&lt;&gt;"f"),DZ15*2.4/$H15,DZ15),0)))))*COS(RADIANS($G15)))</f>
        <v>0</v>
      </c>
      <c r="DW15" s="188">
        <f ca="1">IF(F15&lt;OFFSET($BM$9,DT15-1,0,1,1),0,IF(F15&lt;OFFSET($BN$9,DT15-1,0,1,1),((F15-OFFSET($BM$9,DT15-1,0,1,1))*OFFSET($CI$9,DT15-1,0,1,1))+OFFSET($BP$9,DT15-1,CQ15,1,1),IF(F15&lt;OFFSET($BN$9,DT15+0,0,1,1),((F15-OFFSET($BM$9,DT15+0,0,1,1))*OFFSET($CI$9,DT15+0,0,1,1))+OFFSET($BP$9,DT15+0,CQ15,1,1),IF(F15&lt;OFFSET($BN$9,DT15+1,0,1,1),((F15-OFFSET($BM$9,DT15+1,0,1,1))*OFFSET($CI$9,DT15+1,0,1,1))+OFFSET($BP$9,DT15+1,CQ15,1,1),IF(F15&lt;OFFSET($BN$9,DT15+2,0,1,1),((F15-OFFSET($BM$9,DT15+2,0,1,1))*OFFSET($CI$9,DT15+2,0,1,1))+OFFSET($BP$9,DT15+2,CQ15,1,1),IF(F15&lt;OFFSET($BN$9,DT15+3,0,1,1),((F15-OFFSET($BM$9,DT15+3,0,1,1))*OFFSET($CI$9,DT15+3,0,1,1))+OFFSET($BP$9,DT15+3,CQ15,1,1),0))))))</f>
        <v>0</v>
      </c>
      <c r="DX15" s="51">
        <f ca="1">IF($F15&lt;OFFSET($BM$9,$DT15-1,0,1,1),0,IF($F15&lt;OFFSET($BN$9,$DT15-1,0,1,1),IF(AND($H15&gt;2.4,Z15&lt;&gt;"e",Z15&lt;&gt;"f"),EB15*2.4/$H15,EB15),IF($F15&lt;OFFSET($BN$9,$DT15+0,0,1,1),IF(AND($H15&gt;2.4,Z15&lt;&gt;"e",Z15&lt;&gt;"f"),EB15*2.4/$H15,EB15),IF($F15&lt;OFFSET($BN$9,$DT15+1,0,1,1),IF(AND($H15&gt;2.4,Z15&lt;&gt;"e",Z15&lt;&gt;"f"),EB15*2.4/$H15,EB15),IF($F15&lt;OFFSET($BN$9,$DT15+2,0,1,1),IF(AND($H15&gt;2.4,Z15&lt;&gt;"e",Z15&lt;&gt;"f"),EB15*2.4/$H15,EB15),IF($F15&lt;OFFSET($BN$9,$DT15+3,0,1,1),IF(AND($H15&gt;2.4,Z15&lt;&gt;"e",Z15&lt;&gt;"f"),EB15*2.4/$H15,EB15),0)))))*COS(RADIANS($G15)))</f>
        <v>0</v>
      </c>
      <c r="DY15" s="188"/>
      <c r="DZ15" s="188">
        <f ca="1">IF(DU15&gt;$CR15,$CR15,DU15)</f>
        <v>0</v>
      </c>
      <c r="EA15" s="188"/>
      <c r="EB15" s="188">
        <f ca="1">IF(DW15&gt;$CR15,$CR15,DW15)</f>
        <v>0</v>
      </c>
      <c r="EC15" s="435">
        <f ca="1">IF(DV15&gt;$CR15,$CR15,DV15)</f>
        <v>0</v>
      </c>
      <c r="ED15" s="435">
        <f ca="1">EC15*F15</f>
        <v>0</v>
      </c>
      <c r="EE15" s="436">
        <f ca="1">IF(DX15&gt;$CR15,$CR15,DX15)</f>
        <v>0</v>
      </c>
      <c r="EF15" s="437">
        <f ca="1">EE15*F15</f>
        <v>0</v>
      </c>
      <c r="EG15" s="613" t="str">
        <f>IF(D15=BG$12,BG$12,"")</f>
        <v/>
      </c>
      <c r="EH15" s="614" t="str">
        <f>IF(D15=BG$13,BG$13,"")</f>
        <v/>
      </c>
      <c r="EI15" s="611">
        <f>IF(EG15=BG$12,M15,0)</f>
        <v>0</v>
      </c>
      <c r="EJ15" s="451">
        <f>IF(EG15=BG$12,O15,0)</f>
        <v>0</v>
      </c>
      <c r="EK15" s="451">
        <f>IF(EH15=BG$13,M15,0)</f>
        <v>0</v>
      </c>
      <c r="EL15" s="612">
        <f>IF(EH15=BG$13,O15,0)</f>
        <v>0</v>
      </c>
      <c r="EM15" s="426" t="str">
        <f ca="1">IF(AND(Z15&lt;&gt;"t",Z15&lt;&gt;"f"),"",IF(AND(EN15=$BH$11,K15&lt;&gt;EN15),EM$4,IF(AND(EN15=$BH$12,K15=$BH$13),EM$4,IF(AND(EN15=$BH$12,K15=$BH$14),EM$4,IF(AND(EN15=$BH$13,K15=$BH$14),$EM$4,IF(EN15=$BH$14,$EM$4,""))))))</f>
        <v/>
      </c>
      <c r="EN15" s="489" t="str">
        <f>BG$24</f>
        <v>No Floor</v>
      </c>
      <c r="EO15" s="426" t="str">
        <f>K15</f>
        <v xml:space="preserve"> </v>
      </c>
      <c r="EP15" s="497" t="str">
        <f ca="1">IF(AND(Z15&lt;&gt;"t",Z15&lt;&gt;"f"),"",IF(AND(EN15=$BH$14,K15&lt;&gt;EN15),EP$4,IF(AND(EN15=$BH$13,K15=$BH$12),EP$4,IF(AND(EN15=$BH$13,K15=$BH$11),EP$4,IF(AND(EN15=$BH$12,K15=$BH$11),$EP$4,IF(EN15=$BH$11,"Earth",""))))))</f>
        <v/>
      </c>
      <c r="EQ15" s="430" t="str">
        <f ca="1">IF(Z15&lt;&gt;"t","",IF(EQ$5=2,IF(K15&lt;&gt;BH$11,EQ$7," ")))</f>
        <v/>
      </c>
      <c r="ER15" s="439" t="str">
        <f ca="1">IF(H15=0," ",H15)</f>
        <v xml:space="preserve"> </v>
      </c>
      <c r="ES15" s="440" t="str">
        <f ca="1">IF(ER15&lt;&gt;" ",IF(ER15&lt;&gt;ER$7,"Changed",""),"")</f>
        <v/>
      </c>
      <c r="ET15" s="440">
        <f t="shared" ca="1" si="20"/>
        <v>0</v>
      </c>
      <c r="EU15" s="426" t="str">
        <f ca="1">IF(I15=" "," ",IF(F15&lt;OFFSET($BM$9,CL15-1,0,1,1),1,""))</f>
        <v xml:space="preserve"> </v>
      </c>
      <c r="EW15" s="427"/>
      <c r="EY15" s="421"/>
    </row>
    <row r="16" spans="1:155" ht="17.100000000000001" customHeight="1" thickBot="1">
      <c r="B16" s="689" t="s">
        <v>246</v>
      </c>
      <c r="C16" s="684" t="str">
        <f>IF(OR(F16=0,I16="",I16=" ")," ",$V16)</f>
        <v xml:space="preserve"> </v>
      </c>
      <c r="D16" s="1033"/>
      <c r="E16" s="1360"/>
      <c r="F16" s="202"/>
      <c r="G16" s="1416"/>
      <c r="H16" s="1417" t="str">
        <f ca="1">IF(OR(F16=0,Z16="E",Z16="f")," ",'Project Demand'!E$55)</f>
        <v xml:space="preserve"> </v>
      </c>
      <c r="I16" s="631" t="str">
        <f>IF($I$6&lt;&gt;$BG$8," ",AB16)</f>
        <v xml:space="preserve"> </v>
      </c>
      <c r="J16" s="44" t="str">
        <f ca="1">IF(OR(I16=" ",I16="")," ",OFFSET($BO$9,CL16-1,0-4,1,1))</f>
        <v xml:space="preserve"> </v>
      </c>
      <c r="K16" s="55" t="str">
        <f>IF(OR(I16=" ",I16="")," ",IF(OR(Z16="e",Z16="h"),"SD",IF(BG$24=BH$11,BH$13,BG$24)))</f>
        <v xml:space="preserve"> </v>
      </c>
      <c r="L16" s="49">
        <f ca="1">CW16</f>
        <v>0</v>
      </c>
      <c r="M16" s="49">
        <f ca="1">CY16</f>
        <v>0</v>
      </c>
      <c r="N16" s="50">
        <f t="shared" ca="1" si="21"/>
        <v>0</v>
      </c>
      <c r="O16" s="126">
        <f t="shared" ca="1" si="21"/>
        <v>0</v>
      </c>
      <c r="P16" s="140"/>
      <c r="Q16" s="752" t="str">
        <f ca="1">IF(AND(OR(Z16="t",Z16="f"),K16=$BH$11),"No Floor!  Change Floor Type",IF(OR(I16=" ",I16="")," ",IF(F16&lt;OFFSET($BM$9,CL16-1,0,1,1),"check L(m)",DE16&amp;IF(AND(DP16&gt;=CY16,DR16&gt;=DB16),IF(AND(ED16&gt;=DP16,EF16&gt;=DR16),CONCATENATE(DS16," will provide same result"),CONCATENATE(CO16," will provide same result")),IF((DP16&gt;=CY16),CONCATENATE(CO16," provides same result in WIND"),IF((DR16&gt;=DB16),CONCATENATE(CO16," provides same result in EQ"),""))))))&amp;IF(ISERROR(FIND("pile",I16,1)),"",IF(INT(F16)&lt;&gt;F16,"Pile!  Use Whole Numbers Only",""))</f>
        <v xml:space="preserve"> </v>
      </c>
      <c r="R16" s="52"/>
      <c r="S16" s="1372"/>
      <c r="T16" s="52"/>
      <c r="U16" s="1377"/>
      <c r="V16" s="52" t="str">
        <f ca="1">IF(AND(B$5=$BF$9,OR(I16=BH$16,I16=BH$17))," ",IF(ISNUMBER(B$14),(CONCATENATE(B$14,".",W16)),(CONCATENATE(B$14,W16))))</f>
        <v>B0</v>
      </c>
      <c r="W16" s="9">
        <f ca="1">W15+X16</f>
        <v>0</v>
      </c>
      <c r="X16" s="9">
        <f>IF(AND(B$5=$BF$9,OR($I16=$BH$16,$I16=$BH$17,$I16=" ",$I16="",$F16=0)),0,IF(OR($I16=" ",$I16="",$F16=0),0,1))</f>
        <v>0</v>
      </c>
      <c r="Y16" s="896"/>
      <c r="Z16" s="52" t="str">
        <f ca="1">IF(I16=" "," ",OFFSET($BM$9,$CL16-1,8,1,1))</f>
        <v xml:space="preserve"> </v>
      </c>
      <c r="AA16" s="51" t="str">
        <f>IF(G16&gt;=45,"WA","")</f>
        <v/>
      </c>
      <c r="AB16" s="1364" t="str">
        <f>IF(OR(E16=" ",E16="")," ",(IF(F16&lt;&gt;"",IF(OR(D16=$BG$12,D16=$BG$13),IF(E16&lt;&gt;$BG$17,$BF$20,$BF$21),IF(E16&lt;&gt;$BG$17,$BF$20,$BF$21))," ")))</f>
        <v xml:space="preserve"> </v>
      </c>
      <c r="AC16" s="1"/>
      <c r="AJ16" s="2867"/>
      <c r="AK16" s="2865"/>
      <c r="AL16" s="1385" t="str">
        <f>'Custom Elements'!P12</f>
        <v>Masonry 4.5</v>
      </c>
      <c r="AM16" s="117">
        <f>'Custom Elements'!Q12</f>
        <v>1.5</v>
      </c>
      <c r="AN16" s="878">
        <f>'Custom Elements'!R12</f>
        <v>300</v>
      </c>
      <c r="AO16" s="878">
        <f>'Custom Elements'!S12</f>
        <v>300</v>
      </c>
      <c r="AP16" s="1246"/>
      <c r="AQ16" s="1644" t="str">
        <f>'Custom Elements'!V12</f>
        <v>No</v>
      </c>
      <c r="AR16" s="876" t="str">
        <f>'Custom Elements'!W12</f>
        <v>No</v>
      </c>
      <c r="AS16" s="1640"/>
      <c r="AT16" s="880" t="s">
        <v>911</v>
      </c>
      <c r="AU16" s="119"/>
      <c r="AV16" s="119"/>
      <c r="AW16" s="119"/>
      <c r="AX16" s="119"/>
      <c r="AY16" s="119"/>
      <c r="AZ16" s="119"/>
      <c r="BA16" s="119"/>
      <c r="BB16" s="119"/>
      <c r="BC16" s="119"/>
      <c r="BD16" s="2667"/>
      <c r="BF16" s="598" t="str">
        <f>'Custom Elements'!P13</f>
        <v>Braced pile</v>
      </c>
      <c r="BG16" s="1026" t="s">
        <v>1044</v>
      </c>
      <c r="BH16" s="1394" t="str">
        <f>Table!AI72</f>
        <v>ER1</v>
      </c>
      <c r="BI16" s="759"/>
      <c r="BJ16" s="897">
        <f t="shared" si="5"/>
        <v>8</v>
      </c>
      <c r="BK16" s="769" t="str">
        <f t="shared" si="6"/>
        <v xml:space="preserve">  </v>
      </c>
      <c r="BL16" s="771" t="str">
        <f t="shared" si="7"/>
        <v>Custom5</v>
      </c>
      <c r="BM16" s="455">
        <f t="shared" si="8"/>
        <v>9.9999999999999996E-76</v>
      </c>
      <c r="BN16" s="455">
        <v>999</v>
      </c>
      <c r="BO16" s="455">
        <f t="shared" si="9"/>
        <v>0</v>
      </c>
      <c r="BP16" s="925">
        <f t="shared" si="10"/>
        <v>0</v>
      </c>
      <c r="BR16" s="764"/>
      <c r="BS16" s="455"/>
      <c r="BT16" s="455" t="str">
        <f t="shared" si="11"/>
        <v>B</v>
      </c>
      <c r="BU16" s="925" t="str">
        <f t="shared" si="12"/>
        <v>T</v>
      </c>
      <c r="BV16" s="483" t="str">
        <f t="shared" si="13"/>
        <v>Custom5</v>
      </c>
      <c r="BW16" s="910">
        <f t="shared" si="22"/>
        <v>8</v>
      </c>
      <c r="BX16" s="924" t="str">
        <f t="shared" si="14"/>
        <v>Single</v>
      </c>
      <c r="CH16" s="764">
        <f t="shared" si="15"/>
        <v>0</v>
      </c>
      <c r="CI16" s="925">
        <f t="shared" si="16"/>
        <v>0</v>
      </c>
      <c r="CJ16" s="759"/>
      <c r="CK16" s="188"/>
      <c r="CL16" s="979">
        <f>VLOOKUP(I16,Prodlink,2,0)</f>
        <v>0</v>
      </c>
      <c r="CN16" s="497">
        <f t="shared" ca="1" si="2"/>
        <v>0</v>
      </c>
      <c r="CO16" s="497">
        <f ca="1">OFFSET($CH$9,CL16-1,-15,1,1)</f>
        <v>0</v>
      </c>
      <c r="CQ16" s="51">
        <v>0</v>
      </c>
      <c r="CR16" s="51">
        <f ca="1">IF(AND(Z16&lt;&gt;"t",Z16&lt;&gt;"f"),10000,IF(K16=$BH$11,0,IF(K16=$BH$12,$BH$23,IF(K16=$BH$13,$BH$24,10000))))</f>
        <v>10000</v>
      </c>
      <c r="CS16" s="51">
        <f ca="1">IF(F16&lt;OFFSET($BM$9,CL16-1,0,1,1),0,IF(F16&lt;OFFSET($BN$9,CL16-1,0,1,1),((F16-OFFSET($BM$9,CL16-1,0,1,1))*OFFSET($CH$9,CL16-1,0,1,1))+OFFSET($BO$9,CL16-1,CQ16,1,1),IF(F16&lt;OFFSET($BN$9,CL16+0,0,1,1),((F16-OFFSET($BM$9,CL16+0,0,1,1))*OFFSET($CH$9,CL16+0,0,1,1))+OFFSET($BO$9,CL16+0,CQ16,1,1),IF(F16&lt;OFFSET($BN$9,CL16+1,0,1,1),((F16-OFFSET($BM$9,CL16+1,0,1,1))*OFFSET($CH$9,CL16+1,0,1,1))+OFFSET($BO$9,CL16+1,CQ16,1,1),IF(F16&lt;OFFSET($BN$9,CL16+2,0,1,1),((F16-OFFSET($BM$9,CL16+2,0,1,1))*OFFSET($CH$9,CL16+2,0,1,1))+OFFSET($BO$9,CL16+2,CQ16,1,1),IF(F16&lt;OFFSET($BN$9,CL16+3,0,1,1),((F16-OFFSET($BM$9,CL16+3,0,1,1))*OFFSET($CH$9,CL16+3,0,1,1))+OFFSET($BO$9,CL16+3,CQ16,1,1),0))))))</f>
        <v>0</v>
      </c>
      <c r="CT16" s="51">
        <f ca="1">IF($F16&lt;OFFSET($BM$9,$CL16-1,0,1,1),0,IF($F16&lt;OFFSET($BN$9,$CL16-1,0,1,1),IF(AND($H16&gt;2.4,Z16&lt;&gt;"e",Z16&lt;&gt;"f"),CX16*2.4/$H16,CX16),IF($F16&lt;OFFSET($BN$9,$CL16+0,0,1,1),IF(AND($H16&gt;2.4,Z16&lt;&gt;"e",Z16&lt;&gt;"f"),CX16*2.4/$H16,CX16),IF($F16&lt;OFFSET($BN$9,$CL16+1,0,1,1),IF(AND($H16&gt;2.4,Z16&lt;&gt;"e",Z16&lt;&gt;"f"),CX16*2.4/$H16,CX16),IF($F16&lt;OFFSET($BN$9,CL16+2,0,1,1),IF(AND($H16&gt;2.4,Z16&lt;&gt;"e",Z16&lt;&gt;"f"),CX16*2.4/$H16,CX16),IF($F16&lt;OFFSET($BN$9,CL16+3,0,1,1),IF(AND($H16&gt;2.4,Z16&lt;&gt;"e",Z16&lt;&gt;"f"),CX16*2.4/$H16,CX16),0)))))*COS(RADIANS($G16)))</f>
        <v>0</v>
      </c>
      <c r="CU16" s="51">
        <f ca="1">IF(F16&lt;OFFSET($BM$9,CL16-1,0,1,1),0,IF(F16&lt;OFFSET($BN$9,CL16-1,0,1,1),((F16-OFFSET($BM$9,CL16-1,0,1,1))*OFFSET($CI$9,CL16-1,0,1,1))+OFFSET($BP$9,CL16-1,CQ16,1,1),IF(F16&lt;OFFSET($BN$9,CL16+0,0,1,1),((F16-OFFSET($BM$9,CL16+0,0,1,1))*OFFSET($CI$9,CL16+0,0,1,1))+OFFSET($BP$9,CL16+0,CQ16,1,1),IF(F16&lt;OFFSET($BN$9,CL16+1,0,1,1),((F16-OFFSET($BM$9,CL16+1,0,1,1))*OFFSET($CI$9,CL16+1,0,1,1))+OFFSET($BP$9,CL16+1,CQ16,1,1),IF(F16&lt;OFFSET($BN$9,CL16+2,0,1,1),((F16-OFFSET($BM$9,CL16+2,0,1,1))*OFFSET($CI$9,CL16+2,0,1,1))+OFFSET($BP$9,CL16+2,CQ16,1,1),IF(F16&lt;OFFSET($BN$9,CL16+3,0,1,1),((F16-OFFSET($BM$9,CL16+3,0,1,1))*OFFSET($CI$9,CL16+3,0,1,1))+OFFSET($BP$9,CL16+3,CQ16,1,1),0))))))</f>
        <v>0</v>
      </c>
      <c r="CV16" s="51">
        <f ca="1">IF($F16&lt;OFFSET($BM$9,$CL16-1,0,1,1),0,IF($F16&lt;OFFSET($BN$9,$CL16-1,0,1,1),IF(AND($H16&gt;2.4,Z16&lt;&gt;"e",Z16&lt;&gt;"f"),CZ16*2.4/$H16,CZ16),IF($F16&lt;OFFSET($BN$9,$CL16+0,0,1,1),IF(AND($H16&gt;2.4,Z16&lt;&gt;"e",Z16&lt;&gt;"f"),CZ16*2.4/$H16,CZ16),IF($F16&lt;OFFSET($BN$9,$CL16+1,0,1,1),IF(AND($H16&gt;2.4,Z16&lt;&gt;"e",Z16&lt;&gt;"f"),CZ16*2.4/$H16,CZ16),IF($F16&lt;OFFSET($BN$9,$CL16+2,0,1,1),IF(AND($H16&gt;2.4,Z16&lt;&gt;"e",Z16&lt;&gt;"f"),CZ16*2.4/$H16,CZ16),IF($F16&lt;OFFSET($BN$9,$CL16+3,0,1,1),IF(AND($H16&gt;2.4,Z16&lt;&gt;"e",Z16&lt;&gt;"f"),CZ16*2.4/$H16,CZ16),0)))))*COS(RADIANS($G16)))</f>
        <v>0</v>
      </c>
      <c r="CW16" s="51">
        <f t="shared" ca="1" si="17"/>
        <v>0</v>
      </c>
      <c r="CX16" s="51">
        <f ca="1">IF(CS16&gt;$CR16,$CR16,CS16)</f>
        <v>0</v>
      </c>
      <c r="CY16" s="51">
        <f ca="1">CW16*F16</f>
        <v>0</v>
      </c>
      <c r="CZ16" s="51">
        <f ca="1">IF($CU16&gt;$CR16,$CR16,$CU16)</f>
        <v>0</v>
      </c>
      <c r="DA16" s="51">
        <f ca="1">IF(CV16&gt;CR16,CR16,CV16)</f>
        <v>0</v>
      </c>
      <c r="DB16" s="51">
        <f ca="1">DA16*F16</f>
        <v>0</v>
      </c>
      <c r="DC16" s="993">
        <v>1</v>
      </c>
      <c r="DD16" s="758" t="str">
        <f>IF(OR(D16=BG$12,D16=BG$13),"External",IF(D16=BG$14,"Internal"," "))</f>
        <v xml:space="preserve"> </v>
      </c>
      <c r="DE16" s="51" t="str">
        <f t="shared" ca="1" si="18"/>
        <v/>
      </c>
      <c r="DF16" s="52" t="str">
        <f t="shared" ca="1" si="19"/>
        <v xml:space="preserve"> </v>
      </c>
      <c r="DG16" s="51">
        <f ca="1">IF(F16&lt;OFFSET($BM$9,CN16-1,0,1,1),0,IF(F16&lt;OFFSET($BN$9,CN16-1,0,1,1),((F16-OFFSET($BM$9,CN16-1,0,1,1))*OFFSET($CH$9,CN16-1,0,1,1))+OFFSET($BO$9,CN16-1,CQ16,1,1),IF(F16&lt;OFFSET($BN$9,CN16+0,0,1,1),((F16-OFFSET($BM$9,CN16+0,0,1,1))*OFFSET($CH$9,CN16+0,0,1,1))+OFFSET($BO$9,CN16+0,CQ16,1,1),IF(F16&lt;OFFSET($BN$9,CN16+1,0,1,1),((F16-OFFSET($BM$9,CN16+1,0,1,1))*OFFSET($CH$9,CN16+1,0,1,1))+OFFSET($BO$9,CN16+1,CQ16,1,1),IF(F16&lt;OFFSET($BN$9,CN16+2,0,1,1),((F16-OFFSET($BM$9,CN16+2,0,1,1))*OFFSET($CH$9,CN16+2,0,1,1))+OFFSET($BO$9,CN16+2,CQ16,1,1),IF(F16&lt;OFFSET($BN$9,CN16+3,0,1,1),((F16-OFFSET($BM$9,CN16+3,0,1,1))*OFFSET($CH$9,CN16+3,0,1,1))+OFFSET($BO$9,CN16+3,CQ16,1,1),0))))))</f>
        <v>0</v>
      </c>
      <c r="DH16" s="51">
        <f ca="1">IF($F16&lt;OFFSET($BM$9,$CN16-1,0,1,1),0,IF($F16&lt;OFFSET($BN$9,$CN16-1,0,1,1),IF(AND($H16&gt;2.4,Z16&lt;&gt;"e",Z16&lt;&gt;"f"),DL16*2.4/$H16,DL16),IF($F16&lt;OFFSET($BN$9,$CN16+0,0,1,1),IF(AND($H16&gt;2.4,Z16&lt;&gt;"e",Z16&lt;&gt;"f"),DL16*2.4/$H16,DL16),IF($F16&lt;OFFSET($BN$9,$CN16+1,0,1,1),IF(AND($H16&gt;2.4,Z16&lt;&gt;"e",Z16&lt;&gt;"f"),DL16*2.4/$H16,DL16),IF($F16&lt;OFFSET($BN$9,$CN16+2,0,1,1),IF(AND($H16&gt;2.4,Z16&lt;&gt;"e",Z16&lt;&gt;"f"),DL16*2.4/$H16,DL16),IF($F16&lt;OFFSET($BN$9,$CN16+3,0,1,1),IF(AND($H16&gt;2.4,Z16&lt;&gt;"e",Z16&lt;&gt;"f"),DL16*2.4/$H16,DL16),0)))))*COS(RADIANS($G16)))</f>
        <v>0</v>
      </c>
      <c r="DI16" s="51">
        <f ca="1">IF(F16&lt;OFFSET($BM$9,CN16-1,0,1,1),0,IF(F16&lt;OFFSET($BN$9,CN16-1,0,1,1),((F16-OFFSET($BM$9,CN16-1,0,1,1))*OFFSET($CI$9,CN16-1,0,1,1))+OFFSET($BP$9,CN16-1,CQ16,1,1),IF(F16&lt;OFFSET($BN$9,CN16+0,0,1,1),((F16-OFFSET($BM$9,CN16+0,0,1,1))*OFFSET($CI$9,CN16+0,0,1,1))+OFFSET($BP$9,CN16+0,CQ16,1,1),IF(F16&lt;OFFSET($BN$9,CN16+1,0,1,1),((F16-OFFSET($BM$9,CN16+1,0,1,1))*OFFSET($CI$9,CN16+1,0,1,1))+OFFSET($BP$9,CN16+1,CQ16,1,1),IF(F16&lt;OFFSET($BN$9,CN16+2,0,1,1),((F16-OFFSET($BM$9,CN16+2,0,1,1))*OFFSET($CI$9,CN16+2,0,1,1))+OFFSET($BP$9,CN16+2,CQ16,1,1),IF(F16&lt;OFFSET($BN$9,CN16+3,0,1,1),((F16-OFFSET($BM$9,CN16+3,0,1,1))*OFFSET($CI$9,CN16+3,0,1,1))+OFFSET($BP$9,CN16+3,CQ16,1,1),0))))))</f>
        <v>0</v>
      </c>
      <c r="DJ16" s="51">
        <f ca="1">IF($F16&lt;OFFSET($BM$9,$CN16-1,0,1,1),0,IF($F16&lt;OFFSET($BN$9,$CN16-1,0,1,1),IF(AND($H16&gt;2.4,Z16&lt;&gt;"e",Z16&lt;&gt;"f"),DN16*2.4/$H16,DN16),IF($F16&lt;OFFSET($BN$9,$CN16+0,0,1,1),IF(AND($H16&gt;2.4,Z16&lt;&gt;"e",Z16&lt;&gt;"f"),DN16*2.4/$H16,DN16),IF($F16&lt;OFFSET($BN$9,$CN16+1,0,1,1),IF(AND($H16&gt;2.4,Z16&lt;&gt;"e",Z16&lt;&gt;"f"),DN16*2.4/$H16,DN16),IF($F16&lt;OFFSET($BN$9,$CN16+2,0,1,1),IF(AND($H16&gt;2.4,Z16&lt;&gt;"e",Z16&lt;&gt;"f"),DN16*2.4/$H16,DN16),IF($F16&lt;OFFSET($BN$9,$CN16+3,0,1,1),IF(AND($H16&gt;2.4,Z16&lt;&gt;"e",Z16&lt;&gt;"f"),DN16*2.4/$H16,DN16),0)))))*COS(RADIANS($G16)))</f>
        <v>0</v>
      </c>
      <c r="DK16" s="51"/>
      <c r="DL16" s="51">
        <f ca="1">IF(DG16&gt;$CR16,$CR16,DG16)</f>
        <v>0</v>
      </c>
      <c r="DM16" s="51"/>
      <c r="DN16" s="51">
        <f ca="1">IF(DI16&gt;$CR16,$CR16,DI16)</f>
        <v>0</v>
      </c>
      <c r="DO16" s="435">
        <f ca="1">IF(DH16&gt;$CR16,$CR16,DH16)</f>
        <v>0</v>
      </c>
      <c r="DP16" s="435">
        <f ca="1">DO16*F16</f>
        <v>0</v>
      </c>
      <c r="DQ16" s="436">
        <f ca="1">IF(DJ16&gt;$CR16,$CR16,DJ16)</f>
        <v>0</v>
      </c>
      <c r="DR16" s="437">
        <f ca="1">DQ16*F16</f>
        <v>0</v>
      </c>
      <c r="DS16" s="426">
        <f ca="1">OFFSET($CH$9,CL16-1,-15,1,1)</f>
        <v>0</v>
      </c>
      <c r="DT16" s="426">
        <f t="shared" ca="1" si="1"/>
        <v>0</v>
      </c>
      <c r="DU16" s="188">
        <f ca="1">IF(F16&lt;OFFSET($BM$9,DT16-1,0,1,1),0,IF(F16&lt;OFFSET($BN$9,DT16-1,0,1,1),((F16-OFFSET($BM$9,DT16-1,0,1,1))*OFFSET($CH$9,DT16-1,0,1,1))+OFFSET($BO$9,DT16-1,CQ16,1,1),IF(F16&lt;OFFSET($BN$9,DT16+0,0,1,1),((F16-OFFSET($BM$9,DT16+0,0,1,1))*OFFSET($CH$9,DT16+0,0,1,1))+OFFSET($BO$9,DT16+0,CQ16,1,1),IF(F16&lt;OFFSET($BN$9,DT16+1,0,1,1),((F16-OFFSET($BM$9,DT16+1,0,1,1))*OFFSET($CH$9,DT16+1,0,1,1))+OFFSET($BO$9,DT16+1,CQ16,1,1),IF(F16&lt;OFFSET($BN$9,DT16+2,0,1,1),((F16-OFFSET($BM$9,DT16+2,0,1,1))*OFFSET($CH$9,DT16+2,0,1,1))+OFFSET($BO$9,DT16+2,CQ16,1,1),IF(F16&lt;OFFSET($BN$9,DT16+3,0,1,1),((F16-OFFSET($BM$9,DT16+3,0,1,1))*OFFSET($CH$9,DT16+3,0,1,1))+OFFSET($BO$9,DT16+3,CQ16,1,1),0))))))</f>
        <v>0</v>
      </c>
      <c r="DV16" s="51">
        <f ca="1">IF($F16&lt;OFFSET($BM$9,$DT16-1,0,1,1),0,IF($F16&lt;OFFSET($BN$9,$DT16-1,0,1,1),IF(AND($H16&gt;2.4,Z16&lt;&gt;"e",Z16&lt;&gt;"f"),DZ16*2.4/$H16,DZ16),IF($F16&lt;OFFSET($BN$9,$DT16+0,0,1,1),IF(AND($H16&gt;2.4,Z16&lt;&gt;"e",Z16&lt;&gt;"f"),DZ16*2.4/$H16,DZ16),IF($F16&lt;OFFSET($BN$9,$DT16+1,0,1,1),IF(AND($H16&gt;2.4,Z16&lt;&gt;"e",Z16&lt;&gt;"f"),DZ16*2.4/$H16,DZ16),IF($F16&lt;OFFSET($BN$9,$DT16+2,0,1,1),IF(AND($H16&gt;2.4,Z16&lt;&gt;"e",Z16&lt;&gt;"f"),DZ16*2.4/$H16,DZ16),IF($F16&lt;OFFSET($BN$9,$DT16+3,0,1,1),IF(AND($H16&gt;2.4,Z16&lt;&gt;"e",Z16&lt;&gt;"f"),DZ16*2.4/$H16,DZ16),0)))))*COS(RADIANS($G16)))</f>
        <v>0</v>
      </c>
      <c r="DW16" s="188">
        <f ca="1">IF(F16&lt;OFFSET($BM$9,DT16-1,0,1,1),0,IF(F16&lt;OFFSET($BN$9,DT16-1,0,1,1),((F16-OFFSET($BM$9,DT16-1,0,1,1))*OFFSET($CI$9,DT16-1,0,1,1))+OFFSET($BP$9,DT16-1,CQ16,1,1),IF(F16&lt;OFFSET($BN$9,DT16+0,0,1,1),((F16-OFFSET($BM$9,DT16+0,0,1,1))*OFFSET($CI$9,DT16+0,0,1,1))+OFFSET($BP$9,DT16+0,CQ16,1,1),IF(F16&lt;OFFSET($BN$9,DT16+1,0,1,1),((F16-OFFSET($BM$9,DT16+1,0,1,1))*OFFSET($CI$9,DT16+1,0,1,1))+OFFSET($BP$9,DT16+1,CQ16,1,1),IF(F16&lt;OFFSET($BN$9,DT16+2,0,1,1),((F16-OFFSET($BM$9,DT16+2,0,1,1))*OFFSET($CI$9,DT16+2,0,1,1))+OFFSET($BP$9,DT16+2,CQ16,1,1),IF(F16&lt;OFFSET($BN$9,DT16+3,0,1,1),((F16-OFFSET($BM$9,DT16+3,0,1,1))*OFFSET($CI$9,DT16+3,0,1,1))+OFFSET($BP$9,DT16+3,CQ16,1,1),0))))))</f>
        <v>0</v>
      </c>
      <c r="DX16" s="51">
        <f ca="1">IF($F16&lt;OFFSET($BM$9,$DT16-1,0,1,1),0,IF($F16&lt;OFFSET($BN$9,$DT16-1,0,1,1),IF(AND($H16&gt;2.4,Z16&lt;&gt;"e",Z16&lt;&gt;"f"),EB16*2.4/$H16,EB16),IF($F16&lt;OFFSET($BN$9,$DT16+0,0,1,1),IF(AND($H16&gt;2.4,Z16&lt;&gt;"e",Z16&lt;&gt;"f"),EB16*2.4/$H16,EB16),IF($F16&lt;OFFSET($BN$9,$DT16+1,0,1,1),IF(AND($H16&gt;2.4,Z16&lt;&gt;"e",Z16&lt;&gt;"f"),EB16*2.4/$H16,EB16),IF($F16&lt;OFFSET($BN$9,$DT16+2,0,1,1),IF(AND($H16&gt;2.4,Z16&lt;&gt;"e",Z16&lt;&gt;"f"),EB16*2.4/$H16,EB16),IF($F16&lt;OFFSET($BN$9,$DT16+3,0,1,1),IF(AND($H16&gt;2.4,Z16&lt;&gt;"e",Z16&lt;&gt;"f"),EB16*2.4/$H16,EB16),0)))))*COS(RADIANS($G16)))</f>
        <v>0</v>
      </c>
      <c r="DY16" s="188"/>
      <c r="DZ16" s="188">
        <f ca="1">IF(DU16&gt;$CR16,$CR16,DU16)</f>
        <v>0</v>
      </c>
      <c r="EA16" s="188"/>
      <c r="EB16" s="188">
        <f ca="1">IF(DW16&gt;$CR16,$CR16,DW16)</f>
        <v>0</v>
      </c>
      <c r="EC16" s="435">
        <f ca="1">IF(DV16&gt;$CR16,$CR16,DV16)</f>
        <v>0</v>
      </c>
      <c r="ED16" s="435">
        <f ca="1">EC16*F16</f>
        <v>0</v>
      </c>
      <c r="EE16" s="436">
        <f ca="1">IF(DX16&gt;$CR16,$CR16,DX16)</f>
        <v>0</v>
      </c>
      <c r="EF16" s="437">
        <f ca="1">EE16*F16</f>
        <v>0</v>
      </c>
      <c r="EG16" s="613" t="str">
        <f>IF(D16=BG$12,BG$12,"")</f>
        <v/>
      </c>
      <c r="EH16" s="614" t="str">
        <f>IF(D16=BG$13,BG$13,"")</f>
        <v/>
      </c>
      <c r="EI16" s="611">
        <f>IF(EG16=BG$12,M16,0)</f>
        <v>0</v>
      </c>
      <c r="EJ16" s="451">
        <f>IF(EG16=BG$12,O16,0)</f>
        <v>0</v>
      </c>
      <c r="EK16" s="451">
        <f>IF(EH16=BG$13,M16,0)</f>
        <v>0</v>
      </c>
      <c r="EL16" s="612">
        <f>IF(EH16=BG$13,O16,0)</f>
        <v>0</v>
      </c>
      <c r="EM16" s="426" t="str">
        <f ca="1">IF(AND(Z16&lt;&gt;"t",Z16&lt;&gt;"f"),"",IF(AND(EN16=$BH$11,K16&lt;&gt;EN16),EM$4,IF(AND(EN16=$BH$12,K16=$BH$13),EM$4,IF(AND(EN16=$BH$12,K16=$BH$14),EM$4,IF(AND(EN16=$BH$13,K16=$BH$14),$EM$4,IF(EN16=$BH$14,$EM$4,""))))))</f>
        <v/>
      </c>
      <c r="EN16" s="489" t="str">
        <f>BG$24</f>
        <v>No Floor</v>
      </c>
      <c r="EO16" s="426" t="str">
        <f>K16</f>
        <v xml:space="preserve"> </v>
      </c>
      <c r="EP16" s="497" t="str">
        <f ca="1">IF(AND(Z16&lt;&gt;"t",Z16&lt;&gt;"f"),"",IF(AND(EN16=$BH$14,K16&lt;&gt;EN16),EP$4,IF(AND(EN16=$BH$13,K16=$BH$12),EP$4,IF(AND(EN16=$BH$13,K16=$BH$11),EP$4,IF(AND(EN16=$BH$12,K16=$BH$11),$EP$4,IF(EN16=$BH$11,"Earth",""))))))</f>
        <v/>
      </c>
      <c r="EQ16" s="430" t="str">
        <f ca="1">IF(Z16&lt;&gt;"t","",IF(EQ$5=2,IF(K16&lt;&gt;BH$11,EQ$7," ")))</f>
        <v/>
      </c>
      <c r="ER16" s="439" t="str">
        <f ca="1">IF(H16=0," ",H16)</f>
        <v xml:space="preserve"> </v>
      </c>
      <c r="ES16" s="440" t="str">
        <f ca="1">IF(ER16&lt;&gt;" ",IF(ER16&lt;&gt;ER$7,"Changed",""),"")</f>
        <v/>
      </c>
      <c r="ET16" s="440">
        <f t="shared" ca="1" si="20"/>
        <v>0</v>
      </c>
      <c r="EU16" s="426" t="str">
        <f ca="1">IF(I16=" "," ",IF(F16&lt;OFFSET($BM$9,CL16-1,0,1,1),1,""))</f>
        <v xml:space="preserve"> </v>
      </c>
      <c r="EW16" s="427"/>
      <c r="EY16" s="421"/>
    </row>
    <row r="17" spans="2:155" ht="17.100000000000001" customHeight="1" thickBot="1">
      <c r="B17" s="689" t="s">
        <v>246</v>
      </c>
      <c r="C17" s="684" t="str">
        <f>IF(OR(F17=0,I17="",I17=" ")," ",$V17)</f>
        <v xml:space="preserve"> </v>
      </c>
      <c r="D17" s="1033" t="s">
        <v>8</v>
      </c>
      <c r="E17" s="1360"/>
      <c r="F17" s="202"/>
      <c r="G17" s="1416"/>
      <c r="H17" s="1417" t="str">
        <f ca="1">IF(OR(F17=0,Z17="E",Z17="f")," ",'Project Demand'!E$55)</f>
        <v xml:space="preserve"> </v>
      </c>
      <c r="I17" s="631" t="str">
        <f>IF($I$6&lt;&gt;$BG$8," ",AB17)</f>
        <v xml:space="preserve"> </v>
      </c>
      <c r="J17" s="44" t="str">
        <f ca="1">IF(OR(I17=" ",I17="")," ",OFFSET($BO$9,CL17-1,0-4,1,1))</f>
        <v xml:space="preserve"> </v>
      </c>
      <c r="K17" s="55" t="str">
        <f>IF(OR(I17=" ",I17="")," ",IF(OR(Z17="e",Z17="h"),"SD",IF(BG$24=BH$11,BH$13,BG$24)))</f>
        <v xml:space="preserve"> </v>
      </c>
      <c r="L17" s="49">
        <f ca="1">CW17</f>
        <v>0</v>
      </c>
      <c r="M17" s="49">
        <f ca="1">CY17</f>
        <v>0</v>
      </c>
      <c r="N17" s="50">
        <f t="shared" ca="1" si="21"/>
        <v>0</v>
      </c>
      <c r="O17" s="126">
        <f t="shared" ca="1" si="21"/>
        <v>0</v>
      </c>
      <c r="P17" s="140"/>
      <c r="Q17" s="752" t="str">
        <f ca="1">IF(AND(OR(Z17="t",Z17="f"),K17=$BH$11),"No Floor!  Change Floor Type",IF(OR(I17=" ",I17="")," ",IF(F17&lt;OFFSET($BM$9,CL17-1,0,1,1),"check L(m)",DE17&amp;IF(AND(DP17&gt;=CY17,DR17&gt;=DB17),IF(AND(ED17&gt;=DP17,EF17&gt;=DR17),CONCATENATE(DS17," will provide same result"),CONCATENATE(CO17," will provide same result")),IF((DP17&gt;=CY17),CONCATENATE(CO17," provides same result in WIND"),IF((DR17&gt;=DB17),CONCATENATE(CO17," provides same result in EQ"),""))))))&amp;IF(ISERROR(FIND("pile",I17,1)),"",IF(INT(F17)&lt;&gt;F17,"Pile!  Use Whole Numbers Only",""))</f>
        <v xml:space="preserve"> </v>
      </c>
      <c r="R17" s="52"/>
      <c r="S17" s="1372"/>
      <c r="T17" s="52"/>
      <c r="U17" s="1377"/>
      <c r="V17" s="52" t="str">
        <f ca="1">IF(AND(B$5=$BF$9,OR(I17=BH$16,I17=BH$17))," ",IF(ISNUMBER(B$14),(CONCATENATE(B$14,".",W17)),(CONCATENATE(B$14,W17))))</f>
        <v>B0</v>
      </c>
      <c r="W17" s="9">
        <f ca="1">W16+X17</f>
        <v>0</v>
      </c>
      <c r="X17" s="9">
        <f>IF(AND(B$5=$BF$9,OR($I17=$BH$16,$I17=$BH$17,$I17=" ",$I17="",$F17=0)),0,IF(OR($I17=" ",$I17="",$F17=0),0,1))</f>
        <v>0</v>
      </c>
      <c r="Y17" s="896"/>
      <c r="Z17" s="52" t="str">
        <f ca="1">IF(I17=" "," ",OFFSET($BM$9,$CL17-1,8,1,1))</f>
        <v xml:space="preserve"> </v>
      </c>
      <c r="AA17" s="51" t="str">
        <f>IF(G17&gt;=45,"WA","")</f>
        <v/>
      </c>
      <c r="AB17" s="1364" t="str">
        <f>IF(OR(E17=" ",E17="")," ",(IF(F17&lt;&gt;"",IF(OR(D17=$BG$12,D17=$BG$13),IF(E17&lt;&gt;$BG$17,$BF$20,$BF$21),IF(E17&lt;&gt;$BG$17,$BF$20,$BF$21))," ")))</f>
        <v xml:space="preserve"> </v>
      </c>
      <c r="AC17" s="1"/>
      <c r="AJ17" s="2867"/>
      <c r="AK17" s="1625" t="s">
        <v>914</v>
      </c>
      <c r="AL17" s="1626"/>
      <c r="AM17" s="1626"/>
      <c r="AN17" s="1626"/>
      <c r="AO17" s="1626"/>
      <c r="AP17" s="1626"/>
      <c r="AQ17" s="1626"/>
      <c r="AR17" s="1626"/>
      <c r="AS17" s="1641"/>
      <c r="AT17" s="1627"/>
      <c r="AU17" s="119"/>
      <c r="AV17" s="119"/>
      <c r="AW17" s="119"/>
      <c r="AX17" s="119"/>
      <c r="AY17" s="119"/>
      <c r="AZ17" s="119"/>
      <c r="BA17" s="119"/>
      <c r="BB17" s="119"/>
      <c r="BC17" s="119"/>
      <c r="BD17" s="2667"/>
      <c r="BF17" s="598" t="str">
        <f>'Custom Elements'!P14</f>
        <v>Cantilever pile</v>
      </c>
      <c r="BG17" s="1026" t="s">
        <v>1045</v>
      </c>
      <c r="BH17" s="1394" t="str">
        <f>Table!AI77</f>
        <v>ER2</v>
      </c>
      <c r="BI17" s="759"/>
      <c r="BJ17" s="897">
        <f t="shared" si="5"/>
        <v>9</v>
      </c>
      <c r="BK17" s="769" t="str">
        <f t="shared" si="6"/>
        <v xml:space="preserve">  </v>
      </c>
      <c r="BL17" s="771" t="str">
        <f t="shared" si="7"/>
        <v>Custom6</v>
      </c>
      <c r="BM17" s="455">
        <f t="shared" si="8"/>
        <v>9.9999999999999996E-76</v>
      </c>
      <c r="BN17" s="455">
        <v>999</v>
      </c>
      <c r="BO17" s="455">
        <f t="shared" si="9"/>
        <v>0</v>
      </c>
      <c r="BP17" s="925">
        <f t="shared" si="10"/>
        <v>0</v>
      </c>
      <c r="BR17" s="764"/>
      <c r="BS17" s="455"/>
      <c r="BT17" s="455" t="str">
        <f t="shared" si="11"/>
        <v>B</v>
      </c>
      <c r="BU17" s="925" t="str">
        <f t="shared" si="12"/>
        <v>T</v>
      </c>
      <c r="BV17" s="483" t="str">
        <f t="shared" si="13"/>
        <v>Custom6</v>
      </c>
      <c r="BW17" s="910">
        <f t="shared" si="22"/>
        <v>9</v>
      </c>
      <c r="BX17" s="924" t="str">
        <f t="shared" si="14"/>
        <v>Single</v>
      </c>
      <c r="CH17" s="764">
        <f t="shared" si="15"/>
        <v>0</v>
      </c>
      <c r="CI17" s="925">
        <f t="shared" si="16"/>
        <v>0</v>
      </c>
      <c r="CJ17" s="759"/>
      <c r="CK17" s="188"/>
      <c r="CL17" s="979">
        <f>VLOOKUP(I17,Prodlink,2,0)</f>
        <v>0</v>
      </c>
      <c r="CN17" s="497">
        <f t="shared" ca="1" si="2"/>
        <v>0</v>
      </c>
      <c r="CO17" s="497">
        <f ca="1">OFFSET($CH$9,CL17-1,-15,1,1)</f>
        <v>0</v>
      </c>
      <c r="CQ17" s="51">
        <v>0</v>
      </c>
      <c r="CR17" s="51">
        <f ca="1">IF(AND(Z17&lt;&gt;"t",Z17&lt;&gt;"f"),10000,IF(K17=$BH$11,0,IF(K17=$BH$12,$BH$23,IF(K17=$BH$13,$BH$24,10000))))</f>
        <v>10000</v>
      </c>
      <c r="CS17" s="51">
        <f ca="1">IF(F17&lt;OFFSET($BM$9,CL17-1,0,1,1),0,IF(F17&lt;OFFSET($BN$9,CL17-1,0,1,1),((F17-OFFSET($BM$9,CL17-1,0,1,1))*OFFSET($CH$9,CL17-1,0,1,1))+OFFSET($BO$9,CL17-1,CQ17,1,1),IF(F17&lt;OFFSET($BN$9,CL17+0,0,1,1),((F17-OFFSET($BM$9,CL17+0,0,1,1))*OFFSET($CH$9,CL17+0,0,1,1))+OFFSET($BO$9,CL17+0,CQ17,1,1),IF(F17&lt;OFFSET($BN$9,CL17+1,0,1,1),((F17-OFFSET($BM$9,CL17+1,0,1,1))*OFFSET($CH$9,CL17+1,0,1,1))+OFFSET($BO$9,CL17+1,CQ17,1,1),IF(F17&lt;OFFSET($BN$9,CL17+2,0,1,1),((F17-OFFSET($BM$9,CL17+2,0,1,1))*OFFSET($CH$9,CL17+2,0,1,1))+OFFSET($BO$9,CL17+2,CQ17,1,1),IF(F17&lt;OFFSET($BN$9,CL17+3,0,1,1),((F17-OFFSET($BM$9,CL17+3,0,1,1))*OFFSET($CH$9,CL17+3,0,1,1))+OFFSET($BO$9,CL17+3,CQ17,1,1),0))))))</f>
        <v>0</v>
      </c>
      <c r="CT17" s="51">
        <f ca="1">IF($F17&lt;OFFSET($BM$9,$CL17-1,0,1,1),0,IF($F17&lt;OFFSET($BN$9,$CL17-1,0,1,1),IF(AND($H17&gt;2.4,Z17&lt;&gt;"e",Z17&lt;&gt;"f"),CX17*2.4/$H17,CX17),IF($F17&lt;OFFSET($BN$9,$CL17+0,0,1,1),IF(AND($H17&gt;2.4,Z17&lt;&gt;"e",Z17&lt;&gt;"f"),CX17*2.4/$H17,CX17),IF($F17&lt;OFFSET($BN$9,$CL17+1,0,1,1),IF(AND($H17&gt;2.4,Z17&lt;&gt;"e",Z17&lt;&gt;"f"),CX17*2.4/$H17,CX17),IF($F17&lt;OFFSET($BN$9,CL17+2,0,1,1),IF(AND($H17&gt;2.4,Z17&lt;&gt;"e",Z17&lt;&gt;"f"),CX17*2.4/$H17,CX17),IF($F17&lt;OFFSET($BN$9,CL17+3,0,1,1),IF(AND($H17&gt;2.4,Z17&lt;&gt;"e",Z17&lt;&gt;"f"),CX17*2.4/$H17,CX17),0)))))*COS(RADIANS($G17)))</f>
        <v>0</v>
      </c>
      <c r="CU17" s="51">
        <f ca="1">IF(F17&lt;OFFSET($BM$9,CL17-1,0,1,1),0,IF(F17&lt;OFFSET($BN$9,CL17-1,0,1,1),((F17-OFFSET($BM$9,CL17-1,0,1,1))*OFFSET($CI$9,CL17-1,0,1,1))+OFFSET($BP$9,CL17-1,CQ17,1,1),IF(F17&lt;OFFSET($BN$9,CL17+0,0,1,1),((F17-OFFSET($BM$9,CL17+0,0,1,1))*OFFSET($CI$9,CL17+0,0,1,1))+OFFSET($BP$9,CL17+0,CQ17,1,1),IF(F17&lt;OFFSET($BN$9,CL17+1,0,1,1),((F17-OFFSET($BM$9,CL17+1,0,1,1))*OFFSET($CI$9,CL17+1,0,1,1))+OFFSET($BP$9,CL17+1,CQ17,1,1),IF(F17&lt;OFFSET($BN$9,CL17+2,0,1,1),((F17-OFFSET($BM$9,CL17+2,0,1,1))*OFFSET($CI$9,CL17+2,0,1,1))+OFFSET($BP$9,CL17+2,CQ17,1,1),IF(F17&lt;OFFSET($BN$9,CL17+3,0,1,1),((F17-OFFSET($BM$9,CL17+3,0,1,1))*OFFSET($CI$9,CL17+3,0,1,1))+OFFSET($BP$9,CL17+3,CQ17,1,1),0))))))</f>
        <v>0</v>
      </c>
      <c r="CV17" s="51">
        <f ca="1">IF($F17&lt;OFFSET($BM$9,$CL17-1,0,1,1),0,IF($F17&lt;OFFSET($BN$9,$CL17-1,0,1,1),IF(AND($H17&gt;2.4,Z17&lt;&gt;"e",Z17&lt;&gt;"f"),CZ17*2.4/$H17,CZ17),IF($F17&lt;OFFSET($BN$9,$CL17+0,0,1,1),IF(AND($H17&gt;2.4,Z17&lt;&gt;"e",Z17&lt;&gt;"f"),CZ17*2.4/$H17,CZ17),IF($F17&lt;OFFSET($BN$9,$CL17+1,0,1,1),IF(AND($H17&gt;2.4,Z17&lt;&gt;"e",Z17&lt;&gt;"f"),CZ17*2.4/$H17,CZ17),IF($F17&lt;OFFSET($BN$9,$CL17+2,0,1,1),IF(AND($H17&gt;2.4,Z17&lt;&gt;"e",Z17&lt;&gt;"f"),CZ17*2.4/$H17,CZ17),IF($F17&lt;OFFSET($BN$9,$CL17+3,0,1,1),IF(AND($H17&gt;2.4,Z17&lt;&gt;"e",Z17&lt;&gt;"f"),CZ17*2.4/$H17,CZ17),0)))))*COS(RADIANS($G17)))</f>
        <v>0</v>
      </c>
      <c r="CW17" s="51">
        <f t="shared" ca="1" si="17"/>
        <v>0</v>
      </c>
      <c r="CX17" s="51">
        <f ca="1">IF(CS17&gt;$CR17,$CR17,CS17)</f>
        <v>0</v>
      </c>
      <c r="CY17" s="51">
        <f ca="1">CW17*F17</f>
        <v>0</v>
      </c>
      <c r="CZ17" s="51">
        <f ca="1">IF($CU17&gt;$CR17,$CR17,$CU17)</f>
        <v>0</v>
      </c>
      <c r="DA17" s="51">
        <f ca="1">IF(CV17&gt;CR17,CR17,CV17)</f>
        <v>0</v>
      </c>
      <c r="DB17" s="51">
        <f ca="1">DA17*F17</f>
        <v>0</v>
      </c>
      <c r="DC17" s="993">
        <v>1</v>
      </c>
      <c r="DD17" s="758" t="str">
        <f>IF(OR(D17=BG$12,D17=BG$13),"External",IF(D17=BG$14,"Internal"," "))</f>
        <v xml:space="preserve"> </v>
      </c>
      <c r="DE17" s="51" t="str">
        <f t="shared" ca="1" si="18"/>
        <v/>
      </c>
      <c r="DF17" s="52" t="str">
        <f t="shared" ca="1" si="19"/>
        <v xml:space="preserve"> </v>
      </c>
      <c r="DG17" s="51">
        <f ca="1">IF(F17&lt;OFFSET($BM$9,CN17-1,0,1,1),0,IF(F17&lt;OFFSET($BN$9,CN17-1,0,1,1),((F17-OFFSET($BM$9,CN17-1,0,1,1))*OFFSET($CH$9,CN17-1,0,1,1))+OFFSET($BO$9,CN17-1,CQ17,1,1),IF(F17&lt;OFFSET($BN$9,CN17+0,0,1,1),((F17-OFFSET($BM$9,CN17+0,0,1,1))*OFFSET($CH$9,CN17+0,0,1,1))+OFFSET($BO$9,CN17+0,CQ17,1,1),IF(F17&lt;OFFSET($BN$9,CN17+1,0,1,1),((F17-OFFSET($BM$9,CN17+1,0,1,1))*OFFSET($CH$9,CN17+1,0,1,1))+OFFSET($BO$9,CN17+1,CQ17,1,1),IF(F17&lt;OFFSET($BN$9,CN17+2,0,1,1),((F17-OFFSET($BM$9,CN17+2,0,1,1))*OFFSET($CH$9,CN17+2,0,1,1))+OFFSET($BO$9,CN17+2,CQ17,1,1),IF(F17&lt;OFFSET($BN$9,CN17+3,0,1,1),((F17-OFFSET($BM$9,CN17+3,0,1,1))*OFFSET($CH$9,CN17+3,0,1,1))+OFFSET($BO$9,CN17+3,CQ17,1,1),0))))))</f>
        <v>0</v>
      </c>
      <c r="DH17" s="51">
        <f ca="1">IF($F17&lt;OFFSET($BM$9,$CN17-1,0,1,1),0,IF($F17&lt;OFFSET($BN$9,$CN17-1,0,1,1),IF(AND($H17&gt;2.4,Z17&lt;&gt;"e",Z17&lt;&gt;"f"),DL17*2.4/$H17,DL17),IF($F17&lt;OFFSET($BN$9,$CN17+0,0,1,1),IF(AND($H17&gt;2.4,Z17&lt;&gt;"e",Z17&lt;&gt;"f"),DL17*2.4/$H17,DL17),IF($F17&lt;OFFSET($BN$9,$CN17+1,0,1,1),IF(AND($H17&gt;2.4,Z17&lt;&gt;"e",Z17&lt;&gt;"f"),DL17*2.4/$H17,DL17),IF($F17&lt;OFFSET($BN$9,$CN17+2,0,1,1),IF(AND($H17&gt;2.4,Z17&lt;&gt;"e",Z17&lt;&gt;"f"),DL17*2.4/$H17,DL17),IF($F17&lt;OFFSET($BN$9,$CN17+3,0,1,1),IF(AND($H17&gt;2.4,Z17&lt;&gt;"e",Z17&lt;&gt;"f"),DL17*2.4/$H17,DL17),0)))))*COS(RADIANS($G17)))</f>
        <v>0</v>
      </c>
      <c r="DI17" s="51">
        <f ca="1">IF(F17&lt;OFFSET($BM$9,CN17-1,0,1,1),0,IF(F17&lt;OFFSET($BN$9,CN17-1,0,1,1),((F17-OFFSET($BM$9,CN17-1,0,1,1))*OFFSET($CI$9,CN17-1,0,1,1))+OFFSET($BP$9,CN17-1,CQ17,1,1),IF(F17&lt;OFFSET($BN$9,CN17+0,0,1,1),((F17-OFFSET($BM$9,CN17+0,0,1,1))*OFFSET($CI$9,CN17+0,0,1,1))+OFFSET($BP$9,CN17+0,CQ17,1,1),IF(F17&lt;OFFSET($BN$9,CN17+1,0,1,1),((F17-OFFSET($BM$9,CN17+1,0,1,1))*OFFSET($CI$9,CN17+1,0,1,1))+OFFSET($BP$9,CN17+1,CQ17,1,1),IF(F17&lt;OFFSET($BN$9,CN17+2,0,1,1),((F17-OFFSET($BM$9,CN17+2,0,1,1))*OFFSET($CI$9,CN17+2,0,1,1))+OFFSET($BP$9,CN17+2,CQ17,1,1),IF(F17&lt;OFFSET($BN$9,CN17+3,0,1,1),((F17-OFFSET($BM$9,CN17+3,0,1,1))*OFFSET($CI$9,CN17+3,0,1,1))+OFFSET($BP$9,CN17+3,CQ17,1,1),0))))))</f>
        <v>0</v>
      </c>
      <c r="DJ17" s="51">
        <f ca="1">IF($F17&lt;OFFSET($BM$9,$CN17-1,0,1,1),0,IF($F17&lt;OFFSET($BN$9,$CN17-1,0,1,1),IF(AND($H17&gt;2.4,Z17&lt;&gt;"e",Z17&lt;&gt;"f"),DN17*2.4/$H17,DN17),IF($F17&lt;OFFSET($BN$9,$CN17+0,0,1,1),IF(AND($H17&gt;2.4,Z17&lt;&gt;"e",Z17&lt;&gt;"f"),DN17*2.4/$H17,DN17),IF($F17&lt;OFFSET($BN$9,$CN17+1,0,1,1),IF(AND($H17&gt;2.4,Z17&lt;&gt;"e",Z17&lt;&gt;"f"),DN17*2.4/$H17,DN17),IF($F17&lt;OFFSET($BN$9,$CN17+2,0,1,1),IF(AND($H17&gt;2.4,Z17&lt;&gt;"e",Z17&lt;&gt;"f"),DN17*2.4/$H17,DN17),IF($F17&lt;OFFSET($BN$9,$CN17+3,0,1,1),IF(AND($H17&gt;2.4,Z17&lt;&gt;"e",Z17&lt;&gt;"f"),DN17*2.4/$H17,DN17),0)))))*COS(RADIANS($G17)))</f>
        <v>0</v>
      </c>
      <c r="DK17" s="51"/>
      <c r="DL17" s="51">
        <f ca="1">IF(DG17&gt;$CR17,$CR17,DG17)</f>
        <v>0</v>
      </c>
      <c r="DM17" s="51"/>
      <c r="DN17" s="51">
        <f ca="1">IF(DI17&gt;$CR17,$CR17,DI17)</f>
        <v>0</v>
      </c>
      <c r="DO17" s="435">
        <f ca="1">IF(DH17&gt;$CR17,$CR17,DH17)</f>
        <v>0</v>
      </c>
      <c r="DP17" s="435">
        <f ca="1">DO17*F17</f>
        <v>0</v>
      </c>
      <c r="DQ17" s="436">
        <f ca="1">IF(DJ17&gt;$CR17,$CR17,DJ17)</f>
        <v>0</v>
      </c>
      <c r="DR17" s="437">
        <f ca="1">DQ17*F17</f>
        <v>0</v>
      </c>
      <c r="DS17" s="426">
        <f ca="1">OFFSET($CH$9,CL17-1,-15,1,1)</f>
        <v>0</v>
      </c>
      <c r="DT17" s="426">
        <f t="shared" ca="1" si="1"/>
        <v>0</v>
      </c>
      <c r="DU17" s="188">
        <f ca="1">IF(F17&lt;OFFSET($BM$9,DT17-1,0,1,1),0,IF(F17&lt;OFFSET($BN$9,DT17-1,0,1,1),((F17-OFFSET($BM$9,DT17-1,0,1,1))*OFFSET($CH$9,DT17-1,0,1,1))+OFFSET($BO$9,DT17-1,CQ17,1,1),IF(F17&lt;OFFSET($BN$9,DT17+0,0,1,1),((F17-OFFSET($BM$9,DT17+0,0,1,1))*OFFSET($CH$9,DT17+0,0,1,1))+OFFSET($BO$9,DT17+0,CQ17,1,1),IF(F17&lt;OFFSET($BN$9,DT17+1,0,1,1),((F17-OFFSET($BM$9,DT17+1,0,1,1))*OFFSET($CH$9,DT17+1,0,1,1))+OFFSET($BO$9,DT17+1,CQ17,1,1),IF(F17&lt;OFFSET($BN$9,DT17+2,0,1,1),((F17-OFFSET($BM$9,DT17+2,0,1,1))*OFFSET($CH$9,DT17+2,0,1,1))+OFFSET($BO$9,DT17+2,CQ17,1,1),IF(F17&lt;OFFSET($BN$9,DT17+3,0,1,1),((F17-OFFSET($BM$9,DT17+3,0,1,1))*OFFSET($CH$9,DT17+3,0,1,1))+OFFSET($BO$9,DT17+3,CQ17,1,1),0))))))</f>
        <v>0</v>
      </c>
      <c r="DV17" s="51">
        <f ca="1">IF($F17&lt;OFFSET($BM$9,$DT17-1,0,1,1),0,IF($F17&lt;OFFSET($BN$9,$DT17-1,0,1,1),IF(AND($H17&gt;2.4,Z17&lt;&gt;"e",Z17&lt;&gt;"f"),DZ17*2.4/$H17,DZ17),IF($F17&lt;OFFSET($BN$9,$DT17+0,0,1,1),IF(AND($H17&gt;2.4,Z17&lt;&gt;"e",Z17&lt;&gt;"f"),DZ17*2.4/$H17,DZ17),IF($F17&lt;OFFSET($BN$9,$DT17+1,0,1,1),IF(AND($H17&gt;2.4,Z17&lt;&gt;"e",Z17&lt;&gt;"f"),DZ17*2.4/$H17,DZ17),IF($F17&lt;OFFSET($BN$9,$DT17+2,0,1,1),IF(AND($H17&gt;2.4,Z17&lt;&gt;"e",Z17&lt;&gt;"f"),DZ17*2.4/$H17,DZ17),IF($F17&lt;OFFSET($BN$9,$DT17+3,0,1,1),IF(AND($H17&gt;2.4,Z17&lt;&gt;"e",Z17&lt;&gt;"f"),DZ17*2.4/$H17,DZ17),0)))))*COS(RADIANS($G17)))</f>
        <v>0</v>
      </c>
      <c r="DW17" s="188">
        <f ca="1">IF(F17&lt;OFFSET($BM$9,DT17-1,0,1,1),0,IF(F17&lt;OFFSET($BN$9,DT17-1,0,1,1),((F17-OFFSET($BM$9,DT17-1,0,1,1))*OFFSET($CI$9,DT17-1,0,1,1))+OFFSET($BP$9,DT17-1,CQ17,1,1),IF(F17&lt;OFFSET($BN$9,DT17+0,0,1,1),((F17-OFFSET($BM$9,DT17+0,0,1,1))*OFFSET($CI$9,DT17+0,0,1,1))+OFFSET($BP$9,DT17+0,CQ17,1,1),IF(F17&lt;OFFSET($BN$9,DT17+1,0,1,1),((F17-OFFSET($BM$9,DT17+1,0,1,1))*OFFSET($CI$9,DT17+1,0,1,1))+OFFSET($BP$9,DT17+1,CQ17,1,1),IF(F17&lt;OFFSET($BN$9,DT17+2,0,1,1),((F17-OFFSET($BM$9,DT17+2,0,1,1))*OFFSET($CI$9,DT17+2,0,1,1))+OFFSET($BP$9,DT17+2,CQ17,1,1),IF(F17&lt;OFFSET($BN$9,DT17+3,0,1,1),((F17-OFFSET($BM$9,DT17+3,0,1,1))*OFFSET($CI$9,DT17+3,0,1,1))+OFFSET($BP$9,DT17+3,CQ17,1,1),0))))))</f>
        <v>0</v>
      </c>
      <c r="DX17" s="51">
        <f ca="1">IF($F17&lt;OFFSET($BM$9,$DT17-1,0,1,1),0,IF($F17&lt;OFFSET($BN$9,$DT17-1,0,1,1),IF(AND($H17&gt;2.4,Z17&lt;&gt;"e",Z17&lt;&gt;"f"),EB17*2.4/$H17,EB17),IF($F17&lt;OFFSET($BN$9,$DT17+0,0,1,1),IF(AND($H17&gt;2.4,Z17&lt;&gt;"e",Z17&lt;&gt;"f"),EB17*2.4/$H17,EB17),IF($F17&lt;OFFSET($BN$9,$DT17+1,0,1,1),IF(AND($H17&gt;2.4,Z17&lt;&gt;"e",Z17&lt;&gt;"f"),EB17*2.4/$H17,EB17),IF($F17&lt;OFFSET($BN$9,$DT17+2,0,1,1),IF(AND($H17&gt;2.4,Z17&lt;&gt;"e",Z17&lt;&gt;"f"),EB17*2.4/$H17,EB17),IF($F17&lt;OFFSET($BN$9,$DT17+3,0,1,1),IF(AND($H17&gt;2.4,Z17&lt;&gt;"e",Z17&lt;&gt;"f"),EB17*2.4/$H17,EB17),0)))))*COS(RADIANS($G17)))</f>
        <v>0</v>
      </c>
      <c r="DY17" s="188"/>
      <c r="DZ17" s="188">
        <f ca="1">IF(DU17&gt;$CR17,$CR17,DU17)</f>
        <v>0</v>
      </c>
      <c r="EA17" s="188"/>
      <c r="EB17" s="188">
        <f ca="1">IF(DW17&gt;$CR17,$CR17,DW17)</f>
        <v>0</v>
      </c>
      <c r="EC17" s="435">
        <f ca="1">IF(DV17&gt;$CR17,$CR17,DV17)</f>
        <v>0</v>
      </c>
      <c r="ED17" s="435">
        <f ca="1">EC17*F17</f>
        <v>0</v>
      </c>
      <c r="EE17" s="436">
        <f ca="1">IF(DX17&gt;$CR17,$CR17,DX17)</f>
        <v>0</v>
      </c>
      <c r="EF17" s="437">
        <f ca="1">EE17*F17</f>
        <v>0</v>
      </c>
      <c r="EG17" s="613" t="str">
        <f>IF(D17=BG$12,BG$12,"")</f>
        <v/>
      </c>
      <c r="EH17" s="614" t="str">
        <f>IF(D17=BG$13,BG$13,"")</f>
        <v/>
      </c>
      <c r="EI17" s="611">
        <f>IF(EG17=BG$12,M17,0)</f>
        <v>0</v>
      </c>
      <c r="EJ17" s="451">
        <f>IF(EG17=BG$12,O17,0)</f>
        <v>0</v>
      </c>
      <c r="EK17" s="451">
        <f>IF(EH17=BG$13,M17,0)</f>
        <v>0</v>
      </c>
      <c r="EL17" s="612">
        <f>IF(EH17=BG$13,O17,0)</f>
        <v>0</v>
      </c>
      <c r="EM17" s="426" t="str">
        <f ca="1">IF(AND(Z17&lt;&gt;"t",Z17&lt;&gt;"f"),"",IF(AND(EN17=$BH$11,K17&lt;&gt;EN17),EM$4,IF(AND(EN17=$BH$12,K17=$BH$13),EM$4,IF(AND(EN17=$BH$12,K17=$BH$14),EM$4,IF(AND(EN17=$BH$13,K17=$BH$14),$EM$4,IF(EN17=$BH$14,$EM$4,""))))))</f>
        <v/>
      </c>
      <c r="EN17" s="489" t="str">
        <f>BG$24</f>
        <v>No Floor</v>
      </c>
      <c r="EO17" s="426" t="str">
        <f>K17</f>
        <v xml:space="preserve"> </v>
      </c>
      <c r="EP17" s="497" t="str">
        <f ca="1">IF(AND(Z17&lt;&gt;"t",Z17&lt;&gt;"f"),"",IF(AND(EN17=$BH$14,K17&lt;&gt;EN17),EP$4,IF(AND(EN17=$BH$13,K17=$BH$12),EP$4,IF(AND(EN17=$BH$13,K17=$BH$11),EP$4,IF(AND(EN17=$BH$12,K17=$BH$11),$EP$4,IF(EN17=$BH$11,"Earth",""))))))</f>
        <v/>
      </c>
      <c r="EQ17" s="430" t="str">
        <f ca="1">IF(Z17&lt;&gt;"t","",IF(EQ$5=2,IF(K17&lt;&gt;BH$11,EQ$7," ")))</f>
        <v/>
      </c>
      <c r="ER17" s="439" t="str">
        <f ca="1">IF(H17=0," ",H17)</f>
        <v xml:space="preserve"> </v>
      </c>
      <c r="ES17" s="440" t="str">
        <f ca="1">IF(ER17&lt;&gt;" ",IF(ER17&lt;&gt;ER$7,"Changed",""),"")</f>
        <v/>
      </c>
      <c r="ET17" s="440">
        <f t="shared" ca="1" si="20"/>
        <v>0</v>
      </c>
      <c r="EU17" s="426" t="str">
        <f ca="1">IF(I17=" "," ",IF(F17&lt;OFFSET($BM$9,CL17-1,0,1,1),1,""))</f>
        <v xml:space="preserve"> </v>
      </c>
      <c r="EW17" s="427"/>
      <c r="EY17" s="421"/>
    </row>
    <row r="18" spans="2:155" ht="17.100000000000001" customHeight="1" thickBot="1">
      <c r="B18" s="689" t="s">
        <v>246</v>
      </c>
      <c r="C18" s="684" t="str">
        <f>IF(OR(F18=0,I18="",I18=" ")," ",$V18)</f>
        <v xml:space="preserve"> </v>
      </c>
      <c r="D18" s="1419"/>
      <c r="E18" s="1360"/>
      <c r="F18" s="202"/>
      <c r="G18" s="1416"/>
      <c r="H18" s="1417" t="str">
        <f ca="1">IF(OR(F18=0,Z18="E",Z18="f")," ",'Project Demand'!E$55)</f>
        <v xml:space="preserve"> </v>
      </c>
      <c r="I18" s="631" t="str">
        <f>IF($I$6&lt;&gt;$BG$8," ",AB18)</f>
        <v xml:space="preserve"> </v>
      </c>
      <c r="J18" s="44" t="str">
        <f ca="1">IF(OR(I18=" ",I18="")," ",OFFSET($BO$9,CL18-1,0-4,1,1))</f>
        <v xml:space="preserve"> </v>
      </c>
      <c r="K18" s="55" t="str">
        <f>IF(OR(I18=" ",I18="")," ",IF(OR(Z18="e",Z18="h"),"SD",IF(BG$24=BH$11,BH$13,BG$24)))</f>
        <v xml:space="preserve"> </v>
      </c>
      <c r="L18" s="49">
        <f ca="1">CW18</f>
        <v>0</v>
      </c>
      <c r="M18" s="49">
        <f ca="1">CY18</f>
        <v>0</v>
      </c>
      <c r="N18" s="50">
        <f t="shared" ca="1" si="21"/>
        <v>0</v>
      </c>
      <c r="O18" s="126">
        <f t="shared" ca="1" si="21"/>
        <v>0</v>
      </c>
      <c r="P18" s="140"/>
      <c r="Q18" s="752" t="str">
        <f ca="1">IF(AND(OR(Z18="t",Z18="f"),K18=$BH$11),"No Floor!  Change Floor Type",IF(OR(I18=" ",I18="")," ",IF(F18&lt;OFFSET($BM$9,CL18-1,0,1,1),"check L(m)",DE18&amp;IF(AND(DP18&gt;=CY18,DR18&gt;=DB18),IF(AND(ED18&gt;=DP18,EF18&gt;=DR18),CONCATENATE(DS18," will provide same result"),CONCATENATE(CO18," will provide same result")),IF((DP18&gt;=CY18),CONCATENATE(CO18," provides same result in WIND"),IF((DR18&gt;=DB18),CONCATENATE(CO18," provides same result in EQ"),""))))))&amp;IF(ISERROR(FIND("pile",I18,1)),"",IF(INT(F18)&lt;&gt;F18,"Pile!  Use Whole Numbers Only",""))</f>
        <v xml:space="preserve"> </v>
      </c>
      <c r="T18" s="52"/>
      <c r="U18" s="1377"/>
      <c r="V18" s="52" t="str">
        <f ca="1">IF(AND(B$5=$BF$9,OR(I18=BH$16,I18=BH$17))," ",IF(ISNUMBER(B$14),(CONCATENATE(B$14,".",W18)),(CONCATENATE(B$14,W18))))</f>
        <v>B0</v>
      </c>
      <c r="W18" s="9">
        <f ca="1">W17+X18</f>
        <v>0</v>
      </c>
      <c r="X18" s="9">
        <f>IF(AND(B$5=$BF$9,OR($I18=$BH$16,$I18=$BH$17,$I18=" ",$I18="",$F18=0)),0,IF(OR($I18=" ",$I18="",$F18=0),0,1))</f>
        <v>0</v>
      </c>
      <c r="Y18" s="896"/>
      <c r="Z18" s="52" t="str">
        <f ca="1">IF(I18=" "," ",OFFSET($BM$9,$CL18-1,8,1,1))</f>
        <v xml:space="preserve"> </v>
      </c>
      <c r="AA18" s="51" t="str">
        <f>IF(G18&gt;=45,"WA","")</f>
        <v/>
      </c>
      <c r="AB18" s="1364" t="str">
        <f>IF(OR(E18=" ",E18="")," ",(IF(F18&lt;&gt;"",IF(OR(D18=$BG$12,D18=$BG$13),IF(E18&lt;&gt;$BG$17,$BF$20,$BF$21),IF(E18&lt;&gt;$BG$17,$BF$20,$BF$21))," ")))</f>
        <v xml:space="preserve"> </v>
      </c>
      <c r="AC18" s="1"/>
      <c r="AJ18" s="2867"/>
      <c r="AK18" s="2094" t="s">
        <v>909</v>
      </c>
      <c r="AL18" s="1384" t="str">
        <f>'Custom Elements'!P13</f>
        <v>Braced pile</v>
      </c>
      <c r="AM18" s="26">
        <f>'Custom Elements'!Q13</f>
        <v>1</v>
      </c>
      <c r="AN18" s="877">
        <f>'Custom Elements'!R13</f>
        <v>160</v>
      </c>
      <c r="AO18" s="877">
        <f>'Custom Elements'!S13</f>
        <v>120</v>
      </c>
      <c r="AP18" s="1245"/>
      <c r="AQ18" s="1643" t="str">
        <f>'Custom Elements'!V13</f>
        <v>No</v>
      </c>
      <c r="AR18" s="875" t="str">
        <f>'Custom Elements'!W13</f>
        <v>No</v>
      </c>
      <c r="AS18" s="1640"/>
      <c r="AT18" s="879" t="s">
        <v>915</v>
      </c>
      <c r="AU18" s="119"/>
      <c r="AV18" s="119"/>
      <c r="AW18" s="119"/>
      <c r="AX18" s="119"/>
      <c r="AY18" s="119"/>
      <c r="AZ18" s="119"/>
      <c r="BA18" s="119"/>
      <c r="BB18" s="119"/>
      <c r="BC18" s="119"/>
      <c r="BD18" s="638"/>
      <c r="BF18" s="598" t="str">
        <f>'Custom Elements'!P15</f>
        <v>Anchor pile</v>
      </c>
      <c r="BG18" s="949"/>
      <c r="BI18" s="759"/>
      <c r="BJ18" s="897">
        <f t="shared" si="5"/>
        <v>10</v>
      </c>
      <c r="BK18" s="769" t="str">
        <f t="shared" si="6"/>
        <v xml:space="preserve">  </v>
      </c>
      <c r="BL18" s="771" t="str">
        <f t="shared" si="7"/>
        <v>Custom7</v>
      </c>
      <c r="BM18" s="455">
        <f t="shared" si="8"/>
        <v>9.9999999999999996E-76</v>
      </c>
      <c r="BN18" s="455">
        <v>999</v>
      </c>
      <c r="BO18" s="455">
        <f t="shared" si="9"/>
        <v>0</v>
      </c>
      <c r="BP18" s="925">
        <f t="shared" si="10"/>
        <v>0</v>
      </c>
      <c r="BR18" s="764"/>
      <c r="BS18" s="455"/>
      <c r="BT18" s="455" t="str">
        <f t="shared" si="11"/>
        <v>B</v>
      </c>
      <c r="BU18" s="925" t="str">
        <f t="shared" si="12"/>
        <v>T</v>
      </c>
      <c r="BV18" s="483" t="str">
        <f t="shared" si="13"/>
        <v>Custom7</v>
      </c>
      <c r="BW18" s="910">
        <f t="shared" si="22"/>
        <v>10</v>
      </c>
      <c r="BX18" s="924" t="str">
        <f t="shared" si="14"/>
        <v>Single</v>
      </c>
      <c r="CH18" s="764">
        <f t="shared" si="15"/>
        <v>0</v>
      </c>
      <c r="CI18" s="925">
        <f t="shared" si="16"/>
        <v>0</v>
      </c>
      <c r="CJ18" s="759"/>
      <c r="CK18" s="188"/>
      <c r="CL18" s="979">
        <f>VLOOKUP(I18,Prodlink,2,0)</f>
        <v>0</v>
      </c>
      <c r="CN18" s="497">
        <f t="shared" ca="1" si="2"/>
        <v>0</v>
      </c>
      <c r="CO18" s="497">
        <f ca="1">OFFSET($CH$9,CL18-1,-15,1,1)</f>
        <v>0</v>
      </c>
      <c r="CQ18" s="51">
        <v>0</v>
      </c>
      <c r="CR18" s="51">
        <f ca="1">IF(AND(Z18&lt;&gt;"t",Z18&lt;&gt;"f"),10000,IF(K18=$BH$11,0,IF(K18=$BH$12,$BH$23,IF(K18=$BH$13,$BH$24,10000))))</f>
        <v>10000</v>
      </c>
      <c r="CS18" s="51">
        <f ca="1">IF(F18&lt;OFFSET($BM$9,CL18-1,0,1,1),0,IF(F18&lt;OFFSET($BN$9,CL18-1,0,1,1),((F18-OFFSET($BM$9,CL18-1,0,1,1))*OFFSET($CH$9,CL18-1,0,1,1))+OFFSET($BO$9,CL18-1,CQ18,1,1),IF(F18&lt;OFFSET($BN$9,CL18+0,0,1,1),((F18-OFFSET($BM$9,CL18+0,0,1,1))*OFFSET($CH$9,CL18+0,0,1,1))+OFFSET($BO$9,CL18+0,CQ18,1,1),IF(F18&lt;OFFSET($BN$9,CL18+1,0,1,1),((F18-OFFSET($BM$9,CL18+1,0,1,1))*OFFSET($CH$9,CL18+1,0,1,1))+OFFSET($BO$9,CL18+1,CQ18,1,1),IF(F18&lt;OFFSET($BN$9,CL18+2,0,1,1),((F18-OFFSET($BM$9,CL18+2,0,1,1))*OFFSET($CH$9,CL18+2,0,1,1))+OFFSET($BO$9,CL18+2,CQ18,1,1),IF(F18&lt;OFFSET($BN$9,CL18+3,0,1,1),((F18-OFFSET($BM$9,CL18+3,0,1,1))*OFFSET($CH$9,CL18+3,0,1,1))+OFFSET($BO$9,CL18+3,CQ18,1,1),0))))))</f>
        <v>0</v>
      </c>
      <c r="CT18" s="51">
        <f ca="1">IF($F18&lt;OFFSET($BM$9,$CL18-1,0,1,1),0,IF($F18&lt;OFFSET($BN$9,$CL18-1,0,1,1),IF(AND($H18&gt;2.4,Z18&lt;&gt;"e",Z18&lt;&gt;"f"),CX18*2.4/$H18,CX18),IF($F18&lt;OFFSET($BN$9,$CL18+0,0,1,1),IF(AND($H18&gt;2.4,Z18&lt;&gt;"e",Z18&lt;&gt;"f"),CX18*2.4/$H18,CX18),IF($F18&lt;OFFSET($BN$9,$CL18+1,0,1,1),IF(AND($H18&gt;2.4,Z18&lt;&gt;"e",Z18&lt;&gt;"f"),CX18*2.4/$H18,CX18),IF($F18&lt;OFFSET($BN$9,CL18+2,0,1,1),IF(AND($H18&gt;2.4,Z18&lt;&gt;"e",Z18&lt;&gt;"f"),CX18*2.4/$H18,CX18),IF($F18&lt;OFFSET($BN$9,CL18+3,0,1,1),IF(AND($H18&gt;2.4,Z18&lt;&gt;"e",Z18&lt;&gt;"f"),CX18*2.4/$H18,CX18),0)))))*COS(RADIANS($G18)))</f>
        <v>0</v>
      </c>
      <c r="CU18" s="51">
        <f ca="1">IF(F18&lt;OFFSET($BM$9,CL18-1,0,1,1),0,IF(F18&lt;OFFSET($BN$9,CL18-1,0,1,1),((F18-OFFSET($BM$9,CL18-1,0,1,1))*OFFSET($CI$9,CL18-1,0,1,1))+OFFSET($BP$9,CL18-1,CQ18,1,1),IF(F18&lt;OFFSET($BN$9,CL18+0,0,1,1),((F18-OFFSET($BM$9,CL18+0,0,1,1))*OFFSET($CI$9,CL18+0,0,1,1))+OFFSET($BP$9,CL18+0,CQ18,1,1),IF(F18&lt;OFFSET($BN$9,CL18+1,0,1,1),((F18-OFFSET($BM$9,CL18+1,0,1,1))*OFFSET($CI$9,CL18+1,0,1,1))+OFFSET($BP$9,CL18+1,CQ18,1,1),IF(F18&lt;OFFSET($BN$9,CL18+2,0,1,1),((F18-OFFSET($BM$9,CL18+2,0,1,1))*OFFSET($CI$9,CL18+2,0,1,1))+OFFSET($BP$9,CL18+2,CQ18,1,1),IF(F18&lt;OFFSET($BN$9,CL18+3,0,1,1),((F18-OFFSET($BM$9,CL18+3,0,1,1))*OFFSET($CI$9,CL18+3,0,1,1))+OFFSET($BP$9,CL18+3,CQ18,1,1),0))))))</f>
        <v>0</v>
      </c>
      <c r="CV18" s="51">
        <f ca="1">IF($F18&lt;OFFSET($BM$9,$CL18-1,0,1,1),0,IF($F18&lt;OFFSET($BN$9,$CL18-1,0,1,1),IF(AND($H18&gt;2.4,Z18&lt;&gt;"e",Z18&lt;&gt;"f"),CZ18*2.4/$H18,CZ18),IF($F18&lt;OFFSET($BN$9,$CL18+0,0,1,1),IF(AND($H18&gt;2.4,Z18&lt;&gt;"e",Z18&lt;&gt;"f"),CZ18*2.4/$H18,CZ18),IF($F18&lt;OFFSET($BN$9,$CL18+1,0,1,1),IF(AND($H18&gt;2.4,Z18&lt;&gt;"e",Z18&lt;&gt;"f"),CZ18*2.4/$H18,CZ18),IF($F18&lt;OFFSET($BN$9,$CL18+2,0,1,1),IF(AND($H18&gt;2.4,Z18&lt;&gt;"e",Z18&lt;&gt;"f"),CZ18*2.4/$H18,CZ18),IF($F18&lt;OFFSET($BN$9,$CL18+3,0,1,1),IF(AND($H18&gt;2.4,Z18&lt;&gt;"e",Z18&lt;&gt;"f"),CZ18*2.4/$H18,CZ18),0)))))*COS(RADIANS($G18)))</f>
        <v>0</v>
      </c>
      <c r="CW18" s="51">
        <f t="shared" ca="1" si="17"/>
        <v>0</v>
      </c>
      <c r="CX18" s="51">
        <f ca="1">IF(CS18&gt;$CR18,$CR18,CS18)</f>
        <v>0</v>
      </c>
      <c r="CY18" s="51">
        <f ca="1">CW18*F18</f>
        <v>0</v>
      </c>
      <c r="CZ18" s="51">
        <f ca="1">IF($CU18&gt;$CR18,$CR18,$CU18)</f>
        <v>0</v>
      </c>
      <c r="DA18" s="51">
        <f ca="1">IF(CV18&gt;CR18,CR18,CV18)</f>
        <v>0</v>
      </c>
      <c r="DB18" s="51">
        <f ca="1">DA18*F18</f>
        <v>0</v>
      </c>
      <c r="DC18" s="993">
        <v>1</v>
      </c>
      <c r="DD18" s="758" t="str">
        <f>IF(OR(D18=BG$12,D18=BG$13),"External",IF(D18=BG$14,"Internal"," "))</f>
        <v xml:space="preserve"> </v>
      </c>
      <c r="DE18" s="51" t="str">
        <f t="shared" ca="1" si="18"/>
        <v/>
      </c>
      <c r="DF18" s="52" t="str">
        <f t="shared" ca="1" si="19"/>
        <v xml:space="preserve"> </v>
      </c>
      <c r="DG18" s="51">
        <f ca="1">IF(F18&lt;OFFSET($BM$9,CN18-1,0,1,1),0,IF(F18&lt;OFFSET($BN$9,CN18-1,0,1,1),((F18-OFFSET($BM$9,CN18-1,0,1,1))*OFFSET($CH$9,CN18-1,0,1,1))+OFFSET($BO$9,CN18-1,CQ18,1,1),IF(F18&lt;OFFSET($BN$9,CN18+0,0,1,1),((F18-OFFSET($BM$9,CN18+0,0,1,1))*OFFSET($CH$9,CN18+0,0,1,1))+OFFSET($BO$9,CN18+0,CQ18,1,1),IF(F18&lt;OFFSET($BN$9,CN18+1,0,1,1),((F18-OFFSET($BM$9,CN18+1,0,1,1))*OFFSET($CH$9,CN18+1,0,1,1))+OFFSET($BO$9,CN18+1,CQ18,1,1),IF(F18&lt;OFFSET($BN$9,CN18+2,0,1,1),((F18-OFFSET($BM$9,CN18+2,0,1,1))*OFFSET($CH$9,CN18+2,0,1,1))+OFFSET($BO$9,CN18+2,CQ18,1,1),IF(F18&lt;OFFSET($BN$9,CN18+3,0,1,1),((F18-OFFSET($BM$9,CN18+3,0,1,1))*OFFSET($CH$9,CN18+3,0,1,1))+OFFSET($BO$9,CN18+3,CQ18,1,1),0))))))</f>
        <v>0</v>
      </c>
      <c r="DH18" s="51">
        <f ca="1">IF($F18&lt;OFFSET($BM$9,$CN18-1,0,1,1),0,IF($F18&lt;OFFSET($BN$9,$CN18-1,0,1,1),IF(AND($H18&gt;2.4,Z18&lt;&gt;"e",Z18&lt;&gt;"f"),DL18*2.4/$H18,DL18),IF($F18&lt;OFFSET($BN$9,$CN18+0,0,1,1),IF(AND($H18&gt;2.4,Z18&lt;&gt;"e",Z18&lt;&gt;"f"),DL18*2.4/$H18,DL18),IF($F18&lt;OFFSET($BN$9,$CN18+1,0,1,1),IF(AND($H18&gt;2.4,Z18&lt;&gt;"e",Z18&lt;&gt;"f"),DL18*2.4/$H18,DL18),IF($F18&lt;OFFSET($BN$9,$CN18+2,0,1,1),IF(AND($H18&gt;2.4,Z18&lt;&gt;"e",Z18&lt;&gt;"f"),DL18*2.4/$H18,DL18),IF($F18&lt;OFFSET($BN$9,$CN18+3,0,1,1),IF(AND($H18&gt;2.4,Z18&lt;&gt;"e",Z18&lt;&gt;"f"),DL18*2.4/$H18,DL18),0)))))*COS(RADIANS($G18)))</f>
        <v>0</v>
      </c>
      <c r="DI18" s="51">
        <f ca="1">IF(F18&lt;OFFSET($BM$9,CN18-1,0,1,1),0,IF(F18&lt;OFFSET($BN$9,CN18-1,0,1,1),((F18-OFFSET($BM$9,CN18-1,0,1,1))*OFFSET($CI$9,CN18-1,0,1,1))+OFFSET($BP$9,CN18-1,CQ18,1,1),IF(F18&lt;OFFSET($BN$9,CN18+0,0,1,1),((F18-OFFSET($BM$9,CN18+0,0,1,1))*OFFSET($CI$9,CN18+0,0,1,1))+OFFSET($BP$9,CN18+0,CQ18,1,1),IF(F18&lt;OFFSET($BN$9,CN18+1,0,1,1),((F18-OFFSET($BM$9,CN18+1,0,1,1))*OFFSET($CI$9,CN18+1,0,1,1))+OFFSET($BP$9,CN18+1,CQ18,1,1),IF(F18&lt;OFFSET($BN$9,CN18+2,0,1,1),((F18-OFFSET($BM$9,CN18+2,0,1,1))*OFFSET($CI$9,CN18+2,0,1,1))+OFFSET($BP$9,CN18+2,CQ18,1,1),IF(F18&lt;OFFSET($BN$9,CN18+3,0,1,1),((F18-OFFSET($BM$9,CN18+3,0,1,1))*OFFSET($CI$9,CN18+3,0,1,1))+OFFSET($BP$9,CN18+3,CQ18,1,1),0))))))</f>
        <v>0</v>
      </c>
      <c r="DJ18" s="51">
        <f ca="1">IF($F18&lt;OFFSET($BM$9,$CN18-1,0,1,1),0,IF($F18&lt;OFFSET($BN$9,$CN18-1,0,1,1),IF(AND($H18&gt;2.4,Z18&lt;&gt;"e",Z18&lt;&gt;"f"),DN18*2.4/$H18,DN18),IF($F18&lt;OFFSET($BN$9,$CN18+0,0,1,1),IF(AND($H18&gt;2.4,Z18&lt;&gt;"e",Z18&lt;&gt;"f"),DN18*2.4/$H18,DN18),IF($F18&lt;OFFSET($BN$9,$CN18+1,0,1,1),IF(AND($H18&gt;2.4,Z18&lt;&gt;"e",Z18&lt;&gt;"f"),DN18*2.4/$H18,DN18),IF($F18&lt;OFFSET($BN$9,$CN18+2,0,1,1),IF(AND($H18&gt;2.4,Z18&lt;&gt;"e",Z18&lt;&gt;"f"),DN18*2.4/$H18,DN18),IF($F18&lt;OFFSET($BN$9,$CN18+3,0,1,1),IF(AND($H18&gt;2.4,Z18&lt;&gt;"e",Z18&lt;&gt;"f"),DN18*2.4/$H18,DN18),0)))))*COS(RADIANS($G18)))</f>
        <v>0</v>
      </c>
      <c r="DK18" s="51"/>
      <c r="DL18" s="51">
        <f ca="1">IF(DG18&gt;$CR18,$CR18,DG18)</f>
        <v>0</v>
      </c>
      <c r="DM18" s="51"/>
      <c r="DN18" s="51">
        <f ca="1">IF(DI18&gt;$CR18,$CR18,DI18)</f>
        <v>0</v>
      </c>
      <c r="DO18" s="435">
        <f ca="1">IF(DH18&gt;$CR18,$CR18,DH18)</f>
        <v>0</v>
      </c>
      <c r="DP18" s="435">
        <f ca="1">DO18*F18</f>
        <v>0</v>
      </c>
      <c r="DQ18" s="436">
        <f ca="1">IF(DJ18&gt;$CR18,$CR18,DJ18)</f>
        <v>0</v>
      </c>
      <c r="DR18" s="437">
        <f ca="1">DQ18*F18</f>
        <v>0</v>
      </c>
      <c r="DS18" s="426">
        <f ca="1">OFFSET($CH$9,CL18-1,-15,1,1)</f>
        <v>0</v>
      </c>
      <c r="DT18" s="426">
        <f t="shared" ca="1" si="1"/>
        <v>0</v>
      </c>
      <c r="DU18" s="188">
        <f ca="1">IF(F18&lt;OFFSET($BM$9,DT18-1,0,1,1),0,IF(F18&lt;OFFSET($BN$9,DT18-1,0,1,1),((F18-OFFSET($BM$9,DT18-1,0,1,1))*OFFSET($CH$9,DT18-1,0,1,1))+OFFSET($BO$9,DT18-1,CQ18,1,1),IF(F18&lt;OFFSET($BN$9,DT18+0,0,1,1),((F18-OFFSET($BM$9,DT18+0,0,1,1))*OFFSET($CH$9,DT18+0,0,1,1))+OFFSET($BO$9,DT18+0,CQ18,1,1),IF(F18&lt;OFFSET($BN$9,DT18+1,0,1,1),((F18-OFFSET($BM$9,DT18+1,0,1,1))*OFFSET($CH$9,DT18+1,0,1,1))+OFFSET($BO$9,DT18+1,CQ18,1,1),IF(F18&lt;OFFSET($BN$9,DT18+2,0,1,1),((F18-OFFSET($BM$9,DT18+2,0,1,1))*OFFSET($CH$9,DT18+2,0,1,1))+OFFSET($BO$9,DT18+2,CQ18,1,1),IF(F18&lt;OFFSET($BN$9,DT18+3,0,1,1),((F18-OFFSET($BM$9,DT18+3,0,1,1))*OFFSET($CH$9,DT18+3,0,1,1))+OFFSET($BO$9,DT18+3,CQ18,1,1),0))))))</f>
        <v>0</v>
      </c>
      <c r="DV18" s="51">
        <f ca="1">IF($F18&lt;OFFSET($BM$9,$DT18-1,0,1,1),0,IF($F18&lt;OFFSET($BN$9,$DT18-1,0,1,1),IF(AND($H18&gt;2.4,Z18&lt;&gt;"e",Z18&lt;&gt;"f"),DZ18*2.4/$H18,DZ18),IF($F18&lt;OFFSET($BN$9,$DT18+0,0,1,1),IF(AND($H18&gt;2.4,Z18&lt;&gt;"e",Z18&lt;&gt;"f"),DZ18*2.4/$H18,DZ18),IF($F18&lt;OFFSET($BN$9,$DT18+1,0,1,1),IF(AND($H18&gt;2.4,Z18&lt;&gt;"e",Z18&lt;&gt;"f"),DZ18*2.4/$H18,DZ18),IF($F18&lt;OFFSET($BN$9,$DT18+2,0,1,1),IF(AND($H18&gt;2.4,Z18&lt;&gt;"e",Z18&lt;&gt;"f"),DZ18*2.4/$H18,DZ18),IF($F18&lt;OFFSET($BN$9,$DT18+3,0,1,1),IF(AND($H18&gt;2.4,Z18&lt;&gt;"e",Z18&lt;&gt;"f"),DZ18*2.4/$H18,DZ18),0)))))*COS(RADIANS($G18)))</f>
        <v>0</v>
      </c>
      <c r="DW18" s="188">
        <f ca="1">IF(F18&lt;OFFSET($BM$9,DT18-1,0,1,1),0,IF(F18&lt;OFFSET($BN$9,DT18-1,0,1,1),((F18-OFFSET($BM$9,DT18-1,0,1,1))*OFFSET($CI$9,DT18-1,0,1,1))+OFFSET($BP$9,DT18-1,CQ18,1,1),IF(F18&lt;OFFSET($BN$9,DT18+0,0,1,1),((F18-OFFSET($BM$9,DT18+0,0,1,1))*OFFSET($CI$9,DT18+0,0,1,1))+OFFSET($BP$9,DT18+0,CQ18,1,1),IF(F18&lt;OFFSET($BN$9,DT18+1,0,1,1),((F18-OFFSET($BM$9,DT18+1,0,1,1))*OFFSET($CI$9,DT18+1,0,1,1))+OFFSET($BP$9,DT18+1,CQ18,1,1),IF(F18&lt;OFFSET($BN$9,DT18+2,0,1,1),((F18-OFFSET($BM$9,DT18+2,0,1,1))*OFFSET($CI$9,DT18+2,0,1,1))+OFFSET($BP$9,DT18+2,CQ18,1,1),IF(F18&lt;OFFSET($BN$9,DT18+3,0,1,1),((F18-OFFSET($BM$9,DT18+3,0,1,1))*OFFSET($CI$9,DT18+3,0,1,1))+OFFSET($BP$9,DT18+3,CQ18,1,1),0))))))</f>
        <v>0</v>
      </c>
      <c r="DX18" s="51">
        <f ca="1">IF($F18&lt;OFFSET($BM$9,$DT18-1,0,1,1),0,IF($F18&lt;OFFSET($BN$9,$DT18-1,0,1,1),IF(AND($H18&gt;2.4,Z18&lt;&gt;"e",Z18&lt;&gt;"f"),EB18*2.4/$H18,EB18),IF($F18&lt;OFFSET($BN$9,$DT18+0,0,1,1),IF(AND($H18&gt;2.4,Z18&lt;&gt;"e",Z18&lt;&gt;"f"),EB18*2.4/$H18,EB18),IF($F18&lt;OFFSET($BN$9,$DT18+1,0,1,1),IF(AND($H18&gt;2.4,Z18&lt;&gt;"e",Z18&lt;&gt;"f"),EB18*2.4/$H18,EB18),IF($F18&lt;OFFSET($BN$9,$DT18+2,0,1,1),IF(AND($H18&gt;2.4,Z18&lt;&gt;"e",Z18&lt;&gt;"f"),EB18*2.4/$H18,EB18),IF($F18&lt;OFFSET($BN$9,$DT18+3,0,1,1),IF(AND($H18&gt;2.4,Z18&lt;&gt;"e",Z18&lt;&gt;"f"),EB18*2.4/$H18,EB18),0)))))*COS(RADIANS($G18)))</f>
        <v>0</v>
      </c>
      <c r="DY18" s="188"/>
      <c r="DZ18" s="188">
        <f ca="1">IF(DU18&gt;$CR18,$CR18,DU18)</f>
        <v>0</v>
      </c>
      <c r="EA18" s="188"/>
      <c r="EB18" s="188">
        <f ca="1">IF(DW18&gt;$CR18,$CR18,DW18)</f>
        <v>0</v>
      </c>
      <c r="EC18" s="435">
        <f ca="1">IF(DV18&gt;$CR18,$CR18,DV18)</f>
        <v>0</v>
      </c>
      <c r="ED18" s="435">
        <f ca="1">EC18*F18</f>
        <v>0</v>
      </c>
      <c r="EE18" s="436">
        <f ca="1">IF(DX18&gt;$CR18,$CR18,DX18)</f>
        <v>0</v>
      </c>
      <c r="EF18" s="437">
        <f ca="1">EE18*F18</f>
        <v>0</v>
      </c>
      <c r="EG18" s="613" t="str">
        <f>IF(D18=BG$12,BG$12,"")</f>
        <v/>
      </c>
      <c r="EH18" s="614" t="str">
        <f>IF(D18=BG$13,BG$13,"")</f>
        <v/>
      </c>
      <c r="EI18" s="611">
        <f>IF(EG18=BG$12,M18,0)</f>
        <v>0</v>
      </c>
      <c r="EJ18" s="451">
        <f>IF(EG18=BG$12,O18,0)</f>
        <v>0</v>
      </c>
      <c r="EK18" s="451">
        <f>IF(EH18=BG$13,M18,0)</f>
        <v>0</v>
      </c>
      <c r="EL18" s="612">
        <f>IF(EH18=BG$13,O18,0)</f>
        <v>0</v>
      </c>
      <c r="EM18" s="426" t="str">
        <f ca="1">IF(AND(Z18&lt;&gt;"t",Z18&lt;&gt;"f"),"",IF(AND(EN18=$BH$11,K18&lt;&gt;EN18),EM$4,IF(AND(EN18=$BH$12,K18=$BH$13),EM$4,IF(AND(EN18=$BH$12,K18=$BH$14),EM$4,IF(AND(EN18=$BH$13,K18=$BH$14),$EM$4,IF(EN18=$BH$14,$EM$4,""))))))</f>
        <v/>
      </c>
      <c r="EN18" s="489" t="str">
        <f>BG$24</f>
        <v>No Floor</v>
      </c>
      <c r="EO18" s="426" t="str">
        <f>K18</f>
        <v xml:space="preserve"> </v>
      </c>
      <c r="EP18" s="497" t="str">
        <f ca="1">IF(AND(Z18&lt;&gt;"t",Z18&lt;&gt;"f"),"",IF(AND(EN18=$BH$14,K18&lt;&gt;EN18),EP$4,IF(AND(EN18=$BH$13,K18=$BH$12),EP$4,IF(AND(EN18=$BH$13,K18=$BH$11),EP$4,IF(AND(EN18=$BH$12,K18=$BH$11),$EP$4,IF(EN18=$BH$11,"Earth",""))))))</f>
        <v/>
      </c>
      <c r="EQ18" s="430" t="str">
        <f ca="1">IF(Z18&lt;&gt;"t","",IF(EQ$5=2,IF(K18&lt;&gt;BH$11,EQ$7," ")))</f>
        <v/>
      </c>
      <c r="ER18" s="439" t="str">
        <f ca="1">IF(H18=0," ",H18)</f>
        <v xml:space="preserve"> </v>
      </c>
      <c r="ES18" s="440" t="str">
        <f ca="1">IF(ER18&lt;&gt;" ",IF(ER18&lt;&gt;ER$7,"Changed",""),"")</f>
        <v/>
      </c>
      <c r="ET18" s="440">
        <f t="shared" ca="1" si="20"/>
        <v>0</v>
      </c>
      <c r="EU18" s="426" t="str">
        <f ca="1">IF(I18=" "," ",IF(F18&lt;OFFSET($BM$9,CL18-1,0,1,1),1,""))</f>
        <v xml:space="preserve"> </v>
      </c>
      <c r="EW18" s="427"/>
      <c r="EY18" s="421"/>
    </row>
    <row r="19" spans="2:155" ht="17.100000000000001" customHeight="1" thickBot="1">
      <c r="B19" s="2686" t="s">
        <v>8</v>
      </c>
      <c r="C19" s="2687"/>
      <c r="D19" s="1461" t="s">
        <v>8</v>
      </c>
      <c r="E19" s="659"/>
      <c r="F19" s="659"/>
      <c r="G19" s="659"/>
      <c r="H19" s="659"/>
      <c r="I19" s="1462"/>
      <c r="J19" s="1365" t="str">
        <f ca="1">(CONCATENATE(B14,$BE$54))</f>
        <v>B  Line:  Min. Requirement</v>
      </c>
      <c r="K19" s="23"/>
      <c r="L19" s="1019">
        <f ca="1">L$5</f>
        <v>0</v>
      </c>
      <c r="M19" s="48">
        <f ca="1">IF(B14=B8,SUM(M14:M18)+M13,SUM(M14:M18))</f>
        <v>0</v>
      </c>
      <c r="N19" s="1019">
        <f ca="1">N$5</f>
        <v>0</v>
      </c>
      <c r="O19" s="125">
        <f ca="1">IF(B14=B8,SUM(O14:O18)+O13,SUM(O14:O18))</f>
        <v>0</v>
      </c>
      <c r="P19" s="139"/>
      <c r="Q19" s="42" t="str">
        <f ca="1">IF(B14=B20,"",IF(AND(M19&gt;0,L19=L$5,OR(M19&lt;$M$105,M19&lt;$BF$3)),"Achieved &lt; Min Req per Line",IF(AND(O19&gt;0,N19=N$5,OR(O19&lt;$O$105,O19&lt;$BF$3)),"Achieved &lt; Min Req per Line",IF(AND(M19&gt;0,L19&gt;M19),"More Required on this line",IF(AND(O19&gt;0,N19&gt;O19),"More Required on this line",IF(AND(L19&gt;0,L19&lt;$BF$3),$BE$59,IF(AND(N19&gt;0,N19&lt;$BF$3),$BE$59,"")))))))</f>
        <v/>
      </c>
      <c r="R19" s="52"/>
      <c r="S19" s="52"/>
      <c r="T19" s="52"/>
      <c r="U19" s="1378"/>
      <c r="V19" s="52"/>
      <c r="W19" s="9"/>
      <c r="X19" s="9"/>
      <c r="Y19" s="896"/>
      <c r="Z19" s="52"/>
      <c r="AA19" s="51"/>
      <c r="AB19" s="1364"/>
      <c r="AC19" s="1"/>
      <c r="AJ19" s="2867"/>
      <c r="AK19" s="2094"/>
      <c r="AL19" s="1384" t="str">
        <f>'Custom Elements'!P14</f>
        <v>Cantilever pile</v>
      </c>
      <c r="AM19" s="26">
        <f>'Custom Elements'!Q14</f>
        <v>1</v>
      </c>
      <c r="AN19" s="877">
        <f>'Custom Elements'!R14</f>
        <v>70</v>
      </c>
      <c r="AO19" s="877">
        <f>'Custom Elements'!S14</f>
        <v>30</v>
      </c>
      <c r="AP19" s="1245"/>
      <c r="AQ19" s="1643" t="str">
        <f>'Custom Elements'!V14</f>
        <v>No</v>
      </c>
      <c r="AR19" s="875" t="str">
        <f>'Custom Elements'!W14</f>
        <v>No</v>
      </c>
      <c r="AS19" s="1640"/>
      <c r="AT19" s="879" t="s">
        <v>1019</v>
      </c>
      <c r="AU19" s="477"/>
      <c r="AV19" s="477"/>
      <c r="AW19" s="477"/>
      <c r="AX19" s="477"/>
      <c r="AY19" s="477"/>
      <c r="AZ19" s="477"/>
      <c r="BA19" s="477"/>
      <c r="BB19" s="477"/>
      <c r="BC19" s="477"/>
      <c r="BD19" s="2648"/>
      <c r="BF19" s="598" t="s">
        <v>8</v>
      </c>
      <c r="BG19" s="706" t="s">
        <v>819</v>
      </c>
      <c r="BH19" s="961" t="s">
        <v>221</v>
      </c>
      <c r="BI19" s="759"/>
      <c r="BJ19" s="897">
        <f t="shared" si="5"/>
        <v>11</v>
      </c>
      <c r="BK19" s="769" t="str">
        <f t="shared" si="6"/>
        <v xml:space="preserve">  </v>
      </c>
      <c r="BL19" s="771" t="str">
        <f t="shared" si="7"/>
        <v>Custom8</v>
      </c>
      <c r="BM19" s="455">
        <f t="shared" si="8"/>
        <v>9.9999999999999996E-76</v>
      </c>
      <c r="BN19" s="455">
        <v>999</v>
      </c>
      <c r="BO19" s="455">
        <f t="shared" si="9"/>
        <v>0</v>
      </c>
      <c r="BP19" s="925">
        <f t="shared" si="10"/>
        <v>0</v>
      </c>
      <c r="BR19" s="764"/>
      <c r="BS19" s="455"/>
      <c r="BT19" s="455" t="str">
        <f t="shared" si="11"/>
        <v>B</v>
      </c>
      <c r="BU19" s="925" t="str">
        <f t="shared" si="12"/>
        <v>T</v>
      </c>
      <c r="BV19" s="483" t="str">
        <f t="shared" si="13"/>
        <v>Custom8</v>
      </c>
      <c r="BW19" s="910">
        <f t="shared" si="22"/>
        <v>11</v>
      </c>
      <c r="BX19" s="924" t="str">
        <f t="shared" si="14"/>
        <v>Single</v>
      </c>
      <c r="CH19" s="764">
        <f t="shared" si="15"/>
        <v>0</v>
      </c>
      <c r="CI19" s="925">
        <f t="shared" si="16"/>
        <v>0</v>
      </c>
      <c r="CJ19" s="759"/>
      <c r="CK19" s="188"/>
      <c r="CL19" s="979"/>
      <c r="CN19" s="497"/>
      <c r="CO19" s="497"/>
      <c r="CQ19" s="51"/>
      <c r="CR19" s="51"/>
      <c r="CS19" s="51"/>
      <c r="CT19" s="51" t="s">
        <v>8</v>
      </c>
      <c r="CU19" s="51"/>
      <c r="CV19" s="51" t="s">
        <v>8</v>
      </c>
      <c r="CW19" s="51"/>
      <c r="CX19" s="51"/>
      <c r="CY19" s="51"/>
      <c r="CZ19" s="51"/>
      <c r="DD19" s="758"/>
      <c r="DF19" s="52"/>
      <c r="DG19" s="51"/>
      <c r="DH19" s="51"/>
      <c r="DI19" s="51"/>
      <c r="DJ19" s="51"/>
      <c r="DK19" s="51"/>
      <c r="DL19" s="51"/>
      <c r="DM19" s="51"/>
      <c r="DN19" s="51"/>
      <c r="DO19" s="435"/>
      <c r="DP19" s="435"/>
      <c r="DQ19" s="868"/>
      <c r="DR19" s="868"/>
      <c r="DU19" s="188"/>
      <c r="DV19" s="188" t="s">
        <v>8</v>
      </c>
      <c r="DW19" s="188"/>
      <c r="DX19" s="188" t="s">
        <v>8</v>
      </c>
      <c r="DY19" s="188"/>
      <c r="DZ19" s="188"/>
      <c r="EA19" s="188"/>
      <c r="EB19" s="188"/>
      <c r="EC19" s="435"/>
      <c r="ED19" s="435"/>
      <c r="EE19" s="868"/>
      <c r="EF19" s="868"/>
      <c r="EG19" s="613"/>
      <c r="EH19" s="614"/>
      <c r="EI19" s="613"/>
      <c r="EJ19" s="435"/>
      <c r="EK19" s="451"/>
      <c r="EL19" s="612"/>
      <c r="EN19" s="438"/>
      <c r="ER19" s="441"/>
      <c r="ES19" s="440"/>
      <c r="ET19" s="440"/>
      <c r="EW19" s="427"/>
      <c r="EY19" s="421"/>
    </row>
    <row r="20" spans="2:155" ht="17.100000000000001" customHeight="1" thickBot="1">
      <c r="B20" s="1369" t="str">
        <f ca="1">S20</f>
        <v>C</v>
      </c>
      <c r="C20" s="684" t="str">
        <f>IF(OR(F20=0,I20="",I20=" ")," ",$V20)</f>
        <v xml:space="preserve"> </v>
      </c>
      <c r="D20" s="1033"/>
      <c r="E20" s="1360"/>
      <c r="F20" s="202"/>
      <c r="G20" s="1416"/>
      <c r="H20" s="1417" t="str">
        <f ca="1">IF(OR(F20=0,Z20="E",Z20="f")," ",'Project Demand'!E$55)</f>
        <v xml:space="preserve"> </v>
      </c>
      <c r="I20" s="631" t="str">
        <f>IF($I$6&lt;&gt;$BG$8," ",AB20)</f>
        <v xml:space="preserve"> </v>
      </c>
      <c r="J20" s="43" t="str">
        <f ca="1">IF(OR(I20=" ",I20="")," ",OFFSET($BO$9,CL20-1,0-4,1,1))</f>
        <v xml:space="preserve"> </v>
      </c>
      <c r="K20" s="55" t="str">
        <f>IF(OR(I20=" ",I20="")," ",IF(OR(Z20="e",Z20="h"),"SD",IF(BG$24=BH$11,BH$13,BG$24)))</f>
        <v xml:space="preserve"> </v>
      </c>
      <c r="L20" s="49">
        <f ca="1">CW20</f>
        <v>0</v>
      </c>
      <c r="M20" s="49">
        <f ca="1">CY20</f>
        <v>0</v>
      </c>
      <c r="N20" s="50">
        <f t="shared" ref="N20:O24" ca="1" si="23">DA20</f>
        <v>0</v>
      </c>
      <c r="O20" s="126">
        <f t="shared" ca="1" si="23"/>
        <v>0</v>
      </c>
      <c r="P20" s="140"/>
      <c r="Q20" s="752" t="str">
        <f ca="1">IF(AND(OR(Z20="t",Z20="f"),K20=$BH$11),"No Floor!  Change Floor Type",IF(OR(I20=" ",I20="")," ",IF(F20&lt;OFFSET($BM$9,CL20-1,0,1,1),"check L(m)",DE20&amp;IF(AND(DP20&gt;=CY20,DR20&gt;=DB20),IF(AND(ED20&gt;=DP20,EF20&gt;=DR20),CONCATENATE(DS20," will provide same result"),CONCATENATE(CO20," will provide same result")),IF((DP20&gt;=CY20),CONCATENATE(CO20," provides same result in WIND"),IF((DR20&gt;=DB20),CONCATENATE(CO20," provides same result in EQ"),""))))))&amp;IF(ISERROR(FIND("pile",I20,1)),"",IF(INT(F20)&lt;&gt;F20,"Pile!  Use Whole Numbers Only",""))</f>
        <v xml:space="preserve"> </v>
      </c>
      <c r="R20" s="52">
        <f ca="1">IF(T14&lt;&gt;2,(COLUMN(INDIRECT(B14&amp;1))+1),U20)</f>
        <v>3</v>
      </c>
      <c r="S20" s="1372" t="str">
        <f ca="1">SUBSTITUTE(ADDRESS(1,R20,4),"1","")</f>
        <v>C</v>
      </c>
      <c r="T20" s="451">
        <f ca="1">IF(AND(ISTEXT(B20),SUBSTITUTE(SUBSTITUTE(SUBSTITUTE(SUBSTITUTE(SUBSTITUTE(SUBSTITUTE(SUBSTITUTE(SUBSTITUTE(SUBSTITUTE(SUBSTITUTE(SUBSTITUTE(SUBSTITUTE(SUBSTITUTE(SUBSTITUTE(SUBSTITUTE(SUBSTITUTE(SUBSTITUTE(SUBSTITUTE(SUBSTITUTE(SUBSTITUTE(SUBSTITUTE(SUBSTITUTE(SUBSTITUTE(SUBSTITUTE(SUBSTITUTE(SUBSTITUTE(LOWER(B20),"a",),"b",),"c",),"d",),"e",),"f",),"g",),"h",),"i",),"j",),"k",),"l",),"m",),"n",),"o",),"p",),"q",),"r",),"s",),"t",),"u",),"v",),"w",),"x",),"y",),"z",)=""),1,2)</f>
        <v>1</v>
      </c>
      <c r="U20" s="1377">
        <v>3</v>
      </c>
      <c r="V20" s="52" t="str">
        <f ca="1">IF(AND(B$5=$BF$9,OR(I20=BH$16,I20=BH$17))," ",IF(ISNUMBER(B$20),(CONCATENATE(B$20,".",W20)),(CONCATENATE(B$20,W20))))</f>
        <v>C0</v>
      </c>
      <c r="W20" s="9">
        <f ca="1">IF(B14=B20,W18+X20,X20)</f>
        <v>0</v>
      </c>
      <c r="X20" s="9">
        <f>IF(AND(B$5=$BF$9,OR($I20=$BH$16,$I20=$BH$17,$I20=" ",$I20="",$F20=0)),0,IF(OR($I20=" ",$I20="",$F20=0),0,1))</f>
        <v>0</v>
      </c>
      <c r="Y20" s="896">
        <f ca="1">IF(AND(M25&gt;0,B20&lt;&gt;B26),1,0)</f>
        <v>0</v>
      </c>
      <c r="Z20" s="52" t="str">
        <f ca="1">IF(I20=" "," ",OFFSET($BM$9,$CL20-1,8,1,1))</f>
        <v xml:space="preserve"> </v>
      </c>
      <c r="AA20" s="51" t="str">
        <f>IF(G20&gt;=45,"WA","")</f>
        <v/>
      </c>
      <c r="AB20" s="1364" t="str">
        <f>IF(OR(E20=" ",E20="")," ",(IF(F20&lt;&gt;"",IF(OR(D20=$BG$12,D20=$BG$13),IF(E20&lt;&gt;$BG$17,$BF$20,$BF$21),IF(E20&lt;&gt;$BG$17,$BF$20,$BF$21))," ")))</f>
        <v xml:space="preserve"> </v>
      </c>
      <c r="AC20" s="1"/>
      <c r="AJ20" s="2868"/>
      <c r="AK20" s="2095"/>
      <c r="AL20" s="1385" t="str">
        <f>'Custom Elements'!P15</f>
        <v>Anchor pile</v>
      </c>
      <c r="AM20" s="61">
        <f>'Custom Elements'!Q15</f>
        <v>1</v>
      </c>
      <c r="AN20" s="878">
        <f>'Custom Elements'!R15</f>
        <v>160</v>
      </c>
      <c r="AO20" s="878">
        <f>'Custom Elements'!S15</f>
        <v>120</v>
      </c>
      <c r="AP20" s="1246"/>
      <c r="AQ20" s="1644" t="str">
        <f>'Custom Elements'!V15</f>
        <v>No</v>
      </c>
      <c r="AR20" s="876" t="str">
        <f>'Custom Elements'!W15</f>
        <v>No</v>
      </c>
      <c r="AS20" s="1640"/>
      <c r="AT20" s="880" t="s">
        <v>1019</v>
      </c>
      <c r="AU20" s="477"/>
      <c r="AV20" s="477"/>
      <c r="AW20" s="477"/>
      <c r="AX20" s="477"/>
      <c r="AY20" s="477"/>
      <c r="AZ20" s="477"/>
      <c r="BA20" s="477"/>
      <c r="BB20" s="477"/>
      <c r="BC20" s="477"/>
      <c r="BD20" s="2648"/>
      <c r="BF20" s="598" t="str">
        <f>Table!AI72</f>
        <v>ER1</v>
      </c>
      <c r="BG20" s="708" t="s">
        <v>820</v>
      </c>
      <c r="BH20" s="961" t="s">
        <v>222</v>
      </c>
      <c r="BI20" s="759"/>
      <c r="BJ20" s="897">
        <f t="shared" si="5"/>
        <v>12</v>
      </c>
      <c r="BK20" s="769" t="str">
        <f t="shared" si="6"/>
        <v xml:space="preserve">  </v>
      </c>
      <c r="BL20" s="771" t="str">
        <f t="shared" si="7"/>
        <v>Custom9</v>
      </c>
      <c r="BM20" s="455">
        <f t="shared" si="8"/>
        <v>9.9999999999999996E-76</v>
      </c>
      <c r="BN20" s="455">
        <v>999</v>
      </c>
      <c r="BO20" s="455">
        <f t="shared" si="9"/>
        <v>0</v>
      </c>
      <c r="BP20" s="925">
        <f t="shared" si="10"/>
        <v>0</v>
      </c>
      <c r="BR20" s="764"/>
      <c r="BS20" s="455"/>
      <c r="BT20" s="455" t="str">
        <f t="shared" si="11"/>
        <v>B</v>
      </c>
      <c r="BU20" s="925" t="str">
        <f t="shared" si="12"/>
        <v>T</v>
      </c>
      <c r="BV20" s="483" t="str">
        <f t="shared" si="13"/>
        <v>Custom9</v>
      </c>
      <c r="BW20" s="910">
        <f t="shared" si="22"/>
        <v>12</v>
      </c>
      <c r="BX20" s="924" t="str">
        <f t="shared" si="14"/>
        <v>Single</v>
      </c>
      <c r="CH20" s="764">
        <f t="shared" si="15"/>
        <v>0</v>
      </c>
      <c r="CI20" s="925">
        <f t="shared" si="16"/>
        <v>0</v>
      </c>
      <c r="CJ20" s="759"/>
      <c r="CK20" s="188"/>
      <c r="CL20" s="979">
        <f>VLOOKUP(I20,Prodlink,2,0)</f>
        <v>0</v>
      </c>
      <c r="CN20" s="497">
        <f t="shared" ca="1" si="2"/>
        <v>0</v>
      </c>
      <c r="CO20" s="497">
        <f ca="1">OFFSET($CH$9,CL20-1,-15,1,1)</f>
        <v>0</v>
      </c>
      <c r="CQ20" s="51">
        <v>0</v>
      </c>
      <c r="CR20" s="51">
        <f ca="1">IF(AND(Z20&lt;&gt;"t",Z20&lt;&gt;"f"),10000,IF(K20=$BH$11,0,IF(K20=$BH$12,$BH$23,IF(K20=$BH$13,$BH$24,10000))))</f>
        <v>10000</v>
      </c>
      <c r="CS20" s="51">
        <f ca="1">IF(F20&lt;OFFSET($BM$9,CL20-1,0,1,1),0,IF(F20&lt;OFFSET($BN$9,CL20-1,0,1,1),((F20-OFFSET($BM$9,CL20-1,0,1,1))*OFFSET($CH$9,CL20-1,0,1,1))+OFFSET($BO$9,CL20-1,CQ20,1,1),IF(F20&lt;OFFSET($BN$9,CL20+0,0,1,1),((F20-OFFSET($BM$9,CL20+0,0,1,1))*OFFSET($CH$9,CL20+0,0,1,1))+OFFSET($BO$9,CL20+0,CQ20,1,1),IF(F20&lt;OFFSET($BN$9,CL20+1,0,1,1),((F20-OFFSET($BM$9,CL20+1,0,1,1))*OFFSET($CH$9,CL20+1,0,1,1))+OFFSET($BO$9,CL20+1,CQ20,1,1),IF(F20&lt;OFFSET($BN$9,CL20+2,0,1,1),((F20-OFFSET($BM$9,CL20+2,0,1,1))*OFFSET($CH$9,CL20+2,0,1,1))+OFFSET($BO$9,CL20+2,CQ20,1,1),IF(F20&lt;OFFSET($BN$9,CL20+3,0,1,1),((F20-OFFSET($BM$9,CL20+3,0,1,1))*OFFSET($CH$9,CL20+3,0,1,1))+OFFSET($BO$9,CL20+3,CQ20,1,1),0))))))</f>
        <v>0</v>
      </c>
      <c r="CT20" s="51">
        <f ca="1">IF($F20&lt;OFFSET($BM$9,$CL20-1,0,1,1),0,IF($F20&lt;OFFSET($BN$9,$CL20-1,0,1,1),IF(AND($H20&gt;2.4,Z20&lt;&gt;"e",Z20&lt;&gt;"f"),CX20*2.4/$H20,CX20),IF($F20&lt;OFFSET($BN$9,$CL20+0,0,1,1),IF(AND($H20&gt;2.4,Z20&lt;&gt;"e",Z20&lt;&gt;"f"),CX20*2.4/$H20,CX20),IF($F20&lt;OFFSET($BN$9,$CL20+1,0,1,1),IF(AND($H20&gt;2.4,Z20&lt;&gt;"e",Z20&lt;&gt;"f"),CX20*2.4/$H20,CX20),IF($F20&lt;OFFSET($BN$9,CL20+2,0,1,1),IF(AND($H20&gt;2.4,Z20&lt;&gt;"e",Z20&lt;&gt;"f"),CX20*2.4/$H20,CX20),IF($F20&lt;OFFSET($BN$9,CL20+3,0,1,1),IF(AND($H20&gt;2.4,Z20&lt;&gt;"e",Z20&lt;&gt;"f"),CX20*2.4/$H20,CX20),0)))))*COS(RADIANS($G20)))</f>
        <v>0</v>
      </c>
      <c r="CU20" s="51">
        <f ca="1">IF(F20&lt;OFFSET($BM$9,CL20-1,0,1,1),0,IF(F20&lt;OFFSET($BN$9,CL20-1,0,1,1),((F20-OFFSET($BM$9,CL20-1,0,1,1))*OFFSET($CI$9,CL20-1,0,1,1))+OFFSET($BP$9,CL20-1,CQ20,1,1),IF(F20&lt;OFFSET($BN$9,CL20+0,0,1,1),((F20-OFFSET($BM$9,CL20+0,0,1,1))*OFFSET($CI$9,CL20+0,0,1,1))+OFFSET($BP$9,CL20+0,CQ20,1,1),IF(F20&lt;OFFSET($BN$9,CL20+1,0,1,1),((F20-OFFSET($BM$9,CL20+1,0,1,1))*OFFSET($CI$9,CL20+1,0,1,1))+OFFSET($BP$9,CL20+1,CQ20,1,1),IF(F20&lt;OFFSET($BN$9,CL20+2,0,1,1),((F20-OFFSET($BM$9,CL20+2,0,1,1))*OFFSET($CI$9,CL20+2,0,1,1))+OFFSET($BP$9,CL20+2,CQ20,1,1),IF(F20&lt;OFFSET($BN$9,CL20+3,0,1,1),((F20-OFFSET($BM$9,CL20+3,0,1,1))*OFFSET($CI$9,CL20+3,0,1,1))+OFFSET($BP$9,CL20+3,CQ20,1,1),0))))))</f>
        <v>0</v>
      </c>
      <c r="CV20" s="51">
        <f ca="1">IF($F20&lt;OFFSET($BM$9,$CL20-1,0,1,1),0,IF($F20&lt;OFFSET($BN$9,$CL20-1,0,1,1),IF(AND($H20&gt;2.4,Z20&lt;&gt;"e",Z20&lt;&gt;"f"),CZ20*2.4/$H20,CZ20),IF($F20&lt;OFFSET($BN$9,$CL20+0,0,1,1),IF(AND($H20&gt;2.4,Z20&lt;&gt;"e",Z20&lt;&gt;"f"),CZ20*2.4/$H20,CZ20),IF($F20&lt;OFFSET($BN$9,$CL20+1,0,1,1),IF(AND($H20&gt;2.4,Z20&lt;&gt;"e",Z20&lt;&gt;"f"),CZ20*2.4/$H20,CZ20),IF($F20&lt;OFFSET($BN$9,$CL20+2,0,1,1),IF(AND($H20&gt;2.4,Z20&lt;&gt;"e",Z20&lt;&gt;"f"),CZ20*2.4/$H20,CZ20),IF($F20&lt;OFFSET($BN$9,$CL20+3,0,1,1),IF(AND($H20&gt;2.4,Z20&lt;&gt;"e",Z20&lt;&gt;"f"),CZ20*2.4/$H20,CZ20),0)))))*COS(RADIANS($G20)))</f>
        <v>0</v>
      </c>
      <c r="CW20" s="51">
        <f t="shared" ca="1" si="17"/>
        <v>0</v>
      </c>
      <c r="CX20" s="51">
        <f ca="1">IF(CS20&gt;$CR20,$CR20,CS20)</f>
        <v>0</v>
      </c>
      <c r="CY20" s="51">
        <f ca="1">CW20*F20</f>
        <v>0</v>
      </c>
      <c r="CZ20" s="51">
        <f ca="1">IF($CU20&gt;$CR20,$CR20,$CU20)</f>
        <v>0</v>
      </c>
      <c r="DA20" s="51">
        <f ca="1">IF(CV20&gt;CR20,CR20,CV20)</f>
        <v>0</v>
      </c>
      <c r="DB20" s="51">
        <f ca="1">DA20*F20</f>
        <v>0</v>
      </c>
      <c r="DC20" s="993">
        <v>1</v>
      </c>
      <c r="DD20" s="758" t="str">
        <f>IF(OR(D20=BG$12,D20=BG$13),"External",IF(D20=BG$14,"Internal"," "))</f>
        <v xml:space="preserve"> </v>
      </c>
      <c r="DE20" s="51" t="str">
        <f t="shared" ca="1" si="18"/>
        <v/>
      </c>
      <c r="DF20" s="52" t="str">
        <f t="shared" ca="1" si="19"/>
        <v xml:space="preserve"> </v>
      </c>
      <c r="DG20" s="51">
        <f ca="1">IF(F20&lt;OFFSET($BM$9,CN20-1,0,1,1),0,IF(F20&lt;OFFSET($BN$9,CN20-1,0,1,1),((F20-OFFSET($BM$9,CN20-1,0,1,1))*OFFSET($CH$9,CN20-1,0,1,1))+OFFSET($BO$9,CN20-1,CQ20,1,1),IF(F20&lt;OFFSET($BN$9,CN20+0,0,1,1),((F20-OFFSET($BM$9,CN20+0,0,1,1))*OFFSET($CH$9,CN20+0,0,1,1))+OFFSET($BO$9,CN20+0,CQ20,1,1),IF(F20&lt;OFFSET($BN$9,CN20+1,0,1,1),((F20-OFFSET($BM$9,CN20+1,0,1,1))*OFFSET($CH$9,CN20+1,0,1,1))+OFFSET($BO$9,CN20+1,CQ20,1,1),IF(F20&lt;OFFSET($BN$9,CN20+2,0,1,1),((F20-OFFSET($BM$9,CN20+2,0,1,1))*OFFSET($CH$9,CN20+2,0,1,1))+OFFSET($BO$9,CN20+2,CQ20,1,1),IF(F20&lt;OFFSET($BN$9,CN20+3,0,1,1),((F20-OFFSET($BM$9,CN20+3,0,1,1))*OFFSET($CH$9,CN20+3,0,1,1))+OFFSET($BO$9,CN20+3,CQ20,1,1),0))))))</f>
        <v>0</v>
      </c>
      <c r="DH20" s="51">
        <f ca="1">IF($F20&lt;OFFSET($BM$9,$CN20-1,0,1,1),0,IF($F20&lt;OFFSET($BN$9,$CN20-1,0,1,1),IF(AND($H20&gt;2.4,Z20&lt;&gt;"e",Z20&lt;&gt;"f"),DL20*2.4/$H20,DL20),IF($F20&lt;OFFSET($BN$9,$CN20+0,0,1,1),IF(AND($H20&gt;2.4,Z20&lt;&gt;"e",Z20&lt;&gt;"f"),DL20*2.4/$H20,DL20),IF($F20&lt;OFFSET($BN$9,$CN20+1,0,1,1),IF(AND($H20&gt;2.4,Z20&lt;&gt;"e",Z20&lt;&gt;"f"),DL20*2.4/$H20,DL20),IF($F20&lt;OFFSET($BN$9,$CN20+2,0,1,1),IF(AND($H20&gt;2.4,Z20&lt;&gt;"e",Z20&lt;&gt;"f"),DL20*2.4/$H20,DL20),IF($F20&lt;OFFSET($BN$9,$CN20+3,0,1,1),IF(AND($H20&gt;2.4,Z20&lt;&gt;"e",Z20&lt;&gt;"f"),DL20*2.4/$H20,DL20),0)))))*COS(RADIANS($G20)))</f>
        <v>0</v>
      </c>
      <c r="DI20" s="51">
        <f ca="1">IF(F20&lt;OFFSET($BM$9,CN20-1,0,1,1),0,IF(F20&lt;OFFSET($BN$9,CN20-1,0,1,1),((F20-OFFSET($BM$9,CN20-1,0,1,1))*OFFSET($CI$9,CN20-1,0,1,1))+OFFSET($BP$9,CN20-1,CQ20,1,1),IF(F20&lt;OFFSET($BN$9,CN20+0,0,1,1),((F20-OFFSET($BM$9,CN20+0,0,1,1))*OFFSET($CI$9,CN20+0,0,1,1))+OFFSET($BP$9,CN20+0,CQ20,1,1),IF(F20&lt;OFFSET($BN$9,CN20+1,0,1,1),((F20-OFFSET($BM$9,CN20+1,0,1,1))*OFFSET($CI$9,CN20+1,0,1,1))+OFFSET($BP$9,CN20+1,CQ20,1,1),IF(F20&lt;OFFSET($BN$9,CN20+2,0,1,1),((F20-OFFSET($BM$9,CN20+2,0,1,1))*OFFSET($CI$9,CN20+2,0,1,1))+OFFSET($BP$9,CN20+2,CQ20,1,1),IF(F20&lt;OFFSET($BN$9,CN20+3,0,1,1),((F20-OFFSET($BM$9,CN20+3,0,1,1))*OFFSET($CI$9,CN20+3,0,1,1))+OFFSET($BP$9,CN20+3,CQ20,1,1),0))))))</f>
        <v>0</v>
      </c>
      <c r="DJ20" s="51">
        <f ca="1">IF($F20&lt;OFFSET($BM$9,$CN20-1,0,1,1),0,IF($F20&lt;OFFSET($BN$9,$CN20-1,0,1,1),IF(AND($H20&gt;2.4,Z20&lt;&gt;"e",Z20&lt;&gt;"f"),DN20*2.4/$H20,DN20),IF($F20&lt;OFFSET($BN$9,$CN20+0,0,1,1),IF(AND($H20&gt;2.4,Z20&lt;&gt;"e",Z20&lt;&gt;"f"),DN20*2.4/$H20,DN20),IF($F20&lt;OFFSET($BN$9,$CN20+1,0,1,1),IF(AND($H20&gt;2.4,Z20&lt;&gt;"e",Z20&lt;&gt;"f"),DN20*2.4/$H20,DN20),IF($F20&lt;OFFSET($BN$9,$CN20+2,0,1,1),IF(AND($H20&gt;2.4,Z20&lt;&gt;"e",Z20&lt;&gt;"f"),DN20*2.4/$H20,DN20),IF($F20&lt;OFFSET($BN$9,$CN20+3,0,1,1),IF(AND($H20&gt;2.4,Z20&lt;&gt;"e",Z20&lt;&gt;"f"),DN20*2.4/$H20,DN20),0)))))*COS(RADIANS($G20)))</f>
        <v>0</v>
      </c>
      <c r="DK20" s="51"/>
      <c r="DL20" s="51">
        <f ca="1">IF(DG20&gt;$CR20,$CR20,DG20)</f>
        <v>0</v>
      </c>
      <c r="DM20" s="51"/>
      <c r="DN20" s="51">
        <f ca="1">IF(DI20&gt;$CR20,$CR20,DI20)</f>
        <v>0</v>
      </c>
      <c r="DO20" s="435">
        <f ca="1">IF(DH20&gt;$CR20,$CR20,DH20)</f>
        <v>0</v>
      </c>
      <c r="DP20" s="435">
        <f ca="1">DO20*F20</f>
        <v>0</v>
      </c>
      <c r="DQ20" s="436">
        <f ca="1">IF(DJ20&gt;$CR20,$CR20,DJ20)</f>
        <v>0</v>
      </c>
      <c r="DR20" s="437">
        <f ca="1">DQ20*F20</f>
        <v>0</v>
      </c>
      <c r="DS20" s="426">
        <f ca="1">OFFSET($CH$9,CL20-1,-15,1,1)</f>
        <v>0</v>
      </c>
      <c r="DT20" s="426">
        <f t="shared" ca="1" si="1"/>
        <v>0</v>
      </c>
      <c r="DU20" s="188">
        <f ca="1">IF(F20&lt;OFFSET($BM$9,DT20-1,0,1,1),0,IF(F20&lt;OFFSET($BN$9,DT20-1,0,1,1),((F20-OFFSET($BM$9,DT20-1,0,1,1))*OFFSET($CH$9,DT20-1,0,1,1))+OFFSET($BO$9,DT20-1,CQ20,1,1),IF(F20&lt;OFFSET($BN$9,DT20+0,0,1,1),((F20-OFFSET($BM$9,DT20+0,0,1,1))*OFFSET($CH$9,DT20+0,0,1,1))+OFFSET($BO$9,DT20+0,CQ20,1,1),IF(F20&lt;OFFSET($BN$9,DT20+1,0,1,1),((F20-OFFSET($BM$9,DT20+1,0,1,1))*OFFSET($CH$9,DT20+1,0,1,1))+OFFSET($BO$9,DT20+1,CQ20,1,1),IF(F20&lt;OFFSET($BN$9,DT20+2,0,1,1),((F20-OFFSET($BM$9,DT20+2,0,1,1))*OFFSET($CH$9,DT20+2,0,1,1))+OFFSET($BO$9,DT20+2,CQ20,1,1),IF(F20&lt;OFFSET($BN$9,DT20+3,0,1,1),((F20-OFFSET($BM$9,DT20+3,0,1,1))*OFFSET($CH$9,DT20+3,0,1,1))+OFFSET($BO$9,DT20+3,CQ20,1,1),0))))))</f>
        <v>0</v>
      </c>
      <c r="DV20" s="51">
        <f ca="1">IF($F20&lt;OFFSET($BM$9,$DT20-1,0,1,1),0,IF($F20&lt;OFFSET($BN$9,$DT20-1,0,1,1),IF(AND($H20&gt;2.4,Z20&lt;&gt;"e",Z20&lt;&gt;"f"),DZ20*2.4/$H20,DZ20),IF($F20&lt;OFFSET($BN$9,$DT20+0,0,1,1),IF(AND($H20&gt;2.4,Z20&lt;&gt;"e",Z20&lt;&gt;"f"),DZ20*2.4/$H20,DZ20),IF($F20&lt;OFFSET($BN$9,$DT20+1,0,1,1),IF(AND($H20&gt;2.4,Z20&lt;&gt;"e",Z20&lt;&gt;"f"),DZ20*2.4/$H20,DZ20),IF($F20&lt;OFFSET($BN$9,$DT20+2,0,1,1),IF(AND($H20&gt;2.4,Z20&lt;&gt;"e",Z20&lt;&gt;"f"),DZ20*2.4/$H20,DZ20),IF($F20&lt;OFFSET($BN$9,$DT20+3,0,1,1),IF(AND($H20&gt;2.4,Z20&lt;&gt;"e",Z20&lt;&gt;"f"),DZ20*2.4/$H20,DZ20),0)))))*COS(RADIANS($G20)))</f>
        <v>0</v>
      </c>
      <c r="DW20" s="188">
        <f ca="1">IF(F20&lt;OFFSET($BM$9,DT20-1,0,1,1),0,IF(F20&lt;OFFSET($BN$9,DT20-1,0,1,1),((F20-OFFSET($BM$9,DT20-1,0,1,1))*OFFSET($CI$9,DT20-1,0,1,1))+OFFSET($BP$9,DT20-1,CQ20,1,1),IF(F20&lt;OFFSET($BN$9,DT20+0,0,1,1),((F20-OFFSET($BM$9,DT20+0,0,1,1))*OFFSET($CI$9,DT20+0,0,1,1))+OFFSET($BP$9,DT20+0,CQ20,1,1),IF(F20&lt;OFFSET($BN$9,DT20+1,0,1,1),((F20-OFFSET($BM$9,DT20+1,0,1,1))*OFFSET($CI$9,DT20+1,0,1,1))+OFFSET($BP$9,DT20+1,CQ20,1,1),IF(F20&lt;OFFSET($BN$9,DT20+2,0,1,1),((F20-OFFSET($BM$9,DT20+2,0,1,1))*OFFSET($CI$9,DT20+2,0,1,1))+OFFSET($BP$9,DT20+2,CQ20,1,1),IF(F20&lt;OFFSET($BN$9,DT20+3,0,1,1),((F20-OFFSET($BM$9,DT20+3,0,1,1))*OFFSET($CI$9,DT20+3,0,1,1))+OFFSET($BP$9,DT20+3,CQ20,1,1),0))))))</f>
        <v>0</v>
      </c>
      <c r="DX20" s="51">
        <f ca="1">IF($F20&lt;OFFSET($BM$9,$DT20-1,0,1,1),0,IF($F20&lt;OFFSET($BN$9,$DT20-1,0,1,1),IF(AND($H20&gt;2.4,Z20&lt;&gt;"e",Z20&lt;&gt;"f"),EB20*2.4/$H20,EB20),IF($F20&lt;OFFSET($BN$9,$DT20+0,0,1,1),IF(AND($H20&gt;2.4,Z20&lt;&gt;"e",Z20&lt;&gt;"f"),EB20*2.4/$H20,EB20),IF($F20&lt;OFFSET($BN$9,$DT20+1,0,1,1),IF(AND($H20&gt;2.4,Z20&lt;&gt;"e",Z20&lt;&gt;"f"),EB20*2.4/$H20,EB20),IF($F20&lt;OFFSET($BN$9,$DT20+2,0,1,1),IF(AND($H20&gt;2.4,Z20&lt;&gt;"e",Z20&lt;&gt;"f"),EB20*2.4/$H20,EB20),IF($F20&lt;OFFSET($BN$9,$DT20+3,0,1,1),IF(AND($H20&gt;2.4,Z20&lt;&gt;"e",Z20&lt;&gt;"f"),EB20*2.4/$H20,EB20),0)))))*COS(RADIANS($G20)))</f>
        <v>0</v>
      </c>
      <c r="DY20" s="188"/>
      <c r="DZ20" s="188">
        <f ca="1">IF(DU20&gt;$CR20,$CR20,DU20)</f>
        <v>0</v>
      </c>
      <c r="EA20" s="188"/>
      <c r="EB20" s="188">
        <f ca="1">IF(DW20&gt;$CR20,$CR20,DW20)</f>
        <v>0</v>
      </c>
      <c r="EC20" s="435">
        <f ca="1">IF(DV20&gt;$CR20,$CR20,DV20)</f>
        <v>0</v>
      </c>
      <c r="ED20" s="435">
        <f ca="1">EC20*F20</f>
        <v>0</v>
      </c>
      <c r="EE20" s="436">
        <f ca="1">IF(DX20&gt;$CR20,$CR20,DX20)</f>
        <v>0</v>
      </c>
      <c r="EF20" s="437">
        <f ca="1">EE20*F20</f>
        <v>0</v>
      </c>
      <c r="EG20" s="613" t="str">
        <f>IF(D20=BG$12,BG$12,"")</f>
        <v/>
      </c>
      <c r="EH20" s="614" t="str">
        <f>IF(D20=BG$13,BG$13,"")</f>
        <v/>
      </c>
      <c r="EI20" s="611">
        <f>IF(EG20=BG$12,M20,0)</f>
        <v>0</v>
      </c>
      <c r="EJ20" s="451">
        <f>IF(EG20=BG$12,O20,0)</f>
        <v>0</v>
      </c>
      <c r="EK20" s="451">
        <f>IF(EH20=BG$13,M20,0)</f>
        <v>0</v>
      </c>
      <c r="EL20" s="612">
        <f>IF(EH20=BG$13,O20,0)</f>
        <v>0</v>
      </c>
      <c r="EM20" s="426" t="str">
        <f ca="1">IF(AND(Z20&lt;&gt;"t",Z20&lt;&gt;"f"),"",IF(AND(EN20=$BH$11,K20&lt;&gt;EN20),EM$4,IF(AND(EN20=$BH$12,K20=$BH$13),EM$4,IF(AND(EN20=$BH$12,K20=$BH$14),EM$4,IF(AND(EN20=$BH$13,K20=$BH$14),$EM$4,IF(EN20=$BH$14,$EM$4,""))))))</f>
        <v/>
      </c>
      <c r="EN20" s="489" t="str">
        <f>BG$24</f>
        <v>No Floor</v>
      </c>
      <c r="EO20" s="426" t="str">
        <f>K20</f>
        <v xml:space="preserve"> </v>
      </c>
      <c r="EP20" s="497" t="str">
        <f ca="1">IF(AND(Z20&lt;&gt;"t",Z20&lt;&gt;"f"),"",IF(AND(EN20=$BH$14,K20&lt;&gt;EN20),EP$4,IF(AND(EN20=$BH$13,K20=$BH$12),EP$4,IF(AND(EN20=$BH$13,K20=$BH$11),EP$4,IF(AND(EN20=$BH$12,K20=$BH$11),$EP$4,IF(EN20=$BH$11,"Earth",""))))))</f>
        <v/>
      </c>
      <c r="EQ20" s="430" t="str">
        <f ca="1">IF(Z20&lt;&gt;"t","",IF(EQ$5=2,IF(K20&lt;&gt;BH$11,EQ$7," ")))</f>
        <v/>
      </c>
      <c r="ER20" s="439" t="str">
        <f ca="1">IF(H20=0," ",H20)</f>
        <v xml:space="preserve"> </v>
      </c>
      <c r="ES20" s="440" t="str">
        <f ca="1">IF(ER20&lt;&gt;" ",IF(ER20&lt;&gt;ER$7,"Changed",""),"")</f>
        <v/>
      </c>
      <c r="ET20" s="440">
        <f t="shared" ca="1" si="20"/>
        <v>0</v>
      </c>
      <c r="EU20" s="426" t="str">
        <f ca="1">IF(I20=" "," ",IF(F20&lt;OFFSET($BM$9,CL20-1,0,1,1),1,""))</f>
        <v xml:space="preserve"> </v>
      </c>
      <c r="EW20" s="427"/>
      <c r="EY20" s="421"/>
    </row>
    <row r="21" spans="2:155" ht="17.100000000000001" customHeight="1" thickBot="1">
      <c r="B21" s="689" t="s">
        <v>246</v>
      </c>
      <c r="C21" s="684" t="str">
        <f>IF(OR(F21=0,I21="",I21=" ")," ",$V21)</f>
        <v xml:space="preserve"> </v>
      </c>
      <c r="D21" s="1033"/>
      <c r="E21" s="1360"/>
      <c r="F21" s="202"/>
      <c r="G21" s="1416"/>
      <c r="H21" s="1417" t="str">
        <f ca="1">IF(OR(F21=0,Z21="E",Z21="f")," ",'Project Demand'!E$55)</f>
        <v xml:space="preserve"> </v>
      </c>
      <c r="I21" s="631" t="str">
        <f>IF($I$6&lt;&gt;$BG$8," ",AB21)</f>
        <v xml:space="preserve"> </v>
      </c>
      <c r="J21" s="44" t="str">
        <f ca="1">IF(OR(I21=" ",I21="")," ",OFFSET($BO$9,CL21-1,0-4,1,1))</f>
        <v xml:space="preserve"> </v>
      </c>
      <c r="K21" s="55" t="str">
        <f>IF(OR(I21=" ",I21="")," ",IF(OR(Z21="e",Z21="h"),"SD",IF(BG$24=BH$11,BH$13,BG$24)))</f>
        <v xml:space="preserve"> </v>
      </c>
      <c r="L21" s="49">
        <f ca="1">CW21</f>
        <v>0</v>
      </c>
      <c r="M21" s="49">
        <f ca="1">CY21</f>
        <v>0</v>
      </c>
      <c r="N21" s="50">
        <f t="shared" ca="1" si="23"/>
        <v>0</v>
      </c>
      <c r="O21" s="126">
        <f t="shared" ca="1" si="23"/>
        <v>0</v>
      </c>
      <c r="P21" s="140"/>
      <c r="Q21" s="752" t="str">
        <f ca="1">IF(AND(OR(Z21="t",Z21="f"),K21=$BH$11),"No Floor!  Change Floor Type",IF(OR(I21=" ",I21="")," ",IF(F21&lt;OFFSET($BM$9,CL21-1,0,1,1),"check L(m)",DE21&amp;IF(AND(DP21&gt;=CY21,DR21&gt;=DB21),IF(AND(ED21&gt;=DP21,EF21&gt;=DR21),CONCATENATE(DS21," will provide same result"),CONCATENATE(CO21," will provide same result")),IF((DP21&gt;=CY21),CONCATENATE(CO21," provides same result in WIND"),IF((DR21&gt;=DB21),CONCATENATE(CO21," provides same result in EQ"),""))))))&amp;IF(ISERROR(FIND("pile",I21,1)),"",IF(INT(F21)&lt;&gt;F21,"Pile!  Use Whole Numbers Only",""))</f>
        <v xml:space="preserve"> </v>
      </c>
      <c r="R21" s="52"/>
      <c r="S21" s="1372"/>
      <c r="T21" s="52"/>
      <c r="U21" s="1377"/>
      <c r="V21" s="52" t="str">
        <f ca="1">IF(AND(B$5=$BF$9,OR(I21=BH$16,I21=BH$17))," ",IF(ISNUMBER(B$20),(CONCATENATE(B$20,".",W21)),(CONCATENATE(B$20,W21))))</f>
        <v>C0</v>
      </c>
      <c r="W21" s="9">
        <f ca="1">W20+X21</f>
        <v>0</v>
      </c>
      <c r="X21" s="9">
        <f>IF(AND(B$5=$BF$9,OR($I21=$BH$16,$I21=$BH$17,$I21=" ",$I21="",$F21=0)),0,IF(OR($I21=" ",$I21="",$F21=0),0,1))</f>
        <v>0</v>
      </c>
      <c r="Y21" s="896"/>
      <c r="Z21" s="52" t="str">
        <f ca="1">IF(I21=" "," ",OFFSET($BM$9,$CL21-1,8,1,1))</f>
        <v xml:space="preserve"> </v>
      </c>
      <c r="AA21" s="51" t="str">
        <f>IF(G21&gt;=45,"WA","")</f>
        <v/>
      </c>
      <c r="AB21" s="1364" t="str">
        <f>IF(OR(E21=" ",E21="")," ",(IF(F21&lt;&gt;"",IF(OR(D21=$BG$12,D21=$BG$13),IF(E21&lt;&gt;$BG$17,$BF$20,$BF$21),IF(E21&lt;&gt;$BG$17,$BF$20,$BF$21))," ")))</f>
        <v xml:space="preserve"> </v>
      </c>
      <c r="AC21" s="1"/>
      <c r="AJ21" s="29"/>
      <c r="AK21" s="30"/>
      <c r="AL21" s="30"/>
      <c r="AM21" s="32"/>
      <c r="AN21" s="32"/>
      <c r="AO21" s="32"/>
      <c r="AP21" s="32"/>
      <c r="AQ21" s="32"/>
      <c r="AR21" s="32"/>
      <c r="AS21" s="32"/>
      <c r="AT21" s="40"/>
      <c r="AU21" s="477"/>
      <c r="AV21" s="477"/>
      <c r="AW21" s="477"/>
      <c r="AX21" s="477"/>
      <c r="AY21" s="477"/>
      <c r="AZ21" s="477"/>
      <c r="BA21" s="477"/>
      <c r="BB21" s="477"/>
      <c r="BC21" s="477"/>
      <c r="BD21" s="2648"/>
      <c r="BF21" s="598" t="str">
        <f>Table!AI77</f>
        <v>ER2</v>
      </c>
      <c r="BI21" s="759"/>
      <c r="BJ21" s="897">
        <f t="shared" si="5"/>
        <v>13</v>
      </c>
      <c r="BK21" s="769" t="str">
        <f t="shared" si="6"/>
        <v xml:space="preserve">  </v>
      </c>
      <c r="BL21" s="771" t="str">
        <f t="shared" si="7"/>
        <v>Custom10</v>
      </c>
      <c r="BM21" s="455">
        <f t="shared" si="8"/>
        <v>9.9999999999999996E-76</v>
      </c>
      <c r="BN21" s="455">
        <v>999</v>
      </c>
      <c r="BO21" s="455">
        <f t="shared" si="9"/>
        <v>0</v>
      </c>
      <c r="BP21" s="925">
        <f t="shared" si="10"/>
        <v>0</v>
      </c>
      <c r="BR21" s="764"/>
      <c r="BS21" s="455"/>
      <c r="BT21" s="455" t="str">
        <f t="shared" si="11"/>
        <v>B</v>
      </c>
      <c r="BU21" s="925" t="str">
        <f t="shared" si="12"/>
        <v>T</v>
      </c>
      <c r="BV21" s="483" t="str">
        <f t="shared" si="13"/>
        <v>Custom10</v>
      </c>
      <c r="BW21" s="910">
        <f t="shared" si="22"/>
        <v>13</v>
      </c>
      <c r="BX21" s="924" t="str">
        <f t="shared" si="14"/>
        <v>Single</v>
      </c>
      <c r="CH21" s="764">
        <f t="shared" si="15"/>
        <v>0</v>
      </c>
      <c r="CI21" s="925">
        <f t="shared" si="16"/>
        <v>0</v>
      </c>
      <c r="CJ21" s="759"/>
      <c r="CK21" s="188"/>
      <c r="CL21" s="979">
        <f>VLOOKUP(I21,Prodlink,2,0)</f>
        <v>0</v>
      </c>
      <c r="CN21" s="497">
        <f t="shared" ca="1" si="2"/>
        <v>0</v>
      </c>
      <c r="CO21" s="497">
        <f ca="1">OFFSET($CH$9,CL21-1,-15,1,1)</f>
        <v>0</v>
      </c>
      <c r="CQ21" s="51">
        <v>0</v>
      </c>
      <c r="CR21" s="51">
        <f ca="1">IF(AND(Z21&lt;&gt;"t",Z21&lt;&gt;"f"),10000,IF(K21=$BH$11,0,IF(K21=$BH$12,$BH$23,IF(K21=$BH$13,$BH$24,10000))))</f>
        <v>10000</v>
      </c>
      <c r="CS21" s="51">
        <f ca="1">IF(F21&lt;OFFSET($BM$9,CL21-1,0,1,1),0,IF(F21&lt;OFFSET($BN$9,CL21-1,0,1,1),((F21-OFFSET($BM$9,CL21-1,0,1,1))*OFFSET($CH$9,CL21-1,0,1,1))+OFFSET($BO$9,CL21-1,CQ21,1,1),IF(F21&lt;OFFSET($BN$9,CL21+0,0,1,1),((F21-OFFSET($BM$9,CL21+0,0,1,1))*OFFSET($CH$9,CL21+0,0,1,1))+OFFSET($BO$9,CL21+0,CQ21,1,1),IF(F21&lt;OFFSET($BN$9,CL21+1,0,1,1),((F21-OFFSET($BM$9,CL21+1,0,1,1))*OFFSET($CH$9,CL21+1,0,1,1))+OFFSET($BO$9,CL21+1,CQ21,1,1),IF(F21&lt;OFFSET($BN$9,CL21+2,0,1,1),((F21-OFFSET($BM$9,CL21+2,0,1,1))*OFFSET($CH$9,CL21+2,0,1,1))+OFFSET($BO$9,CL21+2,CQ21,1,1),IF(F21&lt;OFFSET($BN$9,CL21+3,0,1,1),((F21-OFFSET($BM$9,CL21+3,0,1,1))*OFFSET($CH$9,CL21+3,0,1,1))+OFFSET($BO$9,CL21+3,CQ21,1,1),0))))))</f>
        <v>0</v>
      </c>
      <c r="CT21" s="51">
        <f ca="1">IF($F21&lt;OFFSET($BM$9,$CL21-1,0,1,1),0,IF($F21&lt;OFFSET($BN$9,$CL21-1,0,1,1),IF(AND($H21&gt;2.4,Z21&lt;&gt;"e",Z21&lt;&gt;"f"),CX21*2.4/$H21,CX21),IF($F21&lt;OFFSET($BN$9,$CL21+0,0,1,1),IF(AND($H21&gt;2.4,Z21&lt;&gt;"e",Z21&lt;&gt;"f"),CX21*2.4/$H21,CX21),IF($F21&lt;OFFSET($BN$9,$CL21+1,0,1,1),IF(AND($H21&gt;2.4,Z21&lt;&gt;"e",Z21&lt;&gt;"f"),CX21*2.4/$H21,CX21),IF($F21&lt;OFFSET($BN$9,CL21+2,0,1,1),IF(AND($H21&gt;2.4,Z21&lt;&gt;"e",Z21&lt;&gt;"f"),CX21*2.4/$H21,CX21),IF($F21&lt;OFFSET($BN$9,CL21+3,0,1,1),IF(AND($H21&gt;2.4,Z21&lt;&gt;"e",Z21&lt;&gt;"f"),CX21*2.4/$H21,CX21),0)))))*COS(RADIANS($G21)))</f>
        <v>0</v>
      </c>
      <c r="CU21" s="51">
        <f ca="1">IF(F21&lt;OFFSET($BM$9,CL21-1,0,1,1),0,IF(F21&lt;OFFSET($BN$9,CL21-1,0,1,1),((F21-OFFSET($BM$9,CL21-1,0,1,1))*OFFSET($CI$9,CL21-1,0,1,1))+OFFSET($BP$9,CL21-1,CQ21,1,1),IF(F21&lt;OFFSET($BN$9,CL21+0,0,1,1),((F21-OFFSET($BM$9,CL21+0,0,1,1))*OFFSET($CI$9,CL21+0,0,1,1))+OFFSET($BP$9,CL21+0,CQ21,1,1),IF(F21&lt;OFFSET($BN$9,CL21+1,0,1,1),((F21-OFFSET($BM$9,CL21+1,0,1,1))*OFFSET($CI$9,CL21+1,0,1,1))+OFFSET($BP$9,CL21+1,CQ21,1,1),IF(F21&lt;OFFSET($BN$9,CL21+2,0,1,1),((F21-OFFSET($BM$9,CL21+2,0,1,1))*OFFSET($CI$9,CL21+2,0,1,1))+OFFSET($BP$9,CL21+2,CQ21,1,1),IF(F21&lt;OFFSET($BN$9,CL21+3,0,1,1),((F21-OFFSET($BM$9,CL21+3,0,1,1))*OFFSET($CI$9,CL21+3,0,1,1))+OFFSET($BP$9,CL21+3,CQ21,1,1),0))))))</f>
        <v>0</v>
      </c>
      <c r="CV21" s="51">
        <f ca="1">IF($F21&lt;OFFSET($BM$9,$CL21-1,0,1,1),0,IF($F21&lt;OFFSET($BN$9,$CL21-1,0,1,1),IF(AND($H21&gt;2.4,Z21&lt;&gt;"e",Z21&lt;&gt;"f"),CZ21*2.4/$H21,CZ21),IF($F21&lt;OFFSET($BN$9,$CL21+0,0,1,1),IF(AND($H21&gt;2.4,Z21&lt;&gt;"e",Z21&lt;&gt;"f"),CZ21*2.4/$H21,CZ21),IF($F21&lt;OFFSET($BN$9,$CL21+1,0,1,1),IF(AND($H21&gt;2.4,Z21&lt;&gt;"e",Z21&lt;&gt;"f"),CZ21*2.4/$H21,CZ21),IF($F21&lt;OFFSET($BN$9,$CL21+2,0,1,1),IF(AND($H21&gt;2.4,Z21&lt;&gt;"e",Z21&lt;&gt;"f"),CZ21*2.4/$H21,CZ21),IF($F21&lt;OFFSET($BN$9,$CL21+3,0,1,1),IF(AND($H21&gt;2.4,Z21&lt;&gt;"e",Z21&lt;&gt;"f"),CZ21*2.4/$H21,CZ21),0)))))*COS(RADIANS($G21)))</f>
        <v>0</v>
      </c>
      <c r="CW21" s="51">
        <f t="shared" ca="1" si="17"/>
        <v>0</v>
      </c>
      <c r="CX21" s="51">
        <f ca="1">IF(CS21&gt;$CR21,$CR21,CS21)</f>
        <v>0</v>
      </c>
      <c r="CY21" s="51">
        <f ca="1">CW21*F21</f>
        <v>0</v>
      </c>
      <c r="CZ21" s="51">
        <f ca="1">IF($CU21&gt;$CR21,$CR21,$CU21)</f>
        <v>0</v>
      </c>
      <c r="DA21" s="51">
        <f ca="1">IF(CV21&gt;CR21,CR21,CV21)</f>
        <v>0</v>
      </c>
      <c r="DB21" s="51">
        <f ca="1">DA21*F21</f>
        <v>0</v>
      </c>
      <c r="DC21" s="993">
        <v>1</v>
      </c>
      <c r="DD21" s="758" t="str">
        <f>IF(OR(D21=BG$12,D21=BG$13),"External",IF(D21=BG$14,"Internal"," "))</f>
        <v xml:space="preserve"> </v>
      </c>
      <c r="DE21" s="51" t="str">
        <f t="shared" ca="1" si="18"/>
        <v/>
      </c>
      <c r="DF21" s="52" t="str">
        <f t="shared" ca="1" si="19"/>
        <v xml:space="preserve"> </v>
      </c>
      <c r="DG21" s="51">
        <f ca="1">IF(F21&lt;OFFSET($BM$9,CN21-1,0,1,1),0,IF(F21&lt;OFFSET($BN$9,CN21-1,0,1,1),((F21-OFFSET($BM$9,CN21-1,0,1,1))*OFFSET($CH$9,CN21-1,0,1,1))+OFFSET($BO$9,CN21-1,CQ21,1,1),IF(F21&lt;OFFSET($BN$9,CN21+0,0,1,1),((F21-OFFSET($BM$9,CN21+0,0,1,1))*OFFSET($CH$9,CN21+0,0,1,1))+OFFSET($BO$9,CN21+0,CQ21,1,1),IF(F21&lt;OFFSET($BN$9,CN21+1,0,1,1),((F21-OFFSET($BM$9,CN21+1,0,1,1))*OFFSET($CH$9,CN21+1,0,1,1))+OFFSET($BO$9,CN21+1,CQ21,1,1),IF(F21&lt;OFFSET($BN$9,CN21+2,0,1,1),((F21-OFFSET($BM$9,CN21+2,0,1,1))*OFFSET($CH$9,CN21+2,0,1,1))+OFFSET($BO$9,CN21+2,CQ21,1,1),IF(F21&lt;OFFSET($BN$9,CN21+3,0,1,1),((F21-OFFSET($BM$9,CN21+3,0,1,1))*OFFSET($CH$9,CN21+3,0,1,1))+OFFSET($BO$9,CN21+3,CQ21,1,1),0))))))</f>
        <v>0</v>
      </c>
      <c r="DH21" s="51">
        <f ca="1">IF($F21&lt;OFFSET($BM$9,$CN21-1,0,1,1),0,IF($F21&lt;OFFSET($BN$9,$CN21-1,0,1,1),IF(AND($H21&gt;2.4,Z21&lt;&gt;"e",Z21&lt;&gt;"f"),DL21*2.4/$H21,DL21),IF($F21&lt;OFFSET($BN$9,$CN21+0,0,1,1),IF(AND($H21&gt;2.4,Z21&lt;&gt;"e",Z21&lt;&gt;"f"),DL21*2.4/$H21,DL21),IF($F21&lt;OFFSET($BN$9,$CN21+1,0,1,1),IF(AND($H21&gt;2.4,Z21&lt;&gt;"e",Z21&lt;&gt;"f"),DL21*2.4/$H21,DL21),IF($F21&lt;OFFSET($BN$9,$CN21+2,0,1,1),IF(AND($H21&gt;2.4,Z21&lt;&gt;"e",Z21&lt;&gt;"f"),DL21*2.4/$H21,DL21),IF($F21&lt;OFFSET($BN$9,$CN21+3,0,1,1),IF(AND($H21&gt;2.4,Z21&lt;&gt;"e",Z21&lt;&gt;"f"),DL21*2.4/$H21,DL21),0)))))*COS(RADIANS($G21)))</f>
        <v>0</v>
      </c>
      <c r="DI21" s="51">
        <f ca="1">IF(F21&lt;OFFSET($BM$9,CN21-1,0,1,1),0,IF(F21&lt;OFFSET($BN$9,CN21-1,0,1,1),((F21-OFFSET($BM$9,CN21-1,0,1,1))*OFFSET($CI$9,CN21-1,0,1,1))+OFFSET($BP$9,CN21-1,CQ21,1,1),IF(F21&lt;OFFSET($BN$9,CN21+0,0,1,1),((F21-OFFSET($BM$9,CN21+0,0,1,1))*OFFSET($CI$9,CN21+0,0,1,1))+OFFSET($BP$9,CN21+0,CQ21,1,1),IF(F21&lt;OFFSET($BN$9,CN21+1,0,1,1),((F21-OFFSET($BM$9,CN21+1,0,1,1))*OFFSET($CI$9,CN21+1,0,1,1))+OFFSET($BP$9,CN21+1,CQ21,1,1),IF(F21&lt;OFFSET($BN$9,CN21+2,0,1,1),((F21-OFFSET($BM$9,CN21+2,0,1,1))*OFFSET($CI$9,CN21+2,0,1,1))+OFFSET($BP$9,CN21+2,CQ21,1,1),IF(F21&lt;OFFSET($BN$9,CN21+3,0,1,1),((F21-OFFSET($BM$9,CN21+3,0,1,1))*OFFSET($CI$9,CN21+3,0,1,1))+OFFSET($BP$9,CN21+3,CQ21,1,1),0))))))</f>
        <v>0</v>
      </c>
      <c r="DJ21" s="51">
        <f ca="1">IF($F21&lt;OFFSET($BM$9,$CN21-1,0,1,1),0,IF($F21&lt;OFFSET($BN$9,$CN21-1,0,1,1),IF(AND($H21&gt;2.4,Z21&lt;&gt;"e",Z21&lt;&gt;"f"),DN21*2.4/$H21,DN21),IF($F21&lt;OFFSET($BN$9,$CN21+0,0,1,1),IF(AND($H21&gt;2.4,Z21&lt;&gt;"e",Z21&lt;&gt;"f"),DN21*2.4/$H21,DN21),IF($F21&lt;OFFSET($BN$9,$CN21+1,0,1,1),IF(AND($H21&gt;2.4,Z21&lt;&gt;"e",Z21&lt;&gt;"f"),DN21*2.4/$H21,DN21),IF($F21&lt;OFFSET($BN$9,$CN21+2,0,1,1),IF(AND($H21&gt;2.4,Z21&lt;&gt;"e",Z21&lt;&gt;"f"),DN21*2.4/$H21,DN21),IF($F21&lt;OFFSET($BN$9,$CN21+3,0,1,1),IF(AND($H21&gt;2.4,Z21&lt;&gt;"e",Z21&lt;&gt;"f"),DN21*2.4/$H21,DN21),0)))))*COS(RADIANS($G21)))</f>
        <v>0</v>
      </c>
      <c r="DK21" s="51"/>
      <c r="DL21" s="51">
        <f ca="1">IF(DG21&gt;$CR21,$CR21,DG21)</f>
        <v>0</v>
      </c>
      <c r="DM21" s="51"/>
      <c r="DN21" s="51">
        <f ca="1">IF(DI21&gt;$CR21,$CR21,DI21)</f>
        <v>0</v>
      </c>
      <c r="DO21" s="435">
        <f ca="1">IF(DH21&gt;$CR21,$CR21,DH21)</f>
        <v>0</v>
      </c>
      <c r="DP21" s="435">
        <f ca="1">DO21*F21</f>
        <v>0</v>
      </c>
      <c r="DQ21" s="436">
        <f ca="1">IF(DJ21&gt;$CR21,$CR21,DJ21)</f>
        <v>0</v>
      </c>
      <c r="DR21" s="437">
        <f ca="1">DQ21*F21</f>
        <v>0</v>
      </c>
      <c r="DS21" s="426">
        <f ca="1">OFFSET($CH$9,CL21-1,-15,1,1)</f>
        <v>0</v>
      </c>
      <c r="DT21" s="426">
        <f t="shared" ca="1" si="1"/>
        <v>0</v>
      </c>
      <c r="DU21" s="188">
        <f ca="1">IF(F21&lt;OFFSET($BM$9,DT21-1,0,1,1),0,IF(F21&lt;OFFSET($BN$9,DT21-1,0,1,1),((F21-OFFSET($BM$9,DT21-1,0,1,1))*OFFSET($CH$9,DT21-1,0,1,1))+OFFSET($BO$9,DT21-1,CQ21,1,1),IF(F21&lt;OFFSET($BN$9,DT21+0,0,1,1),((F21-OFFSET($BM$9,DT21+0,0,1,1))*OFFSET($CH$9,DT21+0,0,1,1))+OFFSET($BO$9,DT21+0,CQ21,1,1),IF(F21&lt;OFFSET($BN$9,DT21+1,0,1,1),((F21-OFFSET($BM$9,DT21+1,0,1,1))*OFFSET($CH$9,DT21+1,0,1,1))+OFFSET($BO$9,DT21+1,CQ21,1,1),IF(F21&lt;OFFSET($BN$9,DT21+2,0,1,1),((F21-OFFSET($BM$9,DT21+2,0,1,1))*OFFSET($CH$9,DT21+2,0,1,1))+OFFSET($BO$9,DT21+2,CQ21,1,1),IF(F21&lt;OFFSET($BN$9,DT21+3,0,1,1),((F21-OFFSET($BM$9,DT21+3,0,1,1))*OFFSET($CH$9,DT21+3,0,1,1))+OFFSET($BO$9,DT21+3,CQ21,1,1),0))))))</f>
        <v>0</v>
      </c>
      <c r="DV21" s="51">
        <f ca="1">IF($F21&lt;OFFSET($BM$9,$DT21-1,0,1,1),0,IF($F21&lt;OFFSET($BN$9,$DT21-1,0,1,1),IF(AND($H21&gt;2.4,Z21&lt;&gt;"e",Z21&lt;&gt;"f"),DZ21*2.4/$H21,DZ21),IF($F21&lt;OFFSET($BN$9,$DT21+0,0,1,1),IF(AND($H21&gt;2.4,Z21&lt;&gt;"e",Z21&lt;&gt;"f"),DZ21*2.4/$H21,DZ21),IF($F21&lt;OFFSET($BN$9,$DT21+1,0,1,1),IF(AND($H21&gt;2.4,Z21&lt;&gt;"e",Z21&lt;&gt;"f"),DZ21*2.4/$H21,DZ21),IF($F21&lt;OFFSET($BN$9,$DT21+2,0,1,1),IF(AND($H21&gt;2.4,Z21&lt;&gt;"e",Z21&lt;&gt;"f"),DZ21*2.4/$H21,DZ21),IF($F21&lt;OFFSET($BN$9,$DT21+3,0,1,1),IF(AND($H21&gt;2.4,Z21&lt;&gt;"e",Z21&lt;&gt;"f"),DZ21*2.4/$H21,DZ21),0)))))*COS(RADIANS($G21)))</f>
        <v>0</v>
      </c>
      <c r="DW21" s="188">
        <f ca="1">IF(F21&lt;OFFSET($BM$9,DT21-1,0,1,1),0,IF(F21&lt;OFFSET($BN$9,DT21-1,0,1,1),((F21-OFFSET($BM$9,DT21-1,0,1,1))*OFFSET($CI$9,DT21-1,0,1,1))+OFFSET($BP$9,DT21-1,CQ21,1,1),IF(F21&lt;OFFSET($BN$9,DT21+0,0,1,1),((F21-OFFSET($BM$9,DT21+0,0,1,1))*OFFSET($CI$9,DT21+0,0,1,1))+OFFSET($BP$9,DT21+0,CQ21,1,1),IF(F21&lt;OFFSET($BN$9,DT21+1,0,1,1),((F21-OFFSET($BM$9,DT21+1,0,1,1))*OFFSET($CI$9,DT21+1,0,1,1))+OFFSET($BP$9,DT21+1,CQ21,1,1),IF(F21&lt;OFFSET($BN$9,DT21+2,0,1,1),((F21-OFFSET($BM$9,DT21+2,0,1,1))*OFFSET($CI$9,DT21+2,0,1,1))+OFFSET($BP$9,DT21+2,CQ21,1,1),IF(F21&lt;OFFSET($BN$9,DT21+3,0,1,1),((F21-OFFSET($BM$9,DT21+3,0,1,1))*OFFSET($CI$9,DT21+3,0,1,1))+OFFSET($BP$9,DT21+3,CQ21,1,1),0))))))</f>
        <v>0</v>
      </c>
      <c r="DX21" s="51">
        <f ca="1">IF($F21&lt;OFFSET($BM$9,$DT21-1,0,1,1),0,IF($F21&lt;OFFSET($BN$9,$DT21-1,0,1,1),IF(AND($H21&gt;2.4,Z21&lt;&gt;"e",Z21&lt;&gt;"f"),EB21*2.4/$H21,EB21),IF($F21&lt;OFFSET($BN$9,$DT21+0,0,1,1),IF(AND($H21&gt;2.4,Z21&lt;&gt;"e",Z21&lt;&gt;"f"),EB21*2.4/$H21,EB21),IF($F21&lt;OFFSET($BN$9,$DT21+1,0,1,1),IF(AND($H21&gt;2.4,Z21&lt;&gt;"e",Z21&lt;&gt;"f"),EB21*2.4/$H21,EB21),IF($F21&lt;OFFSET($BN$9,$DT21+2,0,1,1),IF(AND($H21&gt;2.4,Z21&lt;&gt;"e",Z21&lt;&gt;"f"),EB21*2.4/$H21,EB21),IF($F21&lt;OFFSET($BN$9,$DT21+3,0,1,1),IF(AND($H21&gt;2.4,Z21&lt;&gt;"e",Z21&lt;&gt;"f"),EB21*2.4/$H21,EB21),0)))))*COS(RADIANS($G21)))</f>
        <v>0</v>
      </c>
      <c r="DY21" s="188"/>
      <c r="DZ21" s="188">
        <f ca="1">IF(DU21&gt;$CR21,$CR21,DU21)</f>
        <v>0</v>
      </c>
      <c r="EA21" s="188"/>
      <c r="EB21" s="188">
        <f ca="1">IF(DW21&gt;$CR21,$CR21,DW21)</f>
        <v>0</v>
      </c>
      <c r="EC21" s="435">
        <f ca="1">IF(DV21&gt;$CR21,$CR21,DV21)</f>
        <v>0</v>
      </c>
      <c r="ED21" s="435">
        <f ca="1">EC21*F21</f>
        <v>0</v>
      </c>
      <c r="EE21" s="436">
        <f ca="1">IF(DX21&gt;$CR21,$CR21,DX21)</f>
        <v>0</v>
      </c>
      <c r="EF21" s="437">
        <f ca="1">EE21*F21</f>
        <v>0</v>
      </c>
      <c r="EG21" s="613" t="str">
        <f>IF(D21=BG$12,BG$12,"")</f>
        <v/>
      </c>
      <c r="EH21" s="614" t="str">
        <f>IF(D21=BG$13,BG$13,"")</f>
        <v/>
      </c>
      <c r="EI21" s="611">
        <f>IF(EG21=BG$12,M21,0)</f>
        <v>0</v>
      </c>
      <c r="EJ21" s="451">
        <f>IF(EG21=BG$12,O21,0)</f>
        <v>0</v>
      </c>
      <c r="EK21" s="451">
        <f>IF(EH21=BG$13,M21,0)</f>
        <v>0</v>
      </c>
      <c r="EL21" s="612">
        <f>IF(EH21=BG$13,O21,0)</f>
        <v>0</v>
      </c>
      <c r="EM21" s="426" t="str">
        <f ca="1">IF(AND(Z21&lt;&gt;"t",Z21&lt;&gt;"f"),"",IF(AND(EN21=$BH$11,K21&lt;&gt;EN21),EM$4,IF(AND(EN21=$BH$12,K21=$BH$13),EM$4,IF(AND(EN21=$BH$12,K21=$BH$14),EM$4,IF(AND(EN21=$BH$13,K21=$BH$14),$EM$4,IF(EN21=$BH$14,$EM$4,""))))))</f>
        <v/>
      </c>
      <c r="EN21" s="489" t="str">
        <f>BG$24</f>
        <v>No Floor</v>
      </c>
      <c r="EO21" s="426" t="str">
        <f>K21</f>
        <v xml:space="preserve"> </v>
      </c>
      <c r="EP21" s="497" t="str">
        <f ca="1">IF(AND(Z21&lt;&gt;"t",Z21&lt;&gt;"f"),"",IF(AND(EN21=$BH$14,K21&lt;&gt;EN21),EP$4,IF(AND(EN21=$BH$13,K21=$BH$12),EP$4,IF(AND(EN21=$BH$13,K21=$BH$11),EP$4,IF(AND(EN21=$BH$12,K21=$BH$11),$EP$4,IF(EN21=$BH$11,"Earth",""))))))</f>
        <v/>
      </c>
      <c r="EQ21" s="430" t="str">
        <f ca="1">IF(Z21&lt;&gt;"t","",IF(EQ$5=2,IF(K21&lt;&gt;BH$11,EQ$7," ")))</f>
        <v/>
      </c>
      <c r="ER21" s="439" t="str">
        <f ca="1">IF(H21=0," ",H21)</f>
        <v xml:space="preserve"> </v>
      </c>
      <c r="ES21" s="440" t="str">
        <f ca="1">IF(ER21&lt;&gt;" ",IF(ER21&lt;&gt;ER$7,"Changed",""),"")</f>
        <v/>
      </c>
      <c r="ET21" s="440">
        <f t="shared" ca="1" si="20"/>
        <v>0</v>
      </c>
      <c r="EU21" s="426" t="str">
        <f ca="1">IF(I21=" "," ",IF(F21&lt;OFFSET($BM$9,CL21-1,0,1,1),1,""))</f>
        <v xml:space="preserve"> </v>
      </c>
      <c r="EW21" s="427"/>
      <c r="EY21" s="421"/>
    </row>
    <row r="22" spans="2:155" ht="17.100000000000001" customHeight="1" thickBot="1">
      <c r="B22" s="689" t="s">
        <v>246</v>
      </c>
      <c r="C22" s="684" t="str">
        <f>IF(OR(F22=0,I22="",I22=" ")," ",$V22)</f>
        <v xml:space="preserve"> </v>
      </c>
      <c r="D22" s="1033"/>
      <c r="E22" s="1360"/>
      <c r="F22" s="202"/>
      <c r="G22" s="1416"/>
      <c r="H22" s="1417" t="str">
        <f ca="1">IF(OR(F22=0,Z22="E",Z22="f")," ",'Project Demand'!E$55)</f>
        <v xml:space="preserve"> </v>
      </c>
      <c r="I22" s="631" t="str">
        <f>IF($I$6&lt;&gt;$BG$8," ",AB22)</f>
        <v xml:space="preserve"> </v>
      </c>
      <c r="J22" s="44" t="str">
        <f ca="1">IF(OR(I22=" ",I22="")," ",OFFSET($BO$9,CL22-1,0-4,1,1))</f>
        <v xml:space="preserve"> </v>
      </c>
      <c r="K22" s="55" t="str">
        <f>IF(OR(I22=" ",I22="")," ",IF(OR(Z22="e",Z22="h"),"SD",IF(BG$24=BH$11,BH$13,BG$24)))</f>
        <v xml:space="preserve"> </v>
      </c>
      <c r="L22" s="49">
        <f ca="1">CW22</f>
        <v>0</v>
      </c>
      <c r="M22" s="49">
        <f ca="1">CY22</f>
        <v>0</v>
      </c>
      <c r="N22" s="50">
        <f t="shared" ca="1" si="23"/>
        <v>0</v>
      </c>
      <c r="O22" s="126">
        <f t="shared" ca="1" si="23"/>
        <v>0</v>
      </c>
      <c r="P22" s="140"/>
      <c r="Q22" s="752" t="str">
        <f ca="1">IF(AND(OR(Z22="t",Z22="f"),K22=$BH$11),"No Floor!  Change Floor Type",IF(OR(I22=" ",I22="")," ",IF(F22&lt;OFFSET($BM$9,CL22-1,0,1,1),"check L(m)",DE22&amp;IF(AND(DP22&gt;=CY22,DR22&gt;=DB22),IF(AND(ED22&gt;=DP22,EF22&gt;=DR22),CONCATENATE(DS22," will provide same result"),CONCATENATE(CO22," will provide same result")),IF((DP22&gt;=CY22),CONCATENATE(CO22," provides same result in WIND"),IF((DR22&gt;=DB22),CONCATENATE(CO22," provides same result in EQ"),""))))))&amp;IF(ISERROR(FIND("pile",I22,1)),"",IF(INT(F22)&lt;&gt;F22,"Pile!  Use Whole Numbers Only",""))</f>
        <v xml:space="preserve"> </v>
      </c>
      <c r="R22" s="52"/>
      <c r="S22" s="1372"/>
      <c r="T22" s="52"/>
      <c r="U22" s="1377"/>
      <c r="V22" s="52" t="str">
        <f ca="1">IF(AND(B$5=$BF$9,OR(I22=BH$16,I22=BH$17))," ",IF(ISNUMBER(B$20),(CONCATENATE(B$20,".",W22)),(CONCATENATE(B$20,W22))))</f>
        <v>C0</v>
      </c>
      <c r="W22" s="9">
        <f ca="1">W21+X22</f>
        <v>0</v>
      </c>
      <c r="X22" s="9">
        <f>IF(AND(B$5=$BF$9,OR($I22=$BH$16,$I22=$BH$17,$I22=" ",$I22="",$F22=0)),0,IF(OR($I22=" ",$I22="",$F22=0),0,1))</f>
        <v>0</v>
      </c>
      <c r="Y22" s="896"/>
      <c r="Z22" s="52" t="str">
        <f ca="1">IF(I22=" "," ",OFFSET($BM$9,$CL22-1,8,1,1))</f>
        <v xml:space="preserve"> </v>
      </c>
      <c r="AA22" s="51" t="str">
        <f>IF(G22&gt;=45,"WA","")</f>
        <v/>
      </c>
      <c r="AB22" s="1364" t="str">
        <f>IF(OR(E22=" ",E22="")," ",(IF(F22&lt;&gt;"",IF(OR(D22=$BG$12,D22=$BG$13),IF(E22&lt;&gt;$BG$17,$BF$20,$BF$21),IF(E22&lt;&gt;$BG$17,$BF$20,$BF$21))," ")))</f>
        <v xml:space="preserve"> </v>
      </c>
      <c r="AC22" s="1"/>
      <c r="AJ22" s="29"/>
      <c r="AK22" s="30"/>
      <c r="AL22" s="30"/>
      <c r="AM22" s="32"/>
      <c r="AN22" s="32"/>
      <c r="AO22" s="32"/>
      <c r="AP22" s="32"/>
      <c r="AQ22" s="32"/>
      <c r="AR22" s="32"/>
      <c r="AS22" s="32"/>
      <c r="AT22" s="41"/>
      <c r="AU22" s="477"/>
      <c r="AV22" s="477"/>
      <c r="AW22" s="477"/>
      <c r="AX22" s="477"/>
      <c r="AY22" s="477"/>
      <c r="AZ22" s="477"/>
      <c r="BA22" s="477"/>
      <c r="BB22" s="477"/>
      <c r="BC22" s="477"/>
      <c r="BD22" s="2648"/>
      <c r="BF22" s="1363" t="s">
        <v>8</v>
      </c>
      <c r="BG22" s="1003" t="s">
        <v>674</v>
      </c>
      <c r="BH22" s="1004"/>
      <c r="BI22" s="759"/>
      <c r="BJ22" s="897">
        <f t="shared" si="5"/>
        <v>14</v>
      </c>
      <c r="BK22" s="769" t="str">
        <f t="shared" si="6"/>
        <v xml:space="preserve">  </v>
      </c>
      <c r="BL22" s="771" t="str">
        <f t="shared" si="7"/>
        <v>Custom11</v>
      </c>
      <c r="BM22" s="455">
        <f t="shared" si="8"/>
        <v>9.9999999999999996E-76</v>
      </c>
      <c r="BN22" s="455">
        <v>999</v>
      </c>
      <c r="BO22" s="455">
        <f t="shared" si="9"/>
        <v>0</v>
      </c>
      <c r="BP22" s="925">
        <f t="shared" si="10"/>
        <v>0</v>
      </c>
      <c r="BR22" s="764"/>
      <c r="BS22" s="455"/>
      <c r="BT22" s="455" t="str">
        <f t="shared" si="11"/>
        <v>B</v>
      </c>
      <c r="BU22" s="925" t="str">
        <f t="shared" si="12"/>
        <v>T</v>
      </c>
      <c r="BV22" s="483" t="str">
        <f t="shared" si="13"/>
        <v>Custom11</v>
      </c>
      <c r="BW22" s="910">
        <f t="shared" si="22"/>
        <v>14</v>
      </c>
      <c r="BX22" s="924" t="str">
        <f t="shared" si="14"/>
        <v>Single</v>
      </c>
      <c r="CH22" s="764">
        <f t="shared" si="15"/>
        <v>0</v>
      </c>
      <c r="CI22" s="925">
        <f t="shared" si="16"/>
        <v>0</v>
      </c>
      <c r="CJ22" s="759"/>
      <c r="CK22" s="188"/>
      <c r="CL22" s="979">
        <f>VLOOKUP(I22,Prodlink,2,0)</f>
        <v>0</v>
      </c>
      <c r="CN22" s="497">
        <f t="shared" ca="1" si="2"/>
        <v>0</v>
      </c>
      <c r="CO22" s="497">
        <f ca="1">OFFSET($CH$9,CL22-1,-15,1,1)</f>
        <v>0</v>
      </c>
      <c r="CQ22" s="51">
        <v>0</v>
      </c>
      <c r="CR22" s="51">
        <f ca="1">IF(AND(Z22&lt;&gt;"t",Z22&lt;&gt;"f"),10000,IF(K22=$BH$11,0,IF(K22=$BH$12,$BH$23,IF(K22=$BH$13,$BH$24,10000))))</f>
        <v>10000</v>
      </c>
      <c r="CS22" s="51">
        <f ca="1">IF(F22&lt;OFFSET($BM$9,CL22-1,0,1,1),0,IF(F22&lt;OFFSET($BN$9,CL22-1,0,1,1),((F22-OFFSET($BM$9,CL22-1,0,1,1))*OFFSET($CH$9,CL22-1,0,1,1))+OFFSET($BO$9,CL22-1,CQ22,1,1),IF(F22&lt;OFFSET($BN$9,CL22+0,0,1,1),((F22-OFFSET($BM$9,CL22+0,0,1,1))*OFFSET($CH$9,CL22+0,0,1,1))+OFFSET($BO$9,CL22+0,CQ22,1,1),IF(F22&lt;OFFSET($BN$9,CL22+1,0,1,1),((F22-OFFSET($BM$9,CL22+1,0,1,1))*OFFSET($CH$9,CL22+1,0,1,1))+OFFSET($BO$9,CL22+1,CQ22,1,1),IF(F22&lt;OFFSET($BN$9,CL22+2,0,1,1),((F22-OFFSET($BM$9,CL22+2,0,1,1))*OFFSET($CH$9,CL22+2,0,1,1))+OFFSET($BO$9,CL22+2,CQ22,1,1),IF(F22&lt;OFFSET($BN$9,CL22+3,0,1,1),((F22-OFFSET($BM$9,CL22+3,0,1,1))*OFFSET($CH$9,CL22+3,0,1,1))+OFFSET($BO$9,CL22+3,CQ22,1,1),0))))))</f>
        <v>0</v>
      </c>
      <c r="CT22" s="51">
        <f ca="1">IF($F22&lt;OFFSET($BM$9,$CL22-1,0,1,1),0,IF($F22&lt;OFFSET($BN$9,$CL22-1,0,1,1),IF(AND($H22&gt;2.4,Z22&lt;&gt;"e",Z22&lt;&gt;"f"),CX22*2.4/$H22,CX22),IF($F22&lt;OFFSET($BN$9,$CL22+0,0,1,1),IF(AND($H22&gt;2.4,Z22&lt;&gt;"e",Z22&lt;&gt;"f"),CX22*2.4/$H22,CX22),IF($F22&lt;OFFSET($BN$9,$CL22+1,0,1,1),IF(AND($H22&gt;2.4,Z22&lt;&gt;"e",Z22&lt;&gt;"f"),CX22*2.4/$H22,CX22),IF($F22&lt;OFFSET($BN$9,CL22+2,0,1,1),IF(AND($H22&gt;2.4,Z22&lt;&gt;"e",Z22&lt;&gt;"f"),CX22*2.4/$H22,CX22),IF($F22&lt;OFFSET($BN$9,CL22+3,0,1,1),IF(AND($H22&gt;2.4,Z22&lt;&gt;"e",Z22&lt;&gt;"f"),CX22*2.4/$H22,CX22),0)))))*COS(RADIANS($G22)))</f>
        <v>0</v>
      </c>
      <c r="CU22" s="51">
        <f ca="1">IF(F22&lt;OFFSET($BM$9,CL22-1,0,1,1),0,IF(F22&lt;OFFSET($BN$9,CL22-1,0,1,1),((F22-OFFSET($BM$9,CL22-1,0,1,1))*OFFSET($CI$9,CL22-1,0,1,1))+OFFSET($BP$9,CL22-1,CQ22,1,1),IF(F22&lt;OFFSET($BN$9,CL22+0,0,1,1),((F22-OFFSET($BM$9,CL22+0,0,1,1))*OFFSET($CI$9,CL22+0,0,1,1))+OFFSET($BP$9,CL22+0,CQ22,1,1),IF(F22&lt;OFFSET($BN$9,CL22+1,0,1,1),((F22-OFFSET($BM$9,CL22+1,0,1,1))*OFFSET($CI$9,CL22+1,0,1,1))+OFFSET($BP$9,CL22+1,CQ22,1,1),IF(F22&lt;OFFSET($BN$9,CL22+2,0,1,1),((F22-OFFSET($BM$9,CL22+2,0,1,1))*OFFSET($CI$9,CL22+2,0,1,1))+OFFSET($BP$9,CL22+2,CQ22,1,1),IF(F22&lt;OFFSET($BN$9,CL22+3,0,1,1),((F22-OFFSET($BM$9,CL22+3,0,1,1))*OFFSET($CI$9,CL22+3,0,1,1))+OFFSET($BP$9,CL22+3,CQ22,1,1),0))))))</f>
        <v>0</v>
      </c>
      <c r="CV22" s="51">
        <f ca="1">IF($F22&lt;OFFSET($BM$9,$CL22-1,0,1,1),0,IF($F22&lt;OFFSET($BN$9,$CL22-1,0,1,1),IF(AND($H22&gt;2.4,Z22&lt;&gt;"e",Z22&lt;&gt;"f"),CZ22*2.4/$H22,CZ22),IF($F22&lt;OFFSET($BN$9,$CL22+0,0,1,1),IF(AND($H22&gt;2.4,Z22&lt;&gt;"e",Z22&lt;&gt;"f"),CZ22*2.4/$H22,CZ22),IF($F22&lt;OFFSET($BN$9,$CL22+1,0,1,1),IF(AND($H22&gt;2.4,Z22&lt;&gt;"e",Z22&lt;&gt;"f"),CZ22*2.4/$H22,CZ22),IF($F22&lt;OFFSET($BN$9,$CL22+2,0,1,1),IF(AND($H22&gt;2.4,Z22&lt;&gt;"e",Z22&lt;&gt;"f"),CZ22*2.4/$H22,CZ22),IF($F22&lt;OFFSET($BN$9,$CL22+3,0,1,1),IF(AND($H22&gt;2.4,Z22&lt;&gt;"e",Z22&lt;&gt;"f"),CZ22*2.4/$H22,CZ22),0)))))*COS(RADIANS($G22)))</f>
        <v>0</v>
      </c>
      <c r="CW22" s="51">
        <f t="shared" ca="1" si="17"/>
        <v>0</v>
      </c>
      <c r="CX22" s="51">
        <f ca="1">IF(CS22&gt;$CR22,$CR22,CS22)</f>
        <v>0</v>
      </c>
      <c r="CY22" s="51">
        <f ca="1">CW22*F22</f>
        <v>0</v>
      </c>
      <c r="CZ22" s="51">
        <f ca="1">IF($CU22&gt;$CR22,$CR22,$CU22)</f>
        <v>0</v>
      </c>
      <c r="DA22" s="51">
        <f ca="1">IF(CV22&gt;CR22,CR22,CV22)</f>
        <v>0</v>
      </c>
      <c r="DB22" s="51">
        <f ca="1">DA22*F22</f>
        <v>0</v>
      </c>
      <c r="DC22" s="993">
        <v>1</v>
      </c>
      <c r="DD22" s="758" t="str">
        <f>IF(OR(D22=BG$12,D22=BG$13),"External",IF(D22=BG$14,"Internal"," "))</f>
        <v xml:space="preserve"> </v>
      </c>
      <c r="DE22" s="51" t="str">
        <f t="shared" ca="1" si="18"/>
        <v/>
      </c>
      <c r="DF22" s="52" t="str">
        <f t="shared" ca="1" si="19"/>
        <v xml:space="preserve"> </v>
      </c>
      <c r="DG22" s="51">
        <f ca="1">IF(F22&lt;OFFSET($BM$9,CN22-1,0,1,1),0,IF(F22&lt;OFFSET($BN$9,CN22-1,0,1,1),((F22-OFFSET($BM$9,CN22-1,0,1,1))*OFFSET($CH$9,CN22-1,0,1,1))+OFFSET($BO$9,CN22-1,CQ22,1,1),IF(F22&lt;OFFSET($BN$9,CN22+0,0,1,1),((F22-OFFSET($BM$9,CN22+0,0,1,1))*OFFSET($CH$9,CN22+0,0,1,1))+OFFSET($BO$9,CN22+0,CQ22,1,1),IF(F22&lt;OFFSET($BN$9,CN22+1,0,1,1),((F22-OFFSET($BM$9,CN22+1,0,1,1))*OFFSET($CH$9,CN22+1,0,1,1))+OFFSET($BO$9,CN22+1,CQ22,1,1),IF(F22&lt;OFFSET($BN$9,CN22+2,0,1,1),((F22-OFFSET($BM$9,CN22+2,0,1,1))*OFFSET($CH$9,CN22+2,0,1,1))+OFFSET($BO$9,CN22+2,CQ22,1,1),IF(F22&lt;OFFSET($BN$9,CN22+3,0,1,1),((F22-OFFSET($BM$9,CN22+3,0,1,1))*OFFSET($CH$9,CN22+3,0,1,1))+OFFSET($BO$9,CN22+3,CQ22,1,1),0))))))</f>
        <v>0</v>
      </c>
      <c r="DH22" s="51">
        <f ca="1">IF($F22&lt;OFFSET($BM$9,$CN22-1,0,1,1),0,IF($F22&lt;OFFSET($BN$9,$CN22-1,0,1,1),IF(AND($H22&gt;2.4,Z22&lt;&gt;"e",Z22&lt;&gt;"f"),DL22*2.4/$H22,DL22),IF($F22&lt;OFFSET($BN$9,$CN22+0,0,1,1),IF(AND($H22&gt;2.4,Z22&lt;&gt;"e",Z22&lt;&gt;"f"),DL22*2.4/$H22,DL22),IF($F22&lt;OFFSET($BN$9,$CN22+1,0,1,1),IF(AND($H22&gt;2.4,Z22&lt;&gt;"e",Z22&lt;&gt;"f"),DL22*2.4/$H22,DL22),IF($F22&lt;OFFSET($BN$9,$CN22+2,0,1,1),IF(AND($H22&gt;2.4,Z22&lt;&gt;"e",Z22&lt;&gt;"f"),DL22*2.4/$H22,DL22),IF($F22&lt;OFFSET($BN$9,$CN22+3,0,1,1),IF(AND($H22&gt;2.4,Z22&lt;&gt;"e",Z22&lt;&gt;"f"),DL22*2.4/$H22,DL22),0)))))*COS(RADIANS($G22)))</f>
        <v>0</v>
      </c>
      <c r="DI22" s="51">
        <f ca="1">IF(F22&lt;OFFSET($BM$9,CN22-1,0,1,1),0,IF(F22&lt;OFFSET($BN$9,CN22-1,0,1,1),((F22-OFFSET($BM$9,CN22-1,0,1,1))*OFFSET($CI$9,CN22-1,0,1,1))+OFFSET($BP$9,CN22-1,CQ22,1,1),IF(F22&lt;OFFSET($BN$9,CN22+0,0,1,1),((F22-OFFSET($BM$9,CN22+0,0,1,1))*OFFSET($CI$9,CN22+0,0,1,1))+OFFSET($BP$9,CN22+0,CQ22,1,1),IF(F22&lt;OFFSET($BN$9,CN22+1,0,1,1),((F22-OFFSET($BM$9,CN22+1,0,1,1))*OFFSET($CI$9,CN22+1,0,1,1))+OFFSET($BP$9,CN22+1,CQ22,1,1),IF(F22&lt;OFFSET($BN$9,CN22+2,0,1,1),((F22-OFFSET($BM$9,CN22+2,0,1,1))*OFFSET($CI$9,CN22+2,0,1,1))+OFFSET($BP$9,CN22+2,CQ22,1,1),IF(F22&lt;OFFSET($BN$9,CN22+3,0,1,1),((F22-OFFSET($BM$9,CN22+3,0,1,1))*OFFSET($CI$9,CN22+3,0,1,1))+OFFSET($BP$9,CN22+3,CQ22,1,1),0))))))</f>
        <v>0</v>
      </c>
      <c r="DJ22" s="51">
        <f ca="1">IF($F22&lt;OFFSET($BM$9,$CN22-1,0,1,1),0,IF($F22&lt;OFFSET($BN$9,$CN22-1,0,1,1),IF(AND($H22&gt;2.4,Z22&lt;&gt;"e",Z22&lt;&gt;"f"),DN22*2.4/$H22,DN22),IF($F22&lt;OFFSET($BN$9,$CN22+0,0,1,1),IF(AND($H22&gt;2.4,Z22&lt;&gt;"e",Z22&lt;&gt;"f"),DN22*2.4/$H22,DN22),IF($F22&lt;OFFSET($BN$9,$CN22+1,0,1,1),IF(AND($H22&gt;2.4,Z22&lt;&gt;"e",Z22&lt;&gt;"f"),DN22*2.4/$H22,DN22),IF($F22&lt;OFFSET($BN$9,$CN22+2,0,1,1),IF(AND($H22&gt;2.4,Z22&lt;&gt;"e",Z22&lt;&gt;"f"),DN22*2.4/$H22,DN22),IF($F22&lt;OFFSET($BN$9,$CN22+3,0,1,1),IF(AND($H22&gt;2.4,Z22&lt;&gt;"e",Z22&lt;&gt;"f"),DN22*2.4/$H22,DN22),0)))))*COS(RADIANS($G22)))</f>
        <v>0</v>
      </c>
      <c r="DK22" s="51"/>
      <c r="DL22" s="51">
        <f ca="1">IF(DG22&gt;$CR22,$CR22,DG22)</f>
        <v>0</v>
      </c>
      <c r="DM22" s="51"/>
      <c r="DN22" s="51">
        <f ca="1">IF(DI22&gt;$CR22,$CR22,DI22)</f>
        <v>0</v>
      </c>
      <c r="DO22" s="435">
        <f ca="1">IF(DH22&gt;$CR22,$CR22,DH22)</f>
        <v>0</v>
      </c>
      <c r="DP22" s="435">
        <f ca="1">DO22*F22</f>
        <v>0</v>
      </c>
      <c r="DQ22" s="436">
        <f ca="1">IF(DJ22&gt;$CR22,$CR22,DJ22)</f>
        <v>0</v>
      </c>
      <c r="DR22" s="437">
        <f ca="1">DQ22*F22</f>
        <v>0</v>
      </c>
      <c r="DS22" s="426">
        <f ca="1">OFFSET($CH$9,CL22-1,-15,1,1)</f>
        <v>0</v>
      </c>
      <c r="DT22" s="426">
        <f t="shared" ca="1" si="1"/>
        <v>0</v>
      </c>
      <c r="DU22" s="188">
        <f ca="1">IF(F22&lt;OFFSET($BM$9,DT22-1,0,1,1),0,IF(F22&lt;OFFSET($BN$9,DT22-1,0,1,1),((F22-OFFSET($BM$9,DT22-1,0,1,1))*OFFSET($CH$9,DT22-1,0,1,1))+OFFSET($BO$9,DT22-1,CQ22,1,1),IF(F22&lt;OFFSET($BN$9,DT22+0,0,1,1),((F22-OFFSET($BM$9,DT22+0,0,1,1))*OFFSET($CH$9,DT22+0,0,1,1))+OFFSET($BO$9,DT22+0,CQ22,1,1),IF(F22&lt;OFFSET($BN$9,DT22+1,0,1,1),((F22-OFFSET($BM$9,DT22+1,0,1,1))*OFFSET($CH$9,DT22+1,0,1,1))+OFFSET($BO$9,DT22+1,CQ22,1,1),IF(F22&lt;OFFSET($BN$9,DT22+2,0,1,1),((F22-OFFSET($BM$9,DT22+2,0,1,1))*OFFSET($CH$9,DT22+2,0,1,1))+OFFSET($BO$9,DT22+2,CQ22,1,1),IF(F22&lt;OFFSET($BN$9,DT22+3,0,1,1),((F22-OFFSET($BM$9,DT22+3,0,1,1))*OFFSET($CH$9,DT22+3,0,1,1))+OFFSET($BO$9,DT22+3,CQ22,1,1),0))))))</f>
        <v>0</v>
      </c>
      <c r="DV22" s="51">
        <f ca="1">IF($F22&lt;OFFSET($BM$9,$DT22-1,0,1,1),0,IF($F22&lt;OFFSET($BN$9,$DT22-1,0,1,1),IF(AND($H22&gt;2.4,Z22&lt;&gt;"e",Z22&lt;&gt;"f"),DZ22*2.4/$H22,DZ22),IF($F22&lt;OFFSET($BN$9,$DT22+0,0,1,1),IF(AND($H22&gt;2.4,Z22&lt;&gt;"e",Z22&lt;&gt;"f"),DZ22*2.4/$H22,DZ22),IF($F22&lt;OFFSET($BN$9,$DT22+1,0,1,1),IF(AND($H22&gt;2.4,Z22&lt;&gt;"e",Z22&lt;&gt;"f"),DZ22*2.4/$H22,DZ22),IF($F22&lt;OFFSET($BN$9,$DT22+2,0,1,1),IF(AND($H22&gt;2.4,Z22&lt;&gt;"e",Z22&lt;&gt;"f"),DZ22*2.4/$H22,DZ22),IF($F22&lt;OFFSET($BN$9,$DT22+3,0,1,1),IF(AND($H22&gt;2.4,Z22&lt;&gt;"e",Z22&lt;&gt;"f"),DZ22*2.4/$H22,DZ22),0)))))*COS(RADIANS($G22)))</f>
        <v>0</v>
      </c>
      <c r="DW22" s="188">
        <f ca="1">IF(F22&lt;OFFSET($BM$9,DT22-1,0,1,1),0,IF(F22&lt;OFFSET($BN$9,DT22-1,0,1,1),((F22-OFFSET($BM$9,DT22-1,0,1,1))*OFFSET($CI$9,DT22-1,0,1,1))+OFFSET($BP$9,DT22-1,CQ22,1,1),IF(F22&lt;OFFSET($BN$9,DT22+0,0,1,1),((F22-OFFSET($BM$9,DT22+0,0,1,1))*OFFSET($CI$9,DT22+0,0,1,1))+OFFSET($BP$9,DT22+0,CQ22,1,1),IF(F22&lt;OFFSET($BN$9,DT22+1,0,1,1),((F22-OFFSET($BM$9,DT22+1,0,1,1))*OFFSET($CI$9,DT22+1,0,1,1))+OFFSET($BP$9,DT22+1,CQ22,1,1),IF(F22&lt;OFFSET($BN$9,DT22+2,0,1,1),((F22-OFFSET($BM$9,DT22+2,0,1,1))*OFFSET($CI$9,DT22+2,0,1,1))+OFFSET($BP$9,DT22+2,CQ22,1,1),IF(F22&lt;OFFSET($BN$9,DT22+3,0,1,1),((F22-OFFSET($BM$9,DT22+3,0,1,1))*OFFSET($CI$9,DT22+3,0,1,1))+OFFSET($BP$9,DT22+3,CQ22,1,1),0))))))</f>
        <v>0</v>
      </c>
      <c r="DX22" s="51">
        <f ca="1">IF($F22&lt;OFFSET($BM$9,$DT22-1,0,1,1),0,IF($F22&lt;OFFSET($BN$9,$DT22-1,0,1,1),IF(AND($H22&gt;2.4,Z22&lt;&gt;"e",Z22&lt;&gt;"f"),EB22*2.4/$H22,EB22),IF($F22&lt;OFFSET($BN$9,$DT22+0,0,1,1),IF(AND($H22&gt;2.4,Z22&lt;&gt;"e",Z22&lt;&gt;"f"),EB22*2.4/$H22,EB22),IF($F22&lt;OFFSET($BN$9,$DT22+1,0,1,1),IF(AND($H22&gt;2.4,Z22&lt;&gt;"e",Z22&lt;&gt;"f"),EB22*2.4/$H22,EB22),IF($F22&lt;OFFSET($BN$9,$DT22+2,0,1,1),IF(AND($H22&gt;2.4,Z22&lt;&gt;"e",Z22&lt;&gt;"f"),EB22*2.4/$H22,EB22),IF($F22&lt;OFFSET($BN$9,$DT22+3,0,1,1),IF(AND($H22&gt;2.4,Z22&lt;&gt;"e",Z22&lt;&gt;"f"),EB22*2.4/$H22,EB22),0)))))*COS(RADIANS($G22)))</f>
        <v>0</v>
      </c>
      <c r="DY22" s="188"/>
      <c r="DZ22" s="188">
        <f ca="1">IF(DU22&gt;$CR22,$CR22,DU22)</f>
        <v>0</v>
      </c>
      <c r="EA22" s="188"/>
      <c r="EB22" s="188">
        <f ca="1">IF(DW22&gt;$CR22,$CR22,DW22)</f>
        <v>0</v>
      </c>
      <c r="EC22" s="435">
        <f ca="1">IF(DV22&gt;$CR22,$CR22,DV22)</f>
        <v>0</v>
      </c>
      <c r="ED22" s="435">
        <f ca="1">EC22*F22</f>
        <v>0</v>
      </c>
      <c r="EE22" s="436">
        <f ca="1">IF(DX22&gt;$CR22,$CR22,DX22)</f>
        <v>0</v>
      </c>
      <c r="EF22" s="437">
        <f ca="1">EE22*F22</f>
        <v>0</v>
      </c>
      <c r="EG22" s="613" t="str">
        <f>IF(D22=BG$12,BG$12,"")</f>
        <v/>
      </c>
      <c r="EH22" s="614" t="str">
        <f>IF(D22=BG$13,BG$13,"")</f>
        <v/>
      </c>
      <c r="EI22" s="611">
        <f>IF(EG22=BG$12,M22,0)</f>
        <v>0</v>
      </c>
      <c r="EJ22" s="451">
        <f>IF(EG22=BG$12,O22,0)</f>
        <v>0</v>
      </c>
      <c r="EK22" s="451">
        <f>IF(EH22=BG$13,M22,0)</f>
        <v>0</v>
      </c>
      <c r="EL22" s="612">
        <f>IF(EH22=BG$13,O22,0)</f>
        <v>0</v>
      </c>
      <c r="EM22" s="426" t="str">
        <f ca="1">IF(AND(Z22&lt;&gt;"t",Z22&lt;&gt;"f"),"",IF(AND(EN22=$BH$11,K22&lt;&gt;EN22),EM$4,IF(AND(EN22=$BH$12,K22=$BH$13),EM$4,IF(AND(EN22=$BH$12,K22=$BH$14),EM$4,IF(AND(EN22=$BH$13,K22=$BH$14),$EM$4,IF(EN22=$BH$14,$EM$4,""))))))</f>
        <v/>
      </c>
      <c r="EN22" s="489" t="str">
        <f>BG$24</f>
        <v>No Floor</v>
      </c>
      <c r="EO22" s="426" t="str">
        <f>K22</f>
        <v xml:space="preserve"> </v>
      </c>
      <c r="EP22" s="497" t="str">
        <f ca="1">IF(AND(Z22&lt;&gt;"t",Z22&lt;&gt;"f"),"",IF(AND(EN22=$BH$14,K22&lt;&gt;EN22),EP$4,IF(AND(EN22=$BH$13,K22=$BH$12),EP$4,IF(AND(EN22=$BH$13,K22=$BH$11),EP$4,IF(AND(EN22=$BH$12,K22=$BH$11),$EP$4,IF(EN22=$BH$11,"Earth",""))))))</f>
        <v/>
      </c>
      <c r="EQ22" s="430" t="str">
        <f ca="1">IF(Z22&lt;&gt;"t","",IF(EQ$5=2,IF(K22&lt;&gt;BH$11,EQ$7," ")))</f>
        <v/>
      </c>
      <c r="ER22" s="439" t="str">
        <f ca="1">IF(H22=0," ",H22)</f>
        <v xml:space="preserve"> </v>
      </c>
      <c r="ES22" s="440" t="str">
        <f ca="1">IF(ER22&lt;&gt;" ",IF(ER22&lt;&gt;ER$7,"Changed",""),"")</f>
        <v/>
      </c>
      <c r="ET22" s="440">
        <f t="shared" ca="1" si="20"/>
        <v>0</v>
      </c>
      <c r="EU22" s="426" t="str">
        <f ca="1">IF(I22=" "," ",IF(F22&lt;OFFSET($BM$9,CL22-1,0,1,1),1,""))</f>
        <v xml:space="preserve"> </v>
      </c>
      <c r="EW22" s="427"/>
      <c r="EY22" s="421"/>
    </row>
    <row r="23" spans="2:155" ht="17.100000000000001" customHeight="1" thickBot="1">
      <c r="B23" s="689" t="s">
        <v>246</v>
      </c>
      <c r="C23" s="684" t="str">
        <f>IF(OR(F23=0,I23="",I23=" ")," ",$V23)</f>
        <v xml:space="preserve"> </v>
      </c>
      <c r="D23" s="1033"/>
      <c r="E23" s="1360"/>
      <c r="F23" s="202"/>
      <c r="G23" s="1416"/>
      <c r="H23" s="1417" t="str">
        <f ca="1">IF(OR(F23=0,Z23="E",Z23="f")," ",'Project Demand'!E$55)</f>
        <v xml:space="preserve"> </v>
      </c>
      <c r="I23" s="631" t="str">
        <f>IF($I$6&lt;&gt;$BG$8," ",AB23)</f>
        <v xml:space="preserve"> </v>
      </c>
      <c r="J23" s="44" t="str">
        <f ca="1">IF(OR(I23=" ",I23="")," ",OFFSET($BO$9,CL23-1,0-4,1,1))</f>
        <v xml:space="preserve"> </v>
      </c>
      <c r="K23" s="55" t="str">
        <f>IF(OR(I23=" ",I23="")," ",IF(OR(Z23="e",Z23="h"),"SD",IF(BG$24=BH$11,BH$13,BG$24)))</f>
        <v xml:space="preserve"> </v>
      </c>
      <c r="L23" s="49">
        <f ca="1">CW23</f>
        <v>0</v>
      </c>
      <c r="M23" s="49">
        <f ca="1">CY23</f>
        <v>0</v>
      </c>
      <c r="N23" s="50">
        <f t="shared" ca="1" si="23"/>
        <v>0</v>
      </c>
      <c r="O23" s="126">
        <f t="shared" ca="1" si="23"/>
        <v>0</v>
      </c>
      <c r="P23" s="140"/>
      <c r="Q23" s="752" t="str">
        <f ca="1">IF(AND(OR(Z23="t",Z23="f"),K23=$BH$11),"No Floor!  Change Floor Type",IF(OR(I23=" ",I23="")," ",IF(F23&lt;OFFSET($BM$9,CL23-1,0,1,1),"check L(m)",DE23&amp;IF(AND(DP23&gt;=CY23,DR23&gt;=DB23),IF(AND(ED23&gt;=DP23,EF23&gt;=DR23),CONCATENATE(DS23," will provide same result"),CONCATENATE(CO23," will provide same result")),IF((DP23&gt;=CY23),CONCATENATE(CO23," provides same result in WIND"),IF((DR23&gt;=DB23),CONCATENATE(CO23," provides same result in EQ"),""))))))&amp;IF(ISERROR(FIND("pile",I23,1)),"",IF(INT(F23)&lt;&gt;F23,"Pile!  Use Whole Numbers Only",""))</f>
        <v xml:space="preserve"> </v>
      </c>
      <c r="R23" s="52"/>
      <c r="S23" s="1372"/>
      <c r="T23" s="52"/>
      <c r="U23" s="1377"/>
      <c r="V23" s="52" t="str">
        <f ca="1">IF(AND(B$5=$BF$9,OR(I23=BH$16,I23=BH$17))," ",IF(ISNUMBER(B$20),(CONCATENATE(B$20,".",W23)),(CONCATENATE(B$20,W23))))</f>
        <v>C0</v>
      </c>
      <c r="W23" s="9">
        <f ca="1">W22+X23</f>
        <v>0</v>
      </c>
      <c r="X23" s="9">
        <f>IF(AND(B$5=$BF$9,OR($I23=$BH$16,$I23=$BH$17,$I23=" ",$I23="",$F23=0)),0,IF(OR($I23=" ",$I23="",$F23=0),0,1))</f>
        <v>0</v>
      </c>
      <c r="Y23" s="896"/>
      <c r="Z23" s="52" t="str">
        <f ca="1">IF(I23=" "," ",OFFSET($BM$9,$CL23-1,8,1,1))</f>
        <v xml:space="preserve"> </v>
      </c>
      <c r="AA23" s="51" t="str">
        <f>IF(G23&gt;=45,"WA","")</f>
        <v/>
      </c>
      <c r="AB23" s="1364" t="str">
        <f>IF(OR(E23=" ",E23="")," ",(IF(F23&lt;&gt;"",IF(OR(D23=$BG$12,D23=$BG$13),IF(E23&lt;&gt;$BG$17,$BF$20,$BF$21),IF(E23&lt;&gt;$BG$17,$BF$20,$BF$21))," ")))</f>
        <v xml:space="preserve"> </v>
      </c>
      <c r="AC23" s="1"/>
      <c r="AJ23" s="29"/>
      <c r="AK23" s="30"/>
      <c r="AL23" s="30"/>
      <c r="AM23" s="32"/>
      <c r="AN23" s="32"/>
      <c r="AO23" s="32"/>
      <c r="AP23" s="32"/>
      <c r="AQ23" s="32"/>
      <c r="AR23" s="32"/>
      <c r="AS23" s="32"/>
      <c r="AT23" s="39"/>
      <c r="AU23" s="39"/>
      <c r="AV23" s="39"/>
      <c r="AW23" s="39"/>
      <c r="AX23" s="39"/>
      <c r="AY23" s="39"/>
      <c r="AZ23" s="39"/>
      <c r="BA23" s="39"/>
      <c r="BB23" s="39"/>
      <c r="BC23" s="39"/>
      <c r="BD23" s="2648"/>
      <c r="BF23" s="598" t="str">
        <f>Table!AI73</f>
        <v>ES-N</v>
      </c>
      <c r="BG23" s="1010">
        <f>'Project Demand'!AX78</f>
        <v>1</v>
      </c>
      <c r="BH23" s="655">
        <f>IF(BE$3=1,120,6)</f>
        <v>120</v>
      </c>
      <c r="BI23" s="759"/>
      <c r="BJ23" s="897">
        <f t="shared" si="5"/>
        <v>15</v>
      </c>
      <c r="BK23" s="769" t="str">
        <f t="shared" si="6"/>
        <v xml:space="preserve">  </v>
      </c>
      <c r="BL23" s="771" t="str">
        <f t="shared" si="7"/>
        <v>Custom12</v>
      </c>
      <c r="BM23" s="455">
        <f t="shared" si="8"/>
        <v>9.9999999999999996E-76</v>
      </c>
      <c r="BN23" s="455">
        <v>999</v>
      </c>
      <c r="BO23" s="455">
        <f t="shared" si="9"/>
        <v>0</v>
      </c>
      <c r="BP23" s="925">
        <f t="shared" si="10"/>
        <v>0</v>
      </c>
      <c r="BR23" s="764"/>
      <c r="BS23" s="455"/>
      <c r="BT23" s="455" t="str">
        <f t="shared" si="11"/>
        <v>B</v>
      </c>
      <c r="BU23" s="925" t="str">
        <f t="shared" si="12"/>
        <v>T</v>
      </c>
      <c r="BV23" s="483" t="str">
        <f t="shared" si="13"/>
        <v>Custom12</v>
      </c>
      <c r="BW23" s="910">
        <f t="shared" si="22"/>
        <v>15</v>
      </c>
      <c r="BX23" s="924" t="str">
        <f t="shared" si="14"/>
        <v>Single</v>
      </c>
      <c r="CH23" s="764">
        <f t="shared" si="15"/>
        <v>0</v>
      </c>
      <c r="CI23" s="925">
        <f t="shared" si="16"/>
        <v>0</v>
      </c>
      <c r="CJ23" s="759"/>
      <c r="CK23" s="188"/>
      <c r="CL23" s="979">
        <f>VLOOKUP(I23,Prodlink,2,0)</f>
        <v>0</v>
      </c>
      <c r="CN23" s="497">
        <f t="shared" ca="1" si="2"/>
        <v>0</v>
      </c>
      <c r="CO23" s="497">
        <f ca="1">OFFSET($CH$9,CL23-1,-15,1,1)</f>
        <v>0</v>
      </c>
      <c r="CQ23" s="51">
        <v>0</v>
      </c>
      <c r="CR23" s="51">
        <f ca="1">IF(AND(Z23&lt;&gt;"t",Z23&lt;&gt;"f"),10000,IF(K23=$BH$11,0,IF(K23=$BH$12,$BH$23,IF(K23=$BH$13,$BH$24,10000))))</f>
        <v>10000</v>
      </c>
      <c r="CS23" s="51">
        <f ca="1">IF(F23&lt;OFFSET($BM$9,CL23-1,0,1,1),0,IF(F23&lt;OFFSET($BN$9,CL23-1,0,1,1),((F23-OFFSET($BM$9,CL23-1,0,1,1))*OFFSET($CH$9,CL23-1,0,1,1))+OFFSET($BO$9,CL23-1,CQ23,1,1),IF(F23&lt;OFFSET($BN$9,CL23+0,0,1,1),((F23-OFFSET($BM$9,CL23+0,0,1,1))*OFFSET($CH$9,CL23+0,0,1,1))+OFFSET($BO$9,CL23+0,CQ23,1,1),IF(F23&lt;OFFSET($BN$9,CL23+1,0,1,1),((F23-OFFSET($BM$9,CL23+1,0,1,1))*OFFSET($CH$9,CL23+1,0,1,1))+OFFSET($BO$9,CL23+1,CQ23,1,1),IF(F23&lt;OFFSET($BN$9,CL23+2,0,1,1),((F23-OFFSET($BM$9,CL23+2,0,1,1))*OFFSET($CH$9,CL23+2,0,1,1))+OFFSET($BO$9,CL23+2,CQ23,1,1),IF(F23&lt;OFFSET($BN$9,CL23+3,0,1,1),((F23-OFFSET($BM$9,CL23+3,0,1,1))*OFFSET($CH$9,CL23+3,0,1,1))+OFFSET($BO$9,CL23+3,CQ23,1,1),0))))))</f>
        <v>0</v>
      </c>
      <c r="CT23" s="51">
        <f ca="1">IF($F23&lt;OFFSET($BM$9,$CL23-1,0,1,1),0,IF($F23&lt;OFFSET($BN$9,$CL23-1,0,1,1),IF(AND($H23&gt;2.4,Z23&lt;&gt;"e",Z23&lt;&gt;"f"),CX23*2.4/$H23,CX23),IF($F23&lt;OFFSET($BN$9,$CL23+0,0,1,1),IF(AND($H23&gt;2.4,Z23&lt;&gt;"e",Z23&lt;&gt;"f"),CX23*2.4/$H23,CX23),IF($F23&lt;OFFSET($BN$9,$CL23+1,0,1,1),IF(AND($H23&gt;2.4,Z23&lt;&gt;"e",Z23&lt;&gt;"f"),CX23*2.4/$H23,CX23),IF($F23&lt;OFFSET($BN$9,CL23+2,0,1,1),IF(AND($H23&gt;2.4,Z23&lt;&gt;"e",Z23&lt;&gt;"f"),CX23*2.4/$H23,CX23),IF($F23&lt;OFFSET($BN$9,CL23+3,0,1,1),IF(AND($H23&gt;2.4,Z23&lt;&gt;"e",Z23&lt;&gt;"f"),CX23*2.4/$H23,CX23),0)))))*COS(RADIANS($G23)))</f>
        <v>0</v>
      </c>
      <c r="CU23" s="51">
        <f ca="1">IF(F23&lt;OFFSET($BM$9,CL23-1,0,1,1),0,IF(F23&lt;OFFSET($BN$9,CL23-1,0,1,1),((F23-OFFSET($BM$9,CL23-1,0,1,1))*OFFSET($CI$9,CL23-1,0,1,1))+OFFSET($BP$9,CL23-1,CQ23,1,1),IF(F23&lt;OFFSET($BN$9,CL23+0,0,1,1),((F23-OFFSET($BM$9,CL23+0,0,1,1))*OFFSET($CI$9,CL23+0,0,1,1))+OFFSET($BP$9,CL23+0,CQ23,1,1),IF(F23&lt;OFFSET($BN$9,CL23+1,0,1,1),((F23-OFFSET($BM$9,CL23+1,0,1,1))*OFFSET($CI$9,CL23+1,0,1,1))+OFFSET($BP$9,CL23+1,CQ23,1,1),IF(F23&lt;OFFSET($BN$9,CL23+2,0,1,1),((F23-OFFSET($BM$9,CL23+2,0,1,1))*OFFSET($CI$9,CL23+2,0,1,1))+OFFSET($BP$9,CL23+2,CQ23,1,1),IF(F23&lt;OFFSET($BN$9,CL23+3,0,1,1),((F23-OFFSET($BM$9,CL23+3,0,1,1))*OFFSET($CI$9,CL23+3,0,1,1))+OFFSET($BP$9,CL23+3,CQ23,1,1),0))))))</f>
        <v>0</v>
      </c>
      <c r="CV23" s="51">
        <f ca="1">IF($F23&lt;OFFSET($BM$9,$CL23-1,0,1,1),0,IF($F23&lt;OFFSET($BN$9,$CL23-1,0,1,1),IF(AND($H23&gt;2.4,Z23&lt;&gt;"e",Z23&lt;&gt;"f"),CZ23*2.4/$H23,CZ23),IF($F23&lt;OFFSET($BN$9,$CL23+0,0,1,1),IF(AND($H23&gt;2.4,Z23&lt;&gt;"e",Z23&lt;&gt;"f"),CZ23*2.4/$H23,CZ23),IF($F23&lt;OFFSET($BN$9,$CL23+1,0,1,1),IF(AND($H23&gt;2.4,Z23&lt;&gt;"e",Z23&lt;&gt;"f"),CZ23*2.4/$H23,CZ23),IF($F23&lt;OFFSET($BN$9,$CL23+2,0,1,1),IF(AND($H23&gt;2.4,Z23&lt;&gt;"e",Z23&lt;&gt;"f"),CZ23*2.4/$H23,CZ23),IF($F23&lt;OFFSET($BN$9,$CL23+3,0,1,1),IF(AND($H23&gt;2.4,Z23&lt;&gt;"e",Z23&lt;&gt;"f"),CZ23*2.4/$H23,CZ23),0)))))*COS(RADIANS($G23)))</f>
        <v>0</v>
      </c>
      <c r="CW23" s="51">
        <f t="shared" ca="1" si="17"/>
        <v>0</v>
      </c>
      <c r="CX23" s="51">
        <f ca="1">IF(CS23&gt;$CR23,$CR23,CS23)</f>
        <v>0</v>
      </c>
      <c r="CY23" s="51">
        <f ca="1">CW23*F23</f>
        <v>0</v>
      </c>
      <c r="CZ23" s="51">
        <f ca="1">IF($CU23&gt;$CR23,$CR23,$CU23)</f>
        <v>0</v>
      </c>
      <c r="DA23" s="51">
        <f ca="1">IF(CV23&gt;CR23,CR23,CV23)</f>
        <v>0</v>
      </c>
      <c r="DB23" s="51">
        <f ca="1">DA23*F23</f>
        <v>0</v>
      </c>
      <c r="DC23" s="993">
        <v>1</v>
      </c>
      <c r="DD23" s="758" t="str">
        <f>IF(OR(D23=BG$12,D23=BG$13),"External",IF(D23=BG$14,"Internal"," "))</f>
        <v xml:space="preserve"> </v>
      </c>
      <c r="DE23" s="51" t="str">
        <f t="shared" ca="1" si="18"/>
        <v/>
      </c>
      <c r="DF23" s="52" t="str">
        <f t="shared" ca="1" si="19"/>
        <v xml:space="preserve"> </v>
      </c>
      <c r="DG23" s="51">
        <f ca="1">IF(F23&lt;OFFSET($BM$9,CN23-1,0,1,1),0,IF(F23&lt;OFFSET($BN$9,CN23-1,0,1,1),((F23-OFFSET($BM$9,CN23-1,0,1,1))*OFFSET($CH$9,CN23-1,0,1,1))+OFFSET($BO$9,CN23-1,CQ23,1,1),IF(F23&lt;OFFSET($BN$9,CN23+0,0,1,1),((F23-OFFSET($BM$9,CN23+0,0,1,1))*OFFSET($CH$9,CN23+0,0,1,1))+OFFSET($BO$9,CN23+0,CQ23,1,1),IF(F23&lt;OFFSET($BN$9,CN23+1,0,1,1),((F23-OFFSET($BM$9,CN23+1,0,1,1))*OFFSET($CH$9,CN23+1,0,1,1))+OFFSET($BO$9,CN23+1,CQ23,1,1),IF(F23&lt;OFFSET($BN$9,CN23+2,0,1,1),((F23-OFFSET($BM$9,CN23+2,0,1,1))*OFFSET($CH$9,CN23+2,0,1,1))+OFFSET($BO$9,CN23+2,CQ23,1,1),IF(F23&lt;OFFSET($BN$9,CN23+3,0,1,1),((F23-OFFSET($BM$9,CN23+3,0,1,1))*OFFSET($CH$9,CN23+3,0,1,1))+OFFSET($BO$9,CN23+3,CQ23,1,1),0))))))</f>
        <v>0</v>
      </c>
      <c r="DH23" s="51">
        <f ca="1">IF($F23&lt;OFFSET($BM$9,$CN23-1,0,1,1),0,IF($F23&lt;OFFSET($BN$9,$CN23-1,0,1,1),IF(AND($H23&gt;2.4,Z23&lt;&gt;"e",Z23&lt;&gt;"f"),DL23*2.4/$H23,DL23),IF($F23&lt;OFFSET($BN$9,$CN23+0,0,1,1),IF(AND($H23&gt;2.4,Z23&lt;&gt;"e",Z23&lt;&gt;"f"),DL23*2.4/$H23,DL23),IF($F23&lt;OFFSET($BN$9,$CN23+1,0,1,1),IF(AND($H23&gt;2.4,Z23&lt;&gt;"e",Z23&lt;&gt;"f"),DL23*2.4/$H23,DL23),IF($F23&lt;OFFSET($BN$9,$CN23+2,0,1,1),IF(AND($H23&gt;2.4,Z23&lt;&gt;"e",Z23&lt;&gt;"f"),DL23*2.4/$H23,DL23),IF($F23&lt;OFFSET($BN$9,$CN23+3,0,1,1),IF(AND($H23&gt;2.4,Z23&lt;&gt;"e",Z23&lt;&gt;"f"),DL23*2.4/$H23,DL23),0)))))*COS(RADIANS($G23)))</f>
        <v>0</v>
      </c>
      <c r="DI23" s="51">
        <f ca="1">IF(F23&lt;OFFSET($BM$9,CN23-1,0,1,1),0,IF(F23&lt;OFFSET($BN$9,CN23-1,0,1,1),((F23-OFFSET($BM$9,CN23-1,0,1,1))*OFFSET($CI$9,CN23-1,0,1,1))+OFFSET($BP$9,CN23-1,CQ23,1,1),IF(F23&lt;OFFSET($BN$9,CN23+0,0,1,1),((F23-OFFSET($BM$9,CN23+0,0,1,1))*OFFSET($CI$9,CN23+0,0,1,1))+OFFSET($BP$9,CN23+0,CQ23,1,1),IF(F23&lt;OFFSET($BN$9,CN23+1,0,1,1),((F23-OFFSET($BM$9,CN23+1,0,1,1))*OFFSET($CI$9,CN23+1,0,1,1))+OFFSET($BP$9,CN23+1,CQ23,1,1),IF(F23&lt;OFFSET($BN$9,CN23+2,0,1,1),((F23-OFFSET($BM$9,CN23+2,0,1,1))*OFFSET($CI$9,CN23+2,0,1,1))+OFFSET($BP$9,CN23+2,CQ23,1,1),IF(F23&lt;OFFSET($BN$9,CN23+3,0,1,1),((F23-OFFSET($BM$9,CN23+3,0,1,1))*OFFSET($CI$9,CN23+3,0,1,1))+OFFSET($BP$9,CN23+3,CQ23,1,1),0))))))</f>
        <v>0</v>
      </c>
      <c r="DJ23" s="51">
        <f ca="1">IF($F23&lt;OFFSET($BM$9,$CN23-1,0,1,1),0,IF($F23&lt;OFFSET($BN$9,$CN23-1,0,1,1),IF(AND($H23&gt;2.4,Z23&lt;&gt;"e",Z23&lt;&gt;"f"),DN23*2.4/$H23,DN23),IF($F23&lt;OFFSET($BN$9,$CN23+0,0,1,1),IF(AND($H23&gt;2.4,Z23&lt;&gt;"e",Z23&lt;&gt;"f"),DN23*2.4/$H23,DN23),IF($F23&lt;OFFSET($BN$9,$CN23+1,0,1,1),IF(AND($H23&gt;2.4,Z23&lt;&gt;"e",Z23&lt;&gt;"f"),DN23*2.4/$H23,DN23),IF($F23&lt;OFFSET($BN$9,$CN23+2,0,1,1),IF(AND($H23&gt;2.4,Z23&lt;&gt;"e",Z23&lt;&gt;"f"),DN23*2.4/$H23,DN23),IF($F23&lt;OFFSET($BN$9,$CN23+3,0,1,1),IF(AND($H23&gt;2.4,Z23&lt;&gt;"e",Z23&lt;&gt;"f"),DN23*2.4/$H23,DN23),0)))))*COS(RADIANS($G23)))</f>
        <v>0</v>
      </c>
      <c r="DK23" s="51"/>
      <c r="DL23" s="51">
        <f ca="1">IF(DG23&gt;$CR23,$CR23,DG23)</f>
        <v>0</v>
      </c>
      <c r="DM23" s="51"/>
      <c r="DN23" s="51">
        <f ca="1">IF(DI23&gt;$CR23,$CR23,DI23)</f>
        <v>0</v>
      </c>
      <c r="DO23" s="435">
        <f ca="1">IF(DH23&gt;$CR23,$CR23,DH23)</f>
        <v>0</v>
      </c>
      <c r="DP23" s="435">
        <f ca="1">DO23*F23</f>
        <v>0</v>
      </c>
      <c r="DQ23" s="436">
        <f ca="1">IF(DJ23&gt;$CR23,$CR23,DJ23)</f>
        <v>0</v>
      </c>
      <c r="DR23" s="437">
        <f ca="1">DQ23*F23</f>
        <v>0</v>
      </c>
      <c r="DS23" s="426">
        <f ca="1">OFFSET($CH$9,CL23-1,-15,1,1)</f>
        <v>0</v>
      </c>
      <c r="DT23" s="426">
        <f t="shared" ca="1" si="1"/>
        <v>0</v>
      </c>
      <c r="DU23" s="188">
        <f ca="1">IF(F23&lt;OFFSET($BM$9,DT23-1,0,1,1),0,IF(F23&lt;OFFSET($BN$9,DT23-1,0,1,1),((F23-OFFSET($BM$9,DT23-1,0,1,1))*OFFSET($CH$9,DT23-1,0,1,1))+OFFSET($BO$9,DT23-1,CQ23,1,1),IF(F23&lt;OFFSET($BN$9,DT23+0,0,1,1),((F23-OFFSET($BM$9,DT23+0,0,1,1))*OFFSET($CH$9,DT23+0,0,1,1))+OFFSET($BO$9,DT23+0,CQ23,1,1),IF(F23&lt;OFFSET($BN$9,DT23+1,0,1,1),((F23-OFFSET($BM$9,DT23+1,0,1,1))*OFFSET($CH$9,DT23+1,0,1,1))+OFFSET($BO$9,DT23+1,CQ23,1,1),IF(F23&lt;OFFSET($BN$9,DT23+2,0,1,1),((F23-OFFSET($BM$9,DT23+2,0,1,1))*OFFSET($CH$9,DT23+2,0,1,1))+OFFSET($BO$9,DT23+2,CQ23,1,1),IF(F23&lt;OFFSET($BN$9,DT23+3,0,1,1),((F23-OFFSET($BM$9,DT23+3,0,1,1))*OFFSET($CH$9,DT23+3,0,1,1))+OFFSET($BO$9,DT23+3,CQ23,1,1),0))))))</f>
        <v>0</v>
      </c>
      <c r="DV23" s="51">
        <f ca="1">IF($F23&lt;OFFSET($BM$9,$DT23-1,0,1,1),0,IF($F23&lt;OFFSET($BN$9,$DT23-1,0,1,1),IF(AND($H23&gt;2.4,Z23&lt;&gt;"e",Z23&lt;&gt;"f"),DZ23*2.4/$H23,DZ23),IF($F23&lt;OFFSET($BN$9,$DT23+0,0,1,1),IF(AND($H23&gt;2.4,Z23&lt;&gt;"e",Z23&lt;&gt;"f"),DZ23*2.4/$H23,DZ23),IF($F23&lt;OFFSET($BN$9,$DT23+1,0,1,1),IF(AND($H23&gt;2.4,Z23&lt;&gt;"e",Z23&lt;&gt;"f"),DZ23*2.4/$H23,DZ23),IF($F23&lt;OFFSET($BN$9,$DT23+2,0,1,1),IF(AND($H23&gt;2.4,Z23&lt;&gt;"e",Z23&lt;&gt;"f"),DZ23*2.4/$H23,DZ23),IF($F23&lt;OFFSET($BN$9,$DT23+3,0,1,1),IF(AND($H23&gt;2.4,Z23&lt;&gt;"e",Z23&lt;&gt;"f"),DZ23*2.4/$H23,DZ23),0)))))*COS(RADIANS($G23)))</f>
        <v>0</v>
      </c>
      <c r="DW23" s="188">
        <f ca="1">IF(F23&lt;OFFSET($BM$9,DT23-1,0,1,1),0,IF(F23&lt;OFFSET($BN$9,DT23-1,0,1,1),((F23-OFFSET($BM$9,DT23-1,0,1,1))*OFFSET($CI$9,DT23-1,0,1,1))+OFFSET($BP$9,DT23-1,CQ23,1,1),IF(F23&lt;OFFSET($BN$9,DT23+0,0,1,1),((F23-OFFSET($BM$9,DT23+0,0,1,1))*OFFSET($CI$9,DT23+0,0,1,1))+OFFSET($BP$9,DT23+0,CQ23,1,1),IF(F23&lt;OFFSET($BN$9,DT23+1,0,1,1),((F23-OFFSET($BM$9,DT23+1,0,1,1))*OFFSET($CI$9,DT23+1,0,1,1))+OFFSET($BP$9,DT23+1,CQ23,1,1),IF(F23&lt;OFFSET($BN$9,DT23+2,0,1,1),((F23-OFFSET($BM$9,DT23+2,0,1,1))*OFFSET($CI$9,DT23+2,0,1,1))+OFFSET($BP$9,DT23+2,CQ23,1,1),IF(F23&lt;OFFSET($BN$9,DT23+3,0,1,1),((F23-OFFSET($BM$9,DT23+3,0,1,1))*OFFSET($CI$9,DT23+3,0,1,1))+OFFSET($BP$9,DT23+3,CQ23,1,1),0))))))</f>
        <v>0</v>
      </c>
      <c r="DX23" s="51">
        <f ca="1">IF($F23&lt;OFFSET($BM$9,$DT23-1,0,1,1),0,IF($F23&lt;OFFSET($BN$9,$DT23-1,0,1,1),IF(AND($H23&gt;2.4,Z23&lt;&gt;"e",Z23&lt;&gt;"f"),EB23*2.4/$H23,EB23),IF($F23&lt;OFFSET($BN$9,$DT23+0,0,1,1),IF(AND($H23&gt;2.4,Z23&lt;&gt;"e",Z23&lt;&gt;"f"),EB23*2.4/$H23,EB23),IF($F23&lt;OFFSET($BN$9,$DT23+1,0,1,1),IF(AND($H23&gt;2.4,Z23&lt;&gt;"e",Z23&lt;&gt;"f"),EB23*2.4/$H23,EB23),IF($F23&lt;OFFSET($BN$9,$DT23+2,0,1,1),IF(AND($H23&gt;2.4,Z23&lt;&gt;"e",Z23&lt;&gt;"f"),EB23*2.4/$H23,EB23),IF($F23&lt;OFFSET($BN$9,$DT23+3,0,1,1),IF(AND($H23&gt;2.4,Z23&lt;&gt;"e",Z23&lt;&gt;"f"),EB23*2.4/$H23,EB23),0)))))*COS(RADIANS($G23)))</f>
        <v>0</v>
      </c>
      <c r="DY23" s="188"/>
      <c r="DZ23" s="188">
        <f ca="1">IF(DU23&gt;$CR23,$CR23,DU23)</f>
        <v>0</v>
      </c>
      <c r="EA23" s="188"/>
      <c r="EB23" s="188">
        <f ca="1">IF(DW23&gt;$CR23,$CR23,DW23)</f>
        <v>0</v>
      </c>
      <c r="EC23" s="435">
        <f ca="1">IF(DV23&gt;$CR23,$CR23,DV23)</f>
        <v>0</v>
      </c>
      <c r="ED23" s="435">
        <f ca="1">EC23*F23</f>
        <v>0</v>
      </c>
      <c r="EE23" s="436">
        <f ca="1">IF(DX23&gt;$CR23,$CR23,DX23)</f>
        <v>0</v>
      </c>
      <c r="EF23" s="437">
        <f ca="1">EE23*F23</f>
        <v>0</v>
      </c>
      <c r="EG23" s="613" t="str">
        <f>IF(D23=BG$12,BG$12,"")</f>
        <v/>
      </c>
      <c r="EH23" s="614" t="str">
        <f>IF(D23=BG$13,BG$13,"")</f>
        <v/>
      </c>
      <c r="EI23" s="611">
        <f>IF(EG23=BG$12,M23,0)</f>
        <v>0</v>
      </c>
      <c r="EJ23" s="451">
        <f>IF(EG23=BG$12,O23,0)</f>
        <v>0</v>
      </c>
      <c r="EK23" s="451">
        <f>IF(EH23=BG$13,M23,0)</f>
        <v>0</v>
      </c>
      <c r="EL23" s="612">
        <f>IF(EH23=BG$13,O23,0)</f>
        <v>0</v>
      </c>
      <c r="EM23" s="426" t="str">
        <f ca="1">IF(AND(Z23&lt;&gt;"t",Z23&lt;&gt;"f"),"",IF(AND(EN23=$BH$11,K23&lt;&gt;EN23),EM$4,IF(AND(EN23=$BH$12,K23=$BH$13),EM$4,IF(AND(EN23=$BH$12,K23=$BH$14),EM$4,IF(AND(EN23=$BH$13,K23=$BH$14),$EM$4,IF(EN23=$BH$14,$EM$4,""))))))</f>
        <v/>
      </c>
      <c r="EN23" s="489" t="str">
        <f>BG$24</f>
        <v>No Floor</v>
      </c>
      <c r="EO23" s="426" t="str">
        <f>K23</f>
        <v xml:space="preserve"> </v>
      </c>
      <c r="EP23" s="497" t="str">
        <f ca="1">IF(AND(Z23&lt;&gt;"t",Z23&lt;&gt;"f"),"",IF(AND(EN23=$BH$14,K23&lt;&gt;EN23),EP$4,IF(AND(EN23=$BH$13,K23=$BH$12),EP$4,IF(AND(EN23=$BH$13,K23=$BH$11),EP$4,IF(AND(EN23=$BH$12,K23=$BH$11),$EP$4,IF(EN23=$BH$11,"Earth",""))))))</f>
        <v/>
      </c>
      <c r="EQ23" s="430" t="str">
        <f ca="1">IF(Z23&lt;&gt;"t","",IF(EQ$5=2,IF(K23&lt;&gt;BH$11,EQ$7," ")))</f>
        <v/>
      </c>
      <c r="ER23" s="439" t="str">
        <f ca="1">IF(H23=0," ",H23)</f>
        <v xml:space="preserve"> </v>
      </c>
      <c r="ES23" s="440" t="str">
        <f ca="1">IF(ER23&lt;&gt;" ",IF(ER23&lt;&gt;ER$7,"Changed",""),"")</f>
        <v/>
      </c>
      <c r="ET23" s="440">
        <f t="shared" ca="1" si="20"/>
        <v>0</v>
      </c>
      <c r="EU23" s="426" t="str">
        <f ca="1">IF(I23=" "," ",IF(F23&lt;OFFSET($BM$9,CL23-1,0,1,1),1,""))</f>
        <v xml:space="preserve"> </v>
      </c>
      <c r="EW23" s="427"/>
      <c r="EY23" s="421"/>
    </row>
    <row r="24" spans="2:155" ht="17.100000000000001" customHeight="1" thickBot="1">
      <c r="B24" s="689" t="s">
        <v>246</v>
      </c>
      <c r="C24" s="684" t="str">
        <f>IF(OR(F24=0,I24="",I24=" ")," ",$V24)</f>
        <v xml:space="preserve"> </v>
      </c>
      <c r="D24" s="1419"/>
      <c r="E24" s="1360"/>
      <c r="F24" s="202"/>
      <c r="G24" s="1416"/>
      <c r="H24" s="1417" t="str">
        <f ca="1">IF(OR(F24=0,Z24="E",Z24="f")," ",'Project Demand'!E$55)</f>
        <v xml:space="preserve"> </v>
      </c>
      <c r="I24" s="631" t="str">
        <f>IF($I$6&lt;&gt;$BG$8," ",AB24)</f>
        <v xml:space="preserve"> </v>
      </c>
      <c r="J24" s="44" t="str">
        <f ca="1">IF(OR(I24=" ",I24="")," ",OFFSET($BO$9,CL24-1,0-4,1,1))</f>
        <v xml:space="preserve"> </v>
      </c>
      <c r="K24" s="55" t="str">
        <f>IF(OR(I24=" ",I24="")," ",IF(OR(Z24="e",Z24="h"),"SD",IF(BG$24=BH$11,BH$13,BG$24)))</f>
        <v xml:space="preserve"> </v>
      </c>
      <c r="L24" s="49">
        <f ca="1">CW24</f>
        <v>0</v>
      </c>
      <c r="M24" s="49">
        <f ca="1">CY24</f>
        <v>0</v>
      </c>
      <c r="N24" s="50">
        <f t="shared" ca="1" si="23"/>
        <v>0</v>
      </c>
      <c r="O24" s="126">
        <f t="shared" ca="1" si="23"/>
        <v>0</v>
      </c>
      <c r="P24" s="140"/>
      <c r="Q24" s="752" t="str">
        <f ca="1">IF(AND(OR(Z24="t",Z24="f"),K24=$BH$11),"No Floor!  Change Floor Type",IF(OR(I24=" ",I24="")," ",IF(F24&lt;OFFSET($BM$9,CL24-1,0,1,1),"check L(m)",DE24&amp;IF(AND(DP24&gt;=CY24,DR24&gt;=DB24),IF(AND(ED24&gt;=DP24,EF24&gt;=DR24),CONCATENATE(DS24," will provide same result"),CONCATENATE(CO24," will provide same result")),IF((DP24&gt;=CY24),CONCATENATE(CO24," provides same result in WIND"),IF((DR24&gt;=DB24),CONCATENATE(CO24," provides same result in EQ"),""))))))&amp;IF(ISERROR(FIND("pile",I24,1)),"",IF(INT(F24)&lt;&gt;F24,"Pile!  Use Whole Numbers Only",""))</f>
        <v xml:space="preserve"> </v>
      </c>
      <c r="T24" s="52"/>
      <c r="U24" s="1377"/>
      <c r="V24" s="52" t="str">
        <f ca="1">IF(AND(B$5=$BF$9,OR(I24=BH$16,I24=BH$17))," ",IF(ISNUMBER(B$20),(CONCATENATE(B$20,".",W24)),(CONCATENATE(B$20,W24))))</f>
        <v>C0</v>
      </c>
      <c r="W24" s="9">
        <f ca="1">W23+X24</f>
        <v>0</v>
      </c>
      <c r="X24" s="9">
        <f>IF(AND(B$5=$BF$9,OR($I24=$BH$16,$I24=$BH$17,$I24=" ",$I24="",$F24=0)),0,IF(OR($I24=" ",$I24="",$F24=0),0,1))</f>
        <v>0</v>
      </c>
      <c r="Y24" s="896"/>
      <c r="Z24" s="52" t="str">
        <f ca="1">IF(I24=" "," ",OFFSET($BM$9,$CL24-1,8,1,1))</f>
        <v xml:space="preserve"> </v>
      </c>
      <c r="AA24" s="51" t="str">
        <f>IF(G24&gt;=45,"WA","")</f>
        <v/>
      </c>
      <c r="AB24" s="1364" t="str">
        <f>IF(OR(E24=" ",E24="")," ",(IF(F24&lt;&gt;"",IF(OR(D24=$BG$12,D24=$BG$13),IF(E24&lt;&gt;$BG$17,$BF$20,$BF$21),IF(E24&lt;&gt;$BG$17,$BF$20,$BF$21))," ")))</f>
        <v xml:space="preserve"> </v>
      </c>
      <c r="AC24" s="1"/>
      <c r="AJ24" s="29"/>
      <c r="AK24" s="30"/>
      <c r="AL24" s="30"/>
      <c r="AM24" s="32"/>
      <c r="AN24" s="32"/>
      <c r="AO24" s="32"/>
      <c r="AP24" s="32"/>
      <c r="AQ24" s="32"/>
      <c r="AR24" s="32"/>
      <c r="AS24" s="32"/>
      <c r="AT24" s="39"/>
      <c r="AU24" s="39"/>
      <c r="AV24" s="39"/>
      <c r="AW24" s="39"/>
      <c r="AX24" s="39"/>
      <c r="AY24" s="39"/>
      <c r="AZ24" s="39"/>
      <c r="BA24" s="39"/>
      <c r="BB24" s="39"/>
      <c r="BC24" s="39"/>
      <c r="BD24" s="2648"/>
      <c r="BF24" s="598" t="str">
        <f>Table!AI74</f>
        <v>ES-H</v>
      </c>
      <c r="BG24" s="655" t="str">
        <f>IF(BG$23=1,BH11,IF(BG$23=2,BH12,IF(BG$23=3,BH13,BH14)))</f>
        <v>No Floor</v>
      </c>
      <c r="BH24" s="710">
        <f>IF($BE$3=1,150,7.5)</f>
        <v>150</v>
      </c>
      <c r="BI24" s="759"/>
      <c r="BJ24" s="897">
        <f t="shared" si="5"/>
        <v>16</v>
      </c>
      <c r="BK24" s="769" t="str">
        <f t="shared" si="6"/>
        <v xml:space="preserve">  </v>
      </c>
      <c r="BL24" s="771" t="str">
        <f t="shared" si="7"/>
        <v>Custom13</v>
      </c>
      <c r="BM24" s="455">
        <f t="shared" si="8"/>
        <v>9.9999999999999996E-76</v>
      </c>
      <c r="BN24" s="455">
        <v>999</v>
      </c>
      <c r="BO24" s="455">
        <f t="shared" si="9"/>
        <v>0</v>
      </c>
      <c r="BP24" s="925">
        <f t="shared" si="10"/>
        <v>0</v>
      </c>
      <c r="BR24" s="764"/>
      <c r="BS24" s="455"/>
      <c r="BT24" s="455" t="str">
        <f t="shared" si="11"/>
        <v>B</v>
      </c>
      <c r="BU24" s="925" t="str">
        <f t="shared" si="12"/>
        <v>T</v>
      </c>
      <c r="BV24" s="483" t="str">
        <f t="shared" si="13"/>
        <v>Custom13</v>
      </c>
      <c r="BW24" s="910">
        <f t="shared" si="22"/>
        <v>16</v>
      </c>
      <c r="BX24" s="924" t="str">
        <f t="shared" si="14"/>
        <v>Single</v>
      </c>
      <c r="CH24" s="764">
        <f t="shared" si="15"/>
        <v>0</v>
      </c>
      <c r="CI24" s="925">
        <f t="shared" si="16"/>
        <v>0</v>
      </c>
      <c r="CJ24" s="759"/>
      <c r="CK24" s="188"/>
      <c r="CL24" s="979">
        <f>VLOOKUP(I24,Prodlink,2,0)</f>
        <v>0</v>
      </c>
      <c r="CN24" s="497">
        <f t="shared" ca="1" si="2"/>
        <v>0</v>
      </c>
      <c r="CO24" s="497">
        <f ca="1">OFFSET($CH$9,CL24-1,-15,1,1)</f>
        <v>0</v>
      </c>
      <c r="CQ24" s="51">
        <v>0</v>
      </c>
      <c r="CR24" s="51">
        <f ca="1">IF(AND(Z24&lt;&gt;"t",Z24&lt;&gt;"f"),10000,IF(K24=$BH$11,0,IF(K24=$BH$12,$BH$23,IF(K24=$BH$13,$BH$24,10000))))</f>
        <v>10000</v>
      </c>
      <c r="CS24" s="51">
        <f ca="1">IF(F24&lt;OFFSET($BM$9,CL24-1,0,1,1),0,IF(F24&lt;OFFSET($BN$9,CL24-1,0,1,1),((F24-OFFSET($BM$9,CL24-1,0,1,1))*OFFSET($CH$9,CL24-1,0,1,1))+OFFSET($BO$9,CL24-1,CQ24,1,1),IF(F24&lt;OFFSET($BN$9,CL24+0,0,1,1),((F24-OFFSET($BM$9,CL24+0,0,1,1))*OFFSET($CH$9,CL24+0,0,1,1))+OFFSET($BO$9,CL24+0,CQ24,1,1),IF(F24&lt;OFFSET($BN$9,CL24+1,0,1,1),((F24-OFFSET($BM$9,CL24+1,0,1,1))*OFFSET($CH$9,CL24+1,0,1,1))+OFFSET($BO$9,CL24+1,CQ24,1,1),IF(F24&lt;OFFSET($BN$9,CL24+2,0,1,1),((F24-OFFSET($BM$9,CL24+2,0,1,1))*OFFSET($CH$9,CL24+2,0,1,1))+OFFSET($BO$9,CL24+2,CQ24,1,1),IF(F24&lt;OFFSET($BN$9,CL24+3,0,1,1),((F24-OFFSET($BM$9,CL24+3,0,1,1))*OFFSET($CH$9,CL24+3,0,1,1))+OFFSET($BO$9,CL24+3,CQ24,1,1),0))))))</f>
        <v>0</v>
      </c>
      <c r="CT24" s="51">
        <f ca="1">IF($F24&lt;OFFSET($BM$9,$CL24-1,0,1,1),0,IF($F24&lt;OFFSET($BN$9,$CL24-1,0,1,1),IF(AND($H24&gt;2.4,Z24&lt;&gt;"e",Z24&lt;&gt;"f"),CX24*2.4/$H24,CX24),IF($F24&lt;OFFSET($BN$9,$CL24+0,0,1,1),IF(AND($H24&gt;2.4,Z24&lt;&gt;"e",Z24&lt;&gt;"f"),CX24*2.4/$H24,CX24),IF($F24&lt;OFFSET($BN$9,$CL24+1,0,1,1),IF(AND($H24&gt;2.4,Z24&lt;&gt;"e",Z24&lt;&gt;"f"),CX24*2.4/$H24,CX24),IF($F24&lt;OFFSET($BN$9,CL24+2,0,1,1),IF(AND($H24&gt;2.4,Z24&lt;&gt;"e",Z24&lt;&gt;"f"),CX24*2.4/$H24,CX24),IF($F24&lt;OFFSET($BN$9,CL24+3,0,1,1),IF(AND($H24&gt;2.4,Z24&lt;&gt;"e",Z24&lt;&gt;"f"),CX24*2.4/$H24,CX24),0)))))*COS(RADIANS($G24)))</f>
        <v>0</v>
      </c>
      <c r="CU24" s="51">
        <f ca="1">IF(F24&lt;OFFSET($BM$9,CL24-1,0,1,1),0,IF(F24&lt;OFFSET($BN$9,CL24-1,0,1,1),((F24-OFFSET($BM$9,CL24-1,0,1,1))*OFFSET($CI$9,CL24-1,0,1,1))+OFFSET($BP$9,CL24-1,CQ24,1,1),IF(F24&lt;OFFSET($BN$9,CL24+0,0,1,1),((F24-OFFSET($BM$9,CL24+0,0,1,1))*OFFSET($CI$9,CL24+0,0,1,1))+OFFSET($BP$9,CL24+0,CQ24,1,1),IF(F24&lt;OFFSET($BN$9,CL24+1,0,1,1),((F24-OFFSET($BM$9,CL24+1,0,1,1))*OFFSET($CI$9,CL24+1,0,1,1))+OFFSET($BP$9,CL24+1,CQ24,1,1),IF(F24&lt;OFFSET($BN$9,CL24+2,0,1,1),((F24-OFFSET($BM$9,CL24+2,0,1,1))*OFFSET($CI$9,CL24+2,0,1,1))+OFFSET($BP$9,CL24+2,CQ24,1,1),IF(F24&lt;OFFSET($BN$9,CL24+3,0,1,1),((F24-OFFSET($BM$9,CL24+3,0,1,1))*OFFSET($CI$9,CL24+3,0,1,1))+OFFSET($BP$9,CL24+3,CQ24,1,1),0))))))</f>
        <v>0</v>
      </c>
      <c r="CV24" s="51">
        <f ca="1">IF($F24&lt;OFFSET($BM$9,$CL24-1,0,1,1),0,IF($F24&lt;OFFSET($BN$9,$CL24-1,0,1,1),IF(AND($H24&gt;2.4,Z24&lt;&gt;"e",Z24&lt;&gt;"f"),CZ24*2.4/$H24,CZ24),IF($F24&lt;OFFSET($BN$9,$CL24+0,0,1,1),IF(AND($H24&gt;2.4,Z24&lt;&gt;"e",Z24&lt;&gt;"f"),CZ24*2.4/$H24,CZ24),IF($F24&lt;OFFSET($BN$9,$CL24+1,0,1,1),IF(AND($H24&gt;2.4,Z24&lt;&gt;"e",Z24&lt;&gt;"f"),CZ24*2.4/$H24,CZ24),IF($F24&lt;OFFSET($BN$9,$CL24+2,0,1,1),IF(AND($H24&gt;2.4,Z24&lt;&gt;"e",Z24&lt;&gt;"f"),CZ24*2.4/$H24,CZ24),IF($F24&lt;OFFSET($BN$9,$CL24+3,0,1,1),IF(AND($H24&gt;2.4,Z24&lt;&gt;"e",Z24&lt;&gt;"f"),CZ24*2.4/$H24,CZ24),0)))))*COS(RADIANS($G24)))</f>
        <v>0</v>
      </c>
      <c r="CW24" s="51">
        <f t="shared" ca="1" si="17"/>
        <v>0</v>
      </c>
      <c r="CX24" s="51">
        <f ca="1">IF(CS24&gt;$CR24,$CR24,CS24)</f>
        <v>0</v>
      </c>
      <c r="CY24" s="51">
        <f ca="1">CW24*F24</f>
        <v>0</v>
      </c>
      <c r="CZ24" s="51">
        <f ca="1">IF($CU24&gt;$CR24,$CR24,$CU24)</f>
        <v>0</v>
      </c>
      <c r="DA24" s="51">
        <f ca="1">IF(CV24&gt;CR24,CR24,CV24)</f>
        <v>0</v>
      </c>
      <c r="DB24" s="51">
        <f ca="1">DA24*F24</f>
        <v>0</v>
      </c>
      <c r="DC24" s="993">
        <v>1</v>
      </c>
      <c r="DD24" s="758" t="str">
        <f>IF(OR(D24=BG$12,D24=BG$13),"External",IF(D24=BG$14,"Internal"," "))</f>
        <v xml:space="preserve"> </v>
      </c>
      <c r="DE24" s="51" t="str">
        <f t="shared" ca="1" si="18"/>
        <v/>
      </c>
      <c r="DF24" s="52" t="str">
        <f t="shared" ca="1" si="19"/>
        <v xml:space="preserve"> </v>
      </c>
      <c r="DG24" s="51">
        <f ca="1">IF(F24&lt;OFFSET($BM$9,CN24-1,0,1,1),0,IF(F24&lt;OFFSET($BN$9,CN24-1,0,1,1),((F24-OFFSET($BM$9,CN24-1,0,1,1))*OFFSET($CH$9,CN24-1,0,1,1))+OFFSET($BO$9,CN24-1,CQ24,1,1),IF(F24&lt;OFFSET($BN$9,CN24+0,0,1,1),((F24-OFFSET($BM$9,CN24+0,0,1,1))*OFFSET($CH$9,CN24+0,0,1,1))+OFFSET($BO$9,CN24+0,CQ24,1,1),IF(F24&lt;OFFSET($BN$9,CN24+1,0,1,1),((F24-OFFSET($BM$9,CN24+1,0,1,1))*OFFSET($CH$9,CN24+1,0,1,1))+OFFSET($BO$9,CN24+1,CQ24,1,1),IF(F24&lt;OFFSET($BN$9,CN24+2,0,1,1),((F24-OFFSET($BM$9,CN24+2,0,1,1))*OFFSET($CH$9,CN24+2,0,1,1))+OFFSET($BO$9,CN24+2,CQ24,1,1),IF(F24&lt;OFFSET($BN$9,CN24+3,0,1,1),((F24-OFFSET($BM$9,CN24+3,0,1,1))*OFFSET($CH$9,CN24+3,0,1,1))+OFFSET($BO$9,CN24+3,CQ24,1,1),0))))))</f>
        <v>0</v>
      </c>
      <c r="DH24" s="51">
        <f ca="1">IF($F24&lt;OFFSET($BM$9,$CN24-1,0,1,1),0,IF($F24&lt;OFFSET($BN$9,$CN24-1,0,1,1),IF(AND($H24&gt;2.4,Z24&lt;&gt;"e",Z24&lt;&gt;"f"),DL24*2.4/$H24,DL24),IF($F24&lt;OFFSET($BN$9,$CN24+0,0,1,1),IF(AND($H24&gt;2.4,Z24&lt;&gt;"e",Z24&lt;&gt;"f"),DL24*2.4/$H24,DL24),IF($F24&lt;OFFSET($BN$9,$CN24+1,0,1,1),IF(AND($H24&gt;2.4,Z24&lt;&gt;"e",Z24&lt;&gt;"f"),DL24*2.4/$H24,DL24),IF($F24&lt;OFFSET($BN$9,$CN24+2,0,1,1),IF(AND($H24&gt;2.4,Z24&lt;&gt;"e",Z24&lt;&gt;"f"),DL24*2.4/$H24,DL24),IF($F24&lt;OFFSET($BN$9,$CN24+3,0,1,1),IF(AND($H24&gt;2.4,Z24&lt;&gt;"e",Z24&lt;&gt;"f"),DL24*2.4/$H24,DL24),0)))))*COS(RADIANS($G24)))</f>
        <v>0</v>
      </c>
      <c r="DI24" s="51">
        <f ca="1">IF(F24&lt;OFFSET($BM$9,CN24-1,0,1,1),0,IF(F24&lt;OFFSET($BN$9,CN24-1,0,1,1),((F24-OFFSET($BM$9,CN24-1,0,1,1))*OFFSET($CI$9,CN24-1,0,1,1))+OFFSET($BP$9,CN24-1,CQ24,1,1),IF(F24&lt;OFFSET($BN$9,CN24+0,0,1,1),((F24-OFFSET($BM$9,CN24+0,0,1,1))*OFFSET($CI$9,CN24+0,0,1,1))+OFFSET($BP$9,CN24+0,CQ24,1,1),IF(F24&lt;OFFSET($BN$9,CN24+1,0,1,1),((F24-OFFSET($BM$9,CN24+1,0,1,1))*OFFSET($CI$9,CN24+1,0,1,1))+OFFSET($BP$9,CN24+1,CQ24,1,1),IF(F24&lt;OFFSET($BN$9,CN24+2,0,1,1),((F24-OFFSET($BM$9,CN24+2,0,1,1))*OFFSET($CI$9,CN24+2,0,1,1))+OFFSET($BP$9,CN24+2,CQ24,1,1),IF(F24&lt;OFFSET($BN$9,CN24+3,0,1,1),((F24-OFFSET($BM$9,CN24+3,0,1,1))*OFFSET($CI$9,CN24+3,0,1,1))+OFFSET($BP$9,CN24+3,CQ24,1,1),0))))))</f>
        <v>0</v>
      </c>
      <c r="DJ24" s="51">
        <f ca="1">IF($F24&lt;OFFSET($BM$9,$CN24-1,0,1,1),0,IF($F24&lt;OFFSET($BN$9,$CN24-1,0,1,1),IF(AND($H24&gt;2.4,Z24&lt;&gt;"e",Z24&lt;&gt;"f"),DN24*2.4/$H24,DN24),IF($F24&lt;OFFSET($BN$9,$CN24+0,0,1,1),IF(AND($H24&gt;2.4,Z24&lt;&gt;"e",Z24&lt;&gt;"f"),DN24*2.4/$H24,DN24),IF($F24&lt;OFFSET($BN$9,$CN24+1,0,1,1),IF(AND($H24&gt;2.4,Z24&lt;&gt;"e",Z24&lt;&gt;"f"),DN24*2.4/$H24,DN24),IF($F24&lt;OFFSET($BN$9,$CN24+2,0,1,1),IF(AND($H24&gt;2.4,Z24&lt;&gt;"e",Z24&lt;&gt;"f"),DN24*2.4/$H24,DN24),IF($F24&lt;OFFSET($BN$9,$CN24+3,0,1,1),IF(AND($H24&gt;2.4,Z24&lt;&gt;"e",Z24&lt;&gt;"f"),DN24*2.4/$H24,DN24),0)))))*COS(RADIANS($G24)))</f>
        <v>0</v>
      </c>
      <c r="DK24" s="51"/>
      <c r="DL24" s="51">
        <f ca="1">IF(DG24&gt;$CR24,$CR24,DG24)</f>
        <v>0</v>
      </c>
      <c r="DM24" s="51"/>
      <c r="DN24" s="51">
        <f ca="1">IF(DI24&gt;$CR24,$CR24,DI24)</f>
        <v>0</v>
      </c>
      <c r="DO24" s="435">
        <f ca="1">IF(DH24&gt;$CR24,$CR24,DH24)</f>
        <v>0</v>
      </c>
      <c r="DP24" s="435">
        <f ca="1">DO24*F24</f>
        <v>0</v>
      </c>
      <c r="DQ24" s="436">
        <f ca="1">IF(DJ24&gt;$CR24,$CR24,DJ24)</f>
        <v>0</v>
      </c>
      <c r="DR24" s="437">
        <f ca="1">DQ24*F24</f>
        <v>0</v>
      </c>
      <c r="DS24" s="426">
        <f ca="1">OFFSET($CH$9,CL24-1,-15,1,1)</f>
        <v>0</v>
      </c>
      <c r="DT24" s="426">
        <f t="shared" ca="1" si="1"/>
        <v>0</v>
      </c>
      <c r="DU24" s="188">
        <f ca="1">IF(F24&lt;OFFSET($BM$9,DT24-1,0,1,1),0,IF(F24&lt;OFFSET($BN$9,DT24-1,0,1,1),((F24-OFFSET($BM$9,DT24-1,0,1,1))*OFFSET($CH$9,DT24-1,0,1,1))+OFFSET($BO$9,DT24-1,CQ24,1,1),IF(F24&lt;OFFSET($BN$9,DT24+0,0,1,1),((F24-OFFSET($BM$9,DT24+0,0,1,1))*OFFSET($CH$9,DT24+0,0,1,1))+OFFSET($BO$9,DT24+0,CQ24,1,1),IF(F24&lt;OFFSET($BN$9,DT24+1,0,1,1),((F24-OFFSET($BM$9,DT24+1,0,1,1))*OFFSET($CH$9,DT24+1,0,1,1))+OFFSET($BO$9,DT24+1,CQ24,1,1),IF(F24&lt;OFFSET($BN$9,DT24+2,0,1,1),((F24-OFFSET($BM$9,DT24+2,0,1,1))*OFFSET($CH$9,DT24+2,0,1,1))+OFFSET($BO$9,DT24+2,CQ24,1,1),IF(F24&lt;OFFSET($BN$9,DT24+3,0,1,1),((F24-OFFSET($BM$9,DT24+3,0,1,1))*OFFSET($CH$9,DT24+3,0,1,1))+OFFSET($BO$9,DT24+3,CQ24,1,1),0))))))</f>
        <v>0</v>
      </c>
      <c r="DV24" s="51">
        <f ca="1">IF($F24&lt;OFFSET($BM$9,$DT24-1,0,1,1),0,IF($F24&lt;OFFSET($BN$9,$DT24-1,0,1,1),IF(AND($H24&gt;2.4,Z24&lt;&gt;"e",Z24&lt;&gt;"f"),DZ24*2.4/$H24,DZ24),IF($F24&lt;OFFSET($BN$9,$DT24+0,0,1,1),IF(AND($H24&gt;2.4,Z24&lt;&gt;"e",Z24&lt;&gt;"f"),DZ24*2.4/$H24,DZ24),IF($F24&lt;OFFSET($BN$9,$DT24+1,0,1,1),IF(AND($H24&gt;2.4,Z24&lt;&gt;"e",Z24&lt;&gt;"f"),DZ24*2.4/$H24,DZ24),IF($F24&lt;OFFSET($BN$9,$DT24+2,0,1,1),IF(AND($H24&gt;2.4,Z24&lt;&gt;"e",Z24&lt;&gt;"f"),DZ24*2.4/$H24,DZ24),IF($F24&lt;OFFSET($BN$9,$DT24+3,0,1,1),IF(AND($H24&gt;2.4,Z24&lt;&gt;"e",Z24&lt;&gt;"f"),DZ24*2.4/$H24,DZ24),0)))))*COS(RADIANS($G24)))</f>
        <v>0</v>
      </c>
      <c r="DW24" s="188">
        <f ca="1">IF(F24&lt;OFFSET($BM$9,DT24-1,0,1,1),0,IF(F24&lt;OFFSET($BN$9,DT24-1,0,1,1),((F24-OFFSET($BM$9,DT24-1,0,1,1))*OFFSET($CI$9,DT24-1,0,1,1))+OFFSET($BP$9,DT24-1,CQ24,1,1),IF(F24&lt;OFFSET($BN$9,DT24+0,0,1,1),((F24-OFFSET($BM$9,DT24+0,0,1,1))*OFFSET($CI$9,DT24+0,0,1,1))+OFFSET($BP$9,DT24+0,CQ24,1,1),IF(F24&lt;OFFSET($BN$9,DT24+1,0,1,1),((F24-OFFSET($BM$9,DT24+1,0,1,1))*OFFSET($CI$9,DT24+1,0,1,1))+OFFSET($BP$9,DT24+1,CQ24,1,1),IF(F24&lt;OFFSET($BN$9,DT24+2,0,1,1),((F24-OFFSET($BM$9,DT24+2,0,1,1))*OFFSET($CI$9,DT24+2,0,1,1))+OFFSET($BP$9,DT24+2,CQ24,1,1),IF(F24&lt;OFFSET($BN$9,DT24+3,0,1,1),((F24-OFFSET($BM$9,DT24+3,0,1,1))*OFFSET($CI$9,DT24+3,0,1,1))+OFFSET($BP$9,DT24+3,CQ24,1,1),0))))))</f>
        <v>0</v>
      </c>
      <c r="DX24" s="51">
        <f ca="1">IF($F24&lt;OFFSET($BM$9,$DT24-1,0,1,1),0,IF($F24&lt;OFFSET($BN$9,$DT24-1,0,1,1),IF(AND($H24&gt;2.4,Z24&lt;&gt;"e",Z24&lt;&gt;"f"),EB24*2.4/$H24,EB24),IF($F24&lt;OFFSET($BN$9,$DT24+0,0,1,1),IF(AND($H24&gt;2.4,Z24&lt;&gt;"e",Z24&lt;&gt;"f"),EB24*2.4/$H24,EB24),IF($F24&lt;OFFSET($BN$9,$DT24+1,0,1,1),IF(AND($H24&gt;2.4,Z24&lt;&gt;"e",Z24&lt;&gt;"f"),EB24*2.4/$H24,EB24),IF($F24&lt;OFFSET($BN$9,$DT24+2,0,1,1),IF(AND($H24&gt;2.4,Z24&lt;&gt;"e",Z24&lt;&gt;"f"),EB24*2.4/$H24,EB24),IF($F24&lt;OFFSET($BN$9,$DT24+3,0,1,1),IF(AND($H24&gt;2.4,Z24&lt;&gt;"e",Z24&lt;&gt;"f"),EB24*2.4/$H24,EB24),0)))))*COS(RADIANS($G24)))</f>
        <v>0</v>
      </c>
      <c r="DY24" s="188"/>
      <c r="DZ24" s="188">
        <f ca="1">IF(DU24&gt;$CR24,$CR24,DU24)</f>
        <v>0</v>
      </c>
      <c r="EA24" s="188"/>
      <c r="EB24" s="188">
        <f ca="1">IF(DW24&gt;$CR24,$CR24,DW24)</f>
        <v>0</v>
      </c>
      <c r="EC24" s="435">
        <f ca="1">IF(DV24&gt;$CR24,$CR24,DV24)</f>
        <v>0</v>
      </c>
      <c r="ED24" s="435">
        <f ca="1">EC24*F24</f>
        <v>0</v>
      </c>
      <c r="EE24" s="436">
        <f ca="1">IF(DX24&gt;$CR24,$CR24,DX24)</f>
        <v>0</v>
      </c>
      <c r="EF24" s="437">
        <f ca="1">EE24*F24</f>
        <v>0</v>
      </c>
      <c r="EG24" s="613" t="str">
        <f>IF(D24=BG$12,BG$12,"")</f>
        <v/>
      </c>
      <c r="EH24" s="614" t="str">
        <f>IF(D24=BG$13,BG$13,"")</f>
        <v/>
      </c>
      <c r="EI24" s="611">
        <f>IF(EG24=BG$12,M24,0)</f>
        <v>0</v>
      </c>
      <c r="EJ24" s="451">
        <f>IF(EG24=BG$12,O24,0)</f>
        <v>0</v>
      </c>
      <c r="EK24" s="451">
        <f>IF(EH24=BG$13,M24,0)</f>
        <v>0</v>
      </c>
      <c r="EL24" s="612">
        <f>IF(EH24=BG$13,O24,0)</f>
        <v>0</v>
      </c>
      <c r="EM24" s="426" t="str">
        <f ca="1">IF(AND(Z24&lt;&gt;"t",Z24&lt;&gt;"f"),"",IF(AND(EN24=$BH$11,K24&lt;&gt;EN24),EM$4,IF(AND(EN24=$BH$12,K24=$BH$13),EM$4,IF(AND(EN24=$BH$12,K24=$BH$14),EM$4,IF(AND(EN24=$BH$13,K24=$BH$14),$EM$4,IF(EN24=$BH$14,$EM$4,""))))))</f>
        <v/>
      </c>
      <c r="EN24" s="489" t="str">
        <f>BG$24</f>
        <v>No Floor</v>
      </c>
      <c r="EO24" s="426" t="str">
        <f>K24</f>
        <v xml:space="preserve"> </v>
      </c>
      <c r="EP24" s="497" t="str">
        <f ca="1">IF(AND(Z24&lt;&gt;"t",Z24&lt;&gt;"f"),"",IF(AND(EN24=$BH$14,K24&lt;&gt;EN24),EP$4,IF(AND(EN24=$BH$13,K24=$BH$12),EP$4,IF(AND(EN24=$BH$13,K24=$BH$11),EP$4,IF(AND(EN24=$BH$12,K24=$BH$11),$EP$4,IF(EN24=$BH$11,"Earth",""))))))</f>
        <v/>
      </c>
      <c r="EQ24" s="430" t="str">
        <f ca="1">IF(Z24&lt;&gt;"t","",IF(EQ$5=2,IF(K24&lt;&gt;BH$11,EQ$7," ")))</f>
        <v/>
      </c>
      <c r="ER24" s="439" t="str">
        <f ca="1">IF(H24=0," ",H24)</f>
        <v xml:space="preserve"> </v>
      </c>
      <c r="ES24" s="440" t="str">
        <f ca="1">IF(ER24&lt;&gt;" ",IF(ER24&lt;&gt;ER$7,"Changed",""),"")</f>
        <v/>
      </c>
      <c r="ET24" s="440">
        <f t="shared" ca="1" si="20"/>
        <v>0</v>
      </c>
      <c r="EU24" s="426" t="str">
        <f ca="1">IF(I24=" "," ",IF(F24&lt;OFFSET($BM$9,CL24-1,0,1,1),1,""))</f>
        <v xml:space="preserve"> </v>
      </c>
      <c r="EW24" s="427"/>
      <c r="EY24" s="421"/>
    </row>
    <row r="25" spans="2:155" ht="17.100000000000001" customHeight="1" thickBot="1">
      <c r="B25" s="2686" t="s">
        <v>8</v>
      </c>
      <c r="C25" s="2687"/>
      <c r="D25" s="1461" t="s">
        <v>8</v>
      </c>
      <c r="E25" s="659"/>
      <c r="F25" s="659"/>
      <c r="G25" s="659"/>
      <c r="H25" s="659"/>
      <c r="I25" s="1462"/>
      <c r="J25" s="1365" t="str">
        <f ca="1">(CONCATENATE(B20,$BE$54))</f>
        <v>C  Line:  Min. Requirement</v>
      </c>
      <c r="K25" s="23"/>
      <c r="L25" s="1019">
        <f ca="1">L$5</f>
        <v>0</v>
      </c>
      <c r="M25" s="48">
        <f ca="1">IF(B20=B14,SUM(M20:M24)+M19,SUM(M20:M24))</f>
        <v>0</v>
      </c>
      <c r="N25" s="1019">
        <f ca="1">N$5</f>
        <v>0</v>
      </c>
      <c r="O25" s="125">
        <f ca="1">IF(B20=B14,SUM(O20:O24)+O19,SUM(O20:O24))</f>
        <v>0</v>
      </c>
      <c r="P25" s="139"/>
      <c r="Q25" s="42" t="str">
        <f ca="1">IF(B20=B26,"",IF(AND(M25&gt;0,L25=L$5,OR(M25&lt;$M$105,M25&lt;$BF$3)),"Achieved &lt; Min Req per Line",IF(AND(O25&gt;0,N25=N$5,OR(O25&lt;$O$105,O25&lt;$BF$3)),"Achieved &lt; Min Req per Line",IF(AND(M25&gt;0,L25&gt;M25),"More Required on this line",IF(AND(O25&gt;0,N25&gt;O25),"More Required on this line",IF(AND(L25&gt;0,L25&lt;$BF$3),$BE$59,IF(AND(N25&gt;0,N25&lt;$BF$3),$BE$59,"")))))))</f>
        <v/>
      </c>
      <c r="R25" s="52"/>
      <c r="S25" s="52"/>
      <c r="T25" s="52"/>
      <c r="U25" s="1378"/>
      <c r="V25" s="52"/>
      <c r="W25" s="898"/>
      <c r="X25" s="898"/>
      <c r="Y25" s="896"/>
      <c r="Z25" s="52"/>
      <c r="AA25" s="51"/>
      <c r="AB25" s="1364"/>
      <c r="AC25" s="1"/>
      <c r="AJ25" s="29"/>
      <c r="AK25" s="30"/>
      <c r="AL25" s="30"/>
      <c r="AM25" s="32"/>
      <c r="AN25" s="32"/>
      <c r="AO25" s="32"/>
      <c r="AP25" s="32"/>
      <c r="AQ25" s="32"/>
      <c r="AR25" s="32"/>
      <c r="AS25" s="32"/>
      <c r="AT25" s="32"/>
      <c r="AU25" s="478"/>
      <c r="AV25" s="478"/>
      <c r="AW25" s="478"/>
      <c r="AX25" s="478"/>
      <c r="AY25" s="478"/>
      <c r="AZ25" s="478"/>
      <c r="BA25" s="478"/>
      <c r="BB25" s="478"/>
      <c r="BC25" s="478"/>
      <c r="BD25" s="2648"/>
      <c r="BF25" s="598" t="str">
        <f>Table!AI75</f>
        <v>EM-H</v>
      </c>
      <c r="BI25" s="759"/>
      <c r="BJ25" s="897">
        <f t="shared" si="5"/>
        <v>17</v>
      </c>
      <c r="BK25" s="769" t="str">
        <f t="shared" si="6"/>
        <v xml:space="preserve">  </v>
      </c>
      <c r="BL25" s="771" t="str">
        <f t="shared" si="7"/>
        <v>Custom14</v>
      </c>
      <c r="BM25" s="455">
        <f t="shared" si="8"/>
        <v>9.9999999999999996E-76</v>
      </c>
      <c r="BN25" s="455">
        <v>999</v>
      </c>
      <c r="BO25" s="455">
        <f t="shared" si="9"/>
        <v>0</v>
      </c>
      <c r="BP25" s="925">
        <f t="shared" si="10"/>
        <v>0</v>
      </c>
      <c r="BR25" s="764"/>
      <c r="BS25" s="455"/>
      <c r="BT25" s="455" t="str">
        <f t="shared" si="11"/>
        <v>B</v>
      </c>
      <c r="BU25" s="925" t="str">
        <f t="shared" si="12"/>
        <v>T</v>
      </c>
      <c r="BV25" s="483" t="str">
        <f t="shared" si="13"/>
        <v>Custom14</v>
      </c>
      <c r="BW25" s="910">
        <f t="shared" si="22"/>
        <v>17</v>
      </c>
      <c r="BX25" s="924" t="str">
        <f t="shared" si="14"/>
        <v>Single</v>
      </c>
      <c r="CH25" s="764">
        <f t="shared" si="15"/>
        <v>0</v>
      </c>
      <c r="CI25" s="925">
        <f t="shared" si="16"/>
        <v>0</v>
      </c>
      <c r="CJ25" s="759"/>
      <c r="CK25" s="188"/>
      <c r="CL25" s="979"/>
      <c r="CN25" s="497"/>
      <c r="CO25" s="497"/>
      <c r="CQ25" s="51"/>
      <c r="CR25" s="51"/>
      <c r="CS25" s="51"/>
      <c r="CT25" s="51" t="s">
        <v>8</v>
      </c>
      <c r="CU25" s="51"/>
      <c r="CV25" s="51" t="s">
        <v>8</v>
      </c>
      <c r="CW25" s="51"/>
      <c r="CX25" s="51"/>
      <c r="CY25" s="51"/>
      <c r="CZ25" s="51"/>
      <c r="DD25" s="758"/>
      <c r="DF25" s="52"/>
      <c r="DG25" s="51"/>
      <c r="DH25" s="51"/>
      <c r="DI25" s="51"/>
      <c r="DJ25" s="51"/>
      <c r="DK25" s="51"/>
      <c r="DL25" s="51"/>
      <c r="DM25" s="51"/>
      <c r="DN25" s="51"/>
      <c r="DO25" s="435"/>
      <c r="DP25" s="435"/>
      <c r="DQ25" s="868"/>
      <c r="DR25" s="868"/>
      <c r="DU25" s="188"/>
      <c r="DV25" s="188" t="s">
        <v>8</v>
      </c>
      <c r="DW25" s="188"/>
      <c r="DX25" s="188" t="s">
        <v>8</v>
      </c>
      <c r="DY25" s="188"/>
      <c r="DZ25" s="188"/>
      <c r="EA25" s="188"/>
      <c r="EB25" s="188"/>
      <c r="EC25" s="435"/>
      <c r="ED25" s="435"/>
      <c r="EE25" s="868"/>
      <c r="EF25" s="868"/>
      <c r="EG25" s="613"/>
      <c r="EH25" s="614"/>
      <c r="EI25" s="613"/>
      <c r="EJ25" s="435"/>
      <c r="EK25" s="451"/>
      <c r="EL25" s="612"/>
      <c r="EN25" s="438"/>
      <c r="ER25" s="441"/>
      <c r="ES25" s="440"/>
      <c r="ET25" s="440"/>
      <c r="EW25" s="427"/>
      <c r="EY25" s="421"/>
    </row>
    <row r="26" spans="2:155" ht="17.100000000000001" customHeight="1" thickBot="1">
      <c r="B26" s="1369" t="str">
        <f ca="1">S26</f>
        <v>D</v>
      </c>
      <c r="C26" s="684" t="str">
        <f>IF(OR(F26=0,I26="",I26=" ")," ",$V26)</f>
        <v xml:space="preserve"> </v>
      </c>
      <c r="D26" s="1361"/>
      <c r="E26" s="1360"/>
      <c r="F26" s="202"/>
      <c r="G26" s="1416"/>
      <c r="H26" s="1417" t="str">
        <f ca="1">IF(OR(F26=0,Z26="E",Z26="f")," ",'Project Demand'!E$55)</f>
        <v xml:space="preserve"> </v>
      </c>
      <c r="I26" s="631" t="str">
        <f>IF($I$6&lt;&gt;$BG$8," ",AB26)</f>
        <v xml:space="preserve"> </v>
      </c>
      <c r="J26" s="43" t="str">
        <f ca="1">IF(OR(I26=" ",I26="")," ",OFFSET($BO$9,CL26-1,0-4,1,1))</f>
        <v xml:space="preserve"> </v>
      </c>
      <c r="K26" s="55" t="str">
        <f>IF(OR(I26=" ",I26="")," ",IF(OR(Z26="e",Z26="h"),"SD",IF(BG$24=BH$11,BH$13,BG$24)))</f>
        <v xml:space="preserve"> </v>
      </c>
      <c r="L26" s="49">
        <f ca="1">CW26</f>
        <v>0</v>
      </c>
      <c r="M26" s="49">
        <f ca="1">CY26</f>
        <v>0</v>
      </c>
      <c r="N26" s="50">
        <f t="shared" ref="N26:O30" ca="1" si="24">DA26</f>
        <v>0</v>
      </c>
      <c r="O26" s="126">
        <f t="shared" ca="1" si="24"/>
        <v>0</v>
      </c>
      <c r="P26" s="140"/>
      <c r="Q26" s="752" t="str">
        <f ca="1">IF(AND(OR(Z26="t",Z26="f"),K26=$BH$11),"No Floor!  Change Floor Type",IF(OR(I26=" ",I26="")," ",IF(F26&lt;OFFSET($BM$9,CL26-1,0,1,1),"check L(m)",DE26&amp;IF(AND(DP26&gt;=CY26,DR26&gt;=DB26),IF(AND(ED26&gt;=DP26,EF26&gt;=DR26),CONCATENATE(DS26," will provide same result"),CONCATENATE(CO26," will provide same result")),IF((DP26&gt;=CY26),CONCATENATE(CO26," provides same result in WIND"),IF((DR26&gt;=DB26),CONCATENATE(CO26," provides same result in EQ"),""))))))&amp;IF(ISERROR(FIND("pile",I26,1)),"",IF(INT(F26)&lt;&gt;F26,"Pile!  Use Whole Numbers Only",""))</f>
        <v xml:space="preserve"> </v>
      </c>
      <c r="R26" s="52">
        <f ca="1">IF(T20&lt;&gt;2,(COLUMN(INDIRECT(B20&amp;1))+1),U26)</f>
        <v>4</v>
      </c>
      <c r="S26" s="1372" t="str">
        <f ca="1">SUBSTITUTE(ADDRESS(1,R26,4),"1","")</f>
        <v>D</v>
      </c>
      <c r="T26" s="451">
        <f ca="1">IF(AND(ISTEXT(B26),SUBSTITUTE(SUBSTITUTE(SUBSTITUTE(SUBSTITUTE(SUBSTITUTE(SUBSTITUTE(SUBSTITUTE(SUBSTITUTE(SUBSTITUTE(SUBSTITUTE(SUBSTITUTE(SUBSTITUTE(SUBSTITUTE(SUBSTITUTE(SUBSTITUTE(SUBSTITUTE(SUBSTITUTE(SUBSTITUTE(SUBSTITUTE(SUBSTITUTE(SUBSTITUTE(SUBSTITUTE(SUBSTITUTE(SUBSTITUTE(SUBSTITUTE(SUBSTITUTE(LOWER(B26),"a",),"b",),"c",),"d",),"e",),"f",),"g",),"h",),"i",),"j",),"k",),"l",),"m",),"n",),"o",),"p",),"q",),"r",),"s",),"t",),"u",),"v",),"w",),"x",),"y",),"z",)=""),1,2)</f>
        <v>1</v>
      </c>
      <c r="U26" s="1377">
        <v>4</v>
      </c>
      <c r="V26" s="52" t="str">
        <f ca="1">IF(AND(B$5=$BF$9,OR(I26=BH$16,I26=BH$17))," ",IF(ISNUMBER(B$26),(CONCATENATE(B$26,".",W26)),(CONCATENATE(B$26,W26))))</f>
        <v>D0</v>
      </c>
      <c r="W26" s="9">
        <f ca="1">IF(B20=B26,W24+X26,X26)</f>
        <v>0</v>
      </c>
      <c r="X26" s="9">
        <f>IF(AND(B$5=$BF$9,OR($I26=$BH$16,$I26=$BH$17,$I26=" ",$I26="",$F26=0)),0,IF(OR($I26=" ",$I26="",$F26=0),0,1))</f>
        <v>0</v>
      </c>
      <c r="Y26" s="896">
        <f ca="1">IF(AND(M31&gt;0,B26&lt;&gt;B32),1,0)</f>
        <v>0</v>
      </c>
      <c r="Z26" s="52" t="str">
        <f ca="1">IF(I26=" "," ",OFFSET($BM$9,$CL26-1,8,1,1))</f>
        <v xml:space="preserve"> </v>
      </c>
      <c r="AA26" s="51" t="str">
        <f>IF(G26&gt;=45,"WA","")</f>
        <v/>
      </c>
      <c r="AB26" s="1364" t="str">
        <f>IF(OR(E26=" ",E26="")," ",(IF(F26&lt;&gt;"",IF(OR(D26=$BG$12,D26=$BG$13),IF(E26&lt;&gt;$BG$17,$BF$20,$BF$21),IF(E26&lt;&gt;$BG$17,$BF$20,$BF$21))," ")))</f>
        <v xml:space="preserve"> </v>
      </c>
      <c r="AC26" s="1"/>
      <c r="AJ26" s="29"/>
      <c r="AK26" s="30"/>
      <c r="AL26" s="30"/>
      <c r="AM26" s="32"/>
      <c r="AN26" s="32"/>
      <c r="AO26" s="32"/>
      <c r="AP26" s="32"/>
      <c r="AQ26" s="32"/>
      <c r="AR26" s="32"/>
      <c r="AS26" s="32"/>
      <c r="AT26" s="32"/>
      <c r="AU26" s="478"/>
      <c r="AV26" s="478"/>
      <c r="AW26" s="478"/>
      <c r="AX26" s="478"/>
      <c r="AY26" s="478"/>
      <c r="AZ26" s="478"/>
      <c r="BA26" s="478"/>
      <c r="BB26" s="478"/>
      <c r="BC26" s="478"/>
      <c r="BD26" s="2648"/>
      <c r="BF26" s="598" t="str">
        <f>Table!AI78</f>
        <v>ESSN</v>
      </c>
      <c r="BI26" s="759"/>
      <c r="BJ26" s="897">
        <f t="shared" si="5"/>
        <v>18</v>
      </c>
      <c r="BK26" s="769" t="str">
        <f t="shared" si="6"/>
        <v xml:space="preserve">  </v>
      </c>
      <c r="BL26" s="771" t="str">
        <f t="shared" si="7"/>
        <v>Custom15</v>
      </c>
      <c r="BM26" s="455">
        <f t="shared" si="8"/>
        <v>9.9999999999999996E-76</v>
      </c>
      <c r="BN26" s="455">
        <v>999</v>
      </c>
      <c r="BO26" s="455">
        <f t="shared" si="9"/>
        <v>0</v>
      </c>
      <c r="BP26" s="925">
        <f t="shared" si="10"/>
        <v>0</v>
      </c>
      <c r="BR26" s="764"/>
      <c r="BS26" s="455"/>
      <c r="BT26" s="455" t="str">
        <f t="shared" si="11"/>
        <v>B</v>
      </c>
      <c r="BU26" s="925" t="str">
        <f t="shared" si="12"/>
        <v>T</v>
      </c>
      <c r="BV26" s="483" t="str">
        <f t="shared" si="13"/>
        <v>Custom15</v>
      </c>
      <c r="BW26" s="910">
        <f t="shared" si="22"/>
        <v>18</v>
      </c>
      <c r="BX26" s="924" t="str">
        <f t="shared" si="14"/>
        <v>Single</v>
      </c>
      <c r="CH26" s="764">
        <f t="shared" si="15"/>
        <v>0</v>
      </c>
      <c r="CI26" s="925">
        <f t="shared" si="16"/>
        <v>0</v>
      </c>
      <c r="CJ26" s="759"/>
      <c r="CK26" s="188"/>
      <c r="CL26" s="979">
        <f>VLOOKUP(I26,Prodlink,2,0)</f>
        <v>0</v>
      </c>
      <c r="CN26" s="497">
        <f t="shared" ca="1" si="2"/>
        <v>0</v>
      </c>
      <c r="CO26" s="497">
        <f ca="1">OFFSET($CH$9,CL26-1,-15,1,1)</f>
        <v>0</v>
      </c>
      <c r="CQ26" s="51">
        <v>0</v>
      </c>
      <c r="CR26" s="51">
        <f ca="1">IF(AND(Z26&lt;&gt;"t",Z26&lt;&gt;"f"),10000,IF(K26=$BH$11,0,IF(K26=$BH$12,$BH$23,IF(K26=$BH$13,$BH$24,10000))))</f>
        <v>10000</v>
      </c>
      <c r="CS26" s="51">
        <f ca="1">IF(F26&lt;OFFSET($BM$9,CL26-1,0,1,1),0,IF(F26&lt;OFFSET($BN$9,CL26-1,0,1,1),((F26-OFFSET($BM$9,CL26-1,0,1,1))*OFFSET($CH$9,CL26-1,0,1,1))+OFFSET($BO$9,CL26-1,CQ26,1,1),IF(F26&lt;OFFSET($BN$9,CL26+0,0,1,1),((F26-OFFSET($BM$9,CL26+0,0,1,1))*OFFSET($CH$9,CL26+0,0,1,1))+OFFSET($BO$9,CL26+0,CQ26,1,1),IF(F26&lt;OFFSET($BN$9,CL26+1,0,1,1),((F26-OFFSET($BM$9,CL26+1,0,1,1))*OFFSET($CH$9,CL26+1,0,1,1))+OFFSET($BO$9,CL26+1,CQ26,1,1),IF(F26&lt;OFFSET($BN$9,CL26+2,0,1,1),((F26-OFFSET($BM$9,CL26+2,0,1,1))*OFFSET($CH$9,CL26+2,0,1,1))+OFFSET($BO$9,CL26+2,CQ26,1,1),IF(F26&lt;OFFSET($BN$9,CL26+3,0,1,1),((F26-OFFSET($BM$9,CL26+3,0,1,1))*OFFSET($CH$9,CL26+3,0,1,1))+OFFSET($BO$9,CL26+3,CQ26,1,1),0))))))</f>
        <v>0</v>
      </c>
      <c r="CT26" s="51">
        <f ca="1">IF($F26&lt;OFFSET($BM$9,$CL26-1,0,1,1),0,IF($F26&lt;OFFSET($BN$9,$CL26-1,0,1,1),IF(AND($H26&gt;2.4,Z26&lt;&gt;"e",Z26&lt;&gt;"f"),CX26*2.4/$H26,CX26),IF($F26&lt;OFFSET($BN$9,$CL26+0,0,1,1),IF(AND($H26&gt;2.4,Z26&lt;&gt;"e",Z26&lt;&gt;"f"),CX26*2.4/$H26,CX26),IF($F26&lt;OFFSET($BN$9,$CL26+1,0,1,1),IF(AND($H26&gt;2.4,Z26&lt;&gt;"e",Z26&lt;&gt;"f"),CX26*2.4/$H26,CX26),IF($F26&lt;OFFSET($BN$9,CL26+2,0,1,1),IF(AND($H26&gt;2.4,Z26&lt;&gt;"e",Z26&lt;&gt;"f"),CX26*2.4/$H26,CX26),IF($F26&lt;OFFSET($BN$9,CL26+3,0,1,1),IF(AND($H26&gt;2.4,Z26&lt;&gt;"e",Z26&lt;&gt;"f"),CX26*2.4/$H26,CX26),0)))))*COS(RADIANS($G26)))</f>
        <v>0</v>
      </c>
      <c r="CU26" s="51">
        <f ca="1">IF(F26&lt;OFFSET($BM$9,CL26-1,0,1,1),0,IF(F26&lt;OFFSET($BN$9,CL26-1,0,1,1),((F26-OFFSET($BM$9,CL26-1,0,1,1))*OFFSET($CI$9,CL26-1,0,1,1))+OFFSET($BP$9,CL26-1,CQ26,1,1),IF(F26&lt;OFFSET($BN$9,CL26+0,0,1,1),((F26-OFFSET($BM$9,CL26+0,0,1,1))*OFFSET($CI$9,CL26+0,0,1,1))+OFFSET($BP$9,CL26+0,CQ26,1,1),IF(F26&lt;OFFSET($BN$9,CL26+1,0,1,1),((F26-OFFSET($BM$9,CL26+1,0,1,1))*OFFSET($CI$9,CL26+1,0,1,1))+OFFSET($BP$9,CL26+1,CQ26,1,1),IF(F26&lt;OFFSET($BN$9,CL26+2,0,1,1),((F26-OFFSET($BM$9,CL26+2,0,1,1))*OFFSET($CI$9,CL26+2,0,1,1))+OFFSET($BP$9,CL26+2,CQ26,1,1),IF(F26&lt;OFFSET($BN$9,CL26+3,0,1,1),((F26-OFFSET($BM$9,CL26+3,0,1,1))*OFFSET($CI$9,CL26+3,0,1,1))+OFFSET($BP$9,CL26+3,CQ26,1,1),0))))))</f>
        <v>0</v>
      </c>
      <c r="CV26" s="51">
        <f ca="1">IF($F26&lt;OFFSET($BM$9,$CL26-1,0,1,1),0,IF($F26&lt;OFFSET($BN$9,$CL26-1,0,1,1),IF(AND($H26&gt;2.4,Z26&lt;&gt;"e",Z26&lt;&gt;"f"),CZ26*2.4/$H26,CZ26),IF($F26&lt;OFFSET($BN$9,$CL26+0,0,1,1),IF(AND($H26&gt;2.4,Z26&lt;&gt;"e",Z26&lt;&gt;"f"),CZ26*2.4/$H26,CZ26),IF($F26&lt;OFFSET($BN$9,$CL26+1,0,1,1),IF(AND($H26&gt;2.4,Z26&lt;&gt;"e",Z26&lt;&gt;"f"),CZ26*2.4/$H26,CZ26),IF($F26&lt;OFFSET($BN$9,$CL26+2,0,1,1),IF(AND($H26&gt;2.4,Z26&lt;&gt;"e",Z26&lt;&gt;"f"),CZ26*2.4/$H26,CZ26),IF($F26&lt;OFFSET($BN$9,$CL26+3,0,1,1),IF(AND($H26&gt;2.4,Z26&lt;&gt;"e",Z26&lt;&gt;"f"),CZ26*2.4/$H26,CZ26),0)))))*COS(RADIANS($G26)))</f>
        <v>0</v>
      </c>
      <c r="CW26" s="51">
        <f t="shared" ca="1" si="17"/>
        <v>0</v>
      </c>
      <c r="CX26" s="51">
        <f ca="1">IF(CS26&gt;$CR26,$CR26,CS26)</f>
        <v>0</v>
      </c>
      <c r="CY26" s="51">
        <f ca="1">CW26*F26</f>
        <v>0</v>
      </c>
      <c r="CZ26" s="51">
        <f ca="1">IF($CU26&gt;$CR26,$CR26,$CU26)</f>
        <v>0</v>
      </c>
      <c r="DA26" s="51">
        <f ca="1">IF(CV26&gt;CR26,CR26,CV26)</f>
        <v>0</v>
      </c>
      <c r="DB26" s="51">
        <f ca="1">DA26*F26</f>
        <v>0</v>
      </c>
      <c r="DC26" s="993">
        <v>1</v>
      </c>
      <c r="DD26" s="758" t="str">
        <f>IF(OR(D26=BG$12,D26=BG$13),"External",IF(D26=BG$14,"Internal"," "))</f>
        <v xml:space="preserve"> </v>
      </c>
      <c r="DE26" s="51" t="str">
        <f t="shared" ca="1" si="18"/>
        <v/>
      </c>
      <c r="DF26" s="52" t="str">
        <f t="shared" ca="1" si="19"/>
        <v xml:space="preserve"> </v>
      </c>
      <c r="DG26" s="51">
        <f ca="1">IF(F26&lt;OFFSET($BM$9,CN26-1,0,1,1),0,IF(F26&lt;OFFSET($BN$9,CN26-1,0,1,1),((F26-OFFSET($BM$9,CN26-1,0,1,1))*OFFSET($CH$9,CN26-1,0,1,1))+OFFSET($BO$9,CN26-1,CQ26,1,1),IF(F26&lt;OFFSET($BN$9,CN26+0,0,1,1),((F26-OFFSET($BM$9,CN26+0,0,1,1))*OFFSET($CH$9,CN26+0,0,1,1))+OFFSET($BO$9,CN26+0,CQ26,1,1),IF(F26&lt;OFFSET($BN$9,CN26+1,0,1,1),((F26-OFFSET($BM$9,CN26+1,0,1,1))*OFFSET($CH$9,CN26+1,0,1,1))+OFFSET($BO$9,CN26+1,CQ26,1,1),IF(F26&lt;OFFSET($BN$9,CN26+2,0,1,1),((F26-OFFSET($BM$9,CN26+2,0,1,1))*OFFSET($CH$9,CN26+2,0,1,1))+OFFSET($BO$9,CN26+2,CQ26,1,1),IF(F26&lt;OFFSET($BN$9,CN26+3,0,1,1),((F26-OFFSET($BM$9,CN26+3,0,1,1))*OFFSET($CH$9,CN26+3,0,1,1))+OFFSET($BO$9,CN26+3,CQ26,1,1),0))))))</f>
        <v>0</v>
      </c>
      <c r="DH26" s="51">
        <f ca="1">IF($F26&lt;OFFSET($BM$9,$CN26-1,0,1,1),0,IF($F26&lt;OFFSET($BN$9,$CN26-1,0,1,1),IF(AND($H26&gt;2.4,Z26&lt;&gt;"e",Z26&lt;&gt;"f"),DL26*2.4/$H26,DL26),IF($F26&lt;OFFSET($BN$9,$CN26+0,0,1,1),IF(AND($H26&gt;2.4,Z26&lt;&gt;"e",Z26&lt;&gt;"f"),DL26*2.4/$H26,DL26),IF($F26&lt;OFFSET($BN$9,$CN26+1,0,1,1),IF(AND($H26&gt;2.4,Z26&lt;&gt;"e",Z26&lt;&gt;"f"),DL26*2.4/$H26,DL26),IF($F26&lt;OFFSET($BN$9,$CN26+2,0,1,1),IF(AND($H26&gt;2.4,Z26&lt;&gt;"e",Z26&lt;&gt;"f"),DL26*2.4/$H26,DL26),IF($F26&lt;OFFSET($BN$9,$CN26+3,0,1,1),IF(AND($H26&gt;2.4,Z26&lt;&gt;"e",Z26&lt;&gt;"f"),DL26*2.4/$H26,DL26),0)))))*COS(RADIANS($G26)))</f>
        <v>0</v>
      </c>
      <c r="DI26" s="51">
        <f ca="1">IF(F26&lt;OFFSET($BM$9,CN26-1,0,1,1),0,IF(F26&lt;OFFSET($BN$9,CN26-1,0,1,1),((F26-OFFSET($BM$9,CN26-1,0,1,1))*OFFSET($CI$9,CN26-1,0,1,1))+OFFSET($BP$9,CN26-1,CQ26,1,1),IF(F26&lt;OFFSET($BN$9,CN26+0,0,1,1),((F26-OFFSET($BM$9,CN26+0,0,1,1))*OFFSET($CI$9,CN26+0,0,1,1))+OFFSET($BP$9,CN26+0,CQ26,1,1),IF(F26&lt;OFFSET($BN$9,CN26+1,0,1,1),((F26-OFFSET($BM$9,CN26+1,0,1,1))*OFFSET($CI$9,CN26+1,0,1,1))+OFFSET($BP$9,CN26+1,CQ26,1,1),IF(F26&lt;OFFSET($BN$9,CN26+2,0,1,1),((F26-OFFSET($BM$9,CN26+2,0,1,1))*OFFSET($CI$9,CN26+2,0,1,1))+OFFSET($BP$9,CN26+2,CQ26,1,1),IF(F26&lt;OFFSET($BN$9,CN26+3,0,1,1),((F26-OFFSET($BM$9,CN26+3,0,1,1))*OFFSET($CI$9,CN26+3,0,1,1))+OFFSET($BP$9,CN26+3,CQ26,1,1),0))))))</f>
        <v>0</v>
      </c>
      <c r="DJ26" s="51">
        <f ca="1">IF($F26&lt;OFFSET($BM$9,$CN26-1,0,1,1),0,IF($F26&lt;OFFSET($BN$9,$CN26-1,0,1,1),IF(AND($H26&gt;2.4,Z26&lt;&gt;"e",Z26&lt;&gt;"f"),DN26*2.4/$H26,DN26),IF($F26&lt;OFFSET($BN$9,$CN26+0,0,1,1),IF(AND($H26&gt;2.4,Z26&lt;&gt;"e",Z26&lt;&gt;"f"),DN26*2.4/$H26,DN26),IF($F26&lt;OFFSET($BN$9,$CN26+1,0,1,1),IF(AND($H26&gt;2.4,Z26&lt;&gt;"e",Z26&lt;&gt;"f"),DN26*2.4/$H26,DN26),IF($F26&lt;OFFSET($BN$9,$CN26+2,0,1,1),IF(AND($H26&gt;2.4,Z26&lt;&gt;"e",Z26&lt;&gt;"f"),DN26*2.4/$H26,DN26),IF($F26&lt;OFFSET($BN$9,$CN26+3,0,1,1),IF(AND($H26&gt;2.4,Z26&lt;&gt;"e",Z26&lt;&gt;"f"),DN26*2.4/$H26,DN26),0)))))*COS(RADIANS($G26)))</f>
        <v>0</v>
      </c>
      <c r="DK26" s="51"/>
      <c r="DL26" s="51">
        <f ca="1">IF(DG26&gt;$CR26,$CR26,DG26)</f>
        <v>0</v>
      </c>
      <c r="DM26" s="51"/>
      <c r="DN26" s="51">
        <f ca="1">IF(DI26&gt;$CR26,$CR26,DI26)</f>
        <v>0</v>
      </c>
      <c r="DO26" s="435">
        <f ca="1">IF(DH26&gt;$CR26,$CR26,DH26)</f>
        <v>0</v>
      </c>
      <c r="DP26" s="435">
        <f ca="1">DO26*F26</f>
        <v>0</v>
      </c>
      <c r="DQ26" s="436">
        <f ca="1">IF(DJ26&gt;$CR26,$CR26,DJ26)</f>
        <v>0</v>
      </c>
      <c r="DR26" s="437">
        <f ca="1">DQ26*F26</f>
        <v>0</v>
      </c>
      <c r="DS26" s="426">
        <f ca="1">OFFSET($CH$9,CL26-1,-15,1,1)</f>
        <v>0</v>
      </c>
      <c r="DT26" s="426">
        <f t="shared" ca="1" si="1"/>
        <v>0</v>
      </c>
      <c r="DU26" s="188">
        <f ca="1">IF(F26&lt;OFFSET($BM$9,DT26-1,0,1,1),0,IF(F26&lt;OFFSET($BN$9,DT26-1,0,1,1),((F26-OFFSET($BM$9,DT26-1,0,1,1))*OFFSET($CH$9,DT26-1,0,1,1))+OFFSET($BO$9,DT26-1,CQ26,1,1),IF(F26&lt;OFFSET($BN$9,DT26+0,0,1,1),((F26-OFFSET($BM$9,DT26+0,0,1,1))*OFFSET($CH$9,DT26+0,0,1,1))+OFFSET($BO$9,DT26+0,CQ26,1,1),IF(F26&lt;OFFSET($BN$9,DT26+1,0,1,1),((F26-OFFSET($BM$9,DT26+1,0,1,1))*OFFSET($CH$9,DT26+1,0,1,1))+OFFSET($BO$9,DT26+1,CQ26,1,1),IF(F26&lt;OFFSET($BN$9,DT26+2,0,1,1),((F26-OFFSET($BM$9,DT26+2,0,1,1))*OFFSET($CH$9,DT26+2,0,1,1))+OFFSET($BO$9,DT26+2,CQ26,1,1),IF(F26&lt;OFFSET($BN$9,DT26+3,0,1,1),((F26-OFFSET($BM$9,DT26+3,0,1,1))*OFFSET($CH$9,DT26+3,0,1,1))+OFFSET($BO$9,DT26+3,CQ26,1,1),0))))))</f>
        <v>0</v>
      </c>
      <c r="DV26" s="51">
        <f ca="1">IF($F26&lt;OFFSET($BM$9,$DT26-1,0,1,1),0,IF($F26&lt;OFFSET($BN$9,$DT26-1,0,1,1),IF(AND($H26&gt;2.4,Z26&lt;&gt;"e",Z26&lt;&gt;"f"),DZ26*2.4/$H26,DZ26),IF($F26&lt;OFFSET($BN$9,$DT26+0,0,1,1),IF(AND($H26&gt;2.4,Z26&lt;&gt;"e",Z26&lt;&gt;"f"),DZ26*2.4/$H26,DZ26),IF($F26&lt;OFFSET($BN$9,$DT26+1,0,1,1),IF(AND($H26&gt;2.4,Z26&lt;&gt;"e",Z26&lt;&gt;"f"),DZ26*2.4/$H26,DZ26),IF($F26&lt;OFFSET($BN$9,$DT26+2,0,1,1),IF(AND($H26&gt;2.4,Z26&lt;&gt;"e",Z26&lt;&gt;"f"),DZ26*2.4/$H26,DZ26),IF($F26&lt;OFFSET($BN$9,$DT26+3,0,1,1),IF(AND($H26&gt;2.4,Z26&lt;&gt;"e",Z26&lt;&gt;"f"),DZ26*2.4/$H26,DZ26),0)))))*COS(RADIANS($G26)))</f>
        <v>0</v>
      </c>
      <c r="DW26" s="188">
        <f ca="1">IF(F26&lt;OFFSET($BM$9,DT26-1,0,1,1),0,IF(F26&lt;OFFSET($BN$9,DT26-1,0,1,1),((F26-OFFSET($BM$9,DT26-1,0,1,1))*OFFSET($CI$9,DT26-1,0,1,1))+OFFSET($BP$9,DT26-1,CQ26,1,1),IF(F26&lt;OFFSET($BN$9,DT26+0,0,1,1),((F26-OFFSET($BM$9,DT26+0,0,1,1))*OFFSET($CI$9,DT26+0,0,1,1))+OFFSET($BP$9,DT26+0,CQ26,1,1),IF(F26&lt;OFFSET($BN$9,DT26+1,0,1,1),((F26-OFFSET($BM$9,DT26+1,0,1,1))*OFFSET($CI$9,DT26+1,0,1,1))+OFFSET($BP$9,DT26+1,CQ26,1,1),IF(F26&lt;OFFSET($BN$9,DT26+2,0,1,1),((F26-OFFSET($BM$9,DT26+2,0,1,1))*OFFSET($CI$9,DT26+2,0,1,1))+OFFSET($BP$9,DT26+2,CQ26,1,1),IF(F26&lt;OFFSET($BN$9,DT26+3,0,1,1),((F26-OFFSET($BM$9,DT26+3,0,1,1))*OFFSET($CI$9,DT26+3,0,1,1))+OFFSET($BP$9,DT26+3,CQ26,1,1),0))))))</f>
        <v>0</v>
      </c>
      <c r="DX26" s="51">
        <f ca="1">IF($F26&lt;OFFSET($BM$9,$DT26-1,0,1,1),0,IF($F26&lt;OFFSET($BN$9,$DT26-1,0,1,1),IF(AND($H26&gt;2.4,Z26&lt;&gt;"e",Z26&lt;&gt;"f"),EB26*2.4/$H26,EB26),IF($F26&lt;OFFSET($BN$9,$DT26+0,0,1,1),IF(AND($H26&gt;2.4,Z26&lt;&gt;"e",Z26&lt;&gt;"f"),EB26*2.4/$H26,EB26),IF($F26&lt;OFFSET($BN$9,$DT26+1,0,1,1),IF(AND($H26&gt;2.4,Z26&lt;&gt;"e",Z26&lt;&gt;"f"),EB26*2.4/$H26,EB26),IF($F26&lt;OFFSET($BN$9,$DT26+2,0,1,1),IF(AND($H26&gt;2.4,Z26&lt;&gt;"e",Z26&lt;&gt;"f"),EB26*2.4/$H26,EB26),IF($F26&lt;OFFSET($BN$9,$DT26+3,0,1,1),IF(AND($H26&gt;2.4,Z26&lt;&gt;"e",Z26&lt;&gt;"f"),EB26*2.4/$H26,EB26),0)))))*COS(RADIANS($G26)))</f>
        <v>0</v>
      </c>
      <c r="DY26" s="188"/>
      <c r="DZ26" s="188">
        <f ca="1">IF(DU26&gt;$CR26,$CR26,DU26)</f>
        <v>0</v>
      </c>
      <c r="EA26" s="188"/>
      <c r="EB26" s="188">
        <f ca="1">IF(DW26&gt;$CR26,$CR26,DW26)</f>
        <v>0</v>
      </c>
      <c r="EC26" s="435">
        <f ca="1">IF(DV26&gt;$CR26,$CR26,DV26)</f>
        <v>0</v>
      </c>
      <c r="ED26" s="435">
        <f ca="1">EC26*F26</f>
        <v>0</v>
      </c>
      <c r="EE26" s="436">
        <f ca="1">IF(DX26&gt;$CR26,$CR26,DX26)</f>
        <v>0</v>
      </c>
      <c r="EF26" s="437">
        <f ca="1">EE26*F26</f>
        <v>0</v>
      </c>
      <c r="EG26" s="613" t="str">
        <f>IF(D26=BG$12,BG$12,"")</f>
        <v/>
      </c>
      <c r="EH26" s="614" t="str">
        <f>IF(D26=BG$13,BG$13,"")</f>
        <v/>
      </c>
      <c r="EI26" s="611">
        <f>IF(EG26=BG$12,M26,0)</f>
        <v>0</v>
      </c>
      <c r="EJ26" s="451">
        <f>IF(EG26=BG$12,O26,0)</f>
        <v>0</v>
      </c>
      <c r="EK26" s="451">
        <f>IF(EH26=BG$13,M26,0)</f>
        <v>0</v>
      </c>
      <c r="EL26" s="612">
        <f>IF(EH26=BG$13,O26,0)</f>
        <v>0</v>
      </c>
      <c r="EM26" s="426" t="str">
        <f ca="1">IF(AND(Z26&lt;&gt;"t",Z26&lt;&gt;"f"),"",IF(AND(EN26=$BH$11,K26&lt;&gt;EN26),EM$4,IF(AND(EN26=$BH$12,K26=$BH$13),EM$4,IF(AND(EN26=$BH$12,K26=$BH$14),EM$4,IF(AND(EN26=$BH$13,K26=$BH$14),$EM$4,IF(EN26=$BH$14,$EM$4,""))))))</f>
        <v/>
      </c>
      <c r="EN26" s="489" t="str">
        <f>BG$24</f>
        <v>No Floor</v>
      </c>
      <c r="EO26" s="426" t="str">
        <f>K26</f>
        <v xml:space="preserve"> </v>
      </c>
      <c r="EP26" s="497" t="str">
        <f ca="1">IF(AND(Z26&lt;&gt;"t",Z26&lt;&gt;"f"),"",IF(AND(EN26=$BH$14,K26&lt;&gt;EN26),EP$4,IF(AND(EN26=$BH$13,K26=$BH$12),EP$4,IF(AND(EN26=$BH$13,K26=$BH$11),EP$4,IF(AND(EN26=$BH$12,K26=$BH$11),$EP$4,IF(EN26=$BH$11,"Earth",""))))))</f>
        <v/>
      </c>
      <c r="EQ26" s="430" t="str">
        <f ca="1">IF(Z26&lt;&gt;"t","",IF(EQ$5=2,IF(K26&lt;&gt;BH$11,EQ$7," ")))</f>
        <v/>
      </c>
      <c r="ER26" s="439" t="str">
        <f ca="1">IF(H26=0," ",H26)</f>
        <v xml:space="preserve"> </v>
      </c>
      <c r="ES26" s="440" t="str">
        <f ca="1">IF(ER26&lt;&gt;" ",IF(ER26&lt;&gt;ER$7,"Changed",""),"")</f>
        <v/>
      </c>
      <c r="ET26" s="440">
        <f t="shared" ca="1" si="20"/>
        <v>0</v>
      </c>
      <c r="EU26" s="426" t="str">
        <f ca="1">IF(I26=" "," ",IF(F26&lt;OFFSET($BM$9,CL26-1,0,1,1),1,""))</f>
        <v xml:space="preserve"> </v>
      </c>
      <c r="EW26" s="427"/>
      <c r="EY26" s="421"/>
    </row>
    <row r="27" spans="2:155" ht="17.100000000000001" customHeight="1" thickBot="1">
      <c r="B27" s="689" t="s">
        <v>246</v>
      </c>
      <c r="C27" s="684" t="str">
        <f>IF(OR(F27=0,I27="",I27=" ")," ",$V27)</f>
        <v xml:space="preserve"> </v>
      </c>
      <c r="D27" s="1361"/>
      <c r="E27" s="1360"/>
      <c r="F27" s="202"/>
      <c r="G27" s="1416"/>
      <c r="H27" s="1417" t="str">
        <f ca="1">IF(OR(F27=0,Z27="E",Z27="f")," ",'Project Demand'!E$55)</f>
        <v xml:space="preserve"> </v>
      </c>
      <c r="I27" s="631" t="str">
        <f>IF($I$6&lt;&gt;$BG$8," ",AB27)</f>
        <v xml:space="preserve"> </v>
      </c>
      <c r="J27" s="44" t="str">
        <f ca="1">IF(OR(I27=" ",I27="")," ",OFFSET($BO$9,CL27-1,0-4,1,1))</f>
        <v xml:space="preserve"> </v>
      </c>
      <c r="K27" s="55" t="str">
        <f>IF(OR(I27=" ",I27="")," ",IF(OR(Z27="e",Z27="h"),"SD",IF(BG$24=BH$11,BH$13,BG$24)))</f>
        <v xml:space="preserve"> </v>
      </c>
      <c r="L27" s="49">
        <f ca="1">CW27</f>
        <v>0</v>
      </c>
      <c r="M27" s="49">
        <f ca="1">CY27</f>
        <v>0</v>
      </c>
      <c r="N27" s="50">
        <f t="shared" ca="1" si="24"/>
        <v>0</v>
      </c>
      <c r="O27" s="126">
        <f t="shared" ca="1" si="24"/>
        <v>0</v>
      </c>
      <c r="P27" s="140"/>
      <c r="Q27" s="752" t="str">
        <f ca="1">IF(AND(OR(Z27="t",Z27="f"),K27=$BH$11),"No Floor!  Change Floor Type",IF(OR(I27=" ",I27="")," ",IF(F27&lt;OFFSET($BM$9,CL27-1,0,1,1),"check L(m)",DE27&amp;IF(AND(DP27&gt;=CY27,DR27&gt;=DB27),IF(AND(ED27&gt;=DP27,EF27&gt;=DR27),CONCATENATE(DS27," will provide same result"),CONCATENATE(CO27," will provide same result")),IF((DP27&gt;=CY27),CONCATENATE(CO27," provides same result in WIND"),IF((DR27&gt;=DB27),CONCATENATE(CO27," provides same result in EQ"),""))))))&amp;IF(ISERROR(FIND("pile",I27,1)),"",IF(INT(F27)&lt;&gt;F27,"Pile!  Use Whole Numbers Only",""))</f>
        <v xml:space="preserve"> </v>
      </c>
      <c r="R27" s="52"/>
      <c r="S27" s="1372"/>
      <c r="T27" s="1372"/>
      <c r="U27" s="1377"/>
      <c r="V27" s="52" t="str">
        <f ca="1">IF(AND(B$5=$BF$9,OR(I27=BH$16,I27=BH$17))," ",IF(ISNUMBER(B$26),(CONCATENATE(B$26,".",W27)),(CONCATENATE(B$26,W27))))</f>
        <v>D0</v>
      </c>
      <c r="W27" s="9">
        <f ca="1">W26+X27</f>
        <v>0</v>
      </c>
      <c r="X27" s="9">
        <f>IF(AND(B$5=$BF$9,OR($I27=$BH$16,$I27=$BH$17,$I27=" ",$I27="",$F27=0)),0,IF(OR($I27=" ",$I27="",$F27=0),0,1))</f>
        <v>0</v>
      </c>
      <c r="Y27" s="896"/>
      <c r="Z27" s="52" t="str">
        <f ca="1">IF(I27=" "," ",OFFSET($BM$9,$CL27-1,8,1,1))</f>
        <v xml:space="preserve"> </v>
      </c>
      <c r="AA27" s="51" t="str">
        <f>IF(G27&gt;=45,"WA","")</f>
        <v/>
      </c>
      <c r="AB27" s="1364" t="str">
        <f>IF(OR(E27=" ",E27="")," ",(IF(F27&lt;&gt;"",IF(OR(D27=$BG$12,D27=$BG$13),IF(E27&lt;&gt;$BG$17,$BF$20,$BF$21),IF(E27&lt;&gt;$BG$17,$BF$20,$BF$21))," ")))</f>
        <v xml:space="preserve"> </v>
      </c>
      <c r="AC27" s="1"/>
      <c r="AJ27" s="29"/>
      <c r="AK27" s="30"/>
      <c r="AL27" s="30"/>
      <c r="AM27" s="32"/>
      <c r="AN27" s="32"/>
      <c r="AO27" s="32"/>
      <c r="AP27" s="32"/>
      <c r="AQ27" s="32"/>
      <c r="AR27" s="32"/>
      <c r="AS27" s="32"/>
      <c r="AT27" s="32"/>
      <c r="AU27" s="478"/>
      <c r="AV27" s="478"/>
      <c r="AW27" s="478"/>
      <c r="AX27" s="478"/>
      <c r="AY27" s="478"/>
      <c r="AZ27" s="478"/>
      <c r="BA27" s="478"/>
      <c r="BB27" s="478"/>
      <c r="BC27" s="478"/>
      <c r="BD27" s="2648"/>
      <c r="BF27" s="598" t="str">
        <f>Table!AI79</f>
        <v>ESSH</v>
      </c>
      <c r="BG27" s="965" t="s">
        <v>13</v>
      </c>
      <c r="BH27" s="964" t="s">
        <v>367</v>
      </c>
      <c r="BI27" s="759"/>
      <c r="BJ27" s="897">
        <f t="shared" si="5"/>
        <v>19</v>
      </c>
      <c r="BK27" s="769" t="str">
        <f t="shared" si="6"/>
        <v xml:space="preserve">  </v>
      </c>
      <c r="BL27" s="771" t="str">
        <f t="shared" si="7"/>
        <v>Custom16</v>
      </c>
      <c r="BM27" s="969">
        <f t="shared" si="8"/>
        <v>9.9999999999999996E-76</v>
      </c>
      <c r="BN27" s="455">
        <v>999</v>
      </c>
      <c r="BO27" s="455">
        <f t="shared" si="9"/>
        <v>0</v>
      </c>
      <c r="BP27" s="925">
        <f t="shared" si="10"/>
        <v>0</v>
      </c>
      <c r="BR27" s="764"/>
      <c r="BS27" s="455"/>
      <c r="BT27" s="455" t="str">
        <f t="shared" si="11"/>
        <v>B</v>
      </c>
      <c r="BU27" s="925" t="str">
        <f t="shared" si="12"/>
        <v>T</v>
      </c>
      <c r="BV27" s="483" t="str">
        <f t="shared" si="13"/>
        <v>Custom16</v>
      </c>
      <c r="BW27" s="910">
        <f t="shared" si="22"/>
        <v>19</v>
      </c>
      <c r="BX27" s="924" t="str">
        <f t="shared" si="14"/>
        <v>Single</v>
      </c>
      <c r="CH27" s="764">
        <f t="shared" si="15"/>
        <v>0</v>
      </c>
      <c r="CI27" s="925">
        <f t="shared" si="16"/>
        <v>0</v>
      </c>
      <c r="CJ27" s="759"/>
      <c r="CK27" s="188"/>
      <c r="CL27" s="979">
        <f>VLOOKUP(I27,Prodlink,2,0)</f>
        <v>0</v>
      </c>
      <c r="CN27" s="497">
        <f t="shared" ca="1" si="2"/>
        <v>0</v>
      </c>
      <c r="CO27" s="497">
        <f ca="1">OFFSET($CH$9,CL27-1,-15,1,1)</f>
        <v>0</v>
      </c>
      <c r="CQ27" s="51">
        <v>0</v>
      </c>
      <c r="CR27" s="51">
        <f ca="1">IF(AND(Z27&lt;&gt;"t",Z27&lt;&gt;"f"),10000,IF(K27=$BH$11,0,IF(K27=$BH$12,$BH$23,IF(K27=$BH$13,$BH$24,10000))))</f>
        <v>10000</v>
      </c>
      <c r="CS27" s="51">
        <f ca="1">IF(F27&lt;OFFSET($BM$9,CL27-1,0,1,1),0,IF(F27&lt;OFFSET($BN$9,CL27-1,0,1,1),((F27-OFFSET($BM$9,CL27-1,0,1,1))*OFFSET($CH$9,CL27-1,0,1,1))+OFFSET($BO$9,CL27-1,CQ27,1,1),IF(F27&lt;OFFSET($BN$9,CL27+0,0,1,1),((F27-OFFSET($BM$9,CL27+0,0,1,1))*OFFSET($CH$9,CL27+0,0,1,1))+OFFSET($BO$9,CL27+0,CQ27,1,1),IF(F27&lt;OFFSET($BN$9,CL27+1,0,1,1),((F27-OFFSET($BM$9,CL27+1,0,1,1))*OFFSET($CH$9,CL27+1,0,1,1))+OFFSET($BO$9,CL27+1,CQ27,1,1),IF(F27&lt;OFFSET($BN$9,CL27+2,0,1,1),((F27-OFFSET($BM$9,CL27+2,0,1,1))*OFFSET($CH$9,CL27+2,0,1,1))+OFFSET($BO$9,CL27+2,CQ27,1,1),IF(F27&lt;OFFSET($BN$9,CL27+3,0,1,1),((F27-OFFSET($BM$9,CL27+3,0,1,1))*OFFSET($CH$9,CL27+3,0,1,1))+OFFSET($BO$9,CL27+3,CQ27,1,1),0))))))</f>
        <v>0</v>
      </c>
      <c r="CT27" s="51">
        <f ca="1">IF($F27&lt;OFFSET($BM$9,$CL27-1,0,1,1),0,IF($F27&lt;OFFSET($BN$9,$CL27-1,0,1,1),IF(AND($H27&gt;2.4,Z27&lt;&gt;"e",Z27&lt;&gt;"f"),CX27*2.4/$H27,CX27),IF($F27&lt;OFFSET($BN$9,$CL27+0,0,1,1),IF(AND($H27&gt;2.4,Z27&lt;&gt;"e",Z27&lt;&gt;"f"),CX27*2.4/$H27,CX27),IF($F27&lt;OFFSET($BN$9,$CL27+1,0,1,1),IF(AND($H27&gt;2.4,Z27&lt;&gt;"e",Z27&lt;&gt;"f"),CX27*2.4/$H27,CX27),IF($F27&lt;OFFSET($BN$9,CL27+2,0,1,1),IF(AND($H27&gt;2.4,Z27&lt;&gt;"e",Z27&lt;&gt;"f"),CX27*2.4/$H27,CX27),IF($F27&lt;OFFSET($BN$9,CL27+3,0,1,1),IF(AND($H27&gt;2.4,Z27&lt;&gt;"e",Z27&lt;&gt;"f"),CX27*2.4/$H27,CX27),0)))))*COS(RADIANS($G27)))</f>
        <v>0</v>
      </c>
      <c r="CU27" s="51">
        <f ca="1">IF(F27&lt;OFFSET($BM$9,CL27-1,0,1,1),0,IF(F27&lt;OFFSET($BN$9,CL27-1,0,1,1),((F27-OFFSET($BM$9,CL27-1,0,1,1))*OFFSET($CI$9,CL27-1,0,1,1))+OFFSET($BP$9,CL27-1,CQ27,1,1),IF(F27&lt;OFFSET($BN$9,CL27+0,0,1,1),((F27-OFFSET($BM$9,CL27+0,0,1,1))*OFFSET($CI$9,CL27+0,0,1,1))+OFFSET($BP$9,CL27+0,CQ27,1,1),IF(F27&lt;OFFSET($BN$9,CL27+1,0,1,1),((F27-OFFSET($BM$9,CL27+1,0,1,1))*OFFSET($CI$9,CL27+1,0,1,1))+OFFSET($BP$9,CL27+1,CQ27,1,1),IF(F27&lt;OFFSET($BN$9,CL27+2,0,1,1),((F27-OFFSET($BM$9,CL27+2,0,1,1))*OFFSET($CI$9,CL27+2,0,1,1))+OFFSET($BP$9,CL27+2,CQ27,1,1),IF(F27&lt;OFFSET($BN$9,CL27+3,0,1,1),((F27-OFFSET($BM$9,CL27+3,0,1,1))*OFFSET($CI$9,CL27+3,0,1,1))+OFFSET($BP$9,CL27+3,CQ27,1,1),0))))))</f>
        <v>0</v>
      </c>
      <c r="CV27" s="51">
        <f ca="1">IF($F27&lt;OFFSET($BM$9,$CL27-1,0,1,1),0,IF($F27&lt;OFFSET($BN$9,$CL27-1,0,1,1),IF(AND($H27&gt;2.4,Z27&lt;&gt;"e",Z27&lt;&gt;"f"),CZ27*2.4/$H27,CZ27),IF($F27&lt;OFFSET($BN$9,$CL27+0,0,1,1),IF(AND($H27&gt;2.4,Z27&lt;&gt;"e",Z27&lt;&gt;"f"),CZ27*2.4/$H27,CZ27),IF($F27&lt;OFFSET($BN$9,$CL27+1,0,1,1),IF(AND($H27&gt;2.4,Z27&lt;&gt;"e",Z27&lt;&gt;"f"),CZ27*2.4/$H27,CZ27),IF($F27&lt;OFFSET($BN$9,$CL27+2,0,1,1),IF(AND($H27&gt;2.4,Z27&lt;&gt;"e",Z27&lt;&gt;"f"),CZ27*2.4/$H27,CZ27),IF($F27&lt;OFFSET($BN$9,$CL27+3,0,1,1),IF(AND($H27&gt;2.4,Z27&lt;&gt;"e",Z27&lt;&gt;"f"),CZ27*2.4/$H27,CZ27),0)))))*COS(RADIANS($G27)))</f>
        <v>0</v>
      </c>
      <c r="CW27" s="51">
        <f t="shared" ca="1" si="17"/>
        <v>0</v>
      </c>
      <c r="CX27" s="51">
        <f ca="1">IF(CS27&gt;$CR27,$CR27,CS27)</f>
        <v>0</v>
      </c>
      <c r="CY27" s="51">
        <f ca="1">CW27*F27</f>
        <v>0</v>
      </c>
      <c r="CZ27" s="51">
        <f ca="1">IF($CU27&gt;$CR27,$CR27,$CU27)</f>
        <v>0</v>
      </c>
      <c r="DA27" s="51">
        <f ca="1">IF(CV27&gt;CR27,CR27,CV27)</f>
        <v>0</v>
      </c>
      <c r="DB27" s="51">
        <f ca="1">DA27*F27</f>
        <v>0</v>
      </c>
      <c r="DC27" s="993">
        <v>1</v>
      </c>
      <c r="DD27" s="758" t="str">
        <f>IF(OR(D27=BG$12,D27=BG$13),"External",IF(D27=BG$14,"Internal"," "))</f>
        <v xml:space="preserve"> </v>
      </c>
      <c r="DE27" s="51" t="str">
        <f t="shared" ca="1" si="18"/>
        <v/>
      </c>
      <c r="DF27" s="52" t="str">
        <f t="shared" ca="1" si="19"/>
        <v xml:space="preserve"> </v>
      </c>
      <c r="DG27" s="51">
        <f ca="1">IF(F27&lt;OFFSET($BM$9,CN27-1,0,1,1),0,IF(F27&lt;OFFSET($BN$9,CN27-1,0,1,1),((F27-OFFSET($BM$9,CN27-1,0,1,1))*OFFSET($CH$9,CN27-1,0,1,1))+OFFSET($BO$9,CN27-1,CQ27,1,1),IF(F27&lt;OFFSET($BN$9,CN27+0,0,1,1),((F27-OFFSET($BM$9,CN27+0,0,1,1))*OFFSET($CH$9,CN27+0,0,1,1))+OFFSET($BO$9,CN27+0,CQ27,1,1),IF(F27&lt;OFFSET($BN$9,CN27+1,0,1,1),((F27-OFFSET($BM$9,CN27+1,0,1,1))*OFFSET($CH$9,CN27+1,0,1,1))+OFFSET($BO$9,CN27+1,CQ27,1,1),IF(F27&lt;OFFSET($BN$9,CN27+2,0,1,1),((F27-OFFSET($BM$9,CN27+2,0,1,1))*OFFSET($CH$9,CN27+2,0,1,1))+OFFSET($BO$9,CN27+2,CQ27,1,1),IF(F27&lt;OFFSET($BN$9,CN27+3,0,1,1),((F27-OFFSET($BM$9,CN27+3,0,1,1))*OFFSET($CH$9,CN27+3,0,1,1))+OFFSET($BO$9,CN27+3,CQ27,1,1),0))))))</f>
        <v>0</v>
      </c>
      <c r="DH27" s="51">
        <f ca="1">IF($F27&lt;OFFSET($BM$9,$CN27-1,0,1,1),0,IF($F27&lt;OFFSET($BN$9,$CN27-1,0,1,1),IF(AND($H27&gt;2.4,Z27&lt;&gt;"e",Z27&lt;&gt;"f"),DL27*2.4/$H27,DL27),IF($F27&lt;OFFSET($BN$9,$CN27+0,0,1,1),IF(AND($H27&gt;2.4,Z27&lt;&gt;"e",Z27&lt;&gt;"f"),DL27*2.4/$H27,DL27),IF($F27&lt;OFFSET($BN$9,$CN27+1,0,1,1),IF(AND($H27&gt;2.4,Z27&lt;&gt;"e",Z27&lt;&gt;"f"),DL27*2.4/$H27,DL27),IF($F27&lt;OFFSET($BN$9,$CN27+2,0,1,1),IF(AND($H27&gt;2.4,Z27&lt;&gt;"e",Z27&lt;&gt;"f"),DL27*2.4/$H27,DL27),IF($F27&lt;OFFSET($BN$9,$CN27+3,0,1,1),IF(AND($H27&gt;2.4,Z27&lt;&gt;"e",Z27&lt;&gt;"f"),DL27*2.4/$H27,DL27),0)))))*COS(RADIANS($G27)))</f>
        <v>0</v>
      </c>
      <c r="DI27" s="51">
        <f ca="1">IF(F27&lt;OFFSET($BM$9,CN27-1,0,1,1),0,IF(F27&lt;OFFSET($BN$9,CN27-1,0,1,1),((F27-OFFSET($BM$9,CN27-1,0,1,1))*OFFSET($CI$9,CN27-1,0,1,1))+OFFSET($BP$9,CN27-1,CQ27,1,1),IF(F27&lt;OFFSET($BN$9,CN27+0,0,1,1),((F27-OFFSET($BM$9,CN27+0,0,1,1))*OFFSET($CI$9,CN27+0,0,1,1))+OFFSET($BP$9,CN27+0,CQ27,1,1),IF(F27&lt;OFFSET($BN$9,CN27+1,0,1,1),((F27-OFFSET($BM$9,CN27+1,0,1,1))*OFFSET($CI$9,CN27+1,0,1,1))+OFFSET($BP$9,CN27+1,CQ27,1,1),IF(F27&lt;OFFSET($BN$9,CN27+2,0,1,1),((F27-OFFSET($BM$9,CN27+2,0,1,1))*OFFSET($CI$9,CN27+2,0,1,1))+OFFSET($BP$9,CN27+2,CQ27,1,1),IF(F27&lt;OFFSET($BN$9,CN27+3,0,1,1),((F27-OFFSET($BM$9,CN27+3,0,1,1))*OFFSET($CI$9,CN27+3,0,1,1))+OFFSET($BP$9,CN27+3,CQ27,1,1),0))))))</f>
        <v>0</v>
      </c>
      <c r="DJ27" s="51">
        <f ca="1">IF($F27&lt;OFFSET($BM$9,$CN27-1,0,1,1),0,IF($F27&lt;OFFSET($BN$9,$CN27-1,0,1,1),IF(AND($H27&gt;2.4,Z27&lt;&gt;"e",Z27&lt;&gt;"f"),DN27*2.4/$H27,DN27),IF($F27&lt;OFFSET($BN$9,$CN27+0,0,1,1),IF(AND($H27&gt;2.4,Z27&lt;&gt;"e",Z27&lt;&gt;"f"),DN27*2.4/$H27,DN27),IF($F27&lt;OFFSET($BN$9,$CN27+1,0,1,1),IF(AND($H27&gt;2.4,Z27&lt;&gt;"e",Z27&lt;&gt;"f"),DN27*2.4/$H27,DN27),IF($F27&lt;OFFSET($BN$9,$CN27+2,0,1,1),IF(AND($H27&gt;2.4,Z27&lt;&gt;"e",Z27&lt;&gt;"f"),DN27*2.4/$H27,DN27),IF($F27&lt;OFFSET($BN$9,$CN27+3,0,1,1),IF(AND($H27&gt;2.4,Z27&lt;&gt;"e",Z27&lt;&gt;"f"),DN27*2.4/$H27,DN27),0)))))*COS(RADIANS($G27)))</f>
        <v>0</v>
      </c>
      <c r="DK27" s="51"/>
      <c r="DL27" s="51">
        <f ca="1">IF(DG27&gt;$CR27,$CR27,DG27)</f>
        <v>0</v>
      </c>
      <c r="DM27" s="51"/>
      <c r="DN27" s="51">
        <f ca="1">IF(DI27&gt;$CR27,$CR27,DI27)</f>
        <v>0</v>
      </c>
      <c r="DO27" s="435">
        <f ca="1">IF(DH27&gt;$CR27,$CR27,DH27)</f>
        <v>0</v>
      </c>
      <c r="DP27" s="435">
        <f ca="1">DO27*F27</f>
        <v>0</v>
      </c>
      <c r="DQ27" s="436">
        <f ca="1">IF(DJ27&gt;$CR27,$CR27,DJ27)</f>
        <v>0</v>
      </c>
      <c r="DR27" s="437">
        <f ca="1">DQ27*F27</f>
        <v>0</v>
      </c>
      <c r="DS27" s="426">
        <f ca="1">OFFSET($CH$9,CL27-1,-15,1,1)</f>
        <v>0</v>
      </c>
      <c r="DT27" s="426">
        <f t="shared" ca="1" si="1"/>
        <v>0</v>
      </c>
      <c r="DU27" s="188">
        <f ca="1">IF(F27&lt;OFFSET($BM$9,DT27-1,0,1,1),0,IF(F27&lt;OFFSET($BN$9,DT27-1,0,1,1),((F27-OFFSET($BM$9,DT27-1,0,1,1))*OFFSET($CH$9,DT27-1,0,1,1))+OFFSET($BO$9,DT27-1,CQ27,1,1),IF(F27&lt;OFFSET($BN$9,DT27+0,0,1,1),((F27-OFFSET($BM$9,DT27+0,0,1,1))*OFFSET($CH$9,DT27+0,0,1,1))+OFFSET($BO$9,DT27+0,CQ27,1,1),IF(F27&lt;OFFSET($BN$9,DT27+1,0,1,1),((F27-OFFSET($BM$9,DT27+1,0,1,1))*OFFSET($CH$9,DT27+1,0,1,1))+OFFSET($BO$9,DT27+1,CQ27,1,1),IF(F27&lt;OFFSET($BN$9,DT27+2,0,1,1),((F27-OFFSET($BM$9,DT27+2,0,1,1))*OFFSET($CH$9,DT27+2,0,1,1))+OFFSET($BO$9,DT27+2,CQ27,1,1),IF(F27&lt;OFFSET($BN$9,DT27+3,0,1,1),((F27-OFFSET($BM$9,DT27+3,0,1,1))*OFFSET($CH$9,DT27+3,0,1,1))+OFFSET($BO$9,DT27+3,CQ27,1,1),0))))))</f>
        <v>0</v>
      </c>
      <c r="DV27" s="51">
        <f ca="1">IF($F27&lt;OFFSET($BM$9,$DT27-1,0,1,1),0,IF($F27&lt;OFFSET($BN$9,$DT27-1,0,1,1),IF(AND($H27&gt;2.4,Z27&lt;&gt;"e",Z27&lt;&gt;"f"),DZ27*2.4/$H27,DZ27),IF($F27&lt;OFFSET($BN$9,$DT27+0,0,1,1),IF(AND($H27&gt;2.4,Z27&lt;&gt;"e",Z27&lt;&gt;"f"),DZ27*2.4/$H27,DZ27),IF($F27&lt;OFFSET($BN$9,$DT27+1,0,1,1),IF(AND($H27&gt;2.4,Z27&lt;&gt;"e",Z27&lt;&gt;"f"),DZ27*2.4/$H27,DZ27),IF($F27&lt;OFFSET($BN$9,$DT27+2,0,1,1),IF(AND($H27&gt;2.4,Z27&lt;&gt;"e",Z27&lt;&gt;"f"),DZ27*2.4/$H27,DZ27),IF($F27&lt;OFFSET($BN$9,$DT27+3,0,1,1),IF(AND($H27&gt;2.4,Z27&lt;&gt;"e",Z27&lt;&gt;"f"),DZ27*2.4/$H27,DZ27),0)))))*COS(RADIANS($G27)))</f>
        <v>0</v>
      </c>
      <c r="DW27" s="188">
        <f ca="1">IF(F27&lt;OFFSET($BM$9,DT27-1,0,1,1),0,IF(F27&lt;OFFSET($BN$9,DT27-1,0,1,1),((F27-OFFSET($BM$9,DT27-1,0,1,1))*OFFSET($CI$9,DT27-1,0,1,1))+OFFSET($BP$9,DT27-1,CQ27,1,1),IF(F27&lt;OFFSET($BN$9,DT27+0,0,1,1),((F27-OFFSET($BM$9,DT27+0,0,1,1))*OFFSET($CI$9,DT27+0,0,1,1))+OFFSET($BP$9,DT27+0,CQ27,1,1),IF(F27&lt;OFFSET($BN$9,DT27+1,0,1,1),((F27-OFFSET($BM$9,DT27+1,0,1,1))*OFFSET($CI$9,DT27+1,0,1,1))+OFFSET($BP$9,DT27+1,CQ27,1,1),IF(F27&lt;OFFSET($BN$9,DT27+2,0,1,1),((F27-OFFSET($BM$9,DT27+2,0,1,1))*OFFSET($CI$9,DT27+2,0,1,1))+OFFSET($BP$9,DT27+2,CQ27,1,1),IF(F27&lt;OFFSET($BN$9,DT27+3,0,1,1),((F27-OFFSET($BM$9,DT27+3,0,1,1))*OFFSET($CI$9,DT27+3,0,1,1))+OFFSET($BP$9,DT27+3,CQ27,1,1),0))))))</f>
        <v>0</v>
      </c>
      <c r="DX27" s="51">
        <f ca="1">IF($F27&lt;OFFSET($BM$9,$DT27-1,0,1,1),0,IF($F27&lt;OFFSET($BN$9,$DT27-1,0,1,1),IF(AND($H27&gt;2.4,Z27&lt;&gt;"e",Z27&lt;&gt;"f"),EB27*2.4/$H27,EB27),IF($F27&lt;OFFSET($BN$9,$DT27+0,0,1,1),IF(AND($H27&gt;2.4,Z27&lt;&gt;"e",Z27&lt;&gt;"f"),EB27*2.4/$H27,EB27),IF($F27&lt;OFFSET($BN$9,$DT27+1,0,1,1),IF(AND($H27&gt;2.4,Z27&lt;&gt;"e",Z27&lt;&gt;"f"),EB27*2.4/$H27,EB27),IF($F27&lt;OFFSET($BN$9,$DT27+2,0,1,1),IF(AND($H27&gt;2.4,Z27&lt;&gt;"e",Z27&lt;&gt;"f"),EB27*2.4/$H27,EB27),IF($F27&lt;OFFSET($BN$9,$DT27+3,0,1,1),IF(AND($H27&gt;2.4,Z27&lt;&gt;"e",Z27&lt;&gt;"f"),EB27*2.4/$H27,EB27),0)))))*COS(RADIANS($G27)))</f>
        <v>0</v>
      </c>
      <c r="DY27" s="188"/>
      <c r="DZ27" s="188">
        <f ca="1">IF(DU27&gt;$CR27,$CR27,DU27)</f>
        <v>0</v>
      </c>
      <c r="EA27" s="188"/>
      <c r="EB27" s="188">
        <f ca="1">IF(DW27&gt;$CR27,$CR27,DW27)</f>
        <v>0</v>
      </c>
      <c r="EC27" s="435">
        <f ca="1">IF(DV27&gt;$CR27,$CR27,DV27)</f>
        <v>0</v>
      </c>
      <c r="ED27" s="435">
        <f ca="1">EC27*F27</f>
        <v>0</v>
      </c>
      <c r="EE27" s="436">
        <f ca="1">IF(DX27&gt;$CR27,$CR27,DX27)</f>
        <v>0</v>
      </c>
      <c r="EF27" s="437">
        <f ca="1">EE27*F27</f>
        <v>0</v>
      </c>
      <c r="EG27" s="613" t="str">
        <f>IF(D27=BG$12,BG$12,"")</f>
        <v/>
      </c>
      <c r="EH27" s="614" t="str">
        <f>IF(D27=BG$13,BG$13,"")</f>
        <v/>
      </c>
      <c r="EI27" s="611">
        <f>IF(EG27=BG$12,M27,0)</f>
        <v>0</v>
      </c>
      <c r="EJ27" s="451">
        <f>IF(EG27=BG$12,O27,0)</f>
        <v>0</v>
      </c>
      <c r="EK27" s="451">
        <f>IF(EH27=BG$13,M27,0)</f>
        <v>0</v>
      </c>
      <c r="EL27" s="612">
        <f>IF(EH27=BG$13,O27,0)</f>
        <v>0</v>
      </c>
      <c r="EM27" s="426" t="str">
        <f ca="1">IF(AND(Z27&lt;&gt;"t",Z27&lt;&gt;"f"),"",IF(AND(EN27=$BH$11,K27&lt;&gt;EN27),EM$4,IF(AND(EN27=$BH$12,K27=$BH$13),EM$4,IF(AND(EN27=$BH$12,K27=$BH$14),EM$4,IF(AND(EN27=$BH$13,K27=$BH$14),$EM$4,IF(EN27=$BH$14,$EM$4,""))))))</f>
        <v/>
      </c>
      <c r="EN27" s="489" t="str">
        <f>BG$24</f>
        <v>No Floor</v>
      </c>
      <c r="EO27" s="426" t="str">
        <f>K27</f>
        <v xml:space="preserve"> </v>
      </c>
      <c r="EP27" s="497" t="str">
        <f ca="1">IF(AND(Z27&lt;&gt;"t",Z27&lt;&gt;"f"),"",IF(AND(EN27=$BH$14,K27&lt;&gt;EN27),EP$4,IF(AND(EN27=$BH$13,K27=$BH$12),EP$4,IF(AND(EN27=$BH$13,K27=$BH$11),EP$4,IF(AND(EN27=$BH$12,K27=$BH$11),$EP$4,IF(EN27=$BH$11,"Earth",""))))))</f>
        <v/>
      </c>
      <c r="EQ27" s="430" t="str">
        <f ca="1">IF(Z27&lt;&gt;"t","",IF(EQ$5=2,IF(K27&lt;&gt;BH$11,EQ$7," ")))</f>
        <v/>
      </c>
      <c r="ER27" s="439" t="str">
        <f ca="1">IF(H27=0," ",H27)</f>
        <v xml:space="preserve"> </v>
      </c>
      <c r="ES27" s="440" t="str">
        <f ca="1">IF(ER27&lt;&gt;" ",IF(ER27&lt;&gt;ER$7,"Changed",""),"")</f>
        <v/>
      </c>
      <c r="ET27" s="440">
        <f t="shared" ca="1" si="20"/>
        <v>0</v>
      </c>
      <c r="EU27" s="426" t="str">
        <f ca="1">IF(I27=" "," ",IF(F27&lt;OFFSET($BM$9,CL27-1,0,1,1),1,""))</f>
        <v xml:space="preserve"> </v>
      </c>
      <c r="EW27" s="427"/>
      <c r="EY27" s="421"/>
    </row>
    <row r="28" spans="2:155" ht="17.100000000000001" customHeight="1" thickBot="1">
      <c r="B28" s="689" t="s">
        <v>246</v>
      </c>
      <c r="C28" s="684" t="str">
        <f>IF(OR(F28=0,I28="",I28=" ")," ",$V28)</f>
        <v xml:space="preserve"> </v>
      </c>
      <c r="D28" s="1361"/>
      <c r="E28" s="1360"/>
      <c r="F28" s="202"/>
      <c r="G28" s="1416"/>
      <c r="H28" s="1417" t="str">
        <f ca="1">IF(OR(F28=0,Z28="E",Z28="f")," ",'Project Demand'!E$55)</f>
        <v xml:space="preserve"> </v>
      </c>
      <c r="I28" s="631" t="str">
        <f>IF($I$6&lt;&gt;$BG$8," ",AB28)</f>
        <v xml:space="preserve"> </v>
      </c>
      <c r="J28" s="44" t="str">
        <f ca="1">IF(OR(I28=" ",I28="")," ",OFFSET($BO$9,CL28-1,0-4,1,1))</f>
        <v xml:space="preserve"> </v>
      </c>
      <c r="K28" s="55" t="str">
        <f>IF(OR(I28=" ",I28="")," ",IF(OR(Z28="e",Z28="h"),"SD",IF(BG$24=BH$11,BH$13,BG$24)))</f>
        <v xml:space="preserve"> </v>
      </c>
      <c r="L28" s="49">
        <f ca="1">CW28</f>
        <v>0</v>
      </c>
      <c r="M28" s="49">
        <f ca="1">CY28</f>
        <v>0</v>
      </c>
      <c r="N28" s="50">
        <f t="shared" ca="1" si="24"/>
        <v>0</v>
      </c>
      <c r="O28" s="126">
        <f t="shared" ca="1" si="24"/>
        <v>0</v>
      </c>
      <c r="P28" s="140"/>
      <c r="Q28" s="752" t="str">
        <f ca="1">IF(AND(OR(Z28="t",Z28="f"),K28=$BH$11),"No Floor!  Change Floor Type",IF(OR(I28=" ",I28="")," ",IF(F28&lt;OFFSET($BM$9,CL28-1,0,1,1),"check L(m)",DE28&amp;IF(AND(DP28&gt;=CY28,DR28&gt;=DB28),IF(AND(ED28&gt;=DP28,EF28&gt;=DR28),CONCATENATE(DS28," will provide same result"),CONCATENATE(CO28," will provide same result")),IF((DP28&gt;=CY28),CONCATENATE(CO28," provides same result in WIND"),IF((DR28&gt;=DB28),CONCATENATE(CO28," provides same result in EQ"),""))))))&amp;IF(ISERROR(FIND("pile",I28,1)),"",IF(INT(F28)&lt;&gt;F28,"Pile!  Use Whole Numbers Only",""))</f>
        <v xml:space="preserve"> </v>
      </c>
      <c r="R28" s="52"/>
      <c r="S28" s="1372"/>
      <c r="T28" s="1372"/>
      <c r="U28" s="1377"/>
      <c r="V28" s="52" t="str">
        <f ca="1">IF(AND(B$5=$BF$9,OR(I28=BH$16,I28=BH$17))," ",IF(ISNUMBER(B$26),(CONCATENATE(B$26,".",W28)),(CONCATENATE(B$26,W28))))</f>
        <v>D0</v>
      </c>
      <c r="W28" s="9">
        <f ca="1">W27+X28</f>
        <v>0</v>
      </c>
      <c r="X28" s="9">
        <f>IF(AND(B$5=$BF$9,OR($I28=$BH$16,$I28=$BH$17,$I28=" ",$I28="",$F28=0)),0,IF(OR($I28=" ",$I28="",$F28=0),0,1))</f>
        <v>0</v>
      </c>
      <c r="Y28" s="896"/>
      <c r="Z28" s="52" t="str">
        <f ca="1">IF(I28=" "," ",OFFSET($BM$9,$CL28-1,8,1,1))</f>
        <v xml:space="preserve"> </v>
      </c>
      <c r="AA28" s="51" t="str">
        <f>IF(G28&gt;=45,"WA","")</f>
        <v/>
      </c>
      <c r="AB28" s="1364" t="str">
        <f>IF(OR(E28=" ",E28="")," ",(IF(F28&lt;&gt;"",IF(OR(D28=$BG$12,D28=$BG$13),IF(E28&lt;&gt;$BG$17,$BF$20,$BF$21),IF(E28&lt;&gt;$BG$17,$BF$20,$BF$21))," ")))</f>
        <v xml:space="preserve"> </v>
      </c>
      <c r="AC28" s="1"/>
      <c r="AJ28" s="29"/>
      <c r="AK28" s="30"/>
      <c r="AL28" s="30"/>
      <c r="AM28" s="32"/>
      <c r="AN28" s="32"/>
      <c r="AO28" s="32"/>
      <c r="AP28" s="32"/>
      <c r="AQ28" s="32"/>
      <c r="AR28" s="32"/>
      <c r="AS28" s="32"/>
      <c r="AT28" s="32"/>
      <c r="AU28" s="478"/>
      <c r="AV28" s="478"/>
      <c r="AW28" s="478"/>
      <c r="AX28" s="478"/>
      <c r="AY28" s="478"/>
      <c r="AZ28" s="478"/>
      <c r="BA28" s="478"/>
      <c r="BB28" s="478"/>
      <c r="BC28" s="478"/>
      <c r="BD28" s="635"/>
      <c r="BF28" s="598" t="str">
        <f>Table!AI80</f>
        <v>EMSH</v>
      </c>
      <c r="BG28" s="962">
        <f>'Project Demand'!AQ9</f>
        <v>2</v>
      </c>
      <c r="BH28" s="963">
        <f>'Project Demand'!AQ6</f>
        <v>2</v>
      </c>
      <c r="BI28" s="759"/>
      <c r="BJ28" s="897">
        <f t="shared" si="5"/>
        <v>20</v>
      </c>
      <c r="BK28" s="769" t="str">
        <f t="shared" si="6"/>
        <v xml:space="preserve">  </v>
      </c>
      <c r="BL28" s="960" t="str">
        <f t="shared" si="7"/>
        <v>Custom17</v>
      </c>
      <c r="BM28" s="455">
        <f t="shared" si="8"/>
        <v>9.9999999999999996E-76</v>
      </c>
      <c r="BN28" s="455">
        <v>999</v>
      </c>
      <c r="BO28" s="455">
        <f t="shared" si="9"/>
        <v>0</v>
      </c>
      <c r="BP28" s="925">
        <f t="shared" si="10"/>
        <v>0</v>
      </c>
      <c r="BR28" s="764"/>
      <c r="BS28" s="455"/>
      <c r="BT28" s="455" t="str">
        <f t="shared" si="11"/>
        <v>B</v>
      </c>
      <c r="BU28" s="925" t="str">
        <f t="shared" si="12"/>
        <v>T</v>
      </c>
      <c r="BV28" s="483" t="str">
        <f t="shared" si="13"/>
        <v>Custom17</v>
      </c>
      <c r="BW28" s="910">
        <f t="shared" si="22"/>
        <v>20</v>
      </c>
      <c r="BX28" s="924" t="str">
        <f t="shared" si="14"/>
        <v>Single</v>
      </c>
      <c r="CH28" s="764">
        <f t="shared" si="15"/>
        <v>0</v>
      </c>
      <c r="CI28" s="925">
        <f t="shared" si="16"/>
        <v>0</v>
      </c>
      <c r="CJ28" s="759"/>
      <c r="CK28" s="188"/>
      <c r="CL28" s="979">
        <f>VLOOKUP(I28,Prodlink,2,0)</f>
        <v>0</v>
      </c>
      <c r="CN28" s="497">
        <f t="shared" ca="1" si="2"/>
        <v>0</v>
      </c>
      <c r="CO28" s="497">
        <f ca="1">OFFSET($CH$9,CL28-1,-15,1,1)</f>
        <v>0</v>
      </c>
      <c r="CQ28" s="51">
        <v>0</v>
      </c>
      <c r="CR28" s="51">
        <f ca="1">IF(AND(Z28&lt;&gt;"t",Z28&lt;&gt;"f"),10000,IF(K28=$BH$11,0,IF(K28=$BH$12,$BH$23,IF(K28=$BH$13,$BH$24,10000))))</f>
        <v>10000</v>
      </c>
      <c r="CS28" s="51">
        <f ca="1">IF(F28&lt;OFFSET($BM$9,CL28-1,0,1,1),0,IF(F28&lt;OFFSET($BN$9,CL28-1,0,1,1),((F28-OFFSET($BM$9,CL28-1,0,1,1))*OFFSET($CH$9,CL28-1,0,1,1))+OFFSET($BO$9,CL28-1,CQ28,1,1),IF(F28&lt;OFFSET($BN$9,CL28+0,0,1,1),((F28-OFFSET($BM$9,CL28+0,0,1,1))*OFFSET($CH$9,CL28+0,0,1,1))+OFFSET($BO$9,CL28+0,CQ28,1,1),IF(F28&lt;OFFSET($BN$9,CL28+1,0,1,1),((F28-OFFSET($BM$9,CL28+1,0,1,1))*OFFSET($CH$9,CL28+1,0,1,1))+OFFSET($BO$9,CL28+1,CQ28,1,1),IF(F28&lt;OFFSET($BN$9,CL28+2,0,1,1),((F28-OFFSET($BM$9,CL28+2,0,1,1))*OFFSET($CH$9,CL28+2,0,1,1))+OFFSET($BO$9,CL28+2,CQ28,1,1),IF(F28&lt;OFFSET($BN$9,CL28+3,0,1,1),((F28-OFFSET($BM$9,CL28+3,0,1,1))*OFFSET($CH$9,CL28+3,0,1,1))+OFFSET($BO$9,CL28+3,CQ28,1,1),0))))))</f>
        <v>0</v>
      </c>
      <c r="CT28" s="51">
        <f ca="1">IF($F28&lt;OFFSET($BM$9,$CL28-1,0,1,1),0,IF($F28&lt;OFFSET($BN$9,$CL28-1,0,1,1),IF(AND($H28&gt;2.4,Z28&lt;&gt;"e",Z28&lt;&gt;"f"),CX28*2.4/$H28,CX28),IF($F28&lt;OFFSET($BN$9,$CL28+0,0,1,1),IF(AND($H28&gt;2.4,Z28&lt;&gt;"e",Z28&lt;&gt;"f"),CX28*2.4/$H28,CX28),IF($F28&lt;OFFSET($BN$9,$CL28+1,0,1,1),IF(AND($H28&gt;2.4,Z28&lt;&gt;"e",Z28&lt;&gt;"f"),CX28*2.4/$H28,CX28),IF($F28&lt;OFFSET($BN$9,CL28+2,0,1,1),IF(AND($H28&gt;2.4,Z28&lt;&gt;"e",Z28&lt;&gt;"f"),CX28*2.4/$H28,CX28),IF($F28&lt;OFFSET($BN$9,CL28+3,0,1,1),IF(AND($H28&gt;2.4,Z28&lt;&gt;"e",Z28&lt;&gt;"f"),CX28*2.4/$H28,CX28),0)))))*COS(RADIANS($G28)))</f>
        <v>0</v>
      </c>
      <c r="CU28" s="51">
        <f ca="1">IF(F28&lt;OFFSET($BM$9,CL28-1,0,1,1),0,IF(F28&lt;OFFSET($BN$9,CL28-1,0,1,1),((F28-OFFSET($BM$9,CL28-1,0,1,1))*OFFSET($CI$9,CL28-1,0,1,1))+OFFSET($BP$9,CL28-1,CQ28,1,1),IF(F28&lt;OFFSET($BN$9,CL28+0,0,1,1),((F28-OFFSET($BM$9,CL28+0,0,1,1))*OFFSET($CI$9,CL28+0,0,1,1))+OFFSET($BP$9,CL28+0,CQ28,1,1),IF(F28&lt;OFFSET($BN$9,CL28+1,0,1,1),((F28-OFFSET($BM$9,CL28+1,0,1,1))*OFFSET($CI$9,CL28+1,0,1,1))+OFFSET($BP$9,CL28+1,CQ28,1,1),IF(F28&lt;OFFSET($BN$9,CL28+2,0,1,1),((F28-OFFSET($BM$9,CL28+2,0,1,1))*OFFSET($CI$9,CL28+2,0,1,1))+OFFSET($BP$9,CL28+2,CQ28,1,1),IF(F28&lt;OFFSET($BN$9,CL28+3,0,1,1),((F28-OFFSET($BM$9,CL28+3,0,1,1))*OFFSET($CI$9,CL28+3,0,1,1))+OFFSET($BP$9,CL28+3,CQ28,1,1),0))))))</f>
        <v>0</v>
      </c>
      <c r="CV28" s="51">
        <f ca="1">IF($F28&lt;OFFSET($BM$9,$CL28-1,0,1,1),0,IF($F28&lt;OFFSET($BN$9,$CL28-1,0,1,1),IF(AND($H28&gt;2.4,Z28&lt;&gt;"e",Z28&lt;&gt;"f"),CZ28*2.4/$H28,CZ28),IF($F28&lt;OFFSET($BN$9,$CL28+0,0,1,1),IF(AND($H28&gt;2.4,Z28&lt;&gt;"e",Z28&lt;&gt;"f"),CZ28*2.4/$H28,CZ28),IF($F28&lt;OFFSET($BN$9,$CL28+1,0,1,1),IF(AND($H28&gt;2.4,Z28&lt;&gt;"e",Z28&lt;&gt;"f"),CZ28*2.4/$H28,CZ28),IF($F28&lt;OFFSET($BN$9,$CL28+2,0,1,1),IF(AND($H28&gt;2.4,Z28&lt;&gt;"e",Z28&lt;&gt;"f"),CZ28*2.4/$H28,CZ28),IF($F28&lt;OFFSET($BN$9,$CL28+3,0,1,1),IF(AND($H28&gt;2.4,Z28&lt;&gt;"e",Z28&lt;&gt;"f"),CZ28*2.4/$H28,CZ28),0)))))*COS(RADIANS($G28)))</f>
        <v>0</v>
      </c>
      <c r="CW28" s="51">
        <f t="shared" ca="1" si="17"/>
        <v>0</v>
      </c>
      <c r="CX28" s="51">
        <f ca="1">IF(CS28&gt;$CR28,$CR28,CS28)</f>
        <v>0</v>
      </c>
      <c r="CY28" s="51">
        <f ca="1">CW28*F28</f>
        <v>0</v>
      </c>
      <c r="CZ28" s="51">
        <f ca="1">IF($CU28&gt;$CR28,$CR28,$CU28)</f>
        <v>0</v>
      </c>
      <c r="DA28" s="51">
        <f ca="1">IF(CV28&gt;CR28,CR28,CV28)</f>
        <v>0</v>
      </c>
      <c r="DB28" s="51">
        <f ca="1">DA28*F28</f>
        <v>0</v>
      </c>
      <c r="DC28" s="993">
        <v>1</v>
      </c>
      <c r="DD28" s="758" t="str">
        <f>IF(OR(D28=BG$12,D28=BG$13),"External",IF(D28=BG$14,"Internal"," "))</f>
        <v xml:space="preserve"> </v>
      </c>
      <c r="DE28" s="51" t="str">
        <f t="shared" ca="1" si="18"/>
        <v/>
      </c>
      <c r="DF28" s="52" t="str">
        <f t="shared" ca="1" si="19"/>
        <v xml:space="preserve"> </v>
      </c>
      <c r="DG28" s="51">
        <f ca="1">IF(F28&lt;OFFSET($BM$9,CN28-1,0,1,1),0,IF(F28&lt;OFFSET($BN$9,CN28-1,0,1,1),((F28-OFFSET($BM$9,CN28-1,0,1,1))*OFFSET($CH$9,CN28-1,0,1,1))+OFFSET($BO$9,CN28-1,CQ28,1,1),IF(F28&lt;OFFSET($BN$9,CN28+0,0,1,1),((F28-OFFSET($BM$9,CN28+0,0,1,1))*OFFSET($CH$9,CN28+0,0,1,1))+OFFSET($BO$9,CN28+0,CQ28,1,1),IF(F28&lt;OFFSET($BN$9,CN28+1,0,1,1),((F28-OFFSET($BM$9,CN28+1,0,1,1))*OFFSET($CH$9,CN28+1,0,1,1))+OFFSET($BO$9,CN28+1,CQ28,1,1),IF(F28&lt;OFFSET($BN$9,CN28+2,0,1,1),((F28-OFFSET($BM$9,CN28+2,0,1,1))*OFFSET($CH$9,CN28+2,0,1,1))+OFFSET($BO$9,CN28+2,CQ28,1,1),IF(F28&lt;OFFSET($BN$9,CN28+3,0,1,1),((F28-OFFSET($BM$9,CN28+3,0,1,1))*OFFSET($CH$9,CN28+3,0,1,1))+OFFSET($BO$9,CN28+3,CQ28,1,1),0))))))</f>
        <v>0</v>
      </c>
      <c r="DH28" s="51">
        <f ca="1">IF($F28&lt;OFFSET($BM$9,$CN28-1,0,1,1),0,IF($F28&lt;OFFSET($BN$9,$CN28-1,0,1,1),IF(AND($H28&gt;2.4,Z28&lt;&gt;"e",Z28&lt;&gt;"f"),DL28*2.4/$H28,DL28),IF($F28&lt;OFFSET($BN$9,$CN28+0,0,1,1),IF(AND($H28&gt;2.4,Z28&lt;&gt;"e",Z28&lt;&gt;"f"),DL28*2.4/$H28,DL28),IF($F28&lt;OFFSET($BN$9,$CN28+1,0,1,1),IF(AND($H28&gt;2.4,Z28&lt;&gt;"e",Z28&lt;&gt;"f"),DL28*2.4/$H28,DL28),IF($F28&lt;OFFSET($BN$9,$CN28+2,0,1,1),IF(AND($H28&gt;2.4,Z28&lt;&gt;"e",Z28&lt;&gt;"f"),DL28*2.4/$H28,DL28),IF($F28&lt;OFFSET($BN$9,$CN28+3,0,1,1),IF(AND($H28&gt;2.4,Z28&lt;&gt;"e",Z28&lt;&gt;"f"),DL28*2.4/$H28,DL28),0)))))*COS(RADIANS($G28)))</f>
        <v>0</v>
      </c>
      <c r="DI28" s="51">
        <f ca="1">IF(F28&lt;OFFSET($BM$9,CN28-1,0,1,1),0,IF(F28&lt;OFFSET($BN$9,CN28-1,0,1,1),((F28-OFFSET($BM$9,CN28-1,0,1,1))*OFFSET($CI$9,CN28-1,0,1,1))+OFFSET($BP$9,CN28-1,CQ28,1,1),IF(F28&lt;OFFSET($BN$9,CN28+0,0,1,1),((F28-OFFSET($BM$9,CN28+0,0,1,1))*OFFSET($CI$9,CN28+0,0,1,1))+OFFSET($BP$9,CN28+0,CQ28,1,1),IF(F28&lt;OFFSET($BN$9,CN28+1,0,1,1),((F28-OFFSET($BM$9,CN28+1,0,1,1))*OFFSET($CI$9,CN28+1,0,1,1))+OFFSET($BP$9,CN28+1,CQ28,1,1),IF(F28&lt;OFFSET($BN$9,CN28+2,0,1,1),((F28-OFFSET($BM$9,CN28+2,0,1,1))*OFFSET($CI$9,CN28+2,0,1,1))+OFFSET($BP$9,CN28+2,CQ28,1,1),IF(F28&lt;OFFSET($BN$9,CN28+3,0,1,1),((F28-OFFSET($BM$9,CN28+3,0,1,1))*OFFSET($CI$9,CN28+3,0,1,1))+OFFSET($BP$9,CN28+3,CQ28,1,1),0))))))</f>
        <v>0</v>
      </c>
      <c r="DJ28" s="51">
        <f ca="1">IF($F28&lt;OFFSET($BM$9,$CN28-1,0,1,1),0,IF($F28&lt;OFFSET($BN$9,$CN28-1,0,1,1),IF(AND($H28&gt;2.4,Z28&lt;&gt;"e",Z28&lt;&gt;"f"),DN28*2.4/$H28,DN28),IF($F28&lt;OFFSET($BN$9,$CN28+0,0,1,1),IF(AND($H28&gt;2.4,Z28&lt;&gt;"e",Z28&lt;&gt;"f"),DN28*2.4/$H28,DN28),IF($F28&lt;OFFSET($BN$9,$CN28+1,0,1,1),IF(AND($H28&gt;2.4,Z28&lt;&gt;"e",Z28&lt;&gt;"f"),DN28*2.4/$H28,DN28),IF($F28&lt;OFFSET($BN$9,$CN28+2,0,1,1),IF(AND($H28&gt;2.4,Z28&lt;&gt;"e",Z28&lt;&gt;"f"),DN28*2.4/$H28,DN28),IF($F28&lt;OFFSET($BN$9,$CN28+3,0,1,1),IF(AND($H28&gt;2.4,Z28&lt;&gt;"e",Z28&lt;&gt;"f"),DN28*2.4/$H28,DN28),0)))))*COS(RADIANS($G28)))</f>
        <v>0</v>
      </c>
      <c r="DK28" s="51"/>
      <c r="DL28" s="51">
        <f ca="1">IF(DG28&gt;$CR28,$CR28,DG28)</f>
        <v>0</v>
      </c>
      <c r="DM28" s="51"/>
      <c r="DN28" s="51">
        <f ca="1">IF(DI28&gt;$CR28,$CR28,DI28)</f>
        <v>0</v>
      </c>
      <c r="DO28" s="435">
        <f ca="1">IF(DH28&gt;$CR28,$CR28,DH28)</f>
        <v>0</v>
      </c>
      <c r="DP28" s="435">
        <f ca="1">DO28*F28</f>
        <v>0</v>
      </c>
      <c r="DQ28" s="436">
        <f ca="1">IF(DJ28&gt;$CR28,$CR28,DJ28)</f>
        <v>0</v>
      </c>
      <c r="DR28" s="437">
        <f ca="1">DQ28*F28</f>
        <v>0</v>
      </c>
      <c r="DS28" s="426">
        <f ca="1">OFFSET($CH$9,CL28-1,-15,1,1)</f>
        <v>0</v>
      </c>
      <c r="DT28" s="426">
        <f t="shared" ca="1" si="1"/>
        <v>0</v>
      </c>
      <c r="DU28" s="188">
        <f ca="1">IF(F28&lt;OFFSET($BM$9,DT28-1,0,1,1),0,IF(F28&lt;OFFSET($BN$9,DT28-1,0,1,1),((F28-OFFSET($BM$9,DT28-1,0,1,1))*OFFSET($CH$9,DT28-1,0,1,1))+OFFSET($BO$9,DT28-1,CQ28,1,1),IF(F28&lt;OFFSET($BN$9,DT28+0,0,1,1),((F28-OFFSET($BM$9,DT28+0,0,1,1))*OFFSET($CH$9,DT28+0,0,1,1))+OFFSET($BO$9,DT28+0,CQ28,1,1),IF(F28&lt;OFFSET($BN$9,DT28+1,0,1,1),((F28-OFFSET($BM$9,DT28+1,0,1,1))*OFFSET($CH$9,DT28+1,0,1,1))+OFFSET($BO$9,DT28+1,CQ28,1,1),IF(F28&lt;OFFSET($BN$9,DT28+2,0,1,1),((F28-OFFSET($BM$9,DT28+2,0,1,1))*OFFSET($CH$9,DT28+2,0,1,1))+OFFSET($BO$9,DT28+2,CQ28,1,1),IF(F28&lt;OFFSET($BN$9,DT28+3,0,1,1),((F28-OFFSET($BM$9,DT28+3,0,1,1))*OFFSET($CH$9,DT28+3,0,1,1))+OFFSET($BO$9,DT28+3,CQ28,1,1),0))))))</f>
        <v>0</v>
      </c>
      <c r="DV28" s="51">
        <f ca="1">IF($F28&lt;OFFSET($BM$9,$DT28-1,0,1,1),0,IF($F28&lt;OFFSET($BN$9,$DT28-1,0,1,1),IF(AND($H28&gt;2.4,Z28&lt;&gt;"e",Z28&lt;&gt;"f"),DZ28*2.4/$H28,DZ28),IF($F28&lt;OFFSET($BN$9,$DT28+0,0,1,1),IF(AND($H28&gt;2.4,Z28&lt;&gt;"e",Z28&lt;&gt;"f"),DZ28*2.4/$H28,DZ28),IF($F28&lt;OFFSET($BN$9,$DT28+1,0,1,1),IF(AND($H28&gt;2.4,Z28&lt;&gt;"e",Z28&lt;&gt;"f"),DZ28*2.4/$H28,DZ28),IF($F28&lt;OFFSET($BN$9,$DT28+2,0,1,1),IF(AND($H28&gt;2.4,Z28&lt;&gt;"e",Z28&lt;&gt;"f"),DZ28*2.4/$H28,DZ28),IF($F28&lt;OFFSET($BN$9,$DT28+3,0,1,1),IF(AND($H28&gt;2.4,Z28&lt;&gt;"e",Z28&lt;&gt;"f"),DZ28*2.4/$H28,DZ28),0)))))*COS(RADIANS($G28)))</f>
        <v>0</v>
      </c>
      <c r="DW28" s="188">
        <f ca="1">IF(F28&lt;OFFSET($BM$9,DT28-1,0,1,1),0,IF(F28&lt;OFFSET($BN$9,DT28-1,0,1,1),((F28-OFFSET($BM$9,DT28-1,0,1,1))*OFFSET($CI$9,DT28-1,0,1,1))+OFFSET($BP$9,DT28-1,CQ28,1,1),IF(F28&lt;OFFSET($BN$9,DT28+0,0,1,1),((F28-OFFSET($BM$9,DT28+0,0,1,1))*OFFSET($CI$9,DT28+0,0,1,1))+OFFSET($BP$9,DT28+0,CQ28,1,1),IF(F28&lt;OFFSET($BN$9,DT28+1,0,1,1),((F28-OFFSET($BM$9,DT28+1,0,1,1))*OFFSET($CI$9,DT28+1,0,1,1))+OFFSET($BP$9,DT28+1,CQ28,1,1),IF(F28&lt;OFFSET($BN$9,DT28+2,0,1,1),((F28-OFFSET($BM$9,DT28+2,0,1,1))*OFFSET($CI$9,DT28+2,0,1,1))+OFFSET($BP$9,DT28+2,CQ28,1,1),IF(F28&lt;OFFSET($BN$9,DT28+3,0,1,1),((F28-OFFSET($BM$9,DT28+3,0,1,1))*OFFSET($CI$9,DT28+3,0,1,1))+OFFSET($BP$9,DT28+3,CQ28,1,1),0))))))</f>
        <v>0</v>
      </c>
      <c r="DX28" s="51">
        <f ca="1">IF($F28&lt;OFFSET($BM$9,$DT28-1,0,1,1),0,IF($F28&lt;OFFSET($BN$9,$DT28-1,0,1,1),IF(AND($H28&gt;2.4,Z28&lt;&gt;"e",Z28&lt;&gt;"f"),EB28*2.4/$H28,EB28),IF($F28&lt;OFFSET($BN$9,$DT28+0,0,1,1),IF(AND($H28&gt;2.4,Z28&lt;&gt;"e",Z28&lt;&gt;"f"),EB28*2.4/$H28,EB28),IF($F28&lt;OFFSET($BN$9,$DT28+1,0,1,1),IF(AND($H28&gt;2.4,Z28&lt;&gt;"e",Z28&lt;&gt;"f"),EB28*2.4/$H28,EB28),IF($F28&lt;OFFSET($BN$9,$DT28+2,0,1,1),IF(AND($H28&gt;2.4,Z28&lt;&gt;"e",Z28&lt;&gt;"f"),EB28*2.4/$H28,EB28),IF($F28&lt;OFFSET($BN$9,$DT28+3,0,1,1),IF(AND($H28&gt;2.4,Z28&lt;&gt;"e",Z28&lt;&gt;"f"),EB28*2.4/$H28,EB28),0)))))*COS(RADIANS($G28)))</f>
        <v>0</v>
      </c>
      <c r="DY28" s="188"/>
      <c r="DZ28" s="188">
        <f ca="1">IF(DU28&gt;$CR28,$CR28,DU28)</f>
        <v>0</v>
      </c>
      <c r="EA28" s="188"/>
      <c r="EB28" s="188">
        <f ca="1">IF(DW28&gt;$CR28,$CR28,DW28)</f>
        <v>0</v>
      </c>
      <c r="EC28" s="435">
        <f ca="1">IF(DV28&gt;$CR28,$CR28,DV28)</f>
        <v>0</v>
      </c>
      <c r="ED28" s="435">
        <f ca="1">EC28*F28</f>
        <v>0</v>
      </c>
      <c r="EE28" s="436">
        <f ca="1">IF(DX28&gt;$CR28,$CR28,DX28)</f>
        <v>0</v>
      </c>
      <c r="EF28" s="437">
        <f ca="1">EE28*F28</f>
        <v>0</v>
      </c>
      <c r="EG28" s="613" t="str">
        <f>IF(D28=BG$12,BG$12,"")</f>
        <v/>
      </c>
      <c r="EH28" s="614" t="str">
        <f>IF(D28=BG$13,BG$13,"")</f>
        <v/>
      </c>
      <c r="EI28" s="611">
        <f>IF(EG28=BG$12,M28,0)</f>
        <v>0</v>
      </c>
      <c r="EJ28" s="451">
        <f>IF(EG28=BG$12,O28,0)</f>
        <v>0</v>
      </c>
      <c r="EK28" s="451">
        <f>IF(EH28=BG$13,M28,0)</f>
        <v>0</v>
      </c>
      <c r="EL28" s="612">
        <f>IF(EH28=BG$13,O28,0)</f>
        <v>0</v>
      </c>
      <c r="EM28" s="426" t="str">
        <f ca="1">IF(AND(Z28&lt;&gt;"t",Z28&lt;&gt;"f"),"",IF(AND(EN28=$BH$11,K28&lt;&gt;EN28),EM$4,IF(AND(EN28=$BH$12,K28=$BH$13),EM$4,IF(AND(EN28=$BH$12,K28=$BH$14),EM$4,IF(AND(EN28=$BH$13,K28=$BH$14),$EM$4,IF(EN28=$BH$14,$EM$4,""))))))</f>
        <v/>
      </c>
      <c r="EN28" s="489" t="str">
        <f>BG$24</f>
        <v>No Floor</v>
      </c>
      <c r="EO28" s="426" t="str">
        <f>K28</f>
        <v xml:space="preserve"> </v>
      </c>
      <c r="EP28" s="497" t="str">
        <f ca="1">IF(AND(Z28&lt;&gt;"t",Z28&lt;&gt;"f"),"",IF(AND(EN28=$BH$14,K28&lt;&gt;EN28),EP$4,IF(AND(EN28=$BH$13,K28=$BH$12),EP$4,IF(AND(EN28=$BH$13,K28=$BH$11),EP$4,IF(AND(EN28=$BH$12,K28=$BH$11),$EP$4,IF(EN28=$BH$11,"Earth",""))))))</f>
        <v/>
      </c>
      <c r="EQ28" s="430" t="str">
        <f ca="1">IF(Z28&lt;&gt;"t","",IF(EQ$5=2,IF(K28&lt;&gt;BH$11,EQ$7," ")))</f>
        <v/>
      </c>
      <c r="ER28" s="439" t="str">
        <f ca="1">IF(H28=0," ",H28)</f>
        <v xml:space="preserve"> </v>
      </c>
      <c r="ES28" s="440" t="str">
        <f ca="1">IF(ER28&lt;&gt;" ",IF(ER28&lt;&gt;ER$7,"Changed",""),"")</f>
        <v/>
      </c>
      <c r="ET28" s="440">
        <f t="shared" ca="1" si="20"/>
        <v>0</v>
      </c>
      <c r="EU28" s="426" t="str">
        <f ca="1">IF(I28=" "," ",IF(F28&lt;OFFSET($BM$9,CL28-1,0,1,1),1,""))</f>
        <v xml:space="preserve"> </v>
      </c>
      <c r="EW28" s="427"/>
      <c r="EY28" s="421"/>
    </row>
    <row r="29" spans="2:155" ht="17.100000000000001" customHeight="1" thickBot="1">
      <c r="B29" s="689" t="s">
        <v>246</v>
      </c>
      <c r="C29" s="684" t="str">
        <f>IF(OR(F29=0,I29="",I29=" ")," ",$V29)</f>
        <v xml:space="preserve"> </v>
      </c>
      <c r="D29" s="1033"/>
      <c r="E29" s="1360"/>
      <c r="F29" s="202"/>
      <c r="G29" s="1416"/>
      <c r="H29" s="1417" t="str">
        <f ca="1">IF(OR(F29=0,Z29="E",Z29="f")," ",'Project Demand'!E$55)</f>
        <v xml:space="preserve"> </v>
      </c>
      <c r="I29" s="631" t="str">
        <f>IF($I$6&lt;&gt;$BG$8," ",AB29)</f>
        <v xml:space="preserve"> </v>
      </c>
      <c r="J29" s="44" t="str">
        <f ca="1">IF(OR(I29=" ",I29="")," ",OFFSET($BO$9,CL29-1,0-4,1,1))</f>
        <v xml:space="preserve"> </v>
      </c>
      <c r="K29" s="55" t="str">
        <f>IF(OR(I29=" ",I29="")," ",IF(OR(Z29="e",Z29="h"),"SD",IF(BG$24=BH$11,BH$13,BG$24)))</f>
        <v xml:space="preserve"> </v>
      </c>
      <c r="L29" s="49">
        <f ca="1">CW29</f>
        <v>0</v>
      </c>
      <c r="M29" s="49">
        <f ca="1">CY29</f>
        <v>0</v>
      </c>
      <c r="N29" s="50">
        <f t="shared" ca="1" si="24"/>
        <v>0</v>
      </c>
      <c r="O29" s="126">
        <f t="shared" ca="1" si="24"/>
        <v>0</v>
      </c>
      <c r="P29" s="140"/>
      <c r="Q29" s="752" t="str">
        <f ca="1">IF(AND(OR(Z29="t",Z29="f"),K29=$BH$11),"No Floor!  Change Floor Type",IF(OR(I29=" ",I29="")," ",IF(F29&lt;OFFSET($BM$9,CL29-1,0,1,1),"check L(m)",DE29&amp;IF(AND(DP29&gt;=CY29,DR29&gt;=DB29),IF(AND(ED29&gt;=DP29,EF29&gt;=DR29),CONCATENATE(DS29," will provide same result"),CONCATENATE(CO29," will provide same result")),IF((DP29&gt;=CY29),CONCATENATE(CO29," provides same result in WIND"),IF((DR29&gt;=DB29),CONCATENATE(CO29," provides same result in EQ"),""))))))&amp;IF(ISERROR(FIND("pile",I29,1)),"",IF(INT(F29)&lt;&gt;F29,"Pile!  Use Whole Numbers Only",""))</f>
        <v xml:space="preserve"> </v>
      </c>
      <c r="R29" s="52"/>
      <c r="S29" s="1372"/>
      <c r="T29" s="1372"/>
      <c r="U29" s="1377"/>
      <c r="V29" s="52" t="str">
        <f ca="1">IF(AND(B$5=$BF$9,OR(I29=BH$16,I29=BH$17))," ",IF(ISNUMBER(B$26),(CONCATENATE(B$26,".",W29)),(CONCATENATE(B$26,W29))))</f>
        <v>D0</v>
      </c>
      <c r="W29" s="9">
        <f ca="1">W28+X29</f>
        <v>0</v>
      </c>
      <c r="X29" s="9">
        <f>IF(AND(B$5=$BF$9,OR($I29=$BH$16,$I29=$BH$17,$I29=" ",$I29="",$F29=0)),0,IF(OR($I29=" ",$I29="",$F29=0),0,1))</f>
        <v>0</v>
      </c>
      <c r="Y29" s="896"/>
      <c r="Z29" s="52" t="str">
        <f ca="1">IF(I29=" "," ",OFFSET($BM$9,$CL29-1,8,1,1))</f>
        <v xml:space="preserve"> </v>
      </c>
      <c r="AA29" s="51" t="str">
        <f>IF(G29&gt;=45,"WA","")</f>
        <v/>
      </c>
      <c r="AB29" s="1364" t="str">
        <f>IF(OR(E29=" ",E29="")," ",(IF(F29&lt;&gt;"",IF(OR(D29=$BG$12,D29=$BG$13),IF(E29&lt;&gt;$BG$17,$BF$20,$BF$21),IF(E29&lt;&gt;$BG$17,$BF$20,$BF$21))," ")))</f>
        <v xml:space="preserve"> </v>
      </c>
      <c r="AC29" s="1"/>
      <c r="AJ29" s="28"/>
      <c r="AK29" s="30"/>
      <c r="AL29" s="30"/>
      <c r="AM29" s="32"/>
      <c r="AN29" s="32"/>
      <c r="AO29" s="10"/>
      <c r="AP29" s="10"/>
      <c r="AQ29" s="10"/>
      <c r="AR29" s="32"/>
      <c r="AS29" s="32"/>
      <c r="AT29" s="32"/>
      <c r="AU29" s="478"/>
      <c r="AV29" s="478"/>
      <c r="AW29" s="478"/>
      <c r="AX29" s="478"/>
      <c r="AY29" s="478"/>
      <c r="AZ29" s="478"/>
      <c r="BA29" s="478"/>
      <c r="BB29" s="478"/>
      <c r="BC29" s="478"/>
      <c r="BD29" s="2648"/>
      <c r="BF29" s="598" t="s">
        <v>8</v>
      </c>
      <c r="BI29" s="759"/>
      <c r="BJ29" s="897">
        <f t="shared" si="5"/>
        <v>21</v>
      </c>
      <c r="BK29" s="769" t="str">
        <f t="shared" si="6"/>
        <v xml:space="preserve">  </v>
      </c>
      <c r="BL29" s="771" t="str">
        <f t="shared" si="7"/>
        <v>Custom18</v>
      </c>
      <c r="BM29" s="455">
        <f t="shared" si="8"/>
        <v>9.9999999999999996E-76</v>
      </c>
      <c r="BN29" s="455">
        <v>999</v>
      </c>
      <c r="BO29" s="455">
        <f t="shared" si="9"/>
        <v>0</v>
      </c>
      <c r="BP29" s="925">
        <f t="shared" si="10"/>
        <v>0</v>
      </c>
      <c r="BR29" s="764"/>
      <c r="BS29" s="455"/>
      <c r="BT29" s="455" t="str">
        <f t="shared" si="11"/>
        <v>B</v>
      </c>
      <c r="BU29" s="925" t="str">
        <f t="shared" si="12"/>
        <v>T</v>
      </c>
      <c r="BV29" s="483" t="str">
        <f t="shared" si="13"/>
        <v>Custom18</v>
      </c>
      <c r="BW29" s="910">
        <f t="shared" si="22"/>
        <v>21</v>
      </c>
      <c r="BX29" s="924" t="str">
        <f t="shared" si="14"/>
        <v>Single</v>
      </c>
      <c r="CH29" s="764">
        <f t="shared" si="15"/>
        <v>0</v>
      </c>
      <c r="CI29" s="925">
        <f t="shared" si="16"/>
        <v>0</v>
      </c>
      <c r="CJ29" s="759"/>
      <c r="CK29" s="188"/>
      <c r="CL29" s="979">
        <f>VLOOKUP(I29,Prodlink,2,0)</f>
        <v>0</v>
      </c>
      <c r="CN29" s="497">
        <f t="shared" ca="1" si="2"/>
        <v>0</v>
      </c>
      <c r="CO29" s="497">
        <f ca="1">OFFSET($CH$9,CL29-1,-15,1,1)</f>
        <v>0</v>
      </c>
      <c r="CQ29" s="51">
        <v>0</v>
      </c>
      <c r="CR29" s="51">
        <f ca="1">IF(AND(Z29&lt;&gt;"t",Z29&lt;&gt;"f"),10000,IF(K29=$BH$11,0,IF(K29=$BH$12,$BH$23,IF(K29=$BH$13,$BH$24,10000))))</f>
        <v>10000</v>
      </c>
      <c r="CS29" s="51">
        <f ca="1">IF(F29&lt;OFFSET($BM$9,CL29-1,0,1,1),0,IF(F29&lt;OFFSET($BN$9,CL29-1,0,1,1),((F29-OFFSET($BM$9,CL29-1,0,1,1))*OFFSET($CH$9,CL29-1,0,1,1))+OFFSET($BO$9,CL29-1,CQ29,1,1),IF(F29&lt;OFFSET($BN$9,CL29+0,0,1,1),((F29-OFFSET($BM$9,CL29+0,0,1,1))*OFFSET($CH$9,CL29+0,0,1,1))+OFFSET($BO$9,CL29+0,CQ29,1,1),IF(F29&lt;OFFSET($BN$9,CL29+1,0,1,1),((F29-OFFSET($BM$9,CL29+1,0,1,1))*OFFSET($CH$9,CL29+1,0,1,1))+OFFSET($BO$9,CL29+1,CQ29,1,1),IF(F29&lt;OFFSET($BN$9,CL29+2,0,1,1),((F29-OFFSET($BM$9,CL29+2,0,1,1))*OFFSET($CH$9,CL29+2,0,1,1))+OFFSET($BO$9,CL29+2,CQ29,1,1),IF(F29&lt;OFFSET($BN$9,CL29+3,0,1,1),((F29-OFFSET($BM$9,CL29+3,0,1,1))*OFFSET($CH$9,CL29+3,0,1,1))+OFFSET($BO$9,CL29+3,CQ29,1,1),0))))))</f>
        <v>0</v>
      </c>
      <c r="CT29" s="51">
        <f ca="1">IF($F29&lt;OFFSET($BM$9,$CL29-1,0,1,1),0,IF($F29&lt;OFFSET($BN$9,$CL29-1,0,1,1),IF(AND($H29&gt;2.4,Z29&lt;&gt;"e",Z29&lt;&gt;"f"),CX29*2.4/$H29,CX29),IF($F29&lt;OFFSET($BN$9,$CL29+0,0,1,1),IF(AND($H29&gt;2.4,Z29&lt;&gt;"e",Z29&lt;&gt;"f"),CX29*2.4/$H29,CX29),IF($F29&lt;OFFSET($BN$9,$CL29+1,0,1,1),IF(AND($H29&gt;2.4,Z29&lt;&gt;"e",Z29&lt;&gt;"f"),CX29*2.4/$H29,CX29),IF($F29&lt;OFFSET($BN$9,CL29+2,0,1,1),IF(AND($H29&gt;2.4,Z29&lt;&gt;"e",Z29&lt;&gt;"f"),CX29*2.4/$H29,CX29),IF($F29&lt;OFFSET($BN$9,CL29+3,0,1,1),IF(AND($H29&gt;2.4,Z29&lt;&gt;"e",Z29&lt;&gt;"f"),CX29*2.4/$H29,CX29),0)))))*COS(RADIANS($G29)))</f>
        <v>0</v>
      </c>
      <c r="CU29" s="51">
        <f ca="1">IF(F29&lt;OFFSET($BM$9,CL29-1,0,1,1),0,IF(F29&lt;OFFSET($BN$9,CL29-1,0,1,1),((F29-OFFSET($BM$9,CL29-1,0,1,1))*OFFSET($CI$9,CL29-1,0,1,1))+OFFSET($BP$9,CL29-1,CQ29,1,1),IF(F29&lt;OFFSET($BN$9,CL29+0,0,1,1),((F29-OFFSET($BM$9,CL29+0,0,1,1))*OFFSET($CI$9,CL29+0,0,1,1))+OFFSET($BP$9,CL29+0,CQ29,1,1),IF(F29&lt;OFFSET($BN$9,CL29+1,0,1,1),((F29-OFFSET($BM$9,CL29+1,0,1,1))*OFFSET($CI$9,CL29+1,0,1,1))+OFFSET($BP$9,CL29+1,CQ29,1,1),IF(F29&lt;OFFSET($BN$9,CL29+2,0,1,1),((F29-OFFSET($BM$9,CL29+2,0,1,1))*OFFSET($CI$9,CL29+2,0,1,1))+OFFSET($BP$9,CL29+2,CQ29,1,1),IF(F29&lt;OFFSET($BN$9,CL29+3,0,1,1),((F29-OFFSET($BM$9,CL29+3,0,1,1))*OFFSET($CI$9,CL29+3,0,1,1))+OFFSET($BP$9,CL29+3,CQ29,1,1),0))))))</f>
        <v>0</v>
      </c>
      <c r="CV29" s="51">
        <f ca="1">IF($F29&lt;OFFSET($BM$9,$CL29-1,0,1,1),0,IF($F29&lt;OFFSET($BN$9,$CL29-1,0,1,1),IF(AND($H29&gt;2.4,Z29&lt;&gt;"e",Z29&lt;&gt;"f"),CZ29*2.4/$H29,CZ29),IF($F29&lt;OFFSET($BN$9,$CL29+0,0,1,1),IF(AND($H29&gt;2.4,Z29&lt;&gt;"e",Z29&lt;&gt;"f"),CZ29*2.4/$H29,CZ29),IF($F29&lt;OFFSET($BN$9,$CL29+1,0,1,1),IF(AND($H29&gt;2.4,Z29&lt;&gt;"e",Z29&lt;&gt;"f"),CZ29*2.4/$H29,CZ29),IF($F29&lt;OFFSET($BN$9,$CL29+2,0,1,1),IF(AND($H29&gt;2.4,Z29&lt;&gt;"e",Z29&lt;&gt;"f"),CZ29*2.4/$H29,CZ29),IF($F29&lt;OFFSET($BN$9,$CL29+3,0,1,1),IF(AND($H29&gt;2.4,Z29&lt;&gt;"e",Z29&lt;&gt;"f"),CZ29*2.4/$H29,CZ29),0)))))*COS(RADIANS($G29)))</f>
        <v>0</v>
      </c>
      <c r="CW29" s="51">
        <f t="shared" ca="1" si="17"/>
        <v>0</v>
      </c>
      <c r="CX29" s="51">
        <f ca="1">IF(CS29&gt;$CR29,$CR29,CS29)</f>
        <v>0</v>
      </c>
      <c r="CY29" s="51">
        <f ca="1">CW29*F29</f>
        <v>0</v>
      </c>
      <c r="CZ29" s="51">
        <f ca="1">IF($CU29&gt;$CR29,$CR29,$CU29)</f>
        <v>0</v>
      </c>
      <c r="DA29" s="51">
        <f ca="1">IF(CV29&gt;CR29,CR29,CV29)</f>
        <v>0</v>
      </c>
      <c r="DB29" s="51">
        <f ca="1">DA29*F29</f>
        <v>0</v>
      </c>
      <c r="DC29" s="993">
        <v>1</v>
      </c>
      <c r="DD29" s="758" t="str">
        <f>IF(OR(D29=BG$12,D29=BG$13),"External",IF(D29=BG$14,"Internal"," "))</f>
        <v xml:space="preserve"> </v>
      </c>
      <c r="DE29" s="51" t="str">
        <f t="shared" ca="1" si="18"/>
        <v/>
      </c>
      <c r="DF29" s="52" t="str">
        <f t="shared" ca="1" si="19"/>
        <v xml:space="preserve"> </v>
      </c>
      <c r="DG29" s="51">
        <f ca="1">IF(F29&lt;OFFSET($BM$9,CN29-1,0,1,1),0,IF(F29&lt;OFFSET($BN$9,CN29-1,0,1,1),((F29-OFFSET($BM$9,CN29-1,0,1,1))*OFFSET($CH$9,CN29-1,0,1,1))+OFFSET($BO$9,CN29-1,CQ29,1,1),IF(F29&lt;OFFSET($BN$9,CN29+0,0,1,1),((F29-OFFSET($BM$9,CN29+0,0,1,1))*OFFSET($CH$9,CN29+0,0,1,1))+OFFSET($BO$9,CN29+0,CQ29,1,1),IF(F29&lt;OFFSET($BN$9,CN29+1,0,1,1),((F29-OFFSET($BM$9,CN29+1,0,1,1))*OFFSET($CH$9,CN29+1,0,1,1))+OFFSET($BO$9,CN29+1,CQ29,1,1),IF(F29&lt;OFFSET($BN$9,CN29+2,0,1,1),((F29-OFFSET($BM$9,CN29+2,0,1,1))*OFFSET($CH$9,CN29+2,0,1,1))+OFFSET($BO$9,CN29+2,CQ29,1,1),IF(F29&lt;OFFSET($BN$9,CN29+3,0,1,1),((F29-OFFSET($BM$9,CN29+3,0,1,1))*OFFSET($CH$9,CN29+3,0,1,1))+OFFSET($BO$9,CN29+3,CQ29,1,1),0))))))</f>
        <v>0</v>
      </c>
      <c r="DH29" s="51">
        <f ca="1">IF($F29&lt;OFFSET($BM$9,$CN29-1,0,1,1),0,IF($F29&lt;OFFSET($BN$9,$CN29-1,0,1,1),IF(AND($H29&gt;2.4,Z29&lt;&gt;"e",Z29&lt;&gt;"f"),DL29*2.4/$H29,DL29),IF($F29&lt;OFFSET($BN$9,$CN29+0,0,1,1),IF(AND($H29&gt;2.4,Z29&lt;&gt;"e",Z29&lt;&gt;"f"),DL29*2.4/$H29,DL29),IF($F29&lt;OFFSET($BN$9,$CN29+1,0,1,1),IF(AND($H29&gt;2.4,Z29&lt;&gt;"e",Z29&lt;&gt;"f"),DL29*2.4/$H29,DL29),IF($F29&lt;OFFSET($BN$9,$CN29+2,0,1,1),IF(AND($H29&gt;2.4,Z29&lt;&gt;"e",Z29&lt;&gt;"f"),DL29*2.4/$H29,DL29),IF($F29&lt;OFFSET($BN$9,$CN29+3,0,1,1),IF(AND($H29&gt;2.4,Z29&lt;&gt;"e",Z29&lt;&gt;"f"),DL29*2.4/$H29,DL29),0)))))*COS(RADIANS($G29)))</f>
        <v>0</v>
      </c>
      <c r="DI29" s="51">
        <f ca="1">IF(F29&lt;OFFSET($BM$9,CN29-1,0,1,1),0,IF(F29&lt;OFFSET($BN$9,CN29-1,0,1,1),((F29-OFFSET($BM$9,CN29-1,0,1,1))*OFFSET($CI$9,CN29-1,0,1,1))+OFFSET($BP$9,CN29-1,CQ29,1,1),IF(F29&lt;OFFSET($BN$9,CN29+0,0,1,1),((F29-OFFSET($BM$9,CN29+0,0,1,1))*OFFSET($CI$9,CN29+0,0,1,1))+OFFSET($BP$9,CN29+0,CQ29,1,1),IF(F29&lt;OFFSET($BN$9,CN29+1,0,1,1),((F29-OFFSET($BM$9,CN29+1,0,1,1))*OFFSET($CI$9,CN29+1,0,1,1))+OFFSET($BP$9,CN29+1,CQ29,1,1),IF(F29&lt;OFFSET($BN$9,CN29+2,0,1,1),((F29-OFFSET($BM$9,CN29+2,0,1,1))*OFFSET($CI$9,CN29+2,0,1,1))+OFFSET($BP$9,CN29+2,CQ29,1,1),IF(F29&lt;OFFSET($BN$9,CN29+3,0,1,1),((F29-OFFSET($BM$9,CN29+3,0,1,1))*OFFSET($CI$9,CN29+3,0,1,1))+OFFSET($BP$9,CN29+3,CQ29,1,1),0))))))</f>
        <v>0</v>
      </c>
      <c r="DJ29" s="51">
        <f ca="1">IF($F29&lt;OFFSET($BM$9,$CN29-1,0,1,1),0,IF($F29&lt;OFFSET($BN$9,$CN29-1,0,1,1),IF(AND($H29&gt;2.4,Z29&lt;&gt;"e",Z29&lt;&gt;"f"),DN29*2.4/$H29,DN29),IF($F29&lt;OFFSET($BN$9,$CN29+0,0,1,1),IF(AND($H29&gt;2.4,Z29&lt;&gt;"e",Z29&lt;&gt;"f"),DN29*2.4/$H29,DN29),IF($F29&lt;OFFSET($BN$9,$CN29+1,0,1,1),IF(AND($H29&gt;2.4,Z29&lt;&gt;"e",Z29&lt;&gt;"f"),DN29*2.4/$H29,DN29),IF($F29&lt;OFFSET($BN$9,$CN29+2,0,1,1),IF(AND($H29&gt;2.4,Z29&lt;&gt;"e",Z29&lt;&gt;"f"),DN29*2.4/$H29,DN29),IF($F29&lt;OFFSET($BN$9,$CN29+3,0,1,1),IF(AND($H29&gt;2.4,Z29&lt;&gt;"e",Z29&lt;&gt;"f"),DN29*2.4/$H29,DN29),0)))))*COS(RADIANS($G29)))</f>
        <v>0</v>
      </c>
      <c r="DK29" s="51"/>
      <c r="DL29" s="51">
        <f ca="1">IF(DG29&gt;$CR29,$CR29,DG29)</f>
        <v>0</v>
      </c>
      <c r="DM29" s="51"/>
      <c r="DN29" s="51">
        <f ca="1">IF(DI29&gt;$CR29,$CR29,DI29)</f>
        <v>0</v>
      </c>
      <c r="DO29" s="435">
        <f ca="1">IF(DH29&gt;$CR29,$CR29,DH29)</f>
        <v>0</v>
      </c>
      <c r="DP29" s="435">
        <f ca="1">DO29*F29</f>
        <v>0</v>
      </c>
      <c r="DQ29" s="436">
        <f ca="1">IF(DJ29&gt;$CR29,$CR29,DJ29)</f>
        <v>0</v>
      </c>
      <c r="DR29" s="437">
        <f ca="1">DQ29*F29</f>
        <v>0</v>
      </c>
      <c r="DS29" s="426">
        <f ca="1">OFFSET($CH$9,CL29-1,-15,1,1)</f>
        <v>0</v>
      </c>
      <c r="DT29" s="426">
        <f t="shared" ca="1" si="1"/>
        <v>0</v>
      </c>
      <c r="DU29" s="188">
        <f ca="1">IF(F29&lt;OFFSET($BM$9,DT29-1,0,1,1),0,IF(F29&lt;OFFSET($BN$9,DT29-1,0,1,1),((F29-OFFSET($BM$9,DT29-1,0,1,1))*OFFSET($CH$9,DT29-1,0,1,1))+OFFSET($BO$9,DT29-1,CQ29,1,1),IF(F29&lt;OFFSET($BN$9,DT29+0,0,1,1),((F29-OFFSET($BM$9,DT29+0,0,1,1))*OFFSET($CH$9,DT29+0,0,1,1))+OFFSET($BO$9,DT29+0,CQ29,1,1),IF(F29&lt;OFFSET($BN$9,DT29+1,0,1,1),((F29-OFFSET($BM$9,DT29+1,0,1,1))*OFFSET($CH$9,DT29+1,0,1,1))+OFFSET($BO$9,DT29+1,CQ29,1,1),IF(F29&lt;OFFSET($BN$9,DT29+2,0,1,1),((F29-OFFSET($BM$9,DT29+2,0,1,1))*OFFSET($CH$9,DT29+2,0,1,1))+OFFSET($BO$9,DT29+2,CQ29,1,1),IF(F29&lt;OFFSET($BN$9,DT29+3,0,1,1),((F29-OFFSET($BM$9,DT29+3,0,1,1))*OFFSET($CH$9,DT29+3,0,1,1))+OFFSET($BO$9,DT29+3,CQ29,1,1),0))))))</f>
        <v>0</v>
      </c>
      <c r="DV29" s="51">
        <f ca="1">IF($F29&lt;OFFSET($BM$9,$DT29-1,0,1,1),0,IF($F29&lt;OFFSET($BN$9,$DT29-1,0,1,1),IF(AND($H29&gt;2.4,Z29&lt;&gt;"e",Z29&lt;&gt;"f"),DZ29*2.4/$H29,DZ29),IF($F29&lt;OFFSET($BN$9,$DT29+0,0,1,1),IF(AND($H29&gt;2.4,Z29&lt;&gt;"e",Z29&lt;&gt;"f"),DZ29*2.4/$H29,DZ29),IF($F29&lt;OFFSET($BN$9,$DT29+1,0,1,1),IF(AND($H29&gt;2.4,Z29&lt;&gt;"e",Z29&lt;&gt;"f"),DZ29*2.4/$H29,DZ29),IF($F29&lt;OFFSET($BN$9,$DT29+2,0,1,1),IF(AND($H29&gt;2.4,Z29&lt;&gt;"e",Z29&lt;&gt;"f"),DZ29*2.4/$H29,DZ29),IF($F29&lt;OFFSET($BN$9,$DT29+3,0,1,1),IF(AND($H29&gt;2.4,Z29&lt;&gt;"e",Z29&lt;&gt;"f"),DZ29*2.4/$H29,DZ29),0)))))*COS(RADIANS($G29)))</f>
        <v>0</v>
      </c>
      <c r="DW29" s="188">
        <f ca="1">IF(F29&lt;OFFSET($BM$9,DT29-1,0,1,1),0,IF(F29&lt;OFFSET($BN$9,DT29-1,0,1,1),((F29-OFFSET($BM$9,DT29-1,0,1,1))*OFFSET($CI$9,DT29-1,0,1,1))+OFFSET($BP$9,DT29-1,CQ29,1,1),IF(F29&lt;OFFSET($BN$9,DT29+0,0,1,1),((F29-OFFSET($BM$9,DT29+0,0,1,1))*OFFSET($CI$9,DT29+0,0,1,1))+OFFSET($BP$9,DT29+0,CQ29,1,1),IF(F29&lt;OFFSET($BN$9,DT29+1,0,1,1),((F29-OFFSET($BM$9,DT29+1,0,1,1))*OFFSET($CI$9,DT29+1,0,1,1))+OFFSET($BP$9,DT29+1,CQ29,1,1),IF(F29&lt;OFFSET($BN$9,DT29+2,0,1,1),((F29-OFFSET($BM$9,DT29+2,0,1,1))*OFFSET($CI$9,DT29+2,0,1,1))+OFFSET($BP$9,DT29+2,CQ29,1,1),IF(F29&lt;OFFSET($BN$9,DT29+3,0,1,1),((F29-OFFSET($BM$9,DT29+3,0,1,1))*OFFSET($CI$9,DT29+3,0,1,1))+OFFSET($BP$9,DT29+3,CQ29,1,1),0))))))</f>
        <v>0</v>
      </c>
      <c r="DX29" s="51">
        <f ca="1">IF($F29&lt;OFFSET($BM$9,$DT29-1,0,1,1),0,IF($F29&lt;OFFSET($BN$9,$DT29-1,0,1,1),IF(AND($H29&gt;2.4,Z29&lt;&gt;"e",Z29&lt;&gt;"f"),EB29*2.4/$H29,EB29),IF($F29&lt;OFFSET($BN$9,$DT29+0,0,1,1),IF(AND($H29&gt;2.4,Z29&lt;&gt;"e",Z29&lt;&gt;"f"),EB29*2.4/$H29,EB29),IF($F29&lt;OFFSET($BN$9,$DT29+1,0,1,1),IF(AND($H29&gt;2.4,Z29&lt;&gt;"e",Z29&lt;&gt;"f"),EB29*2.4/$H29,EB29),IF($F29&lt;OFFSET($BN$9,$DT29+2,0,1,1),IF(AND($H29&gt;2.4,Z29&lt;&gt;"e",Z29&lt;&gt;"f"),EB29*2.4/$H29,EB29),IF($F29&lt;OFFSET($BN$9,$DT29+3,0,1,1),IF(AND($H29&gt;2.4,Z29&lt;&gt;"e",Z29&lt;&gt;"f"),EB29*2.4/$H29,EB29),0)))))*COS(RADIANS($G29)))</f>
        <v>0</v>
      </c>
      <c r="DY29" s="188"/>
      <c r="DZ29" s="188">
        <f ca="1">IF(DU29&gt;$CR29,$CR29,DU29)</f>
        <v>0</v>
      </c>
      <c r="EA29" s="188"/>
      <c r="EB29" s="188">
        <f ca="1">IF(DW29&gt;$CR29,$CR29,DW29)</f>
        <v>0</v>
      </c>
      <c r="EC29" s="435">
        <f ca="1">IF(DV29&gt;$CR29,$CR29,DV29)</f>
        <v>0</v>
      </c>
      <c r="ED29" s="435">
        <f ca="1">EC29*F29</f>
        <v>0</v>
      </c>
      <c r="EE29" s="436">
        <f ca="1">IF(DX29&gt;$CR29,$CR29,DX29)</f>
        <v>0</v>
      </c>
      <c r="EF29" s="437">
        <f ca="1">EE29*F29</f>
        <v>0</v>
      </c>
      <c r="EG29" s="613" t="str">
        <f>IF(D29=BG$12,BG$12,"")</f>
        <v/>
      </c>
      <c r="EH29" s="614" t="str">
        <f>IF(D29=BG$13,BG$13,"")</f>
        <v/>
      </c>
      <c r="EI29" s="611">
        <f>IF(EG29=BG$12,M29,0)</f>
        <v>0</v>
      </c>
      <c r="EJ29" s="451">
        <f>IF(EG29=BG$12,O29,0)</f>
        <v>0</v>
      </c>
      <c r="EK29" s="451">
        <f>IF(EH29=BG$13,M29,0)</f>
        <v>0</v>
      </c>
      <c r="EL29" s="612">
        <f>IF(EH29=BG$13,O29,0)</f>
        <v>0</v>
      </c>
      <c r="EM29" s="426" t="str">
        <f ca="1">IF(AND(Z29&lt;&gt;"t",Z29&lt;&gt;"f"),"",IF(AND(EN29=$BH$11,K29&lt;&gt;EN29),EM$4,IF(AND(EN29=$BH$12,K29=$BH$13),EM$4,IF(AND(EN29=$BH$12,K29=$BH$14),EM$4,IF(AND(EN29=$BH$13,K29=$BH$14),$EM$4,IF(EN29=$BH$14,$EM$4,""))))))</f>
        <v/>
      </c>
      <c r="EN29" s="489" t="str">
        <f>BG$24</f>
        <v>No Floor</v>
      </c>
      <c r="EO29" s="426" t="str">
        <f>K29</f>
        <v xml:space="preserve"> </v>
      </c>
      <c r="EP29" s="497" t="str">
        <f ca="1">IF(AND(Z29&lt;&gt;"t",Z29&lt;&gt;"f"),"",IF(AND(EN29=$BH$14,K29&lt;&gt;EN29),EP$4,IF(AND(EN29=$BH$13,K29=$BH$12),EP$4,IF(AND(EN29=$BH$13,K29=$BH$11),EP$4,IF(AND(EN29=$BH$12,K29=$BH$11),$EP$4,IF(EN29=$BH$11,"Earth",""))))))</f>
        <v/>
      </c>
      <c r="EQ29" s="430" t="str">
        <f ca="1">IF(Z29&lt;&gt;"t","",IF(EQ$5=2,IF(K29&lt;&gt;BH$11,EQ$7," ")))</f>
        <v/>
      </c>
      <c r="ER29" s="439" t="str">
        <f ca="1">IF(H29=0," ",H29)</f>
        <v xml:space="preserve"> </v>
      </c>
      <c r="ES29" s="440" t="str">
        <f ca="1">IF(ER29&lt;&gt;" ",IF(ER29&lt;&gt;ER$7,"Changed",""),"")</f>
        <v/>
      </c>
      <c r="ET29" s="440">
        <f t="shared" ca="1" si="20"/>
        <v>0</v>
      </c>
      <c r="EU29" s="426" t="str">
        <f ca="1">IF(I29=" "," ",IF(F29&lt;OFFSET($BM$9,CL29-1,0,1,1),1,""))</f>
        <v xml:space="preserve"> </v>
      </c>
      <c r="EW29" s="427"/>
      <c r="EY29" s="421"/>
    </row>
    <row r="30" spans="2:155" ht="17.100000000000001" customHeight="1" thickBot="1">
      <c r="B30" s="689" t="s">
        <v>246</v>
      </c>
      <c r="C30" s="684" t="str">
        <f>IF(OR(F30=0,I30="",I30=" ")," ",$V30)</f>
        <v xml:space="preserve"> </v>
      </c>
      <c r="D30" s="1033"/>
      <c r="E30" s="1360"/>
      <c r="F30" s="202"/>
      <c r="G30" s="1416"/>
      <c r="H30" s="1417" t="str">
        <f ca="1">IF(OR(F30=0,Z30="E",Z30="f")," ",'Project Demand'!E$55)</f>
        <v xml:space="preserve"> </v>
      </c>
      <c r="I30" s="631" t="str">
        <f>IF($I$6&lt;&gt;$BG$8," ",AB30)</f>
        <v xml:space="preserve"> </v>
      </c>
      <c r="J30" s="44" t="str">
        <f ca="1">IF(OR(I30=" ",I30="")," ",OFFSET($BO$9,CL30-1,0-4,1,1))</f>
        <v xml:space="preserve"> </v>
      </c>
      <c r="K30" s="55" t="str">
        <f>IF(OR(I30=" ",I30="")," ",IF(OR(Z30="e",Z30="h"),"SD",IF(BG$24=BH$11,BH$13,BG$24)))</f>
        <v xml:space="preserve"> </v>
      </c>
      <c r="L30" s="49">
        <f ca="1">CW30</f>
        <v>0</v>
      </c>
      <c r="M30" s="49">
        <f ca="1">CY30</f>
        <v>0</v>
      </c>
      <c r="N30" s="50">
        <f t="shared" ca="1" si="24"/>
        <v>0</v>
      </c>
      <c r="O30" s="126">
        <f t="shared" ca="1" si="24"/>
        <v>0</v>
      </c>
      <c r="P30" s="140"/>
      <c r="Q30" s="752" t="str">
        <f ca="1">IF(AND(OR(Z30="t",Z30="f"),K30=$BH$11),"No Floor!  Change Floor Type",IF(OR(I30=" ",I30="")," ",IF(F30&lt;OFFSET($BM$9,CL30-1,0,1,1),"check L(m)",DE30&amp;IF(AND(DP30&gt;=CY30,DR30&gt;=DB30),IF(AND(ED30&gt;=DP30,EF30&gt;=DR30),CONCATENATE(DS30," will provide same result"),CONCATENATE(CO30," will provide same result")),IF((DP30&gt;=CY30),CONCATENATE(CO30," provides same result in WIND"),IF((DR30&gt;=DB30),CONCATENATE(CO30," provides same result in EQ"),""))))))&amp;IF(ISERROR(FIND("pile",I30,1)),"",IF(INT(F30)&lt;&gt;F30,"Pile!  Use Whole Numbers Only",""))</f>
        <v xml:space="preserve"> </v>
      </c>
      <c r="U30" s="1377"/>
      <c r="V30" s="52" t="str">
        <f ca="1">IF(AND(B$5=$BF$9,OR(I30=BH$16,I30=BH$17))," ",IF(ISNUMBER(B$26),(CONCATENATE(B$26,".",W30)),(CONCATENATE(B$26,W30))))</f>
        <v>D0</v>
      </c>
      <c r="W30" s="9">
        <f ca="1">W29+X30</f>
        <v>0</v>
      </c>
      <c r="X30" s="9">
        <f>IF(AND(B$5=$BF$9,OR($I30=$BH$16,$I30=$BH$17,$I30=" ",$I30="",$F30=0)),0,IF(OR($I30=" ",$I30="",$F30=0),0,1))</f>
        <v>0</v>
      </c>
      <c r="Y30" s="896"/>
      <c r="Z30" s="52" t="str">
        <f ca="1">IF(I30=" "," ",OFFSET($BM$9,$CL30-1,8,1,1))</f>
        <v xml:space="preserve"> </v>
      </c>
      <c r="AA30" s="51" t="str">
        <f>IF(G30&gt;=45,"WA","")</f>
        <v/>
      </c>
      <c r="AB30" s="1364" t="str">
        <f>IF(OR(E30=" ",E30="")," ",(IF(F30&lt;&gt;"",IF(OR(D30=$BG$12,D30=$BG$13),IF(E30&lt;&gt;$BG$17,$BF$20,$BF$21),IF(E30&lt;&gt;$BG$17,$BF$20,$BF$21))," ")))</f>
        <v xml:space="preserve"> </v>
      </c>
      <c r="AC30" s="1"/>
      <c r="AJ30" s="2"/>
      <c r="AM30" s="4"/>
      <c r="AN30" s="4"/>
      <c r="AO30" s="4"/>
      <c r="AP30" s="4"/>
      <c r="AQ30" s="4"/>
      <c r="AR30" s="10"/>
      <c r="AS30" s="10"/>
      <c r="AT30" s="4"/>
      <c r="AU30" s="475"/>
      <c r="AV30" s="475"/>
      <c r="AW30" s="475"/>
      <c r="AX30" s="475"/>
      <c r="AY30" s="475"/>
      <c r="AZ30" s="475"/>
      <c r="BA30" s="475"/>
      <c r="BB30" s="475"/>
      <c r="BC30" s="475"/>
      <c r="BD30" s="2648"/>
      <c r="BF30" s="598" t="str">
        <f>Table!AI83</f>
        <v>ESPH</v>
      </c>
      <c r="BG30" s="430" t="s">
        <v>944</v>
      </c>
      <c r="BH30" s="52">
        <f>'Project Demand'!AX78</f>
        <v>1</v>
      </c>
      <c r="BI30" s="759"/>
      <c r="BJ30" s="897">
        <f t="shared" si="5"/>
        <v>22</v>
      </c>
      <c r="BK30" s="769" t="str">
        <f t="shared" si="6"/>
        <v xml:space="preserve">  </v>
      </c>
      <c r="BL30" s="771" t="str">
        <f t="shared" si="7"/>
        <v>Custom19</v>
      </c>
      <c r="BM30" s="455">
        <f t="shared" si="8"/>
        <v>9.9999999999999996E-76</v>
      </c>
      <c r="BN30" s="455">
        <v>999</v>
      </c>
      <c r="BO30" s="455">
        <f t="shared" si="9"/>
        <v>0</v>
      </c>
      <c r="BP30" s="925">
        <f t="shared" si="10"/>
        <v>0</v>
      </c>
      <c r="BR30" s="764"/>
      <c r="BS30" s="455"/>
      <c r="BT30" s="455" t="str">
        <f t="shared" si="11"/>
        <v>B</v>
      </c>
      <c r="BU30" s="925" t="str">
        <f t="shared" si="12"/>
        <v>T</v>
      </c>
      <c r="BV30" s="483" t="str">
        <f t="shared" si="13"/>
        <v>Custom19</v>
      </c>
      <c r="BW30" s="910">
        <f t="shared" si="22"/>
        <v>22</v>
      </c>
      <c r="BX30" s="924" t="str">
        <f t="shared" si="14"/>
        <v>Single</v>
      </c>
      <c r="CH30" s="764">
        <f t="shared" si="15"/>
        <v>0</v>
      </c>
      <c r="CI30" s="925">
        <f t="shared" si="16"/>
        <v>0</v>
      </c>
      <c r="CJ30" s="759"/>
      <c r="CK30" s="188"/>
      <c r="CL30" s="979">
        <f>VLOOKUP(I30,Prodlink,2,0)</f>
        <v>0</v>
      </c>
      <c r="CN30" s="497">
        <f t="shared" ca="1" si="2"/>
        <v>0</v>
      </c>
      <c r="CO30" s="497">
        <f ca="1">OFFSET($CH$9,CL30-1,-15,1,1)</f>
        <v>0</v>
      </c>
      <c r="CQ30" s="51">
        <v>0</v>
      </c>
      <c r="CR30" s="51">
        <f ca="1">IF(AND(Z30&lt;&gt;"t",Z30&lt;&gt;"f"),10000,IF(K30=$BH$11,0,IF(K30=$BH$12,$BH$23,IF(K30=$BH$13,$BH$24,10000))))</f>
        <v>10000</v>
      </c>
      <c r="CS30" s="51">
        <f ca="1">IF(F30&lt;OFFSET($BM$9,CL30-1,0,1,1),0,IF(F30&lt;OFFSET($BN$9,CL30-1,0,1,1),((F30-OFFSET($BM$9,CL30-1,0,1,1))*OFFSET($CH$9,CL30-1,0,1,1))+OFFSET($BO$9,CL30-1,CQ30,1,1),IF(F30&lt;OFFSET($BN$9,CL30+0,0,1,1),((F30-OFFSET($BM$9,CL30+0,0,1,1))*OFFSET($CH$9,CL30+0,0,1,1))+OFFSET($BO$9,CL30+0,CQ30,1,1),IF(F30&lt;OFFSET($BN$9,CL30+1,0,1,1),((F30-OFFSET($BM$9,CL30+1,0,1,1))*OFFSET($CH$9,CL30+1,0,1,1))+OFFSET($BO$9,CL30+1,CQ30,1,1),IF(F30&lt;OFFSET($BN$9,CL30+2,0,1,1),((F30-OFFSET($BM$9,CL30+2,0,1,1))*OFFSET($CH$9,CL30+2,0,1,1))+OFFSET($BO$9,CL30+2,CQ30,1,1),IF(F30&lt;OFFSET($BN$9,CL30+3,0,1,1),((F30-OFFSET($BM$9,CL30+3,0,1,1))*OFFSET($CH$9,CL30+3,0,1,1))+OFFSET($BO$9,CL30+3,CQ30,1,1),0))))))</f>
        <v>0</v>
      </c>
      <c r="CT30" s="51">
        <f ca="1">IF($F30&lt;OFFSET($BM$9,$CL30-1,0,1,1),0,IF($F30&lt;OFFSET($BN$9,$CL30-1,0,1,1),IF(AND($H30&gt;2.4,Z30&lt;&gt;"e",Z30&lt;&gt;"f"),CX30*2.4/$H30,CX30),IF($F30&lt;OFFSET($BN$9,$CL30+0,0,1,1),IF(AND($H30&gt;2.4,Z30&lt;&gt;"e",Z30&lt;&gt;"f"),CX30*2.4/$H30,CX30),IF($F30&lt;OFFSET($BN$9,$CL30+1,0,1,1),IF(AND($H30&gt;2.4,Z30&lt;&gt;"e",Z30&lt;&gt;"f"),CX30*2.4/$H30,CX30),IF($F30&lt;OFFSET($BN$9,CL30+2,0,1,1),IF(AND($H30&gt;2.4,Z30&lt;&gt;"e",Z30&lt;&gt;"f"),CX30*2.4/$H30,CX30),IF($F30&lt;OFFSET($BN$9,CL30+3,0,1,1),IF(AND($H30&gt;2.4,Z30&lt;&gt;"e",Z30&lt;&gt;"f"),CX30*2.4/$H30,CX30),0)))))*COS(RADIANS($G30)))</f>
        <v>0</v>
      </c>
      <c r="CU30" s="51">
        <f ca="1">IF(F30&lt;OFFSET($BM$9,CL30-1,0,1,1),0,IF(F30&lt;OFFSET($BN$9,CL30-1,0,1,1),((F30-OFFSET($BM$9,CL30-1,0,1,1))*OFFSET($CI$9,CL30-1,0,1,1))+OFFSET($BP$9,CL30-1,CQ30,1,1),IF(F30&lt;OFFSET($BN$9,CL30+0,0,1,1),((F30-OFFSET($BM$9,CL30+0,0,1,1))*OFFSET($CI$9,CL30+0,0,1,1))+OFFSET($BP$9,CL30+0,CQ30,1,1),IF(F30&lt;OFFSET($BN$9,CL30+1,0,1,1),((F30-OFFSET($BM$9,CL30+1,0,1,1))*OFFSET($CI$9,CL30+1,0,1,1))+OFFSET($BP$9,CL30+1,CQ30,1,1),IF(F30&lt;OFFSET($BN$9,CL30+2,0,1,1),((F30-OFFSET($BM$9,CL30+2,0,1,1))*OFFSET($CI$9,CL30+2,0,1,1))+OFFSET($BP$9,CL30+2,CQ30,1,1),IF(F30&lt;OFFSET($BN$9,CL30+3,0,1,1),((F30-OFFSET($BM$9,CL30+3,0,1,1))*OFFSET($CI$9,CL30+3,0,1,1))+OFFSET($BP$9,CL30+3,CQ30,1,1),0))))))</f>
        <v>0</v>
      </c>
      <c r="CV30" s="51">
        <f ca="1">IF($F30&lt;OFFSET($BM$9,$CL30-1,0,1,1),0,IF($F30&lt;OFFSET($BN$9,$CL30-1,0,1,1),IF(AND($H30&gt;2.4,Z30&lt;&gt;"e",Z30&lt;&gt;"f"),CZ30*2.4/$H30,CZ30),IF($F30&lt;OFFSET($BN$9,$CL30+0,0,1,1),IF(AND($H30&gt;2.4,Z30&lt;&gt;"e",Z30&lt;&gt;"f"),CZ30*2.4/$H30,CZ30),IF($F30&lt;OFFSET($BN$9,$CL30+1,0,1,1),IF(AND($H30&gt;2.4,Z30&lt;&gt;"e",Z30&lt;&gt;"f"),CZ30*2.4/$H30,CZ30),IF($F30&lt;OFFSET($BN$9,$CL30+2,0,1,1),IF(AND($H30&gt;2.4,Z30&lt;&gt;"e",Z30&lt;&gt;"f"),CZ30*2.4/$H30,CZ30),IF($F30&lt;OFFSET($BN$9,$CL30+3,0,1,1),IF(AND($H30&gt;2.4,Z30&lt;&gt;"e",Z30&lt;&gt;"f"),CZ30*2.4/$H30,CZ30),0)))))*COS(RADIANS($G30)))</f>
        <v>0</v>
      </c>
      <c r="CW30" s="51">
        <f t="shared" ca="1" si="17"/>
        <v>0</v>
      </c>
      <c r="CX30" s="51">
        <f ca="1">IF(CS30&gt;$CR30,$CR30,CS30)</f>
        <v>0</v>
      </c>
      <c r="CY30" s="51">
        <f ca="1">CW30*F30</f>
        <v>0</v>
      </c>
      <c r="CZ30" s="51">
        <f ca="1">IF($CU30&gt;$CR30,$CR30,$CU30)</f>
        <v>0</v>
      </c>
      <c r="DA30" s="51">
        <f ca="1">IF(CV30&gt;CR30,CR30,CV30)</f>
        <v>0</v>
      </c>
      <c r="DB30" s="51">
        <f ca="1">DA30*F30</f>
        <v>0</v>
      </c>
      <c r="DC30" s="993">
        <v>1</v>
      </c>
      <c r="DD30" s="758" t="str">
        <f>IF(OR(D30=BG$12,D30=BG$13),"External",IF(D30=BG$14,"Internal"," "))</f>
        <v xml:space="preserve"> </v>
      </c>
      <c r="DE30" s="51" t="str">
        <f t="shared" ca="1" si="18"/>
        <v/>
      </c>
      <c r="DF30" s="52" t="str">
        <f t="shared" ca="1" si="19"/>
        <v xml:space="preserve"> </v>
      </c>
      <c r="DG30" s="51">
        <f ca="1">IF(F30&lt;OFFSET($BM$9,CN30-1,0,1,1),0,IF(F30&lt;OFFSET($BN$9,CN30-1,0,1,1),((F30-OFFSET($BM$9,CN30-1,0,1,1))*OFFSET($CH$9,CN30-1,0,1,1))+OFFSET($BO$9,CN30-1,CQ30,1,1),IF(F30&lt;OFFSET($BN$9,CN30+0,0,1,1),((F30-OFFSET($BM$9,CN30+0,0,1,1))*OFFSET($CH$9,CN30+0,0,1,1))+OFFSET($BO$9,CN30+0,CQ30,1,1),IF(F30&lt;OFFSET($BN$9,CN30+1,0,1,1),((F30-OFFSET($BM$9,CN30+1,0,1,1))*OFFSET($CH$9,CN30+1,0,1,1))+OFFSET($BO$9,CN30+1,CQ30,1,1),IF(F30&lt;OFFSET($BN$9,CN30+2,0,1,1),((F30-OFFSET($BM$9,CN30+2,0,1,1))*OFFSET($CH$9,CN30+2,0,1,1))+OFFSET($BO$9,CN30+2,CQ30,1,1),IF(F30&lt;OFFSET($BN$9,CN30+3,0,1,1),((F30-OFFSET($BM$9,CN30+3,0,1,1))*OFFSET($CH$9,CN30+3,0,1,1))+OFFSET($BO$9,CN30+3,CQ30,1,1),0))))))</f>
        <v>0</v>
      </c>
      <c r="DH30" s="51">
        <f ca="1">IF($F30&lt;OFFSET($BM$9,$CN30-1,0,1,1),0,IF($F30&lt;OFFSET($BN$9,$CN30-1,0,1,1),IF(AND($H30&gt;2.4,Z30&lt;&gt;"e",Z30&lt;&gt;"f"),DL30*2.4/$H30,DL30),IF($F30&lt;OFFSET($BN$9,$CN30+0,0,1,1),IF(AND($H30&gt;2.4,Z30&lt;&gt;"e",Z30&lt;&gt;"f"),DL30*2.4/$H30,DL30),IF($F30&lt;OFFSET($BN$9,$CN30+1,0,1,1),IF(AND($H30&gt;2.4,Z30&lt;&gt;"e",Z30&lt;&gt;"f"),DL30*2.4/$H30,DL30),IF($F30&lt;OFFSET($BN$9,$CN30+2,0,1,1),IF(AND($H30&gt;2.4,Z30&lt;&gt;"e",Z30&lt;&gt;"f"),DL30*2.4/$H30,DL30),IF($F30&lt;OFFSET($BN$9,$CN30+3,0,1,1),IF(AND($H30&gt;2.4,Z30&lt;&gt;"e",Z30&lt;&gt;"f"),DL30*2.4/$H30,DL30),0)))))*COS(RADIANS($G30)))</f>
        <v>0</v>
      </c>
      <c r="DI30" s="51">
        <f ca="1">IF(F30&lt;OFFSET($BM$9,CN30-1,0,1,1),0,IF(F30&lt;OFFSET($BN$9,CN30-1,0,1,1),((F30-OFFSET($BM$9,CN30-1,0,1,1))*OFFSET($CI$9,CN30-1,0,1,1))+OFFSET($BP$9,CN30-1,CQ30,1,1),IF(F30&lt;OFFSET($BN$9,CN30+0,0,1,1),((F30-OFFSET($BM$9,CN30+0,0,1,1))*OFFSET($CI$9,CN30+0,0,1,1))+OFFSET($BP$9,CN30+0,CQ30,1,1),IF(F30&lt;OFFSET($BN$9,CN30+1,0,1,1),((F30-OFFSET($BM$9,CN30+1,0,1,1))*OFFSET($CI$9,CN30+1,0,1,1))+OFFSET($BP$9,CN30+1,CQ30,1,1),IF(F30&lt;OFFSET($BN$9,CN30+2,0,1,1),((F30-OFFSET($BM$9,CN30+2,0,1,1))*OFFSET($CI$9,CN30+2,0,1,1))+OFFSET($BP$9,CN30+2,CQ30,1,1),IF(F30&lt;OFFSET($BN$9,CN30+3,0,1,1),((F30-OFFSET($BM$9,CN30+3,0,1,1))*OFFSET($CI$9,CN30+3,0,1,1))+OFFSET($BP$9,CN30+3,CQ30,1,1),0))))))</f>
        <v>0</v>
      </c>
      <c r="DJ30" s="51">
        <f ca="1">IF($F30&lt;OFFSET($BM$9,$CN30-1,0,1,1),0,IF($F30&lt;OFFSET($BN$9,$CN30-1,0,1,1),IF(AND($H30&gt;2.4,Z30&lt;&gt;"e",Z30&lt;&gt;"f"),DN30*2.4/$H30,DN30),IF($F30&lt;OFFSET($BN$9,$CN30+0,0,1,1),IF(AND($H30&gt;2.4,Z30&lt;&gt;"e",Z30&lt;&gt;"f"),DN30*2.4/$H30,DN30),IF($F30&lt;OFFSET($BN$9,$CN30+1,0,1,1),IF(AND($H30&gt;2.4,Z30&lt;&gt;"e",Z30&lt;&gt;"f"),DN30*2.4/$H30,DN30),IF($F30&lt;OFFSET($BN$9,$CN30+2,0,1,1),IF(AND($H30&gt;2.4,Z30&lt;&gt;"e",Z30&lt;&gt;"f"),DN30*2.4/$H30,DN30),IF($F30&lt;OFFSET($BN$9,$CN30+3,0,1,1),IF(AND($H30&gt;2.4,Z30&lt;&gt;"e",Z30&lt;&gt;"f"),DN30*2.4/$H30,DN30),0)))))*COS(RADIANS($G30)))</f>
        <v>0</v>
      </c>
      <c r="DK30" s="51"/>
      <c r="DL30" s="51">
        <f ca="1">IF(DG30&gt;$CR30,$CR30,DG30)</f>
        <v>0</v>
      </c>
      <c r="DM30" s="51"/>
      <c r="DN30" s="51">
        <f ca="1">IF(DI30&gt;$CR30,$CR30,DI30)</f>
        <v>0</v>
      </c>
      <c r="DO30" s="435">
        <f ca="1">IF(DH30&gt;$CR30,$CR30,DH30)</f>
        <v>0</v>
      </c>
      <c r="DP30" s="435">
        <f ca="1">DO30*F30</f>
        <v>0</v>
      </c>
      <c r="DQ30" s="436">
        <f ca="1">IF(DJ30&gt;$CR30,$CR30,DJ30)</f>
        <v>0</v>
      </c>
      <c r="DR30" s="437">
        <f ca="1">DQ30*F30</f>
        <v>0</v>
      </c>
      <c r="DS30" s="426">
        <f ca="1">OFFSET($CH$9,CL30-1,-15,1,1)</f>
        <v>0</v>
      </c>
      <c r="DT30" s="426">
        <f t="shared" ca="1" si="1"/>
        <v>0</v>
      </c>
      <c r="DU30" s="188">
        <f ca="1">IF(F30&lt;OFFSET($BM$9,DT30-1,0,1,1),0,IF(F30&lt;OFFSET($BN$9,DT30-1,0,1,1),((F30-OFFSET($BM$9,DT30-1,0,1,1))*OFFSET($CH$9,DT30-1,0,1,1))+OFFSET($BO$9,DT30-1,CQ30,1,1),IF(F30&lt;OFFSET($BN$9,DT30+0,0,1,1),((F30-OFFSET($BM$9,DT30+0,0,1,1))*OFFSET($CH$9,DT30+0,0,1,1))+OFFSET($BO$9,DT30+0,CQ30,1,1),IF(F30&lt;OFFSET($BN$9,DT30+1,0,1,1),((F30-OFFSET($BM$9,DT30+1,0,1,1))*OFFSET($CH$9,DT30+1,0,1,1))+OFFSET($BO$9,DT30+1,CQ30,1,1),IF(F30&lt;OFFSET($BN$9,DT30+2,0,1,1),((F30-OFFSET($BM$9,DT30+2,0,1,1))*OFFSET($CH$9,DT30+2,0,1,1))+OFFSET($BO$9,DT30+2,CQ30,1,1),IF(F30&lt;OFFSET($BN$9,DT30+3,0,1,1),((F30-OFFSET($BM$9,DT30+3,0,1,1))*OFFSET($CH$9,DT30+3,0,1,1))+OFFSET($BO$9,DT30+3,CQ30,1,1),0))))))</f>
        <v>0</v>
      </c>
      <c r="DV30" s="51">
        <f ca="1">IF($F30&lt;OFFSET($BM$9,$DT30-1,0,1,1),0,IF($F30&lt;OFFSET($BN$9,$DT30-1,0,1,1),IF(AND($H30&gt;2.4,Z30&lt;&gt;"e",Z30&lt;&gt;"f"),DZ30*2.4/$H30,DZ30),IF($F30&lt;OFFSET($BN$9,$DT30+0,0,1,1),IF(AND($H30&gt;2.4,Z30&lt;&gt;"e",Z30&lt;&gt;"f"),DZ30*2.4/$H30,DZ30),IF($F30&lt;OFFSET($BN$9,$DT30+1,0,1,1),IF(AND($H30&gt;2.4,Z30&lt;&gt;"e",Z30&lt;&gt;"f"),DZ30*2.4/$H30,DZ30),IF($F30&lt;OFFSET($BN$9,$DT30+2,0,1,1),IF(AND($H30&gt;2.4,Z30&lt;&gt;"e",Z30&lt;&gt;"f"),DZ30*2.4/$H30,DZ30),IF($F30&lt;OFFSET($BN$9,$DT30+3,0,1,1),IF(AND($H30&gt;2.4,Z30&lt;&gt;"e",Z30&lt;&gt;"f"),DZ30*2.4/$H30,DZ30),0)))))*COS(RADIANS($G30)))</f>
        <v>0</v>
      </c>
      <c r="DW30" s="188">
        <f ca="1">IF(F30&lt;OFFSET($BM$9,DT30-1,0,1,1),0,IF(F30&lt;OFFSET($BN$9,DT30-1,0,1,1),((F30-OFFSET($BM$9,DT30-1,0,1,1))*OFFSET($CI$9,DT30-1,0,1,1))+OFFSET($BP$9,DT30-1,CQ30,1,1),IF(F30&lt;OFFSET($BN$9,DT30+0,0,1,1),((F30-OFFSET($BM$9,DT30+0,0,1,1))*OFFSET($CI$9,DT30+0,0,1,1))+OFFSET($BP$9,DT30+0,CQ30,1,1),IF(F30&lt;OFFSET($BN$9,DT30+1,0,1,1),((F30-OFFSET($BM$9,DT30+1,0,1,1))*OFFSET($CI$9,DT30+1,0,1,1))+OFFSET($BP$9,DT30+1,CQ30,1,1),IF(F30&lt;OFFSET($BN$9,DT30+2,0,1,1),((F30-OFFSET($BM$9,DT30+2,0,1,1))*OFFSET($CI$9,DT30+2,0,1,1))+OFFSET($BP$9,DT30+2,CQ30,1,1),IF(F30&lt;OFFSET($BN$9,DT30+3,0,1,1),((F30-OFFSET($BM$9,DT30+3,0,1,1))*OFFSET($CI$9,DT30+3,0,1,1))+OFFSET($BP$9,DT30+3,CQ30,1,1),0))))))</f>
        <v>0</v>
      </c>
      <c r="DX30" s="51">
        <f ca="1">IF($F30&lt;OFFSET($BM$9,$DT30-1,0,1,1),0,IF($F30&lt;OFFSET($BN$9,$DT30-1,0,1,1),IF(AND($H30&gt;2.4,Z30&lt;&gt;"e",Z30&lt;&gt;"f"),EB30*2.4/$H30,EB30),IF($F30&lt;OFFSET($BN$9,$DT30+0,0,1,1),IF(AND($H30&gt;2.4,Z30&lt;&gt;"e",Z30&lt;&gt;"f"),EB30*2.4/$H30,EB30),IF($F30&lt;OFFSET($BN$9,$DT30+1,0,1,1),IF(AND($H30&gt;2.4,Z30&lt;&gt;"e",Z30&lt;&gt;"f"),EB30*2.4/$H30,EB30),IF($F30&lt;OFFSET($BN$9,$DT30+2,0,1,1),IF(AND($H30&gt;2.4,Z30&lt;&gt;"e",Z30&lt;&gt;"f"),EB30*2.4/$H30,EB30),IF($F30&lt;OFFSET($BN$9,$DT30+3,0,1,1),IF(AND($H30&gt;2.4,Z30&lt;&gt;"e",Z30&lt;&gt;"f"),EB30*2.4/$H30,EB30),0)))))*COS(RADIANS($G30)))</f>
        <v>0</v>
      </c>
      <c r="DY30" s="188"/>
      <c r="DZ30" s="188">
        <f ca="1">IF(DU30&gt;$CR30,$CR30,DU30)</f>
        <v>0</v>
      </c>
      <c r="EA30" s="188"/>
      <c r="EB30" s="188">
        <f ca="1">IF(DW30&gt;$CR30,$CR30,DW30)</f>
        <v>0</v>
      </c>
      <c r="EC30" s="435">
        <f ca="1">IF(DV30&gt;$CR30,$CR30,DV30)</f>
        <v>0</v>
      </c>
      <c r="ED30" s="435">
        <f ca="1">EC30*F30</f>
        <v>0</v>
      </c>
      <c r="EE30" s="436">
        <f ca="1">IF(DX30&gt;$CR30,$CR30,DX30)</f>
        <v>0</v>
      </c>
      <c r="EF30" s="437">
        <f ca="1">EE30*F30</f>
        <v>0</v>
      </c>
      <c r="EG30" s="613" t="str">
        <f>IF(D30=BG$12,BG$12,"")</f>
        <v/>
      </c>
      <c r="EH30" s="614" t="str">
        <f>IF(D30=BG$13,BG$13,"")</f>
        <v/>
      </c>
      <c r="EI30" s="611">
        <f>IF(EG30=BG$12,M30,0)</f>
        <v>0</v>
      </c>
      <c r="EJ30" s="451">
        <f>IF(EG30=BG$12,O30,0)</f>
        <v>0</v>
      </c>
      <c r="EK30" s="451">
        <f>IF(EH30=BG$13,M30,0)</f>
        <v>0</v>
      </c>
      <c r="EL30" s="612">
        <f>IF(EH30=BG$13,O30,0)</f>
        <v>0</v>
      </c>
      <c r="EM30" s="426" t="str">
        <f ca="1">IF(AND(Z30&lt;&gt;"t",Z30&lt;&gt;"f"),"",IF(AND(EN30=$BH$11,K30&lt;&gt;EN30),EM$4,IF(AND(EN30=$BH$12,K30=$BH$13),EM$4,IF(AND(EN30=$BH$12,K30=$BH$14),EM$4,IF(AND(EN30=$BH$13,K30=$BH$14),$EM$4,IF(EN30=$BH$14,$EM$4,""))))))</f>
        <v/>
      </c>
      <c r="EN30" s="489" t="str">
        <f>BG$24</f>
        <v>No Floor</v>
      </c>
      <c r="EO30" s="426" t="str">
        <f>K30</f>
        <v xml:space="preserve"> </v>
      </c>
      <c r="EP30" s="497" t="str">
        <f ca="1">IF(AND(Z30&lt;&gt;"t",Z30&lt;&gt;"f"),"",IF(AND(EN30=$BH$14,K30&lt;&gt;EN30),EP$4,IF(AND(EN30=$BH$13,K30=$BH$12),EP$4,IF(AND(EN30=$BH$13,K30=$BH$11),EP$4,IF(AND(EN30=$BH$12,K30=$BH$11),$EP$4,IF(EN30=$BH$11,"Earth",""))))))</f>
        <v/>
      </c>
      <c r="EQ30" s="430" t="str">
        <f ca="1">IF(Z30&lt;&gt;"t","",IF(EQ$5=2,IF(K30&lt;&gt;BH$11,EQ$7," ")))</f>
        <v/>
      </c>
      <c r="ER30" s="439" t="str">
        <f ca="1">IF(H30=0," ",H30)</f>
        <v xml:space="preserve"> </v>
      </c>
      <c r="ES30" s="440" t="str">
        <f ca="1">IF(ER30&lt;&gt;" ",IF(ER30&lt;&gt;ER$7,"Changed",""),"")</f>
        <v/>
      </c>
      <c r="ET30" s="440">
        <f t="shared" ca="1" si="20"/>
        <v>0</v>
      </c>
      <c r="EU30" s="426" t="str">
        <f ca="1">IF(I30=" "," ",IF(F30&lt;OFFSET($BM$9,CL30-1,0,1,1),1,""))</f>
        <v xml:space="preserve"> </v>
      </c>
      <c r="EW30" s="427"/>
      <c r="EY30" s="421"/>
    </row>
    <row r="31" spans="2:155" ht="17.100000000000001" customHeight="1" thickBot="1">
      <c r="B31" s="2686" t="s">
        <v>8</v>
      </c>
      <c r="C31" s="2687"/>
      <c r="D31" s="1461" t="s">
        <v>8</v>
      </c>
      <c r="E31" s="659"/>
      <c r="F31" s="659"/>
      <c r="G31" s="659"/>
      <c r="H31" s="659"/>
      <c r="I31" s="1462"/>
      <c r="J31" s="1365" t="str">
        <f ca="1">(CONCATENATE(B26,$BE$54))</f>
        <v>D  Line:  Min. Requirement</v>
      </c>
      <c r="K31" s="23"/>
      <c r="L31" s="1019">
        <f ca="1">L$5</f>
        <v>0</v>
      </c>
      <c r="M31" s="48">
        <f ca="1">IF(B26=B20,SUM(M26:M30)+M25,SUM(M26:M30))</f>
        <v>0</v>
      </c>
      <c r="N31" s="1019">
        <f ca="1">N$5</f>
        <v>0</v>
      </c>
      <c r="O31" s="125">
        <f ca="1">IF(B26=B20,SUM(O26:O30)+O25,SUM(O26:O30))</f>
        <v>0</v>
      </c>
      <c r="P31" s="139"/>
      <c r="Q31" s="42" t="str">
        <f ca="1">IF(B26=B32,"",IF(AND(M31&gt;0,L31=L$5,OR(M31&lt;$M$105,M31&lt;$BF$3)),"Achieved &lt; Min Req per Line",IF(AND(O31&gt;0,N31=N$5,OR(O31&lt;$O$105,O31&lt;$BF$3)),"Achieved &lt; Min Req per Line",IF(AND(M31&gt;0,L31&gt;M31),"More Required on this line",IF(AND(O31&gt;0,N31&gt;O31),"More Required on this line",IF(AND(L31&gt;0,L31&lt;$BF$3),$BE$59,IF(AND(N31&gt;0,N31&lt;$BF$3),$BE$59,"")))))))</f>
        <v/>
      </c>
      <c r="R31" s="52"/>
      <c r="S31" s="52"/>
      <c r="T31" s="52"/>
      <c r="U31" s="1378"/>
      <c r="V31" s="52"/>
      <c r="W31" s="999"/>
      <c r="X31" s="999"/>
      <c r="Y31" s="896"/>
      <c r="Z31" s="52"/>
      <c r="AA31" s="51"/>
      <c r="AB31" s="1364"/>
      <c r="AC31" s="1"/>
      <c r="AJ31" s="2"/>
      <c r="AM31" s="4"/>
      <c r="AN31" s="4"/>
      <c r="AO31" s="4"/>
      <c r="AP31" s="4"/>
      <c r="AQ31" s="4"/>
      <c r="AR31" s="10"/>
      <c r="AS31" s="10"/>
      <c r="AT31" s="4"/>
      <c r="AU31" s="121"/>
      <c r="AV31" s="121"/>
      <c r="AW31" s="121"/>
      <c r="AX31" s="121"/>
      <c r="AY31" s="121"/>
      <c r="AZ31" s="121"/>
      <c r="BA31" s="121"/>
      <c r="BB31" s="121"/>
      <c r="BC31" s="121"/>
      <c r="BD31" s="2648"/>
      <c r="BF31" s="598" t="str">
        <f>Table!AI84</f>
        <v>EMPH</v>
      </c>
      <c r="BI31" s="759"/>
      <c r="BJ31" s="897">
        <f t="shared" si="5"/>
        <v>23</v>
      </c>
      <c r="BK31" s="775" t="str">
        <f t="shared" si="6"/>
        <v xml:space="preserve"> </v>
      </c>
      <c r="BL31" s="772" t="str">
        <f t="shared" si="7"/>
        <v>Custom20</v>
      </c>
      <c r="BM31" s="776">
        <f t="shared" si="8"/>
        <v>9.9999999999999996E-76</v>
      </c>
      <c r="BN31" s="776">
        <v>999</v>
      </c>
      <c r="BO31" s="776">
        <f t="shared" si="9"/>
        <v>0</v>
      </c>
      <c r="BP31" s="926">
        <f t="shared" si="10"/>
        <v>0</v>
      </c>
      <c r="BR31" s="908"/>
      <c r="BS31" s="776"/>
      <c r="BT31" s="455" t="str">
        <f t="shared" si="11"/>
        <v>B</v>
      </c>
      <c r="BU31" s="925" t="str">
        <f t="shared" si="12"/>
        <v>T</v>
      </c>
      <c r="BV31" s="484" t="str">
        <f t="shared" si="13"/>
        <v>Custom20</v>
      </c>
      <c r="BW31" s="911">
        <f t="shared" si="22"/>
        <v>23</v>
      </c>
      <c r="BX31" s="924" t="str">
        <f t="shared" si="14"/>
        <v>Single</v>
      </c>
      <c r="CH31" s="908">
        <f t="shared" si="15"/>
        <v>0</v>
      </c>
      <c r="CI31" s="926">
        <f t="shared" si="16"/>
        <v>0</v>
      </c>
      <c r="CJ31" s="759"/>
      <c r="CK31" s="188"/>
      <c r="CL31" s="979"/>
      <c r="CN31" s="497"/>
      <c r="CO31" s="497"/>
      <c r="CQ31" s="51"/>
      <c r="CR31" s="51"/>
      <c r="CS31" s="51"/>
      <c r="CT31" s="51" t="s">
        <v>8</v>
      </c>
      <c r="CU31" s="51"/>
      <c r="CV31" s="51" t="s">
        <v>8</v>
      </c>
      <c r="CW31" s="51"/>
      <c r="CX31" s="51"/>
      <c r="CY31" s="51"/>
      <c r="CZ31" s="51"/>
      <c r="DD31" s="758"/>
      <c r="DF31" s="52"/>
      <c r="DG31" s="51"/>
      <c r="DH31" s="51"/>
      <c r="DI31" s="51"/>
      <c r="DJ31" s="51"/>
      <c r="DK31" s="51"/>
      <c r="DL31" s="51"/>
      <c r="DM31" s="51"/>
      <c r="DN31" s="51"/>
      <c r="DO31" s="435"/>
      <c r="DP31" s="435"/>
      <c r="DQ31" s="868"/>
      <c r="DR31" s="868"/>
      <c r="DU31" s="188"/>
      <c r="DV31" s="188" t="s">
        <v>8</v>
      </c>
      <c r="DW31" s="188"/>
      <c r="DX31" s="188" t="s">
        <v>8</v>
      </c>
      <c r="DY31" s="188"/>
      <c r="DZ31" s="188"/>
      <c r="EA31" s="188"/>
      <c r="EB31" s="188"/>
      <c r="EC31" s="435"/>
      <c r="ED31" s="435"/>
      <c r="EE31" s="868"/>
      <c r="EF31" s="868"/>
      <c r="EG31" s="613"/>
      <c r="EH31" s="614"/>
      <c r="EI31" s="613"/>
      <c r="EJ31" s="435"/>
      <c r="EK31" s="451"/>
      <c r="EL31" s="612"/>
      <c r="EN31" s="438"/>
      <c r="ER31" s="441"/>
      <c r="ES31" s="440"/>
      <c r="ET31" s="440"/>
      <c r="EW31" s="427"/>
      <c r="EY31" s="421"/>
    </row>
    <row r="32" spans="2:155" ht="17.100000000000001" customHeight="1" thickBot="1">
      <c r="B32" s="1369" t="str">
        <f ca="1">S32</f>
        <v>E</v>
      </c>
      <c r="C32" s="684" t="str">
        <f>IF(OR(F32=0,I32="",I32=" ")," ",$V32)</f>
        <v xml:space="preserve"> </v>
      </c>
      <c r="D32" s="1033"/>
      <c r="E32" s="1360"/>
      <c r="F32" s="202"/>
      <c r="G32" s="1416"/>
      <c r="H32" s="1417" t="str">
        <f ca="1">IF(OR(F32=0,Z32="E",Z32="f")," ",'Project Demand'!E$55)</f>
        <v xml:space="preserve"> </v>
      </c>
      <c r="I32" s="631" t="str">
        <f>IF($I$6&lt;&gt;$BG$8," ",AB32)</f>
        <v xml:space="preserve"> </v>
      </c>
      <c r="J32" s="43" t="str">
        <f ca="1">IF(OR(I32=" ",I32="")," ",OFFSET($BO$9,CL32-1,0-4,1,1))</f>
        <v xml:space="preserve"> </v>
      </c>
      <c r="K32" s="55" t="str">
        <f>IF(OR(I32=" ",I32="")," ",IF(OR(Z32="e",Z32="h"),"SD",IF(BG$24=BH$11,BH$13,BG$24)))</f>
        <v xml:space="preserve"> </v>
      </c>
      <c r="L32" s="49">
        <f ca="1">CW32</f>
        <v>0</v>
      </c>
      <c r="M32" s="49">
        <f ca="1">CY32</f>
        <v>0</v>
      </c>
      <c r="N32" s="50">
        <f t="shared" ref="N32:O36" ca="1" si="25">DA32</f>
        <v>0</v>
      </c>
      <c r="O32" s="126">
        <f t="shared" ca="1" si="25"/>
        <v>0</v>
      </c>
      <c r="P32" s="140"/>
      <c r="Q32" s="752" t="str">
        <f ca="1">IF(AND(OR(Z32="t",Z32="f"),K32=$BH$11),"No Floor!  Change Floor Type",IF(OR(I32=" ",I32="")," ",IF(F32&lt;OFFSET($BM$9,CL32-1,0,1,1),"check L(m)",DE32&amp;IF(AND(DP32&gt;=CY32,DR32&gt;=DB32),IF(AND(ED32&gt;=DP32,EF32&gt;=DR32),CONCATENATE(DS32," will provide same result"),CONCATENATE(CO32," will provide same result")),IF((DP32&gt;=CY32),CONCATENATE(CO32," provides same result in WIND"),IF((DR32&gt;=DB32),CONCATENATE(CO32," provides same result in EQ"),""))))))&amp;IF(ISERROR(FIND("pile",I32,1)),"",IF(INT(F32)&lt;&gt;F32,"Pile!  Use Whole Numbers Only",""))</f>
        <v xml:space="preserve"> </v>
      </c>
      <c r="R32" s="52">
        <f ca="1">IF(T26&lt;&gt;2,(COLUMN(INDIRECT(B26&amp;1))+1),U32)</f>
        <v>5</v>
      </c>
      <c r="S32" s="1372" t="str">
        <f ca="1">SUBSTITUTE(ADDRESS(1,R32,4),"1","")</f>
        <v>E</v>
      </c>
      <c r="T32" s="451">
        <f ca="1">IF(AND(ISTEXT(B32),SUBSTITUTE(SUBSTITUTE(SUBSTITUTE(SUBSTITUTE(SUBSTITUTE(SUBSTITUTE(SUBSTITUTE(SUBSTITUTE(SUBSTITUTE(SUBSTITUTE(SUBSTITUTE(SUBSTITUTE(SUBSTITUTE(SUBSTITUTE(SUBSTITUTE(SUBSTITUTE(SUBSTITUTE(SUBSTITUTE(SUBSTITUTE(SUBSTITUTE(SUBSTITUTE(SUBSTITUTE(SUBSTITUTE(SUBSTITUTE(SUBSTITUTE(SUBSTITUTE(LOWER(B32),"a",),"b",),"c",),"d",),"e",),"f",),"g",),"h",),"i",),"j",),"k",),"l",),"m",),"n",),"o",),"p",),"q",),"r",),"s",),"t",),"u",),"v",),"w",),"x",),"y",),"z",)=""),1,2)</f>
        <v>1</v>
      </c>
      <c r="U32" s="1377">
        <v>5</v>
      </c>
      <c r="V32" s="52" t="str">
        <f ca="1">IF(AND(B$5=$BF$9,OR(I32=BH$16,I32=BH$17))," ",IF(ISNUMBER(B$32),(CONCATENATE(B$32,".",W32)),(CONCATENATE(B$32,W32))))</f>
        <v>E0</v>
      </c>
      <c r="W32" s="9">
        <f ca="1">IF(B26=B32,W30+X32,X32)</f>
        <v>0</v>
      </c>
      <c r="X32" s="9">
        <f>IF(AND(B$5=$BF$9,OR($I32=$BH$16,$I32=$BH$17,$I32=" ",$I32="",$F32=0)),0,IF(OR($I32=" ",$I32="",$F32=0),0,1))</f>
        <v>0</v>
      </c>
      <c r="Y32" s="896">
        <f ca="1">IF(AND(M37&gt;0,B32&lt;&gt;B38),1,0)</f>
        <v>0</v>
      </c>
      <c r="Z32" s="52" t="str">
        <f ca="1">IF(I32=" "," ",OFFSET($BM$9,$CL32-1,8,1,1))</f>
        <v xml:space="preserve"> </v>
      </c>
      <c r="AA32" s="51" t="str">
        <f>IF(G32&gt;=45,"WA","")</f>
        <v/>
      </c>
      <c r="AB32" s="1364" t="str">
        <f>IF(OR(E32=" ",E32="")," ",(IF(F32&lt;&gt;"",IF(OR(D32=$BG$12,D32=$BG$13),IF(E32&lt;&gt;$BG$17,$BF$20,$BF$21),IF(E32&lt;&gt;$BG$17,$BF$20,$BF$21))," ")))</f>
        <v xml:space="preserve"> </v>
      </c>
      <c r="AC32" s="1"/>
      <c r="AJ32" s="2"/>
      <c r="AM32" s="4"/>
      <c r="AN32" s="4"/>
      <c r="AO32" s="4"/>
      <c r="AP32" s="4"/>
      <c r="AQ32" s="4"/>
      <c r="AR32" s="10"/>
      <c r="AS32" s="10"/>
      <c r="AT32" s="4"/>
      <c r="AU32" s="121"/>
      <c r="AV32" s="121"/>
      <c r="AW32" s="121"/>
      <c r="AX32" s="121"/>
      <c r="AY32" s="121"/>
      <c r="AZ32" s="121"/>
      <c r="BA32" s="121"/>
      <c r="BB32" s="121"/>
      <c r="BC32" s="121"/>
      <c r="BD32" s="2648"/>
      <c r="BF32" s="598" t="s">
        <v>8</v>
      </c>
      <c r="BG32" s="948" t="s">
        <v>775</v>
      </c>
      <c r="BI32" s="759"/>
      <c r="BJ32" s="897">
        <f t="shared" si="5"/>
        <v>24</v>
      </c>
      <c r="BW32" s="896"/>
      <c r="CH32" s="970"/>
      <c r="CI32" s="971"/>
      <c r="CJ32" s="759"/>
      <c r="CK32" s="188"/>
      <c r="CL32" s="979">
        <f>VLOOKUP(I32,Prodlink,2,0)</f>
        <v>0</v>
      </c>
      <c r="CN32" s="497">
        <f t="shared" ca="1" si="2"/>
        <v>0</v>
      </c>
      <c r="CO32" s="497">
        <f ca="1">OFFSET($CH$9,CL32-1,-15,1,1)</f>
        <v>0</v>
      </c>
      <c r="CQ32" s="51">
        <v>0</v>
      </c>
      <c r="CR32" s="51">
        <f ca="1">IF(AND(Z32&lt;&gt;"t",Z32&lt;&gt;"f"),10000,IF(K32=$BH$11,0,IF(K32=$BH$12,$BH$23,IF(K32=$BH$13,$BH$24,10000))))</f>
        <v>10000</v>
      </c>
      <c r="CS32" s="51">
        <f ca="1">IF(F32&lt;OFFSET($BM$9,CL32-1,0,1,1),0,IF(F32&lt;OFFSET($BN$9,CL32-1,0,1,1),((F32-OFFSET($BM$9,CL32-1,0,1,1))*OFFSET($CH$9,CL32-1,0,1,1))+OFFSET($BO$9,CL32-1,CQ32,1,1),IF(F32&lt;OFFSET($BN$9,CL32+0,0,1,1),((F32-OFFSET($BM$9,CL32+0,0,1,1))*OFFSET($CH$9,CL32+0,0,1,1))+OFFSET($BO$9,CL32+0,CQ32,1,1),IF(F32&lt;OFFSET($BN$9,CL32+1,0,1,1),((F32-OFFSET($BM$9,CL32+1,0,1,1))*OFFSET($CH$9,CL32+1,0,1,1))+OFFSET($BO$9,CL32+1,CQ32,1,1),IF(F32&lt;OFFSET($BN$9,CL32+2,0,1,1),((F32-OFFSET($BM$9,CL32+2,0,1,1))*OFFSET($CH$9,CL32+2,0,1,1))+OFFSET($BO$9,CL32+2,CQ32,1,1),IF(F32&lt;OFFSET($BN$9,CL32+3,0,1,1),((F32-OFFSET($BM$9,CL32+3,0,1,1))*OFFSET($CH$9,CL32+3,0,1,1))+OFFSET($BO$9,CL32+3,CQ32,1,1),0))))))</f>
        <v>0</v>
      </c>
      <c r="CT32" s="51">
        <f ca="1">IF($F32&lt;OFFSET($BM$9,$CL32-1,0,1,1),0,IF($F32&lt;OFFSET($BN$9,$CL32-1,0,1,1),IF(AND($H32&gt;2.4,Z32&lt;&gt;"e",Z32&lt;&gt;"f"),CX32*2.4/$H32,CX32),IF($F32&lt;OFFSET($BN$9,$CL32+0,0,1,1),IF(AND($H32&gt;2.4,Z32&lt;&gt;"e",Z32&lt;&gt;"f"),CX32*2.4/$H32,CX32),IF($F32&lt;OFFSET($BN$9,$CL32+1,0,1,1),IF(AND($H32&gt;2.4,Z32&lt;&gt;"e",Z32&lt;&gt;"f"),CX32*2.4/$H32,CX32),IF($F32&lt;OFFSET($BN$9,CL32+2,0,1,1),IF(AND($H32&gt;2.4,Z32&lt;&gt;"e",Z32&lt;&gt;"f"),CX32*2.4/$H32,CX32),IF($F32&lt;OFFSET($BN$9,CL32+3,0,1,1),IF(AND($H32&gt;2.4,Z32&lt;&gt;"e",Z32&lt;&gt;"f"),CX32*2.4/$H32,CX32),0)))))*COS(RADIANS($G32)))</f>
        <v>0</v>
      </c>
      <c r="CU32" s="51">
        <f ca="1">IF(F32&lt;OFFSET($BM$9,CL32-1,0,1,1),0,IF(F32&lt;OFFSET($BN$9,CL32-1,0,1,1),((F32-OFFSET($BM$9,CL32-1,0,1,1))*OFFSET($CI$9,CL32-1,0,1,1))+OFFSET($BP$9,CL32-1,CQ32,1,1),IF(F32&lt;OFFSET($BN$9,CL32+0,0,1,1),((F32-OFFSET($BM$9,CL32+0,0,1,1))*OFFSET($CI$9,CL32+0,0,1,1))+OFFSET($BP$9,CL32+0,CQ32,1,1),IF(F32&lt;OFFSET($BN$9,CL32+1,0,1,1),((F32-OFFSET($BM$9,CL32+1,0,1,1))*OFFSET($CI$9,CL32+1,0,1,1))+OFFSET($BP$9,CL32+1,CQ32,1,1),IF(F32&lt;OFFSET($BN$9,CL32+2,0,1,1),((F32-OFFSET($BM$9,CL32+2,0,1,1))*OFFSET($CI$9,CL32+2,0,1,1))+OFFSET($BP$9,CL32+2,CQ32,1,1),IF(F32&lt;OFFSET($BN$9,CL32+3,0,1,1),((F32-OFFSET($BM$9,CL32+3,0,1,1))*OFFSET($CI$9,CL32+3,0,1,1))+OFFSET($BP$9,CL32+3,CQ32,1,1),0))))))</f>
        <v>0</v>
      </c>
      <c r="CV32" s="51">
        <f ca="1">IF($F32&lt;OFFSET($BM$9,$CL32-1,0,1,1),0,IF($F32&lt;OFFSET($BN$9,$CL32-1,0,1,1),IF(AND($H32&gt;2.4,Z32&lt;&gt;"e",Z32&lt;&gt;"f"),CZ32*2.4/$H32,CZ32),IF($F32&lt;OFFSET($BN$9,$CL32+0,0,1,1),IF(AND($H32&gt;2.4,Z32&lt;&gt;"e",Z32&lt;&gt;"f"),CZ32*2.4/$H32,CZ32),IF($F32&lt;OFFSET($BN$9,$CL32+1,0,1,1),IF(AND($H32&gt;2.4,Z32&lt;&gt;"e",Z32&lt;&gt;"f"),CZ32*2.4/$H32,CZ32),IF($F32&lt;OFFSET($BN$9,$CL32+2,0,1,1),IF(AND($H32&gt;2.4,Z32&lt;&gt;"e",Z32&lt;&gt;"f"),CZ32*2.4/$H32,CZ32),IF($F32&lt;OFFSET($BN$9,$CL32+3,0,1,1),IF(AND($H32&gt;2.4,Z32&lt;&gt;"e",Z32&lt;&gt;"f"),CZ32*2.4/$H32,CZ32),0)))))*COS(RADIANS($G32)))</f>
        <v>0</v>
      </c>
      <c r="CW32" s="51">
        <f t="shared" ca="1" si="17"/>
        <v>0</v>
      </c>
      <c r="CX32" s="51">
        <f ca="1">IF(CS32&gt;$CR32,$CR32,CS32)</f>
        <v>0</v>
      </c>
      <c r="CY32" s="51">
        <f ca="1">CW32*F32</f>
        <v>0</v>
      </c>
      <c r="CZ32" s="51">
        <f ca="1">IF($CU32&gt;$CR32,$CR32,$CU32)</f>
        <v>0</v>
      </c>
      <c r="DA32" s="51">
        <f ca="1">IF(CV32&gt;CR32,CR32,CV32)</f>
        <v>0</v>
      </c>
      <c r="DB32" s="51">
        <f ca="1">DA32*F32</f>
        <v>0</v>
      </c>
      <c r="DC32" s="993">
        <v>1</v>
      </c>
      <c r="DD32" s="758" t="str">
        <f>IF(OR(D32=BG$12,D32=BG$13),"External",IF(D32=BG$14,"Internal"," "))</f>
        <v xml:space="preserve"> </v>
      </c>
      <c r="DE32" s="51" t="str">
        <f t="shared" ca="1" si="18"/>
        <v/>
      </c>
      <c r="DF32" s="52" t="str">
        <f t="shared" ca="1" si="19"/>
        <v xml:space="preserve"> </v>
      </c>
      <c r="DG32" s="51">
        <f ca="1">IF(F32&lt;OFFSET($BM$9,CN32-1,0,1,1),0,IF(F32&lt;OFFSET($BN$9,CN32-1,0,1,1),((F32-OFFSET($BM$9,CN32-1,0,1,1))*OFFSET($CH$9,CN32-1,0,1,1))+OFFSET($BO$9,CN32-1,CQ32,1,1),IF(F32&lt;OFFSET($BN$9,CN32+0,0,1,1),((F32-OFFSET($BM$9,CN32+0,0,1,1))*OFFSET($CH$9,CN32+0,0,1,1))+OFFSET($BO$9,CN32+0,CQ32,1,1),IF(F32&lt;OFFSET($BN$9,CN32+1,0,1,1),((F32-OFFSET($BM$9,CN32+1,0,1,1))*OFFSET($CH$9,CN32+1,0,1,1))+OFFSET($BO$9,CN32+1,CQ32,1,1),IF(F32&lt;OFFSET($BN$9,CN32+2,0,1,1),((F32-OFFSET($BM$9,CN32+2,0,1,1))*OFFSET($CH$9,CN32+2,0,1,1))+OFFSET($BO$9,CN32+2,CQ32,1,1),IF(F32&lt;OFFSET($BN$9,CN32+3,0,1,1),((F32-OFFSET($BM$9,CN32+3,0,1,1))*OFFSET($CH$9,CN32+3,0,1,1))+OFFSET($BO$9,CN32+3,CQ32,1,1),0))))))</f>
        <v>0</v>
      </c>
      <c r="DH32" s="51">
        <f ca="1">IF($F32&lt;OFFSET($BM$9,$CN32-1,0,1,1),0,IF($F32&lt;OFFSET($BN$9,$CN32-1,0,1,1),IF(AND($H32&gt;2.4,Z32&lt;&gt;"e",Z32&lt;&gt;"f"),DL32*2.4/$H32,DL32),IF($F32&lt;OFFSET($BN$9,$CN32+0,0,1,1),IF(AND($H32&gt;2.4,Z32&lt;&gt;"e",Z32&lt;&gt;"f"),DL32*2.4/$H32,DL32),IF($F32&lt;OFFSET($BN$9,$CN32+1,0,1,1),IF(AND($H32&gt;2.4,Z32&lt;&gt;"e",Z32&lt;&gt;"f"),DL32*2.4/$H32,DL32),IF($F32&lt;OFFSET($BN$9,$CN32+2,0,1,1),IF(AND($H32&gt;2.4,Z32&lt;&gt;"e",Z32&lt;&gt;"f"),DL32*2.4/$H32,DL32),IF($F32&lt;OFFSET($BN$9,$CN32+3,0,1,1),IF(AND($H32&gt;2.4,Z32&lt;&gt;"e",Z32&lt;&gt;"f"),DL32*2.4/$H32,DL32),0)))))*COS(RADIANS($G32)))</f>
        <v>0</v>
      </c>
      <c r="DI32" s="51">
        <f ca="1">IF(F32&lt;OFFSET($BM$9,CN32-1,0,1,1),0,IF(F32&lt;OFFSET($BN$9,CN32-1,0,1,1),((F32-OFFSET($BM$9,CN32-1,0,1,1))*OFFSET($CI$9,CN32-1,0,1,1))+OFFSET($BP$9,CN32-1,CQ32,1,1),IF(F32&lt;OFFSET($BN$9,CN32+0,0,1,1),((F32-OFFSET($BM$9,CN32+0,0,1,1))*OFFSET($CI$9,CN32+0,0,1,1))+OFFSET($BP$9,CN32+0,CQ32,1,1),IF(F32&lt;OFFSET($BN$9,CN32+1,0,1,1),((F32-OFFSET($BM$9,CN32+1,0,1,1))*OFFSET($CI$9,CN32+1,0,1,1))+OFFSET($BP$9,CN32+1,CQ32,1,1),IF(F32&lt;OFFSET($BN$9,CN32+2,0,1,1),((F32-OFFSET($BM$9,CN32+2,0,1,1))*OFFSET($CI$9,CN32+2,0,1,1))+OFFSET($BP$9,CN32+2,CQ32,1,1),IF(F32&lt;OFFSET($BN$9,CN32+3,0,1,1),((F32-OFFSET($BM$9,CN32+3,0,1,1))*OFFSET($CI$9,CN32+3,0,1,1))+OFFSET($BP$9,CN32+3,CQ32,1,1),0))))))</f>
        <v>0</v>
      </c>
      <c r="DJ32" s="51">
        <f ca="1">IF($F32&lt;OFFSET($BM$9,$CN32-1,0,1,1),0,IF($F32&lt;OFFSET($BN$9,$CN32-1,0,1,1),IF(AND($H32&gt;2.4,Z32&lt;&gt;"e",Z32&lt;&gt;"f"),DN32*2.4/$H32,DN32),IF($F32&lt;OFFSET($BN$9,$CN32+0,0,1,1),IF(AND($H32&gt;2.4,Z32&lt;&gt;"e",Z32&lt;&gt;"f"),DN32*2.4/$H32,DN32),IF($F32&lt;OFFSET($BN$9,$CN32+1,0,1,1),IF(AND($H32&gt;2.4,Z32&lt;&gt;"e",Z32&lt;&gt;"f"),DN32*2.4/$H32,DN32),IF($F32&lt;OFFSET($BN$9,$CN32+2,0,1,1),IF(AND($H32&gt;2.4,Z32&lt;&gt;"e",Z32&lt;&gt;"f"),DN32*2.4/$H32,DN32),IF($F32&lt;OFFSET($BN$9,$CN32+3,0,1,1),IF(AND($H32&gt;2.4,Z32&lt;&gt;"e",Z32&lt;&gt;"f"),DN32*2.4/$H32,DN32),0)))))*COS(RADIANS($G32)))</f>
        <v>0</v>
      </c>
      <c r="DK32" s="51"/>
      <c r="DL32" s="51">
        <f ca="1">IF(DG32&gt;$CR32,$CR32,DG32)</f>
        <v>0</v>
      </c>
      <c r="DM32" s="51"/>
      <c r="DN32" s="51">
        <f ca="1">IF(DI32&gt;$CR32,$CR32,DI32)</f>
        <v>0</v>
      </c>
      <c r="DO32" s="435">
        <f ca="1">IF(DH32&gt;$CR32,$CR32,DH32)</f>
        <v>0</v>
      </c>
      <c r="DP32" s="435">
        <f ca="1">DO32*F32</f>
        <v>0</v>
      </c>
      <c r="DQ32" s="436">
        <f ca="1">IF(DJ32&gt;$CR32,$CR32,DJ32)</f>
        <v>0</v>
      </c>
      <c r="DR32" s="437">
        <f ca="1">DQ32*F32</f>
        <v>0</v>
      </c>
      <c r="DS32" s="426">
        <f ca="1">OFFSET($CH$9,CL32-1,-15,1,1)</f>
        <v>0</v>
      </c>
      <c r="DT32" s="426">
        <f t="shared" ca="1" si="1"/>
        <v>0</v>
      </c>
      <c r="DU32" s="188">
        <f ca="1">IF(F32&lt;OFFSET($BM$9,DT32-1,0,1,1),0,IF(F32&lt;OFFSET($BN$9,DT32-1,0,1,1),((F32-OFFSET($BM$9,DT32-1,0,1,1))*OFFSET($CH$9,DT32-1,0,1,1))+OFFSET($BO$9,DT32-1,CQ32,1,1),IF(F32&lt;OFFSET($BN$9,DT32+0,0,1,1),((F32-OFFSET($BM$9,DT32+0,0,1,1))*OFFSET($CH$9,DT32+0,0,1,1))+OFFSET($BO$9,DT32+0,CQ32,1,1),IF(F32&lt;OFFSET($BN$9,DT32+1,0,1,1),((F32-OFFSET($BM$9,DT32+1,0,1,1))*OFFSET($CH$9,DT32+1,0,1,1))+OFFSET($BO$9,DT32+1,CQ32,1,1),IF(F32&lt;OFFSET($BN$9,DT32+2,0,1,1),((F32-OFFSET($BM$9,DT32+2,0,1,1))*OFFSET($CH$9,DT32+2,0,1,1))+OFFSET($BO$9,DT32+2,CQ32,1,1),IF(F32&lt;OFFSET($BN$9,DT32+3,0,1,1),((F32-OFFSET($BM$9,DT32+3,0,1,1))*OFFSET($CH$9,DT32+3,0,1,1))+OFFSET($BO$9,DT32+3,CQ32,1,1),0))))))</f>
        <v>0</v>
      </c>
      <c r="DV32" s="51">
        <f ca="1">IF($F32&lt;OFFSET($BM$9,$DT32-1,0,1,1),0,IF($F32&lt;OFFSET($BN$9,$DT32-1,0,1,1),IF(AND($H32&gt;2.4,Z32&lt;&gt;"e",Z32&lt;&gt;"f"),DZ32*2.4/$H32,DZ32),IF($F32&lt;OFFSET($BN$9,$DT32+0,0,1,1),IF(AND($H32&gt;2.4,Z32&lt;&gt;"e",Z32&lt;&gt;"f"),DZ32*2.4/$H32,DZ32),IF($F32&lt;OFFSET($BN$9,$DT32+1,0,1,1),IF(AND($H32&gt;2.4,Z32&lt;&gt;"e",Z32&lt;&gt;"f"),DZ32*2.4/$H32,DZ32),IF($F32&lt;OFFSET($BN$9,$DT32+2,0,1,1),IF(AND($H32&gt;2.4,Z32&lt;&gt;"e",Z32&lt;&gt;"f"),DZ32*2.4/$H32,DZ32),IF($F32&lt;OFFSET($BN$9,$DT32+3,0,1,1),IF(AND($H32&gt;2.4,Z32&lt;&gt;"e",Z32&lt;&gt;"f"),DZ32*2.4/$H32,DZ32),0)))))*COS(RADIANS($G32)))</f>
        <v>0</v>
      </c>
      <c r="DW32" s="188">
        <f ca="1">IF(F32&lt;OFFSET($BM$9,DT32-1,0,1,1),0,IF(F32&lt;OFFSET($BN$9,DT32-1,0,1,1),((F32-OFFSET($BM$9,DT32-1,0,1,1))*OFFSET($CI$9,DT32-1,0,1,1))+OFFSET($BP$9,DT32-1,CQ32,1,1),IF(F32&lt;OFFSET($BN$9,DT32+0,0,1,1),((F32-OFFSET($BM$9,DT32+0,0,1,1))*OFFSET($CI$9,DT32+0,0,1,1))+OFFSET($BP$9,DT32+0,CQ32,1,1),IF(F32&lt;OFFSET($BN$9,DT32+1,0,1,1),((F32-OFFSET($BM$9,DT32+1,0,1,1))*OFFSET($CI$9,DT32+1,0,1,1))+OFFSET($BP$9,DT32+1,CQ32,1,1),IF(F32&lt;OFFSET($BN$9,DT32+2,0,1,1),((F32-OFFSET($BM$9,DT32+2,0,1,1))*OFFSET($CI$9,DT32+2,0,1,1))+OFFSET($BP$9,DT32+2,CQ32,1,1),IF(F32&lt;OFFSET($BN$9,DT32+3,0,1,1),((F32-OFFSET($BM$9,DT32+3,0,1,1))*OFFSET($CI$9,DT32+3,0,1,1))+OFFSET($BP$9,DT32+3,CQ32,1,1),0))))))</f>
        <v>0</v>
      </c>
      <c r="DX32" s="51">
        <f ca="1">IF($F32&lt;OFFSET($BM$9,$DT32-1,0,1,1),0,IF($F32&lt;OFFSET($BN$9,$DT32-1,0,1,1),IF(AND($H32&gt;2.4,Z32&lt;&gt;"e",Z32&lt;&gt;"f"),EB32*2.4/$H32,EB32),IF($F32&lt;OFFSET($BN$9,$DT32+0,0,1,1),IF(AND($H32&gt;2.4,Z32&lt;&gt;"e",Z32&lt;&gt;"f"),EB32*2.4/$H32,EB32),IF($F32&lt;OFFSET($BN$9,$DT32+1,0,1,1),IF(AND($H32&gt;2.4,Z32&lt;&gt;"e",Z32&lt;&gt;"f"),EB32*2.4/$H32,EB32),IF($F32&lt;OFFSET($BN$9,$DT32+2,0,1,1),IF(AND($H32&gt;2.4,Z32&lt;&gt;"e",Z32&lt;&gt;"f"),EB32*2.4/$H32,EB32),IF($F32&lt;OFFSET($BN$9,$DT32+3,0,1,1),IF(AND($H32&gt;2.4,Z32&lt;&gt;"e",Z32&lt;&gt;"f"),EB32*2.4/$H32,EB32),0)))))*COS(RADIANS($G32)))</f>
        <v>0</v>
      </c>
      <c r="DY32" s="188"/>
      <c r="DZ32" s="188">
        <f ca="1">IF(DU32&gt;$CR32,$CR32,DU32)</f>
        <v>0</v>
      </c>
      <c r="EA32" s="188"/>
      <c r="EB32" s="188">
        <f ca="1">IF(DW32&gt;$CR32,$CR32,DW32)</f>
        <v>0</v>
      </c>
      <c r="EC32" s="435">
        <f ca="1">IF(DV32&gt;$CR32,$CR32,DV32)</f>
        <v>0</v>
      </c>
      <c r="ED32" s="435">
        <f ca="1">EC32*F32</f>
        <v>0</v>
      </c>
      <c r="EE32" s="436">
        <f ca="1">IF(DX32&gt;$CR32,$CR32,DX32)</f>
        <v>0</v>
      </c>
      <c r="EF32" s="437">
        <f ca="1">EE32*F32</f>
        <v>0</v>
      </c>
      <c r="EG32" s="613" t="str">
        <f>IF(D32=BG$12,BG$12,"")</f>
        <v/>
      </c>
      <c r="EH32" s="614" t="str">
        <f>IF(D32=BG$13,BG$13,"")</f>
        <v/>
      </c>
      <c r="EI32" s="611">
        <f>IF(EG32=BG$12,M32,0)</f>
        <v>0</v>
      </c>
      <c r="EJ32" s="451">
        <f>IF(EG32=BG$12,O32,0)</f>
        <v>0</v>
      </c>
      <c r="EK32" s="451">
        <f>IF(EH32=BG$13,M32,0)</f>
        <v>0</v>
      </c>
      <c r="EL32" s="612">
        <f>IF(EH32=BG$13,O32,0)</f>
        <v>0</v>
      </c>
      <c r="EM32" s="426" t="str">
        <f ca="1">IF(AND(Z32&lt;&gt;"t",Z32&lt;&gt;"f"),"",IF(AND(EN32=$BH$11,K32&lt;&gt;EN32),EM$4,IF(AND(EN32=$BH$12,K32=$BH$13),EM$4,IF(AND(EN32=$BH$12,K32=$BH$14),EM$4,IF(AND(EN32=$BH$13,K32=$BH$14),$EM$4,IF(EN32=$BH$14,$EM$4,""))))))</f>
        <v/>
      </c>
      <c r="EN32" s="489" t="str">
        <f>BG$24</f>
        <v>No Floor</v>
      </c>
      <c r="EO32" s="426" t="str">
        <f>K32</f>
        <v xml:space="preserve"> </v>
      </c>
      <c r="EP32" s="497" t="str">
        <f ca="1">IF(AND(Z32&lt;&gt;"t",Z32&lt;&gt;"f"),"",IF(AND(EN32=$BH$14,K32&lt;&gt;EN32),EP$4,IF(AND(EN32=$BH$13,K32=$BH$12),EP$4,IF(AND(EN32=$BH$13,K32=$BH$11),EP$4,IF(AND(EN32=$BH$12,K32=$BH$11),$EP$4,IF(EN32=$BH$11,"Earth",""))))))</f>
        <v/>
      </c>
      <c r="EQ32" s="430" t="str">
        <f ca="1">IF(Z32&lt;&gt;"t","",IF(EQ$5=2,IF(K32&lt;&gt;BH$11,EQ$7," ")))</f>
        <v/>
      </c>
      <c r="ER32" s="439" t="str">
        <f ca="1">IF(H32=0," ",H32)</f>
        <v xml:space="preserve"> </v>
      </c>
      <c r="ES32" s="440" t="str">
        <f ca="1">IF(ER32&lt;&gt;" ",IF(ER32&lt;&gt;ER$7,"Changed",""),"")</f>
        <v/>
      </c>
      <c r="ET32" s="440">
        <f t="shared" ca="1" si="20"/>
        <v>0</v>
      </c>
      <c r="EU32" s="426" t="str">
        <f ca="1">IF(I32=" "," ",IF(F32&lt;OFFSET($BM$9,CL32-1,0,1,1),1,""))</f>
        <v xml:space="preserve"> </v>
      </c>
      <c r="EW32" s="427"/>
      <c r="EY32" s="421"/>
    </row>
    <row r="33" spans="1:155" ht="17.100000000000001" customHeight="1">
      <c r="B33" s="689" t="s">
        <v>246</v>
      </c>
      <c r="C33" s="684" t="str">
        <f>IF(OR(F33=0,I33="",I33=" ")," ",$V33)</f>
        <v xml:space="preserve"> </v>
      </c>
      <c r="D33" s="1033"/>
      <c r="E33" s="1360"/>
      <c r="F33" s="202"/>
      <c r="G33" s="1416"/>
      <c r="H33" s="1417" t="str">
        <f ca="1">IF(OR(F33=0,Z33="E",Z33="f")," ",'Project Demand'!E$55)</f>
        <v xml:space="preserve"> </v>
      </c>
      <c r="I33" s="631" t="str">
        <f>IF($I$6&lt;&gt;$BG$8," ",AB33)</f>
        <v xml:space="preserve"> </v>
      </c>
      <c r="J33" s="44" t="str">
        <f ca="1">IF(OR(I33=" ",I33="")," ",OFFSET($BO$9,CL33-1,0-4,1,1))</f>
        <v xml:space="preserve"> </v>
      </c>
      <c r="K33" s="55" t="str">
        <f>IF(OR(I33=" ",I33="")," ",IF(OR(Z33="e",Z33="h"),"SD",IF(BG$24=BH$11,BH$13,BG$24)))</f>
        <v xml:space="preserve"> </v>
      </c>
      <c r="L33" s="49">
        <f ca="1">CW33</f>
        <v>0</v>
      </c>
      <c r="M33" s="49">
        <f ca="1">CY33</f>
        <v>0</v>
      </c>
      <c r="N33" s="50">
        <f t="shared" ca="1" si="25"/>
        <v>0</v>
      </c>
      <c r="O33" s="126">
        <f t="shared" ca="1" si="25"/>
        <v>0</v>
      </c>
      <c r="P33" s="140"/>
      <c r="Q33" s="752" t="str">
        <f ca="1">IF(AND(OR(Z33="t",Z33="f"),K33=$BH$11),"No Floor!  Change Floor Type",IF(OR(I33=" ",I33="")," ",IF(F33&lt;OFFSET($BM$9,CL33-1,0,1,1),"check L(m)",DE33&amp;IF(AND(DP33&gt;=CY33,DR33&gt;=DB33),IF(AND(ED33&gt;=DP33,EF33&gt;=DR33),CONCATENATE(DS33," will provide same result"),CONCATENATE(CO33," will provide same result")),IF((DP33&gt;=CY33),CONCATENATE(CO33," provides same result in WIND"),IF((DR33&gt;=DB33),CONCATENATE(CO33," provides same result in EQ"),""))))))&amp;IF(ISERROR(FIND("pile",I33,1)),"",IF(INT(F33)&lt;&gt;F33,"Pile!  Use Whole Numbers Only",""))</f>
        <v xml:space="preserve"> </v>
      </c>
      <c r="R33" s="52"/>
      <c r="S33" s="1372"/>
      <c r="T33" s="1372"/>
      <c r="U33" s="1377"/>
      <c r="V33" s="52" t="str">
        <f ca="1">IF(AND(B$5=$BF$9,OR(I33=BH$16,I33=BH$17))," ",IF(ISNUMBER(B$32),(CONCATENATE(B$32,".",W33)),(CONCATENATE(B$32,W33))))</f>
        <v>E0</v>
      </c>
      <c r="W33" s="9">
        <f ca="1">W32+X33</f>
        <v>0</v>
      </c>
      <c r="X33" s="9">
        <f>IF(AND(B$5=$BF$9,OR($I33=$BH$16,$I33=$BH$17,$I33=" ",$I33="",$F33=0)),0,IF(OR($I33=" ",$I33="",$F33=0),0,1))</f>
        <v>0</v>
      </c>
      <c r="Y33" s="896"/>
      <c r="Z33" s="52" t="str">
        <f ca="1">IF(I33=" "," ",OFFSET($BM$9,$CL33-1,8,1,1))</f>
        <v xml:space="preserve"> </v>
      </c>
      <c r="AA33" s="51" t="str">
        <f>IF(G33&gt;=45,"WA","")</f>
        <v/>
      </c>
      <c r="AB33" s="1364" t="str">
        <f>IF(OR(E33=" ",E33="")," ",(IF(F33&lt;&gt;"",IF(OR(D33=$BG$12,D33=$BG$13),IF(E33&lt;&gt;$BG$17,$BF$20,$BF$21),IF(E33&lt;&gt;$BG$17,$BF$20,$BF$21))," ")))</f>
        <v xml:space="preserve"> </v>
      </c>
      <c r="AC33" s="1"/>
      <c r="AJ33" s="2"/>
      <c r="AM33" s="4"/>
      <c r="AN33" s="4"/>
      <c r="AO33" s="4"/>
      <c r="AP33" s="4"/>
      <c r="AQ33" s="4"/>
      <c r="AR33" s="10"/>
      <c r="AS33" s="10"/>
      <c r="AT33" s="4"/>
      <c r="AU33" s="121"/>
      <c r="AV33" s="121"/>
      <c r="AW33" s="121"/>
      <c r="AX33" s="121"/>
      <c r="AY33" s="121"/>
      <c r="AZ33" s="121"/>
      <c r="BA33" s="121"/>
      <c r="BB33" s="121"/>
      <c r="BC33" s="121"/>
      <c r="BD33" s="2648"/>
      <c r="BF33" s="598" t="str">
        <f>'Custom Elements'!C9</f>
        <v>Custom1</v>
      </c>
      <c r="BG33" s="948" t="s">
        <v>774</v>
      </c>
      <c r="BI33" s="759"/>
      <c r="BJ33" s="897">
        <f t="shared" si="5"/>
        <v>25</v>
      </c>
      <c r="BK33" s="1247" t="str">
        <f>'Custom Elements'!O9</f>
        <v>NZS 3604</v>
      </c>
      <c r="BL33" s="770" t="str">
        <f>'Custom Elements'!P9</f>
        <v>Masonry 0.75</v>
      </c>
      <c r="BM33" s="454">
        <f>'Custom Elements'!Q9</f>
        <v>1.5</v>
      </c>
      <c r="BN33" s="454">
        <v>999</v>
      </c>
      <c r="BO33" s="454">
        <f>'Custom Elements'!R9</f>
        <v>42</v>
      </c>
      <c r="BP33" s="924">
        <f>'Custom Elements'!S9</f>
        <v>42</v>
      </c>
      <c r="BQ33" s="920"/>
      <c r="BR33" s="768"/>
      <c r="BS33" s="454"/>
      <c r="BT33" s="454" t="s">
        <v>7</v>
      </c>
      <c r="BU33" s="925" t="s">
        <v>34</v>
      </c>
      <c r="BV33" s="1248" t="str">
        <f>BL33</f>
        <v>Masonry 0.75</v>
      </c>
      <c r="BW33" s="1182">
        <f t="shared" ref="BW33:BW39" si="26">BJ33</f>
        <v>25</v>
      </c>
      <c r="BX33" s="925" t="str">
        <f>'Custom Elements'!U9</f>
        <v>Single</v>
      </c>
      <c r="CH33" s="768">
        <f t="shared" ref="CH33:CH38" si="27">IF(BN33=999,0,(BO34-BO33)/(BN33-BM33))</f>
        <v>0</v>
      </c>
      <c r="CI33" s="924">
        <f t="shared" ref="CI33:CI38" si="28">IF(BN33=999,0,(BP34-BP33)/(BN33-BM33))</f>
        <v>0</v>
      </c>
      <c r="CJ33" s="759"/>
      <c r="CK33" s="188"/>
      <c r="CL33" s="979">
        <f>VLOOKUP(I33,Prodlink,2,0)</f>
        <v>0</v>
      </c>
      <c r="CN33" s="497">
        <f t="shared" ca="1" si="2"/>
        <v>0</v>
      </c>
      <c r="CO33" s="497">
        <f ca="1">OFFSET($CH$9,CL33-1,-15,1,1)</f>
        <v>0</v>
      </c>
      <c r="CQ33" s="51">
        <v>0</v>
      </c>
      <c r="CR33" s="51">
        <f ca="1">IF(AND(Z33&lt;&gt;"t",Z33&lt;&gt;"f"),10000,IF(K33=$BH$11,0,IF(K33=$BH$12,$BH$23,IF(K33=$BH$13,$BH$24,10000))))</f>
        <v>10000</v>
      </c>
      <c r="CS33" s="51">
        <f ca="1">IF(F33&lt;OFFSET($BM$9,CL33-1,0,1,1),0,IF(F33&lt;OFFSET($BN$9,CL33-1,0,1,1),((F33-OFFSET($BM$9,CL33-1,0,1,1))*OFFSET($CH$9,CL33-1,0,1,1))+OFFSET($BO$9,CL33-1,CQ33,1,1),IF(F33&lt;OFFSET($BN$9,CL33+0,0,1,1),((F33-OFFSET($BM$9,CL33+0,0,1,1))*OFFSET($CH$9,CL33+0,0,1,1))+OFFSET($BO$9,CL33+0,CQ33,1,1),IF(F33&lt;OFFSET($BN$9,CL33+1,0,1,1),((F33-OFFSET($BM$9,CL33+1,0,1,1))*OFFSET($CH$9,CL33+1,0,1,1))+OFFSET($BO$9,CL33+1,CQ33,1,1),IF(F33&lt;OFFSET($BN$9,CL33+2,0,1,1),((F33-OFFSET($BM$9,CL33+2,0,1,1))*OFFSET($CH$9,CL33+2,0,1,1))+OFFSET($BO$9,CL33+2,CQ33,1,1),IF(F33&lt;OFFSET($BN$9,CL33+3,0,1,1),((F33-OFFSET($BM$9,CL33+3,0,1,1))*OFFSET($CH$9,CL33+3,0,1,1))+OFFSET($BO$9,CL33+3,CQ33,1,1),0))))))</f>
        <v>0</v>
      </c>
      <c r="CT33" s="51">
        <f ca="1">IF($F33&lt;OFFSET($BM$9,$CL33-1,0,1,1),0,IF($F33&lt;OFFSET($BN$9,$CL33-1,0,1,1),IF(AND($H33&gt;2.4,Z33&lt;&gt;"e",Z33&lt;&gt;"f"),CX33*2.4/$H33,CX33),IF($F33&lt;OFFSET($BN$9,$CL33+0,0,1,1),IF(AND($H33&gt;2.4,Z33&lt;&gt;"e",Z33&lt;&gt;"f"),CX33*2.4/$H33,CX33),IF($F33&lt;OFFSET($BN$9,$CL33+1,0,1,1),IF(AND($H33&gt;2.4,Z33&lt;&gt;"e",Z33&lt;&gt;"f"),CX33*2.4/$H33,CX33),IF($F33&lt;OFFSET($BN$9,CL33+2,0,1,1),IF(AND($H33&gt;2.4,Z33&lt;&gt;"e",Z33&lt;&gt;"f"),CX33*2.4/$H33,CX33),IF($F33&lt;OFFSET($BN$9,CL33+3,0,1,1),IF(AND($H33&gt;2.4,Z33&lt;&gt;"e",Z33&lt;&gt;"f"),CX33*2.4/$H33,CX33),0)))))*COS(RADIANS($G33)))</f>
        <v>0</v>
      </c>
      <c r="CU33" s="51">
        <f ca="1">IF(F33&lt;OFFSET($BM$9,CL33-1,0,1,1),0,IF(F33&lt;OFFSET($BN$9,CL33-1,0,1,1),((F33-OFFSET($BM$9,CL33-1,0,1,1))*OFFSET($CI$9,CL33-1,0,1,1))+OFFSET($BP$9,CL33-1,CQ33,1,1),IF(F33&lt;OFFSET($BN$9,CL33+0,0,1,1),((F33-OFFSET($BM$9,CL33+0,0,1,1))*OFFSET($CI$9,CL33+0,0,1,1))+OFFSET($BP$9,CL33+0,CQ33,1,1),IF(F33&lt;OFFSET($BN$9,CL33+1,0,1,1),((F33-OFFSET($BM$9,CL33+1,0,1,1))*OFFSET($CI$9,CL33+1,0,1,1))+OFFSET($BP$9,CL33+1,CQ33,1,1),IF(F33&lt;OFFSET($BN$9,CL33+2,0,1,1),((F33-OFFSET($BM$9,CL33+2,0,1,1))*OFFSET($CI$9,CL33+2,0,1,1))+OFFSET($BP$9,CL33+2,CQ33,1,1),IF(F33&lt;OFFSET($BN$9,CL33+3,0,1,1),((F33-OFFSET($BM$9,CL33+3,0,1,1))*OFFSET($CI$9,CL33+3,0,1,1))+OFFSET($BP$9,CL33+3,CQ33,1,1),0))))))</f>
        <v>0</v>
      </c>
      <c r="CV33" s="51">
        <f ca="1">IF($F33&lt;OFFSET($BM$9,$CL33-1,0,1,1),0,IF($F33&lt;OFFSET($BN$9,$CL33-1,0,1,1),IF(AND($H33&gt;2.4,Z33&lt;&gt;"e",Z33&lt;&gt;"f"),CZ33*2.4/$H33,CZ33),IF($F33&lt;OFFSET($BN$9,$CL33+0,0,1,1),IF(AND($H33&gt;2.4,Z33&lt;&gt;"e",Z33&lt;&gt;"f"),CZ33*2.4/$H33,CZ33),IF($F33&lt;OFFSET($BN$9,$CL33+1,0,1,1),IF(AND($H33&gt;2.4,Z33&lt;&gt;"e",Z33&lt;&gt;"f"),CZ33*2.4/$H33,CZ33),IF($F33&lt;OFFSET($BN$9,$CL33+2,0,1,1),IF(AND($H33&gt;2.4,Z33&lt;&gt;"e",Z33&lt;&gt;"f"),CZ33*2.4/$H33,CZ33),IF($F33&lt;OFFSET($BN$9,$CL33+3,0,1,1),IF(AND($H33&gt;2.4,Z33&lt;&gt;"e",Z33&lt;&gt;"f"),CZ33*2.4/$H33,CZ33),0)))))*COS(RADIANS($G33)))</f>
        <v>0</v>
      </c>
      <c r="CW33" s="51">
        <f t="shared" ca="1" si="17"/>
        <v>0</v>
      </c>
      <c r="CX33" s="51">
        <f ca="1">IF(CS33&gt;$CR33,$CR33,CS33)</f>
        <v>0</v>
      </c>
      <c r="CY33" s="51">
        <f ca="1">CW33*F33</f>
        <v>0</v>
      </c>
      <c r="CZ33" s="51">
        <f ca="1">IF($CU33&gt;$CR33,$CR33,$CU33)</f>
        <v>0</v>
      </c>
      <c r="DA33" s="51">
        <f ca="1">IF(CV33&gt;CR33,CR33,CV33)</f>
        <v>0</v>
      </c>
      <c r="DB33" s="51">
        <f ca="1">DA33*F33</f>
        <v>0</v>
      </c>
      <c r="DC33" s="993">
        <v>1</v>
      </c>
      <c r="DD33" s="758" t="str">
        <f>IF(OR(D33=BG$12,D33=BG$13),"External",IF(D33=BG$14,"Internal"," "))</f>
        <v xml:space="preserve"> </v>
      </c>
      <c r="DE33" s="51" t="str">
        <f t="shared" ca="1" si="18"/>
        <v/>
      </c>
      <c r="DF33" s="52" t="str">
        <f t="shared" ca="1" si="19"/>
        <v xml:space="preserve"> </v>
      </c>
      <c r="DG33" s="51">
        <f ca="1">IF(F33&lt;OFFSET($BM$9,CN33-1,0,1,1),0,IF(F33&lt;OFFSET($BN$9,CN33-1,0,1,1),((F33-OFFSET($BM$9,CN33-1,0,1,1))*OFFSET($CH$9,CN33-1,0,1,1))+OFFSET($BO$9,CN33-1,CQ33,1,1),IF(F33&lt;OFFSET($BN$9,CN33+0,0,1,1),((F33-OFFSET($BM$9,CN33+0,0,1,1))*OFFSET($CH$9,CN33+0,0,1,1))+OFFSET($BO$9,CN33+0,CQ33,1,1),IF(F33&lt;OFFSET($BN$9,CN33+1,0,1,1),((F33-OFFSET($BM$9,CN33+1,0,1,1))*OFFSET($CH$9,CN33+1,0,1,1))+OFFSET($BO$9,CN33+1,CQ33,1,1),IF(F33&lt;OFFSET($BN$9,CN33+2,0,1,1),((F33-OFFSET($BM$9,CN33+2,0,1,1))*OFFSET($CH$9,CN33+2,0,1,1))+OFFSET($BO$9,CN33+2,CQ33,1,1),IF(F33&lt;OFFSET($BN$9,CN33+3,0,1,1),((F33-OFFSET($BM$9,CN33+3,0,1,1))*OFFSET($CH$9,CN33+3,0,1,1))+OFFSET($BO$9,CN33+3,CQ33,1,1),0))))))</f>
        <v>0</v>
      </c>
      <c r="DH33" s="51">
        <f ca="1">IF($F33&lt;OFFSET($BM$9,$CN33-1,0,1,1),0,IF($F33&lt;OFFSET($BN$9,$CN33-1,0,1,1),IF(AND($H33&gt;2.4,Z33&lt;&gt;"e",Z33&lt;&gt;"f"),DL33*2.4/$H33,DL33),IF($F33&lt;OFFSET($BN$9,$CN33+0,0,1,1),IF(AND($H33&gt;2.4,Z33&lt;&gt;"e",Z33&lt;&gt;"f"),DL33*2.4/$H33,DL33),IF($F33&lt;OFFSET($BN$9,$CN33+1,0,1,1),IF(AND($H33&gt;2.4,Z33&lt;&gt;"e",Z33&lt;&gt;"f"),DL33*2.4/$H33,DL33),IF($F33&lt;OFFSET($BN$9,$CN33+2,0,1,1),IF(AND($H33&gt;2.4,Z33&lt;&gt;"e",Z33&lt;&gt;"f"),DL33*2.4/$H33,DL33),IF($F33&lt;OFFSET($BN$9,$CN33+3,0,1,1),IF(AND($H33&gt;2.4,Z33&lt;&gt;"e",Z33&lt;&gt;"f"),DL33*2.4/$H33,DL33),0)))))*COS(RADIANS($G33)))</f>
        <v>0</v>
      </c>
      <c r="DI33" s="51">
        <f ca="1">IF(F33&lt;OFFSET($BM$9,CN33-1,0,1,1),0,IF(F33&lt;OFFSET($BN$9,CN33-1,0,1,1),((F33-OFFSET($BM$9,CN33-1,0,1,1))*OFFSET($CI$9,CN33-1,0,1,1))+OFFSET($BP$9,CN33-1,CQ33,1,1),IF(F33&lt;OFFSET($BN$9,CN33+0,0,1,1),((F33-OFFSET($BM$9,CN33+0,0,1,1))*OFFSET($CI$9,CN33+0,0,1,1))+OFFSET($BP$9,CN33+0,CQ33,1,1),IF(F33&lt;OFFSET($BN$9,CN33+1,0,1,1),((F33-OFFSET($BM$9,CN33+1,0,1,1))*OFFSET($CI$9,CN33+1,0,1,1))+OFFSET($BP$9,CN33+1,CQ33,1,1),IF(F33&lt;OFFSET($BN$9,CN33+2,0,1,1),((F33-OFFSET($BM$9,CN33+2,0,1,1))*OFFSET($CI$9,CN33+2,0,1,1))+OFFSET($BP$9,CN33+2,CQ33,1,1),IF(F33&lt;OFFSET($BN$9,CN33+3,0,1,1),((F33-OFFSET($BM$9,CN33+3,0,1,1))*OFFSET($CI$9,CN33+3,0,1,1))+OFFSET($BP$9,CN33+3,CQ33,1,1),0))))))</f>
        <v>0</v>
      </c>
      <c r="DJ33" s="51">
        <f ca="1">IF($F33&lt;OFFSET($BM$9,$CN33-1,0,1,1),0,IF($F33&lt;OFFSET($BN$9,$CN33-1,0,1,1),IF(AND($H33&gt;2.4,Z33&lt;&gt;"e",Z33&lt;&gt;"f"),DN33*2.4/$H33,DN33),IF($F33&lt;OFFSET($BN$9,$CN33+0,0,1,1),IF(AND($H33&gt;2.4,Z33&lt;&gt;"e",Z33&lt;&gt;"f"),DN33*2.4/$H33,DN33),IF($F33&lt;OFFSET($BN$9,$CN33+1,0,1,1),IF(AND($H33&gt;2.4,Z33&lt;&gt;"e",Z33&lt;&gt;"f"),DN33*2.4/$H33,DN33),IF($F33&lt;OFFSET($BN$9,$CN33+2,0,1,1),IF(AND($H33&gt;2.4,Z33&lt;&gt;"e",Z33&lt;&gt;"f"),DN33*2.4/$H33,DN33),IF($F33&lt;OFFSET($BN$9,$CN33+3,0,1,1),IF(AND($H33&gt;2.4,Z33&lt;&gt;"e",Z33&lt;&gt;"f"),DN33*2.4/$H33,DN33),0)))))*COS(RADIANS($G33)))</f>
        <v>0</v>
      </c>
      <c r="DK33" s="51"/>
      <c r="DL33" s="51">
        <f ca="1">IF(DG33&gt;$CR33,$CR33,DG33)</f>
        <v>0</v>
      </c>
      <c r="DM33" s="51"/>
      <c r="DN33" s="51">
        <f ca="1">IF(DI33&gt;$CR33,$CR33,DI33)</f>
        <v>0</v>
      </c>
      <c r="DO33" s="435">
        <f ca="1">IF(DH33&gt;$CR33,$CR33,DH33)</f>
        <v>0</v>
      </c>
      <c r="DP33" s="435">
        <f ca="1">DO33*F33</f>
        <v>0</v>
      </c>
      <c r="DQ33" s="436">
        <f ca="1">IF(DJ33&gt;$CR33,$CR33,DJ33)</f>
        <v>0</v>
      </c>
      <c r="DR33" s="437">
        <f ca="1">DQ33*F33</f>
        <v>0</v>
      </c>
      <c r="DS33" s="426">
        <f ca="1">OFFSET($CH$9,CL33-1,-15,1,1)</f>
        <v>0</v>
      </c>
      <c r="DT33" s="426">
        <f t="shared" ca="1" si="1"/>
        <v>0</v>
      </c>
      <c r="DU33" s="188">
        <f ca="1">IF(F33&lt;OFFSET($BM$9,DT33-1,0,1,1),0,IF(F33&lt;OFFSET($BN$9,DT33-1,0,1,1),((F33-OFFSET($BM$9,DT33-1,0,1,1))*OFFSET($CH$9,DT33-1,0,1,1))+OFFSET($BO$9,DT33-1,CQ33,1,1),IF(F33&lt;OFFSET($BN$9,DT33+0,0,1,1),((F33-OFFSET($BM$9,DT33+0,0,1,1))*OFFSET($CH$9,DT33+0,0,1,1))+OFFSET($BO$9,DT33+0,CQ33,1,1),IF(F33&lt;OFFSET($BN$9,DT33+1,0,1,1),((F33-OFFSET($BM$9,DT33+1,0,1,1))*OFFSET($CH$9,DT33+1,0,1,1))+OFFSET($BO$9,DT33+1,CQ33,1,1),IF(F33&lt;OFFSET($BN$9,DT33+2,0,1,1),((F33-OFFSET($BM$9,DT33+2,0,1,1))*OFFSET($CH$9,DT33+2,0,1,1))+OFFSET($BO$9,DT33+2,CQ33,1,1),IF(F33&lt;OFFSET($BN$9,DT33+3,0,1,1),((F33-OFFSET($BM$9,DT33+3,0,1,1))*OFFSET($CH$9,DT33+3,0,1,1))+OFFSET($BO$9,DT33+3,CQ33,1,1),0))))))</f>
        <v>0</v>
      </c>
      <c r="DV33" s="51">
        <f ca="1">IF($F33&lt;OFFSET($BM$9,$DT33-1,0,1,1),0,IF($F33&lt;OFFSET($BN$9,$DT33-1,0,1,1),IF(AND($H33&gt;2.4,Z33&lt;&gt;"e",Z33&lt;&gt;"f"),DZ33*2.4/$H33,DZ33),IF($F33&lt;OFFSET($BN$9,$DT33+0,0,1,1),IF(AND($H33&gt;2.4,Z33&lt;&gt;"e",Z33&lt;&gt;"f"),DZ33*2.4/$H33,DZ33),IF($F33&lt;OFFSET($BN$9,$DT33+1,0,1,1),IF(AND($H33&gt;2.4,Z33&lt;&gt;"e",Z33&lt;&gt;"f"),DZ33*2.4/$H33,DZ33),IF($F33&lt;OFFSET($BN$9,$DT33+2,0,1,1),IF(AND($H33&gt;2.4,Z33&lt;&gt;"e",Z33&lt;&gt;"f"),DZ33*2.4/$H33,DZ33),IF($F33&lt;OFFSET($BN$9,$DT33+3,0,1,1),IF(AND($H33&gt;2.4,Z33&lt;&gt;"e",Z33&lt;&gt;"f"),DZ33*2.4/$H33,DZ33),0)))))*COS(RADIANS($G33)))</f>
        <v>0</v>
      </c>
      <c r="DW33" s="188">
        <f ca="1">IF(F33&lt;OFFSET($BM$9,DT33-1,0,1,1),0,IF(F33&lt;OFFSET($BN$9,DT33-1,0,1,1),((F33-OFFSET($BM$9,DT33-1,0,1,1))*OFFSET($CI$9,DT33-1,0,1,1))+OFFSET($BP$9,DT33-1,CQ33,1,1),IF(F33&lt;OFFSET($BN$9,DT33+0,0,1,1),((F33-OFFSET($BM$9,DT33+0,0,1,1))*OFFSET($CI$9,DT33+0,0,1,1))+OFFSET($BP$9,DT33+0,CQ33,1,1),IF(F33&lt;OFFSET($BN$9,DT33+1,0,1,1),((F33-OFFSET($BM$9,DT33+1,0,1,1))*OFFSET($CI$9,DT33+1,0,1,1))+OFFSET($BP$9,DT33+1,CQ33,1,1),IF(F33&lt;OFFSET($BN$9,DT33+2,0,1,1),((F33-OFFSET($BM$9,DT33+2,0,1,1))*OFFSET($CI$9,DT33+2,0,1,1))+OFFSET($BP$9,DT33+2,CQ33,1,1),IF(F33&lt;OFFSET($BN$9,DT33+3,0,1,1),((F33-OFFSET($BM$9,DT33+3,0,1,1))*OFFSET($CI$9,DT33+3,0,1,1))+OFFSET($BP$9,DT33+3,CQ33,1,1),0))))))</f>
        <v>0</v>
      </c>
      <c r="DX33" s="51">
        <f ca="1">IF($F33&lt;OFFSET($BM$9,$DT33-1,0,1,1),0,IF($F33&lt;OFFSET($BN$9,$DT33-1,0,1,1),IF(AND($H33&gt;2.4,Z33&lt;&gt;"e",Z33&lt;&gt;"f"),EB33*2.4/$H33,EB33),IF($F33&lt;OFFSET($BN$9,$DT33+0,0,1,1),IF(AND($H33&gt;2.4,Z33&lt;&gt;"e",Z33&lt;&gt;"f"),EB33*2.4/$H33,EB33),IF($F33&lt;OFFSET($BN$9,$DT33+1,0,1,1),IF(AND($H33&gt;2.4,Z33&lt;&gt;"e",Z33&lt;&gt;"f"),EB33*2.4/$H33,EB33),IF($F33&lt;OFFSET($BN$9,$DT33+2,0,1,1),IF(AND($H33&gt;2.4,Z33&lt;&gt;"e",Z33&lt;&gt;"f"),EB33*2.4/$H33,EB33),IF($F33&lt;OFFSET($BN$9,$DT33+3,0,1,1),IF(AND($H33&gt;2.4,Z33&lt;&gt;"e",Z33&lt;&gt;"f"),EB33*2.4/$H33,EB33),0)))))*COS(RADIANS($G33)))</f>
        <v>0</v>
      </c>
      <c r="DY33" s="188"/>
      <c r="DZ33" s="188">
        <f ca="1">IF(DU33&gt;$CR33,$CR33,DU33)</f>
        <v>0</v>
      </c>
      <c r="EA33" s="188"/>
      <c r="EB33" s="188">
        <f ca="1">IF(DW33&gt;$CR33,$CR33,DW33)</f>
        <v>0</v>
      </c>
      <c r="EC33" s="435">
        <f ca="1">IF(DV33&gt;$CR33,$CR33,DV33)</f>
        <v>0</v>
      </c>
      <c r="ED33" s="435">
        <f ca="1">EC33*F33</f>
        <v>0</v>
      </c>
      <c r="EE33" s="436">
        <f ca="1">IF(DX33&gt;$CR33,$CR33,DX33)</f>
        <v>0</v>
      </c>
      <c r="EF33" s="437">
        <f ca="1">EE33*F33</f>
        <v>0</v>
      </c>
      <c r="EG33" s="613" t="str">
        <f>IF(D33=BG$12,BG$12,"")</f>
        <v/>
      </c>
      <c r="EH33" s="614" t="str">
        <f>IF(D33=BG$13,BG$13,"")</f>
        <v/>
      </c>
      <c r="EI33" s="611">
        <f>IF(EG33=BG$12,M33,0)</f>
        <v>0</v>
      </c>
      <c r="EJ33" s="451">
        <f>IF(EG33=BG$12,O33,0)</f>
        <v>0</v>
      </c>
      <c r="EK33" s="451">
        <f>IF(EH33=BG$13,M33,0)</f>
        <v>0</v>
      </c>
      <c r="EL33" s="612">
        <f>IF(EH33=BG$13,O33,0)</f>
        <v>0</v>
      </c>
      <c r="EM33" s="426" t="str">
        <f ca="1">IF(AND(Z33&lt;&gt;"t",Z33&lt;&gt;"f"),"",IF(AND(EN33=$BH$11,K33&lt;&gt;EN33),EM$4,IF(AND(EN33=$BH$12,K33=$BH$13),EM$4,IF(AND(EN33=$BH$12,K33=$BH$14),EM$4,IF(AND(EN33=$BH$13,K33=$BH$14),$EM$4,IF(EN33=$BH$14,$EM$4,""))))))</f>
        <v/>
      </c>
      <c r="EN33" s="489" t="str">
        <f>BG$24</f>
        <v>No Floor</v>
      </c>
      <c r="EO33" s="426" t="str">
        <f>K33</f>
        <v xml:space="preserve"> </v>
      </c>
      <c r="EP33" s="497" t="str">
        <f ca="1">IF(AND(Z33&lt;&gt;"t",Z33&lt;&gt;"f"),"",IF(AND(EN33=$BH$14,K33&lt;&gt;EN33),EP$4,IF(AND(EN33=$BH$13,K33=$BH$12),EP$4,IF(AND(EN33=$BH$13,K33=$BH$11),EP$4,IF(AND(EN33=$BH$12,K33=$BH$11),$EP$4,IF(EN33=$BH$11,"Earth",""))))))</f>
        <v/>
      </c>
      <c r="EQ33" s="430" t="str">
        <f ca="1">IF(Z33&lt;&gt;"t","",IF(EQ$5=2,IF(K33&lt;&gt;BH$11,EQ$7," ")))</f>
        <v/>
      </c>
      <c r="ER33" s="439" t="str">
        <f ca="1">IF(H33=0," ",H33)</f>
        <v xml:space="preserve"> </v>
      </c>
      <c r="ES33" s="440" t="str">
        <f ca="1">IF(ER33&lt;&gt;" ",IF(ER33&lt;&gt;ER$7,"Changed",""),"")</f>
        <v/>
      </c>
      <c r="ET33" s="440">
        <f t="shared" ca="1" si="20"/>
        <v>0</v>
      </c>
      <c r="EU33" s="426" t="str">
        <f ca="1">IF(I33=" "," ",IF(F33&lt;OFFSET($BM$9,CL33-1,0,1,1),1,""))</f>
        <v xml:space="preserve"> </v>
      </c>
      <c r="EW33" s="427"/>
      <c r="EY33" s="421"/>
    </row>
    <row r="34" spans="1:155" ht="17.100000000000001" customHeight="1">
      <c r="B34" s="689" t="s">
        <v>246</v>
      </c>
      <c r="C34" s="684" t="str">
        <f>IF(OR(F34=0,I34="",I34=" ")," ",$V34)</f>
        <v xml:space="preserve"> </v>
      </c>
      <c r="D34" s="1033"/>
      <c r="E34" s="1360"/>
      <c r="F34" s="202"/>
      <c r="G34" s="1416"/>
      <c r="H34" s="1417" t="str">
        <f ca="1">IF(OR(F34=0,Z34="E",Z34="f")," ",'Project Demand'!E$55)</f>
        <v xml:space="preserve"> </v>
      </c>
      <c r="I34" s="631" t="str">
        <f>IF($I$6&lt;&gt;$BG$8," ",AB34)</f>
        <v xml:space="preserve"> </v>
      </c>
      <c r="J34" s="44" t="str">
        <f ca="1">IF(OR(I34=" ",I34="")," ",OFFSET($BO$9,CL34-1,0-4,1,1))</f>
        <v xml:space="preserve"> </v>
      </c>
      <c r="K34" s="55" t="str">
        <f>IF(OR(I34=" ",I34="")," ",IF(OR(Z34="e",Z34="h"),"SD",IF(BG$24=BH$11,BH$13,BG$24)))</f>
        <v xml:space="preserve"> </v>
      </c>
      <c r="L34" s="49">
        <f ca="1">CW34</f>
        <v>0</v>
      </c>
      <c r="M34" s="49">
        <f ca="1">CY34</f>
        <v>0</v>
      </c>
      <c r="N34" s="50">
        <f t="shared" ca="1" si="25"/>
        <v>0</v>
      </c>
      <c r="O34" s="126">
        <f t="shared" ca="1" si="25"/>
        <v>0</v>
      </c>
      <c r="P34" s="140"/>
      <c r="Q34" s="752" t="str">
        <f ca="1">IF(AND(OR(Z34="t",Z34="f"),K34=$BH$11),"No Floor!  Change Floor Type",IF(OR(I34=" ",I34="")," ",IF(F34&lt;OFFSET($BM$9,CL34-1,0,1,1),"check L(m)",DE34&amp;IF(AND(DP34&gt;=CY34,DR34&gt;=DB34),IF(AND(ED34&gt;=DP34,EF34&gt;=DR34),CONCATENATE(DS34," will provide same result"),CONCATENATE(CO34," will provide same result")),IF((DP34&gt;=CY34),CONCATENATE(CO34," provides same result in WIND"),IF((DR34&gt;=DB34),CONCATENATE(CO34," provides same result in EQ"),""))))))&amp;IF(ISERROR(FIND("pile",I34,1)),"",IF(INT(F34)&lt;&gt;F34,"Pile!  Use Whole Numbers Only",""))</f>
        <v xml:space="preserve"> </v>
      </c>
      <c r="R34" s="52"/>
      <c r="S34" s="1372"/>
      <c r="T34" s="1372"/>
      <c r="U34" s="1377"/>
      <c r="V34" s="52" t="str">
        <f ca="1">IF(AND(B$5=$BF$9,OR(I34=BH$16,I34=BH$17))," ",IF(ISNUMBER(B$32),(CONCATENATE(B$32,".",W34)),(CONCATENATE(B$32,W34))))</f>
        <v>E0</v>
      </c>
      <c r="W34" s="9">
        <f ca="1">W33+X34</f>
        <v>0</v>
      </c>
      <c r="X34" s="9">
        <f>IF(AND(B$5=$BF$9,OR($I34=$BH$16,$I34=$BH$17,$I34=" ",$I34="",$F34=0)),0,IF(OR($I34=" ",$I34="",$F34=0),0,1))</f>
        <v>0</v>
      </c>
      <c r="Y34" s="896"/>
      <c r="Z34" s="52" t="str">
        <f ca="1">IF(I34=" "," ",OFFSET($BM$9,$CL34-1,8,1,1))</f>
        <v xml:space="preserve"> </v>
      </c>
      <c r="AA34" s="51" t="str">
        <f>IF(G34&gt;=45,"WA","")</f>
        <v/>
      </c>
      <c r="AB34" s="1364" t="str">
        <f>IF(OR(E34=" ",E34="")," ",(IF(F34&lt;&gt;"",IF(OR(D34=$BG$12,D34=$BG$13),IF(E34&lt;&gt;$BG$17,$BF$20,$BF$21),IF(E34&lt;&gt;$BG$17,$BF$20,$BF$21))," ")))</f>
        <v xml:space="preserve"> </v>
      </c>
      <c r="AC34" s="1"/>
      <c r="AJ34" s="2"/>
      <c r="AM34" s="4"/>
      <c r="AN34" s="4"/>
      <c r="AO34" s="4"/>
      <c r="AP34" s="4"/>
      <c r="AQ34" s="4"/>
      <c r="AR34" s="10"/>
      <c r="AS34" s="10"/>
      <c r="AT34" s="4"/>
      <c r="AU34" s="119"/>
      <c r="AV34" s="119"/>
      <c r="AW34" s="119"/>
      <c r="AX34" s="119"/>
      <c r="AY34" s="119"/>
      <c r="AZ34" s="119"/>
      <c r="BA34" s="119"/>
      <c r="BB34" s="119"/>
      <c r="BC34" s="119"/>
      <c r="BD34" s="2648"/>
      <c r="BF34" s="598" t="str">
        <f>'Custom Elements'!C10</f>
        <v>Custom2</v>
      </c>
      <c r="BI34" s="759"/>
      <c r="BJ34" s="897">
        <f t="shared" si="5"/>
        <v>26</v>
      </c>
      <c r="BK34" s="769" t="str">
        <f>'Custom Elements'!O10</f>
        <v>NZS 3604</v>
      </c>
      <c r="BL34" s="771" t="str">
        <f>'Custom Elements'!P10</f>
        <v>Masonry 1.5</v>
      </c>
      <c r="BM34" s="455">
        <f>'Custom Elements'!Q10</f>
        <v>1.5</v>
      </c>
      <c r="BN34" s="455">
        <v>999</v>
      </c>
      <c r="BO34" s="455">
        <f>'Custom Elements'!R10</f>
        <v>100</v>
      </c>
      <c r="BP34" s="925">
        <f>'Custom Elements'!S10</f>
        <v>100</v>
      </c>
      <c r="BR34" s="764"/>
      <c r="BS34" s="455"/>
      <c r="BT34" s="455" t="s">
        <v>7</v>
      </c>
      <c r="BU34" s="925" t="s">
        <v>34</v>
      </c>
      <c r="BV34" s="483" t="str">
        <f t="shared" ref="BV34:BV39" si="29">BL34</f>
        <v>Masonry 1.5</v>
      </c>
      <c r="BW34" s="910">
        <f t="shared" si="26"/>
        <v>26</v>
      </c>
      <c r="BX34" s="925" t="str">
        <f>'Custom Elements'!U10</f>
        <v>Single</v>
      </c>
      <c r="CH34" s="764">
        <f t="shared" si="27"/>
        <v>0</v>
      </c>
      <c r="CI34" s="925">
        <f t="shared" si="28"/>
        <v>0</v>
      </c>
      <c r="CJ34" s="759"/>
      <c r="CK34" s="188"/>
      <c r="CL34" s="979">
        <f>VLOOKUP(I34,Prodlink,2,0)</f>
        <v>0</v>
      </c>
      <c r="CN34" s="497">
        <f t="shared" ca="1" si="2"/>
        <v>0</v>
      </c>
      <c r="CO34" s="497">
        <f ca="1">OFFSET($CH$9,CL34-1,-15,1,1)</f>
        <v>0</v>
      </c>
      <c r="CQ34" s="51">
        <v>0</v>
      </c>
      <c r="CR34" s="51">
        <f ca="1">IF(AND(Z34&lt;&gt;"t",Z34&lt;&gt;"f"),10000,IF(K34=$BH$11,0,IF(K34=$BH$12,$BH$23,IF(K34=$BH$13,$BH$24,10000))))</f>
        <v>10000</v>
      </c>
      <c r="CS34" s="51">
        <f ca="1">IF(F34&lt;OFFSET($BM$9,CL34-1,0,1,1),0,IF(F34&lt;OFFSET($BN$9,CL34-1,0,1,1),((F34-OFFSET($BM$9,CL34-1,0,1,1))*OFFSET($CH$9,CL34-1,0,1,1))+OFFSET($BO$9,CL34-1,CQ34,1,1),IF(F34&lt;OFFSET($BN$9,CL34+0,0,1,1),((F34-OFFSET($BM$9,CL34+0,0,1,1))*OFFSET($CH$9,CL34+0,0,1,1))+OFFSET($BO$9,CL34+0,CQ34,1,1),IF(F34&lt;OFFSET($BN$9,CL34+1,0,1,1),((F34-OFFSET($BM$9,CL34+1,0,1,1))*OFFSET($CH$9,CL34+1,0,1,1))+OFFSET($BO$9,CL34+1,CQ34,1,1),IF(F34&lt;OFFSET($BN$9,CL34+2,0,1,1),((F34-OFFSET($BM$9,CL34+2,0,1,1))*OFFSET($CH$9,CL34+2,0,1,1))+OFFSET($BO$9,CL34+2,CQ34,1,1),IF(F34&lt;OFFSET($BN$9,CL34+3,0,1,1),((F34-OFFSET($BM$9,CL34+3,0,1,1))*OFFSET($CH$9,CL34+3,0,1,1))+OFFSET($BO$9,CL34+3,CQ34,1,1),0))))))</f>
        <v>0</v>
      </c>
      <c r="CT34" s="51">
        <f ca="1">IF($F34&lt;OFFSET($BM$9,$CL34-1,0,1,1),0,IF($F34&lt;OFFSET($BN$9,$CL34-1,0,1,1),IF(AND($H34&gt;2.4,Z34&lt;&gt;"e",Z34&lt;&gt;"f"),CX34*2.4/$H34,CX34),IF($F34&lt;OFFSET($BN$9,$CL34+0,0,1,1),IF(AND($H34&gt;2.4,Z34&lt;&gt;"e",Z34&lt;&gt;"f"),CX34*2.4/$H34,CX34),IF($F34&lt;OFFSET($BN$9,$CL34+1,0,1,1),IF(AND($H34&gt;2.4,Z34&lt;&gt;"e",Z34&lt;&gt;"f"),CX34*2.4/$H34,CX34),IF($F34&lt;OFFSET($BN$9,CL34+2,0,1,1),IF(AND($H34&gt;2.4,Z34&lt;&gt;"e",Z34&lt;&gt;"f"),CX34*2.4/$H34,CX34),IF($F34&lt;OFFSET($BN$9,CL34+3,0,1,1),IF(AND($H34&gt;2.4,Z34&lt;&gt;"e",Z34&lt;&gt;"f"),CX34*2.4/$H34,CX34),0)))))*COS(RADIANS($G34)))</f>
        <v>0</v>
      </c>
      <c r="CU34" s="51">
        <f ca="1">IF(F34&lt;OFFSET($BM$9,CL34-1,0,1,1),0,IF(F34&lt;OFFSET($BN$9,CL34-1,0,1,1),((F34-OFFSET($BM$9,CL34-1,0,1,1))*OFFSET($CI$9,CL34-1,0,1,1))+OFFSET($BP$9,CL34-1,CQ34,1,1),IF(F34&lt;OFFSET($BN$9,CL34+0,0,1,1),((F34-OFFSET($BM$9,CL34+0,0,1,1))*OFFSET($CI$9,CL34+0,0,1,1))+OFFSET($BP$9,CL34+0,CQ34,1,1),IF(F34&lt;OFFSET($BN$9,CL34+1,0,1,1),((F34-OFFSET($BM$9,CL34+1,0,1,1))*OFFSET($CI$9,CL34+1,0,1,1))+OFFSET($BP$9,CL34+1,CQ34,1,1),IF(F34&lt;OFFSET($BN$9,CL34+2,0,1,1),((F34-OFFSET($BM$9,CL34+2,0,1,1))*OFFSET($CI$9,CL34+2,0,1,1))+OFFSET($BP$9,CL34+2,CQ34,1,1),IF(F34&lt;OFFSET($BN$9,CL34+3,0,1,1),((F34-OFFSET($BM$9,CL34+3,0,1,1))*OFFSET($CI$9,CL34+3,0,1,1))+OFFSET($BP$9,CL34+3,CQ34,1,1),0))))))</f>
        <v>0</v>
      </c>
      <c r="CV34" s="51">
        <f ca="1">IF($F34&lt;OFFSET($BM$9,$CL34-1,0,1,1),0,IF($F34&lt;OFFSET($BN$9,$CL34-1,0,1,1),IF(AND($H34&gt;2.4,Z34&lt;&gt;"e",Z34&lt;&gt;"f"),CZ34*2.4/$H34,CZ34),IF($F34&lt;OFFSET($BN$9,$CL34+0,0,1,1),IF(AND($H34&gt;2.4,Z34&lt;&gt;"e",Z34&lt;&gt;"f"),CZ34*2.4/$H34,CZ34),IF($F34&lt;OFFSET($BN$9,$CL34+1,0,1,1),IF(AND($H34&gt;2.4,Z34&lt;&gt;"e",Z34&lt;&gt;"f"),CZ34*2.4/$H34,CZ34),IF($F34&lt;OFFSET($BN$9,$CL34+2,0,1,1),IF(AND($H34&gt;2.4,Z34&lt;&gt;"e",Z34&lt;&gt;"f"),CZ34*2.4/$H34,CZ34),IF($F34&lt;OFFSET($BN$9,$CL34+3,0,1,1),IF(AND($H34&gt;2.4,Z34&lt;&gt;"e",Z34&lt;&gt;"f"),CZ34*2.4/$H34,CZ34),0)))))*COS(RADIANS($G34)))</f>
        <v>0</v>
      </c>
      <c r="CW34" s="51">
        <f t="shared" ca="1" si="17"/>
        <v>0</v>
      </c>
      <c r="CX34" s="51">
        <f ca="1">IF(CS34&gt;$CR34,$CR34,CS34)</f>
        <v>0</v>
      </c>
      <c r="CY34" s="51">
        <f ca="1">CW34*F34</f>
        <v>0</v>
      </c>
      <c r="CZ34" s="51">
        <f ca="1">IF($CU34&gt;$CR34,$CR34,$CU34)</f>
        <v>0</v>
      </c>
      <c r="DA34" s="51">
        <f ca="1">IF(CV34&gt;CR34,CR34,CV34)</f>
        <v>0</v>
      </c>
      <c r="DB34" s="51">
        <f ca="1">DA34*F34</f>
        <v>0</v>
      </c>
      <c r="DC34" s="993">
        <v>1</v>
      </c>
      <c r="DD34" s="758" t="str">
        <f>IF(OR(D34=BG$12,D34=BG$13),"External",IF(D34=BG$14,"Internal"," "))</f>
        <v xml:space="preserve"> </v>
      </c>
      <c r="DE34" s="51" t="str">
        <f t="shared" ca="1" si="18"/>
        <v/>
      </c>
      <c r="DF34" s="52" t="str">
        <f t="shared" ca="1" si="19"/>
        <v xml:space="preserve"> </v>
      </c>
      <c r="DG34" s="51">
        <f ca="1">IF(F34&lt;OFFSET($BM$9,CN34-1,0,1,1),0,IF(F34&lt;OFFSET($BN$9,CN34-1,0,1,1),((F34-OFFSET($BM$9,CN34-1,0,1,1))*OFFSET($CH$9,CN34-1,0,1,1))+OFFSET($BO$9,CN34-1,CQ34,1,1),IF(F34&lt;OFFSET($BN$9,CN34+0,0,1,1),((F34-OFFSET($BM$9,CN34+0,0,1,1))*OFFSET($CH$9,CN34+0,0,1,1))+OFFSET($BO$9,CN34+0,CQ34,1,1),IF(F34&lt;OFFSET($BN$9,CN34+1,0,1,1),((F34-OFFSET($BM$9,CN34+1,0,1,1))*OFFSET($CH$9,CN34+1,0,1,1))+OFFSET($BO$9,CN34+1,CQ34,1,1),IF(F34&lt;OFFSET($BN$9,CN34+2,0,1,1),((F34-OFFSET($BM$9,CN34+2,0,1,1))*OFFSET($CH$9,CN34+2,0,1,1))+OFFSET($BO$9,CN34+2,CQ34,1,1),IF(F34&lt;OFFSET($BN$9,CN34+3,0,1,1),((F34-OFFSET($BM$9,CN34+3,0,1,1))*OFFSET($CH$9,CN34+3,0,1,1))+OFFSET($BO$9,CN34+3,CQ34,1,1),0))))))</f>
        <v>0</v>
      </c>
      <c r="DH34" s="51">
        <f ca="1">IF($F34&lt;OFFSET($BM$9,$CN34-1,0,1,1),0,IF($F34&lt;OFFSET($BN$9,$CN34-1,0,1,1),IF(AND($H34&gt;2.4,Z34&lt;&gt;"e",Z34&lt;&gt;"f"),DL34*2.4/$H34,DL34),IF($F34&lt;OFFSET($BN$9,$CN34+0,0,1,1),IF(AND($H34&gt;2.4,Z34&lt;&gt;"e",Z34&lt;&gt;"f"),DL34*2.4/$H34,DL34),IF($F34&lt;OFFSET($BN$9,$CN34+1,0,1,1),IF(AND($H34&gt;2.4,Z34&lt;&gt;"e",Z34&lt;&gt;"f"),DL34*2.4/$H34,DL34),IF($F34&lt;OFFSET($BN$9,$CN34+2,0,1,1),IF(AND($H34&gt;2.4,Z34&lt;&gt;"e",Z34&lt;&gt;"f"),DL34*2.4/$H34,DL34),IF($F34&lt;OFFSET($BN$9,$CN34+3,0,1,1),IF(AND($H34&gt;2.4,Z34&lt;&gt;"e",Z34&lt;&gt;"f"),DL34*2.4/$H34,DL34),0)))))*COS(RADIANS($G34)))</f>
        <v>0</v>
      </c>
      <c r="DI34" s="51">
        <f ca="1">IF(F34&lt;OFFSET($BM$9,CN34-1,0,1,1),0,IF(F34&lt;OFFSET($BN$9,CN34-1,0,1,1),((F34-OFFSET($BM$9,CN34-1,0,1,1))*OFFSET($CI$9,CN34-1,0,1,1))+OFFSET($BP$9,CN34-1,CQ34,1,1),IF(F34&lt;OFFSET($BN$9,CN34+0,0,1,1),((F34-OFFSET($BM$9,CN34+0,0,1,1))*OFFSET($CI$9,CN34+0,0,1,1))+OFFSET($BP$9,CN34+0,CQ34,1,1),IF(F34&lt;OFFSET($BN$9,CN34+1,0,1,1),((F34-OFFSET($BM$9,CN34+1,0,1,1))*OFFSET($CI$9,CN34+1,0,1,1))+OFFSET($BP$9,CN34+1,CQ34,1,1),IF(F34&lt;OFFSET($BN$9,CN34+2,0,1,1),((F34-OFFSET($BM$9,CN34+2,0,1,1))*OFFSET($CI$9,CN34+2,0,1,1))+OFFSET($BP$9,CN34+2,CQ34,1,1),IF(F34&lt;OFFSET($BN$9,CN34+3,0,1,1),((F34-OFFSET($BM$9,CN34+3,0,1,1))*OFFSET($CI$9,CN34+3,0,1,1))+OFFSET($BP$9,CN34+3,CQ34,1,1),0))))))</f>
        <v>0</v>
      </c>
      <c r="DJ34" s="51">
        <f ca="1">IF($F34&lt;OFFSET($BM$9,$CN34-1,0,1,1),0,IF($F34&lt;OFFSET($BN$9,$CN34-1,0,1,1),IF(AND($H34&gt;2.4,Z34&lt;&gt;"e",Z34&lt;&gt;"f"),DN34*2.4/$H34,DN34),IF($F34&lt;OFFSET($BN$9,$CN34+0,0,1,1),IF(AND($H34&gt;2.4,Z34&lt;&gt;"e",Z34&lt;&gt;"f"),DN34*2.4/$H34,DN34),IF($F34&lt;OFFSET($BN$9,$CN34+1,0,1,1),IF(AND($H34&gt;2.4,Z34&lt;&gt;"e",Z34&lt;&gt;"f"),DN34*2.4/$H34,DN34),IF($F34&lt;OFFSET($BN$9,$CN34+2,0,1,1),IF(AND($H34&gt;2.4,Z34&lt;&gt;"e",Z34&lt;&gt;"f"),DN34*2.4/$H34,DN34),IF($F34&lt;OFFSET($BN$9,$CN34+3,0,1,1),IF(AND($H34&gt;2.4,Z34&lt;&gt;"e",Z34&lt;&gt;"f"),DN34*2.4/$H34,DN34),0)))))*COS(RADIANS($G34)))</f>
        <v>0</v>
      </c>
      <c r="DK34" s="51"/>
      <c r="DL34" s="51">
        <f ca="1">IF(DG34&gt;$CR34,$CR34,DG34)</f>
        <v>0</v>
      </c>
      <c r="DM34" s="51"/>
      <c r="DN34" s="51">
        <f ca="1">IF(DI34&gt;$CR34,$CR34,DI34)</f>
        <v>0</v>
      </c>
      <c r="DO34" s="435">
        <f ca="1">IF(DH34&gt;$CR34,$CR34,DH34)</f>
        <v>0</v>
      </c>
      <c r="DP34" s="435">
        <f ca="1">DO34*F34</f>
        <v>0</v>
      </c>
      <c r="DQ34" s="436">
        <f ca="1">IF(DJ34&gt;$CR34,$CR34,DJ34)</f>
        <v>0</v>
      </c>
      <c r="DR34" s="437">
        <f ca="1">DQ34*F34</f>
        <v>0</v>
      </c>
      <c r="DS34" s="426">
        <f ca="1">OFFSET($CH$9,CL34-1,-15,1,1)</f>
        <v>0</v>
      </c>
      <c r="DT34" s="426">
        <f t="shared" ca="1" si="1"/>
        <v>0</v>
      </c>
      <c r="DU34" s="188">
        <f ca="1">IF(F34&lt;OFFSET($BM$9,DT34-1,0,1,1),0,IF(F34&lt;OFFSET($BN$9,DT34-1,0,1,1),((F34-OFFSET($BM$9,DT34-1,0,1,1))*OFFSET($CH$9,DT34-1,0,1,1))+OFFSET($BO$9,DT34-1,CQ34,1,1),IF(F34&lt;OFFSET($BN$9,DT34+0,0,1,1),((F34-OFFSET($BM$9,DT34+0,0,1,1))*OFFSET($CH$9,DT34+0,0,1,1))+OFFSET($BO$9,DT34+0,CQ34,1,1),IF(F34&lt;OFFSET($BN$9,DT34+1,0,1,1),((F34-OFFSET($BM$9,DT34+1,0,1,1))*OFFSET($CH$9,DT34+1,0,1,1))+OFFSET($BO$9,DT34+1,CQ34,1,1),IF(F34&lt;OFFSET($BN$9,DT34+2,0,1,1),((F34-OFFSET($BM$9,DT34+2,0,1,1))*OFFSET($CH$9,DT34+2,0,1,1))+OFFSET($BO$9,DT34+2,CQ34,1,1),IF(F34&lt;OFFSET($BN$9,DT34+3,0,1,1),((F34-OFFSET($BM$9,DT34+3,0,1,1))*OFFSET($CH$9,DT34+3,0,1,1))+OFFSET($BO$9,DT34+3,CQ34,1,1),0))))))</f>
        <v>0</v>
      </c>
      <c r="DV34" s="51">
        <f ca="1">IF($F34&lt;OFFSET($BM$9,$DT34-1,0,1,1),0,IF($F34&lt;OFFSET($BN$9,$DT34-1,0,1,1),IF(AND($H34&gt;2.4,Z34&lt;&gt;"e",Z34&lt;&gt;"f"),DZ34*2.4/$H34,DZ34),IF($F34&lt;OFFSET($BN$9,$DT34+0,0,1,1),IF(AND($H34&gt;2.4,Z34&lt;&gt;"e",Z34&lt;&gt;"f"),DZ34*2.4/$H34,DZ34),IF($F34&lt;OFFSET($BN$9,$DT34+1,0,1,1),IF(AND($H34&gt;2.4,Z34&lt;&gt;"e",Z34&lt;&gt;"f"),DZ34*2.4/$H34,DZ34),IF($F34&lt;OFFSET($BN$9,$DT34+2,0,1,1),IF(AND($H34&gt;2.4,Z34&lt;&gt;"e",Z34&lt;&gt;"f"),DZ34*2.4/$H34,DZ34),IF($F34&lt;OFFSET($BN$9,$DT34+3,0,1,1),IF(AND($H34&gt;2.4,Z34&lt;&gt;"e",Z34&lt;&gt;"f"),DZ34*2.4/$H34,DZ34),0)))))*COS(RADIANS($G34)))</f>
        <v>0</v>
      </c>
      <c r="DW34" s="188">
        <f ca="1">IF(F34&lt;OFFSET($BM$9,DT34-1,0,1,1),0,IF(F34&lt;OFFSET($BN$9,DT34-1,0,1,1),((F34-OFFSET($BM$9,DT34-1,0,1,1))*OFFSET($CI$9,DT34-1,0,1,1))+OFFSET($BP$9,DT34-1,CQ34,1,1),IF(F34&lt;OFFSET($BN$9,DT34+0,0,1,1),((F34-OFFSET($BM$9,DT34+0,0,1,1))*OFFSET($CI$9,DT34+0,0,1,1))+OFFSET($BP$9,DT34+0,CQ34,1,1),IF(F34&lt;OFFSET($BN$9,DT34+1,0,1,1),((F34-OFFSET($BM$9,DT34+1,0,1,1))*OFFSET($CI$9,DT34+1,0,1,1))+OFFSET($BP$9,DT34+1,CQ34,1,1),IF(F34&lt;OFFSET($BN$9,DT34+2,0,1,1),((F34-OFFSET($BM$9,DT34+2,0,1,1))*OFFSET($CI$9,DT34+2,0,1,1))+OFFSET($BP$9,DT34+2,CQ34,1,1),IF(F34&lt;OFFSET($BN$9,DT34+3,0,1,1),((F34-OFFSET($BM$9,DT34+3,0,1,1))*OFFSET($CI$9,DT34+3,0,1,1))+OFFSET($BP$9,DT34+3,CQ34,1,1),0))))))</f>
        <v>0</v>
      </c>
      <c r="DX34" s="51">
        <f ca="1">IF($F34&lt;OFFSET($BM$9,$DT34-1,0,1,1),0,IF($F34&lt;OFFSET($BN$9,$DT34-1,0,1,1),IF(AND($H34&gt;2.4,Z34&lt;&gt;"e",Z34&lt;&gt;"f"),EB34*2.4/$H34,EB34),IF($F34&lt;OFFSET($BN$9,$DT34+0,0,1,1),IF(AND($H34&gt;2.4,Z34&lt;&gt;"e",Z34&lt;&gt;"f"),EB34*2.4/$H34,EB34),IF($F34&lt;OFFSET($BN$9,$DT34+1,0,1,1),IF(AND($H34&gt;2.4,Z34&lt;&gt;"e",Z34&lt;&gt;"f"),EB34*2.4/$H34,EB34),IF($F34&lt;OFFSET($BN$9,$DT34+2,0,1,1),IF(AND($H34&gt;2.4,Z34&lt;&gt;"e",Z34&lt;&gt;"f"),EB34*2.4/$H34,EB34),IF($F34&lt;OFFSET($BN$9,$DT34+3,0,1,1),IF(AND($H34&gt;2.4,Z34&lt;&gt;"e",Z34&lt;&gt;"f"),EB34*2.4/$H34,EB34),0)))))*COS(RADIANS($G34)))</f>
        <v>0</v>
      </c>
      <c r="DY34" s="188"/>
      <c r="DZ34" s="188">
        <f ca="1">IF(DU34&gt;$CR34,$CR34,DU34)</f>
        <v>0</v>
      </c>
      <c r="EA34" s="188"/>
      <c r="EB34" s="188">
        <f ca="1">IF(DW34&gt;$CR34,$CR34,DW34)</f>
        <v>0</v>
      </c>
      <c r="EC34" s="435">
        <f ca="1">IF(DV34&gt;$CR34,$CR34,DV34)</f>
        <v>0</v>
      </c>
      <c r="ED34" s="435">
        <f ca="1">EC34*F34</f>
        <v>0</v>
      </c>
      <c r="EE34" s="436">
        <f ca="1">IF(DX34&gt;$CR34,$CR34,DX34)</f>
        <v>0</v>
      </c>
      <c r="EF34" s="437">
        <f ca="1">EE34*F34</f>
        <v>0</v>
      </c>
      <c r="EG34" s="613" t="str">
        <f>IF(D34=BG$12,BG$12,"")</f>
        <v/>
      </c>
      <c r="EH34" s="614" t="str">
        <f>IF(D34=BG$13,BG$13,"")</f>
        <v/>
      </c>
      <c r="EI34" s="611">
        <f>IF(EG34=BG$12,M34,0)</f>
        <v>0</v>
      </c>
      <c r="EJ34" s="451">
        <f>IF(EG34=BG$12,O34,0)</f>
        <v>0</v>
      </c>
      <c r="EK34" s="451">
        <f>IF(EH34=BG$13,M34,0)</f>
        <v>0</v>
      </c>
      <c r="EL34" s="612">
        <f>IF(EH34=BG$13,O34,0)</f>
        <v>0</v>
      </c>
      <c r="EM34" s="426" t="str">
        <f ca="1">IF(AND(Z34&lt;&gt;"t",Z34&lt;&gt;"f"),"",IF(AND(EN34=$BH$11,K34&lt;&gt;EN34),EM$4,IF(AND(EN34=$BH$12,K34=$BH$13),EM$4,IF(AND(EN34=$BH$12,K34=$BH$14),EM$4,IF(AND(EN34=$BH$13,K34=$BH$14),$EM$4,IF(EN34=$BH$14,$EM$4,""))))))</f>
        <v/>
      </c>
      <c r="EN34" s="489" t="str">
        <f>BG$24</f>
        <v>No Floor</v>
      </c>
      <c r="EO34" s="426" t="str">
        <f>K34</f>
        <v xml:space="preserve"> </v>
      </c>
      <c r="EP34" s="497" t="str">
        <f ca="1">IF(AND(Z34&lt;&gt;"t",Z34&lt;&gt;"f"),"",IF(AND(EN34=$BH$14,K34&lt;&gt;EN34),EP$4,IF(AND(EN34=$BH$13,K34=$BH$12),EP$4,IF(AND(EN34=$BH$13,K34=$BH$11),EP$4,IF(AND(EN34=$BH$12,K34=$BH$11),$EP$4,IF(EN34=$BH$11,"Earth",""))))))</f>
        <v/>
      </c>
      <c r="EQ34" s="430" t="str">
        <f ca="1">IF(Z34&lt;&gt;"t","",IF(EQ$5=2,IF(K34&lt;&gt;BH$11,EQ$7," ")))</f>
        <v/>
      </c>
      <c r="ER34" s="439" t="str">
        <f ca="1">IF(H34=0," ",H34)</f>
        <v xml:space="preserve"> </v>
      </c>
      <c r="ES34" s="440" t="str">
        <f ca="1">IF(ER34&lt;&gt;" ",IF(ER34&lt;&gt;ER$7,"Changed",""),"")</f>
        <v/>
      </c>
      <c r="ET34" s="440">
        <f t="shared" ca="1" si="20"/>
        <v>0</v>
      </c>
      <c r="EU34" s="426" t="str">
        <f ca="1">IF(I34=" "," ",IF(F34&lt;OFFSET($BM$9,CL34-1,0,1,1),1,""))</f>
        <v xml:space="preserve"> </v>
      </c>
      <c r="EW34" s="427"/>
      <c r="EY34" s="421"/>
    </row>
    <row r="35" spans="1:155" ht="17.100000000000001" customHeight="1">
      <c r="B35" s="689" t="s">
        <v>246</v>
      </c>
      <c r="C35" s="684" t="str">
        <f>IF(OR(F35=0,I35="",I35=" ")," ",$V35)</f>
        <v xml:space="preserve"> </v>
      </c>
      <c r="D35" s="1033"/>
      <c r="E35" s="1360"/>
      <c r="F35" s="202"/>
      <c r="G35" s="1416"/>
      <c r="H35" s="1417" t="str">
        <f ca="1">IF(OR(F35=0,Z35="E",Z35="f")," ",'Project Demand'!E$55)</f>
        <v xml:space="preserve"> </v>
      </c>
      <c r="I35" s="631" t="str">
        <f>IF($I$6&lt;&gt;$BG$8," ",AB35)</f>
        <v xml:space="preserve"> </v>
      </c>
      <c r="J35" s="44" t="str">
        <f ca="1">IF(OR(I35=" ",I35="")," ",OFFSET($BO$9,CL35-1,0-4,1,1))</f>
        <v xml:space="preserve"> </v>
      </c>
      <c r="K35" s="55" t="str">
        <f>IF(OR(I35=" ",I35="")," ",IF(OR(Z35="e",Z35="h"),"SD",IF(BG$24=BH$11,BH$13,BG$24)))</f>
        <v xml:space="preserve"> </v>
      </c>
      <c r="L35" s="49">
        <f ca="1">CW35</f>
        <v>0</v>
      </c>
      <c r="M35" s="49">
        <f ca="1">CY35</f>
        <v>0</v>
      </c>
      <c r="N35" s="50">
        <f t="shared" ca="1" si="25"/>
        <v>0</v>
      </c>
      <c r="O35" s="126">
        <f t="shared" ca="1" si="25"/>
        <v>0</v>
      </c>
      <c r="P35" s="140"/>
      <c r="Q35" s="752" t="str">
        <f ca="1">IF(AND(OR(Z35="t",Z35="f"),K35=$BH$11),"No Floor!  Change Floor Type",IF(OR(I35=" ",I35="")," ",IF(F35&lt;OFFSET($BM$9,CL35-1,0,1,1),"check L(m)",DE35&amp;IF(AND(DP35&gt;=CY35,DR35&gt;=DB35),IF(AND(ED35&gt;=DP35,EF35&gt;=DR35),CONCATENATE(DS35," will provide same result"),CONCATENATE(CO35," will provide same result")),IF((DP35&gt;=CY35),CONCATENATE(CO35," provides same result in WIND"),IF((DR35&gt;=DB35),CONCATENATE(CO35," provides same result in EQ"),""))))))&amp;IF(ISERROR(FIND("pile",I35,1)),"",IF(INT(F35)&lt;&gt;F35,"Pile!  Use Whole Numbers Only",""))</f>
        <v xml:space="preserve"> </v>
      </c>
      <c r="R35" s="52"/>
      <c r="S35" s="1372"/>
      <c r="T35" s="1372"/>
      <c r="U35" s="1377"/>
      <c r="V35" s="52" t="str">
        <f ca="1">IF(AND(B$5=$BF$9,OR(I35=BH$16,I35=BH$17))," ",IF(ISNUMBER(B$32),(CONCATENATE(B$32,".",W35)),(CONCATENATE(B$32,W35))))</f>
        <v>E0</v>
      </c>
      <c r="W35" s="9">
        <f ca="1">W34+X35</f>
        <v>0</v>
      </c>
      <c r="X35" s="9">
        <f>IF(AND(B$5=$BF$9,OR($I35=$BH$16,$I35=$BH$17,$I35=" ",$I35="",$F35=0)),0,IF(OR($I35=" ",$I35="",$F35=0),0,1))</f>
        <v>0</v>
      </c>
      <c r="Y35" s="896"/>
      <c r="Z35" s="52" t="str">
        <f ca="1">IF(I35=" "," ",OFFSET($BM$9,$CL35-1,8,1,1))</f>
        <v xml:space="preserve"> </v>
      </c>
      <c r="AA35" s="51" t="str">
        <f>IF(G35&gt;=45,"WA","")</f>
        <v/>
      </c>
      <c r="AB35" s="1364" t="str">
        <f>IF(OR(E35=" ",E35="")," ",(IF(F35&lt;&gt;"",IF(OR(D35=$BG$12,D35=$BG$13),IF(E35&lt;&gt;$BG$17,$BF$20,$BF$21),IF(E35&lt;&gt;$BG$17,$BF$20,$BF$21))," ")))</f>
        <v xml:space="preserve"> </v>
      </c>
      <c r="AC35" s="1"/>
      <c r="AJ35" s="2"/>
      <c r="AM35" s="4"/>
      <c r="AN35" s="4"/>
      <c r="AO35" s="4"/>
      <c r="AP35" s="4"/>
      <c r="AQ35" s="4"/>
      <c r="AR35" s="10"/>
      <c r="AS35" s="10"/>
      <c r="AT35" s="4"/>
      <c r="AU35" s="119"/>
      <c r="AV35" s="119"/>
      <c r="AW35" s="119"/>
      <c r="AX35" s="119"/>
      <c r="AY35" s="119"/>
      <c r="AZ35" s="119"/>
      <c r="BA35" s="119"/>
      <c r="BB35" s="119"/>
      <c r="BC35" s="119"/>
      <c r="BD35" s="2648"/>
      <c r="BF35" s="598" t="str">
        <f>'Custom Elements'!C11</f>
        <v>Custom3</v>
      </c>
      <c r="BG35" s="948" t="s">
        <v>640</v>
      </c>
      <c r="BI35" s="759"/>
      <c r="BJ35" s="897">
        <f t="shared" si="5"/>
        <v>27</v>
      </c>
      <c r="BK35" s="769" t="str">
        <f>'Custom Elements'!O11</f>
        <v>NZS 3604</v>
      </c>
      <c r="BL35" s="771" t="str">
        <f>'Custom Elements'!P11</f>
        <v>Masonry 3.0</v>
      </c>
      <c r="BM35" s="455">
        <f>'Custom Elements'!Q11</f>
        <v>1.5</v>
      </c>
      <c r="BN35" s="455">
        <v>999</v>
      </c>
      <c r="BO35" s="455">
        <f>'Custom Elements'!R11</f>
        <v>200</v>
      </c>
      <c r="BP35" s="925">
        <f>'Custom Elements'!S11</f>
        <v>200</v>
      </c>
      <c r="BR35" s="764"/>
      <c r="BS35" s="455"/>
      <c r="BT35" s="455" t="s">
        <v>7</v>
      </c>
      <c r="BU35" s="925" t="s">
        <v>34</v>
      </c>
      <c r="BV35" s="483" t="str">
        <f t="shared" si="29"/>
        <v>Masonry 3.0</v>
      </c>
      <c r="BW35" s="910">
        <f t="shared" si="26"/>
        <v>27</v>
      </c>
      <c r="BX35" s="925" t="str">
        <f>'Custom Elements'!U11</f>
        <v>Single</v>
      </c>
      <c r="CH35" s="764">
        <f t="shared" si="27"/>
        <v>0</v>
      </c>
      <c r="CI35" s="925">
        <f t="shared" si="28"/>
        <v>0</v>
      </c>
      <c r="CJ35" s="759"/>
      <c r="CK35" s="188"/>
      <c r="CL35" s="979">
        <f>VLOOKUP(I35,Prodlink,2,0)</f>
        <v>0</v>
      </c>
      <c r="CN35" s="497">
        <f t="shared" ca="1" si="2"/>
        <v>0</v>
      </c>
      <c r="CO35" s="497">
        <f ca="1">OFFSET($CH$9,CL35-1,-15,1,1)</f>
        <v>0</v>
      </c>
      <c r="CQ35" s="51">
        <v>0</v>
      </c>
      <c r="CR35" s="51">
        <f ca="1">IF(AND(Z35&lt;&gt;"t",Z35&lt;&gt;"f"),10000,IF(K35=$BH$11,0,IF(K35=$BH$12,$BH$23,IF(K35=$BH$13,$BH$24,10000))))</f>
        <v>10000</v>
      </c>
      <c r="CS35" s="51">
        <f ca="1">IF(F35&lt;OFFSET($BM$9,CL35-1,0,1,1),0,IF(F35&lt;OFFSET($BN$9,CL35-1,0,1,1),((F35-OFFSET($BM$9,CL35-1,0,1,1))*OFFSET($CH$9,CL35-1,0,1,1))+OFFSET($BO$9,CL35-1,CQ35,1,1),IF(F35&lt;OFFSET($BN$9,CL35+0,0,1,1),((F35-OFFSET($BM$9,CL35+0,0,1,1))*OFFSET($CH$9,CL35+0,0,1,1))+OFFSET($BO$9,CL35+0,CQ35,1,1),IF(F35&lt;OFFSET($BN$9,CL35+1,0,1,1),((F35-OFFSET($BM$9,CL35+1,0,1,1))*OFFSET($CH$9,CL35+1,0,1,1))+OFFSET($BO$9,CL35+1,CQ35,1,1),IF(F35&lt;OFFSET($BN$9,CL35+2,0,1,1),((F35-OFFSET($BM$9,CL35+2,0,1,1))*OFFSET($CH$9,CL35+2,0,1,1))+OFFSET($BO$9,CL35+2,CQ35,1,1),IF(F35&lt;OFFSET($BN$9,CL35+3,0,1,1),((F35-OFFSET($BM$9,CL35+3,0,1,1))*OFFSET($CH$9,CL35+3,0,1,1))+OFFSET($BO$9,CL35+3,CQ35,1,1),0))))))</f>
        <v>0</v>
      </c>
      <c r="CT35" s="51">
        <f ca="1">IF($F35&lt;OFFSET($BM$9,$CL35-1,0,1,1),0,IF($F35&lt;OFFSET($BN$9,$CL35-1,0,1,1),IF(AND($H35&gt;2.4,Z35&lt;&gt;"e",Z35&lt;&gt;"f"),CX35*2.4/$H35,CX35),IF($F35&lt;OFFSET($BN$9,$CL35+0,0,1,1),IF(AND($H35&gt;2.4,Z35&lt;&gt;"e",Z35&lt;&gt;"f"),CX35*2.4/$H35,CX35),IF($F35&lt;OFFSET($BN$9,$CL35+1,0,1,1),IF(AND($H35&gt;2.4,Z35&lt;&gt;"e",Z35&lt;&gt;"f"),CX35*2.4/$H35,CX35),IF($F35&lt;OFFSET($BN$9,CL35+2,0,1,1),IF(AND($H35&gt;2.4,Z35&lt;&gt;"e",Z35&lt;&gt;"f"),CX35*2.4/$H35,CX35),IF($F35&lt;OFFSET($BN$9,CL35+3,0,1,1),IF(AND($H35&gt;2.4,Z35&lt;&gt;"e",Z35&lt;&gt;"f"),CX35*2.4/$H35,CX35),0)))))*COS(RADIANS($G35)))</f>
        <v>0</v>
      </c>
      <c r="CU35" s="51">
        <f ca="1">IF(F35&lt;OFFSET($BM$9,CL35-1,0,1,1),0,IF(F35&lt;OFFSET($BN$9,CL35-1,0,1,1),((F35-OFFSET($BM$9,CL35-1,0,1,1))*OFFSET($CI$9,CL35-1,0,1,1))+OFFSET($BP$9,CL35-1,CQ35,1,1),IF(F35&lt;OFFSET($BN$9,CL35+0,0,1,1),((F35-OFFSET($BM$9,CL35+0,0,1,1))*OFFSET($CI$9,CL35+0,0,1,1))+OFFSET($BP$9,CL35+0,CQ35,1,1),IF(F35&lt;OFFSET($BN$9,CL35+1,0,1,1),((F35-OFFSET($BM$9,CL35+1,0,1,1))*OFFSET($CI$9,CL35+1,0,1,1))+OFFSET($BP$9,CL35+1,CQ35,1,1),IF(F35&lt;OFFSET($BN$9,CL35+2,0,1,1),((F35-OFFSET($BM$9,CL35+2,0,1,1))*OFFSET($CI$9,CL35+2,0,1,1))+OFFSET($BP$9,CL35+2,CQ35,1,1),IF(F35&lt;OFFSET($BN$9,CL35+3,0,1,1),((F35-OFFSET($BM$9,CL35+3,0,1,1))*OFFSET($CI$9,CL35+3,0,1,1))+OFFSET($BP$9,CL35+3,CQ35,1,1),0))))))</f>
        <v>0</v>
      </c>
      <c r="CV35" s="51">
        <f ca="1">IF($F35&lt;OFFSET($BM$9,$CL35-1,0,1,1),0,IF($F35&lt;OFFSET($BN$9,$CL35-1,0,1,1),IF(AND($H35&gt;2.4,Z35&lt;&gt;"e",Z35&lt;&gt;"f"),CZ35*2.4/$H35,CZ35),IF($F35&lt;OFFSET($BN$9,$CL35+0,0,1,1),IF(AND($H35&gt;2.4,Z35&lt;&gt;"e",Z35&lt;&gt;"f"),CZ35*2.4/$H35,CZ35),IF($F35&lt;OFFSET($BN$9,$CL35+1,0,1,1),IF(AND($H35&gt;2.4,Z35&lt;&gt;"e",Z35&lt;&gt;"f"),CZ35*2.4/$H35,CZ35),IF($F35&lt;OFFSET($BN$9,$CL35+2,0,1,1),IF(AND($H35&gt;2.4,Z35&lt;&gt;"e",Z35&lt;&gt;"f"),CZ35*2.4/$H35,CZ35),IF($F35&lt;OFFSET($BN$9,$CL35+3,0,1,1),IF(AND($H35&gt;2.4,Z35&lt;&gt;"e",Z35&lt;&gt;"f"),CZ35*2.4/$H35,CZ35),0)))))*COS(RADIANS($G35)))</f>
        <v>0</v>
      </c>
      <c r="CW35" s="51">
        <f t="shared" ca="1" si="17"/>
        <v>0</v>
      </c>
      <c r="CX35" s="51">
        <f ca="1">IF(CS35&gt;$CR35,$CR35,CS35)</f>
        <v>0</v>
      </c>
      <c r="CY35" s="51">
        <f ca="1">CW35*F35</f>
        <v>0</v>
      </c>
      <c r="CZ35" s="51">
        <f ca="1">IF($CU35&gt;$CR35,$CR35,$CU35)</f>
        <v>0</v>
      </c>
      <c r="DA35" s="51">
        <f ca="1">IF(CV35&gt;CR35,CR35,CV35)</f>
        <v>0</v>
      </c>
      <c r="DB35" s="51">
        <f ca="1">DA35*F35</f>
        <v>0</v>
      </c>
      <c r="DC35" s="993">
        <v>1</v>
      </c>
      <c r="DD35" s="758" t="str">
        <f>IF(OR(D35=BG$12,D35=BG$13),"External",IF(D35=BG$14,"Internal"," "))</f>
        <v xml:space="preserve"> </v>
      </c>
      <c r="DE35" s="51" t="str">
        <f t="shared" ca="1" si="18"/>
        <v/>
      </c>
      <c r="DF35" s="52" t="str">
        <f t="shared" ca="1" si="19"/>
        <v xml:space="preserve"> </v>
      </c>
      <c r="DG35" s="51">
        <f ca="1">IF(F35&lt;OFFSET($BM$9,CN35-1,0,1,1),0,IF(F35&lt;OFFSET($BN$9,CN35-1,0,1,1),((F35-OFFSET($BM$9,CN35-1,0,1,1))*OFFSET($CH$9,CN35-1,0,1,1))+OFFSET($BO$9,CN35-1,CQ35,1,1),IF(F35&lt;OFFSET($BN$9,CN35+0,0,1,1),((F35-OFFSET($BM$9,CN35+0,0,1,1))*OFFSET($CH$9,CN35+0,0,1,1))+OFFSET($BO$9,CN35+0,CQ35,1,1),IF(F35&lt;OFFSET($BN$9,CN35+1,0,1,1),((F35-OFFSET($BM$9,CN35+1,0,1,1))*OFFSET($CH$9,CN35+1,0,1,1))+OFFSET($BO$9,CN35+1,CQ35,1,1),IF(F35&lt;OFFSET($BN$9,CN35+2,0,1,1),((F35-OFFSET($BM$9,CN35+2,0,1,1))*OFFSET($CH$9,CN35+2,0,1,1))+OFFSET($BO$9,CN35+2,CQ35,1,1),IF(F35&lt;OFFSET($BN$9,CN35+3,0,1,1),((F35-OFFSET($BM$9,CN35+3,0,1,1))*OFFSET($CH$9,CN35+3,0,1,1))+OFFSET($BO$9,CN35+3,CQ35,1,1),0))))))</f>
        <v>0</v>
      </c>
      <c r="DH35" s="51">
        <f ca="1">IF($F35&lt;OFFSET($BM$9,$CN35-1,0,1,1),0,IF($F35&lt;OFFSET($BN$9,$CN35-1,0,1,1),IF(AND($H35&gt;2.4,Z35&lt;&gt;"e",Z35&lt;&gt;"f"),DL35*2.4/$H35,DL35),IF($F35&lt;OFFSET($BN$9,$CN35+0,0,1,1),IF(AND($H35&gt;2.4,Z35&lt;&gt;"e",Z35&lt;&gt;"f"),DL35*2.4/$H35,DL35),IF($F35&lt;OFFSET($BN$9,$CN35+1,0,1,1),IF(AND($H35&gt;2.4,Z35&lt;&gt;"e",Z35&lt;&gt;"f"),DL35*2.4/$H35,DL35),IF($F35&lt;OFFSET($BN$9,$CN35+2,0,1,1),IF(AND($H35&gt;2.4,Z35&lt;&gt;"e",Z35&lt;&gt;"f"),DL35*2.4/$H35,DL35),IF($F35&lt;OFFSET($BN$9,$CN35+3,0,1,1),IF(AND($H35&gt;2.4,Z35&lt;&gt;"e",Z35&lt;&gt;"f"),DL35*2.4/$H35,DL35),0)))))*COS(RADIANS($G35)))</f>
        <v>0</v>
      </c>
      <c r="DI35" s="51">
        <f ca="1">IF(F35&lt;OFFSET($BM$9,CN35-1,0,1,1),0,IF(F35&lt;OFFSET($BN$9,CN35-1,0,1,1),((F35-OFFSET($BM$9,CN35-1,0,1,1))*OFFSET($CI$9,CN35-1,0,1,1))+OFFSET($BP$9,CN35-1,CQ35,1,1),IF(F35&lt;OFFSET($BN$9,CN35+0,0,1,1),((F35-OFFSET($BM$9,CN35+0,0,1,1))*OFFSET($CI$9,CN35+0,0,1,1))+OFFSET($BP$9,CN35+0,CQ35,1,1),IF(F35&lt;OFFSET($BN$9,CN35+1,0,1,1),((F35-OFFSET($BM$9,CN35+1,0,1,1))*OFFSET($CI$9,CN35+1,0,1,1))+OFFSET($BP$9,CN35+1,CQ35,1,1),IF(F35&lt;OFFSET($BN$9,CN35+2,0,1,1),((F35-OFFSET($BM$9,CN35+2,0,1,1))*OFFSET($CI$9,CN35+2,0,1,1))+OFFSET($BP$9,CN35+2,CQ35,1,1),IF(F35&lt;OFFSET($BN$9,CN35+3,0,1,1),((F35-OFFSET($BM$9,CN35+3,0,1,1))*OFFSET($CI$9,CN35+3,0,1,1))+OFFSET($BP$9,CN35+3,CQ35,1,1),0))))))</f>
        <v>0</v>
      </c>
      <c r="DJ35" s="51">
        <f ca="1">IF($F35&lt;OFFSET($BM$9,$CN35-1,0,1,1),0,IF($F35&lt;OFFSET($BN$9,$CN35-1,0,1,1),IF(AND($H35&gt;2.4,Z35&lt;&gt;"e",Z35&lt;&gt;"f"),DN35*2.4/$H35,DN35),IF($F35&lt;OFFSET($BN$9,$CN35+0,0,1,1),IF(AND($H35&gt;2.4,Z35&lt;&gt;"e",Z35&lt;&gt;"f"),DN35*2.4/$H35,DN35),IF($F35&lt;OFFSET($BN$9,$CN35+1,0,1,1),IF(AND($H35&gt;2.4,Z35&lt;&gt;"e",Z35&lt;&gt;"f"),DN35*2.4/$H35,DN35),IF($F35&lt;OFFSET($BN$9,$CN35+2,0,1,1),IF(AND($H35&gt;2.4,Z35&lt;&gt;"e",Z35&lt;&gt;"f"),DN35*2.4/$H35,DN35),IF($F35&lt;OFFSET($BN$9,$CN35+3,0,1,1),IF(AND($H35&gt;2.4,Z35&lt;&gt;"e",Z35&lt;&gt;"f"),DN35*2.4/$H35,DN35),0)))))*COS(RADIANS($G35)))</f>
        <v>0</v>
      </c>
      <c r="DK35" s="51"/>
      <c r="DL35" s="51">
        <f ca="1">IF(DG35&gt;$CR35,$CR35,DG35)</f>
        <v>0</v>
      </c>
      <c r="DM35" s="51"/>
      <c r="DN35" s="51">
        <f ca="1">IF(DI35&gt;$CR35,$CR35,DI35)</f>
        <v>0</v>
      </c>
      <c r="DO35" s="435">
        <f ca="1">IF(DH35&gt;$CR35,$CR35,DH35)</f>
        <v>0</v>
      </c>
      <c r="DP35" s="435">
        <f ca="1">DO35*F35</f>
        <v>0</v>
      </c>
      <c r="DQ35" s="436">
        <f ca="1">IF(DJ35&gt;$CR35,$CR35,DJ35)</f>
        <v>0</v>
      </c>
      <c r="DR35" s="437">
        <f ca="1">DQ35*F35</f>
        <v>0</v>
      </c>
      <c r="DS35" s="426">
        <f ca="1">OFFSET($CH$9,CL35-1,-15,1,1)</f>
        <v>0</v>
      </c>
      <c r="DT35" s="426">
        <f t="shared" ca="1" si="1"/>
        <v>0</v>
      </c>
      <c r="DU35" s="188">
        <f ca="1">IF(F35&lt;OFFSET($BM$9,DT35-1,0,1,1),0,IF(F35&lt;OFFSET($BN$9,DT35-1,0,1,1),((F35-OFFSET($BM$9,DT35-1,0,1,1))*OFFSET($CH$9,DT35-1,0,1,1))+OFFSET($BO$9,DT35-1,CQ35,1,1),IF(F35&lt;OFFSET($BN$9,DT35+0,0,1,1),((F35-OFFSET($BM$9,DT35+0,0,1,1))*OFFSET($CH$9,DT35+0,0,1,1))+OFFSET($BO$9,DT35+0,CQ35,1,1),IF(F35&lt;OFFSET($BN$9,DT35+1,0,1,1),((F35-OFFSET($BM$9,DT35+1,0,1,1))*OFFSET($CH$9,DT35+1,0,1,1))+OFFSET($BO$9,DT35+1,CQ35,1,1),IF(F35&lt;OFFSET($BN$9,DT35+2,0,1,1),((F35-OFFSET($BM$9,DT35+2,0,1,1))*OFFSET($CH$9,DT35+2,0,1,1))+OFFSET($BO$9,DT35+2,CQ35,1,1),IF(F35&lt;OFFSET($BN$9,DT35+3,0,1,1),((F35-OFFSET($BM$9,DT35+3,0,1,1))*OFFSET($CH$9,DT35+3,0,1,1))+OFFSET($BO$9,DT35+3,CQ35,1,1),0))))))</f>
        <v>0</v>
      </c>
      <c r="DV35" s="51">
        <f ca="1">IF($F35&lt;OFFSET($BM$9,$DT35-1,0,1,1),0,IF($F35&lt;OFFSET($BN$9,$DT35-1,0,1,1),IF(AND($H35&gt;2.4,Z35&lt;&gt;"e",Z35&lt;&gt;"f"),DZ35*2.4/$H35,DZ35),IF($F35&lt;OFFSET($BN$9,$DT35+0,0,1,1),IF(AND($H35&gt;2.4,Z35&lt;&gt;"e",Z35&lt;&gt;"f"),DZ35*2.4/$H35,DZ35),IF($F35&lt;OFFSET($BN$9,$DT35+1,0,1,1),IF(AND($H35&gt;2.4,Z35&lt;&gt;"e",Z35&lt;&gt;"f"),DZ35*2.4/$H35,DZ35),IF($F35&lt;OFFSET($BN$9,$DT35+2,0,1,1),IF(AND($H35&gt;2.4,Z35&lt;&gt;"e",Z35&lt;&gt;"f"),DZ35*2.4/$H35,DZ35),IF($F35&lt;OFFSET($BN$9,$DT35+3,0,1,1),IF(AND($H35&gt;2.4,Z35&lt;&gt;"e",Z35&lt;&gt;"f"),DZ35*2.4/$H35,DZ35),0)))))*COS(RADIANS($G35)))</f>
        <v>0</v>
      </c>
      <c r="DW35" s="188">
        <f ca="1">IF(F35&lt;OFFSET($BM$9,DT35-1,0,1,1),0,IF(F35&lt;OFFSET($BN$9,DT35-1,0,1,1),((F35-OFFSET($BM$9,DT35-1,0,1,1))*OFFSET($CI$9,DT35-1,0,1,1))+OFFSET($BP$9,DT35-1,CQ35,1,1),IF(F35&lt;OFFSET($BN$9,DT35+0,0,1,1),((F35-OFFSET($BM$9,DT35+0,0,1,1))*OFFSET($CI$9,DT35+0,0,1,1))+OFFSET($BP$9,DT35+0,CQ35,1,1),IF(F35&lt;OFFSET($BN$9,DT35+1,0,1,1),((F35-OFFSET($BM$9,DT35+1,0,1,1))*OFFSET($CI$9,DT35+1,0,1,1))+OFFSET($BP$9,DT35+1,CQ35,1,1),IF(F35&lt;OFFSET($BN$9,DT35+2,0,1,1),((F35-OFFSET($BM$9,DT35+2,0,1,1))*OFFSET($CI$9,DT35+2,0,1,1))+OFFSET($BP$9,DT35+2,CQ35,1,1),IF(F35&lt;OFFSET($BN$9,DT35+3,0,1,1),((F35-OFFSET($BM$9,DT35+3,0,1,1))*OFFSET($CI$9,DT35+3,0,1,1))+OFFSET($BP$9,DT35+3,CQ35,1,1),0))))))</f>
        <v>0</v>
      </c>
      <c r="DX35" s="51">
        <f ca="1">IF($F35&lt;OFFSET($BM$9,$DT35-1,0,1,1),0,IF($F35&lt;OFFSET($BN$9,$DT35-1,0,1,1),IF(AND($H35&gt;2.4,Z35&lt;&gt;"e",Z35&lt;&gt;"f"),EB35*2.4/$H35,EB35),IF($F35&lt;OFFSET($BN$9,$DT35+0,0,1,1),IF(AND($H35&gt;2.4,Z35&lt;&gt;"e",Z35&lt;&gt;"f"),EB35*2.4/$H35,EB35),IF($F35&lt;OFFSET($BN$9,$DT35+1,0,1,1),IF(AND($H35&gt;2.4,Z35&lt;&gt;"e",Z35&lt;&gt;"f"),EB35*2.4/$H35,EB35),IF($F35&lt;OFFSET($BN$9,$DT35+2,0,1,1),IF(AND($H35&gt;2.4,Z35&lt;&gt;"e",Z35&lt;&gt;"f"),EB35*2.4/$H35,EB35),IF($F35&lt;OFFSET($BN$9,$DT35+3,0,1,1),IF(AND($H35&gt;2.4,Z35&lt;&gt;"e",Z35&lt;&gt;"f"),EB35*2.4/$H35,EB35),0)))))*COS(RADIANS($G35)))</f>
        <v>0</v>
      </c>
      <c r="DY35" s="188"/>
      <c r="DZ35" s="188">
        <f ca="1">IF(DU35&gt;$CR35,$CR35,DU35)</f>
        <v>0</v>
      </c>
      <c r="EA35" s="188"/>
      <c r="EB35" s="188">
        <f ca="1">IF(DW35&gt;$CR35,$CR35,DW35)</f>
        <v>0</v>
      </c>
      <c r="EC35" s="435">
        <f ca="1">IF(DV35&gt;$CR35,$CR35,DV35)</f>
        <v>0</v>
      </c>
      <c r="ED35" s="435">
        <f ca="1">EC35*F35</f>
        <v>0</v>
      </c>
      <c r="EE35" s="436">
        <f ca="1">IF(DX35&gt;$CR35,$CR35,DX35)</f>
        <v>0</v>
      </c>
      <c r="EF35" s="437">
        <f ca="1">EE35*F35</f>
        <v>0</v>
      </c>
      <c r="EG35" s="613" t="str">
        <f>IF(D35=BG$12,BG$12,"")</f>
        <v/>
      </c>
      <c r="EH35" s="614" t="str">
        <f>IF(D35=BG$13,BG$13,"")</f>
        <v/>
      </c>
      <c r="EI35" s="611">
        <f>IF(EG35=BG$12,M35,0)</f>
        <v>0</v>
      </c>
      <c r="EJ35" s="451">
        <f>IF(EG35=BG$12,O35,0)</f>
        <v>0</v>
      </c>
      <c r="EK35" s="451">
        <f>IF(EH35=BG$13,M35,0)</f>
        <v>0</v>
      </c>
      <c r="EL35" s="612">
        <f>IF(EH35=BG$13,O35,0)</f>
        <v>0</v>
      </c>
      <c r="EM35" s="426" t="str">
        <f ca="1">IF(AND(Z35&lt;&gt;"t",Z35&lt;&gt;"f"),"",IF(AND(EN35=$BH$11,K35&lt;&gt;EN35),EM$4,IF(AND(EN35=$BH$12,K35=$BH$13),EM$4,IF(AND(EN35=$BH$12,K35=$BH$14),EM$4,IF(AND(EN35=$BH$13,K35=$BH$14),$EM$4,IF(EN35=$BH$14,$EM$4,""))))))</f>
        <v/>
      </c>
      <c r="EN35" s="489" t="str">
        <f>BG$24</f>
        <v>No Floor</v>
      </c>
      <c r="EO35" s="426" t="str">
        <f>K35</f>
        <v xml:space="preserve"> </v>
      </c>
      <c r="EP35" s="497" t="str">
        <f ca="1">IF(AND(Z35&lt;&gt;"t",Z35&lt;&gt;"f"),"",IF(AND(EN35=$BH$14,K35&lt;&gt;EN35),EP$4,IF(AND(EN35=$BH$13,K35=$BH$12),EP$4,IF(AND(EN35=$BH$13,K35=$BH$11),EP$4,IF(AND(EN35=$BH$12,K35=$BH$11),$EP$4,IF(EN35=$BH$11,"Earth",""))))))</f>
        <v/>
      </c>
      <c r="EQ35" s="430" t="str">
        <f ca="1">IF(Z35&lt;&gt;"t","",IF(EQ$5=2,IF(K35&lt;&gt;BH$11,EQ$7," ")))</f>
        <v/>
      </c>
      <c r="ER35" s="439" t="str">
        <f ca="1">IF(H35=0," ",H35)</f>
        <v xml:space="preserve"> </v>
      </c>
      <c r="ES35" s="440" t="str">
        <f ca="1">IF(ER35&lt;&gt;" ",IF(ER35&lt;&gt;ER$7,"Changed",""),"")</f>
        <v/>
      </c>
      <c r="ET35" s="440">
        <f t="shared" ca="1" si="20"/>
        <v>0</v>
      </c>
      <c r="EU35" s="426" t="str">
        <f ca="1">IF(I35=" "," ",IF(F35&lt;OFFSET($BM$9,CL35-1,0,1,1),1,""))</f>
        <v xml:space="preserve"> </v>
      </c>
      <c r="EW35" s="427"/>
      <c r="EY35" s="421"/>
    </row>
    <row r="36" spans="1:155" ht="17.100000000000001" customHeight="1" thickBot="1">
      <c r="B36" s="689" t="s">
        <v>246</v>
      </c>
      <c r="C36" s="684" t="str">
        <f>IF(OR(F36=0,I36="",I36=" ")," ",$V36)</f>
        <v xml:space="preserve"> </v>
      </c>
      <c r="D36" s="1033"/>
      <c r="E36" s="1360"/>
      <c r="F36" s="202"/>
      <c r="G36" s="1416"/>
      <c r="H36" s="1417" t="str">
        <f ca="1">IF(OR(F36=0,Z36="E",Z36="f")," ",'Project Demand'!E$55)</f>
        <v xml:space="preserve"> </v>
      </c>
      <c r="I36" s="631" t="str">
        <f>IF($I$6&lt;&gt;$BG$8," ",AB36)</f>
        <v xml:space="preserve"> </v>
      </c>
      <c r="J36" s="44" t="str">
        <f ca="1">IF(OR(I36=" ",I36="")," ",OFFSET($BO$9,CL36-1,0-4,1,1))</f>
        <v xml:space="preserve"> </v>
      </c>
      <c r="K36" s="55" t="str">
        <f>IF(OR(I36=" ",I36="")," ",IF(OR(Z36="e",Z36="h"),"SD",IF(BG$24=BH$11,BH$13,BG$24)))</f>
        <v xml:space="preserve"> </v>
      </c>
      <c r="L36" s="49">
        <f ca="1">CW36</f>
        <v>0</v>
      </c>
      <c r="M36" s="49">
        <f ca="1">CY36</f>
        <v>0</v>
      </c>
      <c r="N36" s="50">
        <f t="shared" ca="1" si="25"/>
        <v>0</v>
      </c>
      <c r="O36" s="126">
        <f t="shared" ca="1" si="25"/>
        <v>0</v>
      </c>
      <c r="P36" s="140"/>
      <c r="Q36" s="752" t="str">
        <f ca="1">IF(AND(OR(Z36="t",Z36="f"),K36=$BH$11),"No Floor!  Change Floor Type",IF(OR(I36=" ",I36="")," ",IF(F36&lt;OFFSET($BM$9,CL36-1,0,1,1),"check L(m)",DE36&amp;IF(AND(DP36&gt;=CY36,DR36&gt;=DB36),IF(AND(ED36&gt;=DP36,EF36&gt;=DR36),CONCATENATE(DS36," will provide same result"),CONCATENATE(CO36," will provide same result")),IF((DP36&gt;=CY36),CONCATENATE(CO36," provides same result in WIND"),IF((DR36&gt;=DB36),CONCATENATE(CO36," provides same result in EQ"),""))))))&amp;IF(ISERROR(FIND("pile",I36,1)),"",IF(INT(F36)&lt;&gt;F36,"Pile!  Use Whole Numbers Only",""))</f>
        <v xml:space="preserve"> </v>
      </c>
      <c r="U36" s="1377"/>
      <c r="V36" s="52" t="str">
        <f ca="1">IF(AND(B$5=$BF$9,OR(I36=BH$16,I36=BH$17))," ",IF(ISNUMBER(B$32),(CONCATENATE(B$32,".",W36)),(CONCATENATE(B$32,W36))))</f>
        <v>E0</v>
      </c>
      <c r="W36" s="9">
        <f ca="1">W35+X36</f>
        <v>0</v>
      </c>
      <c r="X36" s="9">
        <f>IF(AND(B$5=$BF$9,OR($I36=$BH$16,$I36=$BH$17,$I36=" ",$I36="",$F36=0)),0,IF(OR($I36=" ",$I36="",$F36=0),0,1))</f>
        <v>0</v>
      </c>
      <c r="Y36" s="896"/>
      <c r="Z36" s="52" t="str">
        <f ca="1">IF(I36=" "," ",OFFSET($BM$9,$CL36-1,8,1,1))</f>
        <v xml:space="preserve"> </v>
      </c>
      <c r="AA36" s="51" t="str">
        <f>IF(G36&gt;=45,"WA","")</f>
        <v/>
      </c>
      <c r="AB36" s="1364" t="str">
        <f>IF(OR(E36=" ",E36="")," ",(IF(F36&lt;&gt;"",IF(OR(D36=$BG$12,D36=$BG$13),IF(E36&lt;&gt;$BG$17,$BF$20,$BF$21),IF(E36&lt;&gt;$BG$17,$BF$20,$BF$21))," ")))</f>
        <v xml:space="preserve"> </v>
      </c>
      <c r="AC36" s="1"/>
      <c r="AJ36" s="2"/>
      <c r="AM36" s="4"/>
      <c r="AN36" s="4"/>
      <c r="AO36" s="4"/>
      <c r="AP36" s="4"/>
      <c r="AQ36" s="4"/>
      <c r="AR36" s="10"/>
      <c r="AS36" s="10"/>
      <c r="AT36" s="4"/>
      <c r="AU36" s="119"/>
      <c r="AV36" s="119"/>
      <c r="AW36" s="119"/>
      <c r="AX36" s="119"/>
      <c r="AY36" s="119"/>
      <c r="AZ36" s="119"/>
      <c r="BA36" s="119"/>
      <c r="BB36" s="119"/>
      <c r="BC36" s="119"/>
      <c r="BD36" s="2648"/>
      <c r="BF36" s="598" t="str">
        <f>'Custom Elements'!C12</f>
        <v>Custom4</v>
      </c>
      <c r="BG36" s="948" t="s">
        <v>641</v>
      </c>
      <c r="BI36" s="759"/>
      <c r="BJ36" s="897">
        <f t="shared" si="5"/>
        <v>28</v>
      </c>
      <c r="BK36" s="769" t="str">
        <f>'Custom Elements'!O12</f>
        <v>NZS 3604</v>
      </c>
      <c r="BL36" s="771" t="str">
        <f>'Custom Elements'!P12</f>
        <v>Masonry 4.5</v>
      </c>
      <c r="BM36" s="455">
        <f>'Custom Elements'!Q12</f>
        <v>1.5</v>
      </c>
      <c r="BN36" s="455">
        <v>999</v>
      </c>
      <c r="BO36" s="455">
        <f>'Custom Elements'!R12</f>
        <v>300</v>
      </c>
      <c r="BP36" s="925">
        <f>'Custom Elements'!S12</f>
        <v>300</v>
      </c>
      <c r="BR36" s="764"/>
      <c r="BS36" s="455"/>
      <c r="BT36" s="455" t="s">
        <v>7</v>
      </c>
      <c r="BU36" s="925" t="s">
        <v>34</v>
      </c>
      <c r="BV36" s="483" t="str">
        <f t="shared" si="29"/>
        <v>Masonry 4.5</v>
      </c>
      <c r="BW36" s="910">
        <f t="shared" si="26"/>
        <v>28</v>
      </c>
      <c r="BX36" s="925" t="str">
        <f>'Custom Elements'!U12</f>
        <v>Single</v>
      </c>
      <c r="CH36" s="764">
        <f t="shared" si="27"/>
        <v>0</v>
      </c>
      <c r="CI36" s="925">
        <f t="shared" si="28"/>
        <v>0</v>
      </c>
      <c r="CJ36" s="759"/>
      <c r="CK36" s="188"/>
      <c r="CL36" s="979">
        <f>VLOOKUP(I36,Prodlink,2,0)</f>
        <v>0</v>
      </c>
      <c r="CN36" s="497">
        <f t="shared" ca="1" si="2"/>
        <v>0</v>
      </c>
      <c r="CO36" s="497">
        <f ca="1">OFFSET($CH$9,CL36-1,-15,1,1)</f>
        <v>0</v>
      </c>
      <c r="CQ36" s="51">
        <v>0</v>
      </c>
      <c r="CR36" s="51">
        <f ca="1">IF(AND(Z36&lt;&gt;"t",Z36&lt;&gt;"f"),10000,IF(K36=$BH$11,0,IF(K36=$BH$12,$BH$23,IF(K36=$BH$13,$BH$24,10000))))</f>
        <v>10000</v>
      </c>
      <c r="CS36" s="51">
        <f ca="1">IF(F36&lt;OFFSET($BM$9,CL36-1,0,1,1),0,IF(F36&lt;OFFSET($BN$9,CL36-1,0,1,1),((F36-OFFSET($BM$9,CL36-1,0,1,1))*OFFSET($CH$9,CL36-1,0,1,1))+OFFSET($BO$9,CL36-1,CQ36,1,1),IF(F36&lt;OFFSET($BN$9,CL36+0,0,1,1),((F36-OFFSET($BM$9,CL36+0,0,1,1))*OFFSET($CH$9,CL36+0,0,1,1))+OFFSET($BO$9,CL36+0,CQ36,1,1),IF(F36&lt;OFFSET($BN$9,CL36+1,0,1,1),((F36-OFFSET($BM$9,CL36+1,0,1,1))*OFFSET($CH$9,CL36+1,0,1,1))+OFFSET($BO$9,CL36+1,CQ36,1,1),IF(F36&lt;OFFSET($BN$9,CL36+2,0,1,1),((F36-OFFSET($BM$9,CL36+2,0,1,1))*OFFSET($CH$9,CL36+2,0,1,1))+OFFSET($BO$9,CL36+2,CQ36,1,1),IF(F36&lt;OFFSET($BN$9,CL36+3,0,1,1),((F36-OFFSET($BM$9,CL36+3,0,1,1))*OFFSET($CH$9,CL36+3,0,1,1))+OFFSET($BO$9,CL36+3,CQ36,1,1),0))))))</f>
        <v>0</v>
      </c>
      <c r="CT36" s="51">
        <f ca="1">IF($F36&lt;OFFSET($BM$9,$CL36-1,0,1,1),0,IF($F36&lt;OFFSET($BN$9,$CL36-1,0,1,1),IF(AND($H36&gt;2.4,Z36&lt;&gt;"e",Z36&lt;&gt;"f"),CX36*2.4/$H36,CX36),IF($F36&lt;OFFSET($BN$9,$CL36+0,0,1,1),IF(AND($H36&gt;2.4,Z36&lt;&gt;"e",Z36&lt;&gt;"f"),CX36*2.4/$H36,CX36),IF($F36&lt;OFFSET($BN$9,$CL36+1,0,1,1),IF(AND($H36&gt;2.4,Z36&lt;&gt;"e",Z36&lt;&gt;"f"),CX36*2.4/$H36,CX36),IF($F36&lt;OFFSET($BN$9,CL36+2,0,1,1),IF(AND($H36&gt;2.4,Z36&lt;&gt;"e",Z36&lt;&gt;"f"),CX36*2.4/$H36,CX36),IF($F36&lt;OFFSET($BN$9,CL36+3,0,1,1),IF(AND($H36&gt;2.4,Z36&lt;&gt;"e",Z36&lt;&gt;"f"),CX36*2.4/$H36,CX36),0)))))*COS(RADIANS($G36)))</f>
        <v>0</v>
      </c>
      <c r="CU36" s="51">
        <f ca="1">IF(F36&lt;OFFSET($BM$9,CL36-1,0,1,1),0,IF(F36&lt;OFFSET($BN$9,CL36-1,0,1,1),((F36-OFFSET($BM$9,CL36-1,0,1,1))*OFFSET($CI$9,CL36-1,0,1,1))+OFFSET($BP$9,CL36-1,CQ36,1,1),IF(F36&lt;OFFSET($BN$9,CL36+0,0,1,1),((F36-OFFSET($BM$9,CL36+0,0,1,1))*OFFSET($CI$9,CL36+0,0,1,1))+OFFSET($BP$9,CL36+0,CQ36,1,1),IF(F36&lt;OFFSET($BN$9,CL36+1,0,1,1),((F36-OFFSET($BM$9,CL36+1,0,1,1))*OFFSET($CI$9,CL36+1,0,1,1))+OFFSET($BP$9,CL36+1,CQ36,1,1),IF(F36&lt;OFFSET($BN$9,CL36+2,0,1,1),((F36-OFFSET($BM$9,CL36+2,0,1,1))*OFFSET($CI$9,CL36+2,0,1,1))+OFFSET($BP$9,CL36+2,CQ36,1,1),IF(F36&lt;OFFSET($BN$9,CL36+3,0,1,1),((F36-OFFSET($BM$9,CL36+3,0,1,1))*OFFSET($CI$9,CL36+3,0,1,1))+OFFSET($BP$9,CL36+3,CQ36,1,1),0))))))</f>
        <v>0</v>
      </c>
      <c r="CV36" s="51">
        <f ca="1">IF($F36&lt;OFFSET($BM$9,$CL36-1,0,1,1),0,IF($F36&lt;OFFSET($BN$9,$CL36-1,0,1,1),IF(AND($H36&gt;2.4,Z36&lt;&gt;"e",Z36&lt;&gt;"f"),CZ36*2.4/$H36,CZ36),IF($F36&lt;OFFSET($BN$9,$CL36+0,0,1,1),IF(AND($H36&gt;2.4,Z36&lt;&gt;"e",Z36&lt;&gt;"f"),CZ36*2.4/$H36,CZ36),IF($F36&lt;OFFSET($BN$9,$CL36+1,0,1,1),IF(AND($H36&gt;2.4,Z36&lt;&gt;"e",Z36&lt;&gt;"f"),CZ36*2.4/$H36,CZ36),IF($F36&lt;OFFSET($BN$9,$CL36+2,0,1,1),IF(AND($H36&gt;2.4,Z36&lt;&gt;"e",Z36&lt;&gt;"f"),CZ36*2.4/$H36,CZ36),IF($F36&lt;OFFSET($BN$9,$CL36+3,0,1,1),IF(AND($H36&gt;2.4,Z36&lt;&gt;"e",Z36&lt;&gt;"f"),CZ36*2.4/$H36,CZ36),0)))))*COS(RADIANS($G36)))</f>
        <v>0</v>
      </c>
      <c r="CW36" s="51">
        <f t="shared" ca="1" si="17"/>
        <v>0</v>
      </c>
      <c r="CX36" s="51">
        <f ca="1">IF(CS36&gt;$CR36,$CR36,CS36)</f>
        <v>0</v>
      </c>
      <c r="CY36" s="51">
        <f ca="1">CW36*F36</f>
        <v>0</v>
      </c>
      <c r="CZ36" s="51">
        <f ca="1">IF($CU36&gt;$CR36,$CR36,$CU36)</f>
        <v>0</v>
      </c>
      <c r="DA36" s="51">
        <f ca="1">IF(CV36&gt;CR36,CR36,CV36)</f>
        <v>0</v>
      </c>
      <c r="DB36" s="51">
        <f ca="1">DA36*F36</f>
        <v>0</v>
      </c>
      <c r="DC36" s="993">
        <v>1</v>
      </c>
      <c r="DD36" s="758" t="str">
        <f>IF(OR(D36=BG$12,D36=BG$13),"External",IF(D36=BG$14,"Internal"," "))</f>
        <v xml:space="preserve"> </v>
      </c>
      <c r="DE36" s="51" t="str">
        <f t="shared" ca="1" si="18"/>
        <v/>
      </c>
      <c r="DF36" s="52" t="str">
        <f t="shared" ca="1" si="19"/>
        <v xml:space="preserve"> </v>
      </c>
      <c r="DG36" s="51">
        <f ca="1">IF(F36&lt;OFFSET($BM$9,CN36-1,0,1,1),0,IF(F36&lt;OFFSET($BN$9,CN36-1,0,1,1),((F36-OFFSET($BM$9,CN36-1,0,1,1))*OFFSET($CH$9,CN36-1,0,1,1))+OFFSET($BO$9,CN36-1,CQ36,1,1),IF(F36&lt;OFFSET($BN$9,CN36+0,0,1,1),((F36-OFFSET($BM$9,CN36+0,0,1,1))*OFFSET($CH$9,CN36+0,0,1,1))+OFFSET($BO$9,CN36+0,CQ36,1,1),IF(F36&lt;OFFSET($BN$9,CN36+1,0,1,1),((F36-OFFSET($BM$9,CN36+1,0,1,1))*OFFSET($CH$9,CN36+1,0,1,1))+OFFSET($BO$9,CN36+1,CQ36,1,1),IF(F36&lt;OFFSET($BN$9,CN36+2,0,1,1),((F36-OFFSET($BM$9,CN36+2,0,1,1))*OFFSET($CH$9,CN36+2,0,1,1))+OFFSET($BO$9,CN36+2,CQ36,1,1),IF(F36&lt;OFFSET($BN$9,CN36+3,0,1,1),((F36-OFFSET($BM$9,CN36+3,0,1,1))*OFFSET($CH$9,CN36+3,0,1,1))+OFFSET($BO$9,CN36+3,CQ36,1,1),0))))))</f>
        <v>0</v>
      </c>
      <c r="DH36" s="51">
        <f ca="1">IF($F36&lt;OFFSET($BM$9,$CN36-1,0,1,1),0,IF($F36&lt;OFFSET($BN$9,$CN36-1,0,1,1),IF(AND($H36&gt;2.4,Z36&lt;&gt;"e",Z36&lt;&gt;"f"),DL36*2.4/$H36,DL36),IF($F36&lt;OFFSET($BN$9,$CN36+0,0,1,1),IF(AND($H36&gt;2.4,Z36&lt;&gt;"e",Z36&lt;&gt;"f"),DL36*2.4/$H36,DL36),IF($F36&lt;OFFSET($BN$9,$CN36+1,0,1,1),IF(AND($H36&gt;2.4,Z36&lt;&gt;"e",Z36&lt;&gt;"f"),DL36*2.4/$H36,DL36),IF($F36&lt;OFFSET($BN$9,$CN36+2,0,1,1),IF(AND($H36&gt;2.4,Z36&lt;&gt;"e",Z36&lt;&gt;"f"),DL36*2.4/$H36,DL36),IF($F36&lt;OFFSET($BN$9,$CN36+3,0,1,1),IF(AND($H36&gt;2.4,Z36&lt;&gt;"e",Z36&lt;&gt;"f"),DL36*2.4/$H36,DL36),0)))))*COS(RADIANS($G36)))</f>
        <v>0</v>
      </c>
      <c r="DI36" s="51">
        <f ca="1">IF(F36&lt;OFFSET($BM$9,CN36-1,0,1,1),0,IF(F36&lt;OFFSET($BN$9,CN36-1,0,1,1),((F36-OFFSET($BM$9,CN36-1,0,1,1))*OFFSET($CI$9,CN36-1,0,1,1))+OFFSET($BP$9,CN36-1,CQ36,1,1),IF(F36&lt;OFFSET($BN$9,CN36+0,0,1,1),((F36-OFFSET($BM$9,CN36+0,0,1,1))*OFFSET($CI$9,CN36+0,0,1,1))+OFFSET($BP$9,CN36+0,CQ36,1,1),IF(F36&lt;OFFSET($BN$9,CN36+1,0,1,1),((F36-OFFSET($BM$9,CN36+1,0,1,1))*OFFSET($CI$9,CN36+1,0,1,1))+OFFSET($BP$9,CN36+1,CQ36,1,1),IF(F36&lt;OFFSET($BN$9,CN36+2,0,1,1),((F36-OFFSET($BM$9,CN36+2,0,1,1))*OFFSET($CI$9,CN36+2,0,1,1))+OFFSET($BP$9,CN36+2,CQ36,1,1),IF(F36&lt;OFFSET($BN$9,CN36+3,0,1,1),((F36-OFFSET($BM$9,CN36+3,0,1,1))*OFFSET($CI$9,CN36+3,0,1,1))+OFFSET($BP$9,CN36+3,CQ36,1,1),0))))))</f>
        <v>0</v>
      </c>
      <c r="DJ36" s="51">
        <f ca="1">IF($F36&lt;OFFSET($BM$9,$CN36-1,0,1,1),0,IF($F36&lt;OFFSET($BN$9,$CN36-1,0,1,1),IF(AND($H36&gt;2.4,Z36&lt;&gt;"e",Z36&lt;&gt;"f"),DN36*2.4/$H36,DN36),IF($F36&lt;OFFSET($BN$9,$CN36+0,0,1,1),IF(AND($H36&gt;2.4,Z36&lt;&gt;"e",Z36&lt;&gt;"f"),DN36*2.4/$H36,DN36),IF($F36&lt;OFFSET($BN$9,$CN36+1,0,1,1),IF(AND($H36&gt;2.4,Z36&lt;&gt;"e",Z36&lt;&gt;"f"),DN36*2.4/$H36,DN36),IF($F36&lt;OFFSET($BN$9,$CN36+2,0,1,1),IF(AND($H36&gt;2.4,Z36&lt;&gt;"e",Z36&lt;&gt;"f"),DN36*2.4/$H36,DN36),IF($F36&lt;OFFSET($BN$9,$CN36+3,0,1,1),IF(AND($H36&gt;2.4,Z36&lt;&gt;"e",Z36&lt;&gt;"f"),DN36*2.4/$H36,DN36),0)))))*COS(RADIANS($G36)))</f>
        <v>0</v>
      </c>
      <c r="DK36" s="51"/>
      <c r="DL36" s="51">
        <f ca="1">IF(DG36&gt;$CR36,$CR36,DG36)</f>
        <v>0</v>
      </c>
      <c r="DM36" s="51"/>
      <c r="DN36" s="51">
        <f ca="1">IF(DI36&gt;$CR36,$CR36,DI36)</f>
        <v>0</v>
      </c>
      <c r="DO36" s="435">
        <f ca="1">IF(DH36&gt;$CR36,$CR36,DH36)</f>
        <v>0</v>
      </c>
      <c r="DP36" s="435">
        <f ca="1">DO36*F36</f>
        <v>0</v>
      </c>
      <c r="DQ36" s="436">
        <f ca="1">IF(DJ36&gt;$CR36,$CR36,DJ36)</f>
        <v>0</v>
      </c>
      <c r="DR36" s="437">
        <f ca="1">DQ36*F36</f>
        <v>0</v>
      </c>
      <c r="DS36" s="426">
        <f ca="1">OFFSET($CH$9,CL36-1,-15,1,1)</f>
        <v>0</v>
      </c>
      <c r="DT36" s="426">
        <f t="shared" ca="1" si="1"/>
        <v>0</v>
      </c>
      <c r="DU36" s="188">
        <f ca="1">IF(F36&lt;OFFSET($BM$9,DT36-1,0,1,1),0,IF(F36&lt;OFFSET($BN$9,DT36-1,0,1,1),((F36-OFFSET($BM$9,DT36-1,0,1,1))*OFFSET($CH$9,DT36-1,0,1,1))+OFFSET($BO$9,DT36-1,CQ36,1,1),IF(F36&lt;OFFSET($BN$9,DT36+0,0,1,1),((F36-OFFSET($BM$9,DT36+0,0,1,1))*OFFSET($CH$9,DT36+0,0,1,1))+OFFSET($BO$9,DT36+0,CQ36,1,1),IF(F36&lt;OFFSET($BN$9,DT36+1,0,1,1),((F36-OFFSET($BM$9,DT36+1,0,1,1))*OFFSET($CH$9,DT36+1,0,1,1))+OFFSET($BO$9,DT36+1,CQ36,1,1),IF(F36&lt;OFFSET($BN$9,DT36+2,0,1,1),((F36-OFFSET($BM$9,DT36+2,0,1,1))*OFFSET($CH$9,DT36+2,0,1,1))+OFFSET($BO$9,DT36+2,CQ36,1,1),IF(F36&lt;OFFSET($BN$9,DT36+3,0,1,1),((F36-OFFSET($BM$9,DT36+3,0,1,1))*OFFSET($CH$9,DT36+3,0,1,1))+OFFSET($BO$9,DT36+3,CQ36,1,1),0))))))</f>
        <v>0</v>
      </c>
      <c r="DV36" s="51">
        <f ca="1">IF($F36&lt;OFFSET($BM$9,$DT36-1,0,1,1),0,IF($F36&lt;OFFSET($BN$9,$DT36-1,0,1,1),IF(AND($H36&gt;2.4,Z36&lt;&gt;"e",Z36&lt;&gt;"f"),DZ36*2.4/$H36,DZ36),IF($F36&lt;OFFSET($BN$9,$DT36+0,0,1,1),IF(AND($H36&gt;2.4,Z36&lt;&gt;"e",Z36&lt;&gt;"f"),DZ36*2.4/$H36,DZ36),IF($F36&lt;OFFSET($BN$9,$DT36+1,0,1,1),IF(AND($H36&gt;2.4,Z36&lt;&gt;"e",Z36&lt;&gt;"f"),DZ36*2.4/$H36,DZ36),IF($F36&lt;OFFSET($BN$9,$DT36+2,0,1,1),IF(AND($H36&gt;2.4,Z36&lt;&gt;"e",Z36&lt;&gt;"f"),DZ36*2.4/$H36,DZ36),IF($F36&lt;OFFSET($BN$9,$DT36+3,0,1,1),IF(AND($H36&gt;2.4,Z36&lt;&gt;"e",Z36&lt;&gt;"f"),DZ36*2.4/$H36,DZ36),0)))))*COS(RADIANS($G36)))</f>
        <v>0</v>
      </c>
      <c r="DW36" s="188">
        <f ca="1">IF(F36&lt;OFFSET($BM$9,DT36-1,0,1,1),0,IF(F36&lt;OFFSET($BN$9,DT36-1,0,1,1),((F36-OFFSET($BM$9,DT36-1,0,1,1))*OFFSET($CI$9,DT36-1,0,1,1))+OFFSET($BP$9,DT36-1,CQ36,1,1),IF(F36&lt;OFFSET($BN$9,DT36+0,0,1,1),((F36-OFFSET($BM$9,DT36+0,0,1,1))*OFFSET($CI$9,DT36+0,0,1,1))+OFFSET($BP$9,DT36+0,CQ36,1,1),IF(F36&lt;OFFSET($BN$9,DT36+1,0,1,1),((F36-OFFSET($BM$9,DT36+1,0,1,1))*OFFSET($CI$9,DT36+1,0,1,1))+OFFSET($BP$9,DT36+1,CQ36,1,1),IF(F36&lt;OFFSET($BN$9,DT36+2,0,1,1),((F36-OFFSET($BM$9,DT36+2,0,1,1))*OFFSET($CI$9,DT36+2,0,1,1))+OFFSET($BP$9,DT36+2,CQ36,1,1),IF(F36&lt;OFFSET($BN$9,DT36+3,0,1,1),((F36-OFFSET($BM$9,DT36+3,0,1,1))*OFFSET($CI$9,DT36+3,0,1,1))+OFFSET($BP$9,DT36+3,CQ36,1,1),0))))))</f>
        <v>0</v>
      </c>
      <c r="DX36" s="51">
        <f ca="1">IF($F36&lt;OFFSET($BM$9,$DT36-1,0,1,1),0,IF($F36&lt;OFFSET($BN$9,$DT36-1,0,1,1),IF(AND($H36&gt;2.4,Z36&lt;&gt;"e",Z36&lt;&gt;"f"),EB36*2.4/$H36,EB36),IF($F36&lt;OFFSET($BN$9,$DT36+0,0,1,1),IF(AND($H36&gt;2.4,Z36&lt;&gt;"e",Z36&lt;&gt;"f"),EB36*2.4/$H36,EB36),IF($F36&lt;OFFSET($BN$9,$DT36+1,0,1,1),IF(AND($H36&gt;2.4,Z36&lt;&gt;"e",Z36&lt;&gt;"f"),EB36*2.4/$H36,EB36),IF($F36&lt;OFFSET($BN$9,$DT36+2,0,1,1),IF(AND($H36&gt;2.4,Z36&lt;&gt;"e",Z36&lt;&gt;"f"),EB36*2.4/$H36,EB36),IF($F36&lt;OFFSET($BN$9,$DT36+3,0,1,1),IF(AND($H36&gt;2.4,Z36&lt;&gt;"e",Z36&lt;&gt;"f"),EB36*2.4/$H36,EB36),0)))))*COS(RADIANS($G36)))</f>
        <v>0</v>
      </c>
      <c r="DY36" s="188"/>
      <c r="DZ36" s="188">
        <f ca="1">IF(DU36&gt;$CR36,$CR36,DU36)</f>
        <v>0</v>
      </c>
      <c r="EA36" s="188"/>
      <c r="EB36" s="188">
        <f ca="1">IF(DW36&gt;$CR36,$CR36,DW36)</f>
        <v>0</v>
      </c>
      <c r="EC36" s="435">
        <f ca="1">IF(DV36&gt;$CR36,$CR36,DV36)</f>
        <v>0</v>
      </c>
      <c r="ED36" s="435">
        <f ca="1">EC36*F36</f>
        <v>0</v>
      </c>
      <c r="EE36" s="436">
        <f ca="1">IF(DX36&gt;$CR36,$CR36,DX36)</f>
        <v>0</v>
      </c>
      <c r="EF36" s="437">
        <f ca="1">EE36*F36</f>
        <v>0</v>
      </c>
      <c r="EG36" s="613" t="str">
        <f>IF(D36=BG$12,BG$12,"")</f>
        <v/>
      </c>
      <c r="EH36" s="614" t="str">
        <f>IF(D36=BG$13,BG$13,"")</f>
        <v/>
      </c>
      <c r="EI36" s="611">
        <f>IF(EG36=BG$12,M36,0)</f>
        <v>0</v>
      </c>
      <c r="EJ36" s="451">
        <f>IF(EG36=BG$12,O36,0)</f>
        <v>0</v>
      </c>
      <c r="EK36" s="451">
        <f>IF(EH36=BG$13,M36,0)</f>
        <v>0</v>
      </c>
      <c r="EL36" s="612">
        <f>IF(EH36=BG$13,O36,0)</f>
        <v>0</v>
      </c>
      <c r="EM36" s="426" t="str">
        <f ca="1">IF(AND(Z36&lt;&gt;"t",Z36&lt;&gt;"f"),"",IF(AND(EN36=$BH$11,K36&lt;&gt;EN36),EM$4,IF(AND(EN36=$BH$12,K36=$BH$13),EM$4,IF(AND(EN36=$BH$12,K36=$BH$14),EM$4,IF(AND(EN36=$BH$13,K36=$BH$14),$EM$4,IF(EN36=$BH$14,$EM$4,""))))))</f>
        <v/>
      </c>
      <c r="EN36" s="489" t="str">
        <f>BG$24</f>
        <v>No Floor</v>
      </c>
      <c r="EO36" s="426" t="str">
        <f>K36</f>
        <v xml:space="preserve"> </v>
      </c>
      <c r="EP36" s="497" t="str">
        <f ca="1">IF(AND(Z36&lt;&gt;"t",Z36&lt;&gt;"f"),"",IF(AND(EN36=$BH$14,K36&lt;&gt;EN36),EP$4,IF(AND(EN36=$BH$13,K36=$BH$12),EP$4,IF(AND(EN36=$BH$13,K36=$BH$11),EP$4,IF(AND(EN36=$BH$12,K36=$BH$11),$EP$4,IF(EN36=$BH$11,"Earth",""))))))</f>
        <v/>
      </c>
      <c r="EQ36" s="430" t="str">
        <f ca="1">IF(Z36&lt;&gt;"t","",IF(EQ$5=2,IF(K36&lt;&gt;BH$11,EQ$7," ")))</f>
        <v/>
      </c>
      <c r="ER36" s="439" t="str">
        <f ca="1">IF(H36=0," ",H36)</f>
        <v xml:space="preserve"> </v>
      </c>
      <c r="ES36" s="440" t="str">
        <f ca="1">IF(ER36&lt;&gt;" ",IF(ER36&lt;&gt;ER$7,"Changed",""),"")</f>
        <v/>
      </c>
      <c r="ET36" s="440">
        <f t="shared" ca="1" si="20"/>
        <v>0</v>
      </c>
      <c r="EU36" s="426" t="str">
        <f ca="1">IF(I36=" "," ",IF(F36&lt;OFFSET($BM$9,CL36-1,0,1,1),1,""))</f>
        <v xml:space="preserve"> </v>
      </c>
      <c r="EW36" s="427"/>
      <c r="EY36" s="421"/>
    </row>
    <row r="37" spans="1:155" ht="17.100000000000001" customHeight="1" thickBot="1">
      <c r="B37" s="2686" t="s">
        <v>8</v>
      </c>
      <c r="C37" s="2687"/>
      <c r="D37" s="1461" t="s">
        <v>8</v>
      </c>
      <c r="E37" s="659"/>
      <c r="F37" s="659"/>
      <c r="G37" s="659"/>
      <c r="H37" s="659"/>
      <c r="I37" s="1462"/>
      <c r="J37" s="1365" t="str">
        <f ca="1">(CONCATENATE(B32,$BE$54))</f>
        <v>E  Line:  Min. Requirement</v>
      </c>
      <c r="K37" s="23"/>
      <c r="L37" s="1019">
        <f ca="1">L$5</f>
        <v>0</v>
      </c>
      <c r="M37" s="48">
        <f ca="1">IF(B32=B26,SUM(M32:M36)+M31,SUM(M32:M36))</f>
        <v>0</v>
      </c>
      <c r="N37" s="1019">
        <f ca="1">N$5</f>
        <v>0</v>
      </c>
      <c r="O37" s="125">
        <f ca="1">IF(B32=B26,SUM(O32:O36)+O31,SUM(O32:O36))</f>
        <v>0</v>
      </c>
      <c r="P37" s="139"/>
      <c r="Q37" s="42" t="str">
        <f ca="1">IF(B32=B38,"",IF(AND(M37&gt;0,L37=L$5,OR(M37&lt;$M$105,M37&lt;$BF$3)),"Achieved &lt; Min Req per Line",IF(AND(O37&gt;0,N37=N$5,OR(O37&lt;$O$105,O37&lt;$BF$3)),"Achieved &lt; Min Req per Line",IF(AND(M37&gt;0,L37&gt;M37),"More Required on this line",IF(AND(O37&gt;0,N37&gt;O37),"More Required on this line",IF(AND(L37&gt;0,L37&lt;$BF$3),$BE$59,IF(AND(N37&gt;0,N37&lt;$BF$3),$BE$59,"")))))))</f>
        <v/>
      </c>
      <c r="R37" s="52"/>
      <c r="S37" s="52"/>
      <c r="T37" s="52"/>
      <c r="U37" s="1378"/>
      <c r="V37" s="52"/>
      <c r="W37" s="999"/>
      <c r="X37" s="999"/>
      <c r="Y37" s="896"/>
      <c r="Z37" s="52"/>
      <c r="AA37" s="51"/>
      <c r="AB37" s="1364"/>
      <c r="AJ37" s="2"/>
      <c r="AM37" s="4"/>
      <c r="AN37" s="4"/>
      <c r="AO37" s="4"/>
      <c r="AP37" s="4"/>
      <c r="AQ37" s="4"/>
      <c r="AR37" s="10"/>
      <c r="AS37" s="10"/>
      <c r="AT37" s="4"/>
      <c r="AU37" s="119"/>
      <c r="AV37" s="119"/>
      <c r="AW37" s="119"/>
      <c r="AX37" s="119"/>
      <c r="AY37" s="119"/>
      <c r="AZ37" s="119"/>
      <c r="BA37" s="119"/>
      <c r="BB37" s="119"/>
      <c r="BC37" s="119"/>
      <c r="BD37" s="2648"/>
      <c r="BF37" s="598" t="str">
        <f>'Custom Elements'!C13</f>
        <v>Custom5</v>
      </c>
      <c r="BI37" s="759"/>
      <c r="BJ37" s="897">
        <f t="shared" si="5"/>
        <v>29</v>
      </c>
      <c r="BK37" s="769" t="str">
        <f>'Custom Elements'!O13</f>
        <v>NZS 3604</v>
      </c>
      <c r="BL37" s="771" t="str">
        <f>'Custom Elements'!P13</f>
        <v>Braced pile</v>
      </c>
      <c r="BM37" s="455">
        <f>'Custom Elements'!Q13</f>
        <v>1</v>
      </c>
      <c r="BN37" s="455">
        <v>999</v>
      </c>
      <c r="BO37" s="455">
        <f>'Custom Elements'!R13</f>
        <v>160</v>
      </c>
      <c r="BP37" s="925">
        <f>'Custom Elements'!S13</f>
        <v>120</v>
      </c>
      <c r="BR37" s="764"/>
      <c r="BS37" s="455"/>
      <c r="BT37" s="455" t="s">
        <v>3</v>
      </c>
      <c r="BU37" s="925" t="s">
        <v>34</v>
      </c>
      <c r="BV37" s="483" t="str">
        <f t="shared" si="29"/>
        <v>Braced pile</v>
      </c>
      <c r="BW37" s="910">
        <f t="shared" si="26"/>
        <v>29</v>
      </c>
      <c r="BX37" s="925" t="str">
        <f>'Custom Elements'!U13</f>
        <v>Single</v>
      </c>
      <c r="CH37" s="764">
        <f t="shared" si="27"/>
        <v>0</v>
      </c>
      <c r="CI37" s="925">
        <f t="shared" si="28"/>
        <v>0</v>
      </c>
      <c r="CJ37" s="759"/>
      <c r="CK37" s="188"/>
      <c r="CL37" s="979"/>
      <c r="CN37" s="497"/>
      <c r="CO37" s="497"/>
      <c r="CQ37" s="51"/>
      <c r="CR37" s="51"/>
      <c r="CS37" s="51"/>
      <c r="CT37" s="51" t="s">
        <v>8</v>
      </c>
      <c r="CU37" s="51"/>
      <c r="CV37" s="51" t="s">
        <v>8</v>
      </c>
      <c r="CW37" s="51"/>
      <c r="CX37" s="51"/>
      <c r="CY37" s="51"/>
      <c r="CZ37" s="51"/>
      <c r="DD37" s="758"/>
      <c r="DF37" s="52"/>
      <c r="DG37" s="51"/>
      <c r="DH37" s="51"/>
      <c r="DI37" s="51"/>
      <c r="DJ37" s="51"/>
      <c r="DK37" s="51"/>
      <c r="DL37" s="51"/>
      <c r="DM37" s="51"/>
      <c r="DN37" s="51"/>
      <c r="DO37" s="435"/>
      <c r="DP37" s="435"/>
      <c r="DQ37" s="868"/>
      <c r="DR37" s="868"/>
      <c r="DU37" s="188"/>
      <c r="DV37" s="188" t="s">
        <v>8</v>
      </c>
      <c r="DW37" s="188"/>
      <c r="DX37" s="188" t="s">
        <v>8</v>
      </c>
      <c r="DY37" s="188"/>
      <c r="DZ37" s="188"/>
      <c r="EA37" s="188"/>
      <c r="EB37" s="188"/>
      <c r="EC37" s="435"/>
      <c r="ED37" s="435"/>
      <c r="EE37" s="868"/>
      <c r="EF37" s="868"/>
      <c r="EG37" s="613"/>
      <c r="EH37" s="614"/>
      <c r="EI37" s="613"/>
      <c r="EJ37" s="435"/>
      <c r="EK37" s="451"/>
      <c r="EL37" s="612"/>
      <c r="EN37" s="438"/>
      <c r="ER37" s="441"/>
      <c r="ES37" s="440"/>
      <c r="ET37" s="440"/>
      <c r="EW37" s="427"/>
      <c r="EY37" s="421"/>
    </row>
    <row r="38" spans="1:155" ht="17.100000000000001" customHeight="1">
      <c r="B38" s="1369" t="str">
        <f ca="1">S38</f>
        <v>F</v>
      </c>
      <c r="C38" s="684" t="str">
        <f>IF(OR(F38=0,I38="",I38=" ")," ",$V38)</f>
        <v xml:space="preserve"> </v>
      </c>
      <c r="D38" s="1033"/>
      <c r="E38" s="1360"/>
      <c r="F38" s="202"/>
      <c r="G38" s="1416"/>
      <c r="H38" s="1417" t="str">
        <f ca="1">IF(OR(F38=0,Z38="E",Z38="f")," ",'Project Demand'!E$55)</f>
        <v xml:space="preserve"> </v>
      </c>
      <c r="I38" s="631" t="str">
        <f>IF($I$6&lt;&gt;$BG$8," ",AB38)</f>
        <v xml:space="preserve"> </v>
      </c>
      <c r="J38" s="43" t="str">
        <f ca="1">IF(OR(I38=" ",I38="")," ",OFFSET($BO$9,CL38-1,0-4,1,1))</f>
        <v xml:space="preserve"> </v>
      </c>
      <c r="K38" s="55" t="str">
        <f>IF(OR(I38=" ",I38="")," ",IF(OR(Z38="e",Z38="h"),"SD",IF(BG$24=BH$11,BH$13,BG$24)))</f>
        <v xml:space="preserve"> </v>
      </c>
      <c r="L38" s="49">
        <f ca="1">CW38</f>
        <v>0</v>
      </c>
      <c r="M38" s="49">
        <f ca="1">CY38</f>
        <v>0</v>
      </c>
      <c r="N38" s="50">
        <f t="shared" ref="N38:O42" ca="1" si="30">DA38</f>
        <v>0</v>
      </c>
      <c r="O38" s="126">
        <f t="shared" ca="1" si="30"/>
        <v>0</v>
      </c>
      <c r="P38" s="140"/>
      <c r="Q38" s="752" t="str">
        <f ca="1">IF(AND(OR(Z38="t",Z38="f"),K38=$BH$11),"No Floor!  Change Floor Type",IF(OR(I38=" ",I38="")," ",IF(F38&lt;OFFSET($BM$9,CL38-1,0,1,1),"check L(m)",DE38&amp;IF(AND(DP38&gt;=CY38,DR38&gt;=DB38),IF(AND(ED38&gt;=DP38,EF38&gt;=DR38),CONCATENATE(DS38," will provide same result"),CONCATENATE(CO38," will provide same result")),IF((DP38&gt;=CY38),CONCATENATE(CO38," provides same result in WIND"),IF((DR38&gt;=DB38),CONCATENATE(CO38," provides same result in EQ"),""))))))&amp;IF(ISERROR(FIND("pile",I38,1)),"",IF(INT(F38)&lt;&gt;F38,"Pile!  Use Whole Numbers Only",""))</f>
        <v xml:space="preserve"> </v>
      </c>
      <c r="R38" s="52">
        <f ca="1">IF(T32&lt;&gt;2,(COLUMN(INDIRECT(B32&amp;1))+1),U38)</f>
        <v>6</v>
      </c>
      <c r="S38" s="1372" t="str">
        <f ca="1">SUBSTITUTE(ADDRESS(1,R38,4),"1","")</f>
        <v>F</v>
      </c>
      <c r="T38" s="451">
        <f ca="1">IF(AND(ISTEXT(B38),SUBSTITUTE(SUBSTITUTE(SUBSTITUTE(SUBSTITUTE(SUBSTITUTE(SUBSTITUTE(SUBSTITUTE(SUBSTITUTE(SUBSTITUTE(SUBSTITUTE(SUBSTITUTE(SUBSTITUTE(SUBSTITUTE(SUBSTITUTE(SUBSTITUTE(SUBSTITUTE(SUBSTITUTE(SUBSTITUTE(SUBSTITUTE(SUBSTITUTE(SUBSTITUTE(SUBSTITUTE(SUBSTITUTE(SUBSTITUTE(SUBSTITUTE(SUBSTITUTE(LOWER(B38),"a",),"b",),"c",),"d",),"e",),"f",),"g",),"h",),"i",),"j",),"k",),"l",),"m",),"n",),"o",),"p",),"q",),"r",),"s",),"t",),"u",),"v",),"w",),"x",),"y",),"z",)=""),1,2)</f>
        <v>1</v>
      </c>
      <c r="U38" s="1377">
        <v>6</v>
      </c>
      <c r="V38" s="52" t="str">
        <f ca="1">IF(AND(B$5=$BF$9,OR(I38=BH$16,I38=BH$17))," ",IF(ISNUMBER(B$38),(CONCATENATE(B$38,".",W38)),(CONCATENATE(B$38,W38))))</f>
        <v>F0</v>
      </c>
      <c r="W38" s="9">
        <f ca="1">IF(B32=B38,W36+X38,X38)</f>
        <v>0</v>
      </c>
      <c r="X38" s="9">
        <f>IF(AND(B$5=$BF$9,OR($I38=$BH$16,$I38=$BH$17,$I38=" ",$I38="",$F38=0)),0,IF(OR($I38=" ",$I38="",$F38=0),0,1))</f>
        <v>0</v>
      </c>
      <c r="Y38" s="896">
        <f ca="1">IF(AND(M43&gt;0,B38&lt;&gt;B44),1,0)</f>
        <v>0</v>
      </c>
      <c r="Z38" s="52" t="str">
        <f ca="1">IF(I38=" "," ",OFFSET($BM$9,$CL38-1,8,1,1))</f>
        <v xml:space="preserve"> </v>
      </c>
      <c r="AA38" s="51" t="str">
        <f>IF(G38&gt;=45,"WA","")</f>
        <v/>
      </c>
      <c r="AB38" s="1364" t="str">
        <f>IF(OR(E38=" ",E38="")," ",(IF(F38&lt;&gt;"",IF(OR(D38=$BG$12,D38=$BG$13),IF(E38&lt;&gt;$BG$17,$BF$20,$BF$21),IF(E38&lt;&gt;$BG$17,$BF$20,$BF$21))," ")))</f>
        <v xml:space="preserve"> </v>
      </c>
      <c r="AC38" s="1"/>
      <c r="AJ38" s="2"/>
      <c r="AM38" s="4"/>
      <c r="AN38" s="4"/>
      <c r="AO38" s="4"/>
      <c r="AP38" s="4"/>
      <c r="AQ38" s="4"/>
      <c r="AR38" s="10"/>
      <c r="AS38" s="10"/>
      <c r="AT38" s="4"/>
      <c r="AU38" s="119"/>
      <c r="AV38" s="119"/>
      <c r="AW38" s="119"/>
      <c r="AX38" s="119"/>
      <c r="AY38" s="119"/>
      <c r="AZ38" s="119"/>
      <c r="BA38" s="119"/>
      <c r="BB38" s="119"/>
      <c r="BC38" s="119"/>
      <c r="BD38" s="635"/>
      <c r="BF38" s="599" t="str">
        <f>'Custom Elements'!C14</f>
        <v>Custom6</v>
      </c>
      <c r="BI38" s="759"/>
      <c r="BJ38" s="897">
        <f t="shared" si="5"/>
        <v>30</v>
      </c>
      <c r="BK38" s="769" t="str">
        <f>'Custom Elements'!O14</f>
        <v>NZS 3604</v>
      </c>
      <c r="BL38" s="771" t="str">
        <f>'Custom Elements'!P14</f>
        <v>Cantilever pile</v>
      </c>
      <c r="BM38" s="455">
        <f>'Custom Elements'!Q14</f>
        <v>1</v>
      </c>
      <c r="BN38" s="455">
        <v>999</v>
      </c>
      <c r="BO38" s="455">
        <f>'Custom Elements'!R14</f>
        <v>70</v>
      </c>
      <c r="BP38" s="925">
        <f>'Custom Elements'!S14</f>
        <v>30</v>
      </c>
      <c r="BR38" s="764"/>
      <c r="BS38" s="455"/>
      <c r="BT38" s="455" t="s">
        <v>3</v>
      </c>
      <c r="BU38" s="925" t="s">
        <v>44</v>
      </c>
      <c r="BV38" s="483" t="str">
        <f t="shared" si="29"/>
        <v>Cantilever pile</v>
      </c>
      <c r="BW38" s="910">
        <f t="shared" si="26"/>
        <v>30</v>
      </c>
      <c r="BX38" s="925" t="str">
        <f>'Custom Elements'!U14</f>
        <v>Single</v>
      </c>
      <c r="CH38" s="764">
        <f t="shared" si="27"/>
        <v>0</v>
      </c>
      <c r="CI38" s="925">
        <f t="shared" si="28"/>
        <v>0</v>
      </c>
      <c r="CJ38" s="759"/>
      <c r="CK38" s="188"/>
      <c r="CL38" s="979">
        <f>VLOOKUP(I38,Prodlink,2,0)</f>
        <v>0</v>
      </c>
      <c r="CN38" s="497">
        <f t="shared" ca="1" si="2"/>
        <v>0</v>
      </c>
      <c r="CO38" s="497">
        <f ca="1">OFFSET($CH$9,CL38-1,-15,1,1)</f>
        <v>0</v>
      </c>
      <c r="CQ38" s="51">
        <v>0</v>
      </c>
      <c r="CR38" s="51">
        <f ca="1">IF(AND(Z38&lt;&gt;"t",Z38&lt;&gt;"f"),10000,IF(K38=$BH$11,0,IF(K38=$BH$12,$BH$23,IF(K38=$BH$13,$BH$24,10000))))</f>
        <v>10000</v>
      </c>
      <c r="CS38" s="51">
        <f ca="1">IF(F38&lt;OFFSET($BM$9,CL38-1,0,1,1),0,IF(F38&lt;OFFSET($BN$9,CL38-1,0,1,1),((F38-OFFSET($BM$9,CL38-1,0,1,1))*OFFSET($CH$9,CL38-1,0,1,1))+OFFSET($BO$9,CL38-1,CQ38,1,1),IF(F38&lt;OFFSET($BN$9,CL38+0,0,1,1),((F38-OFFSET($BM$9,CL38+0,0,1,1))*OFFSET($CH$9,CL38+0,0,1,1))+OFFSET($BO$9,CL38+0,CQ38,1,1),IF(F38&lt;OFFSET($BN$9,CL38+1,0,1,1),((F38-OFFSET($BM$9,CL38+1,0,1,1))*OFFSET($CH$9,CL38+1,0,1,1))+OFFSET($BO$9,CL38+1,CQ38,1,1),IF(F38&lt;OFFSET($BN$9,CL38+2,0,1,1),((F38-OFFSET($BM$9,CL38+2,0,1,1))*OFFSET($CH$9,CL38+2,0,1,1))+OFFSET($BO$9,CL38+2,CQ38,1,1),IF(F38&lt;OFFSET($BN$9,CL38+3,0,1,1),((F38-OFFSET($BM$9,CL38+3,0,1,1))*OFFSET($CH$9,CL38+3,0,1,1))+OFFSET($BO$9,CL38+3,CQ38,1,1),0))))))</f>
        <v>0</v>
      </c>
      <c r="CT38" s="51">
        <f ca="1">IF($F38&lt;OFFSET($BM$9,$CL38-1,0,1,1),0,IF($F38&lt;OFFSET($BN$9,$CL38-1,0,1,1),IF(AND($H38&gt;2.4,Z38&lt;&gt;"e",Z38&lt;&gt;"f"),CX38*2.4/$H38,CX38),IF($F38&lt;OFFSET($BN$9,$CL38+0,0,1,1),IF(AND($H38&gt;2.4,Z38&lt;&gt;"e",Z38&lt;&gt;"f"),CX38*2.4/$H38,CX38),IF($F38&lt;OFFSET($BN$9,$CL38+1,0,1,1),IF(AND($H38&gt;2.4,Z38&lt;&gt;"e",Z38&lt;&gt;"f"),CX38*2.4/$H38,CX38),IF($F38&lt;OFFSET($BN$9,CL38+2,0,1,1),IF(AND($H38&gt;2.4,Z38&lt;&gt;"e",Z38&lt;&gt;"f"),CX38*2.4/$H38,CX38),IF($F38&lt;OFFSET($BN$9,CL38+3,0,1,1),IF(AND($H38&gt;2.4,Z38&lt;&gt;"e",Z38&lt;&gt;"f"),CX38*2.4/$H38,CX38),0)))))*COS(RADIANS($G38)))</f>
        <v>0</v>
      </c>
      <c r="CU38" s="51">
        <f ca="1">IF(F38&lt;OFFSET($BM$9,CL38-1,0,1,1),0,IF(F38&lt;OFFSET($BN$9,CL38-1,0,1,1),((F38-OFFSET($BM$9,CL38-1,0,1,1))*OFFSET($CI$9,CL38-1,0,1,1))+OFFSET($BP$9,CL38-1,CQ38,1,1),IF(F38&lt;OFFSET($BN$9,CL38+0,0,1,1),((F38-OFFSET($BM$9,CL38+0,0,1,1))*OFFSET($CI$9,CL38+0,0,1,1))+OFFSET($BP$9,CL38+0,CQ38,1,1),IF(F38&lt;OFFSET($BN$9,CL38+1,0,1,1),((F38-OFFSET($BM$9,CL38+1,0,1,1))*OFFSET($CI$9,CL38+1,0,1,1))+OFFSET($BP$9,CL38+1,CQ38,1,1),IF(F38&lt;OFFSET($BN$9,CL38+2,0,1,1),((F38-OFFSET($BM$9,CL38+2,0,1,1))*OFFSET($CI$9,CL38+2,0,1,1))+OFFSET($BP$9,CL38+2,CQ38,1,1),IF(F38&lt;OFFSET($BN$9,CL38+3,0,1,1),((F38-OFFSET($BM$9,CL38+3,0,1,1))*OFFSET($CI$9,CL38+3,0,1,1))+OFFSET($BP$9,CL38+3,CQ38,1,1),0))))))</f>
        <v>0</v>
      </c>
      <c r="CV38" s="51">
        <f ca="1">IF($F38&lt;OFFSET($BM$9,$CL38-1,0,1,1),0,IF($F38&lt;OFFSET($BN$9,$CL38-1,0,1,1),IF(AND($H38&gt;2.4,Z38&lt;&gt;"e",Z38&lt;&gt;"f"),CZ38*2.4/$H38,CZ38),IF($F38&lt;OFFSET($BN$9,$CL38+0,0,1,1),IF(AND($H38&gt;2.4,Z38&lt;&gt;"e",Z38&lt;&gt;"f"),CZ38*2.4/$H38,CZ38),IF($F38&lt;OFFSET($BN$9,$CL38+1,0,1,1),IF(AND($H38&gt;2.4,Z38&lt;&gt;"e",Z38&lt;&gt;"f"),CZ38*2.4/$H38,CZ38),IF($F38&lt;OFFSET($BN$9,$CL38+2,0,1,1),IF(AND($H38&gt;2.4,Z38&lt;&gt;"e",Z38&lt;&gt;"f"),CZ38*2.4/$H38,CZ38),IF($F38&lt;OFFSET($BN$9,$CL38+3,0,1,1),IF(AND($H38&gt;2.4,Z38&lt;&gt;"e",Z38&lt;&gt;"f"),CZ38*2.4/$H38,CZ38),0)))))*COS(RADIANS($G38)))</f>
        <v>0</v>
      </c>
      <c r="CW38" s="51">
        <f t="shared" ca="1" si="17"/>
        <v>0</v>
      </c>
      <c r="CX38" s="51">
        <f ca="1">IF(CS38&gt;$CR38,$CR38,CS38)</f>
        <v>0</v>
      </c>
      <c r="CY38" s="51">
        <f ca="1">CW38*F38</f>
        <v>0</v>
      </c>
      <c r="CZ38" s="51">
        <f ca="1">IF($CU38&gt;$CR38,$CR38,$CU38)</f>
        <v>0</v>
      </c>
      <c r="DA38" s="51">
        <f ca="1">IF(CV38&gt;CR38,CR38,CV38)</f>
        <v>0</v>
      </c>
      <c r="DB38" s="51">
        <f ca="1">DA38*F38</f>
        <v>0</v>
      </c>
      <c r="DC38" s="993">
        <v>1</v>
      </c>
      <c r="DD38" s="758" t="str">
        <f>IF(OR(D38=BG$12,D38=BG$13),"External",IF(D38=BG$14,"Internal"," "))</f>
        <v xml:space="preserve"> </v>
      </c>
      <c r="DE38" s="51" t="str">
        <f t="shared" ca="1" si="18"/>
        <v/>
      </c>
      <c r="DF38" s="52" t="str">
        <f t="shared" ca="1" si="19"/>
        <v xml:space="preserve"> </v>
      </c>
      <c r="DG38" s="51">
        <f ca="1">IF(F38&lt;OFFSET($BM$9,CN38-1,0,1,1),0,IF(F38&lt;OFFSET($BN$9,CN38-1,0,1,1),((F38-OFFSET($BM$9,CN38-1,0,1,1))*OFFSET($CH$9,CN38-1,0,1,1))+OFFSET($BO$9,CN38-1,CQ38,1,1),IF(F38&lt;OFFSET($BN$9,CN38+0,0,1,1),((F38-OFFSET($BM$9,CN38+0,0,1,1))*OFFSET($CH$9,CN38+0,0,1,1))+OFFSET($BO$9,CN38+0,CQ38,1,1),IF(F38&lt;OFFSET($BN$9,CN38+1,0,1,1),((F38-OFFSET($BM$9,CN38+1,0,1,1))*OFFSET($CH$9,CN38+1,0,1,1))+OFFSET($BO$9,CN38+1,CQ38,1,1),IF(F38&lt;OFFSET($BN$9,CN38+2,0,1,1),((F38-OFFSET($BM$9,CN38+2,0,1,1))*OFFSET($CH$9,CN38+2,0,1,1))+OFFSET($BO$9,CN38+2,CQ38,1,1),IF(F38&lt;OFFSET($BN$9,CN38+3,0,1,1),((F38-OFFSET($BM$9,CN38+3,0,1,1))*OFFSET($CH$9,CN38+3,0,1,1))+OFFSET($BO$9,CN38+3,CQ38,1,1),0))))))</f>
        <v>0</v>
      </c>
      <c r="DH38" s="51">
        <f ca="1">IF($F38&lt;OFFSET($BM$9,$CN38-1,0,1,1),0,IF($F38&lt;OFFSET($BN$9,$CN38-1,0,1,1),IF(AND($H38&gt;2.4,Z38&lt;&gt;"e",Z38&lt;&gt;"f"),DL38*2.4/$H38,DL38),IF($F38&lt;OFFSET($BN$9,$CN38+0,0,1,1),IF(AND($H38&gt;2.4,Z38&lt;&gt;"e",Z38&lt;&gt;"f"),DL38*2.4/$H38,DL38),IF($F38&lt;OFFSET($BN$9,$CN38+1,0,1,1),IF(AND($H38&gt;2.4,Z38&lt;&gt;"e",Z38&lt;&gt;"f"),DL38*2.4/$H38,DL38),IF($F38&lt;OFFSET($BN$9,$CN38+2,0,1,1),IF(AND($H38&gt;2.4,Z38&lt;&gt;"e",Z38&lt;&gt;"f"),DL38*2.4/$H38,DL38),IF($F38&lt;OFFSET($BN$9,$CN38+3,0,1,1),IF(AND($H38&gt;2.4,Z38&lt;&gt;"e",Z38&lt;&gt;"f"),DL38*2.4/$H38,DL38),0)))))*COS(RADIANS($G38)))</f>
        <v>0</v>
      </c>
      <c r="DI38" s="51">
        <f ca="1">IF(F38&lt;OFFSET($BM$9,CN38-1,0,1,1),0,IF(F38&lt;OFFSET($BN$9,CN38-1,0,1,1),((F38-OFFSET($BM$9,CN38-1,0,1,1))*OFFSET($CI$9,CN38-1,0,1,1))+OFFSET($BP$9,CN38-1,CQ38,1,1),IF(F38&lt;OFFSET($BN$9,CN38+0,0,1,1),((F38-OFFSET($BM$9,CN38+0,0,1,1))*OFFSET($CI$9,CN38+0,0,1,1))+OFFSET($BP$9,CN38+0,CQ38,1,1),IF(F38&lt;OFFSET($BN$9,CN38+1,0,1,1),((F38-OFFSET($BM$9,CN38+1,0,1,1))*OFFSET($CI$9,CN38+1,0,1,1))+OFFSET($BP$9,CN38+1,CQ38,1,1),IF(F38&lt;OFFSET($BN$9,CN38+2,0,1,1),((F38-OFFSET($BM$9,CN38+2,0,1,1))*OFFSET($CI$9,CN38+2,0,1,1))+OFFSET($BP$9,CN38+2,CQ38,1,1),IF(F38&lt;OFFSET($BN$9,CN38+3,0,1,1),((F38-OFFSET($BM$9,CN38+3,0,1,1))*OFFSET($CI$9,CN38+3,0,1,1))+OFFSET($BP$9,CN38+3,CQ38,1,1),0))))))</f>
        <v>0</v>
      </c>
      <c r="DJ38" s="51">
        <f ca="1">IF($F38&lt;OFFSET($BM$9,$CN38-1,0,1,1),0,IF($F38&lt;OFFSET($BN$9,$CN38-1,0,1,1),IF(AND($H38&gt;2.4,Z38&lt;&gt;"e",Z38&lt;&gt;"f"),DN38*2.4/$H38,DN38),IF($F38&lt;OFFSET($BN$9,$CN38+0,0,1,1),IF(AND($H38&gt;2.4,Z38&lt;&gt;"e",Z38&lt;&gt;"f"),DN38*2.4/$H38,DN38),IF($F38&lt;OFFSET($BN$9,$CN38+1,0,1,1),IF(AND($H38&gt;2.4,Z38&lt;&gt;"e",Z38&lt;&gt;"f"),DN38*2.4/$H38,DN38),IF($F38&lt;OFFSET($BN$9,$CN38+2,0,1,1),IF(AND($H38&gt;2.4,Z38&lt;&gt;"e",Z38&lt;&gt;"f"),DN38*2.4/$H38,DN38),IF($F38&lt;OFFSET($BN$9,$CN38+3,0,1,1),IF(AND($H38&gt;2.4,Z38&lt;&gt;"e",Z38&lt;&gt;"f"),DN38*2.4/$H38,DN38),0)))))*COS(RADIANS($G38)))</f>
        <v>0</v>
      </c>
      <c r="DK38" s="51"/>
      <c r="DL38" s="51">
        <f ca="1">IF(DG38&gt;$CR38,$CR38,DG38)</f>
        <v>0</v>
      </c>
      <c r="DM38" s="51"/>
      <c r="DN38" s="51">
        <f ca="1">IF(DI38&gt;$CR38,$CR38,DI38)</f>
        <v>0</v>
      </c>
      <c r="DO38" s="435">
        <f ca="1">IF(DH38&gt;$CR38,$CR38,DH38)</f>
        <v>0</v>
      </c>
      <c r="DP38" s="435">
        <f ca="1">DO38*F38</f>
        <v>0</v>
      </c>
      <c r="DQ38" s="436">
        <f ca="1">IF(DJ38&gt;$CR38,$CR38,DJ38)</f>
        <v>0</v>
      </c>
      <c r="DR38" s="437">
        <f ca="1">DQ38*F38</f>
        <v>0</v>
      </c>
      <c r="DS38" s="426">
        <f ca="1">OFFSET($CH$9,CL38-1,-15,1,1)</f>
        <v>0</v>
      </c>
      <c r="DT38" s="426">
        <f t="shared" ca="1" si="1"/>
        <v>0</v>
      </c>
      <c r="DU38" s="188">
        <f ca="1">IF(F38&lt;OFFSET($BM$9,DT38-1,0,1,1),0,IF(F38&lt;OFFSET($BN$9,DT38-1,0,1,1),((F38-OFFSET($BM$9,DT38-1,0,1,1))*OFFSET($CH$9,DT38-1,0,1,1))+OFFSET($BO$9,DT38-1,CQ38,1,1),IF(F38&lt;OFFSET($BN$9,DT38+0,0,1,1),((F38-OFFSET($BM$9,DT38+0,0,1,1))*OFFSET($CH$9,DT38+0,0,1,1))+OFFSET($BO$9,DT38+0,CQ38,1,1),IF(F38&lt;OFFSET($BN$9,DT38+1,0,1,1),((F38-OFFSET($BM$9,DT38+1,0,1,1))*OFFSET($CH$9,DT38+1,0,1,1))+OFFSET($BO$9,DT38+1,CQ38,1,1),IF(F38&lt;OFFSET($BN$9,DT38+2,0,1,1),((F38-OFFSET($BM$9,DT38+2,0,1,1))*OFFSET($CH$9,DT38+2,0,1,1))+OFFSET($BO$9,DT38+2,CQ38,1,1),IF(F38&lt;OFFSET($BN$9,DT38+3,0,1,1),((F38-OFFSET($BM$9,DT38+3,0,1,1))*OFFSET($CH$9,DT38+3,0,1,1))+OFFSET($BO$9,DT38+3,CQ38,1,1),0))))))</f>
        <v>0</v>
      </c>
      <c r="DV38" s="51">
        <f ca="1">IF($F38&lt;OFFSET($BM$9,$DT38-1,0,1,1),0,IF($F38&lt;OFFSET($BN$9,$DT38-1,0,1,1),IF(AND($H38&gt;2.4,Z38&lt;&gt;"e",Z38&lt;&gt;"f"),DZ38*2.4/$H38,DZ38),IF($F38&lt;OFFSET($BN$9,$DT38+0,0,1,1),IF(AND($H38&gt;2.4,Z38&lt;&gt;"e",Z38&lt;&gt;"f"),DZ38*2.4/$H38,DZ38),IF($F38&lt;OFFSET($BN$9,$DT38+1,0,1,1),IF(AND($H38&gt;2.4,Z38&lt;&gt;"e",Z38&lt;&gt;"f"),DZ38*2.4/$H38,DZ38),IF($F38&lt;OFFSET($BN$9,$DT38+2,0,1,1),IF(AND($H38&gt;2.4,Z38&lt;&gt;"e",Z38&lt;&gt;"f"),DZ38*2.4/$H38,DZ38),IF($F38&lt;OFFSET($BN$9,$DT38+3,0,1,1),IF(AND($H38&gt;2.4,Z38&lt;&gt;"e",Z38&lt;&gt;"f"),DZ38*2.4/$H38,DZ38),0)))))*COS(RADIANS($G38)))</f>
        <v>0</v>
      </c>
      <c r="DW38" s="188">
        <f ca="1">IF(F38&lt;OFFSET($BM$9,DT38-1,0,1,1),0,IF(F38&lt;OFFSET($BN$9,DT38-1,0,1,1),((F38-OFFSET($BM$9,DT38-1,0,1,1))*OFFSET($CI$9,DT38-1,0,1,1))+OFFSET($BP$9,DT38-1,CQ38,1,1),IF(F38&lt;OFFSET($BN$9,DT38+0,0,1,1),((F38-OFFSET($BM$9,DT38+0,0,1,1))*OFFSET($CI$9,DT38+0,0,1,1))+OFFSET($BP$9,DT38+0,CQ38,1,1),IF(F38&lt;OFFSET($BN$9,DT38+1,0,1,1),((F38-OFFSET($BM$9,DT38+1,0,1,1))*OFFSET($CI$9,DT38+1,0,1,1))+OFFSET($BP$9,DT38+1,CQ38,1,1),IF(F38&lt;OFFSET($BN$9,DT38+2,0,1,1),((F38-OFFSET($BM$9,DT38+2,0,1,1))*OFFSET($CI$9,DT38+2,0,1,1))+OFFSET($BP$9,DT38+2,CQ38,1,1),IF(F38&lt;OFFSET($BN$9,DT38+3,0,1,1),((F38-OFFSET($BM$9,DT38+3,0,1,1))*OFFSET($CI$9,DT38+3,0,1,1))+OFFSET($BP$9,DT38+3,CQ38,1,1),0))))))</f>
        <v>0</v>
      </c>
      <c r="DX38" s="51">
        <f ca="1">IF($F38&lt;OFFSET($BM$9,$DT38-1,0,1,1),0,IF($F38&lt;OFFSET($BN$9,$DT38-1,0,1,1),IF(AND($H38&gt;2.4,Z38&lt;&gt;"e",Z38&lt;&gt;"f"),EB38*2.4/$H38,EB38),IF($F38&lt;OFFSET($BN$9,$DT38+0,0,1,1),IF(AND($H38&gt;2.4,Z38&lt;&gt;"e",Z38&lt;&gt;"f"),EB38*2.4/$H38,EB38),IF($F38&lt;OFFSET($BN$9,$DT38+1,0,1,1),IF(AND($H38&gt;2.4,Z38&lt;&gt;"e",Z38&lt;&gt;"f"),EB38*2.4/$H38,EB38),IF($F38&lt;OFFSET($BN$9,$DT38+2,0,1,1),IF(AND($H38&gt;2.4,Z38&lt;&gt;"e",Z38&lt;&gt;"f"),EB38*2.4/$H38,EB38),IF($F38&lt;OFFSET($BN$9,$DT38+3,0,1,1),IF(AND($H38&gt;2.4,Z38&lt;&gt;"e",Z38&lt;&gt;"f"),EB38*2.4/$H38,EB38),0)))))*COS(RADIANS($G38)))</f>
        <v>0</v>
      </c>
      <c r="DY38" s="188"/>
      <c r="DZ38" s="188">
        <f ca="1">IF(DU38&gt;$CR38,$CR38,DU38)</f>
        <v>0</v>
      </c>
      <c r="EA38" s="188"/>
      <c r="EB38" s="188">
        <f ca="1">IF(DW38&gt;$CR38,$CR38,DW38)</f>
        <v>0</v>
      </c>
      <c r="EC38" s="435">
        <f ca="1">IF(DV38&gt;$CR38,$CR38,DV38)</f>
        <v>0</v>
      </c>
      <c r="ED38" s="435">
        <f ca="1">EC38*F38</f>
        <v>0</v>
      </c>
      <c r="EE38" s="436">
        <f ca="1">IF(DX38&gt;$CR38,$CR38,DX38)</f>
        <v>0</v>
      </c>
      <c r="EF38" s="437">
        <f ca="1">EE38*F38</f>
        <v>0</v>
      </c>
      <c r="EG38" s="613" t="str">
        <f>IF(D38=BG$12,BG$12,"")</f>
        <v/>
      </c>
      <c r="EH38" s="614" t="str">
        <f>IF(D38=BG$13,BG$13,"")</f>
        <v/>
      </c>
      <c r="EI38" s="611">
        <f>IF(EG38=BG$12,M38,0)</f>
        <v>0</v>
      </c>
      <c r="EJ38" s="451">
        <f>IF(EG38=BG$12,O38,0)</f>
        <v>0</v>
      </c>
      <c r="EK38" s="451">
        <f>IF(EH38=BG$13,M38,0)</f>
        <v>0</v>
      </c>
      <c r="EL38" s="612">
        <f>IF(EH38=BG$13,O38,0)</f>
        <v>0</v>
      </c>
      <c r="EM38" s="426" t="str">
        <f ca="1">IF(AND(Z38&lt;&gt;"t",Z38&lt;&gt;"f"),"",IF(AND(EN38=$BH$11,K38&lt;&gt;EN38),EM$4,IF(AND(EN38=$BH$12,K38=$BH$13),EM$4,IF(AND(EN38=$BH$12,K38=$BH$14),EM$4,IF(AND(EN38=$BH$13,K38=$BH$14),$EM$4,IF(EN38=$BH$14,$EM$4,""))))))</f>
        <v/>
      </c>
      <c r="EN38" s="489" t="str">
        <f>BG$24</f>
        <v>No Floor</v>
      </c>
      <c r="EO38" s="426" t="str">
        <f>K38</f>
        <v xml:space="preserve"> </v>
      </c>
      <c r="EP38" s="497" t="str">
        <f ca="1">IF(AND(Z38&lt;&gt;"t",Z38&lt;&gt;"f"),"",IF(AND(EN38=$BH$14,K38&lt;&gt;EN38),EP$4,IF(AND(EN38=$BH$13,K38=$BH$12),EP$4,IF(AND(EN38=$BH$13,K38=$BH$11),EP$4,IF(AND(EN38=$BH$12,K38=$BH$11),$EP$4,IF(EN38=$BH$11,"Earth",""))))))</f>
        <v/>
      </c>
      <c r="EQ38" s="430" t="str">
        <f ca="1">IF(Z38&lt;&gt;"t","",IF(EQ$5=2,IF(K38&lt;&gt;BH$11,EQ$7," ")))</f>
        <v/>
      </c>
      <c r="ER38" s="439" t="str">
        <f ca="1">IF(H38=0," ",H38)</f>
        <v xml:space="preserve"> </v>
      </c>
      <c r="ES38" s="440" t="str">
        <f ca="1">IF(ER38&lt;&gt;" ",IF(ER38&lt;&gt;ER$7,"Changed",""),"")</f>
        <v/>
      </c>
      <c r="ET38" s="440">
        <f t="shared" ca="1" si="20"/>
        <v>0</v>
      </c>
      <c r="EU38" s="426" t="str">
        <f ca="1">IF(I38=" "," ",IF(F38&lt;OFFSET($BM$9,CL38-1,0,1,1),1,""))</f>
        <v xml:space="preserve"> </v>
      </c>
      <c r="EW38" s="427"/>
      <c r="EY38" s="421"/>
    </row>
    <row r="39" spans="1:155" ht="17.100000000000001" customHeight="1" thickBot="1">
      <c r="B39" s="689" t="s">
        <v>246</v>
      </c>
      <c r="C39" s="684" t="str">
        <f>IF(OR(F39=0,I39="",I39=" ")," ",$V39)</f>
        <v xml:space="preserve"> </v>
      </c>
      <c r="D39" s="1033"/>
      <c r="E39" s="1360"/>
      <c r="F39" s="202"/>
      <c r="G39" s="1416"/>
      <c r="H39" s="1417" t="str">
        <f ca="1">IF(OR(F39=0,Z39="E",Z39="f")," ",'Project Demand'!E$55)</f>
        <v xml:space="preserve"> </v>
      </c>
      <c r="I39" s="631" t="str">
        <f>IF($I$6&lt;&gt;$BG$8," ",AB39)</f>
        <v xml:space="preserve"> </v>
      </c>
      <c r="J39" s="44" t="str">
        <f ca="1">IF(OR(I39=" ",I39="")," ",OFFSET($BO$9,CL39-1,0-4,1,1))</f>
        <v xml:space="preserve"> </v>
      </c>
      <c r="K39" s="55" t="str">
        <f>IF(OR(I39=" ",I39="")," ",IF(OR(Z39="e",Z39="h"),"SD",IF(BG$24=BH$11,BH$13,BG$24)))</f>
        <v xml:space="preserve"> </v>
      </c>
      <c r="L39" s="49">
        <f ca="1">CW39</f>
        <v>0</v>
      </c>
      <c r="M39" s="49">
        <f ca="1">CY39</f>
        <v>0</v>
      </c>
      <c r="N39" s="50">
        <f t="shared" ca="1" si="30"/>
        <v>0</v>
      </c>
      <c r="O39" s="126">
        <f t="shared" ca="1" si="30"/>
        <v>0</v>
      </c>
      <c r="P39" s="140"/>
      <c r="Q39" s="752" t="str">
        <f ca="1">IF(AND(OR(Z39="t",Z39="f"),K39=$BH$11),"No Floor!  Change Floor Type",IF(OR(I39=" ",I39="")," ",IF(F39&lt;OFFSET($BM$9,CL39-1,0,1,1),"check L(m)",DE39&amp;IF(AND(DP39&gt;=CY39,DR39&gt;=DB39),IF(AND(ED39&gt;=DP39,EF39&gt;=DR39),CONCATENATE(DS39," will provide same result"),CONCATENATE(CO39," will provide same result")),IF((DP39&gt;=CY39),CONCATENATE(CO39," provides same result in WIND"),IF((DR39&gt;=DB39),CONCATENATE(CO39," provides same result in EQ"),""))))))&amp;IF(ISERROR(FIND("pile",I39,1)),"",IF(INT(F39)&lt;&gt;F39,"Pile!  Use Whole Numbers Only",""))</f>
        <v xml:space="preserve"> </v>
      </c>
      <c r="R39" s="52"/>
      <c r="S39" s="1372"/>
      <c r="T39" s="1372"/>
      <c r="U39" s="1377"/>
      <c r="V39" s="52" t="str">
        <f ca="1">IF(AND(B$5=$BF$9,OR(I39=BH$16,I39=BH$17))," ",IF(ISNUMBER(B$38),(CONCATENATE(B$38,".",W39)),(CONCATENATE(B$38,W39))))</f>
        <v>F0</v>
      </c>
      <c r="W39" s="9">
        <f ca="1">W38+X39</f>
        <v>0</v>
      </c>
      <c r="X39" s="9">
        <f>IF(AND(B$5=$BF$9,OR($I39=$BH$16,$I39=$BH$17,$I39=" ",$I39="",$F39=0)),0,IF(OR($I39=" ",$I39="",$F39=0),0,1))</f>
        <v>0</v>
      </c>
      <c r="Y39" s="896"/>
      <c r="Z39" s="52" t="str">
        <f ca="1">IF(I39=" "," ",OFFSET($BM$9,$CL39-1,8,1,1))</f>
        <v xml:space="preserve"> </v>
      </c>
      <c r="AA39" s="51" t="str">
        <f>IF(G39&gt;=45,"WA","")</f>
        <v/>
      </c>
      <c r="AB39" s="1364" t="str">
        <f>IF(OR(E39=" ",E39="")," ",(IF(F39&lt;&gt;"",IF(OR(D39=$BG$12,D39=$BG$13),IF(E39&lt;&gt;$BG$17,$BF$20,$BF$21),IF(E39&lt;&gt;$BG$17,$BF$20,$BF$21))," ")))</f>
        <v xml:space="preserve"> </v>
      </c>
      <c r="AC39" s="1"/>
      <c r="AJ39" s="2"/>
      <c r="AM39" s="4"/>
      <c r="AN39" s="4"/>
      <c r="AO39" s="4"/>
      <c r="AP39" s="4"/>
      <c r="AQ39" s="4"/>
      <c r="AR39" s="10"/>
      <c r="AS39" s="10"/>
      <c r="AT39" s="4"/>
      <c r="AU39" s="119"/>
      <c r="AV39" s="119"/>
      <c r="AW39" s="119"/>
      <c r="AX39" s="119"/>
      <c r="AY39" s="119"/>
      <c r="AZ39" s="119"/>
      <c r="BA39" s="119"/>
      <c r="BB39" s="119"/>
      <c r="BC39" s="119"/>
      <c r="BD39" s="635"/>
      <c r="BF39" s="599" t="str">
        <f>'Custom Elements'!C15</f>
        <v>Custom7</v>
      </c>
      <c r="BG39" s="431" t="s">
        <v>776</v>
      </c>
      <c r="BI39" s="759"/>
      <c r="BJ39" s="897">
        <f t="shared" si="5"/>
        <v>31</v>
      </c>
      <c r="BK39" s="775" t="str">
        <f>'Custom Elements'!O15</f>
        <v>NZS 3604</v>
      </c>
      <c r="BL39" s="772" t="str">
        <f>'Custom Elements'!P15</f>
        <v>Anchor pile</v>
      </c>
      <c r="BM39" s="776">
        <f>'Custom Elements'!Q15</f>
        <v>1</v>
      </c>
      <c r="BN39" s="776">
        <v>999</v>
      </c>
      <c r="BO39" s="776">
        <f>'Custom Elements'!R15</f>
        <v>160</v>
      </c>
      <c r="BP39" s="926">
        <f>'Custom Elements'!S15</f>
        <v>120</v>
      </c>
      <c r="BQ39" s="1183"/>
      <c r="BR39" s="908"/>
      <c r="BS39" s="776"/>
      <c r="BT39" s="776" t="s">
        <v>3</v>
      </c>
      <c r="BU39" s="926" t="s">
        <v>44</v>
      </c>
      <c r="BV39" s="484" t="str">
        <f t="shared" si="29"/>
        <v>Anchor pile</v>
      </c>
      <c r="BW39" s="911">
        <f t="shared" si="26"/>
        <v>31</v>
      </c>
      <c r="BX39" s="925" t="str">
        <f>'Custom Elements'!U15</f>
        <v>Single</v>
      </c>
      <c r="CH39" s="908">
        <f>IF(BN39=999,0,(#REF!-BO39)/(BN39-BM39))</f>
        <v>0</v>
      </c>
      <c r="CI39" s="926">
        <f>IF(BN39=999,0,(#REF!-BP39)/(BN39-BM39))</f>
        <v>0</v>
      </c>
      <c r="CJ39" s="759"/>
      <c r="CK39" s="188"/>
      <c r="CL39" s="979">
        <f>VLOOKUP(I39,Prodlink,2,0)</f>
        <v>0</v>
      </c>
      <c r="CN39" s="497">
        <f t="shared" ca="1" si="2"/>
        <v>0</v>
      </c>
      <c r="CO39" s="497">
        <f ca="1">OFFSET($CH$9,CL39-1,-15,1,1)</f>
        <v>0</v>
      </c>
      <c r="CQ39" s="51">
        <v>0</v>
      </c>
      <c r="CR39" s="51">
        <f ca="1">IF(AND(Z39&lt;&gt;"t",Z39&lt;&gt;"f"),10000,IF(K39=$BH$11,0,IF(K39=$BH$12,$BH$23,IF(K39=$BH$13,$BH$24,10000))))</f>
        <v>10000</v>
      </c>
      <c r="CS39" s="51">
        <f ca="1">IF(F39&lt;OFFSET($BM$9,CL39-1,0,1,1),0,IF(F39&lt;OFFSET($BN$9,CL39-1,0,1,1),((F39-OFFSET($BM$9,CL39-1,0,1,1))*OFFSET($CH$9,CL39-1,0,1,1))+OFFSET($BO$9,CL39-1,CQ39,1,1),IF(F39&lt;OFFSET($BN$9,CL39+0,0,1,1),((F39-OFFSET($BM$9,CL39+0,0,1,1))*OFFSET($CH$9,CL39+0,0,1,1))+OFFSET($BO$9,CL39+0,CQ39,1,1),IF(F39&lt;OFFSET($BN$9,CL39+1,0,1,1),((F39-OFFSET($BM$9,CL39+1,0,1,1))*OFFSET($CH$9,CL39+1,0,1,1))+OFFSET($BO$9,CL39+1,CQ39,1,1),IF(F39&lt;OFFSET($BN$9,CL39+2,0,1,1),((F39-OFFSET($BM$9,CL39+2,0,1,1))*OFFSET($CH$9,CL39+2,0,1,1))+OFFSET($BO$9,CL39+2,CQ39,1,1),IF(F39&lt;OFFSET($BN$9,CL39+3,0,1,1),((F39-OFFSET($BM$9,CL39+3,0,1,1))*OFFSET($CH$9,CL39+3,0,1,1))+OFFSET($BO$9,CL39+3,CQ39,1,1),0))))))</f>
        <v>0</v>
      </c>
      <c r="CT39" s="51">
        <f ca="1">IF($F39&lt;OFFSET($BM$9,$CL39-1,0,1,1),0,IF($F39&lt;OFFSET($BN$9,$CL39-1,0,1,1),IF(AND($H39&gt;2.4,Z39&lt;&gt;"e",Z39&lt;&gt;"f"),CX39*2.4/$H39,CX39),IF($F39&lt;OFFSET($BN$9,$CL39+0,0,1,1),IF(AND($H39&gt;2.4,Z39&lt;&gt;"e",Z39&lt;&gt;"f"),CX39*2.4/$H39,CX39),IF($F39&lt;OFFSET($BN$9,$CL39+1,0,1,1),IF(AND($H39&gt;2.4,Z39&lt;&gt;"e",Z39&lt;&gt;"f"),CX39*2.4/$H39,CX39),IF($F39&lt;OFFSET($BN$9,CL39+2,0,1,1),IF(AND($H39&gt;2.4,Z39&lt;&gt;"e",Z39&lt;&gt;"f"),CX39*2.4/$H39,CX39),IF($F39&lt;OFFSET($BN$9,CL39+3,0,1,1),IF(AND($H39&gt;2.4,Z39&lt;&gt;"e",Z39&lt;&gt;"f"),CX39*2.4/$H39,CX39),0)))))*COS(RADIANS($G39)))</f>
        <v>0</v>
      </c>
      <c r="CU39" s="51">
        <f ca="1">IF(F39&lt;OFFSET($BM$9,CL39-1,0,1,1),0,IF(F39&lt;OFFSET($BN$9,CL39-1,0,1,1),((F39-OFFSET($BM$9,CL39-1,0,1,1))*OFFSET($CI$9,CL39-1,0,1,1))+OFFSET($BP$9,CL39-1,CQ39,1,1),IF(F39&lt;OFFSET($BN$9,CL39+0,0,1,1),((F39-OFFSET($BM$9,CL39+0,0,1,1))*OFFSET($CI$9,CL39+0,0,1,1))+OFFSET($BP$9,CL39+0,CQ39,1,1),IF(F39&lt;OFFSET($BN$9,CL39+1,0,1,1),((F39-OFFSET($BM$9,CL39+1,0,1,1))*OFFSET($CI$9,CL39+1,0,1,1))+OFFSET($BP$9,CL39+1,CQ39,1,1),IF(F39&lt;OFFSET($BN$9,CL39+2,0,1,1),((F39-OFFSET($BM$9,CL39+2,0,1,1))*OFFSET($CI$9,CL39+2,0,1,1))+OFFSET($BP$9,CL39+2,CQ39,1,1),IF(F39&lt;OFFSET($BN$9,CL39+3,0,1,1),((F39-OFFSET($BM$9,CL39+3,0,1,1))*OFFSET($CI$9,CL39+3,0,1,1))+OFFSET($BP$9,CL39+3,CQ39,1,1),0))))))</f>
        <v>0</v>
      </c>
      <c r="CV39" s="51">
        <f ca="1">IF($F39&lt;OFFSET($BM$9,$CL39-1,0,1,1),0,IF($F39&lt;OFFSET($BN$9,$CL39-1,0,1,1),IF(AND($H39&gt;2.4,Z39&lt;&gt;"e",Z39&lt;&gt;"f"),CZ39*2.4/$H39,CZ39),IF($F39&lt;OFFSET($BN$9,$CL39+0,0,1,1),IF(AND($H39&gt;2.4,Z39&lt;&gt;"e",Z39&lt;&gt;"f"),CZ39*2.4/$H39,CZ39),IF($F39&lt;OFFSET($BN$9,$CL39+1,0,1,1),IF(AND($H39&gt;2.4,Z39&lt;&gt;"e",Z39&lt;&gt;"f"),CZ39*2.4/$H39,CZ39),IF($F39&lt;OFFSET($BN$9,$CL39+2,0,1,1),IF(AND($H39&gt;2.4,Z39&lt;&gt;"e",Z39&lt;&gt;"f"),CZ39*2.4/$H39,CZ39),IF($F39&lt;OFFSET($BN$9,$CL39+3,0,1,1),IF(AND($H39&gt;2.4,Z39&lt;&gt;"e",Z39&lt;&gt;"f"),CZ39*2.4/$H39,CZ39),0)))))*COS(RADIANS($G39)))</f>
        <v>0</v>
      </c>
      <c r="CW39" s="51">
        <f t="shared" ca="1" si="17"/>
        <v>0</v>
      </c>
      <c r="CX39" s="51">
        <f ca="1">IF(CS39&gt;$CR39,$CR39,CS39)</f>
        <v>0</v>
      </c>
      <c r="CY39" s="51">
        <f ca="1">CW39*F39</f>
        <v>0</v>
      </c>
      <c r="CZ39" s="51">
        <f ca="1">IF($CU39&gt;$CR39,$CR39,$CU39)</f>
        <v>0</v>
      </c>
      <c r="DA39" s="51">
        <f ca="1">IF(CV39&gt;CR39,CR39,CV39)</f>
        <v>0</v>
      </c>
      <c r="DB39" s="51">
        <f ca="1">DA39*F39</f>
        <v>0</v>
      </c>
      <c r="DC39" s="993">
        <v>1</v>
      </c>
      <c r="DD39" s="758" t="str">
        <f>IF(OR(D39=BG$12,D39=BG$13),"External",IF(D39=BG$14,"Internal"," "))</f>
        <v xml:space="preserve"> </v>
      </c>
      <c r="DE39" s="51" t="str">
        <f t="shared" ca="1" si="18"/>
        <v/>
      </c>
      <c r="DF39" s="52" t="str">
        <f t="shared" ca="1" si="19"/>
        <v xml:space="preserve"> </v>
      </c>
      <c r="DG39" s="51">
        <f ca="1">IF(F39&lt;OFFSET($BM$9,CN39-1,0,1,1),0,IF(F39&lt;OFFSET($BN$9,CN39-1,0,1,1),((F39-OFFSET($BM$9,CN39-1,0,1,1))*OFFSET($CH$9,CN39-1,0,1,1))+OFFSET($BO$9,CN39-1,CQ39,1,1),IF(F39&lt;OFFSET($BN$9,CN39+0,0,1,1),((F39-OFFSET($BM$9,CN39+0,0,1,1))*OFFSET($CH$9,CN39+0,0,1,1))+OFFSET($BO$9,CN39+0,CQ39,1,1),IF(F39&lt;OFFSET($BN$9,CN39+1,0,1,1),((F39-OFFSET($BM$9,CN39+1,0,1,1))*OFFSET($CH$9,CN39+1,0,1,1))+OFFSET($BO$9,CN39+1,CQ39,1,1),IF(F39&lt;OFFSET($BN$9,CN39+2,0,1,1),((F39-OFFSET($BM$9,CN39+2,0,1,1))*OFFSET($CH$9,CN39+2,0,1,1))+OFFSET($BO$9,CN39+2,CQ39,1,1),IF(F39&lt;OFFSET($BN$9,CN39+3,0,1,1),((F39-OFFSET($BM$9,CN39+3,0,1,1))*OFFSET($CH$9,CN39+3,0,1,1))+OFFSET($BO$9,CN39+3,CQ39,1,1),0))))))</f>
        <v>0</v>
      </c>
      <c r="DH39" s="51">
        <f ca="1">IF($F39&lt;OFFSET($BM$9,$CN39-1,0,1,1),0,IF($F39&lt;OFFSET($BN$9,$CN39-1,0,1,1),IF(AND($H39&gt;2.4,Z39&lt;&gt;"e",Z39&lt;&gt;"f"),DL39*2.4/$H39,DL39),IF($F39&lt;OFFSET($BN$9,$CN39+0,0,1,1),IF(AND($H39&gt;2.4,Z39&lt;&gt;"e",Z39&lt;&gt;"f"),DL39*2.4/$H39,DL39),IF($F39&lt;OFFSET($BN$9,$CN39+1,0,1,1),IF(AND($H39&gt;2.4,Z39&lt;&gt;"e",Z39&lt;&gt;"f"),DL39*2.4/$H39,DL39),IF($F39&lt;OFFSET($BN$9,$CN39+2,0,1,1),IF(AND($H39&gt;2.4,Z39&lt;&gt;"e",Z39&lt;&gt;"f"),DL39*2.4/$H39,DL39),IF($F39&lt;OFFSET($BN$9,$CN39+3,0,1,1),IF(AND($H39&gt;2.4,Z39&lt;&gt;"e",Z39&lt;&gt;"f"),DL39*2.4/$H39,DL39),0)))))*COS(RADIANS($G39)))</f>
        <v>0</v>
      </c>
      <c r="DI39" s="51">
        <f ca="1">IF(F39&lt;OFFSET($BM$9,CN39-1,0,1,1),0,IF(F39&lt;OFFSET($BN$9,CN39-1,0,1,1),((F39-OFFSET($BM$9,CN39-1,0,1,1))*OFFSET($CI$9,CN39-1,0,1,1))+OFFSET($BP$9,CN39-1,CQ39,1,1),IF(F39&lt;OFFSET($BN$9,CN39+0,0,1,1),((F39-OFFSET($BM$9,CN39+0,0,1,1))*OFFSET($CI$9,CN39+0,0,1,1))+OFFSET($BP$9,CN39+0,CQ39,1,1),IF(F39&lt;OFFSET($BN$9,CN39+1,0,1,1),((F39-OFFSET($BM$9,CN39+1,0,1,1))*OFFSET($CI$9,CN39+1,0,1,1))+OFFSET($BP$9,CN39+1,CQ39,1,1),IF(F39&lt;OFFSET($BN$9,CN39+2,0,1,1),((F39-OFFSET($BM$9,CN39+2,0,1,1))*OFFSET($CI$9,CN39+2,0,1,1))+OFFSET($BP$9,CN39+2,CQ39,1,1),IF(F39&lt;OFFSET($BN$9,CN39+3,0,1,1),((F39-OFFSET($BM$9,CN39+3,0,1,1))*OFFSET($CI$9,CN39+3,0,1,1))+OFFSET($BP$9,CN39+3,CQ39,1,1),0))))))</f>
        <v>0</v>
      </c>
      <c r="DJ39" s="51">
        <f ca="1">IF($F39&lt;OFFSET($BM$9,$CN39-1,0,1,1),0,IF($F39&lt;OFFSET($BN$9,$CN39-1,0,1,1),IF(AND($H39&gt;2.4,Z39&lt;&gt;"e",Z39&lt;&gt;"f"),DN39*2.4/$H39,DN39),IF($F39&lt;OFFSET($BN$9,$CN39+0,0,1,1),IF(AND($H39&gt;2.4,Z39&lt;&gt;"e",Z39&lt;&gt;"f"),DN39*2.4/$H39,DN39),IF($F39&lt;OFFSET($BN$9,$CN39+1,0,1,1),IF(AND($H39&gt;2.4,Z39&lt;&gt;"e",Z39&lt;&gt;"f"),DN39*2.4/$H39,DN39),IF($F39&lt;OFFSET($BN$9,$CN39+2,0,1,1),IF(AND($H39&gt;2.4,Z39&lt;&gt;"e",Z39&lt;&gt;"f"),DN39*2.4/$H39,DN39),IF($F39&lt;OFFSET($BN$9,$CN39+3,0,1,1),IF(AND($H39&gt;2.4,Z39&lt;&gt;"e",Z39&lt;&gt;"f"),DN39*2.4/$H39,DN39),0)))))*COS(RADIANS($G39)))</f>
        <v>0</v>
      </c>
      <c r="DK39" s="51"/>
      <c r="DL39" s="51">
        <f ca="1">IF(DG39&gt;$CR39,$CR39,DG39)</f>
        <v>0</v>
      </c>
      <c r="DM39" s="51"/>
      <c r="DN39" s="51">
        <f ca="1">IF(DI39&gt;$CR39,$CR39,DI39)</f>
        <v>0</v>
      </c>
      <c r="DO39" s="435">
        <f ca="1">IF(DH39&gt;$CR39,$CR39,DH39)</f>
        <v>0</v>
      </c>
      <c r="DP39" s="435">
        <f ca="1">DO39*F39</f>
        <v>0</v>
      </c>
      <c r="DQ39" s="436">
        <f ca="1">IF(DJ39&gt;$CR39,$CR39,DJ39)</f>
        <v>0</v>
      </c>
      <c r="DR39" s="437">
        <f ca="1">DQ39*F39</f>
        <v>0</v>
      </c>
      <c r="DS39" s="426">
        <f ca="1">OFFSET($CH$9,CL39-1,-15,1,1)</f>
        <v>0</v>
      </c>
      <c r="DT39" s="426">
        <f t="shared" ca="1" si="1"/>
        <v>0</v>
      </c>
      <c r="DU39" s="188">
        <f ca="1">IF(F39&lt;OFFSET($BM$9,DT39-1,0,1,1),0,IF(F39&lt;OFFSET($BN$9,DT39-1,0,1,1),((F39-OFFSET($BM$9,DT39-1,0,1,1))*OFFSET($CH$9,DT39-1,0,1,1))+OFFSET($BO$9,DT39-1,CQ39,1,1),IF(F39&lt;OFFSET($BN$9,DT39+0,0,1,1),((F39-OFFSET($BM$9,DT39+0,0,1,1))*OFFSET($CH$9,DT39+0,0,1,1))+OFFSET($BO$9,DT39+0,CQ39,1,1),IF(F39&lt;OFFSET($BN$9,DT39+1,0,1,1),((F39-OFFSET($BM$9,DT39+1,0,1,1))*OFFSET($CH$9,DT39+1,0,1,1))+OFFSET($BO$9,DT39+1,CQ39,1,1),IF(F39&lt;OFFSET($BN$9,DT39+2,0,1,1),((F39-OFFSET($BM$9,DT39+2,0,1,1))*OFFSET($CH$9,DT39+2,0,1,1))+OFFSET($BO$9,DT39+2,CQ39,1,1),IF(F39&lt;OFFSET($BN$9,DT39+3,0,1,1),((F39-OFFSET($BM$9,DT39+3,0,1,1))*OFFSET($CH$9,DT39+3,0,1,1))+OFFSET($BO$9,DT39+3,CQ39,1,1),0))))))</f>
        <v>0</v>
      </c>
      <c r="DV39" s="51">
        <f ca="1">IF($F39&lt;OFFSET($BM$9,$DT39-1,0,1,1),0,IF($F39&lt;OFFSET($BN$9,$DT39-1,0,1,1),IF(AND($H39&gt;2.4,Z39&lt;&gt;"e",Z39&lt;&gt;"f"),DZ39*2.4/$H39,DZ39),IF($F39&lt;OFFSET($BN$9,$DT39+0,0,1,1),IF(AND($H39&gt;2.4,Z39&lt;&gt;"e",Z39&lt;&gt;"f"),DZ39*2.4/$H39,DZ39),IF($F39&lt;OFFSET($BN$9,$DT39+1,0,1,1),IF(AND($H39&gt;2.4,Z39&lt;&gt;"e",Z39&lt;&gt;"f"),DZ39*2.4/$H39,DZ39),IF($F39&lt;OFFSET($BN$9,$DT39+2,0,1,1),IF(AND($H39&gt;2.4,Z39&lt;&gt;"e",Z39&lt;&gt;"f"),DZ39*2.4/$H39,DZ39),IF($F39&lt;OFFSET($BN$9,$DT39+3,0,1,1),IF(AND($H39&gt;2.4,Z39&lt;&gt;"e",Z39&lt;&gt;"f"),DZ39*2.4/$H39,DZ39),0)))))*COS(RADIANS($G39)))</f>
        <v>0</v>
      </c>
      <c r="DW39" s="188">
        <f ca="1">IF(F39&lt;OFFSET($BM$9,DT39-1,0,1,1),0,IF(F39&lt;OFFSET($BN$9,DT39-1,0,1,1),((F39-OFFSET($BM$9,DT39-1,0,1,1))*OFFSET($CI$9,DT39-1,0,1,1))+OFFSET($BP$9,DT39-1,CQ39,1,1),IF(F39&lt;OFFSET($BN$9,DT39+0,0,1,1),((F39-OFFSET($BM$9,DT39+0,0,1,1))*OFFSET($CI$9,DT39+0,0,1,1))+OFFSET($BP$9,DT39+0,CQ39,1,1),IF(F39&lt;OFFSET($BN$9,DT39+1,0,1,1),((F39-OFFSET($BM$9,DT39+1,0,1,1))*OFFSET($CI$9,DT39+1,0,1,1))+OFFSET($BP$9,DT39+1,CQ39,1,1),IF(F39&lt;OFFSET($BN$9,DT39+2,0,1,1),((F39-OFFSET($BM$9,DT39+2,0,1,1))*OFFSET($CI$9,DT39+2,0,1,1))+OFFSET($BP$9,DT39+2,CQ39,1,1),IF(F39&lt;OFFSET($BN$9,DT39+3,0,1,1),((F39-OFFSET($BM$9,DT39+3,0,1,1))*OFFSET($CI$9,DT39+3,0,1,1))+OFFSET($BP$9,DT39+3,CQ39,1,1),0))))))</f>
        <v>0</v>
      </c>
      <c r="DX39" s="51">
        <f ca="1">IF($F39&lt;OFFSET($BM$9,$DT39-1,0,1,1),0,IF($F39&lt;OFFSET($BN$9,$DT39-1,0,1,1),IF(AND($H39&gt;2.4,Z39&lt;&gt;"e",Z39&lt;&gt;"f"),EB39*2.4/$H39,EB39),IF($F39&lt;OFFSET($BN$9,$DT39+0,0,1,1),IF(AND($H39&gt;2.4,Z39&lt;&gt;"e",Z39&lt;&gt;"f"),EB39*2.4/$H39,EB39),IF($F39&lt;OFFSET($BN$9,$DT39+1,0,1,1),IF(AND($H39&gt;2.4,Z39&lt;&gt;"e",Z39&lt;&gt;"f"),EB39*2.4/$H39,EB39),IF($F39&lt;OFFSET($BN$9,$DT39+2,0,1,1),IF(AND($H39&gt;2.4,Z39&lt;&gt;"e",Z39&lt;&gt;"f"),EB39*2.4/$H39,EB39),IF($F39&lt;OFFSET($BN$9,$DT39+3,0,1,1),IF(AND($H39&gt;2.4,Z39&lt;&gt;"e",Z39&lt;&gt;"f"),EB39*2.4/$H39,EB39),0)))))*COS(RADIANS($G39)))</f>
        <v>0</v>
      </c>
      <c r="DY39" s="188"/>
      <c r="DZ39" s="188">
        <f ca="1">IF(DU39&gt;$CR39,$CR39,DU39)</f>
        <v>0</v>
      </c>
      <c r="EA39" s="188"/>
      <c r="EB39" s="188">
        <f ca="1">IF(DW39&gt;$CR39,$CR39,DW39)</f>
        <v>0</v>
      </c>
      <c r="EC39" s="435">
        <f ca="1">IF(DV39&gt;$CR39,$CR39,DV39)</f>
        <v>0</v>
      </c>
      <c r="ED39" s="435">
        <f ca="1">EC39*F39</f>
        <v>0</v>
      </c>
      <c r="EE39" s="436">
        <f ca="1">IF(DX39&gt;$CR39,$CR39,DX39)</f>
        <v>0</v>
      </c>
      <c r="EF39" s="437">
        <f ca="1">EE39*F39</f>
        <v>0</v>
      </c>
      <c r="EG39" s="613" t="str">
        <f>IF(D39=BG$12,BG$12,"")</f>
        <v/>
      </c>
      <c r="EH39" s="614" t="str">
        <f>IF(D39=BG$13,BG$13,"")</f>
        <v/>
      </c>
      <c r="EI39" s="611">
        <f>IF(EG39=BG$12,M39,0)</f>
        <v>0</v>
      </c>
      <c r="EJ39" s="451">
        <f>IF(EG39=BG$12,O39,0)</f>
        <v>0</v>
      </c>
      <c r="EK39" s="451">
        <f>IF(EH39=BG$13,M39,0)</f>
        <v>0</v>
      </c>
      <c r="EL39" s="612">
        <f>IF(EH39=BG$13,O39,0)</f>
        <v>0</v>
      </c>
      <c r="EM39" s="426" t="str">
        <f ca="1">IF(AND(Z39&lt;&gt;"t",Z39&lt;&gt;"f"),"",IF(AND(EN39=$BH$11,K39&lt;&gt;EN39),EM$4,IF(AND(EN39=$BH$12,K39=$BH$13),EM$4,IF(AND(EN39=$BH$12,K39=$BH$14),EM$4,IF(AND(EN39=$BH$13,K39=$BH$14),$EM$4,IF(EN39=$BH$14,$EM$4,""))))))</f>
        <v/>
      </c>
      <c r="EN39" s="489" t="str">
        <f>BG$24</f>
        <v>No Floor</v>
      </c>
      <c r="EO39" s="426" t="str">
        <f>K39</f>
        <v xml:space="preserve"> </v>
      </c>
      <c r="EP39" s="497" t="str">
        <f ca="1">IF(AND(Z39&lt;&gt;"t",Z39&lt;&gt;"f"),"",IF(AND(EN39=$BH$14,K39&lt;&gt;EN39),EP$4,IF(AND(EN39=$BH$13,K39=$BH$12),EP$4,IF(AND(EN39=$BH$13,K39=$BH$11),EP$4,IF(AND(EN39=$BH$12,K39=$BH$11),$EP$4,IF(EN39=$BH$11,"Earth",""))))))</f>
        <v/>
      </c>
      <c r="EQ39" s="430" t="str">
        <f ca="1">IF(Z39&lt;&gt;"t","",IF(EQ$5=2,IF(K39&lt;&gt;BH$11,EQ$7," ")))</f>
        <v/>
      </c>
      <c r="ER39" s="439" t="str">
        <f ca="1">IF(H39=0," ",H39)</f>
        <v xml:space="preserve"> </v>
      </c>
      <c r="ES39" s="440" t="str">
        <f ca="1">IF(ER39&lt;&gt;" ",IF(ER39&lt;&gt;ER$7,"Changed",""),"")</f>
        <v/>
      </c>
      <c r="ET39" s="440">
        <f t="shared" ca="1" si="20"/>
        <v>0</v>
      </c>
      <c r="EU39" s="426" t="str">
        <f ca="1">IF(I39=" "," ",IF(F39&lt;OFFSET($BM$9,CL39-1,0,1,1),1,""))</f>
        <v xml:space="preserve"> </v>
      </c>
      <c r="EW39" s="427"/>
      <c r="EY39" s="421"/>
    </row>
    <row r="40" spans="1:155" ht="17.100000000000001" customHeight="1" thickBot="1">
      <c r="B40" s="689" t="s">
        <v>246</v>
      </c>
      <c r="C40" s="684" t="str">
        <f>IF(OR(F40=0,I40="",I40=" ")," ",$V40)</f>
        <v xml:space="preserve"> </v>
      </c>
      <c r="D40" s="1033"/>
      <c r="E40" s="1360"/>
      <c r="F40" s="202"/>
      <c r="G40" s="1416"/>
      <c r="H40" s="1417" t="str">
        <f ca="1">IF(OR(F40=0,Z40="E",Z40="f")," ",'Project Demand'!E$55)</f>
        <v xml:space="preserve"> </v>
      </c>
      <c r="I40" s="631" t="str">
        <f>IF($I$6&lt;&gt;$BG$8," ",AB40)</f>
        <v xml:space="preserve"> </v>
      </c>
      <c r="J40" s="44" t="str">
        <f ca="1">IF(OR(I40=" ",I40="")," ",OFFSET($BO$9,CL40-1,0-4,1,1))</f>
        <v xml:space="preserve"> </v>
      </c>
      <c r="K40" s="55" t="str">
        <f>IF(OR(I40=" ",I40="")," ",IF(OR(Z40="e",Z40="h"),"SD",IF(BG$24=BH$11,BH$13,BG$24)))</f>
        <v xml:space="preserve"> </v>
      </c>
      <c r="L40" s="49">
        <f ca="1">CW40</f>
        <v>0</v>
      </c>
      <c r="M40" s="49">
        <f ca="1">CY40</f>
        <v>0</v>
      </c>
      <c r="N40" s="50">
        <f t="shared" ca="1" si="30"/>
        <v>0</v>
      </c>
      <c r="O40" s="126">
        <f t="shared" ca="1" si="30"/>
        <v>0</v>
      </c>
      <c r="P40" s="140"/>
      <c r="Q40" s="752" t="str">
        <f ca="1">IF(AND(OR(Z40="t",Z40="f"),K40=$BH$11),"No Floor!  Change Floor Type",IF(OR(I40=" ",I40="")," ",IF(F40&lt;OFFSET($BM$9,CL40-1,0,1,1),"check L(m)",DE40&amp;IF(AND(DP40&gt;=CY40,DR40&gt;=DB40),IF(AND(ED40&gt;=DP40,EF40&gt;=DR40),CONCATENATE(DS40," will provide same result"),CONCATENATE(CO40," will provide same result")),IF((DP40&gt;=CY40),CONCATENATE(CO40," provides same result in WIND"),IF((DR40&gt;=DB40),CONCATENATE(CO40," provides same result in EQ"),""))))))&amp;IF(ISERROR(FIND("pile",I40,1)),"",IF(INT(F40)&lt;&gt;F40,"Pile!  Use Whole Numbers Only",""))</f>
        <v xml:space="preserve"> </v>
      </c>
      <c r="R40" s="52"/>
      <c r="S40" s="1372"/>
      <c r="T40" s="1372"/>
      <c r="U40" s="1377"/>
      <c r="V40" s="52" t="str">
        <f ca="1">IF(AND(B$5=$BF$9,OR(I40=BH$16,I40=BH$17))," ",IF(ISNUMBER(B$38),(CONCATENATE(B$38,".",W40)),(CONCATENATE(B$38,W40))))</f>
        <v>F0</v>
      </c>
      <c r="W40" s="9">
        <f ca="1">W39+X40</f>
        <v>0</v>
      </c>
      <c r="X40" s="9">
        <f>IF(AND(B$5=$BF$9,OR($I40=$BH$16,$I40=$BH$17,$I40=" ",$I40="",$F40=0)),0,IF(OR($I40=" ",$I40="",$F40=0),0,1))</f>
        <v>0</v>
      </c>
      <c r="Y40" s="896"/>
      <c r="Z40" s="52" t="str">
        <f ca="1">IF(I40=" "," ",OFFSET($BM$9,$CL40-1,8,1,1))</f>
        <v xml:space="preserve"> </v>
      </c>
      <c r="AA40" s="51" t="str">
        <f>IF(G40&gt;=45,"WA","")</f>
        <v/>
      </c>
      <c r="AB40" s="1364" t="str">
        <f>IF(OR(E40=" ",E40="")," ",(IF(F40&lt;&gt;"",IF(OR(D40=$BG$12,D40=$BG$13),IF(E40&lt;&gt;$BG$17,$BF$20,$BF$21),IF(E40&lt;&gt;$BG$17,$BF$20,$BF$21))," ")))</f>
        <v xml:space="preserve"> </v>
      </c>
      <c r="AC40" s="1"/>
      <c r="AJ40" s="2"/>
      <c r="AM40" s="4"/>
      <c r="AN40" s="4"/>
      <c r="AO40" s="4"/>
      <c r="AP40" s="4"/>
      <c r="AQ40" s="4"/>
      <c r="AR40" s="10"/>
      <c r="AS40" s="10"/>
      <c r="AT40" s="4"/>
      <c r="AU40" s="119"/>
      <c r="AV40" s="119"/>
      <c r="AW40" s="119"/>
      <c r="AX40" s="119"/>
      <c r="AY40" s="119"/>
      <c r="AZ40" s="119"/>
      <c r="BA40" s="119"/>
      <c r="BB40" s="119"/>
      <c r="BC40" s="119"/>
      <c r="BD40" s="641"/>
      <c r="BF40" s="599" t="str">
        <f>'Custom Elements'!C16</f>
        <v>Custom8</v>
      </c>
      <c r="BG40" s="431" t="s">
        <v>933</v>
      </c>
      <c r="BI40" s="759"/>
      <c r="BJ40" s="897">
        <f t="shared" si="5"/>
        <v>32</v>
      </c>
      <c r="CJ40" s="759"/>
      <c r="CK40" s="188"/>
      <c r="CL40" s="979">
        <f>VLOOKUP(I40,Prodlink,2,0)</f>
        <v>0</v>
      </c>
      <c r="CN40" s="497">
        <f t="shared" ref="CN40:CN66" ca="1" si="31">VLOOKUP(CO40,Prodlink,2,0)</f>
        <v>0</v>
      </c>
      <c r="CO40" s="497">
        <f ca="1">OFFSET($CH$9,CL40-1,-15,1,1)</f>
        <v>0</v>
      </c>
      <c r="CQ40" s="51">
        <v>0</v>
      </c>
      <c r="CR40" s="51">
        <f ca="1">IF(AND(Z40&lt;&gt;"t",Z40&lt;&gt;"f"),10000,IF(K40=$BH$11,0,IF(K40=$BH$12,$BH$23,IF(K40=$BH$13,$BH$24,10000))))</f>
        <v>10000</v>
      </c>
      <c r="CS40" s="51">
        <f ca="1">IF(F40&lt;OFFSET($BM$9,CL40-1,0,1,1),0,IF(F40&lt;OFFSET($BN$9,CL40-1,0,1,1),((F40-OFFSET($BM$9,CL40-1,0,1,1))*OFFSET($CH$9,CL40-1,0,1,1))+OFFSET($BO$9,CL40-1,CQ40,1,1),IF(F40&lt;OFFSET($BN$9,CL40+0,0,1,1),((F40-OFFSET($BM$9,CL40+0,0,1,1))*OFFSET($CH$9,CL40+0,0,1,1))+OFFSET($BO$9,CL40+0,CQ40,1,1),IF(F40&lt;OFFSET($BN$9,CL40+1,0,1,1),((F40-OFFSET($BM$9,CL40+1,0,1,1))*OFFSET($CH$9,CL40+1,0,1,1))+OFFSET($BO$9,CL40+1,CQ40,1,1),IF(F40&lt;OFFSET($BN$9,CL40+2,0,1,1),((F40-OFFSET($BM$9,CL40+2,0,1,1))*OFFSET($CH$9,CL40+2,0,1,1))+OFFSET($BO$9,CL40+2,CQ40,1,1),IF(F40&lt;OFFSET($BN$9,CL40+3,0,1,1),((F40-OFFSET($BM$9,CL40+3,0,1,1))*OFFSET($CH$9,CL40+3,0,1,1))+OFFSET($BO$9,CL40+3,CQ40,1,1),0))))))</f>
        <v>0</v>
      </c>
      <c r="CT40" s="51">
        <f ca="1">IF($F40&lt;OFFSET($BM$9,$CL40-1,0,1,1),0,IF($F40&lt;OFFSET($BN$9,$CL40-1,0,1,1),IF(AND($H40&gt;2.4,Z40&lt;&gt;"e",Z40&lt;&gt;"f"),CX40*2.4/$H40,CX40),IF($F40&lt;OFFSET($BN$9,$CL40+0,0,1,1),IF(AND($H40&gt;2.4,Z40&lt;&gt;"e",Z40&lt;&gt;"f"),CX40*2.4/$H40,CX40),IF($F40&lt;OFFSET($BN$9,$CL40+1,0,1,1),IF(AND($H40&gt;2.4,Z40&lt;&gt;"e",Z40&lt;&gt;"f"),CX40*2.4/$H40,CX40),IF($F40&lt;OFFSET($BN$9,CL40+2,0,1,1),IF(AND($H40&gt;2.4,Z40&lt;&gt;"e",Z40&lt;&gt;"f"),CX40*2.4/$H40,CX40),IF($F40&lt;OFFSET($BN$9,CL40+3,0,1,1),IF(AND($H40&gt;2.4,Z40&lt;&gt;"e",Z40&lt;&gt;"f"),CX40*2.4/$H40,CX40),0)))))*COS(RADIANS($G40)))</f>
        <v>0</v>
      </c>
      <c r="CU40" s="51">
        <f ca="1">IF(F40&lt;OFFSET($BM$9,CL40-1,0,1,1),0,IF(F40&lt;OFFSET($BN$9,CL40-1,0,1,1),((F40-OFFSET($BM$9,CL40-1,0,1,1))*OFFSET($CI$9,CL40-1,0,1,1))+OFFSET($BP$9,CL40-1,CQ40,1,1),IF(F40&lt;OFFSET($BN$9,CL40+0,0,1,1),((F40-OFFSET($BM$9,CL40+0,0,1,1))*OFFSET($CI$9,CL40+0,0,1,1))+OFFSET($BP$9,CL40+0,CQ40,1,1),IF(F40&lt;OFFSET($BN$9,CL40+1,0,1,1),((F40-OFFSET($BM$9,CL40+1,0,1,1))*OFFSET($CI$9,CL40+1,0,1,1))+OFFSET($BP$9,CL40+1,CQ40,1,1),IF(F40&lt;OFFSET($BN$9,CL40+2,0,1,1),((F40-OFFSET($BM$9,CL40+2,0,1,1))*OFFSET($CI$9,CL40+2,0,1,1))+OFFSET($BP$9,CL40+2,CQ40,1,1),IF(F40&lt;OFFSET($BN$9,CL40+3,0,1,1),((F40-OFFSET($BM$9,CL40+3,0,1,1))*OFFSET($CI$9,CL40+3,0,1,1))+OFFSET($BP$9,CL40+3,CQ40,1,1),0))))))</f>
        <v>0</v>
      </c>
      <c r="CV40" s="51">
        <f ca="1">IF($F40&lt;OFFSET($BM$9,$CL40-1,0,1,1),0,IF($F40&lt;OFFSET($BN$9,$CL40-1,0,1,1),IF(AND($H40&gt;2.4,Z40&lt;&gt;"e",Z40&lt;&gt;"f"),CZ40*2.4/$H40,CZ40),IF($F40&lt;OFFSET($BN$9,$CL40+0,0,1,1),IF(AND($H40&gt;2.4,Z40&lt;&gt;"e",Z40&lt;&gt;"f"),CZ40*2.4/$H40,CZ40),IF($F40&lt;OFFSET($BN$9,$CL40+1,0,1,1),IF(AND($H40&gt;2.4,Z40&lt;&gt;"e",Z40&lt;&gt;"f"),CZ40*2.4/$H40,CZ40),IF($F40&lt;OFFSET($BN$9,$CL40+2,0,1,1),IF(AND($H40&gt;2.4,Z40&lt;&gt;"e",Z40&lt;&gt;"f"),CZ40*2.4/$H40,CZ40),IF($F40&lt;OFFSET($BN$9,$CL40+3,0,1,1),IF(AND($H40&gt;2.4,Z40&lt;&gt;"e",Z40&lt;&gt;"f"),CZ40*2.4/$H40,CZ40),0)))))*COS(RADIANS($G40)))</f>
        <v>0</v>
      </c>
      <c r="CW40" s="51">
        <f t="shared" ca="1" si="17"/>
        <v>0</v>
      </c>
      <c r="CX40" s="51">
        <f ca="1">IF(CS40&gt;$CR40,$CR40,CS40)</f>
        <v>0</v>
      </c>
      <c r="CY40" s="51">
        <f ca="1">CW40*F40</f>
        <v>0</v>
      </c>
      <c r="CZ40" s="51">
        <f ca="1">IF($CU40&gt;$CR40,$CR40,$CU40)</f>
        <v>0</v>
      </c>
      <c r="DA40" s="51">
        <f ca="1">IF(CV40&gt;CR40,CR40,CV40)</f>
        <v>0</v>
      </c>
      <c r="DB40" s="51">
        <f ca="1">DA40*F40</f>
        <v>0</v>
      </c>
      <c r="DC40" s="993">
        <v>1</v>
      </c>
      <c r="DD40" s="758" t="str">
        <f>IF(OR(D40=BG$12,D40=BG$13),"External",IF(D40=BG$14,"Internal"," "))</f>
        <v xml:space="preserve"> </v>
      </c>
      <c r="DE40" s="51" t="str">
        <f t="shared" ca="1" si="18"/>
        <v/>
      </c>
      <c r="DF40" s="52" t="str">
        <f t="shared" ca="1" si="19"/>
        <v xml:space="preserve"> </v>
      </c>
      <c r="DG40" s="51">
        <f ca="1">IF(F40&lt;OFFSET($BM$9,CN40-1,0,1,1),0,IF(F40&lt;OFFSET($BN$9,CN40-1,0,1,1),((F40-OFFSET($BM$9,CN40-1,0,1,1))*OFFSET($CH$9,CN40-1,0,1,1))+OFFSET($BO$9,CN40-1,CQ40,1,1),IF(F40&lt;OFFSET($BN$9,CN40+0,0,1,1),((F40-OFFSET($BM$9,CN40+0,0,1,1))*OFFSET($CH$9,CN40+0,0,1,1))+OFFSET($BO$9,CN40+0,CQ40,1,1),IF(F40&lt;OFFSET($BN$9,CN40+1,0,1,1),((F40-OFFSET($BM$9,CN40+1,0,1,1))*OFFSET($CH$9,CN40+1,0,1,1))+OFFSET($BO$9,CN40+1,CQ40,1,1),IF(F40&lt;OFFSET($BN$9,CN40+2,0,1,1),((F40-OFFSET($BM$9,CN40+2,0,1,1))*OFFSET($CH$9,CN40+2,0,1,1))+OFFSET($BO$9,CN40+2,CQ40,1,1),IF(F40&lt;OFFSET($BN$9,CN40+3,0,1,1),((F40-OFFSET($BM$9,CN40+3,0,1,1))*OFFSET($CH$9,CN40+3,0,1,1))+OFFSET($BO$9,CN40+3,CQ40,1,1),0))))))</f>
        <v>0</v>
      </c>
      <c r="DH40" s="51">
        <f ca="1">IF($F40&lt;OFFSET($BM$9,$CN40-1,0,1,1),0,IF($F40&lt;OFFSET($BN$9,$CN40-1,0,1,1),IF(AND($H40&gt;2.4,Z40&lt;&gt;"e",Z40&lt;&gt;"f"),DL40*2.4/$H40,DL40),IF($F40&lt;OFFSET($BN$9,$CN40+0,0,1,1),IF(AND($H40&gt;2.4,Z40&lt;&gt;"e",Z40&lt;&gt;"f"),DL40*2.4/$H40,DL40),IF($F40&lt;OFFSET($BN$9,$CN40+1,0,1,1),IF(AND($H40&gt;2.4,Z40&lt;&gt;"e",Z40&lt;&gt;"f"),DL40*2.4/$H40,DL40),IF($F40&lt;OFFSET($BN$9,$CN40+2,0,1,1),IF(AND($H40&gt;2.4,Z40&lt;&gt;"e",Z40&lt;&gt;"f"),DL40*2.4/$H40,DL40),IF($F40&lt;OFFSET($BN$9,$CN40+3,0,1,1),IF(AND($H40&gt;2.4,Z40&lt;&gt;"e",Z40&lt;&gt;"f"),DL40*2.4/$H40,DL40),0)))))*COS(RADIANS($G40)))</f>
        <v>0</v>
      </c>
      <c r="DI40" s="51">
        <f ca="1">IF(F40&lt;OFFSET($BM$9,CN40-1,0,1,1),0,IF(F40&lt;OFFSET($BN$9,CN40-1,0,1,1),((F40-OFFSET($BM$9,CN40-1,0,1,1))*OFFSET($CI$9,CN40-1,0,1,1))+OFFSET($BP$9,CN40-1,CQ40,1,1),IF(F40&lt;OFFSET($BN$9,CN40+0,0,1,1),((F40-OFFSET($BM$9,CN40+0,0,1,1))*OFFSET($CI$9,CN40+0,0,1,1))+OFFSET($BP$9,CN40+0,CQ40,1,1),IF(F40&lt;OFFSET($BN$9,CN40+1,0,1,1),((F40-OFFSET($BM$9,CN40+1,0,1,1))*OFFSET($CI$9,CN40+1,0,1,1))+OFFSET($BP$9,CN40+1,CQ40,1,1),IF(F40&lt;OFFSET($BN$9,CN40+2,0,1,1),((F40-OFFSET($BM$9,CN40+2,0,1,1))*OFFSET($CI$9,CN40+2,0,1,1))+OFFSET($BP$9,CN40+2,CQ40,1,1),IF(F40&lt;OFFSET($BN$9,CN40+3,0,1,1),((F40-OFFSET($BM$9,CN40+3,0,1,1))*OFFSET($CI$9,CN40+3,0,1,1))+OFFSET($BP$9,CN40+3,CQ40,1,1),0))))))</f>
        <v>0</v>
      </c>
      <c r="DJ40" s="51">
        <f ca="1">IF($F40&lt;OFFSET($BM$9,$CN40-1,0,1,1),0,IF($F40&lt;OFFSET($BN$9,$CN40-1,0,1,1),IF(AND($H40&gt;2.4,Z40&lt;&gt;"e",Z40&lt;&gt;"f"),DN40*2.4/$H40,DN40),IF($F40&lt;OFFSET($BN$9,$CN40+0,0,1,1),IF(AND($H40&gt;2.4,Z40&lt;&gt;"e",Z40&lt;&gt;"f"),DN40*2.4/$H40,DN40),IF($F40&lt;OFFSET($BN$9,$CN40+1,0,1,1),IF(AND($H40&gt;2.4,Z40&lt;&gt;"e",Z40&lt;&gt;"f"),DN40*2.4/$H40,DN40),IF($F40&lt;OFFSET($BN$9,$CN40+2,0,1,1),IF(AND($H40&gt;2.4,Z40&lt;&gt;"e",Z40&lt;&gt;"f"),DN40*2.4/$H40,DN40),IF($F40&lt;OFFSET($BN$9,$CN40+3,0,1,1),IF(AND($H40&gt;2.4,Z40&lt;&gt;"e",Z40&lt;&gt;"f"),DN40*2.4/$H40,DN40),0)))))*COS(RADIANS($G40)))</f>
        <v>0</v>
      </c>
      <c r="DK40" s="51"/>
      <c r="DL40" s="51">
        <f ca="1">IF(DG40&gt;$CR40,$CR40,DG40)</f>
        <v>0</v>
      </c>
      <c r="DM40" s="51"/>
      <c r="DN40" s="51">
        <f ca="1">IF(DI40&gt;$CR40,$CR40,DI40)</f>
        <v>0</v>
      </c>
      <c r="DO40" s="435">
        <f ca="1">IF(DH40&gt;$CR40,$CR40,DH40)</f>
        <v>0</v>
      </c>
      <c r="DP40" s="435">
        <f ca="1">DO40*F40</f>
        <v>0</v>
      </c>
      <c r="DQ40" s="436">
        <f ca="1">IF(DJ40&gt;$CR40,$CR40,DJ40)</f>
        <v>0</v>
      </c>
      <c r="DR40" s="437">
        <f ca="1">DQ40*F40</f>
        <v>0</v>
      </c>
      <c r="DS40" s="426">
        <f ca="1">OFFSET($CH$9,CL40-1,-15,1,1)</f>
        <v>0</v>
      </c>
      <c r="DT40" s="426">
        <f t="shared" ref="DT40:DT66" ca="1" si="32">VLOOKUP(DS40,Prodlink,2,0)</f>
        <v>0</v>
      </c>
      <c r="DU40" s="188">
        <f ca="1">IF(F40&lt;OFFSET($BM$9,DT40-1,0,1,1),0,IF(F40&lt;OFFSET($BN$9,DT40-1,0,1,1),((F40-OFFSET($BM$9,DT40-1,0,1,1))*OFFSET($CH$9,DT40-1,0,1,1))+OFFSET($BO$9,DT40-1,CQ40,1,1),IF(F40&lt;OFFSET($BN$9,DT40+0,0,1,1),((F40-OFFSET($BM$9,DT40+0,0,1,1))*OFFSET($CH$9,DT40+0,0,1,1))+OFFSET($BO$9,DT40+0,CQ40,1,1),IF(F40&lt;OFFSET($BN$9,DT40+1,0,1,1),((F40-OFFSET($BM$9,DT40+1,0,1,1))*OFFSET($CH$9,DT40+1,0,1,1))+OFFSET($BO$9,DT40+1,CQ40,1,1),IF(F40&lt;OFFSET($BN$9,DT40+2,0,1,1),((F40-OFFSET($BM$9,DT40+2,0,1,1))*OFFSET($CH$9,DT40+2,0,1,1))+OFFSET($BO$9,DT40+2,CQ40,1,1),IF(F40&lt;OFFSET($BN$9,DT40+3,0,1,1),((F40-OFFSET($BM$9,DT40+3,0,1,1))*OFFSET($CH$9,DT40+3,0,1,1))+OFFSET($BO$9,DT40+3,CQ40,1,1),0))))))</f>
        <v>0</v>
      </c>
      <c r="DV40" s="51">
        <f ca="1">IF($F40&lt;OFFSET($BM$9,$DT40-1,0,1,1),0,IF($F40&lt;OFFSET($BN$9,$DT40-1,0,1,1),IF(AND($H40&gt;2.4,Z40&lt;&gt;"e",Z40&lt;&gt;"f"),DZ40*2.4/$H40,DZ40),IF($F40&lt;OFFSET($BN$9,$DT40+0,0,1,1),IF(AND($H40&gt;2.4,Z40&lt;&gt;"e",Z40&lt;&gt;"f"),DZ40*2.4/$H40,DZ40),IF($F40&lt;OFFSET($BN$9,$DT40+1,0,1,1),IF(AND($H40&gt;2.4,Z40&lt;&gt;"e",Z40&lt;&gt;"f"),DZ40*2.4/$H40,DZ40),IF($F40&lt;OFFSET($BN$9,$DT40+2,0,1,1),IF(AND($H40&gt;2.4,Z40&lt;&gt;"e",Z40&lt;&gt;"f"),DZ40*2.4/$H40,DZ40),IF($F40&lt;OFFSET($BN$9,$DT40+3,0,1,1),IF(AND($H40&gt;2.4,Z40&lt;&gt;"e",Z40&lt;&gt;"f"),DZ40*2.4/$H40,DZ40),0)))))*COS(RADIANS($G40)))</f>
        <v>0</v>
      </c>
      <c r="DW40" s="188">
        <f ca="1">IF(F40&lt;OFFSET($BM$9,DT40-1,0,1,1),0,IF(F40&lt;OFFSET($BN$9,DT40-1,0,1,1),((F40-OFFSET($BM$9,DT40-1,0,1,1))*OFFSET($CI$9,DT40-1,0,1,1))+OFFSET($BP$9,DT40-1,CQ40,1,1),IF(F40&lt;OFFSET($BN$9,DT40+0,0,1,1),((F40-OFFSET($BM$9,DT40+0,0,1,1))*OFFSET($CI$9,DT40+0,0,1,1))+OFFSET($BP$9,DT40+0,CQ40,1,1),IF(F40&lt;OFFSET($BN$9,DT40+1,0,1,1),((F40-OFFSET($BM$9,DT40+1,0,1,1))*OFFSET($CI$9,DT40+1,0,1,1))+OFFSET($BP$9,DT40+1,CQ40,1,1),IF(F40&lt;OFFSET($BN$9,DT40+2,0,1,1),((F40-OFFSET($BM$9,DT40+2,0,1,1))*OFFSET($CI$9,DT40+2,0,1,1))+OFFSET($BP$9,DT40+2,CQ40,1,1),IF(F40&lt;OFFSET($BN$9,DT40+3,0,1,1),((F40-OFFSET($BM$9,DT40+3,0,1,1))*OFFSET($CI$9,DT40+3,0,1,1))+OFFSET($BP$9,DT40+3,CQ40,1,1),0))))))</f>
        <v>0</v>
      </c>
      <c r="DX40" s="51">
        <f ca="1">IF($F40&lt;OFFSET($BM$9,$DT40-1,0,1,1),0,IF($F40&lt;OFFSET($BN$9,$DT40-1,0,1,1),IF(AND($H40&gt;2.4,Z40&lt;&gt;"e",Z40&lt;&gt;"f"),EB40*2.4/$H40,EB40),IF($F40&lt;OFFSET($BN$9,$DT40+0,0,1,1),IF(AND($H40&gt;2.4,Z40&lt;&gt;"e",Z40&lt;&gt;"f"),EB40*2.4/$H40,EB40),IF($F40&lt;OFFSET($BN$9,$DT40+1,0,1,1),IF(AND($H40&gt;2.4,Z40&lt;&gt;"e",Z40&lt;&gt;"f"),EB40*2.4/$H40,EB40),IF($F40&lt;OFFSET($BN$9,$DT40+2,0,1,1),IF(AND($H40&gt;2.4,Z40&lt;&gt;"e",Z40&lt;&gt;"f"),EB40*2.4/$H40,EB40),IF($F40&lt;OFFSET($BN$9,$DT40+3,0,1,1),IF(AND($H40&gt;2.4,Z40&lt;&gt;"e",Z40&lt;&gt;"f"),EB40*2.4/$H40,EB40),0)))))*COS(RADIANS($G40)))</f>
        <v>0</v>
      </c>
      <c r="DY40" s="188"/>
      <c r="DZ40" s="188">
        <f ca="1">IF(DU40&gt;$CR40,$CR40,DU40)</f>
        <v>0</v>
      </c>
      <c r="EA40" s="188"/>
      <c r="EB40" s="188">
        <f ca="1">IF(DW40&gt;$CR40,$CR40,DW40)</f>
        <v>0</v>
      </c>
      <c r="EC40" s="435">
        <f ca="1">IF(DV40&gt;$CR40,$CR40,DV40)</f>
        <v>0</v>
      </c>
      <c r="ED40" s="435">
        <f ca="1">EC40*F40</f>
        <v>0</v>
      </c>
      <c r="EE40" s="436">
        <f ca="1">IF(DX40&gt;$CR40,$CR40,DX40)</f>
        <v>0</v>
      </c>
      <c r="EF40" s="437">
        <f ca="1">EE40*F40</f>
        <v>0</v>
      </c>
      <c r="EG40" s="613" t="str">
        <f>IF(D40=BG$12,BG$12,"")</f>
        <v/>
      </c>
      <c r="EH40" s="614" t="str">
        <f>IF(D40=BG$13,BG$13,"")</f>
        <v/>
      </c>
      <c r="EI40" s="611">
        <f>IF(EG40=BG$12,M40,0)</f>
        <v>0</v>
      </c>
      <c r="EJ40" s="451">
        <f>IF(EG40=BG$12,O40,0)</f>
        <v>0</v>
      </c>
      <c r="EK40" s="451">
        <f>IF(EH40=BG$13,M40,0)</f>
        <v>0</v>
      </c>
      <c r="EL40" s="612">
        <f>IF(EH40=BG$13,O40,0)</f>
        <v>0</v>
      </c>
      <c r="EM40" s="426" t="str">
        <f ca="1">IF(AND(Z40&lt;&gt;"t",Z40&lt;&gt;"f"),"",IF(AND(EN40=$BH$11,K40&lt;&gt;EN40),EM$4,IF(AND(EN40=$BH$12,K40=$BH$13),EM$4,IF(AND(EN40=$BH$12,K40=$BH$14),EM$4,IF(AND(EN40=$BH$13,K40=$BH$14),$EM$4,IF(EN40=$BH$14,$EM$4,""))))))</f>
        <v/>
      </c>
      <c r="EN40" s="489" t="str">
        <f>BG$24</f>
        <v>No Floor</v>
      </c>
      <c r="EO40" s="426" t="str">
        <f>K40</f>
        <v xml:space="preserve"> </v>
      </c>
      <c r="EP40" s="497" t="str">
        <f ca="1">IF(AND(Z40&lt;&gt;"t",Z40&lt;&gt;"f"),"",IF(AND(EN40=$BH$14,K40&lt;&gt;EN40),EP$4,IF(AND(EN40=$BH$13,K40=$BH$12),EP$4,IF(AND(EN40=$BH$13,K40=$BH$11),EP$4,IF(AND(EN40=$BH$12,K40=$BH$11),$EP$4,IF(EN40=$BH$11,"Earth",""))))))</f>
        <v/>
      </c>
      <c r="EQ40" s="430" t="str">
        <f ca="1">IF(Z40&lt;&gt;"t","",IF(EQ$5=2,IF(K40&lt;&gt;BH$11,EQ$7," ")))</f>
        <v/>
      </c>
      <c r="ER40" s="439" t="str">
        <f ca="1">IF(H40=0," ",H40)</f>
        <v xml:space="preserve"> </v>
      </c>
      <c r="ES40" s="440" t="str">
        <f ca="1">IF(ER40&lt;&gt;" ",IF(ER40&lt;&gt;ER$7,"Changed",""),"")</f>
        <v/>
      </c>
      <c r="ET40" s="440">
        <f t="shared" ca="1" si="20"/>
        <v>0</v>
      </c>
      <c r="EU40" s="426" t="str">
        <f ca="1">IF(I40=" "," ",IF(F40&lt;OFFSET($BM$9,CL40-1,0,1,1),1,""))</f>
        <v xml:space="preserve"> </v>
      </c>
      <c r="EW40" s="427"/>
      <c r="EY40" s="421"/>
    </row>
    <row r="41" spans="1:155" ht="17.100000000000001" customHeight="1" thickBot="1">
      <c r="B41" s="689" t="s">
        <v>246</v>
      </c>
      <c r="C41" s="684" t="str">
        <f>IF(OR(F41=0,I41="",I41=" ")," ",$V41)</f>
        <v xml:space="preserve"> </v>
      </c>
      <c r="D41" s="1033"/>
      <c r="E41" s="1360"/>
      <c r="F41" s="202"/>
      <c r="G41" s="1416"/>
      <c r="H41" s="1417" t="str">
        <f ca="1">IF(OR(F41=0,Z41="E",Z41="f")," ",'Project Demand'!E$55)</f>
        <v xml:space="preserve"> </v>
      </c>
      <c r="I41" s="631" t="str">
        <f>IF($I$6&lt;&gt;$BG$8," ",AB41)</f>
        <v xml:space="preserve"> </v>
      </c>
      <c r="J41" s="44" t="str">
        <f ca="1">IF(OR(I41=" ",I41="")," ",OFFSET($BO$9,CL41-1,0-4,1,1))</f>
        <v xml:space="preserve"> </v>
      </c>
      <c r="K41" s="55" t="str">
        <f>IF(OR(I41=" ",I41="")," ",IF(OR(Z41="e",Z41="h"),"SD",IF(BG$24=BH$11,BH$13,BG$24)))</f>
        <v xml:space="preserve"> </v>
      </c>
      <c r="L41" s="49">
        <f ca="1">CW41</f>
        <v>0</v>
      </c>
      <c r="M41" s="49">
        <f ca="1">CY41</f>
        <v>0</v>
      </c>
      <c r="N41" s="50">
        <f t="shared" ca="1" si="30"/>
        <v>0</v>
      </c>
      <c r="O41" s="126">
        <f t="shared" ca="1" si="30"/>
        <v>0</v>
      </c>
      <c r="P41" s="140"/>
      <c r="Q41" s="752" t="str">
        <f ca="1">IF(AND(OR(Z41="t",Z41="f"),K41=$BH$11),"No Floor!  Change Floor Type",IF(OR(I41=" ",I41="")," ",IF(F41&lt;OFFSET($BM$9,CL41-1,0,1,1),"check L(m)",DE41&amp;IF(AND(DP41&gt;=CY41,DR41&gt;=DB41),IF(AND(ED41&gt;=DP41,EF41&gt;=DR41),CONCATENATE(DS41," will provide same result"),CONCATENATE(CO41," will provide same result")),IF((DP41&gt;=CY41),CONCATENATE(CO41," provides same result in WIND"),IF((DR41&gt;=DB41),CONCATENATE(CO41," provides same result in EQ"),""))))))&amp;IF(ISERROR(FIND("pile",I41,1)),"",IF(INT(F41)&lt;&gt;F41,"Pile!  Use Whole Numbers Only",""))</f>
        <v xml:space="preserve"> </v>
      </c>
      <c r="R41" s="52"/>
      <c r="S41" s="1372"/>
      <c r="T41" s="1372"/>
      <c r="U41" s="1377"/>
      <c r="V41" s="52" t="str">
        <f ca="1">IF(AND(B$5=$BF$9,OR(I41=BH$16,I41=BH$17))," ",IF(ISNUMBER(B$38),(CONCATENATE(B$38,".",W41)),(CONCATENATE(B$38,W41))))</f>
        <v>F0</v>
      </c>
      <c r="W41" s="9">
        <f ca="1">W40+X41</f>
        <v>0</v>
      </c>
      <c r="X41" s="9">
        <f>IF(AND(B$5=$BF$9,OR($I41=$BH$16,$I41=$BH$17,$I41=" ",$I41="",$F41=0)),0,IF(OR($I41=" ",$I41="",$F41=0),0,1))</f>
        <v>0</v>
      </c>
      <c r="Y41" s="896"/>
      <c r="Z41" s="52" t="str">
        <f ca="1">IF(I41=" "," ",OFFSET($BM$9,$CL41-1,8,1,1))</f>
        <v xml:space="preserve"> </v>
      </c>
      <c r="AA41" s="51" t="str">
        <f>IF(G41&gt;=45,"WA","")</f>
        <v/>
      </c>
      <c r="AB41" s="1364" t="str">
        <f>IF(OR(E41=" ",E41="")," ",(IF(F41&lt;&gt;"",IF(OR(D41=$BG$12,D41=$BG$13),IF(E41&lt;&gt;$BG$17,$BF$20,$BF$21),IF(E41&lt;&gt;$BG$17,$BF$20,$BF$21))," ")))</f>
        <v xml:space="preserve"> </v>
      </c>
      <c r="AC41" s="1"/>
      <c r="AJ41" s="2"/>
      <c r="AM41" s="4"/>
      <c r="AN41" s="4"/>
      <c r="AO41" s="4"/>
      <c r="AP41" s="4"/>
      <c r="AQ41" s="4"/>
      <c r="AR41" s="10"/>
      <c r="AS41" s="10"/>
      <c r="AT41" s="4"/>
      <c r="AU41" s="119"/>
      <c r="AV41" s="119"/>
      <c r="AW41" s="119"/>
      <c r="AX41" s="119"/>
      <c r="AY41" s="119"/>
      <c r="AZ41" s="119"/>
      <c r="BA41" s="119"/>
      <c r="BB41" s="119"/>
      <c r="BC41" s="119"/>
      <c r="BD41" s="641"/>
      <c r="BF41" s="599" t="str">
        <f>'Custom Elements'!C17</f>
        <v>Custom9</v>
      </c>
      <c r="BI41" s="759"/>
      <c r="BJ41" s="897">
        <f t="shared" ref="BJ41:BJ81" si="33">BJ40+1</f>
        <v>33</v>
      </c>
      <c r="BK41" s="1222" t="str">
        <f>BK50</f>
        <v xml:space="preserve">EPB </v>
      </c>
      <c r="BL41" s="1181" t="str">
        <f>Table!I4</f>
        <v>ER1</v>
      </c>
      <c r="BM41" s="454">
        <f>Table!J4</f>
        <v>0.4</v>
      </c>
      <c r="BN41" s="454">
        <f>BM42</f>
        <v>1</v>
      </c>
      <c r="BO41" s="454">
        <f>Table!K4</f>
        <v>40</v>
      </c>
      <c r="BP41" s="924">
        <f>Table!L4</f>
        <v>30</v>
      </c>
      <c r="BQ41" s="920"/>
      <c r="BR41" s="768" t="str">
        <f>Table!M4</f>
        <v xml:space="preserve"> </v>
      </c>
      <c r="BS41" s="454" t="str">
        <f>Table!M5</f>
        <v xml:space="preserve"> </v>
      </c>
      <c r="BT41" s="454" t="str">
        <f>Table!N4</f>
        <v>B</v>
      </c>
      <c r="BU41" s="924" t="s">
        <v>242</v>
      </c>
      <c r="BV41" s="1230" t="str">
        <f>Table!AI72</f>
        <v>ER1</v>
      </c>
      <c r="BW41" s="1229">
        <f>BJ41</f>
        <v>33</v>
      </c>
      <c r="BX41" s="924" t="str">
        <f>Table!N5</f>
        <v>Single</v>
      </c>
      <c r="CH41" s="768">
        <f>IF(BN41=999,0,(BO42-BO41)/(BN41-BM41))</f>
        <v>0</v>
      </c>
      <c r="CI41" s="924">
        <f>IF(BN41=999,0,(BP42-BP41)/(BN41-BM41))</f>
        <v>0</v>
      </c>
      <c r="CJ41" s="759"/>
      <c r="CK41" s="188"/>
      <c r="CL41" s="979">
        <f>VLOOKUP(I41,Prodlink,2,0)</f>
        <v>0</v>
      </c>
      <c r="CN41" s="497">
        <f t="shared" ca="1" si="31"/>
        <v>0</v>
      </c>
      <c r="CO41" s="497">
        <f ca="1">OFFSET($CH$9,CL41-1,-15,1,1)</f>
        <v>0</v>
      </c>
      <c r="CQ41" s="51">
        <v>0</v>
      </c>
      <c r="CR41" s="51">
        <f ca="1">IF(AND(Z41&lt;&gt;"t",Z41&lt;&gt;"f"),10000,IF(K41=$BH$11,0,IF(K41=$BH$12,$BH$23,IF(K41=$BH$13,$BH$24,10000))))</f>
        <v>10000</v>
      </c>
      <c r="CS41" s="51">
        <f ca="1">IF(F41&lt;OFFSET($BM$9,CL41-1,0,1,1),0,IF(F41&lt;OFFSET($BN$9,CL41-1,0,1,1),((F41-OFFSET($BM$9,CL41-1,0,1,1))*OFFSET($CH$9,CL41-1,0,1,1))+OFFSET($BO$9,CL41-1,CQ41,1,1),IF(F41&lt;OFFSET($BN$9,CL41+0,0,1,1),((F41-OFFSET($BM$9,CL41+0,0,1,1))*OFFSET($CH$9,CL41+0,0,1,1))+OFFSET($BO$9,CL41+0,CQ41,1,1),IF(F41&lt;OFFSET($BN$9,CL41+1,0,1,1),((F41-OFFSET($BM$9,CL41+1,0,1,1))*OFFSET($CH$9,CL41+1,0,1,1))+OFFSET($BO$9,CL41+1,CQ41,1,1),IF(F41&lt;OFFSET($BN$9,CL41+2,0,1,1),((F41-OFFSET($BM$9,CL41+2,0,1,1))*OFFSET($CH$9,CL41+2,0,1,1))+OFFSET($BO$9,CL41+2,CQ41,1,1),IF(F41&lt;OFFSET($BN$9,CL41+3,0,1,1),((F41-OFFSET($BM$9,CL41+3,0,1,1))*OFFSET($CH$9,CL41+3,0,1,1))+OFFSET($BO$9,CL41+3,CQ41,1,1),0))))))</f>
        <v>0</v>
      </c>
      <c r="CT41" s="51">
        <f ca="1">IF($F41&lt;OFFSET($BM$9,$CL41-1,0,1,1),0,IF($F41&lt;OFFSET($BN$9,$CL41-1,0,1,1),IF(AND($H41&gt;2.4,Z41&lt;&gt;"e",Z41&lt;&gt;"f"),CX41*2.4/$H41,CX41),IF($F41&lt;OFFSET($BN$9,$CL41+0,0,1,1),IF(AND($H41&gt;2.4,Z41&lt;&gt;"e",Z41&lt;&gt;"f"),CX41*2.4/$H41,CX41),IF($F41&lt;OFFSET($BN$9,$CL41+1,0,1,1),IF(AND($H41&gt;2.4,Z41&lt;&gt;"e",Z41&lt;&gt;"f"),CX41*2.4/$H41,CX41),IF($F41&lt;OFFSET($BN$9,CL41+2,0,1,1),IF(AND($H41&gt;2.4,Z41&lt;&gt;"e",Z41&lt;&gt;"f"),CX41*2.4/$H41,CX41),IF($F41&lt;OFFSET($BN$9,CL41+3,0,1,1),IF(AND($H41&gt;2.4,Z41&lt;&gt;"e",Z41&lt;&gt;"f"),CX41*2.4/$H41,CX41),0)))))*COS(RADIANS($G41)))</f>
        <v>0</v>
      </c>
      <c r="CU41" s="51">
        <f ca="1">IF(F41&lt;OFFSET($BM$9,CL41-1,0,1,1),0,IF(F41&lt;OFFSET($BN$9,CL41-1,0,1,1),((F41-OFFSET($BM$9,CL41-1,0,1,1))*OFFSET($CI$9,CL41-1,0,1,1))+OFFSET($BP$9,CL41-1,CQ41,1,1),IF(F41&lt;OFFSET($BN$9,CL41+0,0,1,1),((F41-OFFSET($BM$9,CL41+0,0,1,1))*OFFSET($CI$9,CL41+0,0,1,1))+OFFSET($BP$9,CL41+0,CQ41,1,1),IF(F41&lt;OFFSET($BN$9,CL41+1,0,1,1),((F41-OFFSET($BM$9,CL41+1,0,1,1))*OFFSET($CI$9,CL41+1,0,1,1))+OFFSET($BP$9,CL41+1,CQ41,1,1),IF(F41&lt;OFFSET($BN$9,CL41+2,0,1,1),((F41-OFFSET($BM$9,CL41+2,0,1,1))*OFFSET($CI$9,CL41+2,0,1,1))+OFFSET($BP$9,CL41+2,CQ41,1,1),IF(F41&lt;OFFSET($BN$9,CL41+3,0,1,1),((F41-OFFSET($BM$9,CL41+3,0,1,1))*OFFSET($CI$9,CL41+3,0,1,1))+OFFSET($BP$9,CL41+3,CQ41,1,1),0))))))</f>
        <v>0</v>
      </c>
      <c r="CV41" s="51">
        <f ca="1">IF($F41&lt;OFFSET($BM$9,$CL41-1,0,1,1),0,IF($F41&lt;OFFSET($BN$9,$CL41-1,0,1,1),IF(AND($H41&gt;2.4,Z41&lt;&gt;"e",Z41&lt;&gt;"f"),CZ41*2.4/$H41,CZ41),IF($F41&lt;OFFSET($BN$9,$CL41+0,0,1,1),IF(AND($H41&gt;2.4,Z41&lt;&gt;"e",Z41&lt;&gt;"f"),CZ41*2.4/$H41,CZ41),IF($F41&lt;OFFSET($BN$9,$CL41+1,0,1,1),IF(AND($H41&gt;2.4,Z41&lt;&gt;"e",Z41&lt;&gt;"f"),CZ41*2.4/$H41,CZ41),IF($F41&lt;OFFSET($BN$9,$CL41+2,0,1,1),IF(AND($H41&gt;2.4,Z41&lt;&gt;"e",Z41&lt;&gt;"f"),CZ41*2.4/$H41,CZ41),IF($F41&lt;OFFSET($BN$9,$CL41+3,0,1,1),IF(AND($H41&gt;2.4,Z41&lt;&gt;"e",Z41&lt;&gt;"f"),CZ41*2.4/$H41,CZ41),0)))))*COS(RADIANS($G41)))</f>
        <v>0</v>
      </c>
      <c r="CW41" s="51">
        <f t="shared" ca="1" si="17"/>
        <v>0</v>
      </c>
      <c r="CX41" s="51">
        <f ca="1">IF(CS41&gt;$CR41,$CR41,CS41)</f>
        <v>0</v>
      </c>
      <c r="CY41" s="51">
        <f ca="1">CW41*F41</f>
        <v>0</v>
      </c>
      <c r="CZ41" s="51">
        <f ca="1">IF($CU41&gt;$CR41,$CR41,$CU41)</f>
        <v>0</v>
      </c>
      <c r="DA41" s="51">
        <f ca="1">IF(CV41&gt;CR41,CR41,CV41)</f>
        <v>0</v>
      </c>
      <c r="DB41" s="51">
        <f ca="1">DA41*F41</f>
        <v>0</v>
      </c>
      <c r="DC41" s="993">
        <v>1</v>
      </c>
      <c r="DD41" s="758" t="str">
        <f>IF(OR(D41=BG$12,D41=BG$13),"External",IF(D41=BG$14,"Internal"," "))</f>
        <v xml:space="preserve"> </v>
      </c>
      <c r="DE41" s="51" t="str">
        <f t="shared" ca="1" si="18"/>
        <v/>
      </c>
      <c r="DF41" s="52" t="str">
        <f t="shared" ca="1" si="19"/>
        <v xml:space="preserve"> </v>
      </c>
      <c r="DG41" s="51">
        <f ca="1">IF(F41&lt;OFFSET($BM$9,CN41-1,0,1,1),0,IF(F41&lt;OFFSET($BN$9,CN41-1,0,1,1),((F41-OFFSET($BM$9,CN41-1,0,1,1))*OFFSET($CH$9,CN41-1,0,1,1))+OFFSET($BO$9,CN41-1,CQ41,1,1),IF(F41&lt;OFFSET($BN$9,CN41+0,0,1,1),((F41-OFFSET($BM$9,CN41+0,0,1,1))*OFFSET($CH$9,CN41+0,0,1,1))+OFFSET($BO$9,CN41+0,CQ41,1,1),IF(F41&lt;OFFSET($BN$9,CN41+1,0,1,1),((F41-OFFSET($BM$9,CN41+1,0,1,1))*OFFSET($CH$9,CN41+1,0,1,1))+OFFSET($BO$9,CN41+1,CQ41,1,1),IF(F41&lt;OFFSET($BN$9,CN41+2,0,1,1),((F41-OFFSET($BM$9,CN41+2,0,1,1))*OFFSET($CH$9,CN41+2,0,1,1))+OFFSET($BO$9,CN41+2,CQ41,1,1),IF(F41&lt;OFFSET($BN$9,CN41+3,0,1,1),((F41-OFFSET($BM$9,CN41+3,0,1,1))*OFFSET($CH$9,CN41+3,0,1,1))+OFFSET($BO$9,CN41+3,CQ41,1,1),0))))))</f>
        <v>0</v>
      </c>
      <c r="DH41" s="51">
        <f ca="1">IF($F41&lt;OFFSET($BM$9,$CN41-1,0,1,1),0,IF($F41&lt;OFFSET($BN$9,$CN41-1,0,1,1),IF(AND($H41&gt;2.4,Z41&lt;&gt;"e",Z41&lt;&gt;"f"),DL41*2.4/$H41,DL41),IF($F41&lt;OFFSET($BN$9,$CN41+0,0,1,1),IF(AND($H41&gt;2.4,Z41&lt;&gt;"e",Z41&lt;&gt;"f"),DL41*2.4/$H41,DL41),IF($F41&lt;OFFSET($BN$9,$CN41+1,0,1,1),IF(AND($H41&gt;2.4,Z41&lt;&gt;"e",Z41&lt;&gt;"f"),DL41*2.4/$H41,DL41),IF($F41&lt;OFFSET($BN$9,$CN41+2,0,1,1),IF(AND($H41&gt;2.4,Z41&lt;&gt;"e",Z41&lt;&gt;"f"),DL41*2.4/$H41,DL41),IF($F41&lt;OFFSET($BN$9,$CN41+3,0,1,1),IF(AND($H41&gt;2.4,Z41&lt;&gt;"e",Z41&lt;&gt;"f"),DL41*2.4/$H41,DL41),0)))))*COS(RADIANS($G41)))</f>
        <v>0</v>
      </c>
      <c r="DI41" s="51">
        <f ca="1">IF(F41&lt;OFFSET($BM$9,CN41-1,0,1,1),0,IF(F41&lt;OFFSET($BN$9,CN41-1,0,1,1),((F41-OFFSET($BM$9,CN41-1,0,1,1))*OFFSET($CI$9,CN41-1,0,1,1))+OFFSET($BP$9,CN41-1,CQ41,1,1),IF(F41&lt;OFFSET($BN$9,CN41+0,0,1,1),((F41-OFFSET($BM$9,CN41+0,0,1,1))*OFFSET($CI$9,CN41+0,0,1,1))+OFFSET($BP$9,CN41+0,CQ41,1,1),IF(F41&lt;OFFSET($BN$9,CN41+1,0,1,1),((F41-OFFSET($BM$9,CN41+1,0,1,1))*OFFSET($CI$9,CN41+1,0,1,1))+OFFSET($BP$9,CN41+1,CQ41,1,1),IF(F41&lt;OFFSET($BN$9,CN41+2,0,1,1),((F41-OFFSET($BM$9,CN41+2,0,1,1))*OFFSET($CI$9,CN41+2,0,1,1))+OFFSET($BP$9,CN41+2,CQ41,1,1),IF(F41&lt;OFFSET($BN$9,CN41+3,0,1,1),((F41-OFFSET($BM$9,CN41+3,0,1,1))*OFFSET($CI$9,CN41+3,0,1,1))+OFFSET($BP$9,CN41+3,CQ41,1,1),0))))))</f>
        <v>0</v>
      </c>
      <c r="DJ41" s="51">
        <f ca="1">IF($F41&lt;OFFSET($BM$9,$CN41-1,0,1,1),0,IF($F41&lt;OFFSET($BN$9,$CN41-1,0,1,1),IF(AND($H41&gt;2.4,Z41&lt;&gt;"e",Z41&lt;&gt;"f"),DN41*2.4/$H41,DN41),IF($F41&lt;OFFSET($BN$9,$CN41+0,0,1,1),IF(AND($H41&gt;2.4,Z41&lt;&gt;"e",Z41&lt;&gt;"f"),DN41*2.4/$H41,DN41),IF($F41&lt;OFFSET($BN$9,$CN41+1,0,1,1),IF(AND($H41&gt;2.4,Z41&lt;&gt;"e",Z41&lt;&gt;"f"),DN41*2.4/$H41,DN41),IF($F41&lt;OFFSET($BN$9,$CN41+2,0,1,1),IF(AND($H41&gt;2.4,Z41&lt;&gt;"e",Z41&lt;&gt;"f"),DN41*2.4/$H41,DN41),IF($F41&lt;OFFSET($BN$9,$CN41+3,0,1,1),IF(AND($H41&gt;2.4,Z41&lt;&gt;"e",Z41&lt;&gt;"f"),DN41*2.4/$H41,DN41),0)))))*COS(RADIANS($G41)))</f>
        <v>0</v>
      </c>
      <c r="DK41" s="51"/>
      <c r="DL41" s="51">
        <f ca="1">IF(DG41&gt;$CR41,$CR41,DG41)</f>
        <v>0</v>
      </c>
      <c r="DM41" s="51"/>
      <c r="DN41" s="51">
        <f ca="1">IF(DI41&gt;$CR41,$CR41,DI41)</f>
        <v>0</v>
      </c>
      <c r="DO41" s="435">
        <f ca="1">IF(DH41&gt;$CR41,$CR41,DH41)</f>
        <v>0</v>
      </c>
      <c r="DP41" s="435">
        <f ca="1">DO41*F41</f>
        <v>0</v>
      </c>
      <c r="DQ41" s="436">
        <f ca="1">IF(DJ41&gt;$CR41,$CR41,DJ41)</f>
        <v>0</v>
      </c>
      <c r="DR41" s="437">
        <f ca="1">DQ41*F41</f>
        <v>0</v>
      </c>
      <c r="DS41" s="426">
        <f ca="1">OFFSET($CH$9,CL41-1,-15,1,1)</f>
        <v>0</v>
      </c>
      <c r="DT41" s="426">
        <f t="shared" ca="1" si="32"/>
        <v>0</v>
      </c>
      <c r="DU41" s="188">
        <f ca="1">IF(F41&lt;OFFSET($BM$9,DT41-1,0,1,1),0,IF(F41&lt;OFFSET($BN$9,DT41-1,0,1,1),((F41-OFFSET($BM$9,DT41-1,0,1,1))*OFFSET($CH$9,DT41-1,0,1,1))+OFFSET($BO$9,DT41-1,CQ41,1,1),IF(F41&lt;OFFSET($BN$9,DT41+0,0,1,1),((F41-OFFSET($BM$9,DT41+0,0,1,1))*OFFSET($CH$9,DT41+0,0,1,1))+OFFSET($BO$9,DT41+0,CQ41,1,1),IF(F41&lt;OFFSET($BN$9,DT41+1,0,1,1),((F41-OFFSET($BM$9,DT41+1,0,1,1))*OFFSET($CH$9,DT41+1,0,1,1))+OFFSET($BO$9,DT41+1,CQ41,1,1),IF(F41&lt;OFFSET($BN$9,DT41+2,0,1,1),((F41-OFFSET($BM$9,DT41+2,0,1,1))*OFFSET($CH$9,DT41+2,0,1,1))+OFFSET($BO$9,DT41+2,CQ41,1,1),IF(F41&lt;OFFSET($BN$9,DT41+3,0,1,1),((F41-OFFSET($BM$9,DT41+3,0,1,1))*OFFSET($CH$9,DT41+3,0,1,1))+OFFSET($BO$9,DT41+3,CQ41,1,1),0))))))</f>
        <v>0</v>
      </c>
      <c r="DV41" s="51">
        <f ca="1">IF($F41&lt;OFFSET($BM$9,$DT41-1,0,1,1),0,IF($F41&lt;OFFSET($BN$9,$DT41-1,0,1,1),IF(AND($H41&gt;2.4,Z41&lt;&gt;"e",Z41&lt;&gt;"f"),DZ41*2.4/$H41,DZ41),IF($F41&lt;OFFSET($BN$9,$DT41+0,0,1,1),IF(AND($H41&gt;2.4,Z41&lt;&gt;"e",Z41&lt;&gt;"f"),DZ41*2.4/$H41,DZ41),IF($F41&lt;OFFSET($BN$9,$DT41+1,0,1,1),IF(AND($H41&gt;2.4,Z41&lt;&gt;"e",Z41&lt;&gt;"f"),DZ41*2.4/$H41,DZ41),IF($F41&lt;OFFSET($BN$9,$DT41+2,0,1,1),IF(AND($H41&gt;2.4,Z41&lt;&gt;"e",Z41&lt;&gt;"f"),DZ41*2.4/$H41,DZ41),IF($F41&lt;OFFSET($BN$9,$DT41+3,0,1,1),IF(AND($H41&gt;2.4,Z41&lt;&gt;"e",Z41&lt;&gt;"f"),DZ41*2.4/$H41,DZ41),0)))))*COS(RADIANS($G41)))</f>
        <v>0</v>
      </c>
      <c r="DW41" s="188">
        <f ca="1">IF(F41&lt;OFFSET($BM$9,DT41-1,0,1,1),0,IF(F41&lt;OFFSET($BN$9,DT41-1,0,1,1),((F41-OFFSET($BM$9,DT41-1,0,1,1))*OFFSET($CI$9,DT41-1,0,1,1))+OFFSET($BP$9,DT41-1,CQ41,1,1),IF(F41&lt;OFFSET($BN$9,DT41+0,0,1,1),((F41-OFFSET($BM$9,DT41+0,0,1,1))*OFFSET($CI$9,DT41+0,0,1,1))+OFFSET($BP$9,DT41+0,CQ41,1,1),IF(F41&lt;OFFSET($BN$9,DT41+1,0,1,1),((F41-OFFSET($BM$9,DT41+1,0,1,1))*OFFSET($CI$9,DT41+1,0,1,1))+OFFSET($BP$9,DT41+1,CQ41,1,1),IF(F41&lt;OFFSET($BN$9,DT41+2,0,1,1),((F41-OFFSET($BM$9,DT41+2,0,1,1))*OFFSET($CI$9,DT41+2,0,1,1))+OFFSET($BP$9,DT41+2,CQ41,1,1),IF(F41&lt;OFFSET($BN$9,DT41+3,0,1,1),((F41-OFFSET($BM$9,DT41+3,0,1,1))*OFFSET($CI$9,DT41+3,0,1,1))+OFFSET($BP$9,DT41+3,CQ41,1,1),0))))))</f>
        <v>0</v>
      </c>
      <c r="DX41" s="51">
        <f ca="1">IF($F41&lt;OFFSET($BM$9,$DT41-1,0,1,1),0,IF($F41&lt;OFFSET($BN$9,$DT41-1,0,1,1),IF(AND($H41&gt;2.4,Z41&lt;&gt;"e",Z41&lt;&gt;"f"),EB41*2.4/$H41,EB41),IF($F41&lt;OFFSET($BN$9,$DT41+0,0,1,1),IF(AND($H41&gt;2.4,Z41&lt;&gt;"e",Z41&lt;&gt;"f"),EB41*2.4/$H41,EB41),IF($F41&lt;OFFSET($BN$9,$DT41+1,0,1,1),IF(AND($H41&gt;2.4,Z41&lt;&gt;"e",Z41&lt;&gt;"f"),EB41*2.4/$H41,EB41),IF($F41&lt;OFFSET($BN$9,$DT41+2,0,1,1),IF(AND($H41&gt;2.4,Z41&lt;&gt;"e",Z41&lt;&gt;"f"),EB41*2.4/$H41,EB41),IF($F41&lt;OFFSET($BN$9,$DT41+3,0,1,1),IF(AND($H41&gt;2.4,Z41&lt;&gt;"e",Z41&lt;&gt;"f"),EB41*2.4/$H41,EB41),0)))))*COS(RADIANS($G41)))</f>
        <v>0</v>
      </c>
      <c r="DY41" s="188"/>
      <c r="DZ41" s="188">
        <f ca="1">IF(DU41&gt;$CR41,$CR41,DU41)</f>
        <v>0</v>
      </c>
      <c r="EA41" s="188"/>
      <c r="EB41" s="188">
        <f ca="1">IF(DW41&gt;$CR41,$CR41,DW41)</f>
        <v>0</v>
      </c>
      <c r="EC41" s="435">
        <f ca="1">IF(DV41&gt;$CR41,$CR41,DV41)</f>
        <v>0</v>
      </c>
      <c r="ED41" s="435">
        <f ca="1">EC41*F41</f>
        <v>0</v>
      </c>
      <c r="EE41" s="436">
        <f ca="1">IF(DX41&gt;$CR41,$CR41,DX41)</f>
        <v>0</v>
      </c>
      <c r="EF41" s="437">
        <f ca="1">EE41*F41</f>
        <v>0</v>
      </c>
      <c r="EG41" s="613" t="str">
        <f>IF(D41=BG$12,BG$12,"")</f>
        <v/>
      </c>
      <c r="EH41" s="614" t="str">
        <f>IF(D41=BG$13,BG$13,"")</f>
        <v/>
      </c>
      <c r="EI41" s="611">
        <f>IF(EG41=BG$12,M41,0)</f>
        <v>0</v>
      </c>
      <c r="EJ41" s="451">
        <f>IF(EG41=BG$12,O41,0)</f>
        <v>0</v>
      </c>
      <c r="EK41" s="451">
        <f>IF(EH41=BG$13,M41,0)</f>
        <v>0</v>
      </c>
      <c r="EL41" s="612">
        <f>IF(EH41=BG$13,O41,0)</f>
        <v>0</v>
      </c>
      <c r="EM41" s="426" t="str">
        <f ca="1">IF(AND(Z41&lt;&gt;"t",Z41&lt;&gt;"f"),"",IF(AND(EN41=$BH$11,K41&lt;&gt;EN41),EM$4,IF(AND(EN41=$BH$12,K41=$BH$13),EM$4,IF(AND(EN41=$BH$12,K41=$BH$14),EM$4,IF(AND(EN41=$BH$13,K41=$BH$14),$EM$4,IF(EN41=$BH$14,$EM$4,""))))))</f>
        <v/>
      </c>
      <c r="EN41" s="489" t="str">
        <f>BG$24</f>
        <v>No Floor</v>
      </c>
      <c r="EO41" s="426" t="str">
        <f>K41</f>
        <v xml:space="preserve"> </v>
      </c>
      <c r="EP41" s="497" t="str">
        <f ca="1">IF(AND(Z41&lt;&gt;"t",Z41&lt;&gt;"f"),"",IF(AND(EN41=$BH$14,K41&lt;&gt;EN41),EP$4,IF(AND(EN41=$BH$13,K41=$BH$12),EP$4,IF(AND(EN41=$BH$13,K41=$BH$11),EP$4,IF(AND(EN41=$BH$12,K41=$BH$11),$EP$4,IF(EN41=$BH$11,"Earth",""))))))</f>
        <v/>
      </c>
      <c r="EQ41" s="430" t="str">
        <f ca="1">IF(Z41&lt;&gt;"t","",IF(EQ$5=2,IF(K41&lt;&gt;BH$11,EQ$7," ")))</f>
        <v/>
      </c>
      <c r="ER41" s="439" t="str">
        <f ca="1">IF(H41=0," ",H41)</f>
        <v xml:space="preserve"> </v>
      </c>
      <c r="ES41" s="440" t="str">
        <f ca="1">IF(ER41&lt;&gt;" ",IF(ER41&lt;&gt;ER$7,"Changed",""),"")</f>
        <v/>
      </c>
      <c r="ET41" s="440">
        <f t="shared" ca="1" si="20"/>
        <v>0</v>
      </c>
      <c r="EU41" s="426" t="str">
        <f ca="1">IF(I41=" "," ",IF(F41&lt;OFFSET($BM$9,CL41-1,0,1,1),1,""))</f>
        <v xml:space="preserve"> </v>
      </c>
      <c r="EW41" s="427"/>
      <c r="EY41" s="421"/>
    </row>
    <row r="42" spans="1:155" ht="17.100000000000001" customHeight="1" thickBot="1">
      <c r="A42" s="2685" t="s">
        <v>929</v>
      </c>
      <c r="B42" s="689" t="s">
        <v>246</v>
      </c>
      <c r="C42" s="684" t="str">
        <f>IF(OR(F42=0,I42="",I42=" ")," ",$V42)</f>
        <v xml:space="preserve"> </v>
      </c>
      <c r="D42" s="1033"/>
      <c r="E42" s="1360"/>
      <c r="F42" s="202"/>
      <c r="G42" s="1416"/>
      <c r="H42" s="1417" t="str">
        <f ca="1">IF(OR(F42=0,Z42="E",Z42="f")," ",'Project Demand'!E$55)</f>
        <v xml:space="preserve"> </v>
      </c>
      <c r="I42" s="631" t="str">
        <f>IF($I$6&lt;&gt;$BG$8," ",AB42)</f>
        <v xml:space="preserve"> </v>
      </c>
      <c r="J42" s="44" t="str">
        <f ca="1">IF(OR(I42=" ",I42="")," ",OFFSET($BO$9,CL42-1,0-4,1,1))</f>
        <v xml:space="preserve"> </v>
      </c>
      <c r="K42" s="55" t="str">
        <f>IF(OR(I42=" ",I42="")," ",IF(OR(Z42="e",Z42="h"),"SD",IF(BG$24=BH$11,BH$13,BG$24)))</f>
        <v xml:space="preserve"> </v>
      </c>
      <c r="L42" s="49">
        <f ca="1">CW42</f>
        <v>0</v>
      </c>
      <c r="M42" s="49">
        <f ca="1">CY42</f>
        <v>0</v>
      </c>
      <c r="N42" s="50">
        <f t="shared" ca="1" si="30"/>
        <v>0</v>
      </c>
      <c r="O42" s="126">
        <f t="shared" ca="1" si="30"/>
        <v>0</v>
      </c>
      <c r="P42" s="140"/>
      <c r="Q42" s="752" t="str">
        <f ca="1">IF(AND(OR(Z42="t",Z42="f"),K42=$BH$11),"No Floor!  Change Floor Type",IF(OR(I42=" ",I42="")," ",IF(F42&lt;OFFSET($BM$9,CL42-1,0,1,1),"check L(m)",DE42&amp;IF(AND(DP42&gt;=CY42,DR42&gt;=DB42),IF(AND(ED42&gt;=DP42,EF42&gt;=DR42),CONCATENATE(DS42," will provide same result"),CONCATENATE(CO42," will provide same result")),IF((DP42&gt;=CY42),CONCATENATE(CO42," provides same result in WIND"),IF((DR42&gt;=DB42),CONCATENATE(CO42," provides same result in EQ"),""))))))&amp;IF(ISERROR(FIND("pile",I42,1)),"",IF(INT(F42)&lt;&gt;F42,"Pile!  Use Whole Numbers Only",""))</f>
        <v xml:space="preserve"> </v>
      </c>
      <c r="U42" s="1377"/>
      <c r="V42" s="52" t="str">
        <f ca="1">IF(AND(B$5=$BF$9,OR(I42=BH$16,I42=BH$17))," ",IF(ISNUMBER(B$38),(CONCATENATE(B$38,".",W42)),(CONCATENATE(B$38,W42))))</f>
        <v>F0</v>
      </c>
      <c r="W42" s="9">
        <f ca="1">W41+X42</f>
        <v>0</v>
      </c>
      <c r="X42" s="9">
        <f>IF(AND(B$5=$BF$9,OR($I42=$BH$16,$I42=$BH$17,$I42=" ",$I42="",$F42=0)),0,IF(OR($I42=" ",$I42="",$F42=0),0,1))</f>
        <v>0</v>
      </c>
      <c r="Y42" s="896"/>
      <c r="Z42" s="52" t="str">
        <f ca="1">IF(I42=" "," ",OFFSET($BM$9,$CL42-1,8,1,1))</f>
        <v xml:space="preserve"> </v>
      </c>
      <c r="AA42" s="51" t="str">
        <f>IF(G42&gt;=45,"WA","")</f>
        <v/>
      </c>
      <c r="AB42" s="1364" t="str">
        <f>IF(OR(E42=" ",E42="")," ",(IF(F42&lt;&gt;"",IF(OR(D42=$BG$12,D42=$BG$13),IF(E42&lt;&gt;$BG$17,$BF$20,$BF$21),IF(E42&lt;&gt;$BG$17,$BF$20,$BF$21))," ")))</f>
        <v xml:space="preserve"> </v>
      </c>
      <c r="AC42" s="1"/>
      <c r="AJ42" s="2"/>
      <c r="AM42" s="4"/>
      <c r="AN42" s="4"/>
      <c r="AO42" s="4"/>
      <c r="AP42" s="4"/>
      <c r="AQ42" s="4"/>
      <c r="AR42" s="10"/>
      <c r="AS42" s="10"/>
      <c r="AT42" s="4"/>
      <c r="AU42" s="119"/>
      <c r="AV42" s="119"/>
      <c r="AW42" s="119"/>
      <c r="AX42" s="119"/>
      <c r="AY42" s="119"/>
      <c r="AZ42" s="119"/>
      <c r="BA42" s="119"/>
      <c r="BB42" s="119"/>
      <c r="BC42" s="119"/>
      <c r="BD42" s="641"/>
      <c r="BF42" s="599" t="str">
        <f>'Custom Elements'!C18</f>
        <v>Custom10</v>
      </c>
      <c r="BG42" s="995" t="s">
        <v>901</v>
      </c>
      <c r="BH42" s="989" t="s">
        <v>934</v>
      </c>
      <c r="BI42" s="759"/>
      <c r="BJ42" s="897">
        <f t="shared" si="33"/>
        <v>34</v>
      </c>
      <c r="BK42" s="1223"/>
      <c r="BL42" s="767"/>
      <c r="BM42" s="776">
        <f>Table!J7</f>
        <v>1</v>
      </c>
      <c r="BN42" s="776">
        <v>999</v>
      </c>
      <c r="BO42" s="776">
        <f>Table!K7</f>
        <v>40</v>
      </c>
      <c r="BP42" s="926">
        <f>Table!L7</f>
        <v>30</v>
      </c>
      <c r="BQ42" s="1183"/>
      <c r="BR42" s="908"/>
      <c r="BS42" s="776"/>
      <c r="BT42" s="776"/>
      <c r="BU42" s="926" t="s">
        <v>242</v>
      </c>
      <c r="BV42" s="1183"/>
      <c r="BW42" s="602"/>
      <c r="BX42" s="926" t="str">
        <f>Table!N5</f>
        <v>Single</v>
      </c>
      <c r="CH42" s="908">
        <f>IF(BN42=999,0,(BO43-BO42)/(BN42-BM42))</f>
        <v>0</v>
      </c>
      <c r="CI42" s="926">
        <f>IF(BN42=999,0,(BP43-BP42)/(BN42-BM42))</f>
        <v>0</v>
      </c>
      <c r="CJ42" s="759"/>
      <c r="CK42" s="188"/>
      <c r="CL42" s="979">
        <f>VLOOKUP(I42,Prodlink,2,0)</f>
        <v>0</v>
      </c>
      <c r="CN42" s="497">
        <f t="shared" ca="1" si="31"/>
        <v>0</v>
      </c>
      <c r="CO42" s="497">
        <f ca="1">OFFSET($CH$9,CL42-1,-15,1,1)</f>
        <v>0</v>
      </c>
      <c r="CQ42" s="51">
        <v>0</v>
      </c>
      <c r="CR42" s="51">
        <f ca="1">IF(AND(Z42&lt;&gt;"t",Z42&lt;&gt;"f"),10000,IF(K42=$BH$11,0,IF(K42=$BH$12,$BH$23,IF(K42=$BH$13,$BH$24,10000))))</f>
        <v>10000</v>
      </c>
      <c r="CS42" s="51">
        <f ca="1">IF(F42&lt;OFFSET($BM$9,CL42-1,0,1,1),0,IF(F42&lt;OFFSET($BN$9,CL42-1,0,1,1),((F42-OFFSET($BM$9,CL42-1,0,1,1))*OFFSET($CH$9,CL42-1,0,1,1))+OFFSET($BO$9,CL42-1,CQ42,1,1),IF(F42&lt;OFFSET($BN$9,CL42+0,0,1,1),((F42-OFFSET($BM$9,CL42+0,0,1,1))*OFFSET($CH$9,CL42+0,0,1,1))+OFFSET($BO$9,CL42+0,CQ42,1,1),IF(F42&lt;OFFSET($BN$9,CL42+1,0,1,1),((F42-OFFSET($BM$9,CL42+1,0,1,1))*OFFSET($CH$9,CL42+1,0,1,1))+OFFSET($BO$9,CL42+1,CQ42,1,1),IF(F42&lt;OFFSET($BN$9,CL42+2,0,1,1),((F42-OFFSET($BM$9,CL42+2,0,1,1))*OFFSET($CH$9,CL42+2,0,1,1))+OFFSET($BO$9,CL42+2,CQ42,1,1),IF(F42&lt;OFFSET($BN$9,CL42+3,0,1,1),((F42-OFFSET($BM$9,CL42+3,0,1,1))*OFFSET($CH$9,CL42+3,0,1,1))+OFFSET($BO$9,CL42+3,CQ42,1,1),0))))))</f>
        <v>0</v>
      </c>
      <c r="CT42" s="51">
        <f ca="1">IF($F42&lt;OFFSET($BM$9,$CL42-1,0,1,1),0,IF($F42&lt;OFFSET($BN$9,$CL42-1,0,1,1),IF(AND($H42&gt;2.4,Z42&lt;&gt;"e",Z42&lt;&gt;"f"),CX42*2.4/$H42,CX42),IF($F42&lt;OFFSET($BN$9,$CL42+0,0,1,1),IF(AND($H42&gt;2.4,Z42&lt;&gt;"e",Z42&lt;&gt;"f"),CX42*2.4/$H42,CX42),IF($F42&lt;OFFSET($BN$9,$CL42+1,0,1,1),IF(AND($H42&gt;2.4,Z42&lt;&gt;"e",Z42&lt;&gt;"f"),CX42*2.4/$H42,CX42),IF($F42&lt;OFFSET($BN$9,CL42+2,0,1,1),IF(AND($H42&gt;2.4,Z42&lt;&gt;"e",Z42&lt;&gt;"f"),CX42*2.4/$H42,CX42),IF($F42&lt;OFFSET($BN$9,CL42+3,0,1,1),IF(AND($H42&gt;2.4,Z42&lt;&gt;"e",Z42&lt;&gt;"f"),CX42*2.4/$H42,CX42),0)))))*COS(RADIANS($G42)))</f>
        <v>0</v>
      </c>
      <c r="CU42" s="51">
        <f ca="1">IF(F42&lt;OFFSET($BM$9,CL42-1,0,1,1),0,IF(F42&lt;OFFSET($BN$9,CL42-1,0,1,1),((F42-OFFSET($BM$9,CL42-1,0,1,1))*OFFSET($CI$9,CL42-1,0,1,1))+OFFSET($BP$9,CL42-1,CQ42,1,1),IF(F42&lt;OFFSET($BN$9,CL42+0,0,1,1),((F42-OFFSET($BM$9,CL42+0,0,1,1))*OFFSET($CI$9,CL42+0,0,1,1))+OFFSET($BP$9,CL42+0,CQ42,1,1),IF(F42&lt;OFFSET($BN$9,CL42+1,0,1,1),((F42-OFFSET($BM$9,CL42+1,0,1,1))*OFFSET($CI$9,CL42+1,0,1,1))+OFFSET($BP$9,CL42+1,CQ42,1,1),IF(F42&lt;OFFSET($BN$9,CL42+2,0,1,1),((F42-OFFSET($BM$9,CL42+2,0,1,1))*OFFSET($CI$9,CL42+2,0,1,1))+OFFSET($BP$9,CL42+2,CQ42,1,1),IF(F42&lt;OFFSET($BN$9,CL42+3,0,1,1),((F42-OFFSET($BM$9,CL42+3,0,1,1))*OFFSET($CI$9,CL42+3,0,1,1))+OFFSET($BP$9,CL42+3,CQ42,1,1),0))))))</f>
        <v>0</v>
      </c>
      <c r="CV42" s="51">
        <f ca="1">IF($F42&lt;OFFSET($BM$9,$CL42-1,0,1,1),0,IF($F42&lt;OFFSET($BN$9,$CL42-1,0,1,1),IF(AND($H42&gt;2.4,Z42&lt;&gt;"e",Z42&lt;&gt;"f"),CZ42*2.4/$H42,CZ42),IF($F42&lt;OFFSET($BN$9,$CL42+0,0,1,1),IF(AND($H42&gt;2.4,Z42&lt;&gt;"e",Z42&lt;&gt;"f"),CZ42*2.4/$H42,CZ42),IF($F42&lt;OFFSET($BN$9,$CL42+1,0,1,1),IF(AND($H42&gt;2.4,Z42&lt;&gt;"e",Z42&lt;&gt;"f"),CZ42*2.4/$H42,CZ42),IF($F42&lt;OFFSET($BN$9,$CL42+2,0,1,1),IF(AND($H42&gt;2.4,Z42&lt;&gt;"e",Z42&lt;&gt;"f"),CZ42*2.4/$H42,CZ42),IF($F42&lt;OFFSET($BN$9,$CL42+3,0,1,1),IF(AND($H42&gt;2.4,Z42&lt;&gt;"e",Z42&lt;&gt;"f"),CZ42*2.4/$H42,CZ42),0)))))*COS(RADIANS($G42)))</f>
        <v>0</v>
      </c>
      <c r="CW42" s="51">
        <f t="shared" ca="1" si="17"/>
        <v>0</v>
      </c>
      <c r="CX42" s="51">
        <f ca="1">IF(CS42&gt;$CR42,$CR42,CS42)</f>
        <v>0</v>
      </c>
      <c r="CY42" s="51">
        <f ca="1">CW42*F42</f>
        <v>0</v>
      </c>
      <c r="CZ42" s="51">
        <f ca="1">IF($CU42&gt;$CR42,$CR42,$CU42)</f>
        <v>0</v>
      </c>
      <c r="DA42" s="51">
        <f ca="1">IF(CV42&gt;CR42,CR42,CV42)</f>
        <v>0</v>
      </c>
      <c r="DB42" s="51">
        <f ca="1">DA42*F42</f>
        <v>0</v>
      </c>
      <c r="DC42" s="993">
        <v>1</v>
      </c>
      <c r="DD42" s="758" t="str">
        <f>IF(OR(D42=BG$12,D42=BG$13),"External",IF(D42=BG$14,"Internal"," "))</f>
        <v xml:space="preserve"> </v>
      </c>
      <c r="DE42" s="51" t="str">
        <f t="shared" ca="1" si="18"/>
        <v/>
      </c>
      <c r="DF42" s="52" t="str">
        <f t="shared" ca="1" si="19"/>
        <v xml:space="preserve"> </v>
      </c>
      <c r="DG42" s="51">
        <f ca="1">IF(F42&lt;OFFSET($BM$9,CN42-1,0,1,1),0,IF(F42&lt;OFFSET($BN$9,CN42-1,0,1,1),((F42-OFFSET($BM$9,CN42-1,0,1,1))*OFFSET($CH$9,CN42-1,0,1,1))+OFFSET($BO$9,CN42-1,CQ42,1,1),IF(F42&lt;OFFSET($BN$9,CN42+0,0,1,1),((F42-OFFSET($BM$9,CN42+0,0,1,1))*OFFSET($CH$9,CN42+0,0,1,1))+OFFSET($BO$9,CN42+0,CQ42,1,1),IF(F42&lt;OFFSET($BN$9,CN42+1,0,1,1),((F42-OFFSET($BM$9,CN42+1,0,1,1))*OFFSET($CH$9,CN42+1,0,1,1))+OFFSET($BO$9,CN42+1,CQ42,1,1),IF(F42&lt;OFFSET($BN$9,CN42+2,0,1,1),((F42-OFFSET($BM$9,CN42+2,0,1,1))*OFFSET($CH$9,CN42+2,0,1,1))+OFFSET($BO$9,CN42+2,CQ42,1,1),IF(F42&lt;OFFSET($BN$9,CN42+3,0,1,1),((F42-OFFSET($BM$9,CN42+3,0,1,1))*OFFSET($CH$9,CN42+3,0,1,1))+OFFSET($BO$9,CN42+3,CQ42,1,1),0))))))</f>
        <v>0</v>
      </c>
      <c r="DH42" s="51">
        <f ca="1">IF($F42&lt;OFFSET($BM$9,$CN42-1,0,1,1),0,IF($F42&lt;OFFSET($BN$9,$CN42-1,0,1,1),IF(AND($H42&gt;2.4,Z42&lt;&gt;"e",Z42&lt;&gt;"f"),DL42*2.4/$H42,DL42),IF($F42&lt;OFFSET($BN$9,$CN42+0,0,1,1),IF(AND($H42&gt;2.4,Z42&lt;&gt;"e",Z42&lt;&gt;"f"),DL42*2.4/$H42,DL42),IF($F42&lt;OFFSET($BN$9,$CN42+1,0,1,1),IF(AND($H42&gt;2.4,Z42&lt;&gt;"e",Z42&lt;&gt;"f"),DL42*2.4/$H42,DL42),IF($F42&lt;OFFSET($BN$9,$CN42+2,0,1,1),IF(AND($H42&gt;2.4,Z42&lt;&gt;"e",Z42&lt;&gt;"f"),DL42*2.4/$H42,DL42),IF($F42&lt;OFFSET($BN$9,$CN42+3,0,1,1),IF(AND($H42&gt;2.4,Z42&lt;&gt;"e",Z42&lt;&gt;"f"),DL42*2.4/$H42,DL42),0)))))*COS(RADIANS($G42)))</f>
        <v>0</v>
      </c>
      <c r="DI42" s="51">
        <f ca="1">IF(F42&lt;OFFSET($BM$9,CN42-1,0,1,1),0,IF(F42&lt;OFFSET($BN$9,CN42-1,0,1,1),((F42-OFFSET($BM$9,CN42-1,0,1,1))*OFFSET($CI$9,CN42-1,0,1,1))+OFFSET($BP$9,CN42-1,CQ42,1,1),IF(F42&lt;OFFSET($BN$9,CN42+0,0,1,1),((F42-OFFSET($BM$9,CN42+0,0,1,1))*OFFSET($CI$9,CN42+0,0,1,1))+OFFSET($BP$9,CN42+0,CQ42,1,1),IF(F42&lt;OFFSET($BN$9,CN42+1,0,1,1),((F42-OFFSET($BM$9,CN42+1,0,1,1))*OFFSET($CI$9,CN42+1,0,1,1))+OFFSET($BP$9,CN42+1,CQ42,1,1),IF(F42&lt;OFFSET($BN$9,CN42+2,0,1,1),((F42-OFFSET($BM$9,CN42+2,0,1,1))*OFFSET($CI$9,CN42+2,0,1,1))+OFFSET($BP$9,CN42+2,CQ42,1,1),IF(F42&lt;OFFSET($BN$9,CN42+3,0,1,1),((F42-OFFSET($BM$9,CN42+3,0,1,1))*OFFSET($CI$9,CN42+3,0,1,1))+OFFSET($BP$9,CN42+3,CQ42,1,1),0))))))</f>
        <v>0</v>
      </c>
      <c r="DJ42" s="51">
        <f ca="1">IF($F42&lt;OFFSET($BM$9,$CN42-1,0,1,1),0,IF($F42&lt;OFFSET($BN$9,$CN42-1,0,1,1),IF(AND($H42&gt;2.4,Z42&lt;&gt;"e",Z42&lt;&gt;"f"),DN42*2.4/$H42,DN42),IF($F42&lt;OFFSET($BN$9,$CN42+0,0,1,1),IF(AND($H42&gt;2.4,Z42&lt;&gt;"e",Z42&lt;&gt;"f"),DN42*2.4/$H42,DN42),IF($F42&lt;OFFSET($BN$9,$CN42+1,0,1,1),IF(AND($H42&gt;2.4,Z42&lt;&gt;"e",Z42&lt;&gt;"f"),DN42*2.4/$H42,DN42),IF($F42&lt;OFFSET($BN$9,$CN42+2,0,1,1),IF(AND($H42&gt;2.4,Z42&lt;&gt;"e",Z42&lt;&gt;"f"),DN42*2.4/$H42,DN42),IF($F42&lt;OFFSET($BN$9,$CN42+3,0,1,1),IF(AND($H42&gt;2.4,Z42&lt;&gt;"e",Z42&lt;&gt;"f"),DN42*2.4/$H42,DN42),0)))))*COS(RADIANS($G42)))</f>
        <v>0</v>
      </c>
      <c r="DK42" s="51"/>
      <c r="DL42" s="51">
        <f ca="1">IF(DG42&gt;$CR42,$CR42,DG42)</f>
        <v>0</v>
      </c>
      <c r="DM42" s="51"/>
      <c r="DN42" s="51">
        <f ca="1">IF(DI42&gt;$CR42,$CR42,DI42)</f>
        <v>0</v>
      </c>
      <c r="DO42" s="435">
        <f ca="1">IF(DH42&gt;$CR42,$CR42,DH42)</f>
        <v>0</v>
      </c>
      <c r="DP42" s="435">
        <f ca="1">DO42*F42</f>
        <v>0</v>
      </c>
      <c r="DQ42" s="436">
        <f ca="1">IF(DJ42&gt;$CR42,$CR42,DJ42)</f>
        <v>0</v>
      </c>
      <c r="DR42" s="437">
        <f ca="1">DQ42*F42</f>
        <v>0</v>
      </c>
      <c r="DS42" s="426">
        <f ca="1">OFFSET($CH$9,CL42-1,-15,1,1)</f>
        <v>0</v>
      </c>
      <c r="DT42" s="426">
        <f t="shared" ca="1" si="32"/>
        <v>0</v>
      </c>
      <c r="DU42" s="188">
        <f ca="1">IF(F42&lt;OFFSET($BM$9,DT42-1,0,1,1),0,IF(F42&lt;OFFSET($BN$9,DT42-1,0,1,1),((F42-OFFSET($BM$9,DT42-1,0,1,1))*OFFSET($CH$9,DT42-1,0,1,1))+OFFSET($BO$9,DT42-1,CQ42,1,1),IF(F42&lt;OFFSET($BN$9,DT42+0,0,1,1),((F42-OFFSET($BM$9,DT42+0,0,1,1))*OFFSET($CH$9,DT42+0,0,1,1))+OFFSET($BO$9,DT42+0,CQ42,1,1),IF(F42&lt;OFFSET($BN$9,DT42+1,0,1,1),((F42-OFFSET($BM$9,DT42+1,0,1,1))*OFFSET($CH$9,DT42+1,0,1,1))+OFFSET($BO$9,DT42+1,CQ42,1,1),IF(F42&lt;OFFSET($BN$9,DT42+2,0,1,1),((F42-OFFSET($BM$9,DT42+2,0,1,1))*OFFSET($CH$9,DT42+2,0,1,1))+OFFSET($BO$9,DT42+2,CQ42,1,1),IF(F42&lt;OFFSET($BN$9,DT42+3,0,1,1),((F42-OFFSET($BM$9,DT42+3,0,1,1))*OFFSET($CH$9,DT42+3,0,1,1))+OFFSET($BO$9,DT42+3,CQ42,1,1),0))))))</f>
        <v>0</v>
      </c>
      <c r="DV42" s="51">
        <f ca="1">IF($F42&lt;OFFSET($BM$9,$DT42-1,0,1,1),0,IF($F42&lt;OFFSET($BN$9,$DT42-1,0,1,1),IF(AND($H42&gt;2.4,Z42&lt;&gt;"e",Z42&lt;&gt;"f"),DZ42*2.4/$H42,DZ42),IF($F42&lt;OFFSET($BN$9,$DT42+0,0,1,1),IF(AND($H42&gt;2.4,Z42&lt;&gt;"e",Z42&lt;&gt;"f"),DZ42*2.4/$H42,DZ42),IF($F42&lt;OFFSET($BN$9,$DT42+1,0,1,1),IF(AND($H42&gt;2.4,Z42&lt;&gt;"e",Z42&lt;&gt;"f"),DZ42*2.4/$H42,DZ42),IF($F42&lt;OFFSET($BN$9,$DT42+2,0,1,1),IF(AND($H42&gt;2.4,Z42&lt;&gt;"e",Z42&lt;&gt;"f"),DZ42*2.4/$H42,DZ42),IF($F42&lt;OFFSET($BN$9,$DT42+3,0,1,1),IF(AND($H42&gt;2.4,Z42&lt;&gt;"e",Z42&lt;&gt;"f"),DZ42*2.4/$H42,DZ42),0)))))*COS(RADIANS($G42)))</f>
        <v>0</v>
      </c>
      <c r="DW42" s="188">
        <f ca="1">IF(F42&lt;OFFSET($BM$9,DT42-1,0,1,1),0,IF(F42&lt;OFFSET($BN$9,DT42-1,0,1,1),((F42-OFFSET($BM$9,DT42-1,0,1,1))*OFFSET($CI$9,DT42-1,0,1,1))+OFFSET($BP$9,DT42-1,CQ42,1,1),IF(F42&lt;OFFSET($BN$9,DT42+0,0,1,1),((F42-OFFSET($BM$9,DT42+0,0,1,1))*OFFSET($CI$9,DT42+0,0,1,1))+OFFSET($BP$9,DT42+0,CQ42,1,1),IF(F42&lt;OFFSET($BN$9,DT42+1,0,1,1),((F42-OFFSET($BM$9,DT42+1,0,1,1))*OFFSET($CI$9,DT42+1,0,1,1))+OFFSET($BP$9,DT42+1,CQ42,1,1),IF(F42&lt;OFFSET($BN$9,DT42+2,0,1,1),((F42-OFFSET($BM$9,DT42+2,0,1,1))*OFFSET($CI$9,DT42+2,0,1,1))+OFFSET($BP$9,DT42+2,CQ42,1,1),IF(F42&lt;OFFSET($BN$9,DT42+3,0,1,1),((F42-OFFSET($BM$9,DT42+3,0,1,1))*OFFSET($CI$9,DT42+3,0,1,1))+OFFSET($BP$9,DT42+3,CQ42,1,1),0))))))</f>
        <v>0</v>
      </c>
      <c r="DX42" s="51">
        <f ca="1">IF($F42&lt;OFFSET($BM$9,$DT42-1,0,1,1),0,IF($F42&lt;OFFSET($BN$9,$DT42-1,0,1,1),IF(AND($H42&gt;2.4,Z42&lt;&gt;"e",Z42&lt;&gt;"f"),EB42*2.4/$H42,EB42),IF($F42&lt;OFFSET($BN$9,$DT42+0,0,1,1),IF(AND($H42&gt;2.4,Z42&lt;&gt;"e",Z42&lt;&gt;"f"),EB42*2.4/$H42,EB42),IF($F42&lt;OFFSET($BN$9,$DT42+1,0,1,1),IF(AND($H42&gt;2.4,Z42&lt;&gt;"e",Z42&lt;&gt;"f"),EB42*2.4/$H42,EB42),IF($F42&lt;OFFSET($BN$9,$DT42+2,0,1,1),IF(AND($H42&gt;2.4,Z42&lt;&gt;"e",Z42&lt;&gt;"f"),EB42*2.4/$H42,EB42),IF($F42&lt;OFFSET($BN$9,$DT42+3,0,1,1),IF(AND($H42&gt;2.4,Z42&lt;&gt;"e",Z42&lt;&gt;"f"),EB42*2.4/$H42,EB42),0)))))*COS(RADIANS($G42)))</f>
        <v>0</v>
      </c>
      <c r="DY42" s="188"/>
      <c r="DZ42" s="188">
        <f ca="1">IF(DU42&gt;$CR42,$CR42,DU42)</f>
        <v>0</v>
      </c>
      <c r="EA42" s="188"/>
      <c r="EB42" s="188">
        <f ca="1">IF(DW42&gt;$CR42,$CR42,DW42)</f>
        <v>0</v>
      </c>
      <c r="EC42" s="435">
        <f ca="1">IF(DV42&gt;$CR42,$CR42,DV42)</f>
        <v>0</v>
      </c>
      <c r="ED42" s="435">
        <f ca="1">EC42*F42</f>
        <v>0</v>
      </c>
      <c r="EE42" s="436">
        <f ca="1">IF(DX42&gt;$CR42,$CR42,DX42)</f>
        <v>0</v>
      </c>
      <c r="EF42" s="437">
        <f ca="1">EE42*F42</f>
        <v>0</v>
      </c>
      <c r="EG42" s="613" t="str">
        <f>IF(D42=BG$12,BG$12,"")</f>
        <v/>
      </c>
      <c r="EH42" s="614" t="str">
        <f>IF(D42=BG$13,BG$13,"")</f>
        <v/>
      </c>
      <c r="EI42" s="611">
        <f>IF(EG42=BG$12,M42,0)</f>
        <v>0</v>
      </c>
      <c r="EJ42" s="451">
        <f>IF(EG42=BG$12,O42,0)</f>
        <v>0</v>
      </c>
      <c r="EK42" s="451">
        <f>IF(EH42=BG$13,M42,0)</f>
        <v>0</v>
      </c>
      <c r="EL42" s="612">
        <f>IF(EH42=BG$13,O42,0)</f>
        <v>0</v>
      </c>
      <c r="EM42" s="426" t="str">
        <f ca="1">IF(AND(Z42&lt;&gt;"t",Z42&lt;&gt;"f"),"",IF(AND(EN42=$BH$11,K42&lt;&gt;EN42),EM$4,IF(AND(EN42=$BH$12,K42=$BH$13),EM$4,IF(AND(EN42=$BH$12,K42=$BH$14),EM$4,IF(AND(EN42=$BH$13,K42=$BH$14),$EM$4,IF(EN42=$BH$14,$EM$4,""))))))</f>
        <v/>
      </c>
      <c r="EN42" s="489" t="str">
        <f>BG$24</f>
        <v>No Floor</v>
      </c>
      <c r="EO42" s="426" t="str">
        <f>K42</f>
        <v xml:space="preserve"> </v>
      </c>
      <c r="EP42" s="497" t="str">
        <f ca="1">IF(AND(Z42&lt;&gt;"t",Z42&lt;&gt;"f"),"",IF(AND(EN42=$BH$14,K42&lt;&gt;EN42),EP$4,IF(AND(EN42=$BH$13,K42=$BH$12),EP$4,IF(AND(EN42=$BH$13,K42=$BH$11),EP$4,IF(AND(EN42=$BH$12,K42=$BH$11),$EP$4,IF(EN42=$BH$11,"Earth",""))))))</f>
        <v/>
      </c>
      <c r="EQ42" s="430" t="str">
        <f ca="1">IF(Z42&lt;&gt;"t","",IF(EQ$5=2,IF(K42&lt;&gt;BH$11,EQ$7," ")))</f>
        <v/>
      </c>
      <c r="ER42" s="439" t="str">
        <f ca="1">IF(H42=0," ",H42)</f>
        <v xml:space="preserve"> </v>
      </c>
      <c r="ES42" s="440" t="str">
        <f ca="1">IF(ER42&lt;&gt;" ",IF(ER42&lt;&gt;ER$7,"Changed",""),"")</f>
        <v/>
      </c>
      <c r="ET42" s="440">
        <f t="shared" ca="1" si="20"/>
        <v>0</v>
      </c>
      <c r="EU42" s="426" t="str">
        <f ca="1">IF(I42=" "," ",IF(F42&lt;OFFSET($BM$9,CL42-1,0,1,1),1,""))</f>
        <v xml:space="preserve"> </v>
      </c>
      <c r="EW42" s="427"/>
      <c r="EY42" s="421"/>
    </row>
    <row r="43" spans="1:155" ht="17.100000000000001" customHeight="1" thickBot="1">
      <c r="A43" s="2685"/>
      <c r="B43" s="2686" t="s">
        <v>8</v>
      </c>
      <c r="C43" s="2687"/>
      <c r="D43" s="1461" t="s">
        <v>8</v>
      </c>
      <c r="E43" s="659"/>
      <c r="F43" s="659"/>
      <c r="G43" s="659"/>
      <c r="H43" s="659"/>
      <c r="I43" s="1462"/>
      <c r="J43" s="1365" t="str">
        <f ca="1">(CONCATENATE(B38,$BE$54))</f>
        <v>F  Line:  Min. Requirement</v>
      </c>
      <c r="K43" s="23"/>
      <c r="L43" s="1019">
        <f ca="1">L$5</f>
        <v>0</v>
      </c>
      <c r="M43" s="48">
        <f ca="1">IF(B38=B32,SUM(M38:M42)+M37,SUM(M38:M42))</f>
        <v>0</v>
      </c>
      <c r="N43" s="1019">
        <f ca="1">N$5</f>
        <v>0</v>
      </c>
      <c r="O43" s="125">
        <f ca="1">IF(B38=B32,SUM(O38:O42)+O37,SUM(O38:O42))</f>
        <v>0</v>
      </c>
      <c r="P43" s="139"/>
      <c r="Q43" s="42" t="str">
        <f ca="1">IF(B38=B44,"",IF(AND(M43&gt;0,L43=L$5,OR(M43&lt;$M$105,M43&lt;$BF$3)),"Achieved &lt; Min Req per Line",IF(AND(O43&gt;0,N43=N$5,OR(O43&lt;$O$105,O43&lt;$BF$3)),"Achieved &lt; Min Req per Line",IF(AND(M43&gt;0,L43&gt;M43),"More Required on this line",IF(AND(O43&gt;0,N43&gt;O43),"More Required on this line",IF(AND(L43&gt;0,L43&lt;$BF$3),$BE$59,IF(AND(N43&gt;0,N43&lt;$BF$3),$BE$59,"")))))))</f>
        <v/>
      </c>
      <c r="R43" s="52"/>
      <c r="S43" s="52"/>
      <c r="T43" s="52"/>
      <c r="U43" s="1378"/>
      <c r="V43" s="52"/>
      <c r="W43" s="9"/>
      <c r="X43" s="9"/>
      <c r="Y43" s="896"/>
      <c r="Z43" s="52"/>
      <c r="AA43" s="51"/>
      <c r="AB43" s="1364"/>
      <c r="AC43"/>
      <c r="AJ43" s="2"/>
      <c r="AM43" s="4"/>
      <c r="AN43" s="4"/>
      <c r="AO43" s="4"/>
      <c r="AP43" s="4"/>
      <c r="AQ43" s="4"/>
      <c r="AR43" s="10"/>
      <c r="AS43" s="10"/>
      <c r="AT43" s="4"/>
      <c r="AU43" s="119"/>
      <c r="AV43" s="119"/>
      <c r="AW43" s="119"/>
      <c r="AX43" s="119"/>
      <c r="AY43" s="119"/>
      <c r="AZ43" s="119"/>
      <c r="BA43" s="119"/>
      <c r="BB43" s="119"/>
      <c r="BC43" s="119"/>
      <c r="BD43" s="636"/>
      <c r="BF43" s="599" t="str">
        <f>'Custom Elements'!C19</f>
        <v>Custom11</v>
      </c>
      <c r="BG43" s="996" t="s">
        <v>902</v>
      </c>
      <c r="BH43" s="485" t="s">
        <v>935</v>
      </c>
      <c r="BI43" s="759"/>
      <c r="BJ43" s="897">
        <f t="shared" si="33"/>
        <v>35</v>
      </c>
      <c r="BX43" s="52"/>
      <c r="CJ43" s="759"/>
      <c r="CK43" s="188"/>
      <c r="CL43" s="979"/>
      <c r="CN43" s="497"/>
      <c r="CO43" s="497"/>
      <c r="CQ43" s="51"/>
      <c r="CR43" s="51"/>
      <c r="CS43" s="51"/>
      <c r="CT43" s="51"/>
      <c r="CU43" s="51"/>
      <c r="CV43" s="51" t="s">
        <v>8</v>
      </c>
      <c r="CW43" s="51"/>
      <c r="CX43" s="51"/>
      <c r="CY43" s="51"/>
      <c r="CZ43" s="51"/>
      <c r="DD43" s="758"/>
      <c r="DF43" s="52"/>
      <c r="DG43" s="51"/>
      <c r="DH43" s="51"/>
      <c r="DI43" s="51"/>
      <c r="DJ43" s="51"/>
      <c r="DK43" s="51"/>
      <c r="DL43" s="51"/>
      <c r="DM43" s="51"/>
      <c r="DN43" s="51"/>
      <c r="DO43" s="435"/>
      <c r="DP43" s="435"/>
      <c r="DQ43" s="868"/>
      <c r="DR43" s="868"/>
      <c r="DU43" s="188"/>
      <c r="DV43" s="188" t="s">
        <v>8</v>
      </c>
      <c r="DW43" s="188"/>
      <c r="DX43" s="188" t="s">
        <v>8</v>
      </c>
      <c r="DY43" s="188"/>
      <c r="DZ43" s="188"/>
      <c r="EA43" s="188"/>
      <c r="EB43" s="188"/>
      <c r="EC43" s="435"/>
      <c r="ED43" s="435"/>
      <c r="EE43" s="868"/>
      <c r="EF43" s="868"/>
      <c r="EG43" s="613"/>
      <c r="EH43" s="614"/>
      <c r="EI43" s="613"/>
      <c r="EJ43" s="435"/>
      <c r="EK43" s="451"/>
      <c r="EL43" s="612"/>
      <c r="EN43" s="438"/>
      <c r="ER43" s="441"/>
      <c r="ES43" s="440"/>
      <c r="ET43" s="440"/>
      <c r="EW43" s="427"/>
      <c r="EY43" s="421"/>
    </row>
    <row r="44" spans="1:155" ht="17.100000000000001" customHeight="1" thickBot="1">
      <c r="A44" s="2685"/>
      <c r="B44" s="1369" t="str">
        <f ca="1">S44</f>
        <v>G</v>
      </c>
      <c r="C44" s="684" t="str">
        <f>IF(OR(F44=0,I44="",I44=" ")," ",$V44)</f>
        <v xml:space="preserve"> </v>
      </c>
      <c r="D44" s="1033"/>
      <c r="E44" s="1360"/>
      <c r="F44" s="202"/>
      <c r="G44" s="1416"/>
      <c r="H44" s="1417" t="str">
        <f ca="1">IF(OR(F44=0,Z44="E",Z44="f")," ",'Project Demand'!E$55)</f>
        <v xml:space="preserve"> </v>
      </c>
      <c r="I44" s="631" t="str">
        <f>IF($I$6&lt;&gt;$BG$8," ",AB44)</f>
        <v xml:space="preserve"> </v>
      </c>
      <c r="J44" s="43" t="str">
        <f ca="1">IF(OR(I44=" ",I44="")," ",OFFSET($BO$9,CL44-1,0-4,1,1))</f>
        <v xml:space="preserve"> </v>
      </c>
      <c r="K44" s="55" t="str">
        <f>IF(OR(I44=" ",I44="")," ",IF(OR(Z44="e",Z44="h"),"SD",IF(BG$24=BH$11,BH$13,BG$24)))</f>
        <v xml:space="preserve"> </v>
      </c>
      <c r="L44" s="49">
        <f ca="1">CW44</f>
        <v>0</v>
      </c>
      <c r="M44" s="49">
        <f ca="1">CY44</f>
        <v>0</v>
      </c>
      <c r="N44" s="50">
        <f t="shared" ref="N44:O48" ca="1" si="34">DA44</f>
        <v>0</v>
      </c>
      <c r="O44" s="126">
        <f t="shared" ca="1" si="34"/>
        <v>0</v>
      </c>
      <c r="P44" s="140"/>
      <c r="Q44" s="752" t="str">
        <f ca="1">IF(AND(OR(Z44="t",Z44="f"),K44=$BH$11),"No Floor!  Change Floor Type",IF(OR(I44=" ",I44="")," ",IF(F44&lt;OFFSET($BM$9,CL44-1,0,1,1),"check L(m)",DE44&amp;IF(AND(DP44&gt;=CY44,DR44&gt;=DB44),IF(AND(ED44&gt;=DP44,EF44&gt;=DR44),CONCATENATE(DS44," will provide same result"),CONCATENATE(CO44," will provide same result")),IF((DP44&gt;=CY44),CONCATENATE(CO44," provides same result in WIND"),IF((DR44&gt;=DB44),CONCATENATE(CO44," provides same result in EQ"),""))))))&amp;IF(ISERROR(FIND("pile",I44,1)),"",IF(INT(F44)&lt;&gt;F44,"Pile!  Use Whole Numbers Only",""))</f>
        <v xml:space="preserve"> </v>
      </c>
      <c r="R44" s="52">
        <f ca="1">IF(T38&lt;&gt;2,(COLUMN(INDIRECT(B38&amp;1))+1),U44)</f>
        <v>7</v>
      </c>
      <c r="S44" s="1372" t="str">
        <f ca="1">SUBSTITUTE(ADDRESS(1,R44,4),"1","")</f>
        <v>G</v>
      </c>
      <c r="T44" s="451">
        <f ca="1">IF(AND(ISTEXT(B44),SUBSTITUTE(SUBSTITUTE(SUBSTITUTE(SUBSTITUTE(SUBSTITUTE(SUBSTITUTE(SUBSTITUTE(SUBSTITUTE(SUBSTITUTE(SUBSTITUTE(SUBSTITUTE(SUBSTITUTE(SUBSTITUTE(SUBSTITUTE(SUBSTITUTE(SUBSTITUTE(SUBSTITUTE(SUBSTITUTE(SUBSTITUTE(SUBSTITUTE(SUBSTITUTE(SUBSTITUTE(SUBSTITUTE(SUBSTITUTE(SUBSTITUTE(SUBSTITUTE(LOWER(B44),"a",),"b",),"c",),"d",),"e",),"f",),"g",),"h",),"i",),"j",),"k",),"l",),"m",),"n",),"o",),"p",),"q",),"r",),"s",),"t",),"u",),"v",),"w",),"x",),"y",),"z",)=""),1,2)</f>
        <v>1</v>
      </c>
      <c r="U44" s="1377">
        <v>7</v>
      </c>
      <c r="V44" s="52" t="str">
        <f ca="1">IF(AND(B$5=$BF$9,OR(I44=BH$16,I44=BH$17))," ",IF(ISNUMBER(B$44),(CONCATENATE(B$44,".",W44)),(CONCATENATE(B$44,W44))))</f>
        <v>G0</v>
      </c>
      <c r="W44" s="9">
        <f ca="1">IF(B38=B44,W42+X44,X44)</f>
        <v>0</v>
      </c>
      <c r="X44" s="9">
        <f>IF(AND(B$5=$BF$9,OR($I44=$BH$16,$I44=$BH$17,$I44=" ",$I44="",$F44=0)),0,IF(OR($I44=" ",$I44="",$F44=0),0,1))</f>
        <v>0</v>
      </c>
      <c r="Y44" s="896">
        <f ca="1">IF(AND(M49&gt;0,B44&lt;&gt;B50),1,0)</f>
        <v>0</v>
      </c>
      <c r="Z44" s="52" t="str">
        <f ca="1">IF(I44=" "," ",OFFSET($BM$9,$CL44-1,8,1,1))</f>
        <v xml:space="preserve"> </v>
      </c>
      <c r="AA44" s="51" t="str">
        <f>IF(G44&gt;=45,"WA","")</f>
        <v/>
      </c>
      <c r="AB44" s="1364" t="str">
        <f>IF(OR(E44=" ",E44="")," ",(IF(F44&lt;&gt;"",IF(OR(D44=$BG$12,D44=$BG$13),IF(E44&lt;&gt;$BG$17,$BF$20,$BF$21),IF(E44&lt;&gt;$BG$17,$BF$20,$BF$21))," ")))</f>
        <v xml:space="preserve"> </v>
      </c>
      <c r="AC44" s="1"/>
      <c r="AJ44" s="1690" t="s">
        <v>1111</v>
      </c>
      <c r="AM44" s="4"/>
      <c r="AN44" s="4"/>
      <c r="AO44" s="4"/>
      <c r="AP44" s="4"/>
      <c r="AQ44" s="4"/>
      <c r="AR44" s="10"/>
      <c r="AS44" s="10"/>
      <c r="AT44" s="8"/>
      <c r="AU44" s="119"/>
      <c r="AV44" s="119"/>
      <c r="AW44" s="119"/>
      <c r="AX44" s="119"/>
      <c r="AY44" s="119"/>
      <c r="AZ44" s="119"/>
      <c r="BA44" s="119"/>
      <c r="BB44" s="119"/>
      <c r="BC44" s="119"/>
      <c r="BD44" s="637"/>
      <c r="BF44" s="599" t="str">
        <f>'Custom Elements'!C20</f>
        <v>Custom12</v>
      </c>
      <c r="BI44" s="759"/>
      <c r="BJ44" s="897">
        <f t="shared" si="33"/>
        <v>36</v>
      </c>
      <c r="BK44" s="1222" t="str">
        <f>BK50</f>
        <v xml:space="preserve">EPB </v>
      </c>
      <c r="BL44" s="1181" t="str">
        <f>Table!I10</f>
        <v>ER2</v>
      </c>
      <c r="BM44" s="1210">
        <f>Table!J10</f>
        <v>0.4</v>
      </c>
      <c r="BN44" s="454">
        <f>BM45</f>
        <v>0.6</v>
      </c>
      <c r="BO44" s="454">
        <f>Table!K10</f>
        <v>56</v>
      </c>
      <c r="BP44" s="924">
        <f>Table!L10</f>
        <v>51</v>
      </c>
      <c r="BQ44" s="920"/>
      <c r="BR44" s="768">
        <f>Table!M10</f>
        <v>0</v>
      </c>
      <c r="BS44" s="454">
        <f>Table!M11</f>
        <v>0</v>
      </c>
      <c r="BT44" s="454" t="str">
        <f>Table!N10</f>
        <v>I</v>
      </c>
      <c r="BU44" s="924" t="s">
        <v>242</v>
      </c>
      <c r="BV44" s="1230" t="str">
        <f>Table!AI77</f>
        <v>ER2</v>
      </c>
      <c r="BW44" s="1229">
        <f>BJ44</f>
        <v>36</v>
      </c>
      <c r="BX44" s="924" t="str">
        <f>Table!N11</f>
        <v>Double</v>
      </c>
      <c r="CH44" s="768">
        <f>IF(BN44=999,0,(BO45-BO44)/(BN44-BM44))</f>
        <v>5.0000000000000009</v>
      </c>
      <c r="CI44" s="924">
        <f>IF(BN44=999,0,(BP45-BP44)/(BN44-BM44))</f>
        <v>5.0000000000000009</v>
      </c>
      <c r="CJ44" s="759"/>
      <c r="CK44" s="188"/>
      <c r="CL44" s="979">
        <f>VLOOKUP(I44,Prodlink,2,0)</f>
        <v>0</v>
      </c>
      <c r="CN44" s="497">
        <f t="shared" ca="1" si="31"/>
        <v>0</v>
      </c>
      <c r="CO44" s="497">
        <f ca="1">OFFSET($CH$9,CL44-1,-15,1,1)</f>
        <v>0</v>
      </c>
      <c r="CQ44" s="51">
        <v>0</v>
      </c>
      <c r="CR44" s="51">
        <f ca="1">IF(AND(Z44&lt;&gt;"t",Z44&lt;&gt;"f"),10000,IF(K44=$BH$11,0,IF(K44=$BH$12,$BH$23,IF(K44=$BH$13,$BH$24,10000))))</f>
        <v>10000</v>
      </c>
      <c r="CS44" s="51">
        <f ca="1">IF(F44&lt;OFFSET($BM$9,CL44-1,0,1,1),0,IF(F44&lt;OFFSET($BN$9,CL44-1,0,1,1),((F44-OFFSET($BM$9,CL44-1,0,1,1))*OFFSET($CH$9,CL44-1,0,1,1))+OFFSET($BO$9,CL44-1,CQ44,1,1),IF(F44&lt;OFFSET($BN$9,CL44+0,0,1,1),((F44-OFFSET($BM$9,CL44+0,0,1,1))*OFFSET($CH$9,CL44+0,0,1,1))+OFFSET($BO$9,CL44+0,CQ44,1,1),IF(F44&lt;OFFSET($BN$9,CL44+1,0,1,1),((F44-OFFSET($BM$9,CL44+1,0,1,1))*OFFSET($CH$9,CL44+1,0,1,1))+OFFSET($BO$9,CL44+1,CQ44,1,1),IF(F44&lt;OFFSET($BN$9,CL44+2,0,1,1),((F44-OFFSET($BM$9,CL44+2,0,1,1))*OFFSET($CH$9,CL44+2,0,1,1))+OFFSET($BO$9,CL44+2,CQ44,1,1),IF(F44&lt;OFFSET($BN$9,CL44+3,0,1,1),((F44-OFFSET($BM$9,CL44+3,0,1,1))*OFFSET($CH$9,CL44+3,0,1,1))+OFFSET($BO$9,CL44+3,CQ44,1,1),0))))))</f>
        <v>0</v>
      </c>
      <c r="CT44" s="1552">
        <f ca="1">IF($F44&lt;OFFSET($BM$9,$CL44-1,0,1,1),0,IF($F44&lt;OFFSET($BN$9,$CL44-1,0,1,1),IF(AND($H44&gt;2.4,Z44&lt;&gt;"e",Z44&lt;&gt;"f"),CX44*2.4/$H44,CX44),IF($F44&lt;OFFSET($BN$9,$CL44+0,0,1,1),IF(AND($H44&gt;2.4,Z44&lt;&gt;"e",Z44&lt;&gt;"f"),CX44*2.4/$H44,CX44),IF($F44&lt;OFFSET($BN$9,$CL44+1,0,1,1),IF(AND($H44&gt;2.4,Z44&lt;&gt;"e",Z44&lt;&gt;"f"),CX44*2.4/$H44,CX44),IF($F44&lt;OFFSET($BN$9,CL44+2,0,1,1),IF(AND($H44&gt;2.4,Z44&lt;&gt;"e",Z44&lt;&gt;"f"),CX44*2.4/$H44,CX44),IF($F44&lt;OFFSET($BN$9,CL44+3,0,1,1),IF(AND($H44&gt;2.4,Z44&lt;&gt;"e",Z44&lt;&gt;"f"),CX44*2.4/$H44,CX44),0)))))*COS(RADIANS($G44)))</f>
        <v>0</v>
      </c>
      <c r="CU44" s="51">
        <f ca="1">IF(F44&lt;OFFSET($BM$9,CL44-1,0,1,1),0,IF(F44&lt;OFFSET($BN$9,CL44-1,0,1,1),((F44-OFFSET($BM$9,CL44-1,0,1,1))*OFFSET($CI$9,CL44-1,0,1,1))+OFFSET($BP$9,CL44-1,CQ44,1,1),IF(F44&lt;OFFSET($BN$9,CL44+0,0,1,1),((F44-OFFSET($BM$9,CL44+0,0,1,1))*OFFSET($CI$9,CL44+0,0,1,1))+OFFSET($BP$9,CL44+0,CQ44,1,1),IF(F44&lt;OFFSET($BN$9,CL44+1,0,1,1),((F44-OFFSET($BM$9,CL44+1,0,1,1))*OFFSET($CI$9,CL44+1,0,1,1))+OFFSET($BP$9,CL44+1,CQ44,1,1),IF(F44&lt;OFFSET($BN$9,CL44+2,0,1,1),((F44-OFFSET($BM$9,CL44+2,0,1,1))*OFFSET($CI$9,CL44+2,0,1,1))+OFFSET($BP$9,CL44+2,CQ44,1,1),IF(F44&lt;OFFSET($BN$9,CL44+3,0,1,1),((F44-OFFSET($BM$9,CL44+3,0,1,1))*OFFSET($CI$9,CL44+3,0,1,1))+OFFSET($BP$9,CL44+3,CQ44,1,1),0))))))</f>
        <v>0</v>
      </c>
      <c r="CV44" s="1552">
        <f ca="1">IF($F44&lt;OFFSET($BM$9,$CL44-1,0,1,1),0,IF($F44&lt;OFFSET($BN$9,$CL44-1,0,1,1),IF(AND($H44&gt;2.4,Z44&lt;&gt;"e",Z44&lt;&gt;"f"),CZ44*2.4/$H44,CZ44),IF($F44&lt;OFFSET($BN$9,$CL44+0,0,1,1),IF(AND($H44&gt;2.4,Z44&lt;&gt;"e",Z44&lt;&gt;"f"),CZ44*2.4/$H44,CZ44),IF($F44&lt;OFFSET($BN$9,$CL44+1,0,1,1),IF(AND($H44&gt;2.4,Z44&lt;&gt;"e",Z44&lt;&gt;"f"),CZ44*2.4/$H44,CZ44),IF($F44&lt;OFFSET($BN$9,$CL44+2,0,1,1),IF(AND($H44&gt;2.4,Z44&lt;&gt;"e",Z44&lt;&gt;"f"),CZ44*2.4/$H44,CZ44),IF($F44&lt;OFFSET($BN$9,$CL44+3,0,1,1),IF(AND($H44&gt;2.4,Z44&lt;&gt;"e",Z44&lt;&gt;"f"),CZ44*2.4/$H44,CZ44),0)))))*COS(RADIANS($G44)))</f>
        <v>0</v>
      </c>
      <c r="CW44" s="51">
        <f t="shared" ca="1" si="17"/>
        <v>0</v>
      </c>
      <c r="CX44" s="51">
        <f ca="1">IF(CS44&gt;$CR44,$CR44,CS44)</f>
        <v>0</v>
      </c>
      <c r="CY44" s="51">
        <f ca="1">CW44*F44</f>
        <v>0</v>
      </c>
      <c r="CZ44" s="51">
        <f ca="1">IF($CU44&gt;$CR44,$CR44,$CU44)</f>
        <v>0</v>
      </c>
      <c r="DA44" s="51">
        <f ca="1">IF(CV44&gt;CR44,CR44,CV44)</f>
        <v>0</v>
      </c>
      <c r="DB44" s="51">
        <f ca="1">DA44*F44</f>
        <v>0</v>
      </c>
      <c r="DC44" s="993">
        <v>1</v>
      </c>
      <c r="DD44" s="758" t="str">
        <f>IF(OR(D44=BG$12,D44=BG$13),"External",IF(D44=BG$14,"Internal"," "))</f>
        <v xml:space="preserve"> </v>
      </c>
      <c r="DE44" s="51" t="str">
        <f t="shared" ca="1" si="18"/>
        <v/>
      </c>
      <c r="DF44" s="52" t="str">
        <f t="shared" ca="1" si="19"/>
        <v xml:space="preserve"> </v>
      </c>
      <c r="DG44" s="51">
        <f ca="1">IF(F44&lt;OFFSET($BM$9,CN44-1,0,1,1),0,IF(F44&lt;OFFSET($BN$9,CN44-1,0,1,1),((F44-OFFSET($BM$9,CN44-1,0,1,1))*OFFSET($CH$9,CN44-1,0,1,1))+OFFSET($BO$9,CN44-1,CQ44,1,1),IF(F44&lt;OFFSET($BN$9,CN44+0,0,1,1),((F44-OFFSET($BM$9,CN44+0,0,1,1))*OFFSET($CH$9,CN44+0,0,1,1))+OFFSET($BO$9,CN44+0,CQ44,1,1),IF(F44&lt;OFFSET($BN$9,CN44+1,0,1,1),((F44-OFFSET($BM$9,CN44+1,0,1,1))*OFFSET($CH$9,CN44+1,0,1,1))+OFFSET($BO$9,CN44+1,CQ44,1,1),IF(F44&lt;OFFSET($BN$9,CN44+2,0,1,1),((F44-OFFSET($BM$9,CN44+2,0,1,1))*OFFSET($CH$9,CN44+2,0,1,1))+OFFSET($BO$9,CN44+2,CQ44,1,1),IF(F44&lt;OFFSET($BN$9,CN44+3,0,1,1),((F44-OFFSET($BM$9,CN44+3,0,1,1))*OFFSET($CH$9,CN44+3,0,1,1))+OFFSET($BO$9,CN44+3,CQ44,1,1),0))))))</f>
        <v>0</v>
      </c>
      <c r="DH44" s="1552">
        <f ca="1">IF($F44&lt;OFFSET($BM$9,$CN44-1,0,1,1),0,IF($F44&lt;OFFSET($BN$9,$CN44-1,0,1,1),IF(AND($H44&gt;2.4,Z44&lt;&gt;"e",Z44&lt;&gt;"f"),DL44*2.4/$H44,DL44),IF($F44&lt;OFFSET($BN$9,$CN44+0,0,1,1),IF(AND($H44&gt;2.4,Z44&lt;&gt;"e",Z44&lt;&gt;"f"),DL44*2.4/$H44,DL44),IF($F44&lt;OFFSET($BN$9,$CN44+1,0,1,1),IF(AND($H44&gt;2.4,Z44&lt;&gt;"e",Z44&lt;&gt;"f"),DL44*2.4/$H44,DL44),IF($F44&lt;OFFSET($BN$9,$CN44+2,0,1,1),IF(AND($H44&gt;2.4,Z44&lt;&gt;"e",Z44&lt;&gt;"f"),DL44*2.4/$H44,DL44),IF($F44&lt;OFFSET($BN$9,$CN44+3,0,1,1),IF(AND($H44&gt;2.4,Z44&lt;&gt;"e",Z44&lt;&gt;"f"),DL44*2.4/$H44,DL44),0)))))*COS(RADIANS($G44)))</f>
        <v>0</v>
      </c>
      <c r="DI44" s="51">
        <f ca="1">IF(F44&lt;OFFSET($BM$9,CN44-1,0,1,1),0,IF(F44&lt;OFFSET($BN$9,CN44-1,0,1,1),((F44-OFFSET($BM$9,CN44-1,0,1,1))*OFFSET($CI$9,CN44-1,0,1,1))+OFFSET($BP$9,CN44-1,CQ44,1,1),IF(F44&lt;OFFSET($BN$9,CN44+0,0,1,1),((F44-OFFSET($BM$9,CN44+0,0,1,1))*OFFSET($CI$9,CN44+0,0,1,1))+OFFSET($BP$9,CN44+0,CQ44,1,1),IF(F44&lt;OFFSET($BN$9,CN44+1,0,1,1),((F44-OFFSET($BM$9,CN44+1,0,1,1))*OFFSET($CI$9,CN44+1,0,1,1))+OFFSET($BP$9,CN44+1,CQ44,1,1),IF(F44&lt;OFFSET($BN$9,CN44+2,0,1,1),((F44-OFFSET($BM$9,CN44+2,0,1,1))*OFFSET($CI$9,CN44+2,0,1,1))+OFFSET($BP$9,CN44+2,CQ44,1,1),IF(F44&lt;OFFSET($BN$9,CN44+3,0,1,1),((F44-OFFSET($BM$9,CN44+3,0,1,1))*OFFSET($CI$9,CN44+3,0,1,1))+OFFSET($BP$9,CN44+3,CQ44,1,1),0))))))</f>
        <v>0</v>
      </c>
      <c r="DJ44" s="1552">
        <f ca="1">IF($F44&lt;OFFSET($BM$9,$CN44-1,0,1,1),0,IF($F44&lt;OFFSET($BN$9,$CN44-1,0,1,1),IF(AND($H44&gt;2.4,Z44&lt;&gt;"e",Z44&lt;&gt;"f"),DN44*2.4/$H44,DN44),IF($F44&lt;OFFSET($BN$9,$CN44+0,0,1,1),IF(AND($H44&gt;2.4,Z44&lt;&gt;"e",Z44&lt;&gt;"f"),DN44*2.4/$H44,DN44),IF($F44&lt;OFFSET($BN$9,$CN44+1,0,1,1),IF(AND($H44&gt;2.4,Z44&lt;&gt;"e",Z44&lt;&gt;"f"),DN44*2.4/$H44,DN44),IF($F44&lt;OFFSET($BN$9,$CN44+2,0,1,1),IF(AND($H44&gt;2.4,Z44&lt;&gt;"e",Z44&lt;&gt;"f"),DN44*2.4/$H44,DN44),IF($F44&lt;OFFSET($BN$9,$CN44+3,0,1,1),IF(AND($H44&gt;2.4,Z44&lt;&gt;"e",Z44&lt;&gt;"f"),DN44*2.4/$H44,DN44),0)))))*COS(RADIANS($G44)))</f>
        <v>0</v>
      </c>
      <c r="DK44" s="51"/>
      <c r="DL44" s="51">
        <f ca="1">IF(DG44&gt;$CR44,$CR44,DG44)</f>
        <v>0</v>
      </c>
      <c r="DM44" s="51"/>
      <c r="DN44" s="51">
        <f ca="1">IF(DI44&gt;$CR44,$CR44,DI44)</f>
        <v>0</v>
      </c>
      <c r="DO44" s="435">
        <f ca="1">IF(DH44&gt;$CR44,$CR44,DH44)</f>
        <v>0</v>
      </c>
      <c r="DP44" s="435">
        <f ca="1">DO44*F44</f>
        <v>0</v>
      </c>
      <c r="DQ44" s="436">
        <f ca="1">IF(DJ44&gt;$CR44,$CR44,DJ44)</f>
        <v>0</v>
      </c>
      <c r="DR44" s="437">
        <f ca="1">DQ44*F44</f>
        <v>0</v>
      </c>
      <c r="DS44" s="426">
        <f ca="1">OFFSET($CH$9,CL44-1,-15,1,1)</f>
        <v>0</v>
      </c>
      <c r="DT44" s="426">
        <f t="shared" ca="1" si="32"/>
        <v>0</v>
      </c>
      <c r="DU44" s="188">
        <f ca="1">IF(F44&lt;OFFSET($BM$9,DT44-1,0,1,1),0,IF(F44&lt;OFFSET($BN$9,DT44-1,0,1,1),((F44-OFFSET($BM$9,DT44-1,0,1,1))*OFFSET($CH$9,DT44-1,0,1,1))+OFFSET($BO$9,DT44-1,CQ44,1,1),IF(F44&lt;OFFSET($BN$9,DT44+0,0,1,1),((F44-OFFSET($BM$9,DT44+0,0,1,1))*OFFSET($CH$9,DT44+0,0,1,1))+OFFSET($BO$9,DT44+0,CQ44,1,1),IF(F44&lt;OFFSET($BN$9,DT44+1,0,1,1),((F44-OFFSET($BM$9,DT44+1,0,1,1))*OFFSET($CH$9,DT44+1,0,1,1))+OFFSET($BO$9,DT44+1,CQ44,1,1),IF(F44&lt;OFFSET($BN$9,DT44+2,0,1,1),((F44-OFFSET($BM$9,DT44+2,0,1,1))*OFFSET($CH$9,DT44+2,0,1,1))+OFFSET($BO$9,DT44+2,CQ44,1,1),IF(F44&lt;OFFSET($BN$9,DT44+3,0,1,1),((F44-OFFSET($BM$9,DT44+3,0,1,1))*OFFSET($CH$9,DT44+3,0,1,1))+OFFSET($BO$9,DT44+3,CQ44,1,1),0))))))</f>
        <v>0</v>
      </c>
      <c r="DV44" s="1552">
        <f ca="1">IF($F44&lt;OFFSET($BM$9,$DT44-1,0,1,1),0,IF($F44&lt;OFFSET($BN$9,$DT44-1,0,1,1),IF(AND($H44&gt;2.4,Z44&lt;&gt;"e",Z44&lt;&gt;"f"),DZ44*2.4/$H44,DZ44),IF($F44&lt;OFFSET($BN$9,$DT44+0,0,1,1),IF(AND($H44&gt;2.4,Z44&lt;&gt;"e",Z44&lt;&gt;"f"),DZ44*2.4/$H44,DZ44),IF($F44&lt;OFFSET($BN$9,$DT44+1,0,1,1),IF(AND($H44&gt;2.4,Z44&lt;&gt;"e",Z44&lt;&gt;"f"),DZ44*2.4/$H44,DZ44),IF($F44&lt;OFFSET($BN$9,$DT44+2,0,1,1),IF(AND($H44&gt;2.4,Z44&lt;&gt;"e",Z44&lt;&gt;"f"),DZ44*2.4/$H44,DZ44),IF($F44&lt;OFFSET($BN$9,$DT44+3,0,1,1),IF(AND($H44&gt;2.4,Z44&lt;&gt;"e",Z44&lt;&gt;"f"),DZ44*2.4/$H44,DZ44),0)))))*COS(RADIANS($G44)))</f>
        <v>0</v>
      </c>
      <c r="DW44" s="188">
        <f ca="1">IF(F44&lt;OFFSET($BM$9,DT44-1,0,1,1),0,IF(F44&lt;OFFSET($BN$9,DT44-1,0,1,1),((F44-OFFSET($BM$9,DT44-1,0,1,1))*OFFSET($CI$9,DT44-1,0,1,1))+OFFSET($BP$9,DT44-1,CQ44,1,1),IF(F44&lt;OFFSET($BN$9,DT44+0,0,1,1),((F44-OFFSET($BM$9,DT44+0,0,1,1))*OFFSET($CI$9,DT44+0,0,1,1))+OFFSET($BP$9,DT44+0,CQ44,1,1),IF(F44&lt;OFFSET($BN$9,DT44+1,0,1,1),((F44-OFFSET($BM$9,DT44+1,0,1,1))*OFFSET($CI$9,DT44+1,0,1,1))+OFFSET($BP$9,DT44+1,CQ44,1,1),IF(F44&lt;OFFSET($BN$9,DT44+2,0,1,1),((F44-OFFSET($BM$9,DT44+2,0,1,1))*OFFSET($CI$9,DT44+2,0,1,1))+OFFSET($BP$9,DT44+2,CQ44,1,1),IF(F44&lt;OFFSET($BN$9,DT44+3,0,1,1),((F44-OFFSET($BM$9,DT44+3,0,1,1))*OFFSET($CI$9,DT44+3,0,1,1))+OFFSET($BP$9,DT44+3,CQ44,1,1),0))))))</f>
        <v>0</v>
      </c>
      <c r="DX44" s="1552">
        <f ca="1">IF($F44&lt;OFFSET($BM$9,$DT44-1,0,1,1),0,IF($F44&lt;OFFSET($BN$9,$DT44-1,0,1,1),IF(AND($H44&gt;2.4,Z44&lt;&gt;"e",Z44&lt;&gt;"f"),EB44*2.4/$H44,EB44),IF($F44&lt;OFFSET($BN$9,$DT44+0,0,1,1),IF(AND($H44&gt;2.4,Z44&lt;&gt;"e",Z44&lt;&gt;"f"),EB44*2.4/$H44,EB44),IF($F44&lt;OFFSET($BN$9,$DT44+1,0,1,1),IF(AND($H44&gt;2.4,Z44&lt;&gt;"e",Z44&lt;&gt;"f"),EB44*2.4/$H44,EB44),IF($F44&lt;OFFSET($BN$9,$DT44+2,0,1,1),IF(AND($H44&gt;2.4,Z44&lt;&gt;"e",Z44&lt;&gt;"f"),EB44*2.4/$H44,EB44),IF($F44&lt;OFFSET($BN$9,$DT44+3,0,1,1),IF(AND($H44&gt;2.4,Z44&lt;&gt;"e",Z44&lt;&gt;"f"),EB44*2.4/$H44,EB44),0)))))*COS(RADIANS($G44)))</f>
        <v>0</v>
      </c>
      <c r="DY44" s="188"/>
      <c r="DZ44" s="188">
        <f ca="1">IF(DU44&gt;$CR44,$CR44,DU44)</f>
        <v>0</v>
      </c>
      <c r="EA44" s="188"/>
      <c r="EB44" s="188">
        <f ca="1">IF(DW44&gt;$CR44,$CR44,DW44)</f>
        <v>0</v>
      </c>
      <c r="EC44" s="435">
        <f ca="1">IF(DV44&gt;$CR44,$CR44,DV44)</f>
        <v>0</v>
      </c>
      <c r="ED44" s="435">
        <f ca="1">EC44*F44</f>
        <v>0</v>
      </c>
      <c r="EE44" s="436">
        <f ca="1">IF(DX44&gt;$CR44,$CR44,DX44)</f>
        <v>0</v>
      </c>
      <c r="EF44" s="437">
        <f ca="1">EE44*F44</f>
        <v>0</v>
      </c>
      <c r="EG44" s="613" t="str">
        <f>IF(D44=BG$12,BG$12,"")</f>
        <v/>
      </c>
      <c r="EH44" s="614" t="str">
        <f>IF(D44=BG$13,BG$13,"")</f>
        <v/>
      </c>
      <c r="EI44" s="611">
        <f>IF(EG44=BG$12,M44,0)</f>
        <v>0</v>
      </c>
      <c r="EJ44" s="451">
        <f>IF(EG44=BG$12,O44,0)</f>
        <v>0</v>
      </c>
      <c r="EK44" s="451">
        <f>IF(EH44=BG$13,M44,0)</f>
        <v>0</v>
      </c>
      <c r="EL44" s="612">
        <f>IF(EH44=BG$13,O44,0)</f>
        <v>0</v>
      </c>
      <c r="EM44" s="426" t="str">
        <f ca="1">IF(AND(Z44&lt;&gt;"t",Z44&lt;&gt;"f"),"",IF(AND(EN44=$BH$11,K44&lt;&gt;EN44),EM$4,IF(AND(EN44=$BH$12,K44=$BH$13),EM$4,IF(AND(EN44=$BH$12,K44=$BH$14),EM$4,IF(AND(EN44=$BH$13,K44=$BH$14),$EM$4,IF(EN44=$BH$14,$EM$4,""))))))</f>
        <v/>
      </c>
      <c r="EN44" s="489" t="str">
        <f>BG$24</f>
        <v>No Floor</v>
      </c>
      <c r="EO44" s="426" t="str">
        <f>K44</f>
        <v xml:space="preserve"> </v>
      </c>
      <c r="EP44" s="497" t="str">
        <f ca="1">IF(AND(Z44&lt;&gt;"t",Z44&lt;&gt;"f"),"",IF(AND(EN44=$BH$14,K44&lt;&gt;EN44),EP$4,IF(AND(EN44=$BH$13,K44=$BH$12),EP$4,IF(AND(EN44=$BH$13,K44=$BH$11),EP$4,IF(AND(EN44=$BH$12,K44=$BH$11),$EP$4,IF(EN44=$BH$11,"Earth",""))))))</f>
        <v/>
      </c>
      <c r="EQ44" s="430" t="str">
        <f ca="1">IF(Z44&lt;&gt;"t","",IF(EQ$5=2,IF(K44&lt;&gt;BH$11,EQ$7," ")))</f>
        <v/>
      </c>
      <c r="ER44" s="439" t="str">
        <f ca="1">IF(H44=0," ",H44)</f>
        <v xml:space="preserve"> </v>
      </c>
      <c r="ES44" s="440" t="str">
        <f ca="1">IF(ER44&lt;&gt;" ",IF(ER44&lt;&gt;ER$7,"Changed",""),"")</f>
        <v/>
      </c>
      <c r="ET44" s="440">
        <f t="shared" ca="1" si="20"/>
        <v>0</v>
      </c>
      <c r="EU44" s="426" t="str">
        <f ca="1">IF(I44=" "," ",IF(F44&lt;OFFSET($BM$9,CL44-1,0,1,1),1,""))</f>
        <v xml:space="preserve"> </v>
      </c>
      <c r="EW44" s="427"/>
      <c r="EY44" s="421"/>
    </row>
    <row r="45" spans="1:155" ht="17.100000000000001" customHeight="1">
      <c r="A45" s="2685"/>
      <c r="B45" s="689" t="s">
        <v>246</v>
      </c>
      <c r="C45" s="684" t="str">
        <f>IF(OR(F45=0,I45="",I45=" ")," ",$V45)</f>
        <v xml:space="preserve"> </v>
      </c>
      <c r="D45" s="1033"/>
      <c r="E45" s="1360"/>
      <c r="F45" s="202"/>
      <c r="G45" s="1416"/>
      <c r="H45" s="1417" t="str">
        <f ca="1">IF(OR(F45=0,Z45="E",Z45="f")," ",'Project Demand'!E$55)</f>
        <v xml:space="preserve"> </v>
      </c>
      <c r="I45" s="631" t="str">
        <f>IF($I$6&lt;&gt;$BG$8," ",AB45)</f>
        <v xml:space="preserve"> </v>
      </c>
      <c r="J45" s="44" t="str">
        <f ca="1">IF(OR(I45=" ",I45="")," ",OFFSET($BO$9,CL45-1,0-4,1,1))</f>
        <v xml:space="preserve"> </v>
      </c>
      <c r="K45" s="55" t="str">
        <f>IF(OR(I45=" ",I45="")," ",IF(OR(Z45="e",Z45="h"),"SD",IF(BG$24=BH$11,BH$13,BG$24)))</f>
        <v xml:space="preserve"> </v>
      </c>
      <c r="L45" s="49">
        <f ca="1">CW45</f>
        <v>0</v>
      </c>
      <c r="M45" s="49">
        <f ca="1">CY45</f>
        <v>0</v>
      </c>
      <c r="N45" s="50">
        <f t="shared" ca="1" si="34"/>
        <v>0</v>
      </c>
      <c r="O45" s="126">
        <f t="shared" ca="1" si="34"/>
        <v>0</v>
      </c>
      <c r="P45" s="140"/>
      <c r="Q45" s="752" t="str">
        <f ca="1">IF(AND(OR(Z45="t",Z45="f"),K45=$BH$11),"No Floor!  Change Floor Type",IF(OR(I45=" ",I45="")," ",IF(F45&lt;OFFSET($BM$9,CL45-1,0,1,1),"check L(m)",DE45&amp;IF(AND(DP45&gt;=CY45,DR45&gt;=DB45),IF(AND(ED45&gt;=DP45,EF45&gt;=DR45),CONCATENATE(DS45," will provide same result"),CONCATENATE(CO45," will provide same result")),IF((DP45&gt;=CY45),CONCATENATE(CO45," provides same result in WIND"),IF((DR45&gt;=DB45),CONCATENATE(CO45," provides same result in EQ"),""))))))&amp;IF(ISERROR(FIND("pile",I45,1)),"",IF(INT(F45)&lt;&gt;F45,"Pile!  Use Whole Numbers Only",""))</f>
        <v xml:space="preserve"> </v>
      </c>
      <c r="R45" s="52"/>
      <c r="S45" s="1372"/>
      <c r="T45" s="1372"/>
      <c r="U45" s="1377"/>
      <c r="V45" s="52" t="str">
        <f ca="1">IF(AND(B$5=$BF$9,OR(I45=BH$16,I45=BH$17))," ",IF(ISNUMBER(B$44),(CONCATENATE(B$44,".",W45)),(CONCATENATE(B$44,W45))))</f>
        <v>G0</v>
      </c>
      <c r="W45" s="9">
        <f ca="1">W44+X45</f>
        <v>0</v>
      </c>
      <c r="X45" s="9">
        <f>IF(AND(B$5=$BF$9,OR($I45=$BH$16,$I45=$BH$17,$I45=" ",$I45="",$F45=0)),0,IF(OR($I45=" ",$I45="",$F45=0),0,1))</f>
        <v>0</v>
      </c>
      <c r="Y45" s="896"/>
      <c r="Z45" s="52" t="str">
        <f ca="1">IF(I45=" "," ",OFFSET($BM$9,$CL45-1,8,1,1))</f>
        <v xml:space="preserve"> </v>
      </c>
      <c r="AA45" s="51" t="str">
        <f>IF(G45&gt;=45,"WA","")</f>
        <v/>
      </c>
      <c r="AB45" s="1364" t="str">
        <f>IF(OR(E45=" ",E45="")," ",(IF(F45&lt;&gt;"",IF(OR(D45=$BG$12,D45=$BG$13),IF(E45&lt;&gt;$BG$17,$BF$20,$BF$21),IF(E45&lt;&gt;$BG$17,$BF$20,$BF$21))," ")))</f>
        <v xml:space="preserve"> </v>
      </c>
      <c r="AC45" s="1"/>
      <c r="AJ45" s="2"/>
      <c r="AK45" s="2184" t="str">
        <f>'Custom Elements'!B6</f>
        <v>Supplier or Type</v>
      </c>
      <c r="AL45" s="1862" t="str">
        <f>'Custom Elements'!C6</f>
        <v xml:space="preserve"> Custom System Number</v>
      </c>
      <c r="AM45" s="1862" t="str">
        <f>'Custom Elements'!D6</f>
        <v>Min Length (m) or #</v>
      </c>
      <c r="AN45" s="2565" t="str">
        <f>'Custom Elements'!E6</f>
        <v>BU's/m   Wind</v>
      </c>
      <c r="AO45" s="2565" t="str">
        <f>'Custom Elements'!F6</f>
        <v>BU's/m   EQ</v>
      </c>
      <c r="AQ45" s="2903" t="str">
        <f>'Custom Elements'!H6</f>
        <v>Single or Double Sided System</v>
      </c>
      <c r="AR45" s="2856" t="str">
        <f>'Custom Elements'!I6</f>
        <v>Height Dependant</v>
      </c>
      <c r="AS45" s="2232" t="str">
        <f>'Custom Elements'!J6</f>
        <v>Foundation Dependant</v>
      </c>
      <c r="AT45" s="1164"/>
      <c r="AU45"/>
      <c r="AY45"/>
      <c r="AZ45" s="2232" t="s">
        <v>1102</v>
      </c>
      <c r="BA45" s="119"/>
      <c r="BB45" s="119"/>
      <c r="BC45" s="119"/>
      <c r="BD45" s="637"/>
      <c r="BF45" s="599" t="str">
        <f>'Custom Elements'!C21</f>
        <v>Custom13</v>
      </c>
      <c r="BI45" s="759"/>
      <c r="BJ45" s="897">
        <f t="shared" si="33"/>
        <v>37</v>
      </c>
      <c r="BK45" s="1224"/>
      <c r="BL45" s="1209"/>
      <c r="BM45" s="969">
        <f>Table!J11</f>
        <v>0.6</v>
      </c>
      <c r="BN45" s="455">
        <f t="shared" ref="BN45:BN47" si="35">BM46</f>
        <v>0.8</v>
      </c>
      <c r="BO45" s="455">
        <f>Table!K11</f>
        <v>57</v>
      </c>
      <c r="BP45" s="925">
        <f>Table!L11</f>
        <v>52</v>
      </c>
      <c r="BR45" s="1225"/>
      <c r="BS45" s="1212"/>
      <c r="BT45" s="1212"/>
      <c r="BU45" s="1226" t="s">
        <v>242</v>
      </c>
      <c r="BV45" s="895"/>
      <c r="BW45" s="603"/>
      <c r="BX45" s="1226" t="str">
        <f>Table!N11</f>
        <v>Double</v>
      </c>
      <c r="CH45" s="764">
        <f>IF(BN45=999,0,(BO46-BO45)/(BN45-BM45))</f>
        <v>4.9999999999999982</v>
      </c>
      <c r="CI45" s="925">
        <f>IF(BN45=999,0,(BP46-BP45)/(BN45-BM45))</f>
        <v>4.9999999999999982</v>
      </c>
      <c r="CJ45" s="759"/>
      <c r="CK45" s="188"/>
      <c r="CL45" s="979">
        <f>VLOOKUP(I45,Prodlink,2,0)</f>
        <v>0</v>
      </c>
      <c r="CN45" s="497">
        <f t="shared" ca="1" si="31"/>
        <v>0</v>
      </c>
      <c r="CO45" s="497">
        <f ca="1">OFFSET($CH$9,CL45-1,-15,1,1)</f>
        <v>0</v>
      </c>
      <c r="CQ45" s="51">
        <v>0</v>
      </c>
      <c r="CR45" s="51">
        <f ca="1">IF(AND(Z45&lt;&gt;"t",Z45&lt;&gt;"f"),10000,IF(K45=$BH$11,0,IF(K45=$BH$12,$BH$23,IF(K45=$BH$13,$BH$24,10000))))</f>
        <v>10000</v>
      </c>
      <c r="CS45" s="51">
        <f ca="1">IF(F45&lt;OFFSET($BM$9,CL45-1,0,1,1),0,IF(F45&lt;OFFSET($BN$9,CL45-1,0,1,1),((F45-OFFSET($BM$9,CL45-1,0,1,1))*OFFSET($CH$9,CL45-1,0,1,1))+OFFSET($BO$9,CL45-1,CQ45,1,1),IF(F45&lt;OFFSET($BN$9,CL45+0,0,1,1),((F45-OFFSET($BM$9,CL45+0,0,1,1))*OFFSET($CH$9,CL45+0,0,1,1))+OFFSET($BO$9,CL45+0,CQ45,1,1),IF(F45&lt;OFFSET($BN$9,CL45+1,0,1,1),((F45-OFFSET($BM$9,CL45+1,0,1,1))*OFFSET($CH$9,CL45+1,0,1,1))+OFFSET($BO$9,CL45+1,CQ45,1,1),IF(F45&lt;OFFSET($BN$9,CL45+2,0,1,1),((F45-OFFSET($BM$9,CL45+2,0,1,1))*OFFSET($CH$9,CL45+2,0,1,1))+OFFSET($BO$9,CL45+2,CQ45,1,1),IF(F45&lt;OFFSET($BN$9,CL45+3,0,1,1),((F45-OFFSET($BM$9,CL45+3,0,1,1))*OFFSET($CH$9,CL45+3,0,1,1))+OFFSET($BO$9,CL45+3,CQ45,1,1),0))))))</f>
        <v>0</v>
      </c>
      <c r="CT45" s="51">
        <f ca="1">IF($F45&lt;OFFSET($BM$9,$CL45-1,0,1,1),0,IF($F45&lt;OFFSET($BN$9,$CL45-1,0,1,1),IF(AND($H45&gt;2.4,Z45&lt;&gt;"e",Z45&lt;&gt;"f"),CX45*2.4/$H45,CX45),IF($F45&lt;OFFSET($BN$9,$CL45+0,0,1,1),IF(AND($H45&gt;2.4,Z45&lt;&gt;"e",Z45&lt;&gt;"f"),CX45*2.4/$H45,CX45),IF($F45&lt;OFFSET($BN$9,$CL45+1,0,1,1),IF(AND($H45&gt;2.4,Z45&lt;&gt;"e",Z45&lt;&gt;"f"),CX45*2.4/$H45,CX45),IF($F45&lt;OFFSET($BN$9,CL45+2,0,1,1),IF(AND($H45&gt;2.4,Z45&lt;&gt;"e",Z45&lt;&gt;"f"),CX45*2.4/$H45,CX45),IF($F45&lt;OFFSET($BN$9,CL45+3,0,1,1),IF(AND($H45&gt;2.4,Z45&lt;&gt;"e",Z45&lt;&gt;"f"),CX45*2.4/$H45,CX45),0)))))*COS(RADIANS($G45)))</f>
        <v>0</v>
      </c>
      <c r="CU45" s="51">
        <f ca="1">IF(F45&lt;OFFSET($BM$9,CL45-1,0,1,1),0,IF(F45&lt;OFFSET($BN$9,CL45-1,0,1,1),((F45-OFFSET($BM$9,CL45-1,0,1,1))*OFFSET($CI$9,CL45-1,0,1,1))+OFFSET($BP$9,CL45-1,CQ45,1,1),IF(F45&lt;OFFSET($BN$9,CL45+0,0,1,1),((F45-OFFSET($BM$9,CL45+0,0,1,1))*OFFSET($CI$9,CL45+0,0,1,1))+OFFSET($BP$9,CL45+0,CQ45,1,1),IF(F45&lt;OFFSET($BN$9,CL45+1,0,1,1),((F45-OFFSET($BM$9,CL45+1,0,1,1))*OFFSET($CI$9,CL45+1,0,1,1))+OFFSET($BP$9,CL45+1,CQ45,1,1),IF(F45&lt;OFFSET($BN$9,CL45+2,0,1,1),((F45-OFFSET($BM$9,CL45+2,0,1,1))*OFFSET($CI$9,CL45+2,0,1,1))+OFFSET($BP$9,CL45+2,CQ45,1,1),IF(F45&lt;OFFSET($BN$9,CL45+3,0,1,1),((F45-OFFSET($BM$9,CL45+3,0,1,1))*OFFSET($CI$9,CL45+3,0,1,1))+OFFSET($BP$9,CL45+3,CQ45,1,1),0))))))</f>
        <v>0</v>
      </c>
      <c r="CV45" s="51">
        <f ca="1">IF($F45&lt;OFFSET($BM$9,$CL45-1,0,1,1),0,IF($F45&lt;OFFSET($BN$9,$CL45-1,0,1,1),IF(AND($H45&gt;2.4,Z45&lt;&gt;"e",Z45&lt;&gt;"f"),CZ45*2.4/$H45,CZ45),IF($F45&lt;OFFSET($BN$9,$CL45+0,0,1,1),IF(AND($H45&gt;2.4,Z45&lt;&gt;"e",Z45&lt;&gt;"f"),CZ45*2.4/$H45,CZ45),IF($F45&lt;OFFSET($BN$9,$CL45+1,0,1,1),IF(AND($H45&gt;2.4,Z45&lt;&gt;"e",Z45&lt;&gt;"f"),CZ45*2.4/$H45,CZ45),IF($F45&lt;OFFSET($BN$9,$CL45+2,0,1,1),IF(AND($H45&gt;2.4,Z45&lt;&gt;"e",Z45&lt;&gt;"f"),CZ45*2.4/$H45,CZ45),IF($F45&lt;OFFSET($BN$9,$CL45+3,0,1,1),IF(AND($H45&gt;2.4,Z45&lt;&gt;"e",Z45&lt;&gt;"f"),CZ45*2.4/$H45,CZ45),0)))))*COS(RADIANS($G45)))</f>
        <v>0</v>
      </c>
      <c r="CW45" s="51">
        <f t="shared" ca="1" si="17"/>
        <v>0</v>
      </c>
      <c r="CX45" s="51">
        <f ca="1">IF(CS45&gt;$CR45,$CR45,CS45)</f>
        <v>0</v>
      </c>
      <c r="CY45" s="51">
        <f ca="1">CW45*F45</f>
        <v>0</v>
      </c>
      <c r="CZ45" s="51">
        <f ca="1">IF($CU45&gt;$CR45,$CR45,$CU45)</f>
        <v>0</v>
      </c>
      <c r="DA45" s="51">
        <f ca="1">IF(CV45&gt;CR45,CR45,CV45)</f>
        <v>0</v>
      </c>
      <c r="DB45" s="51">
        <f ca="1">DA45*F45</f>
        <v>0</v>
      </c>
      <c r="DC45" s="993">
        <v>1</v>
      </c>
      <c r="DD45" s="758" t="str">
        <f>IF(OR(D45=BG$12,D45=BG$13),"External",IF(D45=BG$14,"Internal"," "))</f>
        <v xml:space="preserve"> </v>
      </c>
      <c r="DE45" s="51" t="str">
        <f t="shared" ca="1" si="18"/>
        <v/>
      </c>
      <c r="DF45" s="52" t="str">
        <f t="shared" ca="1" si="19"/>
        <v xml:space="preserve"> </v>
      </c>
      <c r="DG45" s="51">
        <f ca="1">IF(F45&lt;OFFSET($BM$9,CN45-1,0,1,1),0,IF(F45&lt;OFFSET($BN$9,CN45-1,0,1,1),((F45-OFFSET($BM$9,CN45-1,0,1,1))*OFFSET($CH$9,CN45-1,0,1,1))+OFFSET($BO$9,CN45-1,CQ45,1,1),IF(F45&lt;OFFSET($BN$9,CN45+0,0,1,1),((F45-OFFSET($BM$9,CN45+0,0,1,1))*OFFSET($CH$9,CN45+0,0,1,1))+OFFSET($BO$9,CN45+0,CQ45,1,1),IF(F45&lt;OFFSET($BN$9,CN45+1,0,1,1),((F45-OFFSET($BM$9,CN45+1,0,1,1))*OFFSET($CH$9,CN45+1,0,1,1))+OFFSET($BO$9,CN45+1,CQ45,1,1),IF(F45&lt;OFFSET($BN$9,CN45+2,0,1,1),((F45-OFFSET($BM$9,CN45+2,0,1,1))*OFFSET($CH$9,CN45+2,0,1,1))+OFFSET($BO$9,CN45+2,CQ45,1,1),IF(F45&lt;OFFSET($BN$9,CN45+3,0,1,1),((F45-OFFSET($BM$9,CN45+3,0,1,1))*OFFSET($CH$9,CN45+3,0,1,1))+OFFSET($BO$9,CN45+3,CQ45,1,1),0))))))</f>
        <v>0</v>
      </c>
      <c r="DH45" s="51">
        <f ca="1">IF($F45&lt;OFFSET($BM$9,$CN45-1,0,1,1),0,IF($F45&lt;OFFSET($BN$9,$CN45-1,0,1,1),IF(AND($H45&gt;2.4,Z45&lt;&gt;"e",Z45&lt;&gt;"f"),DL45*2.4/$H45,DL45),IF($F45&lt;OFFSET($BN$9,$CN45+0,0,1,1),IF(AND($H45&gt;2.4,Z45&lt;&gt;"e",Z45&lt;&gt;"f"),DL45*2.4/$H45,DL45),IF($F45&lt;OFFSET($BN$9,$CN45+1,0,1,1),IF(AND($H45&gt;2.4,Z45&lt;&gt;"e",Z45&lt;&gt;"f"),DL45*2.4/$H45,DL45),IF($F45&lt;OFFSET($BN$9,$CN45+2,0,1,1),IF(AND($H45&gt;2.4,Z45&lt;&gt;"e",Z45&lt;&gt;"f"),DL45*2.4/$H45,DL45),IF($F45&lt;OFFSET($BN$9,$CN45+3,0,1,1),IF(AND($H45&gt;2.4,Z45&lt;&gt;"e",Z45&lt;&gt;"f"),DL45*2.4/$H45,DL45),0)))))*COS(RADIANS($G45)))</f>
        <v>0</v>
      </c>
      <c r="DI45" s="51">
        <f ca="1">IF(F45&lt;OFFSET($BM$9,CN45-1,0,1,1),0,IF(F45&lt;OFFSET($BN$9,CN45-1,0,1,1),((F45-OFFSET($BM$9,CN45-1,0,1,1))*OFFSET($CI$9,CN45-1,0,1,1))+OFFSET($BP$9,CN45-1,CQ45,1,1),IF(F45&lt;OFFSET($BN$9,CN45+0,0,1,1),((F45-OFFSET($BM$9,CN45+0,0,1,1))*OFFSET($CI$9,CN45+0,0,1,1))+OFFSET($BP$9,CN45+0,CQ45,1,1),IF(F45&lt;OFFSET($BN$9,CN45+1,0,1,1),((F45-OFFSET($BM$9,CN45+1,0,1,1))*OFFSET($CI$9,CN45+1,0,1,1))+OFFSET($BP$9,CN45+1,CQ45,1,1),IF(F45&lt;OFFSET($BN$9,CN45+2,0,1,1),((F45-OFFSET($BM$9,CN45+2,0,1,1))*OFFSET($CI$9,CN45+2,0,1,1))+OFFSET($BP$9,CN45+2,CQ45,1,1),IF(F45&lt;OFFSET($BN$9,CN45+3,0,1,1),((F45-OFFSET($BM$9,CN45+3,0,1,1))*OFFSET($CI$9,CN45+3,0,1,1))+OFFSET($BP$9,CN45+3,CQ45,1,1),0))))))</f>
        <v>0</v>
      </c>
      <c r="DJ45" s="51">
        <f ca="1">IF($F45&lt;OFFSET($BM$9,$CN45-1,0,1,1),0,IF($F45&lt;OFFSET($BN$9,$CN45-1,0,1,1),IF(AND($H45&gt;2.4,Z45&lt;&gt;"e",Z45&lt;&gt;"f"),DN45*2.4/$H45,DN45),IF($F45&lt;OFFSET($BN$9,$CN45+0,0,1,1),IF(AND($H45&gt;2.4,Z45&lt;&gt;"e",Z45&lt;&gt;"f"),DN45*2.4/$H45,DN45),IF($F45&lt;OFFSET($BN$9,$CN45+1,0,1,1),IF(AND($H45&gt;2.4,Z45&lt;&gt;"e",Z45&lt;&gt;"f"),DN45*2.4/$H45,DN45),IF($F45&lt;OFFSET($BN$9,$CN45+2,0,1,1),IF(AND($H45&gt;2.4,Z45&lt;&gt;"e",Z45&lt;&gt;"f"),DN45*2.4/$H45,DN45),IF($F45&lt;OFFSET($BN$9,$CN45+3,0,1,1),IF(AND($H45&gt;2.4,Z45&lt;&gt;"e",Z45&lt;&gt;"f"),DN45*2.4/$H45,DN45),0)))))*COS(RADIANS($G45)))</f>
        <v>0</v>
      </c>
      <c r="DK45" s="51"/>
      <c r="DL45" s="51">
        <f ca="1">IF(DG45&gt;$CR45,$CR45,DG45)</f>
        <v>0</v>
      </c>
      <c r="DM45" s="51"/>
      <c r="DN45" s="51">
        <f ca="1">IF(DI45&gt;$CR45,$CR45,DI45)</f>
        <v>0</v>
      </c>
      <c r="DO45" s="435">
        <f ca="1">IF(DH45&gt;$CR45,$CR45,DH45)</f>
        <v>0</v>
      </c>
      <c r="DP45" s="435">
        <f ca="1">DO45*F45</f>
        <v>0</v>
      </c>
      <c r="DQ45" s="436">
        <f ca="1">IF(DJ45&gt;$CR45,$CR45,DJ45)</f>
        <v>0</v>
      </c>
      <c r="DR45" s="437">
        <f ca="1">DQ45*F45</f>
        <v>0</v>
      </c>
      <c r="DS45" s="426">
        <f ca="1">OFFSET($CH$9,CL45-1,-15,1,1)</f>
        <v>0</v>
      </c>
      <c r="DT45" s="426">
        <f t="shared" ca="1" si="32"/>
        <v>0</v>
      </c>
      <c r="DU45" s="188">
        <f ca="1">IF(F45&lt;OFFSET($BM$9,DT45-1,0,1,1),0,IF(F45&lt;OFFSET($BN$9,DT45-1,0,1,1),((F45-OFFSET($BM$9,DT45-1,0,1,1))*OFFSET($CH$9,DT45-1,0,1,1))+OFFSET($BO$9,DT45-1,CQ45,1,1),IF(F45&lt;OFFSET($BN$9,DT45+0,0,1,1),((F45-OFFSET($BM$9,DT45+0,0,1,1))*OFFSET($CH$9,DT45+0,0,1,1))+OFFSET($BO$9,DT45+0,CQ45,1,1),IF(F45&lt;OFFSET($BN$9,DT45+1,0,1,1),((F45-OFFSET($BM$9,DT45+1,0,1,1))*OFFSET($CH$9,DT45+1,0,1,1))+OFFSET($BO$9,DT45+1,CQ45,1,1),IF(F45&lt;OFFSET($BN$9,DT45+2,0,1,1),((F45-OFFSET($BM$9,DT45+2,0,1,1))*OFFSET($CH$9,DT45+2,0,1,1))+OFFSET($BO$9,DT45+2,CQ45,1,1),IF(F45&lt;OFFSET($BN$9,DT45+3,0,1,1),((F45-OFFSET($BM$9,DT45+3,0,1,1))*OFFSET($CH$9,DT45+3,0,1,1))+OFFSET($BO$9,DT45+3,CQ45,1,1),0))))))</f>
        <v>0</v>
      </c>
      <c r="DV45" s="51">
        <f ca="1">IF($F45&lt;OFFSET($BM$9,$DT45-1,0,1,1),0,IF($F45&lt;OFFSET($BN$9,$DT45-1,0,1,1),IF(AND($H45&gt;2.4,Z45&lt;&gt;"e",Z45&lt;&gt;"f"),DZ45*2.4/$H45,DZ45),IF($F45&lt;OFFSET($BN$9,$DT45+0,0,1,1),IF(AND($H45&gt;2.4,Z45&lt;&gt;"e",Z45&lt;&gt;"f"),DZ45*2.4/$H45,DZ45),IF($F45&lt;OFFSET($BN$9,$DT45+1,0,1,1),IF(AND($H45&gt;2.4,Z45&lt;&gt;"e",Z45&lt;&gt;"f"),DZ45*2.4/$H45,DZ45),IF($F45&lt;OFFSET($BN$9,$DT45+2,0,1,1),IF(AND($H45&gt;2.4,Z45&lt;&gt;"e",Z45&lt;&gt;"f"),DZ45*2.4/$H45,DZ45),IF($F45&lt;OFFSET($BN$9,$DT45+3,0,1,1),IF(AND($H45&gt;2.4,Z45&lt;&gt;"e",Z45&lt;&gt;"f"),DZ45*2.4/$H45,DZ45),0)))))*COS(RADIANS($G45)))</f>
        <v>0</v>
      </c>
      <c r="DW45" s="188">
        <f ca="1">IF(F45&lt;OFFSET($BM$9,DT45-1,0,1,1),0,IF(F45&lt;OFFSET($BN$9,DT45-1,0,1,1),((F45-OFFSET($BM$9,DT45-1,0,1,1))*OFFSET($CI$9,DT45-1,0,1,1))+OFFSET($BP$9,DT45-1,CQ45,1,1),IF(F45&lt;OFFSET($BN$9,DT45+0,0,1,1),((F45-OFFSET($BM$9,DT45+0,0,1,1))*OFFSET($CI$9,DT45+0,0,1,1))+OFFSET($BP$9,DT45+0,CQ45,1,1),IF(F45&lt;OFFSET($BN$9,DT45+1,0,1,1),((F45-OFFSET($BM$9,DT45+1,0,1,1))*OFFSET($CI$9,DT45+1,0,1,1))+OFFSET($BP$9,DT45+1,CQ45,1,1),IF(F45&lt;OFFSET($BN$9,DT45+2,0,1,1),((F45-OFFSET($BM$9,DT45+2,0,1,1))*OFFSET($CI$9,DT45+2,0,1,1))+OFFSET($BP$9,DT45+2,CQ45,1,1),IF(F45&lt;OFFSET($BN$9,DT45+3,0,1,1),((F45-OFFSET($BM$9,DT45+3,0,1,1))*OFFSET($CI$9,DT45+3,0,1,1))+OFFSET($BP$9,DT45+3,CQ45,1,1),0))))))</f>
        <v>0</v>
      </c>
      <c r="DX45" s="51">
        <f ca="1">IF($F45&lt;OFFSET($BM$9,$DT45-1,0,1,1),0,IF($F45&lt;OFFSET($BN$9,$DT45-1,0,1,1),IF(AND($H45&gt;2.4,Z45&lt;&gt;"e",Z45&lt;&gt;"f"),EB45*2.4/$H45,EB45),IF($F45&lt;OFFSET($BN$9,$DT45+0,0,1,1),IF(AND($H45&gt;2.4,Z45&lt;&gt;"e",Z45&lt;&gt;"f"),EB45*2.4/$H45,EB45),IF($F45&lt;OFFSET($BN$9,$DT45+1,0,1,1),IF(AND($H45&gt;2.4,Z45&lt;&gt;"e",Z45&lt;&gt;"f"),EB45*2.4/$H45,EB45),IF($F45&lt;OFFSET($BN$9,$DT45+2,0,1,1),IF(AND($H45&gt;2.4,Z45&lt;&gt;"e",Z45&lt;&gt;"f"),EB45*2.4/$H45,EB45),IF($F45&lt;OFFSET($BN$9,$DT45+3,0,1,1),IF(AND($H45&gt;2.4,Z45&lt;&gt;"e",Z45&lt;&gt;"f"),EB45*2.4/$H45,EB45),0)))))*COS(RADIANS($G45)))</f>
        <v>0</v>
      </c>
      <c r="DY45" s="188"/>
      <c r="DZ45" s="188">
        <f ca="1">IF(DU45&gt;$CR45,$CR45,DU45)</f>
        <v>0</v>
      </c>
      <c r="EA45" s="188"/>
      <c r="EB45" s="188">
        <f ca="1">IF(DW45&gt;$CR45,$CR45,DW45)</f>
        <v>0</v>
      </c>
      <c r="EC45" s="435">
        <f ca="1">IF(DV45&gt;$CR45,$CR45,DV45)</f>
        <v>0</v>
      </c>
      <c r="ED45" s="435">
        <f ca="1">EC45*F45</f>
        <v>0</v>
      </c>
      <c r="EE45" s="436">
        <f ca="1">IF(DX45&gt;$CR45,$CR45,DX45)</f>
        <v>0</v>
      </c>
      <c r="EF45" s="437">
        <f ca="1">EE45*F45</f>
        <v>0</v>
      </c>
      <c r="EG45" s="613" t="str">
        <f>IF(D45=BG$12,BG$12,"")</f>
        <v/>
      </c>
      <c r="EH45" s="614" t="str">
        <f>IF(D45=BG$13,BG$13,"")</f>
        <v/>
      </c>
      <c r="EI45" s="611">
        <f>IF(EG45=BG$12,M45,0)</f>
        <v>0</v>
      </c>
      <c r="EJ45" s="451">
        <f>IF(EG45=BG$12,O45,0)</f>
        <v>0</v>
      </c>
      <c r="EK45" s="451">
        <f>IF(EH45=BG$13,M45,0)</f>
        <v>0</v>
      </c>
      <c r="EL45" s="612">
        <f>IF(EH45=BG$13,O45,0)</f>
        <v>0</v>
      </c>
      <c r="EM45" s="426" t="str">
        <f ca="1">IF(AND(Z45&lt;&gt;"t",Z45&lt;&gt;"f"),"",IF(AND(EN45=$BH$11,K45&lt;&gt;EN45),EM$4,IF(AND(EN45=$BH$12,K45=$BH$13),EM$4,IF(AND(EN45=$BH$12,K45=$BH$14),EM$4,IF(AND(EN45=$BH$13,K45=$BH$14),$EM$4,IF(EN45=$BH$14,$EM$4,""))))))</f>
        <v/>
      </c>
      <c r="EN45" s="489" t="str">
        <f>BG$24</f>
        <v>No Floor</v>
      </c>
      <c r="EO45" s="426" t="str">
        <f>K45</f>
        <v xml:space="preserve"> </v>
      </c>
      <c r="EP45" s="497" t="str">
        <f ca="1">IF(AND(Z45&lt;&gt;"t",Z45&lt;&gt;"f"),"",IF(AND(EN45=$BH$14,K45&lt;&gt;EN45),EP$4,IF(AND(EN45=$BH$13,K45=$BH$12),EP$4,IF(AND(EN45=$BH$13,K45=$BH$11),EP$4,IF(AND(EN45=$BH$12,K45=$BH$11),$EP$4,IF(EN45=$BH$11,"Earth",""))))))</f>
        <v/>
      </c>
      <c r="EQ45" s="430" t="str">
        <f ca="1">IF(Z45&lt;&gt;"t","",IF(EQ$5=2,IF(K45&lt;&gt;BH$11,EQ$7," ")))</f>
        <v/>
      </c>
      <c r="ER45" s="439" t="str">
        <f ca="1">IF(H45=0," ",H45)</f>
        <v xml:space="preserve"> </v>
      </c>
      <c r="ES45" s="440" t="str">
        <f ca="1">IF(ER45&lt;&gt;" ",IF(ER45&lt;&gt;ER$7,"Changed",""),"")</f>
        <v/>
      </c>
      <c r="ET45" s="440">
        <f t="shared" ca="1" si="20"/>
        <v>0</v>
      </c>
      <c r="EU45" s="426" t="str">
        <f ca="1">IF(I45=" "," ",IF(F45&lt;OFFSET($BM$9,CL45-1,0,1,1),1,""))</f>
        <v xml:space="preserve"> </v>
      </c>
      <c r="EW45" s="427"/>
      <c r="EY45" s="421"/>
    </row>
    <row r="46" spans="1:155" ht="17.100000000000001" customHeight="1">
      <c r="A46" s="2685"/>
      <c r="B46" s="689" t="s">
        <v>246</v>
      </c>
      <c r="C46" s="684" t="str">
        <f>IF(OR(F46=0,I46="",I46=" ")," ",$V46)</f>
        <v xml:space="preserve"> </v>
      </c>
      <c r="D46" s="1033"/>
      <c r="E46" s="1360"/>
      <c r="F46" s="202"/>
      <c r="G46" s="1416"/>
      <c r="H46" s="1417" t="str">
        <f ca="1">IF(OR(F46=0,Z46="E",Z46="f")," ",'Project Demand'!E$55)</f>
        <v xml:space="preserve"> </v>
      </c>
      <c r="I46" s="631" t="str">
        <f>IF($I$6&lt;&gt;$BG$8," ",AB46)</f>
        <v xml:space="preserve"> </v>
      </c>
      <c r="J46" s="44" t="str">
        <f ca="1">IF(OR(I46=" ",I46="")," ",OFFSET($BO$9,CL46-1,0-4,1,1))</f>
        <v xml:space="preserve"> </v>
      </c>
      <c r="K46" s="55" t="str">
        <f>IF(OR(I46=" ",I46="")," ",IF(OR(Z46="e",Z46="h"),"SD",IF(BG$24=BH$11,BH$13,BG$24)))</f>
        <v xml:space="preserve"> </v>
      </c>
      <c r="L46" s="49">
        <f ca="1">CW46</f>
        <v>0</v>
      </c>
      <c r="M46" s="49">
        <f ca="1">CY46</f>
        <v>0</v>
      </c>
      <c r="N46" s="50">
        <f t="shared" ca="1" si="34"/>
        <v>0</v>
      </c>
      <c r="O46" s="126">
        <f t="shared" ca="1" si="34"/>
        <v>0</v>
      </c>
      <c r="P46" s="140"/>
      <c r="Q46" s="752" t="str">
        <f ca="1">IF(AND(OR(Z46="t",Z46="f"),K46=$BH$11),"No Floor!  Change Floor Type",IF(OR(I46=" ",I46="")," ",IF(F46&lt;OFFSET($BM$9,CL46-1,0,1,1),"check L(m)",DE46&amp;IF(AND(DP46&gt;=CY46,DR46&gt;=DB46),IF(AND(ED46&gt;=DP46,EF46&gt;=DR46),CONCATENATE(DS46," will provide same result"),CONCATENATE(CO46," will provide same result")),IF((DP46&gt;=CY46),CONCATENATE(CO46," provides same result in WIND"),IF((DR46&gt;=DB46),CONCATENATE(CO46," provides same result in EQ"),""))))))&amp;IF(ISERROR(FIND("pile",I46,1)),"",IF(INT(F46)&lt;&gt;F46,"Pile!  Use Whole Numbers Only",""))</f>
        <v xml:space="preserve"> </v>
      </c>
      <c r="R46" s="52"/>
      <c r="S46" s="1372"/>
      <c r="T46" s="1372"/>
      <c r="U46" s="1377"/>
      <c r="V46" s="52" t="str">
        <f ca="1">IF(AND(B$5=$BF$9,OR(I46=BH$16,I46=BH$17))," ",IF(ISNUMBER(B$44),(CONCATENATE(B$44,".",W46)),(CONCATENATE(B$44,W46))))</f>
        <v>G0</v>
      </c>
      <c r="W46" s="9">
        <f ca="1">W45+X46</f>
        <v>0</v>
      </c>
      <c r="X46" s="9">
        <f>IF(AND(B$5=$BF$9,OR($I46=$BH$16,$I46=$BH$17,$I46=" ",$I46="",$F46=0)),0,IF(OR($I46=" ",$I46="",$F46=0),0,1))</f>
        <v>0</v>
      </c>
      <c r="Y46" s="896"/>
      <c r="Z46" s="52" t="str">
        <f ca="1">IF(I46=" "," ",OFFSET($BM$9,$CL46-1,8,1,1))</f>
        <v xml:space="preserve"> </v>
      </c>
      <c r="AA46" s="51" t="str">
        <f>IF(G46&gt;=45,"WA","")</f>
        <v/>
      </c>
      <c r="AB46" s="1364" t="str">
        <f>IF(OR(E46=" ",E46="")," ",(IF(F46&lt;&gt;"",IF(OR(D46=$BG$12,D46=$BG$13),IF(E46&lt;&gt;$BG$17,$BF$20,$BF$21),IF(E46&lt;&gt;$BG$17,$BF$20,$BF$21))," ")))</f>
        <v xml:space="preserve"> </v>
      </c>
      <c r="AC46" s="1"/>
      <c r="AJ46" s="2"/>
      <c r="AK46" s="2185"/>
      <c r="AL46" s="1863"/>
      <c r="AM46" s="1863"/>
      <c r="AN46" s="2252"/>
      <c r="AO46" s="2252"/>
      <c r="AQ46" s="2904"/>
      <c r="AR46" s="2658"/>
      <c r="AS46" s="2233"/>
      <c r="AT46" s="1164"/>
      <c r="AU46"/>
      <c r="AY46"/>
      <c r="AZ46" s="2233"/>
      <c r="BA46" s="119"/>
      <c r="BB46" s="119"/>
      <c r="BC46" s="119"/>
      <c r="BD46" s="637"/>
      <c r="BF46" s="599" t="str">
        <f>'Custom Elements'!C22</f>
        <v>Custom14</v>
      </c>
      <c r="BI46" s="759"/>
      <c r="BJ46" s="897">
        <f t="shared" si="33"/>
        <v>38</v>
      </c>
      <c r="BK46" s="1224"/>
      <c r="BL46" s="1209"/>
      <c r="BM46" s="969">
        <f>Table!J12</f>
        <v>0.8</v>
      </c>
      <c r="BN46" s="455">
        <f t="shared" si="35"/>
        <v>1</v>
      </c>
      <c r="BO46" s="455">
        <f>Table!K12</f>
        <v>58</v>
      </c>
      <c r="BP46" s="925">
        <f>Table!L12</f>
        <v>53</v>
      </c>
      <c r="BR46" s="1225"/>
      <c r="BS46" s="1212"/>
      <c r="BT46" s="1212"/>
      <c r="BU46" s="1226" t="s">
        <v>242</v>
      </c>
      <c r="BV46" s="895"/>
      <c r="BW46" s="603"/>
      <c r="BX46" s="1226" t="str">
        <f>Table!N11</f>
        <v>Double</v>
      </c>
      <c r="CH46" s="764">
        <f>IF(BN46=999,0,(BO47-BO46)/(BN46-BM46))</f>
        <v>5.0000000000000009</v>
      </c>
      <c r="CI46" s="925">
        <f>IF(BN46=999,0,(BP47-BP46)/(BN46-BM46))</f>
        <v>5.0000000000000009</v>
      </c>
      <c r="CJ46" s="759"/>
      <c r="CK46" s="188"/>
      <c r="CL46" s="979">
        <f>VLOOKUP(I46,Prodlink,2,0)</f>
        <v>0</v>
      </c>
      <c r="CN46" s="497">
        <f t="shared" ca="1" si="31"/>
        <v>0</v>
      </c>
      <c r="CO46" s="497">
        <f ca="1">OFFSET($CH$9,CL46-1,-15,1,1)</f>
        <v>0</v>
      </c>
      <c r="CQ46" s="51">
        <v>0</v>
      </c>
      <c r="CR46" s="51">
        <f ca="1">IF(AND(Z46&lt;&gt;"t",Z46&lt;&gt;"f"),10000,IF(K46=$BH$11,0,IF(K46=$BH$12,$BH$23,IF(K46=$BH$13,$BH$24,10000))))</f>
        <v>10000</v>
      </c>
      <c r="CS46" s="51">
        <f ca="1">IF(F46&lt;OFFSET($BM$9,CL46-1,0,1,1),0,IF(F46&lt;OFFSET($BN$9,CL46-1,0,1,1),((F46-OFFSET($BM$9,CL46-1,0,1,1))*OFFSET($CH$9,CL46-1,0,1,1))+OFFSET($BO$9,CL46-1,CQ46,1,1),IF(F46&lt;OFFSET($BN$9,CL46+0,0,1,1),((F46-OFFSET($BM$9,CL46+0,0,1,1))*OFFSET($CH$9,CL46+0,0,1,1))+OFFSET($BO$9,CL46+0,CQ46,1,1),IF(F46&lt;OFFSET($BN$9,CL46+1,0,1,1),((F46-OFFSET($BM$9,CL46+1,0,1,1))*OFFSET($CH$9,CL46+1,0,1,1))+OFFSET($BO$9,CL46+1,CQ46,1,1),IF(F46&lt;OFFSET($BN$9,CL46+2,0,1,1),((F46-OFFSET($BM$9,CL46+2,0,1,1))*OFFSET($CH$9,CL46+2,0,1,1))+OFFSET($BO$9,CL46+2,CQ46,1,1),IF(F46&lt;OFFSET($BN$9,CL46+3,0,1,1),((F46-OFFSET($BM$9,CL46+3,0,1,1))*OFFSET($CH$9,CL46+3,0,1,1))+OFFSET($BO$9,CL46+3,CQ46,1,1),0))))))</f>
        <v>0</v>
      </c>
      <c r="CT46" s="51">
        <f ca="1">IF($F46&lt;OFFSET($BM$9,$CL46-1,0,1,1),0,IF($F46&lt;OFFSET($BN$9,$CL46-1,0,1,1),IF(AND($H46&gt;2.4,Z46&lt;&gt;"e",Z46&lt;&gt;"f"),CX46*2.4/$H46,CX46),IF($F46&lt;OFFSET($BN$9,$CL46+0,0,1,1),IF(AND($H46&gt;2.4,Z46&lt;&gt;"e",Z46&lt;&gt;"f"),CX46*2.4/$H46,CX46),IF($F46&lt;OFFSET($BN$9,$CL46+1,0,1,1),IF(AND($H46&gt;2.4,Z46&lt;&gt;"e",Z46&lt;&gt;"f"),CX46*2.4/$H46,CX46),IF($F46&lt;OFFSET($BN$9,CL46+2,0,1,1),IF(AND($H46&gt;2.4,Z46&lt;&gt;"e",Z46&lt;&gt;"f"),CX46*2.4/$H46,CX46),IF($F46&lt;OFFSET($BN$9,CL46+3,0,1,1),IF(AND($H46&gt;2.4,Z46&lt;&gt;"e",Z46&lt;&gt;"f"),CX46*2.4/$H46,CX46),0)))))*COS(RADIANS($G46)))</f>
        <v>0</v>
      </c>
      <c r="CU46" s="51">
        <f ca="1">IF(F46&lt;OFFSET($BM$9,CL46-1,0,1,1),0,IF(F46&lt;OFFSET($BN$9,CL46-1,0,1,1),((F46-OFFSET($BM$9,CL46-1,0,1,1))*OFFSET($CI$9,CL46-1,0,1,1))+OFFSET($BP$9,CL46-1,CQ46,1,1),IF(F46&lt;OFFSET($BN$9,CL46+0,0,1,1),((F46-OFFSET($BM$9,CL46+0,0,1,1))*OFFSET($CI$9,CL46+0,0,1,1))+OFFSET($BP$9,CL46+0,CQ46,1,1),IF(F46&lt;OFFSET($BN$9,CL46+1,0,1,1),((F46-OFFSET($BM$9,CL46+1,0,1,1))*OFFSET($CI$9,CL46+1,0,1,1))+OFFSET($BP$9,CL46+1,CQ46,1,1),IF(F46&lt;OFFSET($BN$9,CL46+2,0,1,1),((F46-OFFSET($BM$9,CL46+2,0,1,1))*OFFSET($CI$9,CL46+2,0,1,1))+OFFSET($BP$9,CL46+2,CQ46,1,1),IF(F46&lt;OFFSET($BN$9,CL46+3,0,1,1),((F46-OFFSET($BM$9,CL46+3,0,1,1))*OFFSET($CI$9,CL46+3,0,1,1))+OFFSET($BP$9,CL46+3,CQ46,1,1),0))))))</f>
        <v>0</v>
      </c>
      <c r="CV46" s="51">
        <f ca="1">IF($F46&lt;OFFSET($BM$9,$CL46-1,0,1,1),0,IF($F46&lt;OFFSET($BN$9,$CL46-1,0,1,1),IF(AND($H46&gt;2.4,Z46&lt;&gt;"e",Z46&lt;&gt;"f"),CZ46*2.4/$H46,CZ46),IF($F46&lt;OFFSET($BN$9,$CL46+0,0,1,1),IF(AND($H46&gt;2.4,Z46&lt;&gt;"e",Z46&lt;&gt;"f"),CZ46*2.4/$H46,CZ46),IF($F46&lt;OFFSET($BN$9,$CL46+1,0,1,1),IF(AND($H46&gt;2.4,Z46&lt;&gt;"e",Z46&lt;&gt;"f"),CZ46*2.4/$H46,CZ46),IF($F46&lt;OFFSET($BN$9,$CL46+2,0,1,1),IF(AND($H46&gt;2.4,Z46&lt;&gt;"e",Z46&lt;&gt;"f"),CZ46*2.4/$H46,CZ46),IF($F46&lt;OFFSET($BN$9,$CL46+3,0,1,1),IF(AND($H46&gt;2.4,Z46&lt;&gt;"e",Z46&lt;&gt;"f"),CZ46*2.4/$H46,CZ46),0)))))*COS(RADIANS($G46)))</f>
        <v>0</v>
      </c>
      <c r="CW46" s="51">
        <f t="shared" ca="1" si="17"/>
        <v>0</v>
      </c>
      <c r="CX46" s="51">
        <f ca="1">IF(CS46&gt;$CR46,$CR46,CS46)</f>
        <v>0</v>
      </c>
      <c r="CY46" s="51">
        <f ca="1">CW46*F46</f>
        <v>0</v>
      </c>
      <c r="CZ46" s="51">
        <f ca="1">IF($CU46&gt;$CR46,$CR46,$CU46)</f>
        <v>0</v>
      </c>
      <c r="DA46" s="51">
        <f ca="1">IF(CV46&gt;CR46,CR46,CV46)</f>
        <v>0</v>
      </c>
      <c r="DB46" s="51">
        <f ca="1">DA46*F46</f>
        <v>0</v>
      </c>
      <c r="DC46" s="993">
        <v>1</v>
      </c>
      <c r="DD46" s="758" t="str">
        <f>IF(OR(D46=BG$12,D46=BG$13),"External",IF(D46=BG$14,"Internal"," "))</f>
        <v xml:space="preserve"> </v>
      </c>
      <c r="DE46" s="51" t="str">
        <f t="shared" ca="1" si="18"/>
        <v/>
      </c>
      <c r="DF46" s="52" t="str">
        <f t="shared" ca="1" si="19"/>
        <v xml:space="preserve"> </v>
      </c>
      <c r="DG46" s="51">
        <f ca="1">IF(F46&lt;OFFSET($BM$9,CN46-1,0,1,1),0,IF(F46&lt;OFFSET($BN$9,CN46-1,0,1,1),((F46-OFFSET($BM$9,CN46-1,0,1,1))*OFFSET($CH$9,CN46-1,0,1,1))+OFFSET($BO$9,CN46-1,CQ46,1,1),IF(F46&lt;OFFSET($BN$9,CN46+0,0,1,1),((F46-OFFSET($BM$9,CN46+0,0,1,1))*OFFSET($CH$9,CN46+0,0,1,1))+OFFSET($BO$9,CN46+0,CQ46,1,1),IF(F46&lt;OFFSET($BN$9,CN46+1,0,1,1),((F46-OFFSET($BM$9,CN46+1,0,1,1))*OFFSET($CH$9,CN46+1,0,1,1))+OFFSET($BO$9,CN46+1,CQ46,1,1),IF(F46&lt;OFFSET($BN$9,CN46+2,0,1,1),((F46-OFFSET($BM$9,CN46+2,0,1,1))*OFFSET($CH$9,CN46+2,0,1,1))+OFFSET($BO$9,CN46+2,CQ46,1,1),IF(F46&lt;OFFSET($BN$9,CN46+3,0,1,1),((F46-OFFSET($BM$9,CN46+3,0,1,1))*OFFSET($CH$9,CN46+3,0,1,1))+OFFSET($BO$9,CN46+3,CQ46,1,1),0))))))</f>
        <v>0</v>
      </c>
      <c r="DH46" s="51">
        <f ca="1">IF($F46&lt;OFFSET($BM$9,$CN46-1,0,1,1),0,IF($F46&lt;OFFSET($BN$9,$CN46-1,0,1,1),IF(AND($H46&gt;2.4,Z46&lt;&gt;"e",Z46&lt;&gt;"f"),DL46*2.4/$H46,DL46),IF($F46&lt;OFFSET($BN$9,$CN46+0,0,1,1),IF(AND($H46&gt;2.4,Z46&lt;&gt;"e",Z46&lt;&gt;"f"),DL46*2.4/$H46,DL46),IF($F46&lt;OFFSET($BN$9,$CN46+1,0,1,1),IF(AND($H46&gt;2.4,Z46&lt;&gt;"e",Z46&lt;&gt;"f"),DL46*2.4/$H46,DL46),IF($F46&lt;OFFSET($BN$9,$CN46+2,0,1,1),IF(AND($H46&gt;2.4,Z46&lt;&gt;"e",Z46&lt;&gt;"f"),DL46*2.4/$H46,DL46),IF($F46&lt;OFFSET($BN$9,$CN46+3,0,1,1),IF(AND($H46&gt;2.4,Z46&lt;&gt;"e",Z46&lt;&gt;"f"),DL46*2.4/$H46,DL46),0)))))*COS(RADIANS($G46)))</f>
        <v>0</v>
      </c>
      <c r="DI46" s="51">
        <f ca="1">IF(F46&lt;OFFSET($BM$9,CN46-1,0,1,1),0,IF(F46&lt;OFFSET($BN$9,CN46-1,0,1,1),((F46-OFFSET($BM$9,CN46-1,0,1,1))*OFFSET($CI$9,CN46-1,0,1,1))+OFFSET($BP$9,CN46-1,CQ46,1,1),IF(F46&lt;OFFSET($BN$9,CN46+0,0,1,1),((F46-OFFSET($BM$9,CN46+0,0,1,1))*OFFSET($CI$9,CN46+0,0,1,1))+OFFSET($BP$9,CN46+0,CQ46,1,1),IF(F46&lt;OFFSET($BN$9,CN46+1,0,1,1),((F46-OFFSET($BM$9,CN46+1,0,1,1))*OFFSET($CI$9,CN46+1,0,1,1))+OFFSET($BP$9,CN46+1,CQ46,1,1),IF(F46&lt;OFFSET($BN$9,CN46+2,0,1,1),((F46-OFFSET($BM$9,CN46+2,0,1,1))*OFFSET($CI$9,CN46+2,0,1,1))+OFFSET($BP$9,CN46+2,CQ46,1,1),IF(F46&lt;OFFSET($BN$9,CN46+3,0,1,1),((F46-OFFSET($BM$9,CN46+3,0,1,1))*OFFSET($CI$9,CN46+3,0,1,1))+OFFSET($BP$9,CN46+3,CQ46,1,1),0))))))</f>
        <v>0</v>
      </c>
      <c r="DJ46" s="51">
        <f ca="1">IF($F46&lt;OFFSET($BM$9,$CN46-1,0,1,1),0,IF($F46&lt;OFFSET($BN$9,$CN46-1,0,1,1),IF(AND($H46&gt;2.4,Z46&lt;&gt;"e",Z46&lt;&gt;"f"),DN46*2.4/$H46,DN46),IF($F46&lt;OFFSET($BN$9,$CN46+0,0,1,1),IF(AND($H46&gt;2.4,Z46&lt;&gt;"e",Z46&lt;&gt;"f"),DN46*2.4/$H46,DN46),IF($F46&lt;OFFSET($BN$9,$CN46+1,0,1,1),IF(AND($H46&gt;2.4,Z46&lt;&gt;"e",Z46&lt;&gt;"f"),DN46*2.4/$H46,DN46),IF($F46&lt;OFFSET($BN$9,$CN46+2,0,1,1),IF(AND($H46&gt;2.4,Z46&lt;&gt;"e",Z46&lt;&gt;"f"),DN46*2.4/$H46,DN46),IF($F46&lt;OFFSET($BN$9,$CN46+3,0,1,1),IF(AND($H46&gt;2.4,Z46&lt;&gt;"e",Z46&lt;&gt;"f"),DN46*2.4/$H46,DN46),0)))))*COS(RADIANS($G46)))</f>
        <v>0</v>
      </c>
      <c r="DK46" s="51"/>
      <c r="DL46" s="51">
        <f ca="1">IF(DG46&gt;$CR46,$CR46,DG46)</f>
        <v>0</v>
      </c>
      <c r="DM46" s="51"/>
      <c r="DN46" s="51">
        <f ca="1">IF(DI46&gt;$CR46,$CR46,DI46)</f>
        <v>0</v>
      </c>
      <c r="DO46" s="435">
        <f ca="1">IF(DH46&gt;$CR46,$CR46,DH46)</f>
        <v>0</v>
      </c>
      <c r="DP46" s="435">
        <f ca="1">DO46*F46</f>
        <v>0</v>
      </c>
      <c r="DQ46" s="436">
        <f ca="1">IF(DJ46&gt;$CR46,$CR46,DJ46)</f>
        <v>0</v>
      </c>
      <c r="DR46" s="437">
        <f ca="1">DQ46*F46</f>
        <v>0</v>
      </c>
      <c r="DS46" s="426">
        <f ca="1">OFFSET($CH$9,CL46-1,-15,1,1)</f>
        <v>0</v>
      </c>
      <c r="DT46" s="426">
        <f t="shared" ca="1" si="32"/>
        <v>0</v>
      </c>
      <c r="DU46" s="188">
        <f ca="1">IF(F46&lt;OFFSET($BM$9,DT46-1,0,1,1),0,IF(F46&lt;OFFSET($BN$9,DT46-1,0,1,1),((F46-OFFSET($BM$9,DT46-1,0,1,1))*OFFSET($CH$9,DT46-1,0,1,1))+OFFSET($BO$9,DT46-1,CQ46,1,1),IF(F46&lt;OFFSET($BN$9,DT46+0,0,1,1),((F46-OFFSET($BM$9,DT46+0,0,1,1))*OFFSET($CH$9,DT46+0,0,1,1))+OFFSET($BO$9,DT46+0,CQ46,1,1),IF(F46&lt;OFFSET($BN$9,DT46+1,0,1,1),((F46-OFFSET($BM$9,DT46+1,0,1,1))*OFFSET($CH$9,DT46+1,0,1,1))+OFFSET($BO$9,DT46+1,CQ46,1,1),IF(F46&lt;OFFSET($BN$9,DT46+2,0,1,1),((F46-OFFSET($BM$9,DT46+2,0,1,1))*OFFSET($CH$9,DT46+2,0,1,1))+OFFSET($BO$9,DT46+2,CQ46,1,1),IF(F46&lt;OFFSET($BN$9,DT46+3,0,1,1),((F46-OFFSET($BM$9,DT46+3,0,1,1))*OFFSET($CH$9,DT46+3,0,1,1))+OFFSET($BO$9,DT46+3,CQ46,1,1),0))))))</f>
        <v>0</v>
      </c>
      <c r="DV46" s="51">
        <f ca="1">IF($F46&lt;OFFSET($BM$9,$DT46-1,0,1,1),0,IF($F46&lt;OFFSET($BN$9,$DT46-1,0,1,1),IF(AND($H46&gt;2.4,Z46&lt;&gt;"e",Z46&lt;&gt;"f"),DZ46*2.4/$H46,DZ46),IF($F46&lt;OFFSET($BN$9,$DT46+0,0,1,1),IF(AND($H46&gt;2.4,Z46&lt;&gt;"e",Z46&lt;&gt;"f"),DZ46*2.4/$H46,DZ46),IF($F46&lt;OFFSET($BN$9,$DT46+1,0,1,1),IF(AND($H46&gt;2.4,Z46&lt;&gt;"e",Z46&lt;&gt;"f"),DZ46*2.4/$H46,DZ46),IF($F46&lt;OFFSET($BN$9,$DT46+2,0,1,1),IF(AND($H46&gt;2.4,Z46&lt;&gt;"e",Z46&lt;&gt;"f"),DZ46*2.4/$H46,DZ46),IF($F46&lt;OFFSET($BN$9,$DT46+3,0,1,1),IF(AND($H46&gt;2.4,Z46&lt;&gt;"e",Z46&lt;&gt;"f"),DZ46*2.4/$H46,DZ46),0)))))*COS(RADIANS($G46)))</f>
        <v>0</v>
      </c>
      <c r="DW46" s="188">
        <f ca="1">IF(F46&lt;OFFSET($BM$9,DT46-1,0,1,1),0,IF(F46&lt;OFFSET($BN$9,DT46-1,0,1,1),((F46-OFFSET($BM$9,DT46-1,0,1,1))*OFFSET($CI$9,DT46-1,0,1,1))+OFFSET($BP$9,DT46-1,CQ46,1,1),IF(F46&lt;OFFSET($BN$9,DT46+0,0,1,1),((F46-OFFSET($BM$9,DT46+0,0,1,1))*OFFSET($CI$9,DT46+0,0,1,1))+OFFSET($BP$9,DT46+0,CQ46,1,1),IF(F46&lt;OFFSET($BN$9,DT46+1,0,1,1),((F46-OFFSET($BM$9,DT46+1,0,1,1))*OFFSET($CI$9,DT46+1,0,1,1))+OFFSET($BP$9,DT46+1,CQ46,1,1),IF(F46&lt;OFFSET($BN$9,DT46+2,0,1,1),((F46-OFFSET($BM$9,DT46+2,0,1,1))*OFFSET($CI$9,DT46+2,0,1,1))+OFFSET($BP$9,DT46+2,CQ46,1,1),IF(F46&lt;OFFSET($BN$9,DT46+3,0,1,1),((F46-OFFSET($BM$9,DT46+3,0,1,1))*OFFSET($CI$9,DT46+3,0,1,1))+OFFSET($BP$9,DT46+3,CQ46,1,1),0))))))</f>
        <v>0</v>
      </c>
      <c r="DX46" s="51">
        <f ca="1">IF($F46&lt;OFFSET($BM$9,$DT46-1,0,1,1),0,IF($F46&lt;OFFSET($BN$9,$DT46-1,0,1,1),IF(AND($H46&gt;2.4,Z46&lt;&gt;"e",Z46&lt;&gt;"f"),EB46*2.4/$H46,EB46),IF($F46&lt;OFFSET($BN$9,$DT46+0,0,1,1),IF(AND($H46&gt;2.4,Z46&lt;&gt;"e",Z46&lt;&gt;"f"),EB46*2.4/$H46,EB46),IF($F46&lt;OFFSET($BN$9,$DT46+1,0,1,1),IF(AND($H46&gt;2.4,Z46&lt;&gt;"e",Z46&lt;&gt;"f"),EB46*2.4/$H46,EB46),IF($F46&lt;OFFSET($BN$9,$DT46+2,0,1,1),IF(AND($H46&gt;2.4,Z46&lt;&gt;"e",Z46&lt;&gt;"f"),EB46*2.4/$H46,EB46),IF($F46&lt;OFFSET($BN$9,$DT46+3,0,1,1),IF(AND($H46&gt;2.4,Z46&lt;&gt;"e",Z46&lt;&gt;"f"),EB46*2.4/$H46,EB46),0)))))*COS(RADIANS($G46)))</f>
        <v>0</v>
      </c>
      <c r="DY46" s="188"/>
      <c r="DZ46" s="188">
        <f ca="1">IF(DU46&gt;$CR46,$CR46,DU46)</f>
        <v>0</v>
      </c>
      <c r="EA46" s="188"/>
      <c r="EB46" s="188">
        <f ca="1">IF(DW46&gt;$CR46,$CR46,DW46)</f>
        <v>0</v>
      </c>
      <c r="EC46" s="435">
        <f ca="1">IF(DV46&gt;$CR46,$CR46,DV46)</f>
        <v>0</v>
      </c>
      <c r="ED46" s="435">
        <f ca="1">EC46*F46</f>
        <v>0</v>
      </c>
      <c r="EE46" s="436">
        <f ca="1">IF(DX46&gt;$CR46,$CR46,DX46)</f>
        <v>0</v>
      </c>
      <c r="EF46" s="437">
        <f ca="1">EE46*F46</f>
        <v>0</v>
      </c>
      <c r="EG46" s="613" t="str">
        <f>IF(D46=BG$12,BG$12,"")</f>
        <v/>
      </c>
      <c r="EH46" s="614" t="str">
        <f>IF(D46=BG$13,BG$13,"")</f>
        <v/>
      </c>
      <c r="EI46" s="611">
        <f>IF(EG46=BG$12,M46,0)</f>
        <v>0</v>
      </c>
      <c r="EJ46" s="451">
        <f>IF(EG46=BG$12,O46,0)</f>
        <v>0</v>
      </c>
      <c r="EK46" s="451">
        <f>IF(EH46=BG$13,M46,0)</f>
        <v>0</v>
      </c>
      <c r="EL46" s="612">
        <f>IF(EH46=BG$13,O46,0)</f>
        <v>0</v>
      </c>
      <c r="EM46" s="426" t="str">
        <f ca="1">IF(AND(Z46&lt;&gt;"t",Z46&lt;&gt;"f"),"",IF(AND(EN46=$BH$11,K46&lt;&gt;EN46),EM$4,IF(AND(EN46=$BH$12,K46=$BH$13),EM$4,IF(AND(EN46=$BH$12,K46=$BH$14),EM$4,IF(AND(EN46=$BH$13,K46=$BH$14),$EM$4,IF(EN46=$BH$14,$EM$4,""))))))</f>
        <v/>
      </c>
      <c r="EN46" s="489" t="str">
        <f>BG$24</f>
        <v>No Floor</v>
      </c>
      <c r="EO46" s="426" t="str">
        <f>K46</f>
        <v xml:space="preserve"> </v>
      </c>
      <c r="EP46" s="497" t="str">
        <f ca="1">IF(AND(Z46&lt;&gt;"t",Z46&lt;&gt;"f"),"",IF(AND(EN46=$BH$14,K46&lt;&gt;EN46),EP$4,IF(AND(EN46=$BH$13,K46=$BH$12),EP$4,IF(AND(EN46=$BH$13,K46=$BH$11),EP$4,IF(AND(EN46=$BH$12,K46=$BH$11),$EP$4,IF(EN46=$BH$11,"Earth",""))))))</f>
        <v/>
      </c>
      <c r="EQ46" s="430" t="str">
        <f ca="1">IF(Z46&lt;&gt;"t","",IF(EQ$5=2,IF(K46&lt;&gt;BH$11,EQ$7," ")))</f>
        <v/>
      </c>
      <c r="ER46" s="439" t="str">
        <f ca="1">IF(H46=0," ",H46)</f>
        <v xml:space="preserve"> </v>
      </c>
      <c r="ES46" s="440" t="str">
        <f ca="1">IF(ER46&lt;&gt;" ",IF(ER46&lt;&gt;ER$7,"Changed",""),"")</f>
        <v/>
      </c>
      <c r="ET46" s="440">
        <f t="shared" ca="1" si="20"/>
        <v>0</v>
      </c>
      <c r="EU46" s="426" t="str">
        <f ca="1">IF(I46=" "," ",IF(F46&lt;OFFSET($BM$9,CL46-1,0,1,1),1,""))</f>
        <v xml:space="preserve"> </v>
      </c>
      <c r="EW46" s="427"/>
      <c r="EY46" s="421"/>
    </row>
    <row r="47" spans="1:155" ht="17.100000000000001" customHeight="1">
      <c r="A47" s="2685"/>
      <c r="B47" s="689" t="s">
        <v>246</v>
      </c>
      <c r="C47" s="684" t="str">
        <f>IF(OR(F47=0,I47="",I47=" ")," ",$V47)</f>
        <v xml:space="preserve"> </v>
      </c>
      <c r="D47" s="1033"/>
      <c r="E47" s="1360"/>
      <c r="F47" s="202"/>
      <c r="G47" s="1416"/>
      <c r="H47" s="1417" t="str">
        <f ca="1">IF(OR(F47=0,Z47="E",Z47="f")," ",'Project Demand'!E$55)</f>
        <v xml:space="preserve"> </v>
      </c>
      <c r="I47" s="631" t="str">
        <f>IF($I$6&lt;&gt;$BG$8," ",AB47)</f>
        <v xml:space="preserve"> </v>
      </c>
      <c r="J47" s="44" t="str">
        <f ca="1">IF(OR(I47=" ",I47="")," ",OFFSET($BO$9,CL47-1,0-4,1,1))</f>
        <v xml:space="preserve"> </v>
      </c>
      <c r="K47" s="55" t="str">
        <f>IF(OR(I47=" ",I47="")," ",IF(OR(Z47="e",Z47="h"),"SD",IF(BG$24=BH$11,BH$13,BG$24)))</f>
        <v xml:space="preserve"> </v>
      </c>
      <c r="L47" s="49">
        <f ca="1">CW47</f>
        <v>0</v>
      </c>
      <c r="M47" s="49">
        <f ca="1">CY47</f>
        <v>0</v>
      </c>
      <c r="N47" s="50">
        <f t="shared" ca="1" si="34"/>
        <v>0</v>
      </c>
      <c r="O47" s="126">
        <f t="shared" ca="1" si="34"/>
        <v>0</v>
      </c>
      <c r="P47" s="140"/>
      <c r="Q47" s="752" t="str">
        <f ca="1">IF(AND(OR(Z47="t",Z47="f"),K47=$BH$11),"No Floor!  Change Floor Type",IF(OR(I47=" ",I47="")," ",IF(F47&lt;OFFSET($BM$9,CL47-1,0,1,1),"check L(m)",DE47&amp;IF(AND(DP47&gt;=CY47,DR47&gt;=DB47),IF(AND(ED47&gt;=DP47,EF47&gt;=DR47),CONCATENATE(DS47," will provide same result"),CONCATENATE(CO47," will provide same result")),IF((DP47&gt;=CY47),CONCATENATE(CO47," provides same result in WIND"),IF((DR47&gt;=DB47),CONCATENATE(CO47," provides same result in EQ"),""))))))&amp;IF(ISERROR(FIND("pile",I47,1)),"",IF(INT(F47)&lt;&gt;F47,"Pile!  Use Whole Numbers Only",""))</f>
        <v xml:space="preserve"> </v>
      </c>
      <c r="R47" s="52"/>
      <c r="S47" s="1372"/>
      <c r="T47" s="1372"/>
      <c r="U47" s="1377"/>
      <c r="V47" s="52" t="str">
        <f ca="1">IF(AND(B$5=$BF$9,OR(I47=BH$16,I47=BH$17))," ",IF(ISNUMBER(B$44),(CONCATENATE(B$44,".",W47)),(CONCATENATE(B$44,W47))))</f>
        <v>G0</v>
      </c>
      <c r="W47" s="9">
        <f ca="1">W46+X47</f>
        <v>0</v>
      </c>
      <c r="X47" s="9">
        <f>IF(AND(B$5=$BF$9,OR($I47=$BH$16,$I47=$BH$17,$I47=" ",$I47="",$F47=0)),0,IF(OR($I47=" ",$I47="",$F47=0),0,1))</f>
        <v>0</v>
      </c>
      <c r="Y47" s="896"/>
      <c r="Z47" s="52" t="str">
        <f ca="1">IF(I47=" "," ",OFFSET($BM$9,$CL47-1,8,1,1))</f>
        <v xml:space="preserve"> </v>
      </c>
      <c r="AA47" s="51" t="str">
        <f>IF(G47&gt;=45,"WA","")</f>
        <v/>
      </c>
      <c r="AB47" s="1364" t="str">
        <f>IF(OR(E47=" ",E47="")," ",(IF(F47&lt;&gt;"",IF(OR(D47=$BG$12,D47=$BG$13),IF(E47&lt;&gt;$BG$17,$BF$20,$BF$21),IF(E47&lt;&gt;$BG$17,$BF$20,$BF$21))," ")))</f>
        <v xml:space="preserve"> </v>
      </c>
      <c r="AC47" s="1"/>
      <c r="AJ47" s="2"/>
      <c r="AK47" s="2822"/>
      <c r="AL47" s="2812"/>
      <c r="AM47" s="2812"/>
      <c r="AN47" s="2902"/>
      <c r="AO47" s="2902"/>
      <c r="AQ47" s="2905"/>
      <c r="AR47" s="2857"/>
      <c r="AS47" s="2796"/>
      <c r="AT47" s="1164"/>
      <c r="AU47"/>
      <c r="AY47"/>
      <c r="AZ47" s="2796"/>
      <c r="BA47" s="119"/>
      <c r="BB47" s="119"/>
      <c r="BC47" s="119"/>
      <c r="BD47" s="638"/>
      <c r="BF47" s="599" t="str">
        <f>'Custom Elements'!C23</f>
        <v>Custom15</v>
      </c>
      <c r="BI47" s="759"/>
      <c r="BJ47" s="897">
        <f t="shared" si="33"/>
        <v>39</v>
      </c>
      <c r="BK47" s="1224"/>
      <c r="BL47" s="1209"/>
      <c r="BM47" s="969">
        <f>Table!J13</f>
        <v>1</v>
      </c>
      <c r="BN47" s="455">
        <f t="shared" si="35"/>
        <v>1.2</v>
      </c>
      <c r="BO47" s="455">
        <f>Table!K13</f>
        <v>59</v>
      </c>
      <c r="BP47" s="925">
        <f>Table!L13</f>
        <v>54</v>
      </c>
      <c r="BR47" s="1225"/>
      <c r="BS47" s="1212"/>
      <c r="BT47" s="1212"/>
      <c r="BU47" s="1226" t="s">
        <v>242</v>
      </c>
      <c r="BV47" s="895"/>
      <c r="BW47" s="603"/>
      <c r="BX47" s="1226" t="str">
        <f>Table!N11</f>
        <v>Double</v>
      </c>
      <c r="CH47" s="764">
        <f>IF(BN47=999,0,(BO48-BO47)/(BN47-BM47))</f>
        <v>5.0000000000000009</v>
      </c>
      <c r="CI47" s="925">
        <f>IF(BN47=999,0,(BP48-BP47)/(BN47-BM47))</f>
        <v>5.0000000000000009</v>
      </c>
      <c r="CJ47" s="759"/>
      <c r="CK47" s="188"/>
      <c r="CL47" s="979">
        <f>VLOOKUP(I47,Prodlink,2,0)</f>
        <v>0</v>
      </c>
      <c r="CN47" s="497">
        <f t="shared" ca="1" si="31"/>
        <v>0</v>
      </c>
      <c r="CO47" s="497">
        <f ca="1">OFFSET($CH$9,CL47-1,-15,1,1)</f>
        <v>0</v>
      </c>
      <c r="CQ47" s="51">
        <v>0</v>
      </c>
      <c r="CR47" s="51">
        <f ca="1">IF(AND(Z47&lt;&gt;"t",Z47&lt;&gt;"f"),10000,IF(K47=$BH$11,0,IF(K47=$BH$12,$BH$23,IF(K47=$BH$13,$BH$24,10000))))</f>
        <v>10000</v>
      </c>
      <c r="CS47" s="51">
        <f ca="1">IF(F47&lt;OFFSET($BM$9,CL47-1,0,1,1),0,IF(F47&lt;OFFSET($BN$9,CL47-1,0,1,1),((F47-OFFSET($BM$9,CL47-1,0,1,1))*OFFSET($CH$9,CL47-1,0,1,1))+OFFSET($BO$9,CL47-1,CQ47,1,1),IF(F47&lt;OFFSET($BN$9,CL47+0,0,1,1),((F47-OFFSET($BM$9,CL47+0,0,1,1))*OFFSET($CH$9,CL47+0,0,1,1))+OFFSET($BO$9,CL47+0,CQ47,1,1),IF(F47&lt;OFFSET($BN$9,CL47+1,0,1,1),((F47-OFFSET($BM$9,CL47+1,0,1,1))*OFFSET($CH$9,CL47+1,0,1,1))+OFFSET($BO$9,CL47+1,CQ47,1,1),IF(F47&lt;OFFSET($BN$9,CL47+2,0,1,1),((F47-OFFSET($BM$9,CL47+2,0,1,1))*OFFSET($CH$9,CL47+2,0,1,1))+OFFSET($BO$9,CL47+2,CQ47,1,1),IF(F47&lt;OFFSET($BN$9,CL47+3,0,1,1),((F47-OFFSET($BM$9,CL47+3,0,1,1))*OFFSET($CH$9,CL47+3,0,1,1))+OFFSET($BO$9,CL47+3,CQ47,1,1),0))))))</f>
        <v>0</v>
      </c>
      <c r="CT47" s="51">
        <f ca="1">IF($F47&lt;OFFSET($BM$9,$CL47-1,0,1,1),0,IF($F47&lt;OFFSET($BN$9,$CL47-1,0,1,1),IF(AND($H47&gt;2.4,Z47&lt;&gt;"e",Z47&lt;&gt;"f"),CX47*2.4/$H47,CX47),IF($F47&lt;OFFSET($BN$9,$CL47+0,0,1,1),IF(AND($H47&gt;2.4,Z47&lt;&gt;"e",Z47&lt;&gt;"f"),CX47*2.4/$H47,CX47),IF($F47&lt;OFFSET($BN$9,$CL47+1,0,1,1),IF(AND($H47&gt;2.4,Z47&lt;&gt;"e",Z47&lt;&gt;"f"),CX47*2.4/$H47,CX47),IF($F47&lt;OFFSET($BN$9,CL47+2,0,1,1),IF(AND($H47&gt;2.4,Z47&lt;&gt;"e",Z47&lt;&gt;"f"),CX47*2.4/$H47,CX47),IF($F47&lt;OFFSET($BN$9,CL47+3,0,1,1),IF(AND($H47&gt;2.4,Z47&lt;&gt;"e",Z47&lt;&gt;"f"),CX47*2.4/$H47,CX47),0)))))*COS(RADIANS($G47)))</f>
        <v>0</v>
      </c>
      <c r="CU47" s="51">
        <f ca="1">IF(F47&lt;OFFSET($BM$9,CL47-1,0,1,1),0,IF(F47&lt;OFFSET($BN$9,CL47-1,0,1,1),((F47-OFFSET($BM$9,CL47-1,0,1,1))*OFFSET($CI$9,CL47-1,0,1,1))+OFFSET($BP$9,CL47-1,CQ47,1,1),IF(F47&lt;OFFSET($BN$9,CL47+0,0,1,1),((F47-OFFSET($BM$9,CL47+0,0,1,1))*OFFSET($CI$9,CL47+0,0,1,1))+OFFSET($BP$9,CL47+0,CQ47,1,1),IF(F47&lt;OFFSET($BN$9,CL47+1,0,1,1),((F47-OFFSET($BM$9,CL47+1,0,1,1))*OFFSET($CI$9,CL47+1,0,1,1))+OFFSET($BP$9,CL47+1,CQ47,1,1),IF(F47&lt;OFFSET($BN$9,CL47+2,0,1,1),((F47-OFFSET($BM$9,CL47+2,0,1,1))*OFFSET($CI$9,CL47+2,0,1,1))+OFFSET($BP$9,CL47+2,CQ47,1,1),IF(F47&lt;OFFSET($BN$9,CL47+3,0,1,1),((F47-OFFSET($BM$9,CL47+3,0,1,1))*OFFSET($CI$9,CL47+3,0,1,1))+OFFSET($BP$9,CL47+3,CQ47,1,1),0))))))</f>
        <v>0</v>
      </c>
      <c r="CV47" s="51">
        <f ca="1">IF($F47&lt;OFFSET($BM$9,$CL47-1,0,1,1),0,IF($F47&lt;OFFSET($BN$9,$CL47-1,0,1,1),IF(AND($H47&gt;2.4,Z47&lt;&gt;"e",Z47&lt;&gt;"f"),CZ47*2.4/$H47,CZ47),IF($F47&lt;OFFSET($BN$9,$CL47+0,0,1,1),IF(AND($H47&gt;2.4,Z47&lt;&gt;"e",Z47&lt;&gt;"f"),CZ47*2.4/$H47,CZ47),IF($F47&lt;OFFSET($BN$9,$CL47+1,0,1,1),IF(AND($H47&gt;2.4,Z47&lt;&gt;"e",Z47&lt;&gt;"f"),CZ47*2.4/$H47,CZ47),IF($F47&lt;OFFSET($BN$9,$CL47+2,0,1,1),IF(AND($H47&gt;2.4,Z47&lt;&gt;"e",Z47&lt;&gt;"f"),CZ47*2.4/$H47,CZ47),IF($F47&lt;OFFSET($BN$9,$CL47+3,0,1,1),IF(AND($H47&gt;2.4,Z47&lt;&gt;"e",Z47&lt;&gt;"f"),CZ47*2.4/$H47,CZ47),0)))))*COS(RADIANS($G47)))</f>
        <v>0</v>
      </c>
      <c r="CW47" s="51">
        <f t="shared" ca="1" si="17"/>
        <v>0</v>
      </c>
      <c r="CX47" s="51">
        <f ca="1">IF(CS47&gt;$CR47,$CR47,CS47)</f>
        <v>0</v>
      </c>
      <c r="CY47" s="51">
        <f ca="1">CW47*F47</f>
        <v>0</v>
      </c>
      <c r="CZ47" s="51">
        <f ca="1">IF($CU47&gt;$CR47,$CR47,$CU47)</f>
        <v>0</v>
      </c>
      <c r="DA47" s="51">
        <f ca="1">IF(CV47&gt;CR47,CR47,CV47)</f>
        <v>0</v>
      </c>
      <c r="DB47" s="51">
        <f ca="1">DA47*F47</f>
        <v>0</v>
      </c>
      <c r="DC47" s="993">
        <v>1</v>
      </c>
      <c r="DD47" s="758" t="str">
        <f>IF(OR(D47=BG$12,D47=BG$13),"External",IF(D47=BG$14,"Internal"," "))</f>
        <v xml:space="preserve"> </v>
      </c>
      <c r="DE47" s="51" t="str">
        <f t="shared" ca="1" si="18"/>
        <v/>
      </c>
      <c r="DF47" s="52" t="str">
        <f t="shared" ca="1" si="19"/>
        <v xml:space="preserve"> </v>
      </c>
      <c r="DG47" s="51">
        <f ca="1">IF(F47&lt;OFFSET($BM$9,CN47-1,0,1,1),0,IF(F47&lt;OFFSET($BN$9,CN47-1,0,1,1),((F47-OFFSET($BM$9,CN47-1,0,1,1))*OFFSET($CH$9,CN47-1,0,1,1))+OFFSET($BO$9,CN47-1,CQ47,1,1),IF(F47&lt;OFFSET($BN$9,CN47+0,0,1,1),((F47-OFFSET($BM$9,CN47+0,0,1,1))*OFFSET($CH$9,CN47+0,0,1,1))+OFFSET($BO$9,CN47+0,CQ47,1,1),IF(F47&lt;OFFSET($BN$9,CN47+1,0,1,1),((F47-OFFSET($BM$9,CN47+1,0,1,1))*OFFSET($CH$9,CN47+1,0,1,1))+OFFSET($BO$9,CN47+1,CQ47,1,1),IF(F47&lt;OFFSET($BN$9,CN47+2,0,1,1),((F47-OFFSET($BM$9,CN47+2,0,1,1))*OFFSET($CH$9,CN47+2,0,1,1))+OFFSET($BO$9,CN47+2,CQ47,1,1),IF(F47&lt;OFFSET($BN$9,CN47+3,0,1,1),((F47-OFFSET($BM$9,CN47+3,0,1,1))*OFFSET($CH$9,CN47+3,0,1,1))+OFFSET($BO$9,CN47+3,CQ47,1,1),0))))))</f>
        <v>0</v>
      </c>
      <c r="DH47" s="51">
        <f ca="1">IF($F47&lt;OFFSET($BM$9,$CN47-1,0,1,1),0,IF($F47&lt;OFFSET($BN$9,$CN47-1,0,1,1),IF(AND($H47&gt;2.4,Z47&lt;&gt;"e",Z47&lt;&gt;"f"),DL47*2.4/$H47,DL47),IF($F47&lt;OFFSET($BN$9,$CN47+0,0,1,1),IF(AND($H47&gt;2.4,Z47&lt;&gt;"e",Z47&lt;&gt;"f"),DL47*2.4/$H47,DL47),IF($F47&lt;OFFSET($BN$9,$CN47+1,0,1,1),IF(AND($H47&gt;2.4,Z47&lt;&gt;"e",Z47&lt;&gt;"f"),DL47*2.4/$H47,DL47),IF($F47&lt;OFFSET($BN$9,$CN47+2,0,1,1),IF(AND($H47&gt;2.4,Z47&lt;&gt;"e",Z47&lt;&gt;"f"),DL47*2.4/$H47,DL47),IF($F47&lt;OFFSET($BN$9,$CN47+3,0,1,1),IF(AND($H47&gt;2.4,Z47&lt;&gt;"e",Z47&lt;&gt;"f"),DL47*2.4/$H47,DL47),0)))))*COS(RADIANS($G47)))</f>
        <v>0</v>
      </c>
      <c r="DI47" s="51">
        <f ca="1">IF(F47&lt;OFFSET($BM$9,CN47-1,0,1,1),0,IF(F47&lt;OFFSET($BN$9,CN47-1,0,1,1),((F47-OFFSET($BM$9,CN47-1,0,1,1))*OFFSET($CI$9,CN47-1,0,1,1))+OFFSET($BP$9,CN47-1,CQ47,1,1),IF(F47&lt;OFFSET($BN$9,CN47+0,0,1,1),((F47-OFFSET($BM$9,CN47+0,0,1,1))*OFFSET($CI$9,CN47+0,0,1,1))+OFFSET($BP$9,CN47+0,CQ47,1,1),IF(F47&lt;OFFSET($BN$9,CN47+1,0,1,1),((F47-OFFSET($BM$9,CN47+1,0,1,1))*OFFSET($CI$9,CN47+1,0,1,1))+OFFSET($BP$9,CN47+1,CQ47,1,1),IF(F47&lt;OFFSET($BN$9,CN47+2,0,1,1),((F47-OFFSET($BM$9,CN47+2,0,1,1))*OFFSET($CI$9,CN47+2,0,1,1))+OFFSET($BP$9,CN47+2,CQ47,1,1),IF(F47&lt;OFFSET($BN$9,CN47+3,0,1,1),((F47-OFFSET($BM$9,CN47+3,0,1,1))*OFFSET($CI$9,CN47+3,0,1,1))+OFFSET($BP$9,CN47+3,CQ47,1,1),0))))))</f>
        <v>0</v>
      </c>
      <c r="DJ47" s="51">
        <f ca="1">IF($F47&lt;OFFSET($BM$9,$CN47-1,0,1,1),0,IF($F47&lt;OFFSET($BN$9,$CN47-1,0,1,1),IF(AND($H47&gt;2.4,Z47&lt;&gt;"e",Z47&lt;&gt;"f"),DN47*2.4/$H47,DN47),IF($F47&lt;OFFSET($BN$9,$CN47+0,0,1,1),IF(AND($H47&gt;2.4,Z47&lt;&gt;"e",Z47&lt;&gt;"f"),DN47*2.4/$H47,DN47),IF($F47&lt;OFFSET($BN$9,$CN47+1,0,1,1),IF(AND($H47&gt;2.4,Z47&lt;&gt;"e",Z47&lt;&gt;"f"),DN47*2.4/$H47,DN47),IF($F47&lt;OFFSET($BN$9,$CN47+2,0,1,1),IF(AND($H47&gt;2.4,Z47&lt;&gt;"e",Z47&lt;&gt;"f"),DN47*2.4/$H47,DN47),IF($F47&lt;OFFSET($BN$9,$CN47+3,0,1,1),IF(AND($H47&gt;2.4,Z47&lt;&gt;"e",Z47&lt;&gt;"f"),DN47*2.4/$H47,DN47),0)))))*COS(RADIANS($G47)))</f>
        <v>0</v>
      </c>
      <c r="DK47" s="51"/>
      <c r="DL47" s="51">
        <f ca="1">IF(DG47&gt;$CR47,$CR47,DG47)</f>
        <v>0</v>
      </c>
      <c r="DM47" s="51"/>
      <c r="DN47" s="51">
        <f ca="1">IF(DI47&gt;$CR47,$CR47,DI47)</f>
        <v>0</v>
      </c>
      <c r="DO47" s="435">
        <f ca="1">IF(DH47&gt;$CR47,$CR47,DH47)</f>
        <v>0</v>
      </c>
      <c r="DP47" s="435">
        <f ca="1">DO47*F47</f>
        <v>0</v>
      </c>
      <c r="DQ47" s="436">
        <f ca="1">IF(DJ47&gt;$CR47,$CR47,DJ47)</f>
        <v>0</v>
      </c>
      <c r="DR47" s="437">
        <f ca="1">DQ47*F47</f>
        <v>0</v>
      </c>
      <c r="DS47" s="426">
        <f ca="1">OFFSET($CH$9,CL47-1,-15,1,1)</f>
        <v>0</v>
      </c>
      <c r="DT47" s="426">
        <f t="shared" ca="1" si="32"/>
        <v>0</v>
      </c>
      <c r="DU47" s="188">
        <f ca="1">IF(F47&lt;OFFSET($BM$9,DT47-1,0,1,1),0,IF(F47&lt;OFFSET($BN$9,DT47-1,0,1,1),((F47-OFFSET($BM$9,DT47-1,0,1,1))*OFFSET($CH$9,DT47-1,0,1,1))+OFFSET($BO$9,DT47-1,CQ47,1,1),IF(F47&lt;OFFSET($BN$9,DT47+0,0,1,1),((F47-OFFSET($BM$9,DT47+0,0,1,1))*OFFSET($CH$9,DT47+0,0,1,1))+OFFSET($BO$9,DT47+0,CQ47,1,1),IF(F47&lt;OFFSET($BN$9,DT47+1,0,1,1),((F47-OFFSET($BM$9,DT47+1,0,1,1))*OFFSET($CH$9,DT47+1,0,1,1))+OFFSET($BO$9,DT47+1,CQ47,1,1),IF(F47&lt;OFFSET($BN$9,DT47+2,0,1,1),((F47-OFFSET($BM$9,DT47+2,0,1,1))*OFFSET($CH$9,DT47+2,0,1,1))+OFFSET($BO$9,DT47+2,CQ47,1,1),IF(F47&lt;OFFSET($BN$9,DT47+3,0,1,1),((F47-OFFSET($BM$9,DT47+3,0,1,1))*OFFSET($CH$9,DT47+3,0,1,1))+OFFSET($BO$9,DT47+3,CQ47,1,1),0))))))</f>
        <v>0</v>
      </c>
      <c r="DV47" s="51">
        <f ca="1">IF($F47&lt;OFFSET($BM$9,$DT47-1,0,1,1),0,IF($F47&lt;OFFSET($BN$9,$DT47-1,0,1,1),IF(AND($H47&gt;2.4,Z47&lt;&gt;"e",Z47&lt;&gt;"f"),DZ47*2.4/$H47,DZ47),IF($F47&lt;OFFSET($BN$9,$DT47+0,0,1,1),IF(AND($H47&gt;2.4,Z47&lt;&gt;"e",Z47&lt;&gt;"f"),DZ47*2.4/$H47,DZ47),IF($F47&lt;OFFSET($BN$9,$DT47+1,0,1,1),IF(AND($H47&gt;2.4,Z47&lt;&gt;"e",Z47&lt;&gt;"f"),DZ47*2.4/$H47,DZ47),IF($F47&lt;OFFSET($BN$9,$DT47+2,0,1,1),IF(AND($H47&gt;2.4,Z47&lt;&gt;"e",Z47&lt;&gt;"f"),DZ47*2.4/$H47,DZ47),IF($F47&lt;OFFSET($BN$9,$DT47+3,0,1,1),IF(AND($H47&gt;2.4,Z47&lt;&gt;"e",Z47&lt;&gt;"f"),DZ47*2.4/$H47,DZ47),0)))))*COS(RADIANS($G47)))</f>
        <v>0</v>
      </c>
      <c r="DW47" s="188">
        <f ca="1">IF(F47&lt;OFFSET($BM$9,DT47-1,0,1,1),0,IF(F47&lt;OFFSET($BN$9,DT47-1,0,1,1),((F47-OFFSET($BM$9,DT47-1,0,1,1))*OFFSET($CI$9,DT47-1,0,1,1))+OFFSET($BP$9,DT47-1,CQ47,1,1),IF(F47&lt;OFFSET($BN$9,DT47+0,0,1,1),((F47-OFFSET($BM$9,DT47+0,0,1,1))*OFFSET($CI$9,DT47+0,0,1,1))+OFFSET($BP$9,DT47+0,CQ47,1,1),IF(F47&lt;OFFSET($BN$9,DT47+1,0,1,1),((F47-OFFSET($BM$9,DT47+1,0,1,1))*OFFSET($CI$9,DT47+1,0,1,1))+OFFSET($BP$9,DT47+1,CQ47,1,1),IF(F47&lt;OFFSET($BN$9,DT47+2,0,1,1),((F47-OFFSET($BM$9,DT47+2,0,1,1))*OFFSET($CI$9,DT47+2,0,1,1))+OFFSET($BP$9,DT47+2,CQ47,1,1),IF(F47&lt;OFFSET($BN$9,DT47+3,0,1,1),((F47-OFFSET($BM$9,DT47+3,0,1,1))*OFFSET($CI$9,DT47+3,0,1,1))+OFFSET($BP$9,DT47+3,CQ47,1,1),0))))))</f>
        <v>0</v>
      </c>
      <c r="DX47" s="51">
        <f ca="1">IF($F47&lt;OFFSET($BM$9,$DT47-1,0,1,1),0,IF($F47&lt;OFFSET($BN$9,$DT47-1,0,1,1),IF(AND($H47&gt;2.4,Z47&lt;&gt;"e",Z47&lt;&gt;"f"),EB47*2.4/$H47,EB47),IF($F47&lt;OFFSET($BN$9,$DT47+0,0,1,1),IF(AND($H47&gt;2.4,Z47&lt;&gt;"e",Z47&lt;&gt;"f"),EB47*2.4/$H47,EB47),IF($F47&lt;OFFSET($BN$9,$DT47+1,0,1,1),IF(AND($H47&gt;2.4,Z47&lt;&gt;"e",Z47&lt;&gt;"f"),EB47*2.4/$H47,EB47),IF($F47&lt;OFFSET($BN$9,$DT47+2,0,1,1),IF(AND($H47&gt;2.4,Z47&lt;&gt;"e",Z47&lt;&gt;"f"),EB47*2.4/$H47,EB47),IF($F47&lt;OFFSET($BN$9,$DT47+3,0,1,1),IF(AND($H47&gt;2.4,Z47&lt;&gt;"e",Z47&lt;&gt;"f"),EB47*2.4/$H47,EB47),0)))))*COS(RADIANS($G47)))</f>
        <v>0</v>
      </c>
      <c r="DY47" s="188"/>
      <c r="DZ47" s="188">
        <f ca="1">IF(DU47&gt;$CR47,$CR47,DU47)</f>
        <v>0</v>
      </c>
      <c r="EA47" s="188"/>
      <c r="EB47" s="188">
        <f ca="1">IF(DW47&gt;$CR47,$CR47,DW47)</f>
        <v>0</v>
      </c>
      <c r="EC47" s="435">
        <f ca="1">IF(DV47&gt;$CR47,$CR47,DV47)</f>
        <v>0</v>
      </c>
      <c r="ED47" s="435">
        <f ca="1">EC47*F47</f>
        <v>0</v>
      </c>
      <c r="EE47" s="436">
        <f ca="1">IF(DX47&gt;$CR47,$CR47,DX47)</f>
        <v>0</v>
      </c>
      <c r="EF47" s="437">
        <f ca="1">EE47*F47</f>
        <v>0</v>
      </c>
      <c r="EG47" s="613" t="str">
        <f>IF(D47=BG$12,BG$12,"")</f>
        <v/>
      </c>
      <c r="EH47" s="614" t="str">
        <f>IF(D47=BG$13,BG$13,"")</f>
        <v/>
      </c>
      <c r="EI47" s="611">
        <f>IF(EG47=BG$12,M47,0)</f>
        <v>0</v>
      </c>
      <c r="EJ47" s="451">
        <f>IF(EG47=BG$12,O47,0)</f>
        <v>0</v>
      </c>
      <c r="EK47" s="451">
        <f>IF(EH47=BG$13,M47,0)</f>
        <v>0</v>
      </c>
      <c r="EL47" s="612">
        <f>IF(EH47=BG$13,O47,0)</f>
        <v>0</v>
      </c>
      <c r="EM47" s="426" t="str">
        <f ca="1">IF(AND(Z47&lt;&gt;"t",Z47&lt;&gt;"f"),"",IF(AND(EN47=$BH$11,K47&lt;&gt;EN47),EM$4,IF(AND(EN47=$BH$12,K47=$BH$13),EM$4,IF(AND(EN47=$BH$12,K47=$BH$14),EM$4,IF(AND(EN47=$BH$13,K47=$BH$14),$EM$4,IF(EN47=$BH$14,$EM$4,""))))))</f>
        <v/>
      </c>
      <c r="EN47" s="489" t="str">
        <f>BG$24</f>
        <v>No Floor</v>
      </c>
      <c r="EO47" s="426" t="str">
        <f>K47</f>
        <v xml:space="preserve"> </v>
      </c>
      <c r="EP47" s="497" t="str">
        <f ca="1">IF(AND(Z47&lt;&gt;"t",Z47&lt;&gt;"f"),"",IF(AND(EN47=$BH$14,K47&lt;&gt;EN47),EP$4,IF(AND(EN47=$BH$13,K47=$BH$12),EP$4,IF(AND(EN47=$BH$13,K47=$BH$11),EP$4,IF(AND(EN47=$BH$12,K47=$BH$11),$EP$4,IF(EN47=$BH$11,"Earth",""))))))</f>
        <v/>
      </c>
      <c r="EQ47" s="430" t="str">
        <f ca="1">IF(Z47&lt;&gt;"t","",IF(EQ$5=2,IF(K47&lt;&gt;BH$11,EQ$7," ")))</f>
        <v/>
      </c>
      <c r="ER47" s="439" t="str">
        <f ca="1">IF(H47=0," ",H47)</f>
        <v xml:space="preserve"> </v>
      </c>
      <c r="ES47" s="440" t="str">
        <f ca="1">IF(ER47&lt;&gt;" ",IF(ER47&lt;&gt;ER$7,"Changed",""),"")</f>
        <v/>
      </c>
      <c r="ET47" s="440">
        <f t="shared" ca="1" si="20"/>
        <v>0</v>
      </c>
      <c r="EU47" s="426" t="str">
        <f ca="1">IF(I47=" "," ",IF(F47&lt;OFFSET($BM$9,CL47-1,0,1,1),1,""))</f>
        <v xml:space="preserve"> </v>
      </c>
      <c r="EW47" s="427"/>
      <c r="EY47" s="421"/>
    </row>
    <row r="48" spans="1:155" ht="17.100000000000001" customHeight="1" thickBot="1">
      <c r="A48" s="2685"/>
      <c r="B48" s="689" t="s">
        <v>246</v>
      </c>
      <c r="C48" s="684" t="str">
        <f>IF(OR(F48=0,I48="",I48=" ")," ",$V48)</f>
        <v xml:space="preserve"> </v>
      </c>
      <c r="D48" s="1033"/>
      <c r="E48" s="1360"/>
      <c r="F48" s="202"/>
      <c r="G48" s="1416"/>
      <c r="H48" s="1417" t="str">
        <f ca="1">IF(OR(F48=0,Z48="E",Z48="f")," ",'Project Demand'!E$55)</f>
        <v xml:space="preserve"> </v>
      </c>
      <c r="I48" s="631" t="str">
        <f>IF($I$6&lt;&gt;$BG$8," ",AB48)</f>
        <v xml:space="preserve"> </v>
      </c>
      <c r="J48" s="44" t="str">
        <f ca="1">IF(OR(I48=" ",I48="")," ",OFFSET($BO$9,CL48-1,0-4,1,1))</f>
        <v xml:space="preserve"> </v>
      </c>
      <c r="K48" s="55" t="str">
        <f>IF(OR(I48=" ",I48="")," ",IF(OR(Z48="e",Z48="h"),"SD",IF(BG$24=BH$11,BH$13,BG$24)))</f>
        <v xml:space="preserve"> </v>
      </c>
      <c r="L48" s="49">
        <f ca="1">CW48</f>
        <v>0</v>
      </c>
      <c r="M48" s="49">
        <f ca="1">CY48</f>
        <v>0</v>
      </c>
      <c r="N48" s="50">
        <f t="shared" ca="1" si="34"/>
        <v>0</v>
      </c>
      <c r="O48" s="126">
        <f t="shared" ca="1" si="34"/>
        <v>0</v>
      </c>
      <c r="P48" s="140"/>
      <c r="Q48" s="752" t="str">
        <f ca="1">IF(AND(OR(Z48="t",Z48="f"),K48=$BH$11),"No Floor!  Change Floor Type",IF(OR(I48=" ",I48="")," ",IF(F48&lt;OFFSET($BM$9,CL48-1,0,1,1),"check L(m)",DE48&amp;IF(AND(DP48&gt;=CY48,DR48&gt;=DB48),IF(AND(ED48&gt;=DP48,EF48&gt;=DR48),CONCATENATE(DS48," will provide same result"),CONCATENATE(CO48," will provide same result")),IF((DP48&gt;=CY48),CONCATENATE(CO48," provides same result in WIND"),IF((DR48&gt;=DB48),CONCATENATE(CO48," provides same result in EQ"),""))))))&amp;IF(ISERROR(FIND("pile",I48,1)),"",IF(INT(F48)&lt;&gt;F48,"Pile!  Use Whole Numbers Only",""))</f>
        <v xml:space="preserve"> </v>
      </c>
      <c r="R48" s="52"/>
      <c r="S48" s="1372"/>
      <c r="T48" s="1372"/>
      <c r="U48" s="1377"/>
      <c r="V48" s="52" t="str">
        <f ca="1">IF(AND(B$5=$BF$9,OR(I48=BH$16,I48=BH$17))," ",IF(ISNUMBER(B$44),(CONCATENATE(B$44,".",W48)),(CONCATENATE(B$44,W48))))</f>
        <v>G0</v>
      </c>
      <c r="W48" s="9">
        <f ca="1">W47+X48</f>
        <v>0</v>
      </c>
      <c r="X48" s="9">
        <f>IF(AND(B$5=$BF$9,OR($I48=$BH$16,$I48=$BH$17,$I48=" ",$I48="",$F48=0)),0,IF(OR($I48=" ",$I48="",$F48=0),0,1))</f>
        <v>0</v>
      </c>
      <c r="Y48" s="896"/>
      <c r="Z48" s="52" t="str">
        <f ca="1">IF(I48=" "," ",OFFSET($BM$9,$CL48-1,8,1,1))</f>
        <v xml:space="preserve"> </v>
      </c>
      <c r="AA48" s="51" t="str">
        <f>IF(G48&gt;=45,"WA","")</f>
        <v/>
      </c>
      <c r="AB48" s="1364" t="str">
        <f>IF(OR(E48=" ",E48="")," ",(IF(F48&lt;&gt;"",IF(OR(D48=$BG$12,D48=$BG$13),IF(E48&lt;&gt;$BG$17,$BF$20,$BF$21),IF(E48&lt;&gt;$BG$17,$BF$20,$BF$21))," ")))</f>
        <v xml:space="preserve"> </v>
      </c>
      <c r="AC48" s="1"/>
      <c r="AJ48" s="2"/>
      <c r="AK48" s="63" t="str">
        <f>'Custom Elements'!B9</f>
        <v xml:space="preserve">  </v>
      </c>
      <c r="AL48" s="860" t="str">
        <f>'Custom Elements'!C9</f>
        <v>Custom1</v>
      </c>
      <c r="AM48" s="11">
        <f>'Custom Elements'!D9</f>
        <v>9.9999999999999996E-76</v>
      </c>
      <c r="AN48" s="7">
        <f>'Custom Elements'!E9</f>
        <v>0</v>
      </c>
      <c r="AO48" s="7">
        <f>'Custom Elements'!F9</f>
        <v>0</v>
      </c>
      <c r="AP48" s="762" t="str">
        <f>'Custom Elements'!G9</f>
        <v>B</v>
      </c>
      <c r="AQ48" s="1637" t="str">
        <f>'Custom Elements'!H9</f>
        <v>Single</v>
      </c>
      <c r="AR48" s="1637" t="str">
        <f>'Custom Elements'!I9</f>
        <v>Yes</v>
      </c>
      <c r="AS48" s="442" t="str">
        <f>'Custom Elements'!J9</f>
        <v>Yes</v>
      </c>
      <c r="AT48" s="1150"/>
      <c r="AU48"/>
      <c r="AY48"/>
      <c r="AZ48" s="442" t="str">
        <f>IF(AND('Custom Elements'!J9="Yes",'Custom Elements'!I9="Yes"),"T",IF('Custom Elements'!J9="Yes","F",IF('Custom Elements'!I9="Yes","H","E")))</f>
        <v>T</v>
      </c>
      <c r="BA48" s="51"/>
      <c r="BB48" s="51"/>
      <c r="BC48" s="51"/>
      <c r="BD48" s="638"/>
      <c r="BF48" s="599" t="str">
        <f>'Custom Elements'!C24</f>
        <v>Custom16</v>
      </c>
      <c r="BI48" s="759"/>
      <c r="BJ48" s="897">
        <f t="shared" si="33"/>
        <v>40</v>
      </c>
      <c r="BK48" s="1223"/>
      <c r="BL48" s="1208"/>
      <c r="BM48" s="1211">
        <f>Table!J14</f>
        <v>1.2</v>
      </c>
      <c r="BN48" s="776">
        <v>999</v>
      </c>
      <c r="BO48" s="776">
        <f>Table!K14</f>
        <v>60</v>
      </c>
      <c r="BP48" s="926">
        <f>Table!L14</f>
        <v>55</v>
      </c>
      <c r="BQ48" s="1183"/>
      <c r="BR48" s="908"/>
      <c r="BS48" s="776"/>
      <c r="BT48" s="776"/>
      <c r="BU48" s="926" t="s">
        <v>242</v>
      </c>
      <c r="BV48" s="433"/>
      <c r="BW48" s="1184"/>
      <c r="BX48" s="926" t="str">
        <f>Table!N11</f>
        <v>Double</v>
      </c>
      <c r="CH48" s="908">
        <f>IF(BN48=999,0,(BO49-BO48)/(BN48-BM48))</f>
        <v>0</v>
      </c>
      <c r="CI48" s="926">
        <f>IF(BN48=999,0,(BP49-BP48)/(BN48-BM48))</f>
        <v>0</v>
      </c>
      <c r="CJ48" s="759"/>
      <c r="CK48" s="188"/>
      <c r="CL48" s="979">
        <f>VLOOKUP(I48,Prodlink,2,0)</f>
        <v>0</v>
      </c>
      <c r="CN48" s="497">
        <f t="shared" ca="1" si="31"/>
        <v>0</v>
      </c>
      <c r="CO48" s="497">
        <f ca="1">OFFSET($CH$9,CL48-1,-15,1,1)</f>
        <v>0</v>
      </c>
      <c r="CQ48" s="51">
        <v>0</v>
      </c>
      <c r="CR48" s="51">
        <f ca="1">IF(AND(Z48&lt;&gt;"t",Z48&lt;&gt;"f"),10000,IF(K48=$BH$11,0,IF(K48=$BH$12,$BH$23,IF(K48=$BH$13,$BH$24,10000))))</f>
        <v>10000</v>
      </c>
      <c r="CS48" s="51">
        <f ca="1">IF(F48&lt;OFFSET($BM$9,CL48-1,0,1,1),0,IF(F48&lt;OFFSET($BN$9,CL48-1,0,1,1),((F48-OFFSET($BM$9,CL48-1,0,1,1))*OFFSET($CH$9,CL48-1,0,1,1))+OFFSET($BO$9,CL48-1,CQ48,1,1),IF(F48&lt;OFFSET($BN$9,CL48+0,0,1,1),((F48-OFFSET($BM$9,CL48+0,0,1,1))*OFFSET($CH$9,CL48+0,0,1,1))+OFFSET($BO$9,CL48+0,CQ48,1,1),IF(F48&lt;OFFSET($BN$9,CL48+1,0,1,1),((F48-OFFSET($BM$9,CL48+1,0,1,1))*OFFSET($CH$9,CL48+1,0,1,1))+OFFSET($BO$9,CL48+1,CQ48,1,1),IF(F48&lt;OFFSET($BN$9,CL48+2,0,1,1),((F48-OFFSET($BM$9,CL48+2,0,1,1))*OFFSET($CH$9,CL48+2,0,1,1))+OFFSET($BO$9,CL48+2,CQ48,1,1),IF(F48&lt;OFFSET($BN$9,CL48+3,0,1,1),((F48-OFFSET($BM$9,CL48+3,0,1,1))*OFFSET($CH$9,CL48+3,0,1,1))+OFFSET($BO$9,CL48+3,CQ48,1,1),0))))))</f>
        <v>0</v>
      </c>
      <c r="CT48" s="51">
        <f ca="1">IF($F48&lt;OFFSET($BM$9,$CL48-1,0,1,1),0,IF($F48&lt;OFFSET($BN$9,$CL48-1,0,1,1),IF(AND($H48&gt;2.4,Z48&lt;&gt;"e",Z48&lt;&gt;"f"),CX48*2.4/$H48,CX48),IF($F48&lt;OFFSET($BN$9,$CL48+0,0,1,1),IF(AND($H48&gt;2.4,Z48&lt;&gt;"e",Z48&lt;&gt;"f"),CX48*2.4/$H48,CX48),IF($F48&lt;OFFSET($BN$9,$CL48+1,0,1,1),IF(AND($H48&gt;2.4,Z48&lt;&gt;"e",Z48&lt;&gt;"f"),CX48*2.4/$H48,CX48),IF($F48&lt;OFFSET($BN$9,CL48+2,0,1,1),IF(AND($H48&gt;2.4,Z48&lt;&gt;"e",Z48&lt;&gt;"f"),CX48*2.4/$H48,CX48),IF($F48&lt;OFFSET($BN$9,CL48+3,0,1,1),IF(AND($H48&gt;2.4,Z48&lt;&gt;"e",Z48&lt;&gt;"f"),CX48*2.4/$H48,CX48),0)))))*COS(RADIANS($G48)))</f>
        <v>0</v>
      </c>
      <c r="CU48" s="51">
        <f ca="1">IF(F48&lt;OFFSET($BM$9,CL48-1,0,1,1),0,IF(F48&lt;OFFSET($BN$9,CL48-1,0,1,1),((F48-OFFSET($BM$9,CL48-1,0,1,1))*OFFSET($CI$9,CL48-1,0,1,1))+OFFSET($BP$9,CL48-1,CQ48,1,1),IF(F48&lt;OFFSET($BN$9,CL48+0,0,1,1),((F48-OFFSET($BM$9,CL48+0,0,1,1))*OFFSET($CI$9,CL48+0,0,1,1))+OFFSET($BP$9,CL48+0,CQ48,1,1),IF(F48&lt;OFFSET($BN$9,CL48+1,0,1,1),((F48-OFFSET($BM$9,CL48+1,0,1,1))*OFFSET($CI$9,CL48+1,0,1,1))+OFFSET($BP$9,CL48+1,CQ48,1,1),IF(F48&lt;OFFSET($BN$9,CL48+2,0,1,1),((F48-OFFSET($BM$9,CL48+2,0,1,1))*OFFSET($CI$9,CL48+2,0,1,1))+OFFSET($BP$9,CL48+2,CQ48,1,1),IF(F48&lt;OFFSET($BN$9,CL48+3,0,1,1),((F48-OFFSET($BM$9,CL48+3,0,1,1))*OFFSET($CI$9,CL48+3,0,1,1))+OFFSET($BP$9,CL48+3,CQ48,1,1),0))))))</f>
        <v>0</v>
      </c>
      <c r="CV48" s="51">
        <f ca="1">IF($F48&lt;OFFSET($BM$9,$CL48-1,0,1,1),0,IF($F48&lt;OFFSET($BN$9,$CL48-1,0,1,1),IF(AND($H48&gt;2.4,Z48&lt;&gt;"e",Z48&lt;&gt;"f"),CZ48*2.4/$H48,CZ48),IF($F48&lt;OFFSET($BN$9,$CL48+0,0,1,1),IF(AND($H48&gt;2.4,Z48&lt;&gt;"e",Z48&lt;&gt;"f"),CZ48*2.4/$H48,CZ48),IF($F48&lt;OFFSET($BN$9,$CL48+1,0,1,1),IF(AND($H48&gt;2.4,Z48&lt;&gt;"e",Z48&lt;&gt;"f"),CZ48*2.4/$H48,CZ48),IF($F48&lt;OFFSET($BN$9,$CL48+2,0,1,1),IF(AND($H48&gt;2.4,Z48&lt;&gt;"e",Z48&lt;&gt;"f"),CZ48*2.4/$H48,CZ48),IF($F48&lt;OFFSET($BN$9,$CL48+3,0,1,1),IF(AND($H48&gt;2.4,Z48&lt;&gt;"e",Z48&lt;&gt;"f"),CZ48*2.4/$H48,CZ48),0)))))*COS(RADIANS($G48)))</f>
        <v>0</v>
      </c>
      <c r="CW48" s="51">
        <f t="shared" ca="1" si="17"/>
        <v>0</v>
      </c>
      <c r="CX48" s="51">
        <f ca="1">IF(CS48&gt;$CR48,$CR48,CS48)</f>
        <v>0</v>
      </c>
      <c r="CY48" s="51">
        <f ca="1">CW48*F48</f>
        <v>0</v>
      </c>
      <c r="CZ48" s="51">
        <f ca="1">IF($CU48&gt;$CR48,$CR48,$CU48)</f>
        <v>0</v>
      </c>
      <c r="DA48" s="51">
        <f ca="1">IF(CV48&gt;CR48,CR48,CV48)</f>
        <v>0</v>
      </c>
      <c r="DB48" s="51">
        <f ca="1">DA48*F48</f>
        <v>0</v>
      </c>
      <c r="DC48" s="993">
        <v>1</v>
      </c>
      <c r="DD48" s="758" t="str">
        <f>IF(OR(D48=BG$12,D48=BG$13),"External",IF(D48=BG$14,"Internal"," "))</f>
        <v xml:space="preserve"> </v>
      </c>
      <c r="DE48" s="51" t="str">
        <f t="shared" ca="1" si="18"/>
        <v/>
      </c>
      <c r="DF48" s="52" t="str">
        <f t="shared" ca="1" si="19"/>
        <v xml:space="preserve"> </v>
      </c>
      <c r="DG48" s="51">
        <f ca="1">IF(F48&lt;OFFSET($BM$9,CN48-1,0,1,1),0,IF(F48&lt;OFFSET($BN$9,CN48-1,0,1,1),((F48-OFFSET($BM$9,CN48-1,0,1,1))*OFFSET($CH$9,CN48-1,0,1,1))+OFFSET($BO$9,CN48-1,CQ48,1,1),IF(F48&lt;OFFSET($BN$9,CN48+0,0,1,1),((F48-OFFSET($BM$9,CN48+0,0,1,1))*OFFSET($CH$9,CN48+0,0,1,1))+OFFSET($BO$9,CN48+0,CQ48,1,1),IF(F48&lt;OFFSET($BN$9,CN48+1,0,1,1),((F48-OFFSET($BM$9,CN48+1,0,1,1))*OFFSET($CH$9,CN48+1,0,1,1))+OFFSET($BO$9,CN48+1,CQ48,1,1),IF(F48&lt;OFFSET($BN$9,CN48+2,0,1,1),((F48-OFFSET($BM$9,CN48+2,0,1,1))*OFFSET($CH$9,CN48+2,0,1,1))+OFFSET($BO$9,CN48+2,CQ48,1,1),IF(F48&lt;OFFSET($BN$9,CN48+3,0,1,1),((F48-OFFSET($BM$9,CN48+3,0,1,1))*OFFSET($CH$9,CN48+3,0,1,1))+OFFSET($BO$9,CN48+3,CQ48,1,1),0))))))</f>
        <v>0</v>
      </c>
      <c r="DH48" s="51">
        <f ca="1">IF($F48&lt;OFFSET($BM$9,$CN48-1,0,1,1),0,IF($F48&lt;OFFSET($BN$9,$CN48-1,0,1,1),IF(AND($H48&gt;2.4,Z48&lt;&gt;"e",Z48&lt;&gt;"f"),DL48*2.4/$H48,DL48),IF($F48&lt;OFFSET($BN$9,$CN48+0,0,1,1),IF(AND($H48&gt;2.4,Z48&lt;&gt;"e",Z48&lt;&gt;"f"),DL48*2.4/$H48,DL48),IF($F48&lt;OFFSET($BN$9,$CN48+1,0,1,1),IF(AND($H48&gt;2.4,Z48&lt;&gt;"e",Z48&lt;&gt;"f"),DL48*2.4/$H48,DL48),IF($F48&lt;OFFSET($BN$9,$CN48+2,0,1,1),IF(AND($H48&gt;2.4,Z48&lt;&gt;"e",Z48&lt;&gt;"f"),DL48*2.4/$H48,DL48),IF($F48&lt;OFFSET($BN$9,$CN48+3,0,1,1),IF(AND($H48&gt;2.4,Z48&lt;&gt;"e",Z48&lt;&gt;"f"),DL48*2.4/$H48,DL48),0)))))*COS(RADIANS($G48)))</f>
        <v>0</v>
      </c>
      <c r="DI48" s="51">
        <f ca="1">IF(F48&lt;OFFSET($BM$9,CN48-1,0,1,1),0,IF(F48&lt;OFFSET($BN$9,CN48-1,0,1,1),((F48-OFFSET($BM$9,CN48-1,0,1,1))*OFFSET($CI$9,CN48-1,0,1,1))+OFFSET($BP$9,CN48-1,CQ48,1,1),IF(F48&lt;OFFSET($BN$9,CN48+0,0,1,1),((F48-OFFSET($BM$9,CN48+0,0,1,1))*OFFSET($CI$9,CN48+0,0,1,1))+OFFSET($BP$9,CN48+0,CQ48,1,1),IF(F48&lt;OFFSET($BN$9,CN48+1,0,1,1),((F48-OFFSET($BM$9,CN48+1,0,1,1))*OFFSET($CI$9,CN48+1,0,1,1))+OFFSET($BP$9,CN48+1,CQ48,1,1),IF(F48&lt;OFFSET($BN$9,CN48+2,0,1,1),((F48-OFFSET($BM$9,CN48+2,0,1,1))*OFFSET($CI$9,CN48+2,0,1,1))+OFFSET($BP$9,CN48+2,CQ48,1,1),IF(F48&lt;OFFSET($BN$9,CN48+3,0,1,1),((F48-OFFSET($BM$9,CN48+3,0,1,1))*OFFSET($CI$9,CN48+3,0,1,1))+OFFSET($BP$9,CN48+3,CQ48,1,1),0))))))</f>
        <v>0</v>
      </c>
      <c r="DJ48" s="51">
        <f ca="1">IF($F48&lt;OFFSET($BM$9,$CN48-1,0,1,1),0,IF($F48&lt;OFFSET($BN$9,$CN48-1,0,1,1),IF(AND($H48&gt;2.4,Z48&lt;&gt;"e",Z48&lt;&gt;"f"),DN48*2.4/$H48,DN48),IF($F48&lt;OFFSET($BN$9,$CN48+0,0,1,1),IF(AND($H48&gt;2.4,Z48&lt;&gt;"e",Z48&lt;&gt;"f"),DN48*2.4/$H48,DN48),IF($F48&lt;OFFSET($BN$9,$CN48+1,0,1,1),IF(AND($H48&gt;2.4,Z48&lt;&gt;"e",Z48&lt;&gt;"f"),DN48*2.4/$H48,DN48),IF($F48&lt;OFFSET($BN$9,$CN48+2,0,1,1),IF(AND($H48&gt;2.4,Z48&lt;&gt;"e",Z48&lt;&gt;"f"),DN48*2.4/$H48,DN48),IF($F48&lt;OFFSET($BN$9,$CN48+3,0,1,1),IF(AND($H48&gt;2.4,Z48&lt;&gt;"e",Z48&lt;&gt;"f"),DN48*2.4/$H48,DN48),0)))))*COS(RADIANS($G48)))</f>
        <v>0</v>
      </c>
      <c r="DK48" s="51"/>
      <c r="DL48" s="51">
        <f ca="1">IF(DG48&gt;$CR48,$CR48,DG48)</f>
        <v>0</v>
      </c>
      <c r="DM48" s="51"/>
      <c r="DN48" s="51">
        <f ca="1">IF(DI48&gt;$CR48,$CR48,DI48)</f>
        <v>0</v>
      </c>
      <c r="DO48" s="435">
        <f ca="1">IF(DH48&gt;$CR48,$CR48,DH48)</f>
        <v>0</v>
      </c>
      <c r="DP48" s="435">
        <f ca="1">DO48*F48</f>
        <v>0</v>
      </c>
      <c r="DQ48" s="436">
        <f ca="1">IF(DJ48&gt;$CR48,$CR48,DJ48)</f>
        <v>0</v>
      </c>
      <c r="DR48" s="437">
        <f ca="1">DQ48*F48</f>
        <v>0</v>
      </c>
      <c r="DS48" s="426">
        <f ca="1">OFFSET($CH$9,CL48-1,-15,1,1)</f>
        <v>0</v>
      </c>
      <c r="DT48" s="426">
        <f t="shared" ca="1" si="32"/>
        <v>0</v>
      </c>
      <c r="DU48" s="188">
        <f ca="1">IF(F48&lt;OFFSET($BM$9,DT48-1,0,1,1),0,IF(F48&lt;OFFSET($BN$9,DT48-1,0,1,1),((F48-OFFSET($BM$9,DT48-1,0,1,1))*OFFSET($CH$9,DT48-1,0,1,1))+OFFSET($BO$9,DT48-1,CQ48,1,1),IF(F48&lt;OFFSET($BN$9,DT48+0,0,1,1),((F48-OFFSET($BM$9,DT48+0,0,1,1))*OFFSET($CH$9,DT48+0,0,1,1))+OFFSET($BO$9,DT48+0,CQ48,1,1),IF(F48&lt;OFFSET($BN$9,DT48+1,0,1,1),((F48-OFFSET($BM$9,DT48+1,0,1,1))*OFFSET($CH$9,DT48+1,0,1,1))+OFFSET($BO$9,DT48+1,CQ48,1,1),IF(F48&lt;OFFSET($BN$9,DT48+2,0,1,1),((F48-OFFSET($BM$9,DT48+2,0,1,1))*OFFSET($CH$9,DT48+2,0,1,1))+OFFSET($BO$9,DT48+2,CQ48,1,1),IF(F48&lt;OFFSET($BN$9,DT48+3,0,1,1),((F48-OFFSET($BM$9,DT48+3,0,1,1))*OFFSET($CH$9,DT48+3,0,1,1))+OFFSET($BO$9,DT48+3,CQ48,1,1),0))))))</f>
        <v>0</v>
      </c>
      <c r="DV48" s="51">
        <f ca="1">IF($F48&lt;OFFSET($BM$9,$DT48-1,0,1,1),0,IF($F48&lt;OFFSET($BN$9,$DT48-1,0,1,1),IF(AND($H48&gt;2.4,Z48&lt;&gt;"e",Z48&lt;&gt;"f"),DZ48*2.4/$H48,DZ48),IF($F48&lt;OFFSET($BN$9,$DT48+0,0,1,1),IF(AND($H48&gt;2.4,Z48&lt;&gt;"e",Z48&lt;&gt;"f"),DZ48*2.4/$H48,DZ48),IF($F48&lt;OFFSET($BN$9,$DT48+1,0,1,1),IF(AND($H48&gt;2.4,Z48&lt;&gt;"e",Z48&lt;&gt;"f"),DZ48*2.4/$H48,DZ48),IF($F48&lt;OFFSET($BN$9,$DT48+2,0,1,1),IF(AND($H48&gt;2.4,Z48&lt;&gt;"e",Z48&lt;&gt;"f"),DZ48*2.4/$H48,DZ48),IF($F48&lt;OFFSET($BN$9,$DT48+3,0,1,1),IF(AND($H48&gt;2.4,Z48&lt;&gt;"e",Z48&lt;&gt;"f"),DZ48*2.4/$H48,DZ48),0)))))*COS(RADIANS($G48)))</f>
        <v>0</v>
      </c>
      <c r="DW48" s="188">
        <f ca="1">IF(F48&lt;OFFSET($BM$9,DT48-1,0,1,1),0,IF(F48&lt;OFFSET($BN$9,DT48-1,0,1,1),((F48-OFFSET($BM$9,DT48-1,0,1,1))*OFFSET($CI$9,DT48-1,0,1,1))+OFFSET($BP$9,DT48-1,CQ48,1,1),IF(F48&lt;OFFSET($BN$9,DT48+0,0,1,1),((F48-OFFSET($BM$9,DT48+0,0,1,1))*OFFSET($CI$9,DT48+0,0,1,1))+OFFSET($BP$9,DT48+0,CQ48,1,1),IF(F48&lt;OFFSET($BN$9,DT48+1,0,1,1),((F48-OFFSET($BM$9,DT48+1,0,1,1))*OFFSET($CI$9,DT48+1,0,1,1))+OFFSET($BP$9,DT48+1,CQ48,1,1),IF(F48&lt;OFFSET($BN$9,DT48+2,0,1,1),((F48-OFFSET($BM$9,DT48+2,0,1,1))*OFFSET($CI$9,DT48+2,0,1,1))+OFFSET($BP$9,DT48+2,CQ48,1,1),IF(F48&lt;OFFSET($BN$9,DT48+3,0,1,1),((F48-OFFSET($BM$9,DT48+3,0,1,1))*OFFSET($CI$9,DT48+3,0,1,1))+OFFSET($BP$9,DT48+3,CQ48,1,1),0))))))</f>
        <v>0</v>
      </c>
      <c r="DX48" s="51">
        <f ca="1">IF($F48&lt;OFFSET($BM$9,$DT48-1,0,1,1),0,IF($F48&lt;OFFSET($BN$9,$DT48-1,0,1,1),IF(AND($H48&gt;2.4,Z48&lt;&gt;"e",Z48&lt;&gt;"f"),EB48*2.4/$H48,EB48),IF($F48&lt;OFFSET($BN$9,$DT48+0,0,1,1),IF(AND($H48&gt;2.4,Z48&lt;&gt;"e",Z48&lt;&gt;"f"),EB48*2.4/$H48,EB48),IF($F48&lt;OFFSET($BN$9,$DT48+1,0,1,1),IF(AND($H48&gt;2.4,Z48&lt;&gt;"e",Z48&lt;&gt;"f"),EB48*2.4/$H48,EB48),IF($F48&lt;OFFSET($BN$9,$DT48+2,0,1,1),IF(AND($H48&gt;2.4,Z48&lt;&gt;"e",Z48&lt;&gt;"f"),EB48*2.4/$H48,EB48),IF($F48&lt;OFFSET($BN$9,$DT48+3,0,1,1),IF(AND($H48&gt;2.4,Z48&lt;&gt;"e",Z48&lt;&gt;"f"),EB48*2.4/$H48,EB48),0)))))*COS(RADIANS($G48)))</f>
        <v>0</v>
      </c>
      <c r="DY48" s="188"/>
      <c r="DZ48" s="188">
        <f ca="1">IF(DU48&gt;$CR48,$CR48,DU48)</f>
        <v>0</v>
      </c>
      <c r="EA48" s="188"/>
      <c r="EB48" s="188">
        <f ca="1">IF(DW48&gt;$CR48,$CR48,DW48)</f>
        <v>0</v>
      </c>
      <c r="EC48" s="435">
        <f ca="1">IF(DV48&gt;$CR48,$CR48,DV48)</f>
        <v>0</v>
      </c>
      <c r="ED48" s="435">
        <f ca="1">EC48*F48</f>
        <v>0</v>
      </c>
      <c r="EE48" s="436">
        <f ca="1">IF(DX48&gt;$CR48,$CR48,DX48)</f>
        <v>0</v>
      </c>
      <c r="EF48" s="437">
        <f ca="1">EE48*F48</f>
        <v>0</v>
      </c>
      <c r="EG48" s="613" t="str">
        <f>IF(D48=BG$12,BG$12,"")</f>
        <v/>
      </c>
      <c r="EH48" s="614" t="str">
        <f>IF(D48=BG$13,BG$13,"")</f>
        <v/>
      </c>
      <c r="EI48" s="611">
        <f>IF(EG48=BG$12,M48,0)</f>
        <v>0</v>
      </c>
      <c r="EJ48" s="451">
        <f>IF(EG48=BG$12,O48,0)</f>
        <v>0</v>
      </c>
      <c r="EK48" s="451">
        <f>IF(EH48=BG$13,M48,0)</f>
        <v>0</v>
      </c>
      <c r="EL48" s="612">
        <f>IF(EH48=BG$13,O48,0)</f>
        <v>0</v>
      </c>
      <c r="EM48" s="426" t="str">
        <f ca="1">IF(AND(Z48&lt;&gt;"t",Z48&lt;&gt;"f"),"",IF(AND(EN48=$BH$11,K48&lt;&gt;EN48),EM$4,IF(AND(EN48=$BH$12,K48=$BH$13),EM$4,IF(AND(EN48=$BH$12,K48=$BH$14),EM$4,IF(AND(EN48=$BH$13,K48=$BH$14),$EM$4,IF(EN48=$BH$14,$EM$4,""))))))</f>
        <v/>
      </c>
      <c r="EN48" s="489" t="str">
        <f>BG$24</f>
        <v>No Floor</v>
      </c>
      <c r="EO48" s="426" t="str">
        <f>K48</f>
        <v xml:space="preserve"> </v>
      </c>
      <c r="EP48" s="497" t="str">
        <f ca="1">IF(AND(Z48&lt;&gt;"t",Z48&lt;&gt;"f"),"",IF(AND(EN48=$BH$14,K48&lt;&gt;EN48),EP$4,IF(AND(EN48=$BH$13,K48=$BH$12),EP$4,IF(AND(EN48=$BH$13,K48=$BH$11),EP$4,IF(AND(EN48=$BH$12,K48=$BH$11),$EP$4,IF(EN48=$BH$11,"Earth",""))))))</f>
        <v/>
      </c>
      <c r="EQ48" s="430" t="str">
        <f ca="1">IF(Z48&lt;&gt;"t","",IF(EQ$5=2,IF(K48&lt;&gt;BH$11,EQ$7," ")))</f>
        <v/>
      </c>
      <c r="ER48" s="439" t="str">
        <f ca="1">IF(H48=0," ",H48)</f>
        <v xml:space="preserve"> </v>
      </c>
      <c r="ES48" s="440" t="str">
        <f ca="1">IF(ER48&lt;&gt;" ",IF(ER48&lt;&gt;ER$7,"Changed",""),"")</f>
        <v/>
      </c>
      <c r="ET48" s="440">
        <f t="shared" ca="1" si="20"/>
        <v>0</v>
      </c>
      <c r="EU48" s="426" t="str">
        <f ca="1">IF(I48=" "," ",IF(F48&lt;OFFSET($BM$9,CL48-1,0,1,1),1,""))</f>
        <v xml:space="preserve"> </v>
      </c>
      <c r="EW48" s="427"/>
      <c r="EY48" s="421"/>
    </row>
    <row r="49" spans="1:155" ht="17.100000000000001" customHeight="1" thickBot="1">
      <c r="A49" s="2685"/>
      <c r="B49" s="2686" t="s">
        <v>8</v>
      </c>
      <c r="C49" s="2687"/>
      <c r="D49" s="1461" t="s">
        <v>8</v>
      </c>
      <c r="E49" s="659"/>
      <c r="F49" s="659"/>
      <c r="G49" s="659"/>
      <c r="H49" s="659"/>
      <c r="I49" s="1462"/>
      <c r="J49" s="1365" t="str">
        <f ca="1">(CONCATENATE(B44,$BE$54))</f>
        <v>G  Line:  Min. Requirement</v>
      </c>
      <c r="K49" s="23"/>
      <c r="L49" s="1019">
        <f ca="1">L$5</f>
        <v>0</v>
      </c>
      <c r="M49" s="48">
        <f ca="1">IF(B44=B38,SUM(M44:M48)+M43,SUM(M44:M48))</f>
        <v>0</v>
      </c>
      <c r="N49" s="1019">
        <f ca="1">N$5</f>
        <v>0</v>
      </c>
      <c r="O49" s="125">
        <f ca="1">IF(B44=B38,SUM(O44:O48)+O43,SUM(O44:O48))</f>
        <v>0</v>
      </c>
      <c r="P49" s="139"/>
      <c r="Q49" s="42" t="str">
        <f ca="1">IF(B44=B50,"",IF(AND(M49&gt;0,L49=L$5,OR(M49&lt;$M$105,M49&lt;$BF$3)),"Achieved &lt; Min Req per Line",IF(AND(O49&gt;0,N49=N$5,OR(O49&lt;$O$105,O49&lt;$BF$3)),"Achieved &lt; Min Req per Line",IF(AND(M49&gt;0,L49&gt;M49),"More Required on this line",IF(AND(O49&gt;0,N49&gt;O49),"More Required on this line",IF(AND(L49&gt;0,L49&lt;$BF$3),$BE$59,IF(AND(N49&gt;0,N49&lt;$BF$3),$BE$59,"")))))))</f>
        <v/>
      </c>
      <c r="R49" s="52"/>
      <c r="S49" s="52"/>
      <c r="T49" s="52"/>
      <c r="U49" s="1378"/>
      <c r="V49" s="52"/>
      <c r="W49" s="898"/>
      <c r="X49" s="898"/>
      <c r="Y49" s="896"/>
      <c r="Z49" s="52"/>
      <c r="AA49" s="51"/>
      <c r="AB49" s="1364"/>
      <c r="AC49"/>
      <c r="AJ49" s="2"/>
      <c r="AK49" s="63" t="str">
        <f>'Custom Elements'!B10</f>
        <v xml:space="preserve">  </v>
      </c>
      <c r="AL49" s="860" t="str">
        <f>'Custom Elements'!C10</f>
        <v>Custom2</v>
      </c>
      <c r="AM49" s="11">
        <f>'Custom Elements'!D10</f>
        <v>9.9999999999999996E-76</v>
      </c>
      <c r="AN49" s="7">
        <f>'Custom Elements'!E10</f>
        <v>0</v>
      </c>
      <c r="AO49" s="7">
        <f>'Custom Elements'!F10</f>
        <v>0</v>
      </c>
      <c r="AP49" s="762" t="str">
        <f>'Custom Elements'!G10</f>
        <v>B</v>
      </c>
      <c r="AQ49" s="1637" t="str">
        <f>'Custom Elements'!H10</f>
        <v>Single</v>
      </c>
      <c r="AR49" s="1637" t="str">
        <f>'Custom Elements'!I10</f>
        <v>Yes</v>
      </c>
      <c r="AS49" s="442" t="str">
        <f>'Custom Elements'!J10</f>
        <v>Yes</v>
      </c>
      <c r="AT49" s="1150"/>
      <c r="AU49"/>
      <c r="AY49"/>
      <c r="AZ49" s="442" t="str">
        <f>IF(AND('Custom Elements'!J10="Yes",'Custom Elements'!I10="Yes"),"T",IF('Custom Elements'!J10="Yes","F",IF('Custom Elements'!I10="Yes","H","E")))</f>
        <v>T</v>
      </c>
      <c r="BA49" s="51"/>
      <c r="BB49" s="51"/>
      <c r="BC49" s="51"/>
      <c r="BD49" s="638"/>
      <c r="BF49" s="599" t="str">
        <f>'Custom Elements'!C25</f>
        <v>Custom17</v>
      </c>
      <c r="BI49" s="759"/>
      <c r="BJ49" s="897">
        <f t="shared" si="33"/>
        <v>41</v>
      </c>
      <c r="CH49" s="970"/>
      <c r="CI49" s="971"/>
      <c r="CJ49" s="759"/>
      <c r="CK49" s="188"/>
      <c r="CL49" s="979"/>
      <c r="CN49" s="497"/>
      <c r="CO49" s="497"/>
      <c r="CQ49" s="51"/>
      <c r="CR49" s="51"/>
      <c r="CS49" s="51"/>
      <c r="CT49" s="51" t="s">
        <v>8</v>
      </c>
      <c r="CU49" s="51"/>
      <c r="CV49" s="51" t="s">
        <v>8</v>
      </c>
      <c r="CW49" s="51"/>
      <c r="CX49" s="51"/>
      <c r="CY49" s="51"/>
      <c r="CZ49" s="51"/>
      <c r="DD49" s="758"/>
      <c r="DF49" s="52"/>
      <c r="DG49" s="51"/>
      <c r="DH49" s="51"/>
      <c r="DI49" s="51"/>
      <c r="DJ49" s="51"/>
      <c r="DK49" s="51"/>
      <c r="DL49" s="51"/>
      <c r="DM49" s="51"/>
      <c r="DN49" s="51"/>
      <c r="DO49" s="435"/>
      <c r="DP49" s="435"/>
      <c r="DQ49" s="868"/>
      <c r="DR49" s="868"/>
      <c r="DU49" s="188"/>
      <c r="DV49" s="188" t="s">
        <v>8</v>
      </c>
      <c r="DW49" s="188"/>
      <c r="DX49" s="188" t="s">
        <v>8</v>
      </c>
      <c r="DY49" s="188"/>
      <c r="DZ49" s="188"/>
      <c r="EA49" s="188"/>
      <c r="EB49" s="188"/>
      <c r="EC49" s="435"/>
      <c r="ED49" s="435"/>
      <c r="EE49" s="868"/>
      <c r="EF49" s="868"/>
      <c r="EG49" s="613"/>
      <c r="EH49" s="614"/>
      <c r="EI49" s="613"/>
      <c r="EJ49" s="435"/>
      <c r="EK49" s="451"/>
      <c r="EL49" s="612"/>
      <c r="EN49" s="438"/>
      <c r="ER49" s="441"/>
      <c r="ES49" s="440"/>
      <c r="ET49" s="440"/>
      <c r="EW49" s="427"/>
      <c r="EY49" s="421"/>
    </row>
    <row r="50" spans="1:155" ht="17.100000000000001" customHeight="1" thickBot="1">
      <c r="A50" s="2685"/>
      <c r="B50" s="1369" t="str">
        <f ca="1">S50</f>
        <v>H</v>
      </c>
      <c r="C50" s="684" t="str">
        <f>IF(OR(F50=0,I50="",I50=" ")," ",$V50)</f>
        <v xml:space="preserve"> </v>
      </c>
      <c r="D50" s="1033"/>
      <c r="E50" s="1360"/>
      <c r="F50" s="202"/>
      <c r="G50" s="1416"/>
      <c r="H50" s="1417" t="str">
        <f ca="1">IF(OR(F50=0,Z50="E",Z50="f")," ",'Project Demand'!E$55)</f>
        <v xml:space="preserve"> </v>
      </c>
      <c r="I50" s="631" t="str">
        <f>IF($I$6&lt;&gt;$BG$8," ",AB50)</f>
        <v xml:space="preserve"> </v>
      </c>
      <c r="J50" s="43" t="str">
        <f ca="1">IF(OR(I50=" ",I50="")," ",OFFSET($BO$9,CL50-1,0-4,1,1))</f>
        <v xml:space="preserve"> </v>
      </c>
      <c r="K50" s="55" t="str">
        <f>IF(OR(I50=" ",I50="")," ",IF(OR(Z50="e",Z50="h"),"SD",IF(BG$24=BH$11,BH$13,BG$24)))</f>
        <v xml:space="preserve"> </v>
      </c>
      <c r="L50" s="49">
        <f ca="1">CW50</f>
        <v>0</v>
      </c>
      <c r="M50" s="49">
        <f ca="1">CY50</f>
        <v>0</v>
      </c>
      <c r="N50" s="50">
        <f t="shared" ref="N50:O54" ca="1" si="36">DA50</f>
        <v>0</v>
      </c>
      <c r="O50" s="126">
        <f t="shared" ca="1" si="36"/>
        <v>0</v>
      </c>
      <c r="P50" s="140"/>
      <c r="Q50" s="752" t="str">
        <f ca="1">IF(AND(OR(Z50="t",Z50="f"),K50=$BH$11),"No Floor!  Change Floor Type",IF(OR(I50=" ",I50="")," ",IF(F50&lt;OFFSET($BM$9,CL50-1,0,1,1),"check L(m)",DE50&amp;IF(AND(DP50&gt;=CY50,DR50&gt;=DB50),IF(AND(ED50&gt;=DP50,EF50&gt;=DR50),CONCATENATE(DS50," will provide same result"),CONCATENATE(CO50," will provide same result")),IF((DP50&gt;=CY50),CONCATENATE(CO50," provides same result in WIND"),IF((DR50&gt;=DB50),CONCATENATE(CO50," provides same result in EQ"),""))))))&amp;IF(ISERROR(FIND("pile",I50,1)),"",IF(INT(F50)&lt;&gt;F50,"Pile!  Use Whole Numbers Only",""))</f>
        <v xml:space="preserve"> </v>
      </c>
      <c r="R50" s="52">
        <f ca="1">IF(T44&lt;&gt;2,(COLUMN(INDIRECT(B44&amp;1))+1),U50)</f>
        <v>8</v>
      </c>
      <c r="S50" s="1372" t="str">
        <f ca="1">SUBSTITUTE(ADDRESS(1,R50,4),"1","")</f>
        <v>H</v>
      </c>
      <c r="T50" s="451">
        <f ca="1">IF(AND(ISTEXT(B50),SUBSTITUTE(SUBSTITUTE(SUBSTITUTE(SUBSTITUTE(SUBSTITUTE(SUBSTITUTE(SUBSTITUTE(SUBSTITUTE(SUBSTITUTE(SUBSTITUTE(SUBSTITUTE(SUBSTITUTE(SUBSTITUTE(SUBSTITUTE(SUBSTITUTE(SUBSTITUTE(SUBSTITUTE(SUBSTITUTE(SUBSTITUTE(SUBSTITUTE(SUBSTITUTE(SUBSTITUTE(SUBSTITUTE(SUBSTITUTE(SUBSTITUTE(SUBSTITUTE(LOWER(B50),"a",),"b",),"c",),"d",),"e",),"f",),"g",),"h",),"i",),"j",),"k",),"l",),"m",),"n",),"o",),"p",),"q",),"r",),"s",),"t",),"u",),"v",),"w",),"x",),"y",),"z",)=""),1,2)</f>
        <v>1</v>
      </c>
      <c r="U50" s="1377">
        <v>8</v>
      </c>
      <c r="V50" s="52" t="str">
        <f ca="1">IF(AND(B$5=$BF$9,OR(I50=BH$16,I50=BH$17))," ",IF(ISNUMBER(B$50),(CONCATENATE(B$50,".",W50)),(CONCATENATE(B$50,W50))))</f>
        <v>H0</v>
      </c>
      <c r="W50" s="9">
        <f ca="1">IF(B44=B50,W48+X50,X50)</f>
        <v>0</v>
      </c>
      <c r="X50" s="9">
        <f>IF(AND(B$5=$BF$9,OR($I50=$BH$16,$I50=$BH$17,$I50=" ",$I50="",$F50=0)),0,IF(OR($I50=" ",$I50="",$F50=0),0,1))</f>
        <v>0</v>
      </c>
      <c r="Y50" s="896">
        <f ca="1">IF(AND(M55&gt;0,B50&lt;&gt;B56),1,0)</f>
        <v>0</v>
      </c>
      <c r="Z50" s="52" t="str">
        <f ca="1">IF(I50=" "," ",OFFSET($BM$9,$CL50-1,8,1,1))</f>
        <v xml:space="preserve"> </v>
      </c>
      <c r="AA50" s="51" t="str">
        <f>IF(G50&gt;=45,"WA","")</f>
        <v/>
      </c>
      <c r="AB50" s="1364" t="str">
        <f>IF(OR(E50=" ",E50="")," ",(IF(F50&lt;&gt;"",IF(OR(D50=$BG$12,D50=$BG$13),IF(E50&lt;&gt;$BG$17,$BF$20,$BF$21),IF(E50&lt;&gt;$BG$17,$BF$20,$BF$21))," ")))</f>
        <v xml:space="preserve"> </v>
      </c>
      <c r="AC50" s="1"/>
      <c r="AJ50" s="2"/>
      <c r="AK50" s="63" t="str">
        <f>'Custom Elements'!B11</f>
        <v xml:space="preserve">  </v>
      </c>
      <c r="AL50" s="860" t="str">
        <f>'Custom Elements'!C11</f>
        <v>Custom3</v>
      </c>
      <c r="AM50" s="11">
        <f>'Custom Elements'!D11</f>
        <v>9.9999999999999996E-76</v>
      </c>
      <c r="AN50" s="7">
        <f>'Custom Elements'!E11</f>
        <v>0</v>
      </c>
      <c r="AO50" s="7">
        <f>'Custom Elements'!F11</f>
        <v>0</v>
      </c>
      <c r="AP50" s="762" t="str">
        <f>'Custom Elements'!G11</f>
        <v>B</v>
      </c>
      <c r="AQ50" s="1637" t="str">
        <f>'Custom Elements'!H11</f>
        <v>Single</v>
      </c>
      <c r="AR50" s="1637" t="str">
        <f>'Custom Elements'!I11</f>
        <v>Yes</v>
      </c>
      <c r="AS50" s="442" t="str">
        <f>'Custom Elements'!J11</f>
        <v>Yes</v>
      </c>
      <c r="AT50" s="1150"/>
      <c r="AU50"/>
      <c r="AY50"/>
      <c r="AZ50" s="442" t="str">
        <f>IF(AND('Custom Elements'!J11="Yes",'Custom Elements'!I11="Yes"),"T",IF('Custom Elements'!J11="Yes","F",IF('Custom Elements'!I11="Yes","H","E")))</f>
        <v>T</v>
      </c>
      <c r="BA50" s="51"/>
      <c r="BB50" s="51"/>
      <c r="BC50" s="51"/>
      <c r="BD50" s="638"/>
      <c r="BF50" s="599" t="str">
        <f>'Custom Elements'!C26</f>
        <v>Custom18</v>
      </c>
      <c r="BG50" s="1008"/>
      <c r="BH50" s="465"/>
      <c r="BI50" s="759"/>
      <c r="BJ50" s="897">
        <f t="shared" si="33"/>
        <v>42</v>
      </c>
      <c r="BK50" s="1219" t="str">
        <f>Table!AH71</f>
        <v xml:space="preserve">EPB </v>
      </c>
      <c r="BL50" s="765" t="str">
        <f>Table!C4</f>
        <v>ES-N</v>
      </c>
      <c r="BM50" s="454">
        <f>Table!D4</f>
        <v>0.4</v>
      </c>
      <c r="BN50" s="454">
        <f>BM51</f>
        <v>0.6</v>
      </c>
      <c r="BO50" s="454">
        <f>Table!E4</f>
        <v>66</v>
      </c>
      <c r="BP50" s="924">
        <f>Table!F4</f>
        <v>61</v>
      </c>
      <c r="BQ50" s="920"/>
      <c r="BR50" s="768">
        <f>Table!G4</f>
        <v>0</v>
      </c>
      <c r="BS50" s="454">
        <f>Table!G5</f>
        <v>0</v>
      </c>
      <c r="BT50" s="454" t="str">
        <f>Table!H4</f>
        <v>B</v>
      </c>
      <c r="BU50" s="924" t="s">
        <v>242</v>
      </c>
      <c r="BV50" s="1230" t="str">
        <f>Table!AI73</f>
        <v>ES-N</v>
      </c>
      <c r="BW50" s="1229">
        <f>BJ50</f>
        <v>42</v>
      </c>
      <c r="BX50" s="924" t="str">
        <f>Table!H5</f>
        <v>Single</v>
      </c>
      <c r="CH50" s="768">
        <f>IF(BN50=999,0,(BO51-BO50)/(BN50-BM50))</f>
        <v>15.000000000000004</v>
      </c>
      <c r="CI50" s="924">
        <f>IF(BN50=999,0,(BP51-BP50)/(BN50-BM50))</f>
        <v>0</v>
      </c>
      <c r="CJ50" s="759"/>
      <c r="CK50" s="188"/>
      <c r="CL50" s="979">
        <f>VLOOKUP(I50,Prodlink,2,0)</f>
        <v>0</v>
      </c>
      <c r="CN50" s="497">
        <f t="shared" ca="1" si="31"/>
        <v>0</v>
      </c>
      <c r="CO50" s="497">
        <f ca="1">OFFSET($CH$9,CL50-1,-15,1,1)</f>
        <v>0</v>
      </c>
      <c r="CQ50" s="51">
        <v>0</v>
      </c>
      <c r="CR50" s="51">
        <f ca="1">IF(AND(Z50&lt;&gt;"t",Z50&lt;&gt;"f"),10000,IF(K50=$BH$11,0,IF(K50=$BH$12,$BH$23,IF(K50=$BH$13,$BH$24,10000))))</f>
        <v>10000</v>
      </c>
      <c r="CS50" s="51">
        <f ca="1">IF(F50&lt;OFFSET($BM$9,CL50-1,0,1,1),0,IF(F50&lt;OFFSET($BN$9,CL50-1,0,1,1),((F50-OFFSET($BM$9,CL50-1,0,1,1))*OFFSET($CH$9,CL50-1,0,1,1))+OFFSET($BO$9,CL50-1,CQ50,1,1),IF(F50&lt;OFFSET($BN$9,CL50+0,0,1,1),((F50-OFFSET($BM$9,CL50+0,0,1,1))*OFFSET($CH$9,CL50+0,0,1,1))+OFFSET($BO$9,CL50+0,CQ50,1,1),IF(F50&lt;OFFSET($BN$9,CL50+1,0,1,1),((F50-OFFSET($BM$9,CL50+1,0,1,1))*OFFSET($CH$9,CL50+1,0,1,1))+OFFSET($BO$9,CL50+1,CQ50,1,1),IF(F50&lt;OFFSET($BN$9,CL50+2,0,1,1),((F50-OFFSET($BM$9,CL50+2,0,1,1))*OFFSET($CH$9,CL50+2,0,1,1))+OFFSET($BO$9,CL50+2,CQ50,1,1),IF(F50&lt;OFFSET($BN$9,CL50+3,0,1,1),((F50-OFFSET($BM$9,CL50+3,0,1,1))*OFFSET($CH$9,CL50+3,0,1,1))+OFFSET($BO$9,CL50+3,CQ50,1,1),0))))))</f>
        <v>0</v>
      </c>
      <c r="CT50" s="51">
        <f ca="1">IF($F50&lt;OFFSET($BM$9,$CL50-1,0,1,1),0,IF($F50&lt;OFFSET($BN$9,$CL50-1,0,1,1),IF(AND($H50&gt;2.4,Z50&lt;&gt;"e",Z50&lt;&gt;"f"),CX50*2.4/$H50,CX50),IF($F50&lt;OFFSET($BN$9,$CL50+0,0,1,1),IF(AND($H50&gt;2.4,Z50&lt;&gt;"e",Z50&lt;&gt;"f"),CX50*2.4/$H50,CX50),IF($F50&lt;OFFSET($BN$9,$CL50+1,0,1,1),IF(AND($H50&gt;2.4,Z50&lt;&gt;"e",Z50&lt;&gt;"f"),CX50*2.4/$H50,CX50),IF($F50&lt;OFFSET($BN$9,CL50+2,0,1,1),IF(AND($H50&gt;2.4,Z50&lt;&gt;"e",Z50&lt;&gt;"f"),CX50*2.4/$H50,CX50),IF($F50&lt;OFFSET($BN$9,CL50+3,0,1,1),IF(AND($H50&gt;2.4,Z50&lt;&gt;"e",Z50&lt;&gt;"f"),CX50*2.4/$H50,CX50),0)))))*COS(RADIANS($G50)))</f>
        <v>0</v>
      </c>
      <c r="CU50" s="51">
        <f ca="1">IF(F50&lt;OFFSET($BM$9,CL50-1,0,1,1),0,IF(F50&lt;OFFSET($BN$9,CL50-1,0,1,1),((F50-OFFSET($BM$9,CL50-1,0,1,1))*OFFSET($CI$9,CL50-1,0,1,1))+OFFSET($BP$9,CL50-1,CQ50,1,1),IF(F50&lt;OFFSET($BN$9,CL50+0,0,1,1),((F50-OFFSET($BM$9,CL50+0,0,1,1))*OFFSET($CI$9,CL50+0,0,1,1))+OFFSET($BP$9,CL50+0,CQ50,1,1),IF(F50&lt;OFFSET($BN$9,CL50+1,0,1,1),((F50-OFFSET($BM$9,CL50+1,0,1,1))*OFFSET($CI$9,CL50+1,0,1,1))+OFFSET($BP$9,CL50+1,CQ50,1,1),IF(F50&lt;OFFSET($BN$9,CL50+2,0,1,1),((F50-OFFSET($BM$9,CL50+2,0,1,1))*OFFSET($CI$9,CL50+2,0,1,1))+OFFSET($BP$9,CL50+2,CQ50,1,1),IF(F50&lt;OFFSET($BN$9,CL50+3,0,1,1),((F50-OFFSET($BM$9,CL50+3,0,1,1))*OFFSET($CI$9,CL50+3,0,1,1))+OFFSET($BP$9,CL50+3,CQ50,1,1),0))))))</f>
        <v>0</v>
      </c>
      <c r="CV50" s="51">
        <f ca="1">IF($F50&lt;OFFSET($BM$9,$CL50-1,0,1,1),0,IF($F50&lt;OFFSET($BN$9,$CL50-1,0,1,1),IF(AND($H50&gt;2.4,Z50&lt;&gt;"e",Z50&lt;&gt;"f"),CZ50*2.4/$H50,CZ50),IF($F50&lt;OFFSET($BN$9,$CL50+0,0,1,1),IF(AND($H50&gt;2.4,Z50&lt;&gt;"e",Z50&lt;&gt;"f"),CZ50*2.4/$H50,CZ50),IF($F50&lt;OFFSET($BN$9,$CL50+1,0,1,1),IF(AND($H50&gt;2.4,Z50&lt;&gt;"e",Z50&lt;&gt;"f"),CZ50*2.4/$H50,CZ50),IF($F50&lt;OFFSET($BN$9,$CL50+2,0,1,1),IF(AND($H50&gt;2.4,Z50&lt;&gt;"e",Z50&lt;&gt;"f"),CZ50*2.4/$H50,CZ50),IF($F50&lt;OFFSET($BN$9,$CL50+3,0,1,1),IF(AND($H50&gt;2.4,Z50&lt;&gt;"e",Z50&lt;&gt;"f"),CZ50*2.4/$H50,CZ50),0)))))*COS(RADIANS($G50)))</f>
        <v>0</v>
      </c>
      <c r="CW50" s="51">
        <f t="shared" ca="1" si="17"/>
        <v>0</v>
      </c>
      <c r="CX50" s="51">
        <f ca="1">IF(CS50&gt;$CR50,$CR50,CS50)</f>
        <v>0</v>
      </c>
      <c r="CY50" s="51">
        <f ca="1">CW50*F50</f>
        <v>0</v>
      </c>
      <c r="CZ50" s="51">
        <f ca="1">IF($CU50&gt;$CR50,$CR50,$CU50)</f>
        <v>0</v>
      </c>
      <c r="DA50" s="51">
        <f ca="1">IF(CV50&gt;CR50,CR50,CV50)</f>
        <v>0</v>
      </c>
      <c r="DB50" s="51">
        <f ca="1">DA50*F50</f>
        <v>0</v>
      </c>
      <c r="DC50" s="993">
        <v>1</v>
      </c>
      <c r="DD50" s="758" t="str">
        <f>IF(OR(D50=BG$12,D50=BG$13),"External",IF(D50=BG$14,"Internal"," "))</f>
        <v xml:space="preserve"> </v>
      </c>
      <c r="DE50" s="51" t="str">
        <f t="shared" ca="1" si="18"/>
        <v/>
      </c>
      <c r="DF50" s="52" t="str">
        <f t="shared" ca="1" si="19"/>
        <v xml:space="preserve"> </v>
      </c>
      <c r="DG50" s="51">
        <f ca="1">IF(F50&lt;OFFSET($BM$9,CN50-1,0,1,1),0,IF(F50&lt;OFFSET($BN$9,CN50-1,0,1,1),((F50-OFFSET($BM$9,CN50-1,0,1,1))*OFFSET($CH$9,CN50-1,0,1,1))+OFFSET($BO$9,CN50-1,CQ50,1,1),IF(F50&lt;OFFSET($BN$9,CN50+0,0,1,1),((F50-OFFSET($BM$9,CN50+0,0,1,1))*OFFSET($CH$9,CN50+0,0,1,1))+OFFSET($BO$9,CN50+0,CQ50,1,1),IF(F50&lt;OFFSET($BN$9,CN50+1,0,1,1),((F50-OFFSET($BM$9,CN50+1,0,1,1))*OFFSET($CH$9,CN50+1,0,1,1))+OFFSET($BO$9,CN50+1,CQ50,1,1),IF(F50&lt;OFFSET($BN$9,CN50+2,0,1,1),((F50-OFFSET($BM$9,CN50+2,0,1,1))*OFFSET($CH$9,CN50+2,0,1,1))+OFFSET($BO$9,CN50+2,CQ50,1,1),IF(F50&lt;OFFSET($BN$9,CN50+3,0,1,1),((F50-OFFSET($BM$9,CN50+3,0,1,1))*OFFSET($CH$9,CN50+3,0,1,1))+OFFSET($BO$9,CN50+3,CQ50,1,1),0))))))</f>
        <v>0</v>
      </c>
      <c r="DH50" s="51">
        <f ca="1">IF($F50&lt;OFFSET($BM$9,$CN50-1,0,1,1),0,IF($F50&lt;OFFSET($BN$9,$CN50-1,0,1,1),IF(AND($H50&gt;2.4,Z50&lt;&gt;"e",Z50&lt;&gt;"f"),DL50*2.4/$H50,DL50),IF($F50&lt;OFFSET($BN$9,$CN50+0,0,1,1),IF(AND($H50&gt;2.4,Z50&lt;&gt;"e",Z50&lt;&gt;"f"),DL50*2.4/$H50,DL50),IF($F50&lt;OFFSET($BN$9,$CN50+1,0,1,1),IF(AND($H50&gt;2.4,Z50&lt;&gt;"e",Z50&lt;&gt;"f"),DL50*2.4/$H50,DL50),IF($F50&lt;OFFSET($BN$9,$CN50+2,0,1,1),IF(AND($H50&gt;2.4,Z50&lt;&gt;"e",Z50&lt;&gt;"f"),DL50*2.4/$H50,DL50),IF($F50&lt;OFFSET($BN$9,$CN50+3,0,1,1),IF(AND($H50&gt;2.4,Z50&lt;&gt;"e",Z50&lt;&gt;"f"),DL50*2.4/$H50,DL50),0)))))*COS(RADIANS($G50)))</f>
        <v>0</v>
      </c>
      <c r="DI50" s="51">
        <f ca="1">IF(F50&lt;OFFSET($BM$9,CN50-1,0,1,1),0,IF(F50&lt;OFFSET($BN$9,CN50-1,0,1,1),((F50-OFFSET($BM$9,CN50-1,0,1,1))*OFFSET($CI$9,CN50-1,0,1,1))+OFFSET($BP$9,CN50-1,CQ50,1,1),IF(F50&lt;OFFSET($BN$9,CN50+0,0,1,1),((F50-OFFSET($BM$9,CN50+0,0,1,1))*OFFSET($CI$9,CN50+0,0,1,1))+OFFSET($BP$9,CN50+0,CQ50,1,1),IF(F50&lt;OFFSET($BN$9,CN50+1,0,1,1),((F50-OFFSET($BM$9,CN50+1,0,1,1))*OFFSET($CI$9,CN50+1,0,1,1))+OFFSET($BP$9,CN50+1,CQ50,1,1),IF(F50&lt;OFFSET($BN$9,CN50+2,0,1,1),((F50-OFFSET($BM$9,CN50+2,0,1,1))*OFFSET($CI$9,CN50+2,0,1,1))+OFFSET($BP$9,CN50+2,CQ50,1,1),IF(F50&lt;OFFSET($BN$9,CN50+3,0,1,1),((F50-OFFSET($BM$9,CN50+3,0,1,1))*OFFSET($CI$9,CN50+3,0,1,1))+OFFSET($BP$9,CN50+3,CQ50,1,1),0))))))</f>
        <v>0</v>
      </c>
      <c r="DJ50" s="51">
        <f ca="1">IF($F50&lt;OFFSET($BM$9,$CN50-1,0,1,1),0,IF($F50&lt;OFFSET($BN$9,$CN50-1,0,1,1),IF(AND($H50&gt;2.4,Z50&lt;&gt;"e",Z50&lt;&gt;"f"),DN50*2.4/$H50,DN50),IF($F50&lt;OFFSET($BN$9,$CN50+0,0,1,1),IF(AND($H50&gt;2.4,Z50&lt;&gt;"e",Z50&lt;&gt;"f"),DN50*2.4/$H50,DN50),IF($F50&lt;OFFSET($BN$9,$CN50+1,0,1,1),IF(AND($H50&gt;2.4,Z50&lt;&gt;"e",Z50&lt;&gt;"f"),DN50*2.4/$H50,DN50),IF($F50&lt;OFFSET($BN$9,$CN50+2,0,1,1),IF(AND($H50&gt;2.4,Z50&lt;&gt;"e",Z50&lt;&gt;"f"),DN50*2.4/$H50,DN50),IF($F50&lt;OFFSET($BN$9,$CN50+3,0,1,1),IF(AND($H50&gt;2.4,Z50&lt;&gt;"e",Z50&lt;&gt;"f"),DN50*2.4/$H50,DN50),0)))))*COS(RADIANS($G50)))</f>
        <v>0</v>
      </c>
      <c r="DK50" s="51"/>
      <c r="DL50" s="51">
        <f ca="1">IF(DG50&gt;$CR50,$CR50,DG50)</f>
        <v>0</v>
      </c>
      <c r="DM50" s="51"/>
      <c r="DN50" s="51">
        <f ca="1">IF(DI50&gt;$CR50,$CR50,DI50)</f>
        <v>0</v>
      </c>
      <c r="DO50" s="435">
        <f ca="1">IF(DH50&gt;$CR50,$CR50,DH50)</f>
        <v>0</v>
      </c>
      <c r="DP50" s="435">
        <f ca="1">DO50*F50</f>
        <v>0</v>
      </c>
      <c r="DQ50" s="436">
        <f ca="1">IF(DJ50&gt;$CR50,$CR50,DJ50)</f>
        <v>0</v>
      </c>
      <c r="DR50" s="437">
        <f ca="1">DQ50*F50</f>
        <v>0</v>
      </c>
      <c r="DS50" s="426">
        <f ca="1">OFFSET($CH$9,CL50-1,-15,1,1)</f>
        <v>0</v>
      </c>
      <c r="DT50" s="426">
        <f t="shared" ca="1" si="32"/>
        <v>0</v>
      </c>
      <c r="DU50" s="188">
        <f ca="1">IF(F50&lt;OFFSET($BM$9,DT50-1,0,1,1),0,IF(F50&lt;OFFSET($BN$9,DT50-1,0,1,1),((F50-OFFSET($BM$9,DT50-1,0,1,1))*OFFSET($CH$9,DT50-1,0,1,1))+OFFSET($BO$9,DT50-1,CQ50,1,1),IF(F50&lt;OFFSET($BN$9,DT50+0,0,1,1),((F50-OFFSET($BM$9,DT50+0,0,1,1))*OFFSET($CH$9,DT50+0,0,1,1))+OFFSET($BO$9,DT50+0,CQ50,1,1),IF(F50&lt;OFFSET($BN$9,DT50+1,0,1,1),((F50-OFFSET($BM$9,DT50+1,0,1,1))*OFFSET($CH$9,DT50+1,0,1,1))+OFFSET($BO$9,DT50+1,CQ50,1,1),IF(F50&lt;OFFSET($BN$9,DT50+2,0,1,1),((F50-OFFSET($BM$9,DT50+2,0,1,1))*OFFSET($CH$9,DT50+2,0,1,1))+OFFSET($BO$9,DT50+2,CQ50,1,1),IF(F50&lt;OFFSET($BN$9,DT50+3,0,1,1),((F50-OFFSET($BM$9,DT50+3,0,1,1))*OFFSET($CH$9,DT50+3,0,1,1))+OFFSET($BO$9,DT50+3,CQ50,1,1),0))))))</f>
        <v>0</v>
      </c>
      <c r="DV50" s="51">
        <f ca="1">IF($F50&lt;OFFSET($BM$9,$DT50-1,0,1,1),0,IF($F50&lt;OFFSET($BN$9,$DT50-1,0,1,1),IF(AND($H50&gt;2.4,Z50&lt;&gt;"e",Z50&lt;&gt;"f"),DZ50*2.4/$H50,DZ50),IF($F50&lt;OFFSET($BN$9,$DT50+0,0,1,1),IF(AND($H50&gt;2.4,Z50&lt;&gt;"e",Z50&lt;&gt;"f"),DZ50*2.4/$H50,DZ50),IF($F50&lt;OFFSET($BN$9,$DT50+1,0,1,1),IF(AND($H50&gt;2.4,Z50&lt;&gt;"e",Z50&lt;&gt;"f"),DZ50*2.4/$H50,DZ50),IF($F50&lt;OFFSET($BN$9,$DT50+2,0,1,1),IF(AND($H50&gt;2.4,Z50&lt;&gt;"e",Z50&lt;&gt;"f"),DZ50*2.4/$H50,DZ50),IF($F50&lt;OFFSET($BN$9,$DT50+3,0,1,1),IF(AND($H50&gt;2.4,Z50&lt;&gt;"e",Z50&lt;&gt;"f"),DZ50*2.4/$H50,DZ50),0)))))*COS(RADIANS($G50)))</f>
        <v>0</v>
      </c>
      <c r="DW50" s="188">
        <f ca="1">IF(F50&lt;OFFSET($BM$9,DT50-1,0,1,1),0,IF(F50&lt;OFFSET($BN$9,DT50-1,0,1,1),((F50-OFFSET($BM$9,DT50-1,0,1,1))*OFFSET($CI$9,DT50-1,0,1,1))+OFFSET($BP$9,DT50-1,CQ50,1,1),IF(F50&lt;OFFSET($BN$9,DT50+0,0,1,1),((F50-OFFSET($BM$9,DT50+0,0,1,1))*OFFSET($CI$9,DT50+0,0,1,1))+OFFSET($BP$9,DT50+0,CQ50,1,1),IF(F50&lt;OFFSET($BN$9,DT50+1,0,1,1),((F50-OFFSET($BM$9,DT50+1,0,1,1))*OFFSET($CI$9,DT50+1,0,1,1))+OFFSET($BP$9,DT50+1,CQ50,1,1),IF(F50&lt;OFFSET($BN$9,DT50+2,0,1,1),((F50-OFFSET($BM$9,DT50+2,0,1,1))*OFFSET($CI$9,DT50+2,0,1,1))+OFFSET($BP$9,DT50+2,CQ50,1,1),IF(F50&lt;OFFSET($BN$9,DT50+3,0,1,1),((F50-OFFSET($BM$9,DT50+3,0,1,1))*OFFSET($CI$9,DT50+3,0,1,1))+OFFSET($BP$9,DT50+3,CQ50,1,1),0))))))</f>
        <v>0</v>
      </c>
      <c r="DX50" s="51">
        <f ca="1">IF($F50&lt;OFFSET($BM$9,$DT50-1,0,1,1),0,IF($F50&lt;OFFSET($BN$9,$DT50-1,0,1,1),IF(AND($H50&gt;2.4,Z50&lt;&gt;"e",Z50&lt;&gt;"f"),EB50*2.4/$H50,EB50),IF($F50&lt;OFFSET($BN$9,$DT50+0,0,1,1),IF(AND($H50&gt;2.4,Z50&lt;&gt;"e",Z50&lt;&gt;"f"),EB50*2.4/$H50,EB50),IF($F50&lt;OFFSET($BN$9,$DT50+1,0,1,1),IF(AND($H50&gt;2.4,Z50&lt;&gt;"e",Z50&lt;&gt;"f"),EB50*2.4/$H50,EB50),IF($F50&lt;OFFSET($BN$9,$DT50+2,0,1,1),IF(AND($H50&gt;2.4,Z50&lt;&gt;"e",Z50&lt;&gt;"f"),EB50*2.4/$H50,EB50),IF($F50&lt;OFFSET($BN$9,$DT50+3,0,1,1),IF(AND($H50&gt;2.4,Z50&lt;&gt;"e",Z50&lt;&gt;"f"),EB50*2.4/$H50,EB50),0)))))*COS(RADIANS($G50)))</f>
        <v>0</v>
      </c>
      <c r="DY50" s="188"/>
      <c r="DZ50" s="188">
        <f ca="1">IF(DU50&gt;$CR50,$CR50,DU50)</f>
        <v>0</v>
      </c>
      <c r="EA50" s="188"/>
      <c r="EB50" s="188">
        <f ca="1">IF(DW50&gt;$CR50,$CR50,DW50)</f>
        <v>0</v>
      </c>
      <c r="EC50" s="435">
        <f ca="1">IF(DV50&gt;$CR50,$CR50,DV50)</f>
        <v>0</v>
      </c>
      <c r="ED50" s="435">
        <f ca="1">EC50*F50</f>
        <v>0</v>
      </c>
      <c r="EE50" s="436">
        <f ca="1">IF(DX50&gt;$CR50,$CR50,DX50)</f>
        <v>0</v>
      </c>
      <c r="EF50" s="437">
        <f ca="1">EE50*F50</f>
        <v>0</v>
      </c>
      <c r="EG50" s="613" t="str">
        <f>IF(D50=BG$12,BG$12,"")</f>
        <v/>
      </c>
      <c r="EH50" s="614" t="str">
        <f>IF(D50=BG$13,BG$13,"")</f>
        <v/>
      </c>
      <c r="EI50" s="611">
        <f>IF(EG50=BG$12,M50,0)</f>
        <v>0</v>
      </c>
      <c r="EJ50" s="451">
        <f>IF(EG50=BG$12,O50,0)</f>
        <v>0</v>
      </c>
      <c r="EK50" s="451">
        <f>IF(EH50=BG$13,M50,0)</f>
        <v>0</v>
      </c>
      <c r="EL50" s="612">
        <f>IF(EH50=BG$13,O50,0)</f>
        <v>0</v>
      </c>
      <c r="EM50" s="426" t="str">
        <f ca="1">IF(AND(Z50&lt;&gt;"t",Z50&lt;&gt;"f"),"",IF(AND(EN50=$BH$11,K50&lt;&gt;EN50),EM$4,IF(AND(EN50=$BH$12,K50=$BH$13),EM$4,IF(AND(EN50=$BH$12,K50=$BH$14),EM$4,IF(AND(EN50=$BH$13,K50=$BH$14),$EM$4,IF(EN50=$BH$14,$EM$4,""))))))</f>
        <v/>
      </c>
      <c r="EN50" s="489" t="str">
        <f>BG$24</f>
        <v>No Floor</v>
      </c>
      <c r="EO50" s="426" t="str">
        <f>K50</f>
        <v xml:space="preserve"> </v>
      </c>
      <c r="EP50" s="497" t="str">
        <f ca="1">IF(AND(Z50&lt;&gt;"t",Z50&lt;&gt;"f"),"",IF(AND(EN50=$BH$14,K50&lt;&gt;EN50),EP$4,IF(AND(EN50=$BH$13,K50=$BH$12),EP$4,IF(AND(EN50=$BH$13,K50=$BH$11),EP$4,IF(AND(EN50=$BH$12,K50=$BH$11),$EP$4,IF(EN50=$BH$11,"Earth",""))))))</f>
        <v/>
      </c>
      <c r="EQ50" s="430" t="str">
        <f ca="1">IF(Z50&lt;&gt;"t","",IF(EQ$5=2,IF(K50&lt;&gt;BH$11,EQ$7," ")))</f>
        <v/>
      </c>
      <c r="ER50" s="439" t="str">
        <f ca="1">IF(H50=0," ",H50)</f>
        <v xml:space="preserve"> </v>
      </c>
      <c r="ES50" s="440" t="str">
        <f ca="1">IF(ER50&lt;&gt;" ",IF(ER50&lt;&gt;ER$7,"Changed",""),"")</f>
        <v/>
      </c>
      <c r="ET50" s="440">
        <f t="shared" ca="1" si="20"/>
        <v>0</v>
      </c>
      <c r="EU50" s="426" t="str">
        <f ca="1">IF(I50=" "," ",IF(F50&lt;OFFSET($BM$9,CL50-1,0,1,1),1,""))</f>
        <v xml:space="preserve"> </v>
      </c>
      <c r="EW50" s="427"/>
      <c r="EY50" s="421"/>
    </row>
    <row r="51" spans="1:155" ht="17.100000000000001" customHeight="1" thickBot="1">
      <c r="A51" s="2685"/>
      <c r="B51" s="689" t="s">
        <v>246</v>
      </c>
      <c r="C51" s="684" t="str">
        <f>IF(OR(F51=0,I51="",I51=" ")," ",$V51)</f>
        <v xml:space="preserve"> </v>
      </c>
      <c r="D51" s="1033"/>
      <c r="E51" s="1360"/>
      <c r="F51" s="202"/>
      <c r="G51" s="1416"/>
      <c r="H51" s="1417" t="str">
        <f ca="1">IF(OR(F51=0,Z51="E",Z51="f")," ",'Project Demand'!E$55)</f>
        <v xml:space="preserve"> </v>
      </c>
      <c r="I51" s="631" t="str">
        <f>IF($I$6&lt;&gt;$BG$8," ",AB51)</f>
        <v xml:space="preserve"> </v>
      </c>
      <c r="J51" s="44" t="str">
        <f ca="1">IF(OR(I51=" ",I51="")," ",OFFSET($BO$9,CL51-1,0-4,1,1))</f>
        <v xml:space="preserve"> </v>
      </c>
      <c r="K51" s="55" t="str">
        <f>IF(OR(I51=" ",I51="")," ",IF(OR(Z51="e",Z51="h"),"SD",IF(BG$24=BH$11,BH$13,BG$24)))</f>
        <v xml:space="preserve"> </v>
      </c>
      <c r="L51" s="49">
        <f ca="1">CW51</f>
        <v>0</v>
      </c>
      <c r="M51" s="49">
        <f ca="1">CY51</f>
        <v>0</v>
      </c>
      <c r="N51" s="50">
        <f t="shared" ca="1" si="36"/>
        <v>0</v>
      </c>
      <c r="O51" s="126">
        <f t="shared" ca="1" si="36"/>
        <v>0</v>
      </c>
      <c r="P51" s="140"/>
      <c r="Q51" s="752" t="str">
        <f ca="1">IF(AND(OR(Z51="t",Z51="f"),K51=$BH$11),"No Floor!  Change Floor Type",IF(OR(I51=" ",I51="")," ",IF(F51&lt;OFFSET($BM$9,CL51-1,0,1,1),"check L(m)",DE51&amp;IF(AND(DP51&gt;=CY51,DR51&gt;=DB51),IF(AND(ED51&gt;=DP51,EF51&gt;=DR51),CONCATENATE(DS51," will provide same result"),CONCATENATE(CO51," will provide same result")),IF((DP51&gt;=CY51),CONCATENATE(CO51," provides same result in WIND"),IF((DR51&gt;=DB51),CONCATENATE(CO51," provides same result in EQ"),""))))))&amp;IF(ISERROR(FIND("pile",I51,1)),"",IF(INT(F51)&lt;&gt;F51,"Pile!  Use Whole Numbers Only",""))</f>
        <v xml:space="preserve"> </v>
      </c>
      <c r="R51" s="52"/>
      <c r="S51" s="1372"/>
      <c r="T51" s="1372"/>
      <c r="U51" s="1377"/>
      <c r="V51" s="52" t="str">
        <f ca="1">IF(AND(B$5=$BF$9,OR(I51=BH$16,I51=BH$17))," ",IF(ISNUMBER(B$50),(CONCATENATE(B$50,".",W51)),(CONCATENATE(B$50,W51))))</f>
        <v>H0</v>
      </c>
      <c r="W51" s="9">
        <f ca="1">W50+X51</f>
        <v>0</v>
      </c>
      <c r="X51" s="9">
        <f>IF(AND(B$5=$BF$9,OR($I51=$BH$16,$I51=$BH$17,$I51=" ",$I51="",$F51=0)),0,IF(OR($I51=" ",$I51="",$F51=0),0,1))</f>
        <v>0</v>
      </c>
      <c r="Y51" s="896"/>
      <c r="Z51" s="52" t="str">
        <f ca="1">IF(I51=" "," ",OFFSET($BM$9,$CL51-1,8,1,1))</f>
        <v xml:space="preserve"> </v>
      </c>
      <c r="AA51" s="51" t="str">
        <f>IF(G51&gt;=45,"WA","")</f>
        <v/>
      </c>
      <c r="AB51" s="1364" t="str">
        <f>IF(OR(E51=" ",E51="")," ",(IF(F51&lt;&gt;"",IF(OR(D51=$BG$12,D51=$BG$13),IF(E51&lt;&gt;$BG$17,$BF$20,$BF$21),IF(E51&lt;&gt;$BG$17,$BF$20,$BF$21))," ")))</f>
        <v xml:space="preserve"> </v>
      </c>
      <c r="AC51" s="1"/>
      <c r="AJ51" s="2"/>
      <c r="AK51" s="63" t="str">
        <f>'Custom Elements'!B12</f>
        <v xml:space="preserve">  </v>
      </c>
      <c r="AL51" s="860" t="str">
        <f>'Custom Elements'!C12</f>
        <v>Custom4</v>
      </c>
      <c r="AM51" s="11">
        <f>'Custom Elements'!D12</f>
        <v>9.9999999999999996E-76</v>
      </c>
      <c r="AN51" s="7">
        <f>'Custom Elements'!E12</f>
        <v>0</v>
      </c>
      <c r="AO51" s="7">
        <f>'Custom Elements'!F12</f>
        <v>0</v>
      </c>
      <c r="AP51" s="762" t="str">
        <f>'Custom Elements'!G12</f>
        <v>B</v>
      </c>
      <c r="AQ51" s="1637" t="str">
        <f>'Custom Elements'!H12</f>
        <v>Single</v>
      </c>
      <c r="AR51" s="1637" t="str">
        <f>'Custom Elements'!I12</f>
        <v>Yes</v>
      </c>
      <c r="AS51" s="442" t="str">
        <f>'Custom Elements'!J12</f>
        <v>Yes</v>
      </c>
      <c r="AT51" s="1150"/>
      <c r="AU51"/>
      <c r="AY51"/>
      <c r="AZ51" s="442" t="str">
        <f>IF(AND('Custom Elements'!J12="Yes",'Custom Elements'!I12="Yes"),"T",IF('Custom Elements'!J12="Yes","F",IF('Custom Elements'!I12="Yes","H","E")))</f>
        <v>T</v>
      </c>
      <c r="BA51" s="51"/>
      <c r="BB51" s="51"/>
      <c r="BC51" s="51"/>
      <c r="BD51" s="638"/>
      <c r="BF51" s="599" t="str">
        <f>'Custom Elements'!C27</f>
        <v>Custom19</v>
      </c>
      <c r="BG51" s="1009"/>
      <c r="BH51" s="602"/>
      <c r="BI51" s="759"/>
      <c r="BJ51" s="897">
        <f t="shared" si="33"/>
        <v>43</v>
      </c>
      <c r="BK51" s="1220"/>
      <c r="BL51" s="766"/>
      <c r="BM51" s="455">
        <f>Table!D5</f>
        <v>0.6</v>
      </c>
      <c r="BN51" s="455">
        <f>BM52</f>
        <v>0.8</v>
      </c>
      <c r="BO51" s="455">
        <f>Table!E5</f>
        <v>69</v>
      </c>
      <c r="BP51" s="925">
        <f>Table!F5</f>
        <v>61</v>
      </c>
      <c r="BR51" s="764"/>
      <c r="BS51" s="455"/>
      <c r="BT51" s="455"/>
      <c r="BU51" s="925" t="s">
        <v>242</v>
      </c>
      <c r="BV51" s="895"/>
      <c r="BW51" s="912"/>
      <c r="BX51" s="925" t="str">
        <f>Table!H5</f>
        <v>Single</v>
      </c>
      <c r="CH51" s="764">
        <f>IF(BN51=999,0,(BO52-BO51)/(BN51-BM51))</f>
        <v>14.999999999999995</v>
      </c>
      <c r="CI51" s="925">
        <f>IF(BN51=999,0,(BP52-BP51)/(BN51-BM51))</f>
        <v>0</v>
      </c>
      <c r="CJ51" s="759"/>
      <c r="CK51" s="188"/>
      <c r="CL51" s="979">
        <f>VLOOKUP(I51,Prodlink,2,0)</f>
        <v>0</v>
      </c>
      <c r="CN51" s="497">
        <f t="shared" ca="1" si="31"/>
        <v>0</v>
      </c>
      <c r="CO51" s="497">
        <f ca="1">OFFSET($CH$9,CL51-1,-15,1,1)</f>
        <v>0</v>
      </c>
      <c r="CQ51" s="51">
        <v>0</v>
      </c>
      <c r="CR51" s="51">
        <f ca="1">IF(AND(Z51&lt;&gt;"t",Z51&lt;&gt;"f"),10000,IF(K51=$BH$11,0,IF(K51=$BH$12,$BH$23,IF(K51=$BH$13,$BH$24,10000))))</f>
        <v>10000</v>
      </c>
      <c r="CS51" s="51">
        <f ca="1">IF(F51&lt;OFFSET($BM$9,CL51-1,0,1,1),0,IF(F51&lt;OFFSET($BN$9,CL51-1,0,1,1),((F51-OFFSET($BM$9,CL51-1,0,1,1))*OFFSET($CH$9,CL51-1,0,1,1))+OFFSET($BO$9,CL51-1,CQ51,1,1),IF(F51&lt;OFFSET($BN$9,CL51+0,0,1,1),((F51-OFFSET($BM$9,CL51+0,0,1,1))*OFFSET($CH$9,CL51+0,0,1,1))+OFFSET($BO$9,CL51+0,CQ51,1,1),IF(F51&lt;OFFSET($BN$9,CL51+1,0,1,1),((F51-OFFSET($BM$9,CL51+1,0,1,1))*OFFSET($CH$9,CL51+1,0,1,1))+OFFSET($BO$9,CL51+1,CQ51,1,1),IF(F51&lt;OFFSET($BN$9,CL51+2,0,1,1),((F51-OFFSET($BM$9,CL51+2,0,1,1))*OFFSET($CH$9,CL51+2,0,1,1))+OFFSET($BO$9,CL51+2,CQ51,1,1),IF(F51&lt;OFFSET($BN$9,CL51+3,0,1,1),((F51-OFFSET($BM$9,CL51+3,0,1,1))*OFFSET($CH$9,CL51+3,0,1,1))+OFFSET($BO$9,CL51+3,CQ51,1,1),0))))))</f>
        <v>0</v>
      </c>
      <c r="CT51" s="51">
        <f ca="1">IF($F51&lt;OFFSET($BM$9,$CL51-1,0,1,1),0,IF($F51&lt;OFFSET($BN$9,$CL51-1,0,1,1),IF(AND($H51&gt;2.4,Z51&lt;&gt;"e",Z51&lt;&gt;"f"),CX51*2.4/$H51,CX51),IF($F51&lt;OFFSET($BN$9,$CL51+0,0,1,1),IF(AND($H51&gt;2.4,Z51&lt;&gt;"e",Z51&lt;&gt;"f"),CX51*2.4/$H51,CX51),IF($F51&lt;OFFSET($BN$9,$CL51+1,0,1,1),IF(AND($H51&gt;2.4,Z51&lt;&gt;"e",Z51&lt;&gt;"f"),CX51*2.4/$H51,CX51),IF($F51&lt;OFFSET($BN$9,CL51+2,0,1,1),IF(AND($H51&gt;2.4,Z51&lt;&gt;"e",Z51&lt;&gt;"f"),CX51*2.4/$H51,CX51),IF($F51&lt;OFFSET($BN$9,CL51+3,0,1,1),IF(AND($H51&gt;2.4,Z51&lt;&gt;"e",Z51&lt;&gt;"f"),CX51*2.4/$H51,CX51),0)))))*COS(RADIANS($G51)))</f>
        <v>0</v>
      </c>
      <c r="CU51" s="51">
        <f ca="1">IF(F51&lt;OFFSET($BM$9,CL51-1,0,1,1),0,IF(F51&lt;OFFSET($BN$9,CL51-1,0,1,1),((F51-OFFSET($BM$9,CL51-1,0,1,1))*OFFSET($CI$9,CL51-1,0,1,1))+OFFSET($BP$9,CL51-1,CQ51,1,1),IF(F51&lt;OFFSET($BN$9,CL51+0,0,1,1),((F51-OFFSET($BM$9,CL51+0,0,1,1))*OFFSET($CI$9,CL51+0,0,1,1))+OFFSET($BP$9,CL51+0,CQ51,1,1),IF(F51&lt;OFFSET($BN$9,CL51+1,0,1,1),((F51-OFFSET($BM$9,CL51+1,0,1,1))*OFFSET($CI$9,CL51+1,0,1,1))+OFFSET($BP$9,CL51+1,CQ51,1,1),IF(F51&lt;OFFSET($BN$9,CL51+2,0,1,1),((F51-OFFSET($BM$9,CL51+2,0,1,1))*OFFSET($CI$9,CL51+2,0,1,1))+OFFSET($BP$9,CL51+2,CQ51,1,1),IF(F51&lt;OFFSET($BN$9,CL51+3,0,1,1),((F51-OFFSET($BM$9,CL51+3,0,1,1))*OFFSET($CI$9,CL51+3,0,1,1))+OFFSET($BP$9,CL51+3,CQ51,1,1),0))))))</f>
        <v>0</v>
      </c>
      <c r="CV51" s="51">
        <f ca="1">IF($F51&lt;OFFSET($BM$9,$CL51-1,0,1,1),0,IF($F51&lt;OFFSET($BN$9,$CL51-1,0,1,1),IF(AND($H51&gt;2.4,Z51&lt;&gt;"e",Z51&lt;&gt;"f"),CZ51*2.4/$H51,CZ51),IF($F51&lt;OFFSET($BN$9,$CL51+0,0,1,1),IF(AND($H51&gt;2.4,Z51&lt;&gt;"e",Z51&lt;&gt;"f"),CZ51*2.4/$H51,CZ51),IF($F51&lt;OFFSET($BN$9,$CL51+1,0,1,1),IF(AND($H51&gt;2.4,Z51&lt;&gt;"e",Z51&lt;&gt;"f"),CZ51*2.4/$H51,CZ51),IF($F51&lt;OFFSET($BN$9,$CL51+2,0,1,1),IF(AND($H51&gt;2.4,Z51&lt;&gt;"e",Z51&lt;&gt;"f"),CZ51*2.4/$H51,CZ51),IF($F51&lt;OFFSET($BN$9,$CL51+3,0,1,1),IF(AND($H51&gt;2.4,Z51&lt;&gt;"e",Z51&lt;&gt;"f"),CZ51*2.4/$H51,CZ51),0)))))*COS(RADIANS($G51)))</f>
        <v>0</v>
      </c>
      <c r="CW51" s="51">
        <f t="shared" ca="1" si="17"/>
        <v>0</v>
      </c>
      <c r="CX51" s="51">
        <f ca="1">IF(CS51&gt;$CR51,$CR51,CS51)</f>
        <v>0</v>
      </c>
      <c r="CY51" s="51">
        <f ca="1">CW51*F51</f>
        <v>0</v>
      </c>
      <c r="CZ51" s="51">
        <f ca="1">IF($CU51&gt;$CR51,$CR51,$CU51)</f>
        <v>0</v>
      </c>
      <c r="DA51" s="51">
        <f ca="1">IF(CV51&gt;CR51,CR51,CV51)</f>
        <v>0</v>
      </c>
      <c r="DB51" s="51">
        <f ca="1">DA51*F51</f>
        <v>0</v>
      </c>
      <c r="DC51" s="993">
        <v>1</v>
      </c>
      <c r="DD51" s="758" t="str">
        <f>IF(OR(D51=BG$12,D51=BG$13),"External",IF(D51=BG$14,"Internal"," "))</f>
        <v xml:space="preserve"> </v>
      </c>
      <c r="DE51" s="51" t="str">
        <f t="shared" ca="1" si="18"/>
        <v/>
      </c>
      <c r="DF51" s="52" t="str">
        <f t="shared" ca="1" si="19"/>
        <v xml:space="preserve"> </v>
      </c>
      <c r="DG51" s="51">
        <f ca="1">IF(F51&lt;OFFSET($BM$9,CN51-1,0,1,1),0,IF(F51&lt;OFFSET($BN$9,CN51-1,0,1,1),((F51-OFFSET($BM$9,CN51-1,0,1,1))*OFFSET($CH$9,CN51-1,0,1,1))+OFFSET($BO$9,CN51-1,CQ51,1,1),IF(F51&lt;OFFSET($BN$9,CN51+0,0,1,1),((F51-OFFSET($BM$9,CN51+0,0,1,1))*OFFSET($CH$9,CN51+0,0,1,1))+OFFSET($BO$9,CN51+0,CQ51,1,1),IF(F51&lt;OFFSET($BN$9,CN51+1,0,1,1),((F51-OFFSET($BM$9,CN51+1,0,1,1))*OFFSET($CH$9,CN51+1,0,1,1))+OFFSET($BO$9,CN51+1,CQ51,1,1),IF(F51&lt;OFFSET($BN$9,CN51+2,0,1,1),((F51-OFFSET($BM$9,CN51+2,0,1,1))*OFFSET($CH$9,CN51+2,0,1,1))+OFFSET($BO$9,CN51+2,CQ51,1,1),IF(F51&lt;OFFSET($BN$9,CN51+3,0,1,1),((F51-OFFSET($BM$9,CN51+3,0,1,1))*OFFSET($CH$9,CN51+3,0,1,1))+OFFSET($BO$9,CN51+3,CQ51,1,1),0))))))</f>
        <v>0</v>
      </c>
      <c r="DH51" s="51">
        <f ca="1">IF($F51&lt;OFFSET($BM$9,$CN51-1,0,1,1),0,IF($F51&lt;OFFSET($BN$9,$CN51-1,0,1,1),IF(AND($H51&gt;2.4,Z51&lt;&gt;"e",Z51&lt;&gt;"f"),DL51*2.4/$H51,DL51),IF($F51&lt;OFFSET($BN$9,$CN51+0,0,1,1),IF(AND($H51&gt;2.4,Z51&lt;&gt;"e",Z51&lt;&gt;"f"),DL51*2.4/$H51,DL51),IF($F51&lt;OFFSET($BN$9,$CN51+1,0,1,1),IF(AND($H51&gt;2.4,Z51&lt;&gt;"e",Z51&lt;&gt;"f"),DL51*2.4/$H51,DL51),IF($F51&lt;OFFSET($BN$9,$CN51+2,0,1,1),IF(AND($H51&gt;2.4,Z51&lt;&gt;"e",Z51&lt;&gt;"f"),DL51*2.4/$H51,DL51),IF($F51&lt;OFFSET($BN$9,$CN51+3,0,1,1),IF(AND($H51&gt;2.4,Z51&lt;&gt;"e",Z51&lt;&gt;"f"),DL51*2.4/$H51,DL51),0)))))*COS(RADIANS($G51)))</f>
        <v>0</v>
      </c>
      <c r="DI51" s="51">
        <f ca="1">IF(F51&lt;OFFSET($BM$9,CN51-1,0,1,1),0,IF(F51&lt;OFFSET($BN$9,CN51-1,0,1,1),((F51-OFFSET($BM$9,CN51-1,0,1,1))*OFFSET($CI$9,CN51-1,0,1,1))+OFFSET($BP$9,CN51-1,CQ51,1,1),IF(F51&lt;OFFSET($BN$9,CN51+0,0,1,1),((F51-OFFSET($BM$9,CN51+0,0,1,1))*OFFSET($CI$9,CN51+0,0,1,1))+OFFSET($BP$9,CN51+0,CQ51,1,1),IF(F51&lt;OFFSET($BN$9,CN51+1,0,1,1),((F51-OFFSET($BM$9,CN51+1,0,1,1))*OFFSET($CI$9,CN51+1,0,1,1))+OFFSET($BP$9,CN51+1,CQ51,1,1),IF(F51&lt;OFFSET($BN$9,CN51+2,0,1,1),((F51-OFFSET($BM$9,CN51+2,0,1,1))*OFFSET($CI$9,CN51+2,0,1,1))+OFFSET($BP$9,CN51+2,CQ51,1,1),IF(F51&lt;OFFSET($BN$9,CN51+3,0,1,1),((F51-OFFSET($BM$9,CN51+3,0,1,1))*OFFSET($CI$9,CN51+3,0,1,1))+OFFSET($BP$9,CN51+3,CQ51,1,1),0))))))</f>
        <v>0</v>
      </c>
      <c r="DJ51" s="51">
        <f ca="1">IF($F51&lt;OFFSET($BM$9,$CN51-1,0,1,1),0,IF($F51&lt;OFFSET($BN$9,$CN51-1,0,1,1),IF(AND($H51&gt;2.4,Z51&lt;&gt;"e",Z51&lt;&gt;"f"),DN51*2.4/$H51,DN51),IF($F51&lt;OFFSET($BN$9,$CN51+0,0,1,1),IF(AND($H51&gt;2.4,Z51&lt;&gt;"e",Z51&lt;&gt;"f"),DN51*2.4/$H51,DN51),IF($F51&lt;OFFSET($BN$9,$CN51+1,0,1,1),IF(AND($H51&gt;2.4,Z51&lt;&gt;"e",Z51&lt;&gt;"f"),DN51*2.4/$H51,DN51),IF($F51&lt;OFFSET($BN$9,$CN51+2,0,1,1),IF(AND($H51&gt;2.4,Z51&lt;&gt;"e",Z51&lt;&gt;"f"),DN51*2.4/$H51,DN51),IF($F51&lt;OFFSET($BN$9,$CN51+3,0,1,1),IF(AND($H51&gt;2.4,Z51&lt;&gt;"e",Z51&lt;&gt;"f"),DN51*2.4/$H51,DN51),0)))))*COS(RADIANS($G51)))</f>
        <v>0</v>
      </c>
      <c r="DK51" s="51"/>
      <c r="DL51" s="51">
        <f ca="1">IF(DG51&gt;$CR51,$CR51,DG51)</f>
        <v>0</v>
      </c>
      <c r="DM51" s="51"/>
      <c r="DN51" s="51">
        <f ca="1">IF(DI51&gt;$CR51,$CR51,DI51)</f>
        <v>0</v>
      </c>
      <c r="DO51" s="435">
        <f ca="1">IF(DH51&gt;$CR51,$CR51,DH51)</f>
        <v>0</v>
      </c>
      <c r="DP51" s="435">
        <f ca="1">DO51*F51</f>
        <v>0</v>
      </c>
      <c r="DQ51" s="436">
        <f ca="1">IF(DJ51&gt;$CR51,$CR51,DJ51)</f>
        <v>0</v>
      </c>
      <c r="DR51" s="437">
        <f ca="1">DQ51*F51</f>
        <v>0</v>
      </c>
      <c r="DS51" s="426">
        <f ca="1">OFFSET($CH$9,CL51-1,-15,1,1)</f>
        <v>0</v>
      </c>
      <c r="DT51" s="426">
        <f t="shared" ca="1" si="32"/>
        <v>0</v>
      </c>
      <c r="DU51" s="188">
        <f ca="1">IF(F51&lt;OFFSET($BM$9,DT51-1,0,1,1),0,IF(F51&lt;OFFSET($BN$9,DT51-1,0,1,1),((F51-OFFSET($BM$9,DT51-1,0,1,1))*OFFSET($CH$9,DT51-1,0,1,1))+OFFSET($BO$9,DT51-1,CQ51,1,1),IF(F51&lt;OFFSET($BN$9,DT51+0,0,1,1),((F51-OFFSET($BM$9,DT51+0,0,1,1))*OFFSET($CH$9,DT51+0,0,1,1))+OFFSET($BO$9,DT51+0,CQ51,1,1),IF(F51&lt;OFFSET($BN$9,DT51+1,0,1,1),((F51-OFFSET($BM$9,DT51+1,0,1,1))*OFFSET($CH$9,DT51+1,0,1,1))+OFFSET($BO$9,DT51+1,CQ51,1,1),IF(F51&lt;OFFSET($BN$9,DT51+2,0,1,1),((F51-OFFSET($BM$9,DT51+2,0,1,1))*OFFSET($CH$9,DT51+2,0,1,1))+OFFSET($BO$9,DT51+2,CQ51,1,1),IF(F51&lt;OFFSET($BN$9,DT51+3,0,1,1),((F51-OFFSET($BM$9,DT51+3,0,1,1))*OFFSET($CH$9,DT51+3,0,1,1))+OFFSET($BO$9,DT51+3,CQ51,1,1),0))))))</f>
        <v>0</v>
      </c>
      <c r="DV51" s="51">
        <f ca="1">IF($F51&lt;OFFSET($BM$9,$DT51-1,0,1,1),0,IF($F51&lt;OFFSET($BN$9,$DT51-1,0,1,1),IF(AND($H51&gt;2.4,Z51&lt;&gt;"e",Z51&lt;&gt;"f"),DZ51*2.4/$H51,DZ51),IF($F51&lt;OFFSET($BN$9,$DT51+0,0,1,1),IF(AND($H51&gt;2.4,Z51&lt;&gt;"e",Z51&lt;&gt;"f"),DZ51*2.4/$H51,DZ51),IF($F51&lt;OFFSET($BN$9,$DT51+1,0,1,1),IF(AND($H51&gt;2.4,Z51&lt;&gt;"e",Z51&lt;&gt;"f"),DZ51*2.4/$H51,DZ51),IF($F51&lt;OFFSET($BN$9,$DT51+2,0,1,1),IF(AND($H51&gt;2.4,Z51&lt;&gt;"e",Z51&lt;&gt;"f"),DZ51*2.4/$H51,DZ51),IF($F51&lt;OFFSET($BN$9,$DT51+3,0,1,1),IF(AND($H51&gt;2.4,Z51&lt;&gt;"e",Z51&lt;&gt;"f"),DZ51*2.4/$H51,DZ51),0)))))*COS(RADIANS($G51)))</f>
        <v>0</v>
      </c>
      <c r="DW51" s="188">
        <f ca="1">IF(F51&lt;OFFSET($BM$9,DT51-1,0,1,1),0,IF(F51&lt;OFFSET($BN$9,DT51-1,0,1,1),((F51-OFFSET($BM$9,DT51-1,0,1,1))*OFFSET($CI$9,DT51-1,0,1,1))+OFFSET($BP$9,DT51-1,CQ51,1,1),IF(F51&lt;OFFSET($BN$9,DT51+0,0,1,1),((F51-OFFSET($BM$9,DT51+0,0,1,1))*OFFSET($CI$9,DT51+0,0,1,1))+OFFSET($BP$9,DT51+0,CQ51,1,1),IF(F51&lt;OFFSET($BN$9,DT51+1,0,1,1),((F51-OFFSET($BM$9,DT51+1,0,1,1))*OFFSET($CI$9,DT51+1,0,1,1))+OFFSET($BP$9,DT51+1,CQ51,1,1),IF(F51&lt;OFFSET($BN$9,DT51+2,0,1,1),((F51-OFFSET($BM$9,DT51+2,0,1,1))*OFFSET($CI$9,DT51+2,0,1,1))+OFFSET($BP$9,DT51+2,CQ51,1,1),IF(F51&lt;OFFSET($BN$9,DT51+3,0,1,1),((F51-OFFSET($BM$9,DT51+3,0,1,1))*OFFSET($CI$9,DT51+3,0,1,1))+OFFSET($BP$9,DT51+3,CQ51,1,1),0))))))</f>
        <v>0</v>
      </c>
      <c r="DX51" s="51">
        <f ca="1">IF($F51&lt;OFFSET($BM$9,$DT51-1,0,1,1),0,IF($F51&lt;OFFSET($BN$9,$DT51-1,0,1,1),IF(AND($H51&gt;2.4,Z51&lt;&gt;"e",Z51&lt;&gt;"f"),EB51*2.4/$H51,EB51),IF($F51&lt;OFFSET($BN$9,$DT51+0,0,1,1),IF(AND($H51&gt;2.4,Z51&lt;&gt;"e",Z51&lt;&gt;"f"),EB51*2.4/$H51,EB51),IF($F51&lt;OFFSET($BN$9,$DT51+1,0,1,1),IF(AND($H51&gt;2.4,Z51&lt;&gt;"e",Z51&lt;&gt;"f"),EB51*2.4/$H51,EB51),IF($F51&lt;OFFSET($BN$9,$DT51+2,0,1,1),IF(AND($H51&gt;2.4,Z51&lt;&gt;"e",Z51&lt;&gt;"f"),EB51*2.4/$H51,EB51),IF($F51&lt;OFFSET($BN$9,$DT51+3,0,1,1),IF(AND($H51&gt;2.4,Z51&lt;&gt;"e",Z51&lt;&gt;"f"),EB51*2.4/$H51,EB51),0)))))*COS(RADIANS($G51)))</f>
        <v>0</v>
      </c>
      <c r="DY51" s="188"/>
      <c r="DZ51" s="188">
        <f ca="1">IF(DU51&gt;$CR51,$CR51,DU51)</f>
        <v>0</v>
      </c>
      <c r="EA51" s="188"/>
      <c r="EB51" s="188">
        <f ca="1">IF(DW51&gt;$CR51,$CR51,DW51)</f>
        <v>0</v>
      </c>
      <c r="EC51" s="435">
        <f ca="1">IF(DV51&gt;$CR51,$CR51,DV51)</f>
        <v>0</v>
      </c>
      <c r="ED51" s="435">
        <f ca="1">EC51*F51</f>
        <v>0</v>
      </c>
      <c r="EE51" s="436">
        <f ca="1">IF(DX51&gt;$CR51,$CR51,DX51)</f>
        <v>0</v>
      </c>
      <c r="EF51" s="437">
        <f ca="1">EE51*F51</f>
        <v>0</v>
      </c>
      <c r="EG51" s="613" t="str">
        <f>IF(D51=BG$12,BG$12,"")</f>
        <v/>
      </c>
      <c r="EH51" s="614" t="str">
        <f>IF(D51=BG$13,BG$13,"")</f>
        <v/>
      </c>
      <c r="EI51" s="611">
        <f>IF(EG51=BG$12,M51,0)</f>
        <v>0</v>
      </c>
      <c r="EJ51" s="451">
        <f>IF(EG51=BG$12,O51,0)</f>
        <v>0</v>
      </c>
      <c r="EK51" s="451">
        <f>IF(EH51=BG$13,M51,0)</f>
        <v>0</v>
      </c>
      <c r="EL51" s="612">
        <f>IF(EH51=BG$13,O51,0)</f>
        <v>0</v>
      </c>
      <c r="EM51" s="426" t="str">
        <f ca="1">IF(AND(Z51&lt;&gt;"t",Z51&lt;&gt;"f"),"",IF(AND(EN51=$BH$11,K51&lt;&gt;EN51),EM$4,IF(AND(EN51=$BH$12,K51=$BH$13),EM$4,IF(AND(EN51=$BH$12,K51=$BH$14),EM$4,IF(AND(EN51=$BH$13,K51=$BH$14),$EM$4,IF(EN51=$BH$14,$EM$4,""))))))</f>
        <v/>
      </c>
      <c r="EN51" s="489" t="str">
        <f>BG$24</f>
        <v>No Floor</v>
      </c>
      <c r="EO51" s="426" t="str">
        <f>K51</f>
        <v xml:space="preserve"> </v>
      </c>
      <c r="EP51" s="497" t="str">
        <f ca="1">IF(AND(Z51&lt;&gt;"t",Z51&lt;&gt;"f"),"",IF(AND(EN51=$BH$14,K51&lt;&gt;EN51),EP$4,IF(AND(EN51=$BH$13,K51=$BH$12),EP$4,IF(AND(EN51=$BH$13,K51=$BH$11),EP$4,IF(AND(EN51=$BH$12,K51=$BH$11),$EP$4,IF(EN51=$BH$11,"Earth",""))))))</f>
        <v/>
      </c>
      <c r="EQ51" s="430" t="str">
        <f ca="1">IF(Z51&lt;&gt;"t","",IF(EQ$5=2,IF(K51&lt;&gt;BH$11,EQ$7," ")))</f>
        <v/>
      </c>
      <c r="ER51" s="439" t="str">
        <f ca="1">IF(H51=0," ",H51)</f>
        <v xml:space="preserve"> </v>
      </c>
      <c r="ES51" s="440" t="str">
        <f ca="1">IF(ER51&lt;&gt;" ",IF(ER51&lt;&gt;ER$7,"Changed",""),"")</f>
        <v/>
      </c>
      <c r="ET51" s="440">
        <f t="shared" ca="1" si="20"/>
        <v>0</v>
      </c>
      <c r="EU51" s="426" t="str">
        <f ca="1">IF(I51=" "," ",IF(F51&lt;OFFSET($BM$9,CL51-1,0,1,1),1,""))</f>
        <v xml:space="preserve"> </v>
      </c>
      <c r="EW51" s="427"/>
      <c r="EY51" s="421"/>
    </row>
    <row r="52" spans="1:155" ht="17.100000000000001" customHeight="1">
      <c r="A52" s="2685"/>
      <c r="B52" s="689" t="s">
        <v>246</v>
      </c>
      <c r="C52" s="684" t="str">
        <f>IF(OR(F52=0,I52="",I52=" ")," ",$V52)</f>
        <v xml:space="preserve"> </v>
      </c>
      <c r="D52" s="1033"/>
      <c r="E52" s="1360"/>
      <c r="F52" s="202"/>
      <c r="G52" s="1416"/>
      <c r="H52" s="1417" t="str">
        <f ca="1">IF(OR(F52=0,Z52="E",Z52="f")," ",'Project Demand'!E$55)</f>
        <v xml:space="preserve"> </v>
      </c>
      <c r="I52" s="631" t="str">
        <f>IF($I$6&lt;&gt;$BG$8," ",AB52)</f>
        <v xml:space="preserve"> </v>
      </c>
      <c r="J52" s="44" t="str">
        <f ca="1">IF(OR(I52=" ",I52="")," ",OFFSET($BO$9,CL52-1,0-4,1,1))</f>
        <v xml:space="preserve"> </v>
      </c>
      <c r="K52" s="55" t="str">
        <f>IF(OR(I52=" ",I52="")," ",IF(OR(Z52="e",Z52="h"),"SD",IF(BG$24=BH$11,BH$13,BG$24)))</f>
        <v xml:space="preserve"> </v>
      </c>
      <c r="L52" s="49">
        <f ca="1">CW52</f>
        <v>0</v>
      </c>
      <c r="M52" s="49">
        <f ca="1">CY52</f>
        <v>0</v>
      </c>
      <c r="N52" s="50">
        <f t="shared" ca="1" si="36"/>
        <v>0</v>
      </c>
      <c r="O52" s="126">
        <f t="shared" ca="1" si="36"/>
        <v>0</v>
      </c>
      <c r="P52" s="140"/>
      <c r="Q52" s="752" t="str">
        <f ca="1">IF(AND(OR(Z52="t",Z52="f"),K52=$BH$11),"No Floor!  Change Floor Type",IF(OR(I52=" ",I52="")," ",IF(F52&lt;OFFSET($BM$9,CL52-1,0,1,1),"check L(m)",DE52&amp;IF(AND(DP52&gt;=CY52,DR52&gt;=DB52),IF(AND(ED52&gt;=DP52,EF52&gt;=DR52),CONCATENATE(DS52," will provide same result"),CONCATENATE(CO52," will provide same result")),IF((DP52&gt;=CY52),CONCATENATE(CO52," provides same result in WIND"),IF((DR52&gt;=DB52),CONCATENATE(CO52," provides same result in EQ"),""))))))&amp;IF(ISERROR(FIND("pile",I52,1)),"",IF(INT(F52)&lt;&gt;F52,"Pile!  Use Whole Numbers Only",""))</f>
        <v xml:space="preserve"> </v>
      </c>
      <c r="R52" s="52"/>
      <c r="S52" s="1372"/>
      <c r="T52" s="1372"/>
      <c r="U52" s="1377"/>
      <c r="V52" s="52" t="str">
        <f ca="1">IF(AND(B$5=$BF$9,OR(I52=BH$16,I52=BH$17))," ",IF(ISNUMBER(B$50),(CONCATENATE(B$50,".",W52)),(CONCATENATE(B$50,W52))))</f>
        <v>H0</v>
      </c>
      <c r="W52" s="9">
        <f ca="1">W51+X52</f>
        <v>0</v>
      </c>
      <c r="X52" s="9">
        <f>IF(AND(B$5=$BF$9,OR($I52=$BH$16,$I52=$BH$17,$I52=" ",$I52="",$F52=0)),0,IF(OR($I52=" ",$I52="",$F52=0),0,1))</f>
        <v>0</v>
      </c>
      <c r="Y52" s="896"/>
      <c r="Z52" s="52" t="str">
        <f ca="1">IF(I52=" "," ",OFFSET($BM$9,$CL52-1,8,1,1))</f>
        <v xml:space="preserve"> </v>
      </c>
      <c r="AA52" s="51" t="str">
        <f>IF(G52&gt;=45,"WA","")</f>
        <v/>
      </c>
      <c r="AB52" s="1364" t="str">
        <f>IF(OR(E52=" ",E52="")," ",(IF(F52&lt;&gt;"",IF(OR(D52=$BG$12,D52=$BG$13),IF(E52&lt;&gt;$BG$17,$BF$20,$BF$21),IF(E52&lt;&gt;$BG$17,$BF$20,$BF$21))," ")))</f>
        <v xml:space="preserve"> </v>
      </c>
      <c r="AC52" s="1"/>
      <c r="AJ52" s="2"/>
      <c r="AK52" s="63" t="str">
        <f>'Custom Elements'!B13</f>
        <v xml:space="preserve">  </v>
      </c>
      <c r="AL52" s="860" t="str">
        <f>'Custom Elements'!C13</f>
        <v>Custom5</v>
      </c>
      <c r="AM52" s="11">
        <f>'Custom Elements'!D13</f>
        <v>9.9999999999999996E-76</v>
      </c>
      <c r="AN52" s="7">
        <f>'Custom Elements'!E13</f>
        <v>0</v>
      </c>
      <c r="AO52" s="7">
        <f>'Custom Elements'!F13</f>
        <v>0</v>
      </c>
      <c r="AP52" s="762" t="str">
        <f>'Custom Elements'!G13</f>
        <v>B</v>
      </c>
      <c r="AQ52" s="1637" t="str">
        <f>'Custom Elements'!H13</f>
        <v>Single</v>
      </c>
      <c r="AR52" s="1637" t="str">
        <f>'Custom Elements'!I13</f>
        <v>Yes</v>
      </c>
      <c r="AS52" s="442" t="str">
        <f>'Custom Elements'!J13</f>
        <v>Yes</v>
      </c>
      <c r="AT52" s="1150"/>
      <c r="AU52"/>
      <c r="AY52"/>
      <c r="AZ52" s="442" t="str">
        <f>IF(AND('Custom Elements'!J13="Yes",'Custom Elements'!I13="Yes"),"T",IF('Custom Elements'!J13="Yes","F",IF('Custom Elements'!I13="Yes","H","E")))</f>
        <v>T</v>
      </c>
      <c r="BA52" s="51"/>
      <c r="BB52" s="51"/>
      <c r="BC52" s="51"/>
      <c r="BD52" s="638"/>
      <c r="BF52" s="599" t="str">
        <f>'Custom Elements'!C28</f>
        <v>Custom20</v>
      </c>
      <c r="BI52" s="759"/>
      <c r="BJ52" s="897">
        <f t="shared" si="33"/>
        <v>44</v>
      </c>
      <c r="BK52" s="1220"/>
      <c r="BL52" s="766"/>
      <c r="BM52" s="455">
        <f>Table!D6</f>
        <v>0.8</v>
      </c>
      <c r="BN52" s="455">
        <f>BM53</f>
        <v>1.2</v>
      </c>
      <c r="BO52" s="455">
        <f>Table!E6</f>
        <v>72</v>
      </c>
      <c r="BP52" s="925">
        <f>Table!F6</f>
        <v>61</v>
      </c>
      <c r="BR52" s="764"/>
      <c r="BS52" s="455"/>
      <c r="BT52" s="455"/>
      <c r="BU52" s="925" t="s">
        <v>242</v>
      </c>
      <c r="BV52" s="895"/>
      <c r="BW52" s="912"/>
      <c r="BX52" s="925" t="str">
        <f>Table!H5</f>
        <v>Single</v>
      </c>
      <c r="CH52" s="764">
        <f>IF(BN52=999,0,(BO53-BO52)/(BN52-BM52))</f>
        <v>0</v>
      </c>
      <c r="CI52" s="925">
        <f>IF(BN52=999,0,(BP53-BP52)/(BN52-BM52))</f>
        <v>7.5000000000000018</v>
      </c>
      <c r="CJ52" s="759"/>
      <c r="CK52" s="188"/>
      <c r="CL52" s="979">
        <f>VLOOKUP(I52,Prodlink,2,0)</f>
        <v>0</v>
      </c>
      <c r="CN52" s="497">
        <f t="shared" ca="1" si="31"/>
        <v>0</v>
      </c>
      <c r="CO52" s="497">
        <f ca="1">OFFSET($CH$9,CL52-1,-15,1,1)</f>
        <v>0</v>
      </c>
      <c r="CQ52" s="51">
        <v>0</v>
      </c>
      <c r="CR52" s="51">
        <f ca="1">IF(AND(Z52&lt;&gt;"t",Z52&lt;&gt;"f"),10000,IF(K52=$BH$11,0,IF(K52=$BH$12,$BH$23,IF(K52=$BH$13,$BH$24,10000))))</f>
        <v>10000</v>
      </c>
      <c r="CS52" s="51">
        <f ca="1">IF(F52&lt;OFFSET($BM$9,CL52-1,0,1,1),0,IF(F52&lt;OFFSET($BN$9,CL52-1,0,1,1),((F52-OFFSET($BM$9,CL52-1,0,1,1))*OFFSET($CH$9,CL52-1,0,1,1))+OFFSET($BO$9,CL52-1,CQ52,1,1),IF(F52&lt;OFFSET($BN$9,CL52+0,0,1,1),((F52-OFFSET($BM$9,CL52+0,0,1,1))*OFFSET($CH$9,CL52+0,0,1,1))+OFFSET($BO$9,CL52+0,CQ52,1,1),IF(F52&lt;OFFSET($BN$9,CL52+1,0,1,1),((F52-OFFSET($BM$9,CL52+1,0,1,1))*OFFSET($CH$9,CL52+1,0,1,1))+OFFSET($BO$9,CL52+1,CQ52,1,1),IF(F52&lt;OFFSET($BN$9,CL52+2,0,1,1),((F52-OFFSET($BM$9,CL52+2,0,1,1))*OFFSET($CH$9,CL52+2,0,1,1))+OFFSET($BO$9,CL52+2,CQ52,1,1),IF(F52&lt;OFFSET($BN$9,CL52+3,0,1,1),((F52-OFFSET($BM$9,CL52+3,0,1,1))*OFFSET($CH$9,CL52+3,0,1,1))+OFFSET($BO$9,CL52+3,CQ52,1,1),0))))))</f>
        <v>0</v>
      </c>
      <c r="CT52" s="51">
        <f ca="1">IF($F52&lt;OFFSET($BM$9,$CL52-1,0,1,1),0,IF($F52&lt;OFFSET($BN$9,$CL52-1,0,1,1),IF(AND($H52&gt;2.4,Z52&lt;&gt;"e",Z52&lt;&gt;"f"),CX52*2.4/$H52,CX52),IF($F52&lt;OFFSET($BN$9,$CL52+0,0,1,1),IF(AND($H52&gt;2.4,Z52&lt;&gt;"e",Z52&lt;&gt;"f"),CX52*2.4/$H52,CX52),IF($F52&lt;OFFSET($BN$9,$CL52+1,0,1,1),IF(AND($H52&gt;2.4,Z52&lt;&gt;"e",Z52&lt;&gt;"f"),CX52*2.4/$H52,CX52),IF($F52&lt;OFFSET($BN$9,CL52+2,0,1,1),IF(AND($H52&gt;2.4,Z52&lt;&gt;"e",Z52&lt;&gt;"f"),CX52*2.4/$H52,CX52),IF($F52&lt;OFFSET($BN$9,CL52+3,0,1,1),IF(AND($H52&gt;2.4,Z52&lt;&gt;"e",Z52&lt;&gt;"f"),CX52*2.4/$H52,CX52),0)))))*COS(RADIANS($G52)))</f>
        <v>0</v>
      </c>
      <c r="CU52" s="51">
        <f ca="1">IF(F52&lt;OFFSET($BM$9,CL52-1,0,1,1),0,IF(F52&lt;OFFSET($BN$9,CL52-1,0,1,1),((F52-OFFSET($BM$9,CL52-1,0,1,1))*OFFSET($CI$9,CL52-1,0,1,1))+OFFSET($BP$9,CL52-1,CQ52,1,1),IF(F52&lt;OFFSET($BN$9,CL52+0,0,1,1),((F52-OFFSET($BM$9,CL52+0,0,1,1))*OFFSET($CI$9,CL52+0,0,1,1))+OFFSET($BP$9,CL52+0,CQ52,1,1),IF(F52&lt;OFFSET($BN$9,CL52+1,0,1,1),((F52-OFFSET($BM$9,CL52+1,0,1,1))*OFFSET($CI$9,CL52+1,0,1,1))+OFFSET($BP$9,CL52+1,CQ52,1,1),IF(F52&lt;OFFSET($BN$9,CL52+2,0,1,1),((F52-OFFSET($BM$9,CL52+2,0,1,1))*OFFSET($CI$9,CL52+2,0,1,1))+OFFSET($BP$9,CL52+2,CQ52,1,1),IF(F52&lt;OFFSET($BN$9,CL52+3,0,1,1),((F52-OFFSET($BM$9,CL52+3,0,1,1))*OFFSET($CI$9,CL52+3,0,1,1))+OFFSET($BP$9,CL52+3,CQ52,1,1),0))))))</f>
        <v>0</v>
      </c>
      <c r="CV52" s="51">
        <f ca="1">IF($F52&lt;OFFSET($BM$9,$CL52-1,0,1,1),0,IF($F52&lt;OFFSET($BN$9,$CL52-1,0,1,1),IF(AND($H52&gt;2.4,Z52&lt;&gt;"e",Z52&lt;&gt;"f"),CZ52*2.4/$H52,CZ52),IF($F52&lt;OFFSET($BN$9,$CL52+0,0,1,1),IF(AND($H52&gt;2.4,Z52&lt;&gt;"e",Z52&lt;&gt;"f"),CZ52*2.4/$H52,CZ52),IF($F52&lt;OFFSET($BN$9,$CL52+1,0,1,1),IF(AND($H52&gt;2.4,Z52&lt;&gt;"e",Z52&lt;&gt;"f"),CZ52*2.4/$H52,CZ52),IF($F52&lt;OFFSET($BN$9,$CL52+2,0,1,1),IF(AND($H52&gt;2.4,Z52&lt;&gt;"e",Z52&lt;&gt;"f"),CZ52*2.4/$H52,CZ52),IF($F52&lt;OFFSET($BN$9,$CL52+3,0,1,1),IF(AND($H52&gt;2.4,Z52&lt;&gt;"e",Z52&lt;&gt;"f"),CZ52*2.4/$H52,CZ52),0)))))*COS(RADIANS($G52)))</f>
        <v>0</v>
      </c>
      <c r="CW52" s="51">
        <f t="shared" ca="1" si="17"/>
        <v>0</v>
      </c>
      <c r="CX52" s="51">
        <f ca="1">IF(CS52&gt;$CR52,$CR52,CS52)</f>
        <v>0</v>
      </c>
      <c r="CY52" s="51">
        <f ca="1">CW52*F52</f>
        <v>0</v>
      </c>
      <c r="CZ52" s="51">
        <f ca="1">IF($CU52&gt;$CR52,$CR52,$CU52)</f>
        <v>0</v>
      </c>
      <c r="DA52" s="51">
        <f ca="1">IF(CV52&gt;CR52,CR52,CV52)</f>
        <v>0</v>
      </c>
      <c r="DB52" s="51">
        <f ca="1">DA52*F52</f>
        <v>0</v>
      </c>
      <c r="DC52" s="993">
        <v>1</v>
      </c>
      <c r="DD52" s="758" t="str">
        <f>IF(OR(D52=BG$12,D52=BG$13),"External",IF(D52=BG$14,"Internal"," "))</f>
        <v xml:space="preserve"> </v>
      </c>
      <c r="DE52" s="51" t="str">
        <f t="shared" ca="1" si="18"/>
        <v/>
      </c>
      <c r="DF52" s="52" t="str">
        <f t="shared" ca="1" si="19"/>
        <v xml:space="preserve"> </v>
      </c>
      <c r="DG52" s="51">
        <f ca="1">IF(F52&lt;OFFSET($BM$9,CN52-1,0,1,1),0,IF(F52&lt;OFFSET($BN$9,CN52-1,0,1,1),((F52-OFFSET($BM$9,CN52-1,0,1,1))*OFFSET($CH$9,CN52-1,0,1,1))+OFFSET($BO$9,CN52-1,CQ52,1,1),IF(F52&lt;OFFSET($BN$9,CN52+0,0,1,1),((F52-OFFSET($BM$9,CN52+0,0,1,1))*OFFSET($CH$9,CN52+0,0,1,1))+OFFSET($BO$9,CN52+0,CQ52,1,1),IF(F52&lt;OFFSET($BN$9,CN52+1,0,1,1),((F52-OFFSET($BM$9,CN52+1,0,1,1))*OFFSET($CH$9,CN52+1,0,1,1))+OFFSET($BO$9,CN52+1,CQ52,1,1),IF(F52&lt;OFFSET($BN$9,CN52+2,0,1,1),((F52-OFFSET($BM$9,CN52+2,0,1,1))*OFFSET($CH$9,CN52+2,0,1,1))+OFFSET($BO$9,CN52+2,CQ52,1,1),IF(F52&lt;OFFSET($BN$9,CN52+3,0,1,1),((F52-OFFSET($BM$9,CN52+3,0,1,1))*OFFSET($CH$9,CN52+3,0,1,1))+OFFSET($BO$9,CN52+3,CQ52,1,1),0))))))</f>
        <v>0</v>
      </c>
      <c r="DH52" s="51">
        <f ca="1">IF($F52&lt;OFFSET($BM$9,$CN52-1,0,1,1),0,IF($F52&lt;OFFSET($BN$9,$CN52-1,0,1,1),IF(AND($H52&gt;2.4,Z52&lt;&gt;"e",Z52&lt;&gt;"f"),DL52*2.4/$H52,DL52),IF($F52&lt;OFFSET($BN$9,$CN52+0,0,1,1),IF(AND($H52&gt;2.4,Z52&lt;&gt;"e",Z52&lt;&gt;"f"),DL52*2.4/$H52,DL52),IF($F52&lt;OFFSET($BN$9,$CN52+1,0,1,1),IF(AND($H52&gt;2.4,Z52&lt;&gt;"e",Z52&lt;&gt;"f"),DL52*2.4/$H52,DL52),IF($F52&lt;OFFSET($BN$9,$CN52+2,0,1,1),IF(AND($H52&gt;2.4,Z52&lt;&gt;"e",Z52&lt;&gt;"f"),DL52*2.4/$H52,DL52),IF($F52&lt;OFFSET($BN$9,$CN52+3,0,1,1),IF(AND($H52&gt;2.4,Z52&lt;&gt;"e",Z52&lt;&gt;"f"),DL52*2.4/$H52,DL52),0)))))*COS(RADIANS($G52)))</f>
        <v>0</v>
      </c>
      <c r="DI52" s="51">
        <f ca="1">IF(F52&lt;OFFSET($BM$9,CN52-1,0,1,1),0,IF(F52&lt;OFFSET($BN$9,CN52-1,0,1,1),((F52-OFFSET($BM$9,CN52-1,0,1,1))*OFFSET($CI$9,CN52-1,0,1,1))+OFFSET($BP$9,CN52-1,CQ52,1,1),IF(F52&lt;OFFSET($BN$9,CN52+0,0,1,1),((F52-OFFSET($BM$9,CN52+0,0,1,1))*OFFSET($CI$9,CN52+0,0,1,1))+OFFSET($BP$9,CN52+0,CQ52,1,1),IF(F52&lt;OFFSET($BN$9,CN52+1,0,1,1),((F52-OFFSET($BM$9,CN52+1,0,1,1))*OFFSET($CI$9,CN52+1,0,1,1))+OFFSET($BP$9,CN52+1,CQ52,1,1),IF(F52&lt;OFFSET($BN$9,CN52+2,0,1,1),((F52-OFFSET($BM$9,CN52+2,0,1,1))*OFFSET($CI$9,CN52+2,0,1,1))+OFFSET($BP$9,CN52+2,CQ52,1,1),IF(F52&lt;OFFSET($BN$9,CN52+3,0,1,1),((F52-OFFSET($BM$9,CN52+3,0,1,1))*OFFSET($CI$9,CN52+3,0,1,1))+OFFSET($BP$9,CN52+3,CQ52,1,1),0))))))</f>
        <v>0</v>
      </c>
      <c r="DJ52" s="51">
        <f ca="1">IF($F52&lt;OFFSET($BM$9,$CN52-1,0,1,1),0,IF($F52&lt;OFFSET($BN$9,$CN52-1,0,1,1),IF(AND($H52&gt;2.4,Z52&lt;&gt;"e",Z52&lt;&gt;"f"),DN52*2.4/$H52,DN52),IF($F52&lt;OFFSET($BN$9,$CN52+0,0,1,1),IF(AND($H52&gt;2.4,Z52&lt;&gt;"e",Z52&lt;&gt;"f"),DN52*2.4/$H52,DN52),IF($F52&lt;OFFSET($BN$9,$CN52+1,0,1,1),IF(AND($H52&gt;2.4,Z52&lt;&gt;"e",Z52&lt;&gt;"f"),DN52*2.4/$H52,DN52),IF($F52&lt;OFFSET($BN$9,$CN52+2,0,1,1),IF(AND($H52&gt;2.4,Z52&lt;&gt;"e",Z52&lt;&gt;"f"),DN52*2.4/$H52,DN52),IF($F52&lt;OFFSET($BN$9,$CN52+3,0,1,1),IF(AND($H52&gt;2.4,Z52&lt;&gt;"e",Z52&lt;&gt;"f"),DN52*2.4/$H52,DN52),0)))))*COS(RADIANS($G52)))</f>
        <v>0</v>
      </c>
      <c r="DK52" s="51"/>
      <c r="DL52" s="51">
        <f ca="1">IF(DG52&gt;$CR52,$CR52,DG52)</f>
        <v>0</v>
      </c>
      <c r="DM52" s="51"/>
      <c r="DN52" s="51">
        <f ca="1">IF(DI52&gt;$CR52,$CR52,DI52)</f>
        <v>0</v>
      </c>
      <c r="DO52" s="435">
        <f ca="1">IF(DH52&gt;$CR52,$CR52,DH52)</f>
        <v>0</v>
      </c>
      <c r="DP52" s="435">
        <f ca="1">DO52*F52</f>
        <v>0</v>
      </c>
      <c r="DQ52" s="436">
        <f ca="1">IF(DJ52&gt;$CR52,$CR52,DJ52)</f>
        <v>0</v>
      </c>
      <c r="DR52" s="437">
        <f ca="1">DQ52*F52</f>
        <v>0</v>
      </c>
      <c r="DS52" s="426">
        <f ca="1">OFFSET($CH$9,CL52-1,-15,1,1)</f>
        <v>0</v>
      </c>
      <c r="DT52" s="426">
        <f t="shared" ca="1" si="32"/>
        <v>0</v>
      </c>
      <c r="DU52" s="188">
        <f ca="1">IF(F52&lt;OFFSET($BM$9,DT52-1,0,1,1),0,IF(F52&lt;OFFSET($BN$9,DT52-1,0,1,1),((F52-OFFSET($BM$9,DT52-1,0,1,1))*OFFSET($CH$9,DT52-1,0,1,1))+OFFSET($BO$9,DT52-1,CQ52,1,1),IF(F52&lt;OFFSET($BN$9,DT52+0,0,1,1),((F52-OFFSET($BM$9,DT52+0,0,1,1))*OFFSET($CH$9,DT52+0,0,1,1))+OFFSET($BO$9,DT52+0,CQ52,1,1),IF(F52&lt;OFFSET($BN$9,DT52+1,0,1,1),((F52-OFFSET($BM$9,DT52+1,0,1,1))*OFFSET($CH$9,DT52+1,0,1,1))+OFFSET($BO$9,DT52+1,CQ52,1,1),IF(F52&lt;OFFSET($BN$9,DT52+2,0,1,1),((F52-OFFSET($BM$9,DT52+2,0,1,1))*OFFSET($CH$9,DT52+2,0,1,1))+OFFSET($BO$9,DT52+2,CQ52,1,1),IF(F52&lt;OFFSET($BN$9,DT52+3,0,1,1),((F52-OFFSET($BM$9,DT52+3,0,1,1))*OFFSET($CH$9,DT52+3,0,1,1))+OFFSET($BO$9,DT52+3,CQ52,1,1),0))))))</f>
        <v>0</v>
      </c>
      <c r="DV52" s="51">
        <f ca="1">IF($F52&lt;OFFSET($BM$9,$DT52-1,0,1,1),0,IF($F52&lt;OFFSET($BN$9,$DT52-1,0,1,1),IF(AND($H52&gt;2.4,Z52&lt;&gt;"e",Z52&lt;&gt;"f"),DZ52*2.4/$H52,DZ52),IF($F52&lt;OFFSET($BN$9,$DT52+0,0,1,1),IF(AND($H52&gt;2.4,Z52&lt;&gt;"e",Z52&lt;&gt;"f"),DZ52*2.4/$H52,DZ52),IF($F52&lt;OFFSET($BN$9,$DT52+1,0,1,1),IF(AND($H52&gt;2.4,Z52&lt;&gt;"e",Z52&lt;&gt;"f"),DZ52*2.4/$H52,DZ52),IF($F52&lt;OFFSET($BN$9,$DT52+2,0,1,1),IF(AND($H52&gt;2.4,Z52&lt;&gt;"e",Z52&lt;&gt;"f"),DZ52*2.4/$H52,DZ52),IF($F52&lt;OFFSET($BN$9,$DT52+3,0,1,1),IF(AND($H52&gt;2.4,Z52&lt;&gt;"e",Z52&lt;&gt;"f"),DZ52*2.4/$H52,DZ52),0)))))*COS(RADIANS($G52)))</f>
        <v>0</v>
      </c>
      <c r="DW52" s="188">
        <f ca="1">IF(F52&lt;OFFSET($BM$9,DT52-1,0,1,1),0,IF(F52&lt;OFFSET($BN$9,DT52-1,0,1,1),((F52-OFFSET($BM$9,DT52-1,0,1,1))*OFFSET($CI$9,DT52-1,0,1,1))+OFFSET($BP$9,DT52-1,CQ52,1,1),IF(F52&lt;OFFSET($BN$9,DT52+0,0,1,1),((F52-OFFSET($BM$9,DT52+0,0,1,1))*OFFSET($CI$9,DT52+0,0,1,1))+OFFSET($BP$9,DT52+0,CQ52,1,1),IF(F52&lt;OFFSET($BN$9,DT52+1,0,1,1),((F52-OFFSET($BM$9,DT52+1,0,1,1))*OFFSET($CI$9,DT52+1,0,1,1))+OFFSET($BP$9,DT52+1,CQ52,1,1),IF(F52&lt;OFFSET($BN$9,DT52+2,0,1,1),((F52-OFFSET($BM$9,DT52+2,0,1,1))*OFFSET($CI$9,DT52+2,0,1,1))+OFFSET($BP$9,DT52+2,CQ52,1,1),IF(F52&lt;OFFSET($BN$9,DT52+3,0,1,1),((F52-OFFSET($BM$9,DT52+3,0,1,1))*OFFSET($CI$9,DT52+3,0,1,1))+OFFSET($BP$9,DT52+3,CQ52,1,1),0))))))</f>
        <v>0</v>
      </c>
      <c r="DX52" s="51">
        <f ca="1">IF($F52&lt;OFFSET($BM$9,$DT52-1,0,1,1),0,IF($F52&lt;OFFSET($BN$9,$DT52-1,0,1,1),IF(AND($H52&gt;2.4,Z52&lt;&gt;"e",Z52&lt;&gt;"f"),EB52*2.4/$H52,EB52),IF($F52&lt;OFFSET($BN$9,$DT52+0,0,1,1),IF(AND($H52&gt;2.4,Z52&lt;&gt;"e",Z52&lt;&gt;"f"),EB52*2.4/$H52,EB52),IF($F52&lt;OFFSET($BN$9,$DT52+1,0,1,1),IF(AND($H52&gt;2.4,Z52&lt;&gt;"e",Z52&lt;&gt;"f"),EB52*2.4/$H52,EB52),IF($F52&lt;OFFSET($BN$9,$DT52+2,0,1,1),IF(AND($H52&gt;2.4,Z52&lt;&gt;"e",Z52&lt;&gt;"f"),EB52*2.4/$H52,EB52),IF($F52&lt;OFFSET($BN$9,$DT52+3,0,1,1),IF(AND($H52&gt;2.4,Z52&lt;&gt;"e",Z52&lt;&gt;"f"),EB52*2.4/$H52,EB52),0)))))*COS(RADIANS($G52)))</f>
        <v>0</v>
      </c>
      <c r="DY52" s="188"/>
      <c r="DZ52" s="188">
        <f ca="1">IF(DU52&gt;$CR52,$CR52,DU52)</f>
        <v>0</v>
      </c>
      <c r="EA52" s="188"/>
      <c r="EB52" s="188">
        <f ca="1">IF(DW52&gt;$CR52,$CR52,DW52)</f>
        <v>0</v>
      </c>
      <c r="EC52" s="435">
        <f ca="1">IF(DV52&gt;$CR52,$CR52,DV52)</f>
        <v>0</v>
      </c>
      <c r="ED52" s="435">
        <f ca="1">EC52*F52</f>
        <v>0</v>
      </c>
      <c r="EE52" s="436">
        <f ca="1">IF(DX52&gt;$CR52,$CR52,DX52)</f>
        <v>0</v>
      </c>
      <c r="EF52" s="437">
        <f ca="1">EE52*F52</f>
        <v>0</v>
      </c>
      <c r="EG52" s="613" t="str">
        <f>IF(D52=BG$12,BG$12,"")</f>
        <v/>
      </c>
      <c r="EH52" s="614" t="str">
        <f>IF(D52=BG$13,BG$13,"")</f>
        <v/>
      </c>
      <c r="EI52" s="611">
        <f>IF(EG52=BG$12,M52,0)</f>
        <v>0</v>
      </c>
      <c r="EJ52" s="451">
        <f>IF(EG52=BG$12,O52,0)</f>
        <v>0</v>
      </c>
      <c r="EK52" s="451">
        <f>IF(EH52=BG$13,M52,0)</f>
        <v>0</v>
      </c>
      <c r="EL52" s="612">
        <f>IF(EH52=BG$13,O52,0)</f>
        <v>0</v>
      </c>
      <c r="EM52" s="426" t="str">
        <f ca="1">IF(AND(Z52&lt;&gt;"t",Z52&lt;&gt;"f"),"",IF(AND(EN52=$BH$11,K52&lt;&gt;EN52),EM$4,IF(AND(EN52=$BH$12,K52=$BH$13),EM$4,IF(AND(EN52=$BH$12,K52=$BH$14),EM$4,IF(AND(EN52=$BH$13,K52=$BH$14),$EM$4,IF(EN52=$BH$14,$EM$4,""))))))</f>
        <v/>
      </c>
      <c r="EN52" s="489" t="str">
        <f>BG$24</f>
        <v>No Floor</v>
      </c>
      <c r="EO52" s="426" t="str">
        <f>K52</f>
        <v xml:space="preserve"> </v>
      </c>
      <c r="EP52" s="497" t="str">
        <f ca="1">IF(AND(Z52&lt;&gt;"t",Z52&lt;&gt;"f"),"",IF(AND(EN52=$BH$14,K52&lt;&gt;EN52),EP$4,IF(AND(EN52=$BH$13,K52=$BH$12),EP$4,IF(AND(EN52=$BH$13,K52=$BH$11),EP$4,IF(AND(EN52=$BH$12,K52=$BH$11),$EP$4,IF(EN52=$BH$11,"Earth",""))))))</f>
        <v/>
      </c>
      <c r="EQ52" s="430" t="str">
        <f ca="1">IF(Z52&lt;&gt;"t","",IF(EQ$5=2,IF(K52&lt;&gt;BH$11,EQ$7," ")))</f>
        <v/>
      </c>
      <c r="ER52" s="439" t="str">
        <f ca="1">IF(H52=0," ",H52)</f>
        <v xml:space="preserve"> </v>
      </c>
      <c r="ES52" s="440" t="str">
        <f ca="1">IF(ER52&lt;&gt;" ",IF(ER52&lt;&gt;ER$7,"Changed",""),"")</f>
        <v/>
      </c>
      <c r="ET52" s="440">
        <f t="shared" ca="1" si="20"/>
        <v>0</v>
      </c>
      <c r="EU52" s="426" t="str">
        <f ca="1">IF(I52=" "," ",IF(F52&lt;OFFSET($BM$9,CL52-1,0,1,1),1,""))</f>
        <v xml:space="preserve"> </v>
      </c>
      <c r="EW52" s="427"/>
      <c r="EY52" s="421"/>
    </row>
    <row r="53" spans="1:155" ht="17.100000000000001" customHeight="1" thickBot="1">
      <c r="A53" s="2685"/>
      <c r="B53" s="689" t="s">
        <v>246</v>
      </c>
      <c r="C53" s="684" t="str">
        <f>IF(OR(F53=0,I53="",I53=" ")," ",$V53)</f>
        <v xml:space="preserve"> </v>
      </c>
      <c r="D53" s="1033"/>
      <c r="E53" s="1360"/>
      <c r="F53" s="202"/>
      <c r="G53" s="1416"/>
      <c r="H53" s="1417" t="str">
        <f ca="1">IF(OR(F53=0,Z53="E",Z53="f")," ",'Project Demand'!E$55)</f>
        <v xml:space="preserve"> </v>
      </c>
      <c r="I53" s="631" t="str">
        <f>IF($I$6&lt;&gt;$BG$8," ",AB53)</f>
        <v xml:space="preserve"> </v>
      </c>
      <c r="J53" s="44" t="str">
        <f ca="1">IF(OR(I53=" ",I53="")," ",OFFSET($BO$9,CL53-1,0-4,1,1))</f>
        <v xml:space="preserve"> </v>
      </c>
      <c r="K53" s="55" t="str">
        <f>IF(OR(I53=" ",I53="")," ",IF(OR(Z53="e",Z53="h"),"SD",IF(BG$24=BH$11,BH$13,BG$24)))</f>
        <v xml:space="preserve"> </v>
      </c>
      <c r="L53" s="49">
        <f ca="1">CW53</f>
        <v>0</v>
      </c>
      <c r="M53" s="49">
        <f ca="1">CY53</f>
        <v>0</v>
      </c>
      <c r="N53" s="50">
        <f t="shared" ca="1" si="36"/>
        <v>0</v>
      </c>
      <c r="O53" s="126">
        <f t="shared" ca="1" si="36"/>
        <v>0</v>
      </c>
      <c r="P53" s="140"/>
      <c r="Q53" s="752" t="str">
        <f ca="1">IF(AND(OR(Z53="t",Z53="f"),K53=$BH$11),"No Floor!  Change Floor Type",IF(OR(I53=" ",I53="")," ",IF(F53&lt;OFFSET($BM$9,CL53-1,0,1,1),"check L(m)",DE53&amp;IF(AND(DP53&gt;=CY53,DR53&gt;=DB53),IF(AND(ED53&gt;=DP53,EF53&gt;=DR53),CONCATENATE(DS53," will provide same result"),CONCATENATE(CO53," will provide same result")),IF((DP53&gt;=CY53),CONCATENATE(CO53," provides same result in WIND"),IF((DR53&gt;=DB53),CONCATENATE(CO53," provides same result in EQ"),""))))))&amp;IF(ISERROR(FIND("pile",I53,1)),"",IF(INT(F53)&lt;&gt;F53,"Pile!  Use Whole Numbers Only",""))</f>
        <v xml:space="preserve"> </v>
      </c>
      <c r="R53" s="52"/>
      <c r="S53" s="1372"/>
      <c r="T53" s="1372"/>
      <c r="U53" s="1377"/>
      <c r="V53" s="52" t="str">
        <f ca="1">IF(AND(B$5=$BF$9,OR(I53=BH$16,I53=BH$17))," ",IF(ISNUMBER(B$50),(CONCATENATE(B$50,".",W53)),(CONCATENATE(B$50,W53))))</f>
        <v>H0</v>
      </c>
      <c r="W53" s="9">
        <f ca="1">W52+X53</f>
        <v>0</v>
      </c>
      <c r="X53" s="9">
        <f>IF(AND(B$5=$BF$9,OR($I53=$BH$16,$I53=$BH$17,$I53=" ",$I53="",$F53=0)),0,IF(OR($I53=" ",$I53="",$F53=0),0,1))</f>
        <v>0</v>
      </c>
      <c r="Y53" s="896"/>
      <c r="Z53" s="52" t="str">
        <f ca="1">IF(I53=" "," ",OFFSET($BM$9,$CL53-1,8,1,1))</f>
        <v xml:space="preserve"> </v>
      </c>
      <c r="AA53" s="51" t="str">
        <f>IF(G53&gt;=45,"WA","")</f>
        <v/>
      </c>
      <c r="AB53" s="1364" t="str">
        <f>IF(OR(E53=" ",E53="")," ",(IF(F53&lt;&gt;"",IF(OR(D53=$BG$12,D53=$BG$13),IF(E53&lt;&gt;$BG$17,$BF$20,$BF$21),IF(E53&lt;&gt;$BG$17,$BF$20,$BF$21))," ")))</f>
        <v xml:space="preserve"> </v>
      </c>
      <c r="AC53" s="1"/>
      <c r="AJ53" s="2"/>
      <c r="AK53" s="63" t="str">
        <f>'Custom Elements'!B14</f>
        <v xml:space="preserve">  </v>
      </c>
      <c r="AL53" s="860" t="str">
        <f>'Custom Elements'!C14</f>
        <v>Custom6</v>
      </c>
      <c r="AM53" s="11">
        <f>'Custom Elements'!D14</f>
        <v>9.9999999999999996E-76</v>
      </c>
      <c r="AN53" s="7">
        <f>'Custom Elements'!E14</f>
        <v>0</v>
      </c>
      <c r="AO53" s="7">
        <f>'Custom Elements'!F14</f>
        <v>0</v>
      </c>
      <c r="AP53" s="762" t="str">
        <f>'Custom Elements'!G14</f>
        <v>B</v>
      </c>
      <c r="AQ53" s="1637" t="str">
        <f>'Custom Elements'!H14</f>
        <v>Single</v>
      </c>
      <c r="AR53" s="1637" t="str">
        <f>'Custom Elements'!I14</f>
        <v>Yes</v>
      </c>
      <c r="AS53" s="442" t="str">
        <f>'Custom Elements'!J14</f>
        <v>Yes</v>
      </c>
      <c r="AT53" s="1150"/>
      <c r="AU53"/>
      <c r="AY53"/>
      <c r="AZ53" s="442" t="str">
        <f>IF(AND('Custom Elements'!J14="Yes",'Custom Elements'!I14="Yes"),"T",IF('Custom Elements'!J14="Yes","F",IF('Custom Elements'!I14="Yes","H","E")))</f>
        <v>T</v>
      </c>
      <c r="BA53" s="51"/>
      <c r="BB53" s="51"/>
      <c r="BC53" s="51"/>
      <c r="BD53" s="638"/>
      <c r="BF53" s="693" t="s">
        <v>8</v>
      </c>
      <c r="BI53" s="759"/>
      <c r="BJ53" s="897">
        <f t="shared" si="33"/>
        <v>45</v>
      </c>
      <c r="BK53" s="1220"/>
      <c r="BL53" s="766"/>
      <c r="BM53" s="455">
        <f>Table!D7</f>
        <v>1.2</v>
      </c>
      <c r="BN53" s="455">
        <f>BM54</f>
        <v>1.8</v>
      </c>
      <c r="BO53" s="455">
        <f>Table!E7</f>
        <v>72</v>
      </c>
      <c r="BP53" s="925">
        <f>Table!F7</f>
        <v>64</v>
      </c>
      <c r="BR53" s="764"/>
      <c r="BS53" s="455"/>
      <c r="BT53" s="455"/>
      <c r="BU53" s="925" t="s">
        <v>242</v>
      </c>
      <c r="BV53" s="913"/>
      <c r="BW53" s="912"/>
      <c r="BX53" s="925" t="str">
        <f>Table!H5</f>
        <v>Single</v>
      </c>
      <c r="CH53" s="764">
        <f>IF(BN53=999,0,(BO54-BO53)/(BN53-BM53))</f>
        <v>18.333333333333332</v>
      </c>
      <c r="CI53" s="925">
        <f>IF(BN53=999,0,(BP54-BP53)/(BN53-BM53))</f>
        <v>0</v>
      </c>
      <c r="CJ53" s="759"/>
      <c r="CK53" s="188"/>
      <c r="CL53" s="979">
        <f>VLOOKUP(I53,Prodlink,2,0)</f>
        <v>0</v>
      </c>
      <c r="CN53" s="497">
        <f t="shared" ca="1" si="31"/>
        <v>0</v>
      </c>
      <c r="CO53" s="497">
        <f ca="1">OFFSET($CH$9,CL53-1,-15,1,1)</f>
        <v>0</v>
      </c>
      <c r="CQ53" s="51">
        <v>0</v>
      </c>
      <c r="CR53" s="51">
        <f ca="1">IF(AND(Z53&lt;&gt;"t",Z53&lt;&gt;"f"),10000,IF(K53=$BH$11,0,IF(K53=$BH$12,$BH$23,IF(K53=$BH$13,$BH$24,10000))))</f>
        <v>10000</v>
      </c>
      <c r="CS53" s="51">
        <f ca="1">IF(F53&lt;OFFSET($BM$9,CL53-1,0,1,1),0,IF(F53&lt;OFFSET($BN$9,CL53-1,0,1,1),((F53-OFFSET($BM$9,CL53-1,0,1,1))*OFFSET($CH$9,CL53-1,0,1,1))+OFFSET($BO$9,CL53-1,CQ53,1,1),IF(F53&lt;OFFSET($BN$9,CL53+0,0,1,1),((F53-OFFSET($BM$9,CL53+0,0,1,1))*OFFSET($CH$9,CL53+0,0,1,1))+OFFSET($BO$9,CL53+0,CQ53,1,1),IF(F53&lt;OFFSET($BN$9,CL53+1,0,1,1),((F53-OFFSET($BM$9,CL53+1,0,1,1))*OFFSET($CH$9,CL53+1,0,1,1))+OFFSET($BO$9,CL53+1,CQ53,1,1),IF(F53&lt;OFFSET($BN$9,CL53+2,0,1,1),((F53-OFFSET($BM$9,CL53+2,0,1,1))*OFFSET($CH$9,CL53+2,0,1,1))+OFFSET($BO$9,CL53+2,CQ53,1,1),IF(F53&lt;OFFSET($BN$9,CL53+3,0,1,1),((F53-OFFSET($BM$9,CL53+3,0,1,1))*OFFSET($CH$9,CL53+3,0,1,1))+OFFSET($BO$9,CL53+3,CQ53,1,1),0))))))</f>
        <v>0</v>
      </c>
      <c r="CT53" s="51">
        <f ca="1">IF($F53&lt;OFFSET($BM$9,$CL53-1,0,1,1),0,IF($F53&lt;OFFSET($BN$9,$CL53-1,0,1,1),IF(AND($H53&gt;2.4,Z53&lt;&gt;"e",Z53&lt;&gt;"f"),CX53*2.4/$H53,CX53),IF($F53&lt;OFFSET($BN$9,$CL53+0,0,1,1),IF(AND($H53&gt;2.4,Z53&lt;&gt;"e",Z53&lt;&gt;"f"),CX53*2.4/$H53,CX53),IF($F53&lt;OFFSET($BN$9,$CL53+1,0,1,1),IF(AND($H53&gt;2.4,Z53&lt;&gt;"e",Z53&lt;&gt;"f"),CX53*2.4/$H53,CX53),IF($F53&lt;OFFSET($BN$9,CL53+2,0,1,1),IF(AND($H53&gt;2.4,Z53&lt;&gt;"e",Z53&lt;&gt;"f"),CX53*2.4/$H53,CX53),IF($F53&lt;OFFSET($BN$9,CL53+3,0,1,1),IF(AND($H53&gt;2.4,Z53&lt;&gt;"e",Z53&lt;&gt;"f"),CX53*2.4/$H53,CX53),0)))))*COS(RADIANS($G53)))</f>
        <v>0</v>
      </c>
      <c r="CU53" s="51">
        <f ca="1">IF(F53&lt;OFFSET($BM$9,CL53-1,0,1,1),0,IF(F53&lt;OFFSET($BN$9,CL53-1,0,1,1),((F53-OFFSET($BM$9,CL53-1,0,1,1))*OFFSET($CI$9,CL53-1,0,1,1))+OFFSET($BP$9,CL53-1,CQ53,1,1),IF(F53&lt;OFFSET($BN$9,CL53+0,0,1,1),((F53-OFFSET($BM$9,CL53+0,0,1,1))*OFFSET($CI$9,CL53+0,0,1,1))+OFFSET($BP$9,CL53+0,CQ53,1,1),IF(F53&lt;OFFSET($BN$9,CL53+1,0,1,1),((F53-OFFSET($BM$9,CL53+1,0,1,1))*OFFSET($CI$9,CL53+1,0,1,1))+OFFSET($BP$9,CL53+1,CQ53,1,1),IF(F53&lt;OFFSET($BN$9,CL53+2,0,1,1),((F53-OFFSET($BM$9,CL53+2,0,1,1))*OFFSET($CI$9,CL53+2,0,1,1))+OFFSET($BP$9,CL53+2,CQ53,1,1),IF(F53&lt;OFFSET($BN$9,CL53+3,0,1,1),((F53-OFFSET($BM$9,CL53+3,0,1,1))*OFFSET($CI$9,CL53+3,0,1,1))+OFFSET($BP$9,CL53+3,CQ53,1,1),0))))))</f>
        <v>0</v>
      </c>
      <c r="CV53" s="51">
        <f ca="1">IF($F53&lt;OFFSET($BM$9,$CL53-1,0,1,1),0,IF($F53&lt;OFFSET($BN$9,$CL53-1,0,1,1),IF(AND($H53&gt;2.4,Z53&lt;&gt;"e",Z53&lt;&gt;"f"),CZ53*2.4/$H53,CZ53),IF($F53&lt;OFFSET($BN$9,$CL53+0,0,1,1),IF(AND($H53&gt;2.4,Z53&lt;&gt;"e",Z53&lt;&gt;"f"),CZ53*2.4/$H53,CZ53),IF($F53&lt;OFFSET($BN$9,$CL53+1,0,1,1),IF(AND($H53&gt;2.4,Z53&lt;&gt;"e",Z53&lt;&gt;"f"),CZ53*2.4/$H53,CZ53),IF($F53&lt;OFFSET($BN$9,$CL53+2,0,1,1),IF(AND($H53&gt;2.4,Z53&lt;&gt;"e",Z53&lt;&gt;"f"),CZ53*2.4/$H53,CZ53),IF($F53&lt;OFFSET($BN$9,$CL53+3,0,1,1),IF(AND($H53&gt;2.4,Z53&lt;&gt;"e",Z53&lt;&gt;"f"),CZ53*2.4/$H53,CZ53),0)))))*COS(RADIANS($G53)))</f>
        <v>0</v>
      </c>
      <c r="CW53" s="51">
        <f t="shared" ca="1" si="17"/>
        <v>0</v>
      </c>
      <c r="CX53" s="51">
        <f ca="1">IF(CS53&gt;$CR53,$CR53,CS53)</f>
        <v>0</v>
      </c>
      <c r="CY53" s="51">
        <f ca="1">CW53*F53</f>
        <v>0</v>
      </c>
      <c r="CZ53" s="51">
        <f ca="1">IF($CU53&gt;$CR53,$CR53,$CU53)</f>
        <v>0</v>
      </c>
      <c r="DA53" s="51">
        <f ca="1">IF(CV53&gt;CR53,CR53,CV53)</f>
        <v>0</v>
      </c>
      <c r="DB53" s="51">
        <f ca="1">DA53*F53</f>
        <v>0</v>
      </c>
      <c r="DC53" s="993">
        <v>1</v>
      </c>
      <c r="DD53" s="758" t="str">
        <f>IF(OR(D53=BG$12,D53=BG$13),"External",IF(D53=BG$14,"Internal"," "))</f>
        <v xml:space="preserve"> </v>
      </c>
      <c r="DE53" s="51" t="str">
        <f t="shared" ca="1" si="18"/>
        <v/>
      </c>
      <c r="DF53" s="52" t="str">
        <f t="shared" ca="1" si="19"/>
        <v xml:space="preserve"> </v>
      </c>
      <c r="DG53" s="51">
        <f ca="1">IF(F53&lt;OFFSET($BM$9,CN53-1,0,1,1),0,IF(F53&lt;OFFSET($BN$9,CN53-1,0,1,1),((F53-OFFSET($BM$9,CN53-1,0,1,1))*OFFSET($CH$9,CN53-1,0,1,1))+OFFSET($BO$9,CN53-1,CQ53,1,1),IF(F53&lt;OFFSET($BN$9,CN53+0,0,1,1),((F53-OFFSET($BM$9,CN53+0,0,1,1))*OFFSET($CH$9,CN53+0,0,1,1))+OFFSET($BO$9,CN53+0,CQ53,1,1),IF(F53&lt;OFFSET($BN$9,CN53+1,0,1,1),((F53-OFFSET($BM$9,CN53+1,0,1,1))*OFFSET($CH$9,CN53+1,0,1,1))+OFFSET($BO$9,CN53+1,CQ53,1,1),IF(F53&lt;OFFSET($BN$9,CN53+2,0,1,1),((F53-OFFSET($BM$9,CN53+2,0,1,1))*OFFSET($CH$9,CN53+2,0,1,1))+OFFSET($BO$9,CN53+2,CQ53,1,1),IF(F53&lt;OFFSET($BN$9,CN53+3,0,1,1),((F53-OFFSET($BM$9,CN53+3,0,1,1))*OFFSET($CH$9,CN53+3,0,1,1))+OFFSET($BO$9,CN53+3,CQ53,1,1),0))))))</f>
        <v>0</v>
      </c>
      <c r="DH53" s="51">
        <f ca="1">IF($F53&lt;OFFSET($BM$9,$CN53-1,0,1,1),0,IF($F53&lt;OFFSET($BN$9,$CN53-1,0,1,1),IF(AND($H53&gt;2.4,Z53&lt;&gt;"e",Z53&lt;&gt;"f"),DL53*2.4/$H53,DL53),IF($F53&lt;OFFSET($BN$9,$CN53+0,0,1,1),IF(AND($H53&gt;2.4,Z53&lt;&gt;"e",Z53&lt;&gt;"f"),DL53*2.4/$H53,DL53),IF($F53&lt;OFFSET($BN$9,$CN53+1,0,1,1),IF(AND($H53&gt;2.4,Z53&lt;&gt;"e",Z53&lt;&gt;"f"),DL53*2.4/$H53,DL53),IF($F53&lt;OFFSET($BN$9,$CN53+2,0,1,1),IF(AND($H53&gt;2.4,Z53&lt;&gt;"e",Z53&lt;&gt;"f"),DL53*2.4/$H53,DL53),IF($F53&lt;OFFSET($BN$9,$CN53+3,0,1,1),IF(AND($H53&gt;2.4,Z53&lt;&gt;"e",Z53&lt;&gt;"f"),DL53*2.4/$H53,DL53),0)))))*COS(RADIANS($G53)))</f>
        <v>0</v>
      </c>
      <c r="DI53" s="51">
        <f ca="1">IF(F53&lt;OFFSET($BM$9,CN53-1,0,1,1),0,IF(F53&lt;OFFSET($BN$9,CN53-1,0,1,1),((F53-OFFSET($BM$9,CN53-1,0,1,1))*OFFSET($CI$9,CN53-1,0,1,1))+OFFSET($BP$9,CN53-1,CQ53,1,1),IF(F53&lt;OFFSET($BN$9,CN53+0,0,1,1),((F53-OFFSET($BM$9,CN53+0,0,1,1))*OFFSET($CI$9,CN53+0,0,1,1))+OFFSET($BP$9,CN53+0,CQ53,1,1),IF(F53&lt;OFFSET($BN$9,CN53+1,0,1,1),((F53-OFFSET($BM$9,CN53+1,0,1,1))*OFFSET($CI$9,CN53+1,0,1,1))+OFFSET($BP$9,CN53+1,CQ53,1,1),IF(F53&lt;OFFSET($BN$9,CN53+2,0,1,1),((F53-OFFSET($BM$9,CN53+2,0,1,1))*OFFSET($CI$9,CN53+2,0,1,1))+OFFSET($BP$9,CN53+2,CQ53,1,1),IF(F53&lt;OFFSET($BN$9,CN53+3,0,1,1),((F53-OFFSET($BM$9,CN53+3,0,1,1))*OFFSET($CI$9,CN53+3,0,1,1))+OFFSET($BP$9,CN53+3,CQ53,1,1),0))))))</f>
        <v>0</v>
      </c>
      <c r="DJ53" s="51">
        <f ca="1">IF($F53&lt;OFFSET($BM$9,$CN53-1,0,1,1),0,IF($F53&lt;OFFSET($BN$9,$CN53-1,0,1,1),IF(AND($H53&gt;2.4,Z53&lt;&gt;"e",Z53&lt;&gt;"f"),DN53*2.4/$H53,DN53),IF($F53&lt;OFFSET($BN$9,$CN53+0,0,1,1),IF(AND($H53&gt;2.4,Z53&lt;&gt;"e",Z53&lt;&gt;"f"),DN53*2.4/$H53,DN53),IF($F53&lt;OFFSET($BN$9,$CN53+1,0,1,1),IF(AND($H53&gt;2.4,Z53&lt;&gt;"e",Z53&lt;&gt;"f"),DN53*2.4/$H53,DN53),IF($F53&lt;OFFSET($BN$9,$CN53+2,0,1,1),IF(AND($H53&gt;2.4,Z53&lt;&gt;"e",Z53&lt;&gt;"f"),DN53*2.4/$H53,DN53),IF($F53&lt;OFFSET($BN$9,$CN53+3,0,1,1),IF(AND($H53&gt;2.4,Z53&lt;&gt;"e",Z53&lt;&gt;"f"),DN53*2.4/$H53,DN53),0)))))*COS(RADIANS($G53)))</f>
        <v>0</v>
      </c>
      <c r="DK53" s="51"/>
      <c r="DL53" s="51">
        <f ca="1">IF(DG53&gt;$CR53,$CR53,DG53)</f>
        <v>0</v>
      </c>
      <c r="DM53" s="51"/>
      <c r="DN53" s="51">
        <f ca="1">IF(DI53&gt;$CR53,$CR53,DI53)</f>
        <v>0</v>
      </c>
      <c r="DO53" s="435">
        <f ca="1">IF(DH53&gt;$CR53,$CR53,DH53)</f>
        <v>0</v>
      </c>
      <c r="DP53" s="435">
        <f ca="1">DO53*F53</f>
        <v>0</v>
      </c>
      <c r="DQ53" s="436">
        <f ca="1">IF(DJ53&gt;$CR53,$CR53,DJ53)</f>
        <v>0</v>
      </c>
      <c r="DR53" s="437">
        <f ca="1">DQ53*F53</f>
        <v>0</v>
      </c>
      <c r="DS53" s="426">
        <f ca="1">OFFSET($CH$9,CL53-1,-15,1,1)</f>
        <v>0</v>
      </c>
      <c r="DT53" s="426">
        <f t="shared" ca="1" si="32"/>
        <v>0</v>
      </c>
      <c r="DU53" s="188">
        <f ca="1">IF(F53&lt;OFFSET($BM$9,DT53-1,0,1,1),0,IF(F53&lt;OFFSET($BN$9,DT53-1,0,1,1),((F53-OFFSET($BM$9,DT53-1,0,1,1))*OFFSET($CH$9,DT53-1,0,1,1))+OFFSET($BO$9,DT53-1,CQ53,1,1),IF(F53&lt;OFFSET($BN$9,DT53+0,0,1,1),((F53-OFFSET($BM$9,DT53+0,0,1,1))*OFFSET($CH$9,DT53+0,0,1,1))+OFFSET($BO$9,DT53+0,CQ53,1,1),IF(F53&lt;OFFSET($BN$9,DT53+1,0,1,1),((F53-OFFSET($BM$9,DT53+1,0,1,1))*OFFSET($CH$9,DT53+1,0,1,1))+OFFSET($BO$9,DT53+1,CQ53,1,1),IF(F53&lt;OFFSET($BN$9,DT53+2,0,1,1),((F53-OFFSET($BM$9,DT53+2,0,1,1))*OFFSET($CH$9,DT53+2,0,1,1))+OFFSET($BO$9,DT53+2,CQ53,1,1),IF(F53&lt;OFFSET($BN$9,DT53+3,0,1,1),((F53-OFFSET($BM$9,DT53+3,0,1,1))*OFFSET($CH$9,DT53+3,0,1,1))+OFFSET($BO$9,DT53+3,CQ53,1,1),0))))))</f>
        <v>0</v>
      </c>
      <c r="DV53" s="51">
        <f ca="1">IF($F53&lt;OFFSET($BM$9,$DT53-1,0,1,1),0,IF($F53&lt;OFFSET($BN$9,$DT53-1,0,1,1),IF(AND($H53&gt;2.4,Z53&lt;&gt;"e",Z53&lt;&gt;"f"),DZ53*2.4/$H53,DZ53),IF($F53&lt;OFFSET($BN$9,$DT53+0,0,1,1),IF(AND($H53&gt;2.4,Z53&lt;&gt;"e",Z53&lt;&gt;"f"),DZ53*2.4/$H53,DZ53),IF($F53&lt;OFFSET($BN$9,$DT53+1,0,1,1),IF(AND($H53&gt;2.4,Z53&lt;&gt;"e",Z53&lt;&gt;"f"),DZ53*2.4/$H53,DZ53),IF($F53&lt;OFFSET($BN$9,$DT53+2,0,1,1),IF(AND($H53&gt;2.4,Z53&lt;&gt;"e",Z53&lt;&gt;"f"),DZ53*2.4/$H53,DZ53),IF($F53&lt;OFFSET($BN$9,$DT53+3,0,1,1),IF(AND($H53&gt;2.4,Z53&lt;&gt;"e",Z53&lt;&gt;"f"),DZ53*2.4/$H53,DZ53),0)))))*COS(RADIANS($G53)))</f>
        <v>0</v>
      </c>
      <c r="DW53" s="188">
        <f ca="1">IF(F53&lt;OFFSET($BM$9,DT53-1,0,1,1),0,IF(F53&lt;OFFSET($BN$9,DT53-1,0,1,1),((F53-OFFSET($BM$9,DT53-1,0,1,1))*OFFSET($CI$9,DT53-1,0,1,1))+OFFSET($BP$9,DT53-1,CQ53,1,1),IF(F53&lt;OFFSET($BN$9,DT53+0,0,1,1),((F53-OFFSET($BM$9,DT53+0,0,1,1))*OFFSET($CI$9,DT53+0,0,1,1))+OFFSET($BP$9,DT53+0,CQ53,1,1),IF(F53&lt;OFFSET($BN$9,DT53+1,0,1,1),((F53-OFFSET($BM$9,DT53+1,0,1,1))*OFFSET($CI$9,DT53+1,0,1,1))+OFFSET($BP$9,DT53+1,CQ53,1,1),IF(F53&lt;OFFSET($BN$9,DT53+2,0,1,1),((F53-OFFSET($BM$9,DT53+2,0,1,1))*OFFSET($CI$9,DT53+2,0,1,1))+OFFSET($BP$9,DT53+2,CQ53,1,1),IF(F53&lt;OFFSET($BN$9,DT53+3,0,1,1),((F53-OFFSET($BM$9,DT53+3,0,1,1))*OFFSET($CI$9,DT53+3,0,1,1))+OFFSET($BP$9,DT53+3,CQ53,1,1),0))))))</f>
        <v>0</v>
      </c>
      <c r="DX53" s="51">
        <f ca="1">IF($F53&lt;OFFSET($BM$9,$DT53-1,0,1,1),0,IF($F53&lt;OFFSET($BN$9,$DT53-1,0,1,1),IF(AND($H53&gt;2.4,Z53&lt;&gt;"e",Z53&lt;&gt;"f"),EB53*2.4/$H53,EB53),IF($F53&lt;OFFSET($BN$9,$DT53+0,0,1,1),IF(AND($H53&gt;2.4,Z53&lt;&gt;"e",Z53&lt;&gt;"f"),EB53*2.4/$H53,EB53),IF($F53&lt;OFFSET($BN$9,$DT53+1,0,1,1),IF(AND($H53&gt;2.4,Z53&lt;&gt;"e",Z53&lt;&gt;"f"),EB53*2.4/$H53,EB53),IF($F53&lt;OFFSET($BN$9,$DT53+2,0,1,1),IF(AND($H53&gt;2.4,Z53&lt;&gt;"e",Z53&lt;&gt;"f"),EB53*2.4/$H53,EB53),IF($F53&lt;OFFSET($BN$9,$DT53+3,0,1,1),IF(AND($H53&gt;2.4,Z53&lt;&gt;"e",Z53&lt;&gt;"f"),EB53*2.4/$H53,EB53),0)))))*COS(RADIANS($G53)))</f>
        <v>0</v>
      </c>
      <c r="DY53" s="188"/>
      <c r="DZ53" s="188">
        <f ca="1">IF(DU53&gt;$CR53,$CR53,DU53)</f>
        <v>0</v>
      </c>
      <c r="EA53" s="188"/>
      <c r="EB53" s="188">
        <f ca="1">IF(DW53&gt;$CR53,$CR53,DW53)</f>
        <v>0</v>
      </c>
      <c r="EC53" s="435">
        <f ca="1">IF(DV53&gt;$CR53,$CR53,DV53)</f>
        <v>0</v>
      </c>
      <c r="ED53" s="435">
        <f ca="1">EC53*F53</f>
        <v>0</v>
      </c>
      <c r="EE53" s="436">
        <f ca="1">IF(DX53&gt;$CR53,$CR53,DX53)</f>
        <v>0</v>
      </c>
      <c r="EF53" s="437">
        <f ca="1">EE53*F53</f>
        <v>0</v>
      </c>
      <c r="EG53" s="613" t="str">
        <f>IF(D53=BG$12,BG$12,"")</f>
        <v/>
      </c>
      <c r="EH53" s="614" t="str">
        <f>IF(D53=BG$13,BG$13,"")</f>
        <v/>
      </c>
      <c r="EI53" s="611">
        <f>IF(EG53=BG$12,M53,0)</f>
        <v>0</v>
      </c>
      <c r="EJ53" s="451">
        <f>IF(EG53=BG$12,O53,0)</f>
        <v>0</v>
      </c>
      <c r="EK53" s="451">
        <f>IF(EH53=BG$13,M53,0)</f>
        <v>0</v>
      </c>
      <c r="EL53" s="612">
        <f>IF(EH53=BG$13,O53,0)</f>
        <v>0</v>
      </c>
      <c r="EM53" s="426" t="str">
        <f ca="1">IF(AND(Z53&lt;&gt;"t",Z53&lt;&gt;"f"),"",IF(AND(EN53=$BH$11,K53&lt;&gt;EN53),EM$4,IF(AND(EN53=$BH$12,K53=$BH$13),EM$4,IF(AND(EN53=$BH$12,K53=$BH$14),EM$4,IF(AND(EN53=$BH$13,K53=$BH$14),$EM$4,IF(EN53=$BH$14,$EM$4,""))))))</f>
        <v/>
      </c>
      <c r="EN53" s="489" t="str">
        <f>BG$24</f>
        <v>No Floor</v>
      </c>
      <c r="EO53" s="426" t="str">
        <f>K53</f>
        <v xml:space="preserve"> </v>
      </c>
      <c r="EP53" s="497" t="str">
        <f ca="1">IF(AND(Z53&lt;&gt;"t",Z53&lt;&gt;"f"),"",IF(AND(EN53=$BH$14,K53&lt;&gt;EN53),EP$4,IF(AND(EN53=$BH$13,K53=$BH$12),EP$4,IF(AND(EN53=$BH$13,K53=$BH$11),EP$4,IF(AND(EN53=$BH$12,K53=$BH$11),$EP$4,IF(EN53=$BH$11,"Earth",""))))))</f>
        <v/>
      </c>
      <c r="EQ53" s="430" t="str">
        <f ca="1">IF(Z53&lt;&gt;"t","",IF(EQ$5=2,IF(K53&lt;&gt;BH$11,EQ$7," ")))</f>
        <v/>
      </c>
      <c r="ER53" s="439" t="str">
        <f ca="1">IF(H53=0," ",H53)</f>
        <v xml:space="preserve"> </v>
      </c>
      <c r="ES53" s="440" t="str">
        <f ca="1">IF(ER53&lt;&gt;" ",IF(ER53&lt;&gt;ER$7,"Changed",""),"")</f>
        <v/>
      </c>
      <c r="ET53" s="440">
        <f t="shared" ca="1" si="20"/>
        <v>0</v>
      </c>
      <c r="EU53" s="426" t="str">
        <f ca="1">IF(I53=" "," ",IF(F53&lt;OFFSET($BM$9,CL53-1,0,1,1),1,""))</f>
        <v xml:space="preserve"> </v>
      </c>
      <c r="EW53" s="427"/>
      <c r="EY53" s="421"/>
    </row>
    <row r="54" spans="1:155" ht="17.100000000000001" customHeight="1" thickBot="1">
      <c r="A54" s="2685"/>
      <c r="B54" s="689" t="s">
        <v>246</v>
      </c>
      <c r="C54" s="684" t="str">
        <f>IF(OR(F54=0,I54="",I54=" ")," ",$V54)</f>
        <v xml:space="preserve"> </v>
      </c>
      <c r="D54" s="1033"/>
      <c r="E54" s="1360"/>
      <c r="F54" s="202"/>
      <c r="G54" s="1416"/>
      <c r="H54" s="1417" t="str">
        <f ca="1">IF(OR(F54=0,Z54="E",Z54="f")," ",'Project Demand'!E$55)</f>
        <v xml:space="preserve"> </v>
      </c>
      <c r="I54" s="631" t="str">
        <f>IF($I$6&lt;&gt;$BG$8," ",AB54)</f>
        <v xml:space="preserve"> </v>
      </c>
      <c r="J54" s="44" t="str">
        <f ca="1">IF(OR(I54=" ",I54="")," ",OFFSET($BO$9,CL54-1,0-4,1,1))</f>
        <v xml:space="preserve"> </v>
      </c>
      <c r="K54" s="55" t="str">
        <f>IF(OR(I54=" ",I54="")," ",IF(OR(Z54="e",Z54="h"),"SD",IF(BG$24=BH$11,BH$13,BG$24)))</f>
        <v xml:space="preserve"> </v>
      </c>
      <c r="L54" s="49">
        <f ca="1">CW54</f>
        <v>0</v>
      </c>
      <c r="M54" s="49">
        <f ca="1">CY54</f>
        <v>0</v>
      </c>
      <c r="N54" s="50">
        <f t="shared" ca="1" si="36"/>
        <v>0</v>
      </c>
      <c r="O54" s="126">
        <f t="shared" ca="1" si="36"/>
        <v>0</v>
      </c>
      <c r="P54" s="140"/>
      <c r="Q54" s="752" t="str">
        <f ca="1">IF(AND(OR(Z54="t",Z54="f"),K54=$BH$11),"No Floor!  Change Floor Type",IF(OR(I54=" ",I54="")," ",IF(F54&lt;OFFSET($BM$9,CL54-1,0,1,1),"check L(m)",DE54&amp;IF(AND(DP54&gt;=CY54,DR54&gt;=DB54),IF(AND(ED54&gt;=DP54,EF54&gt;=DR54),CONCATENATE(DS54," will provide same result"),CONCATENATE(CO54," will provide same result")),IF((DP54&gt;=CY54),CONCATENATE(CO54," provides same result in WIND"),IF((DR54&gt;=DB54),CONCATENATE(CO54," provides same result in EQ"),""))))))&amp;IF(ISERROR(FIND("pile",I54,1)),"",IF(INT(F54)&lt;&gt;F54,"Pile!  Use Whole Numbers Only",""))</f>
        <v xml:space="preserve"> </v>
      </c>
      <c r="R54" s="52"/>
      <c r="S54" s="1372"/>
      <c r="T54" s="1372"/>
      <c r="U54" s="1377"/>
      <c r="V54" s="52" t="str">
        <f ca="1">IF(AND(B$5=$BF$9,OR(I54=BH$16,I54=BH$17))," ",IF(ISNUMBER(B$50),(CONCATENATE(B$50,".",W54)),(CONCATENATE(B$50,W54))))</f>
        <v>H0</v>
      </c>
      <c r="W54" s="9">
        <f ca="1">W53+X54</f>
        <v>0</v>
      </c>
      <c r="X54" s="9">
        <f>IF(AND(B$5=$BF$9,OR($I54=$BH$16,$I54=$BH$17,$I54=" ",$I54="",$F54=0)),0,IF(OR($I54=" ",$I54="",$F54=0),0,1))</f>
        <v>0</v>
      </c>
      <c r="Y54" s="896"/>
      <c r="Z54" s="52" t="str">
        <f ca="1">IF(I54=" "," ",OFFSET($BM$9,$CL54-1,8,1,1))</f>
        <v xml:space="preserve"> </v>
      </c>
      <c r="AA54" s="51" t="str">
        <f>IF(G54&gt;=45,"WA","")</f>
        <v/>
      </c>
      <c r="AB54" s="1364" t="str">
        <f>IF(OR(E54=" ",E54="")," ",(IF(F54&lt;&gt;"",IF(OR(D54=$BG$12,D54=$BG$13),IF(E54&lt;&gt;$BG$17,$BF$20,$BF$21),IF(E54&lt;&gt;$BG$17,$BF$20,$BF$21))," ")))</f>
        <v xml:space="preserve"> </v>
      </c>
      <c r="AC54" s="1"/>
      <c r="AJ54" s="2"/>
      <c r="AK54" s="63" t="str">
        <f>'Custom Elements'!B15</f>
        <v xml:space="preserve">  </v>
      </c>
      <c r="AL54" s="860" t="str">
        <f>'Custom Elements'!C15</f>
        <v>Custom7</v>
      </c>
      <c r="AM54" s="11">
        <f>'Custom Elements'!D15</f>
        <v>9.9999999999999996E-76</v>
      </c>
      <c r="AN54" s="7">
        <f>'Custom Elements'!E15</f>
        <v>0</v>
      </c>
      <c r="AO54" s="7">
        <f>'Custom Elements'!F15</f>
        <v>0</v>
      </c>
      <c r="AP54" s="762" t="str">
        <f>'Custom Elements'!G15</f>
        <v>B</v>
      </c>
      <c r="AQ54" s="1637" t="str">
        <f>'Custom Elements'!H15</f>
        <v>Single</v>
      </c>
      <c r="AR54" s="1637" t="str">
        <f>'Custom Elements'!I15</f>
        <v>Yes</v>
      </c>
      <c r="AS54" s="442" t="str">
        <f>'Custom Elements'!J15</f>
        <v>Yes</v>
      </c>
      <c r="AT54" s="1150"/>
      <c r="AU54"/>
      <c r="AY54"/>
      <c r="AZ54" s="442" t="str">
        <f>IF(AND('Custom Elements'!J15="Yes",'Custom Elements'!I15="Yes"),"T",IF('Custom Elements'!J15="Yes","F",IF('Custom Elements'!I15="Yes","H","E")))</f>
        <v>T</v>
      </c>
      <c r="BA54" s="51"/>
      <c r="BB54" s="51"/>
      <c r="BC54" s="51"/>
      <c r="BD54" s="638"/>
      <c r="BE54" s="2714" t="s">
        <v>956</v>
      </c>
      <c r="BF54" s="2714"/>
      <c r="BG54" s="2714"/>
      <c r="BH54" s="2714"/>
      <c r="BI54" s="759"/>
      <c r="BJ54" s="897">
        <f t="shared" si="33"/>
        <v>46</v>
      </c>
      <c r="BK54" s="1221"/>
      <c r="BL54" s="767"/>
      <c r="BM54" s="776">
        <f>Table!D8</f>
        <v>1.8</v>
      </c>
      <c r="BN54" s="776">
        <v>999</v>
      </c>
      <c r="BO54" s="776">
        <f>Table!E8</f>
        <v>83</v>
      </c>
      <c r="BP54" s="926">
        <f>Table!F8</f>
        <v>64</v>
      </c>
      <c r="BQ54" s="1183"/>
      <c r="BR54" s="908"/>
      <c r="BS54" s="776"/>
      <c r="BT54" s="776"/>
      <c r="BU54" s="926" t="s">
        <v>242</v>
      </c>
      <c r="BV54" s="433"/>
      <c r="BW54" s="914"/>
      <c r="BX54" s="926" t="str">
        <f>Table!H5</f>
        <v>Single</v>
      </c>
      <c r="CH54" s="908">
        <f>IF(BN54=999,0,(BO55-BO54)/(BN54-BM54))</f>
        <v>0</v>
      </c>
      <c r="CI54" s="926">
        <f>IF(BN54=999,0,(BP55-BP54)/(BN54-BM54))</f>
        <v>0</v>
      </c>
      <c r="CJ54" s="759"/>
      <c r="CK54" s="188"/>
      <c r="CL54" s="979">
        <f>VLOOKUP(I54,Prodlink,2,0)</f>
        <v>0</v>
      </c>
      <c r="CN54" s="497">
        <f t="shared" ca="1" si="31"/>
        <v>0</v>
      </c>
      <c r="CO54" s="497">
        <f ca="1">OFFSET($CH$9,CL54-1,-15,1,1)</f>
        <v>0</v>
      </c>
      <c r="CQ54" s="51">
        <v>0</v>
      </c>
      <c r="CR54" s="51">
        <f ca="1">IF(AND(Z54&lt;&gt;"t",Z54&lt;&gt;"f"),10000,IF(K54=$BH$11,0,IF(K54=$BH$12,$BH$23,IF(K54=$BH$13,$BH$24,10000))))</f>
        <v>10000</v>
      </c>
      <c r="CS54" s="51">
        <f ca="1">IF(F54&lt;OFFSET($BM$9,CL54-1,0,1,1),0,IF(F54&lt;OFFSET($BN$9,CL54-1,0,1,1),((F54-OFFSET($BM$9,CL54-1,0,1,1))*OFFSET($CH$9,CL54-1,0,1,1))+OFFSET($BO$9,CL54-1,CQ54,1,1),IF(F54&lt;OFFSET($BN$9,CL54+0,0,1,1),((F54-OFFSET($BM$9,CL54+0,0,1,1))*OFFSET($CH$9,CL54+0,0,1,1))+OFFSET($BO$9,CL54+0,CQ54,1,1),IF(F54&lt;OFFSET($BN$9,CL54+1,0,1,1),((F54-OFFSET($BM$9,CL54+1,0,1,1))*OFFSET($CH$9,CL54+1,0,1,1))+OFFSET($BO$9,CL54+1,CQ54,1,1),IF(F54&lt;OFFSET($BN$9,CL54+2,0,1,1),((F54-OFFSET($BM$9,CL54+2,0,1,1))*OFFSET($CH$9,CL54+2,0,1,1))+OFFSET($BO$9,CL54+2,CQ54,1,1),IF(F54&lt;OFFSET($BN$9,CL54+3,0,1,1),((F54-OFFSET($BM$9,CL54+3,0,1,1))*OFFSET($CH$9,CL54+3,0,1,1))+OFFSET($BO$9,CL54+3,CQ54,1,1),0))))))</f>
        <v>0</v>
      </c>
      <c r="CT54" s="51">
        <f ca="1">IF($F54&lt;OFFSET($BM$9,$CL54-1,0,1,1),0,IF($F54&lt;OFFSET($BN$9,$CL54-1,0,1,1),IF(AND($H54&gt;2.4,Z54&lt;&gt;"e",Z54&lt;&gt;"f"),CX54*2.4/$H54,CX54),IF($F54&lt;OFFSET($BN$9,$CL54+0,0,1,1),IF(AND($H54&gt;2.4,Z54&lt;&gt;"e",Z54&lt;&gt;"f"),CX54*2.4/$H54,CX54),IF($F54&lt;OFFSET($BN$9,$CL54+1,0,1,1),IF(AND($H54&gt;2.4,Z54&lt;&gt;"e",Z54&lt;&gt;"f"),CX54*2.4/$H54,CX54),IF($F54&lt;OFFSET($BN$9,CL54+2,0,1,1),IF(AND($H54&gt;2.4,Z54&lt;&gt;"e",Z54&lt;&gt;"f"),CX54*2.4/$H54,CX54),IF($F54&lt;OFFSET($BN$9,CL54+3,0,1,1),IF(AND($H54&gt;2.4,Z54&lt;&gt;"e",Z54&lt;&gt;"f"),CX54*2.4/$H54,CX54),0)))))*COS(RADIANS($G54)))</f>
        <v>0</v>
      </c>
      <c r="CU54" s="51">
        <f ca="1">IF(F54&lt;OFFSET($BM$9,CL54-1,0,1,1),0,IF(F54&lt;OFFSET($BN$9,CL54-1,0,1,1),((F54-OFFSET($BM$9,CL54-1,0,1,1))*OFFSET($CI$9,CL54-1,0,1,1))+OFFSET($BP$9,CL54-1,CQ54,1,1),IF(F54&lt;OFFSET($BN$9,CL54+0,0,1,1),((F54-OFFSET($BM$9,CL54+0,0,1,1))*OFFSET($CI$9,CL54+0,0,1,1))+OFFSET($BP$9,CL54+0,CQ54,1,1),IF(F54&lt;OFFSET($BN$9,CL54+1,0,1,1),((F54-OFFSET($BM$9,CL54+1,0,1,1))*OFFSET($CI$9,CL54+1,0,1,1))+OFFSET($BP$9,CL54+1,CQ54,1,1),IF(F54&lt;OFFSET($BN$9,CL54+2,0,1,1),((F54-OFFSET($BM$9,CL54+2,0,1,1))*OFFSET($CI$9,CL54+2,0,1,1))+OFFSET($BP$9,CL54+2,CQ54,1,1),IF(F54&lt;OFFSET($BN$9,CL54+3,0,1,1),((F54-OFFSET($BM$9,CL54+3,0,1,1))*OFFSET($CI$9,CL54+3,0,1,1))+OFFSET($BP$9,CL54+3,CQ54,1,1),0))))))</f>
        <v>0</v>
      </c>
      <c r="CV54" s="51">
        <f ca="1">IF($F54&lt;OFFSET($BM$9,$CL54-1,0,1,1),0,IF($F54&lt;OFFSET($BN$9,$CL54-1,0,1,1),IF(AND($H54&gt;2.4,Z54&lt;&gt;"e",Z54&lt;&gt;"f"),CZ54*2.4/$H54,CZ54),IF($F54&lt;OFFSET($BN$9,$CL54+0,0,1,1),IF(AND($H54&gt;2.4,Z54&lt;&gt;"e",Z54&lt;&gt;"f"),CZ54*2.4/$H54,CZ54),IF($F54&lt;OFFSET($BN$9,$CL54+1,0,1,1),IF(AND($H54&gt;2.4,Z54&lt;&gt;"e",Z54&lt;&gt;"f"),CZ54*2.4/$H54,CZ54),IF($F54&lt;OFFSET($BN$9,$CL54+2,0,1,1),IF(AND($H54&gt;2.4,Z54&lt;&gt;"e",Z54&lt;&gt;"f"),CZ54*2.4/$H54,CZ54),IF($F54&lt;OFFSET($BN$9,$CL54+3,0,1,1),IF(AND($H54&gt;2.4,Z54&lt;&gt;"e",Z54&lt;&gt;"f"),CZ54*2.4/$H54,CZ54),0)))))*COS(RADIANS($G54)))</f>
        <v>0</v>
      </c>
      <c r="CW54" s="51">
        <f t="shared" ca="1" si="17"/>
        <v>0</v>
      </c>
      <c r="CX54" s="51">
        <f ca="1">IF(CS54&gt;$CR54,$CR54,CS54)</f>
        <v>0</v>
      </c>
      <c r="CY54" s="51">
        <f ca="1">CW54*F54</f>
        <v>0</v>
      </c>
      <c r="CZ54" s="51">
        <f ca="1">IF($CU54&gt;$CR54,$CR54,$CU54)</f>
        <v>0</v>
      </c>
      <c r="DA54" s="51">
        <f ca="1">IF(CV54&gt;CR54,CR54,CV54)</f>
        <v>0</v>
      </c>
      <c r="DB54" s="51">
        <f ca="1">DA54*F54</f>
        <v>0</v>
      </c>
      <c r="DC54" s="993">
        <v>1</v>
      </c>
      <c r="DD54" s="758" t="str">
        <f>IF(OR(D54=BG$12,D54=BG$13),"External",IF(D54=BG$14,"Internal"," "))</f>
        <v xml:space="preserve"> </v>
      </c>
      <c r="DE54" s="51" t="str">
        <f t="shared" ca="1" si="18"/>
        <v/>
      </c>
      <c r="DF54" s="52" t="str">
        <f t="shared" ca="1" si="19"/>
        <v xml:space="preserve"> </v>
      </c>
      <c r="DG54" s="51">
        <f ca="1">IF(F54&lt;OFFSET($BM$9,CN54-1,0,1,1),0,IF(F54&lt;OFFSET($BN$9,CN54-1,0,1,1),((F54-OFFSET($BM$9,CN54-1,0,1,1))*OFFSET($CH$9,CN54-1,0,1,1))+OFFSET($BO$9,CN54-1,CQ54,1,1),IF(F54&lt;OFFSET($BN$9,CN54+0,0,1,1),((F54-OFFSET($BM$9,CN54+0,0,1,1))*OFFSET($CH$9,CN54+0,0,1,1))+OFFSET($BO$9,CN54+0,CQ54,1,1),IF(F54&lt;OFFSET($BN$9,CN54+1,0,1,1),((F54-OFFSET($BM$9,CN54+1,0,1,1))*OFFSET($CH$9,CN54+1,0,1,1))+OFFSET($BO$9,CN54+1,CQ54,1,1),IF(F54&lt;OFFSET($BN$9,CN54+2,0,1,1),((F54-OFFSET($BM$9,CN54+2,0,1,1))*OFFSET($CH$9,CN54+2,0,1,1))+OFFSET($BO$9,CN54+2,CQ54,1,1),IF(F54&lt;OFFSET($BN$9,CN54+3,0,1,1),((F54-OFFSET($BM$9,CN54+3,0,1,1))*OFFSET($CH$9,CN54+3,0,1,1))+OFFSET($BO$9,CN54+3,CQ54,1,1),0))))))</f>
        <v>0</v>
      </c>
      <c r="DH54" s="51">
        <f ca="1">IF($F54&lt;OFFSET($BM$9,$CN54-1,0,1,1),0,IF($F54&lt;OFFSET($BN$9,$CN54-1,0,1,1),IF(AND($H54&gt;2.4,Z54&lt;&gt;"e",Z54&lt;&gt;"f"),DL54*2.4/$H54,DL54),IF($F54&lt;OFFSET($BN$9,$CN54+0,0,1,1),IF(AND($H54&gt;2.4,Z54&lt;&gt;"e",Z54&lt;&gt;"f"),DL54*2.4/$H54,DL54),IF($F54&lt;OFFSET($BN$9,$CN54+1,0,1,1),IF(AND($H54&gt;2.4,Z54&lt;&gt;"e",Z54&lt;&gt;"f"),DL54*2.4/$H54,DL54),IF($F54&lt;OFFSET($BN$9,$CN54+2,0,1,1),IF(AND($H54&gt;2.4,Z54&lt;&gt;"e",Z54&lt;&gt;"f"),DL54*2.4/$H54,DL54),IF($F54&lt;OFFSET($BN$9,$CN54+3,0,1,1),IF(AND($H54&gt;2.4,Z54&lt;&gt;"e",Z54&lt;&gt;"f"),DL54*2.4/$H54,DL54),0)))))*COS(RADIANS($G54)))</f>
        <v>0</v>
      </c>
      <c r="DI54" s="51">
        <f ca="1">IF(F54&lt;OFFSET($BM$9,CN54-1,0,1,1),0,IF(F54&lt;OFFSET($BN$9,CN54-1,0,1,1),((F54-OFFSET($BM$9,CN54-1,0,1,1))*OFFSET($CI$9,CN54-1,0,1,1))+OFFSET($BP$9,CN54-1,CQ54,1,1),IF(F54&lt;OFFSET($BN$9,CN54+0,0,1,1),((F54-OFFSET($BM$9,CN54+0,0,1,1))*OFFSET($CI$9,CN54+0,0,1,1))+OFFSET($BP$9,CN54+0,CQ54,1,1),IF(F54&lt;OFFSET($BN$9,CN54+1,0,1,1),((F54-OFFSET($BM$9,CN54+1,0,1,1))*OFFSET($CI$9,CN54+1,0,1,1))+OFFSET($BP$9,CN54+1,CQ54,1,1),IF(F54&lt;OFFSET($BN$9,CN54+2,0,1,1),((F54-OFFSET($BM$9,CN54+2,0,1,1))*OFFSET($CI$9,CN54+2,0,1,1))+OFFSET($BP$9,CN54+2,CQ54,1,1),IF(F54&lt;OFFSET($BN$9,CN54+3,0,1,1),((F54-OFFSET($BM$9,CN54+3,0,1,1))*OFFSET($CI$9,CN54+3,0,1,1))+OFFSET($BP$9,CN54+3,CQ54,1,1),0))))))</f>
        <v>0</v>
      </c>
      <c r="DJ54" s="51">
        <f ca="1">IF($F54&lt;OFFSET($BM$9,$CN54-1,0,1,1),0,IF($F54&lt;OFFSET($BN$9,$CN54-1,0,1,1),IF(AND($H54&gt;2.4,Z54&lt;&gt;"e",Z54&lt;&gt;"f"),DN54*2.4/$H54,DN54),IF($F54&lt;OFFSET($BN$9,$CN54+0,0,1,1),IF(AND($H54&gt;2.4,Z54&lt;&gt;"e",Z54&lt;&gt;"f"),DN54*2.4/$H54,DN54),IF($F54&lt;OFFSET($BN$9,$CN54+1,0,1,1),IF(AND($H54&gt;2.4,Z54&lt;&gt;"e",Z54&lt;&gt;"f"),DN54*2.4/$H54,DN54),IF($F54&lt;OFFSET($BN$9,$CN54+2,0,1,1),IF(AND($H54&gt;2.4,Z54&lt;&gt;"e",Z54&lt;&gt;"f"),DN54*2.4/$H54,DN54),IF($F54&lt;OFFSET($BN$9,$CN54+3,0,1,1),IF(AND($H54&gt;2.4,Z54&lt;&gt;"e",Z54&lt;&gt;"f"),DN54*2.4/$H54,DN54),0)))))*COS(RADIANS($G54)))</f>
        <v>0</v>
      </c>
      <c r="DK54" s="51"/>
      <c r="DL54" s="51">
        <f ca="1">IF(DG54&gt;$CR54,$CR54,DG54)</f>
        <v>0</v>
      </c>
      <c r="DM54" s="51"/>
      <c r="DN54" s="51">
        <f ca="1">IF(DI54&gt;$CR54,$CR54,DI54)</f>
        <v>0</v>
      </c>
      <c r="DO54" s="435">
        <f ca="1">IF(DH54&gt;$CR54,$CR54,DH54)</f>
        <v>0</v>
      </c>
      <c r="DP54" s="435">
        <f ca="1">DO54*F54</f>
        <v>0</v>
      </c>
      <c r="DQ54" s="436">
        <f ca="1">IF(DJ54&gt;$CR54,$CR54,DJ54)</f>
        <v>0</v>
      </c>
      <c r="DR54" s="437">
        <f ca="1">DQ54*F54</f>
        <v>0</v>
      </c>
      <c r="DS54" s="426">
        <f ca="1">OFFSET($CH$9,CL54-1,-15,1,1)</f>
        <v>0</v>
      </c>
      <c r="DT54" s="426">
        <f t="shared" ca="1" si="32"/>
        <v>0</v>
      </c>
      <c r="DU54" s="188">
        <f ca="1">IF(F54&lt;OFFSET($BM$9,DT54-1,0,1,1),0,IF(F54&lt;OFFSET($BN$9,DT54-1,0,1,1),((F54-OFFSET($BM$9,DT54-1,0,1,1))*OFFSET($CH$9,DT54-1,0,1,1))+OFFSET($BO$9,DT54-1,CQ54,1,1),IF(F54&lt;OFFSET($BN$9,DT54+0,0,1,1),((F54-OFFSET($BM$9,DT54+0,0,1,1))*OFFSET($CH$9,DT54+0,0,1,1))+OFFSET($BO$9,DT54+0,CQ54,1,1),IF(F54&lt;OFFSET($BN$9,DT54+1,0,1,1),((F54-OFFSET($BM$9,DT54+1,0,1,1))*OFFSET($CH$9,DT54+1,0,1,1))+OFFSET($BO$9,DT54+1,CQ54,1,1),IF(F54&lt;OFFSET($BN$9,DT54+2,0,1,1),((F54-OFFSET($BM$9,DT54+2,0,1,1))*OFFSET($CH$9,DT54+2,0,1,1))+OFFSET($BO$9,DT54+2,CQ54,1,1),IF(F54&lt;OFFSET($BN$9,DT54+3,0,1,1),((F54-OFFSET($BM$9,DT54+3,0,1,1))*OFFSET($CH$9,DT54+3,0,1,1))+OFFSET($BO$9,DT54+3,CQ54,1,1),0))))))</f>
        <v>0</v>
      </c>
      <c r="DV54" s="51">
        <f ca="1">IF($F54&lt;OFFSET($BM$9,$DT54-1,0,1,1),0,IF($F54&lt;OFFSET($BN$9,$DT54-1,0,1,1),IF(AND($H54&gt;2.4,Z54&lt;&gt;"e",Z54&lt;&gt;"f"),DZ54*2.4/$H54,DZ54),IF($F54&lt;OFFSET($BN$9,$DT54+0,0,1,1),IF(AND($H54&gt;2.4,Z54&lt;&gt;"e",Z54&lt;&gt;"f"),DZ54*2.4/$H54,DZ54),IF($F54&lt;OFFSET($BN$9,$DT54+1,0,1,1),IF(AND($H54&gt;2.4,Z54&lt;&gt;"e",Z54&lt;&gt;"f"),DZ54*2.4/$H54,DZ54),IF($F54&lt;OFFSET($BN$9,$DT54+2,0,1,1),IF(AND($H54&gt;2.4,Z54&lt;&gt;"e",Z54&lt;&gt;"f"),DZ54*2.4/$H54,DZ54),IF($F54&lt;OFFSET($BN$9,$DT54+3,0,1,1),IF(AND($H54&gt;2.4,Z54&lt;&gt;"e",Z54&lt;&gt;"f"),DZ54*2.4/$H54,DZ54),0)))))*COS(RADIANS($G54)))</f>
        <v>0</v>
      </c>
      <c r="DW54" s="188">
        <f ca="1">IF(F54&lt;OFFSET($BM$9,DT54-1,0,1,1),0,IF(F54&lt;OFFSET($BN$9,DT54-1,0,1,1),((F54-OFFSET($BM$9,DT54-1,0,1,1))*OFFSET($CI$9,DT54-1,0,1,1))+OFFSET($BP$9,DT54-1,CQ54,1,1),IF(F54&lt;OFFSET($BN$9,DT54+0,0,1,1),((F54-OFFSET($BM$9,DT54+0,0,1,1))*OFFSET($CI$9,DT54+0,0,1,1))+OFFSET($BP$9,DT54+0,CQ54,1,1),IF(F54&lt;OFFSET($BN$9,DT54+1,0,1,1),((F54-OFFSET($BM$9,DT54+1,0,1,1))*OFFSET($CI$9,DT54+1,0,1,1))+OFFSET($BP$9,DT54+1,CQ54,1,1),IF(F54&lt;OFFSET($BN$9,DT54+2,0,1,1),((F54-OFFSET($BM$9,DT54+2,0,1,1))*OFFSET($CI$9,DT54+2,0,1,1))+OFFSET($BP$9,DT54+2,CQ54,1,1),IF(F54&lt;OFFSET($BN$9,DT54+3,0,1,1),((F54-OFFSET($BM$9,DT54+3,0,1,1))*OFFSET($CI$9,DT54+3,0,1,1))+OFFSET($BP$9,DT54+3,CQ54,1,1),0))))))</f>
        <v>0</v>
      </c>
      <c r="DX54" s="51">
        <f ca="1">IF($F54&lt;OFFSET($BM$9,$DT54-1,0,1,1),0,IF($F54&lt;OFFSET($BN$9,$DT54-1,0,1,1),IF(AND($H54&gt;2.4,Z54&lt;&gt;"e",Z54&lt;&gt;"f"),EB54*2.4/$H54,EB54),IF($F54&lt;OFFSET($BN$9,$DT54+0,0,1,1),IF(AND($H54&gt;2.4,Z54&lt;&gt;"e",Z54&lt;&gt;"f"),EB54*2.4/$H54,EB54),IF($F54&lt;OFFSET($BN$9,$DT54+1,0,1,1),IF(AND($H54&gt;2.4,Z54&lt;&gt;"e",Z54&lt;&gt;"f"),EB54*2.4/$H54,EB54),IF($F54&lt;OFFSET($BN$9,$DT54+2,0,1,1),IF(AND($H54&gt;2.4,Z54&lt;&gt;"e",Z54&lt;&gt;"f"),EB54*2.4/$H54,EB54),IF($F54&lt;OFFSET($BN$9,$DT54+3,0,1,1),IF(AND($H54&gt;2.4,Z54&lt;&gt;"e",Z54&lt;&gt;"f"),EB54*2.4/$H54,EB54),0)))))*COS(RADIANS($G54)))</f>
        <v>0</v>
      </c>
      <c r="DY54" s="188"/>
      <c r="DZ54" s="188">
        <f ca="1">IF(DU54&gt;$CR54,$CR54,DU54)</f>
        <v>0</v>
      </c>
      <c r="EA54" s="188"/>
      <c r="EB54" s="188">
        <f ca="1">IF(DW54&gt;$CR54,$CR54,DW54)</f>
        <v>0</v>
      </c>
      <c r="EC54" s="435">
        <f ca="1">IF(DV54&gt;$CR54,$CR54,DV54)</f>
        <v>0</v>
      </c>
      <c r="ED54" s="435">
        <f ca="1">EC54*F54</f>
        <v>0</v>
      </c>
      <c r="EE54" s="436">
        <f ca="1">IF(DX54&gt;$CR54,$CR54,DX54)</f>
        <v>0</v>
      </c>
      <c r="EF54" s="437">
        <f ca="1">EE54*F54</f>
        <v>0</v>
      </c>
      <c r="EG54" s="613" t="str">
        <f>IF(D54=BG$12,BG$12,"")</f>
        <v/>
      </c>
      <c r="EH54" s="614" t="str">
        <f>IF(D54=BG$13,BG$13,"")</f>
        <v/>
      </c>
      <c r="EI54" s="611">
        <f>IF(EG54=BG$12,M54,0)</f>
        <v>0</v>
      </c>
      <c r="EJ54" s="451">
        <f>IF(EG54=BG$12,O54,0)</f>
        <v>0</v>
      </c>
      <c r="EK54" s="451">
        <f>IF(EH54=BG$13,M54,0)</f>
        <v>0</v>
      </c>
      <c r="EL54" s="612">
        <f>IF(EH54=BG$13,O54,0)</f>
        <v>0</v>
      </c>
      <c r="EM54" s="426" t="str">
        <f ca="1">IF(AND(Z54&lt;&gt;"t",Z54&lt;&gt;"f"),"",IF(AND(EN54=$BH$11,K54&lt;&gt;EN54),EM$4,IF(AND(EN54=$BH$12,K54=$BH$13),EM$4,IF(AND(EN54=$BH$12,K54=$BH$14),EM$4,IF(AND(EN54=$BH$13,K54=$BH$14),$EM$4,IF(EN54=$BH$14,$EM$4,""))))))</f>
        <v/>
      </c>
      <c r="EN54" s="489" t="str">
        <f>BG$24</f>
        <v>No Floor</v>
      </c>
      <c r="EO54" s="426" t="str">
        <f>K54</f>
        <v xml:space="preserve"> </v>
      </c>
      <c r="EP54" s="497" t="str">
        <f ca="1">IF(AND(Z54&lt;&gt;"t",Z54&lt;&gt;"f"),"",IF(AND(EN54=$BH$14,K54&lt;&gt;EN54),EP$4,IF(AND(EN54=$BH$13,K54=$BH$12),EP$4,IF(AND(EN54=$BH$13,K54=$BH$11),EP$4,IF(AND(EN54=$BH$12,K54=$BH$11),$EP$4,IF(EN54=$BH$11,"Earth",""))))))</f>
        <v/>
      </c>
      <c r="EQ54" s="430" t="str">
        <f ca="1">IF(Z54&lt;&gt;"t","",IF(EQ$5=2,IF(K54&lt;&gt;BH$11,EQ$7," ")))</f>
        <v/>
      </c>
      <c r="ER54" s="439" t="str">
        <f ca="1">IF(H54=0," ",H54)</f>
        <v xml:space="preserve"> </v>
      </c>
      <c r="ES54" s="440" t="str">
        <f ca="1">IF(ER54&lt;&gt;" ",IF(ER54&lt;&gt;ER$7,"Changed",""),"")</f>
        <v/>
      </c>
      <c r="ET54" s="440">
        <f t="shared" ca="1" si="20"/>
        <v>0</v>
      </c>
      <c r="EU54" s="426" t="str">
        <f ca="1">IF(I54=" "," ",IF(F54&lt;OFFSET($BM$9,CL54-1,0,1,1),1,""))</f>
        <v xml:space="preserve"> </v>
      </c>
      <c r="EW54" s="427"/>
      <c r="EY54" s="421"/>
    </row>
    <row r="55" spans="1:155" ht="17.100000000000001" customHeight="1" thickBot="1">
      <c r="A55" s="2685"/>
      <c r="B55" s="2686" t="s">
        <v>8</v>
      </c>
      <c r="C55" s="2687"/>
      <c r="D55" s="1461" t="s">
        <v>8</v>
      </c>
      <c r="E55" s="659"/>
      <c r="F55" s="659"/>
      <c r="G55" s="659"/>
      <c r="H55" s="659"/>
      <c r="I55" s="1462"/>
      <c r="J55" s="1365" t="str">
        <f ca="1">(CONCATENATE(B50,$BE$54))</f>
        <v>H  Line:  Min. Requirement</v>
      </c>
      <c r="K55" s="23"/>
      <c r="L55" s="1019">
        <f ca="1">L$5</f>
        <v>0</v>
      </c>
      <c r="M55" s="48">
        <f ca="1">IF(B50=B44,SUM(M50:M54)+M49,SUM(M50:M54))</f>
        <v>0</v>
      </c>
      <c r="N55" s="1019">
        <f ca="1">N$5</f>
        <v>0</v>
      </c>
      <c r="O55" s="125">
        <f ca="1">IF(B50=B44,SUM(O50:O54)+O49,SUM(O50:O54))</f>
        <v>0</v>
      </c>
      <c r="P55" s="139"/>
      <c r="Q55" s="42" t="str">
        <f ca="1">IF(B50=B56,"",IF(AND(M55&gt;0,L55=L$5,OR(M55&lt;$M$105,M55&lt;$BF$3)),"Achieved &lt; Min Req per Line",IF(AND(O55&gt;0,N55=N$5,OR(O55&lt;$O$105,O55&lt;$BF$3)),"Achieved &lt; Min Req per Line",IF(AND(M55&gt;0,L55&gt;M55),"More Required on this line",IF(AND(O55&gt;0,N55&gt;O55),"More Required on this line",IF(AND(L55&gt;0,L55&lt;$BF$3),$BE$59,IF(AND(N55&gt;0,N55&lt;$BF$3),$BE$59,"")))))))</f>
        <v/>
      </c>
      <c r="R55" s="52"/>
      <c r="S55" s="52"/>
      <c r="T55" s="52"/>
      <c r="U55" s="1378"/>
      <c r="V55" s="52"/>
      <c r="W55" s="898"/>
      <c r="X55" s="898"/>
      <c r="Y55" s="896"/>
      <c r="Z55" s="52"/>
      <c r="AA55" s="51"/>
      <c r="AB55" s="1364"/>
      <c r="AJ55" s="2"/>
      <c r="AK55" s="63" t="str">
        <f>'Custom Elements'!B16</f>
        <v xml:space="preserve">  </v>
      </c>
      <c r="AL55" s="860" t="str">
        <f>'Custom Elements'!C16</f>
        <v>Custom8</v>
      </c>
      <c r="AM55" s="11">
        <f>'Custom Elements'!D16</f>
        <v>9.9999999999999996E-76</v>
      </c>
      <c r="AN55" s="7">
        <f>'Custom Elements'!E16</f>
        <v>0</v>
      </c>
      <c r="AO55" s="7">
        <f>'Custom Elements'!F16</f>
        <v>0</v>
      </c>
      <c r="AP55" s="762" t="str">
        <f>'Custom Elements'!G16</f>
        <v>B</v>
      </c>
      <c r="AQ55" s="1637" t="str">
        <f>'Custom Elements'!H16</f>
        <v>Single</v>
      </c>
      <c r="AR55" s="1637" t="str">
        <f>'Custom Elements'!I16</f>
        <v>Yes</v>
      </c>
      <c r="AS55" s="442" t="str">
        <f>'Custom Elements'!J16</f>
        <v>Yes</v>
      </c>
      <c r="AT55" s="1150"/>
      <c r="AU55"/>
      <c r="AY55"/>
      <c r="AZ55" s="442" t="str">
        <f>IF(AND('Custom Elements'!J16="Yes",'Custom Elements'!I16="Yes"),"T",IF('Custom Elements'!J16="Yes","F",IF('Custom Elements'!I16="Yes","H","E")))</f>
        <v>T</v>
      </c>
      <c r="BA55" s="51"/>
      <c r="BB55" s="51"/>
      <c r="BC55" s="51"/>
      <c r="BD55" s="638"/>
      <c r="BE55" s="1020"/>
      <c r="BF55" s="1020"/>
      <c r="BG55" s="1020"/>
      <c r="BH55" s="479"/>
      <c r="BI55" s="759"/>
      <c r="BJ55" s="897">
        <f t="shared" si="33"/>
        <v>47</v>
      </c>
      <c r="BK55" s="1213"/>
      <c r="BL55" s="1214"/>
      <c r="BM55" s="1215"/>
      <c r="BN55" s="1215"/>
      <c r="BO55" s="1215"/>
      <c r="BP55" s="1215"/>
      <c r="BQ55" s="1216"/>
      <c r="BR55" s="1215"/>
      <c r="BS55" s="1215"/>
      <c r="BT55" s="1215"/>
      <c r="BU55" s="1215"/>
      <c r="BV55" s="1216"/>
      <c r="BW55" s="1217"/>
      <c r="BX55" s="1215"/>
      <c r="BY55" s="1216"/>
      <c r="BZ55" s="1216"/>
      <c r="CA55" s="1216"/>
      <c r="CB55" s="1216"/>
      <c r="CC55" s="1216"/>
      <c r="CD55" s="1216"/>
      <c r="CE55" s="1216"/>
      <c r="CF55" s="1216"/>
      <c r="CG55" s="1216"/>
      <c r="CH55" s="1215"/>
      <c r="CI55" s="1218"/>
      <c r="CJ55" s="759"/>
      <c r="CK55" s="188"/>
      <c r="CL55" s="979"/>
      <c r="CN55" s="497"/>
      <c r="CO55" s="497"/>
      <c r="CQ55" s="51"/>
      <c r="CR55" s="51"/>
      <c r="CS55" s="51"/>
      <c r="CT55" s="51" t="s">
        <v>8</v>
      </c>
      <c r="CU55" s="51"/>
      <c r="CV55" s="51" t="s">
        <v>8</v>
      </c>
      <c r="CW55" s="51"/>
      <c r="CX55" s="51"/>
      <c r="CY55" s="51"/>
      <c r="CZ55" s="51"/>
      <c r="DD55" s="758"/>
      <c r="DF55" s="52"/>
      <c r="DG55" s="51"/>
      <c r="DH55" s="51"/>
      <c r="DI55" s="51"/>
      <c r="DJ55" s="51"/>
      <c r="DK55" s="51"/>
      <c r="DL55" s="51"/>
      <c r="DM55" s="51"/>
      <c r="DN55" s="51"/>
      <c r="DO55" s="435"/>
      <c r="DP55" s="435"/>
      <c r="DQ55" s="868"/>
      <c r="DR55" s="868"/>
      <c r="DU55" s="188"/>
      <c r="DV55" s="188" t="s">
        <v>8</v>
      </c>
      <c r="DW55" s="188"/>
      <c r="DX55" s="188" t="s">
        <v>8</v>
      </c>
      <c r="DY55" s="188"/>
      <c r="DZ55" s="188"/>
      <c r="EA55" s="188"/>
      <c r="EB55" s="188"/>
      <c r="EC55" s="435"/>
      <c r="ED55" s="435"/>
      <c r="EE55" s="868"/>
      <c r="EF55" s="868"/>
      <c r="EG55" s="613"/>
      <c r="EH55" s="614"/>
      <c r="EI55" s="613"/>
      <c r="EJ55" s="435"/>
      <c r="EK55" s="451"/>
      <c r="EL55" s="612"/>
      <c r="EN55" s="438"/>
      <c r="ER55" s="441"/>
      <c r="ES55" s="440"/>
      <c r="ET55" s="440"/>
      <c r="EW55" s="427"/>
      <c r="EY55" s="421"/>
    </row>
    <row r="56" spans="1:155" ht="17.100000000000001" customHeight="1" thickBot="1">
      <c r="A56" s="2685"/>
      <c r="B56" s="1369" t="str">
        <f ca="1">S56</f>
        <v>I</v>
      </c>
      <c r="C56" s="684" t="str">
        <f>IF(OR(F56=0,I56="",I56=" ")," ",$V56)</f>
        <v xml:space="preserve"> </v>
      </c>
      <c r="D56" s="1033"/>
      <c r="E56" s="1360"/>
      <c r="F56" s="202"/>
      <c r="G56" s="1416"/>
      <c r="H56" s="1417" t="str">
        <f ca="1">IF(OR(F56=0,Z56="E",Z56="f")," ",'Project Demand'!E$55)</f>
        <v xml:space="preserve"> </v>
      </c>
      <c r="I56" s="631" t="str">
        <f>IF($I$6&lt;&gt;$BG$8," ",AB56)</f>
        <v xml:space="preserve"> </v>
      </c>
      <c r="J56" s="43" t="str">
        <f ca="1">IF(OR(I56=" ",I56="")," ",OFFSET($BO$9,CL56-1,0-4,1,1))</f>
        <v xml:space="preserve"> </v>
      </c>
      <c r="K56" s="55" t="str">
        <f>IF(OR(I56=" ",I56="")," ",IF(OR(Z56="e",Z56="h"),"SD",IF(BG$24=BH$11,BH$13,BG$24)))</f>
        <v xml:space="preserve"> </v>
      </c>
      <c r="L56" s="49">
        <f ca="1">CW56</f>
        <v>0</v>
      </c>
      <c r="M56" s="49">
        <f ca="1">CY56</f>
        <v>0</v>
      </c>
      <c r="N56" s="50">
        <f t="shared" ref="N56:O60" ca="1" si="37">DA56</f>
        <v>0</v>
      </c>
      <c r="O56" s="126">
        <f t="shared" ca="1" si="37"/>
        <v>0</v>
      </c>
      <c r="P56" s="140"/>
      <c r="Q56" s="752" t="str">
        <f ca="1">IF(AND(OR(Z56="t",Z56="f"),K56=$BH$11),"No Floor!  Change Floor Type",IF(OR(I56=" ",I56="")," ",IF(F56&lt;OFFSET($BM$9,CL56-1,0,1,1),"check L(m)",DE56&amp;IF(AND(DP56&gt;=CY56,DR56&gt;=DB56),IF(AND(ED56&gt;=DP56,EF56&gt;=DR56),CONCATENATE(DS56," will provide same result"),CONCATENATE(CO56," will provide same result")),IF((DP56&gt;=CY56),CONCATENATE(CO56," provides same result in WIND"),IF((DR56&gt;=DB56),CONCATENATE(CO56," provides same result in EQ"),""))))))&amp;IF(ISERROR(FIND("pile",I56,1)),"",IF(INT(F56)&lt;&gt;F56,"Pile!  Use Whole Numbers Only",""))</f>
        <v xml:space="preserve"> </v>
      </c>
      <c r="R56" s="52">
        <f ca="1">IF(T50&lt;&gt;2,(COLUMN(INDIRECT(B50&amp;1))+1),U56)</f>
        <v>9</v>
      </c>
      <c r="S56" s="1372" t="str">
        <f ca="1">SUBSTITUTE(ADDRESS(1,R56,4),"1","")</f>
        <v>I</v>
      </c>
      <c r="T56" s="451">
        <f ca="1">IF(AND(ISTEXT(B56),SUBSTITUTE(SUBSTITUTE(SUBSTITUTE(SUBSTITUTE(SUBSTITUTE(SUBSTITUTE(SUBSTITUTE(SUBSTITUTE(SUBSTITUTE(SUBSTITUTE(SUBSTITUTE(SUBSTITUTE(SUBSTITUTE(SUBSTITUTE(SUBSTITUTE(SUBSTITUTE(SUBSTITUTE(SUBSTITUTE(SUBSTITUTE(SUBSTITUTE(SUBSTITUTE(SUBSTITUTE(SUBSTITUTE(SUBSTITUTE(SUBSTITUTE(SUBSTITUTE(LOWER(B56),"a",),"b",),"c",),"d",),"e",),"f",),"g",),"h",),"i",),"j",),"k",),"l",),"m",),"n",),"o",),"p",),"q",),"r",),"s",),"t",),"u",),"v",),"w",),"x",),"y",),"z",)=""),1,2)</f>
        <v>1</v>
      </c>
      <c r="U56" s="1377">
        <v>9</v>
      </c>
      <c r="V56" s="52" t="str">
        <f ca="1">IF(AND(B$5=$BF$9,OR(I56=BH$16,I56=BH$17))," ",IF(ISNUMBER(B$56),(CONCATENATE(B$56,".",W56)),(CONCATENATE(B$56,W56))))</f>
        <v>I0</v>
      </c>
      <c r="W56" s="9">
        <f ca="1">IF(B50=B56,W54+X56,X56)</f>
        <v>0</v>
      </c>
      <c r="X56" s="9">
        <f>IF(AND(B$5=$BF$9,OR($I56=$BH$16,$I56=$BH$17,$I56=" ",$I56="",$F56=0)),0,IF(OR($I56=" ",$I56="",$F56=0),0,1))</f>
        <v>0</v>
      </c>
      <c r="Y56" s="896">
        <f ca="1">IF(AND(M61&gt;0,B56&lt;&gt;B62),1,0)</f>
        <v>0</v>
      </c>
      <c r="Z56" s="52" t="str">
        <f ca="1">IF(I56=" "," ",OFFSET($BM$9,$CL56-1,8,1,1))</f>
        <v xml:space="preserve"> </v>
      </c>
      <c r="AA56" s="51" t="str">
        <f>IF(G56&gt;=45,"WA","")</f>
        <v/>
      </c>
      <c r="AB56" s="1364" t="str">
        <f>IF(OR(E56=" ",E56="")," ",(IF(F56&lt;&gt;"",IF(OR(D56=$BG$12,D56=$BG$13),IF(E56&lt;&gt;$BG$17,$BF$20,$BF$21),IF(E56&lt;&gt;$BG$17,$BF$20,$BF$21))," ")))</f>
        <v xml:space="preserve"> </v>
      </c>
      <c r="AC56" s="1"/>
      <c r="AJ56" s="2"/>
      <c r="AK56" s="63" t="str">
        <f>'Custom Elements'!B17</f>
        <v xml:space="preserve">  </v>
      </c>
      <c r="AL56" s="860" t="str">
        <f>'Custom Elements'!C17</f>
        <v>Custom9</v>
      </c>
      <c r="AM56" s="11">
        <f>'Custom Elements'!D17</f>
        <v>9.9999999999999996E-76</v>
      </c>
      <c r="AN56" s="7">
        <f>'Custom Elements'!E17</f>
        <v>0</v>
      </c>
      <c r="AO56" s="7">
        <f>'Custom Elements'!F17</f>
        <v>0</v>
      </c>
      <c r="AP56" s="762" t="str">
        <f>'Custom Elements'!G17</f>
        <v>B</v>
      </c>
      <c r="AQ56" s="1637" t="str">
        <f>'Custom Elements'!H17</f>
        <v>Single</v>
      </c>
      <c r="AR56" s="1637" t="str">
        <f>'Custom Elements'!I17</f>
        <v>Yes</v>
      </c>
      <c r="AS56" s="442" t="str">
        <f>'Custom Elements'!J17</f>
        <v>Yes</v>
      </c>
      <c r="AT56" s="1150"/>
      <c r="AU56"/>
      <c r="AY56"/>
      <c r="AZ56" s="442" t="str">
        <f>IF(AND('Custom Elements'!J17="Yes",'Custom Elements'!I17="Yes"),"T",IF('Custom Elements'!J17="Yes","F",IF('Custom Elements'!I17="Yes","H","E")))</f>
        <v>T</v>
      </c>
      <c r="BA56" s="51"/>
      <c r="BB56" s="51"/>
      <c r="BC56" s="51"/>
      <c r="BD56" s="638"/>
      <c r="BE56" s="1020"/>
      <c r="BF56" s="1020"/>
      <c r="BG56" s="1020"/>
      <c r="BH56" s="479"/>
      <c r="BI56" s="759"/>
      <c r="BJ56" s="897">
        <f t="shared" si="33"/>
        <v>48</v>
      </c>
      <c r="BK56" s="768" t="str">
        <f>BK50</f>
        <v xml:space="preserve">EPB </v>
      </c>
      <c r="BL56" s="765" t="str">
        <f>Table!C10</f>
        <v>ESSN</v>
      </c>
      <c r="BM56" s="454">
        <f>Table!D10</f>
        <v>0.4</v>
      </c>
      <c r="BN56" s="454">
        <f>BM57</f>
        <v>0.6</v>
      </c>
      <c r="BO56" s="454">
        <f>Table!E10</f>
        <v>79</v>
      </c>
      <c r="BP56" s="924">
        <f>Table!F10</f>
        <v>74</v>
      </c>
      <c r="BQ56" s="920"/>
      <c r="BR56" s="768" t="str">
        <f>Table!G10</f>
        <v>ES-N</v>
      </c>
      <c r="BS56" s="454" t="str">
        <f>Table!G11</f>
        <v>ES-N</v>
      </c>
      <c r="BT56" s="454" t="str">
        <f>Table!H10</f>
        <v>I</v>
      </c>
      <c r="BU56" s="924" t="s">
        <v>242</v>
      </c>
      <c r="BV56" s="1230" t="str">
        <f>Table!AI78</f>
        <v>ESSN</v>
      </c>
      <c r="BW56" s="1229">
        <f>BJ56</f>
        <v>48</v>
      </c>
      <c r="BX56" s="924" t="str">
        <f>Table!H11</f>
        <v>Double</v>
      </c>
      <c r="CH56" s="768">
        <f>IF(BN56=999,0,(BO57-BO56)/(BN56-BM56))</f>
        <v>55.000000000000014</v>
      </c>
      <c r="CI56" s="924">
        <f>IF(BN56=999,0,(BP57-BP56)/(BN56-BM56))</f>
        <v>45.000000000000007</v>
      </c>
      <c r="CJ56" s="759"/>
      <c r="CK56" s="188"/>
      <c r="CL56" s="979">
        <f>VLOOKUP(I56,Prodlink,2,0)</f>
        <v>0</v>
      </c>
      <c r="CN56" s="497">
        <f t="shared" ca="1" si="31"/>
        <v>0</v>
      </c>
      <c r="CO56" s="497">
        <f ca="1">OFFSET($CH$9,CL56-1,-15,1,1)</f>
        <v>0</v>
      </c>
      <c r="CQ56" s="51">
        <v>0</v>
      </c>
      <c r="CR56" s="51">
        <f ca="1">IF(AND(Z56&lt;&gt;"t",Z56&lt;&gt;"f"),10000,IF(K56=$BH$11,0,IF(K56=$BH$12,$BH$23,IF(K56=$BH$13,$BH$24,10000))))</f>
        <v>10000</v>
      </c>
      <c r="CS56" s="51">
        <f ca="1">IF(F56&lt;OFFSET($BM$9,CL56-1,0,1,1),0,IF(F56&lt;OFFSET($BN$9,CL56-1,0,1,1),((F56-OFFSET($BM$9,CL56-1,0,1,1))*OFFSET($CH$9,CL56-1,0,1,1))+OFFSET($BO$9,CL56-1,CQ56,1,1),IF(F56&lt;OFFSET($BN$9,CL56+0,0,1,1),((F56-OFFSET($BM$9,CL56+0,0,1,1))*OFFSET($CH$9,CL56+0,0,1,1))+OFFSET($BO$9,CL56+0,CQ56,1,1),IF(F56&lt;OFFSET($BN$9,CL56+1,0,1,1),((F56-OFFSET($BM$9,CL56+1,0,1,1))*OFFSET($CH$9,CL56+1,0,1,1))+OFFSET($BO$9,CL56+1,CQ56,1,1),IF(F56&lt;OFFSET($BN$9,CL56+2,0,1,1),((F56-OFFSET($BM$9,CL56+2,0,1,1))*OFFSET($CH$9,CL56+2,0,1,1))+OFFSET($BO$9,CL56+2,CQ56,1,1),IF(F56&lt;OFFSET($BN$9,CL56+3,0,1,1),((F56-OFFSET($BM$9,CL56+3,0,1,1))*OFFSET($CH$9,CL56+3,0,1,1))+OFFSET($BO$9,CL56+3,CQ56,1,1),0))))))</f>
        <v>0</v>
      </c>
      <c r="CT56" s="51">
        <f ca="1">IF($F56&lt;OFFSET($BM$9,$CL56-1,0,1,1),0,IF($F56&lt;OFFSET($BN$9,$CL56-1,0,1,1),IF(AND($H56&gt;2.4,Z56&lt;&gt;"e",Z56&lt;&gt;"f"),CX56*2.4/$H56,CX56),IF($F56&lt;OFFSET($BN$9,$CL56+0,0,1,1),IF(AND($H56&gt;2.4,Z56&lt;&gt;"e",Z56&lt;&gt;"f"),CX56*2.4/$H56,CX56),IF($F56&lt;OFFSET($BN$9,$CL56+1,0,1,1),IF(AND($H56&gt;2.4,Z56&lt;&gt;"e",Z56&lt;&gt;"f"),CX56*2.4/$H56,CX56),IF($F56&lt;OFFSET($BN$9,CL56+2,0,1,1),IF(AND($H56&gt;2.4,Z56&lt;&gt;"e",Z56&lt;&gt;"f"),CX56*2.4/$H56,CX56),IF($F56&lt;OFFSET($BN$9,CL56+3,0,1,1),IF(AND($H56&gt;2.4,Z56&lt;&gt;"e",Z56&lt;&gt;"f"),CX56*2.4/$H56,CX56),0)))))*COS(RADIANS($G56)))</f>
        <v>0</v>
      </c>
      <c r="CU56" s="51">
        <f ca="1">IF(F56&lt;OFFSET($BM$9,CL56-1,0,1,1),0,IF(F56&lt;OFFSET($BN$9,CL56-1,0,1,1),((F56-OFFSET($BM$9,CL56-1,0,1,1))*OFFSET($CI$9,CL56-1,0,1,1))+OFFSET($BP$9,CL56-1,CQ56,1,1),IF(F56&lt;OFFSET($BN$9,CL56+0,0,1,1),((F56-OFFSET($BM$9,CL56+0,0,1,1))*OFFSET($CI$9,CL56+0,0,1,1))+OFFSET($BP$9,CL56+0,CQ56,1,1),IF(F56&lt;OFFSET($BN$9,CL56+1,0,1,1),((F56-OFFSET($BM$9,CL56+1,0,1,1))*OFFSET($CI$9,CL56+1,0,1,1))+OFFSET($BP$9,CL56+1,CQ56,1,1),IF(F56&lt;OFFSET($BN$9,CL56+2,0,1,1),((F56-OFFSET($BM$9,CL56+2,0,1,1))*OFFSET($CI$9,CL56+2,0,1,1))+OFFSET($BP$9,CL56+2,CQ56,1,1),IF(F56&lt;OFFSET($BN$9,CL56+3,0,1,1),((F56-OFFSET($BM$9,CL56+3,0,1,1))*OFFSET($CI$9,CL56+3,0,1,1))+OFFSET($BP$9,CL56+3,CQ56,1,1),0))))))</f>
        <v>0</v>
      </c>
      <c r="CV56" s="51">
        <f ca="1">IF($F56&lt;OFFSET($BM$9,$CL56-1,0,1,1),0,IF($F56&lt;OFFSET($BN$9,$CL56-1,0,1,1),IF(AND($H56&gt;2.4,Z56&lt;&gt;"e",Z56&lt;&gt;"f"),CZ56*2.4/$H56,CZ56),IF($F56&lt;OFFSET($BN$9,$CL56+0,0,1,1),IF(AND($H56&gt;2.4,Z56&lt;&gt;"e",Z56&lt;&gt;"f"),CZ56*2.4/$H56,CZ56),IF($F56&lt;OFFSET($BN$9,$CL56+1,0,1,1),IF(AND($H56&gt;2.4,Z56&lt;&gt;"e",Z56&lt;&gt;"f"),CZ56*2.4/$H56,CZ56),IF($F56&lt;OFFSET($BN$9,$CL56+2,0,1,1),IF(AND($H56&gt;2.4,Z56&lt;&gt;"e",Z56&lt;&gt;"f"),CZ56*2.4/$H56,CZ56),IF($F56&lt;OFFSET($BN$9,$CL56+3,0,1,1),IF(AND($H56&gt;2.4,Z56&lt;&gt;"e",Z56&lt;&gt;"f"),CZ56*2.4/$H56,CZ56),0)))))*COS(RADIANS($G56)))</f>
        <v>0</v>
      </c>
      <c r="CW56" s="51">
        <f t="shared" ca="1" si="17"/>
        <v>0</v>
      </c>
      <c r="CX56" s="51">
        <f ca="1">IF(CS56&gt;$CR56,$CR56,CS56)</f>
        <v>0</v>
      </c>
      <c r="CY56" s="51">
        <f ca="1">CW56*F56</f>
        <v>0</v>
      </c>
      <c r="CZ56" s="51">
        <f ca="1">IF($CU56&gt;$CR56,$CR56,$CU56)</f>
        <v>0</v>
      </c>
      <c r="DA56" s="51">
        <f ca="1">IF(CV56&gt;CR56,CR56,CV56)</f>
        <v>0</v>
      </c>
      <c r="DB56" s="51">
        <f ca="1">DA56*F56</f>
        <v>0</v>
      </c>
      <c r="DC56" s="993">
        <v>1</v>
      </c>
      <c r="DD56" s="758" t="str">
        <f>IF(OR(D56=BG$12,D56=BG$13),"External",IF(D56=BG$14,"Internal"," "))</f>
        <v xml:space="preserve"> </v>
      </c>
      <c r="DE56" s="51" t="str">
        <f t="shared" ca="1" si="18"/>
        <v/>
      </c>
      <c r="DF56" s="52" t="str">
        <f t="shared" ca="1" si="19"/>
        <v xml:space="preserve"> </v>
      </c>
      <c r="DG56" s="51">
        <f ca="1">IF(F56&lt;OFFSET($BM$9,CN56-1,0,1,1),0,IF(F56&lt;OFFSET($BN$9,CN56-1,0,1,1),((F56-OFFSET($BM$9,CN56-1,0,1,1))*OFFSET($CH$9,CN56-1,0,1,1))+OFFSET($BO$9,CN56-1,CQ56,1,1),IF(F56&lt;OFFSET($BN$9,CN56+0,0,1,1),((F56-OFFSET($BM$9,CN56+0,0,1,1))*OFFSET($CH$9,CN56+0,0,1,1))+OFFSET($BO$9,CN56+0,CQ56,1,1),IF(F56&lt;OFFSET($BN$9,CN56+1,0,1,1),((F56-OFFSET($BM$9,CN56+1,0,1,1))*OFFSET($CH$9,CN56+1,0,1,1))+OFFSET($BO$9,CN56+1,CQ56,1,1),IF(F56&lt;OFFSET($BN$9,CN56+2,0,1,1),((F56-OFFSET($BM$9,CN56+2,0,1,1))*OFFSET($CH$9,CN56+2,0,1,1))+OFFSET($BO$9,CN56+2,CQ56,1,1),IF(F56&lt;OFFSET($BN$9,CN56+3,0,1,1),((F56-OFFSET($BM$9,CN56+3,0,1,1))*OFFSET($CH$9,CN56+3,0,1,1))+OFFSET($BO$9,CN56+3,CQ56,1,1),0))))))</f>
        <v>0</v>
      </c>
      <c r="DH56" s="51">
        <f ca="1">IF($F56&lt;OFFSET($BM$9,$CN56-1,0,1,1),0,IF($F56&lt;OFFSET($BN$9,$CN56-1,0,1,1),IF(AND($H56&gt;2.4,Z56&lt;&gt;"e",Z56&lt;&gt;"f"),DL56*2.4/$H56,DL56),IF($F56&lt;OFFSET($BN$9,$CN56+0,0,1,1),IF(AND($H56&gt;2.4,Z56&lt;&gt;"e",Z56&lt;&gt;"f"),DL56*2.4/$H56,DL56),IF($F56&lt;OFFSET($BN$9,$CN56+1,0,1,1),IF(AND($H56&gt;2.4,Z56&lt;&gt;"e",Z56&lt;&gt;"f"),DL56*2.4/$H56,DL56),IF($F56&lt;OFFSET($BN$9,$CN56+2,0,1,1),IF(AND($H56&gt;2.4,Z56&lt;&gt;"e",Z56&lt;&gt;"f"),DL56*2.4/$H56,DL56),IF($F56&lt;OFFSET($BN$9,$CN56+3,0,1,1),IF(AND($H56&gt;2.4,Z56&lt;&gt;"e",Z56&lt;&gt;"f"),DL56*2.4/$H56,DL56),0)))))*COS(RADIANS($G56)))</f>
        <v>0</v>
      </c>
      <c r="DI56" s="51">
        <f ca="1">IF(F56&lt;OFFSET($BM$9,CN56-1,0,1,1),0,IF(F56&lt;OFFSET($BN$9,CN56-1,0,1,1),((F56-OFFSET($BM$9,CN56-1,0,1,1))*OFFSET($CI$9,CN56-1,0,1,1))+OFFSET($BP$9,CN56-1,CQ56,1,1),IF(F56&lt;OFFSET($BN$9,CN56+0,0,1,1),((F56-OFFSET($BM$9,CN56+0,0,1,1))*OFFSET($CI$9,CN56+0,0,1,1))+OFFSET($BP$9,CN56+0,CQ56,1,1),IF(F56&lt;OFFSET($BN$9,CN56+1,0,1,1),((F56-OFFSET($BM$9,CN56+1,0,1,1))*OFFSET($CI$9,CN56+1,0,1,1))+OFFSET($BP$9,CN56+1,CQ56,1,1),IF(F56&lt;OFFSET($BN$9,CN56+2,0,1,1),((F56-OFFSET($BM$9,CN56+2,0,1,1))*OFFSET($CI$9,CN56+2,0,1,1))+OFFSET($BP$9,CN56+2,CQ56,1,1),IF(F56&lt;OFFSET($BN$9,CN56+3,0,1,1),((F56-OFFSET($BM$9,CN56+3,0,1,1))*OFFSET($CI$9,CN56+3,0,1,1))+OFFSET($BP$9,CN56+3,CQ56,1,1),0))))))</f>
        <v>0</v>
      </c>
      <c r="DJ56" s="51">
        <f ca="1">IF($F56&lt;OFFSET($BM$9,$CN56-1,0,1,1),0,IF($F56&lt;OFFSET($BN$9,$CN56-1,0,1,1),IF(AND($H56&gt;2.4,Z56&lt;&gt;"e",Z56&lt;&gt;"f"),DN56*2.4/$H56,DN56),IF($F56&lt;OFFSET($BN$9,$CN56+0,0,1,1),IF(AND($H56&gt;2.4,Z56&lt;&gt;"e",Z56&lt;&gt;"f"),DN56*2.4/$H56,DN56),IF($F56&lt;OFFSET($BN$9,$CN56+1,0,1,1),IF(AND($H56&gt;2.4,Z56&lt;&gt;"e",Z56&lt;&gt;"f"),DN56*2.4/$H56,DN56),IF($F56&lt;OFFSET($BN$9,$CN56+2,0,1,1),IF(AND($H56&gt;2.4,Z56&lt;&gt;"e",Z56&lt;&gt;"f"),DN56*2.4/$H56,DN56),IF($F56&lt;OFFSET($BN$9,$CN56+3,0,1,1),IF(AND($H56&gt;2.4,Z56&lt;&gt;"e",Z56&lt;&gt;"f"),DN56*2.4/$H56,DN56),0)))))*COS(RADIANS($G56)))</f>
        <v>0</v>
      </c>
      <c r="DK56" s="51"/>
      <c r="DL56" s="51">
        <f ca="1">IF(DG56&gt;$CR56,$CR56,DG56)</f>
        <v>0</v>
      </c>
      <c r="DM56" s="51"/>
      <c r="DN56" s="51">
        <f ca="1">IF(DI56&gt;$CR56,$CR56,DI56)</f>
        <v>0</v>
      </c>
      <c r="DO56" s="435">
        <f ca="1">IF(DH56&gt;$CR56,$CR56,DH56)</f>
        <v>0</v>
      </c>
      <c r="DP56" s="435">
        <f ca="1">DO56*F56</f>
        <v>0</v>
      </c>
      <c r="DQ56" s="436">
        <f ca="1">IF(DJ56&gt;$CR56,$CR56,DJ56)</f>
        <v>0</v>
      </c>
      <c r="DR56" s="437">
        <f ca="1">DQ56*F56</f>
        <v>0</v>
      </c>
      <c r="DS56" s="426">
        <f ca="1">OFFSET($CH$9,CL56-1,-15,1,1)</f>
        <v>0</v>
      </c>
      <c r="DT56" s="426">
        <f t="shared" ca="1" si="32"/>
        <v>0</v>
      </c>
      <c r="DU56" s="188">
        <f ca="1">IF(F56&lt;OFFSET($BM$9,DT56-1,0,1,1),0,IF(F56&lt;OFFSET($BN$9,DT56-1,0,1,1),((F56-OFFSET($BM$9,DT56-1,0,1,1))*OFFSET($CH$9,DT56-1,0,1,1))+OFFSET($BO$9,DT56-1,CQ56,1,1),IF(F56&lt;OFFSET($BN$9,DT56+0,0,1,1),((F56-OFFSET($BM$9,DT56+0,0,1,1))*OFFSET($CH$9,DT56+0,0,1,1))+OFFSET($BO$9,DT56+0,CQ56,1,1),IF(F56&lt;OFFSET($BN$9,DT56+1,0,1,1),((F56-OFFSET($BM$9,DT56+1,0,1,1))*OFFSET($CH$9,DT56+1,0,1,1))+OFFSET($BO$9,DT56+1,CQ56,1,1),IF(F56&lt;OFFSET($BN$9,DT56+2,0,1,1),((F56-OFFSET($BM$9,DT56+2,0,1,1))*OFFSET($CH$9,DT56+2,0,1,1))+OFFSET($BO$9,DT56+2,CQ56,1,1),IF(F56&lt;OFFSET($BN$9,DT56+3,0,1,1),((F56-OFFSET($BM$9,DT56+3,0,1,1))*OFFSET($CH$9,DT56+3,0,1,1))+OFFSET($BO$9,DT56+3,CQ56,1,1),0))))))</f>
        <v>0</v>
      </c>
      <c r="DV56" s="51">
        <f ca="1">IF($F56&lt;OFFSET($BM$9,$DT56-1,0,1,1),0,IF($F56&lt;OFFSET($BN$9,$DT56-1,0,1,1),IF(AND($H56&gt;2.4,Z56&lt;&gt;"e",Z56&lt;&gt;"f"),DZ56*2.4/$H56,DZ56),IF($F56&lt;OFFSET($BN$9,$DT56+0,0,1,1),IF(AND($H56&gt;2.4,Z56&lt;&gt;"e",Z56&lt;&gt;"f"),DZ56*2.4/$H56,DZ56),IF($F56&lt;OFFSET($BN$9,$DT56+1,0,1,1),IF(AND($H56&gt;2.4,Z56&lt;&gt;"e",Z56&lt;&gt;"f"),DZ56*2.4/$H56,DZ56),IF($F56&lt;OFFSET($BN$9,$DT56+2,0,1,1),IF(AND($H56&gt;2.4,Z56&lt;&gt;"e",Z56&lt;&gt;"f"),DZ56*2.4/$H56,DZ56),IF($F56&lt;OFFSET($BN$9,$DT56+3,0,1,1),IF(AND($H56&gt;2.4,Z56&lt;&gt;"e",Z56&lt;&gt;"f"),DZ56*2.4/$H56,DZ56),0)))))*COS(RADIANS($G56)))</f>
        <v>0</v>
      </c>
      <c r="DW56" s="188">
        <f ca="1">IF(F56&lt;OFFSET($BM$9,DT56-1,0,1,1),0,IF(F56&lt;OFFSET($BN$9,DT56-1,0,1,1),((F56-OFFSET($BM$9,DT56-1,0,1,1))*OFFSET($CI$9,DT56-1,0,1,1))+OFFSET($BP$9,DT56-1,CQ56,1,1),IF(F56&lt;OFFSET($BN$9,DT56+0,0,1,1),((F56-OFFSET($BM$9,DT56+0,0,1,1))*OFFSET($CI$9,DT56+0,0,1,1))+OFFSET($BP$9,DT56+0,CQ56,1,1),IF(F56&lt;OFFSET($BN$9,DT56+1,0,1,1),((F56-OFFSET($BM$9,DT56+1,0,1,1))*OFFSET($CI$9,DT56+1,0,1,1))+OFFSET($BP$9,DT56+1,CQ56,1,1),IF(F56&lt;OFFSET($BN$9,DT56+2,0,1,1),((F56-OFFSET($BM$9,DT56+2,0,1,1))*OFFSET($CI$9,DT56+2,0,1,1))+OFFSET($BP$9,DT56+2,CQ56,1,1),IF(F56&lt;OFFSET($BN$9,DT56+3,0,1,1),((F56-OFFSET($BM$9,DT56+3,0,1,1))*OFFSET($CI$9,DT56+3,0,1,1))+OFFSET($BP$9,DT56+3,CQ56,1,1),0))))))</f>
        <v>0</v>
      </c>
      <c r="DX56" s="51">
        <f ca="1">IF($F56&lt;OFFSET($BM$9,$DT56-1,0,1,1),0,IF($F56&lt;OFFSET($BN$9,$DT56-1,0,1,1),IF(AND($H56&gt;2.4,Z56&lt;&gt;"e",Z56&lt;&gt;"f"),EB56*2.4/$H56,EB56),IF($F56&lt;OFFSET($BN$9,$DT56+0,0,1,1),IF(AND($H56&gt;2.4,Z56&lt;&gt;"e",Z56&lt;&gt;"f"),EB56*2.4/$H56,EB56),IF($F56&lt;OFFSET($BN$9,$DT56+1,0,1,1),IF(AND($H56&gt;2.4,Z56&lt;&gt;"e",Z56&lt;&gt;"f"),EB56*2.4/$H56,EB56),IF($F56&lt;OFFSET($BN$9,$DT56+2,0,1,1),IF(AND($H56&gt;2.4,Z56&lt;&gt;"e",Z56&lt;&gt;"f"),EB56*2.4/$H56,EB56),IF($F56&lt;OFFSET($BN$9,$DT56+3,0,1,1),IF(AND($H56&gt;2.4,Z56&lt;&gt;"e",Z56&lt;&gt;"f"),EB56*2.4/$H56,EB56),0)))))*COS(RADIANS($G56)))</f>
        <v>0</v>
      </c>
      <c r="DY56" s="188"/>
      <c r="DZ56" s="188">
        <f ca="1">IF(DU56&gt;$CR56,$CR56,DU56)</f>
        <v>0</v>
      </c>
      <c r="EA56" s="188"/>
      <c r="EB56" s="188">
        <f ca="1">IF(DW56&gt;$CR56,$CR56,DW56)</f>
        <v>0</v>
      </c>
      <c r="EC56" s="435">
        <f ca="1">IF(DV56&gt;$CR56,$CR56,DV56)</f>
        <v>0</v>
      </c>
      <c r="ED56" s="435">
        <f ca="1">EC56*F56</f>
        <v>0</v>
      </c>
      <c r="EE56" s="436">
        <f ca="1">IF(DX56&gt;$CR56,$CR56,DX56)</f>
        <v>0</v>
      </c>
      <c r="EF56" s="437">
        <f ca="1">EE56*F56</f>
        <v>0</v>
      </c>
      <c r="EG56" s="613" t="str">
        <f>IF(D56=BG$12,BG$12,"")</f>
        <v/>
      </c>
      <c r="EH56" s="614" t="str">
        <f>IF(D56=BG$13,BG$13,"")</f>
        <v/>
      </c>
      <c r="EI56" s="611">
        <f>IF(EG56=BG$12,M56,0)</f>
        <v>0</v>
      </c>
      <c r="EJ56" s="451">
        <f>IF(EG56=BG$12,O56,0)</f>
        <v>0</v>
      </c>
      <c r="EK56" s="451">
        <f>IF(EH56=BG$13,M56,0)</f>
        <v>0</v>
      </c>
      <c r="EL56" s="612">
        <f>IF(EH56=BG$13,O56,0)</f>
        <v>0</v>
      </c>
      <c r="EM56" s="426" t="str">
        <f ca="1">IF(AND(Z56&lt;&gt;"t",Z56&lt;&gt;"f"),"",IF(AND(EN56=$BH$11,K56&lt;&gt;EN56),EM$4,IF(AND(EN56=$BH$12,K56=$BH$13),EM$4,IF(AND(EN56=$BH$12,K56=$BH$14),EM$4,IF(AND(EN56=$BH$13,K56=$BH$14),$EM$4,IF(EN56=$BH$14,$EM$4,""))))))</f>
        <v/>
      </c>
      <c r="EN56" s="489" t="str">
        <f>BG$24</f>
        <v>No Floor</v>
      </c>
      <c r="EO56" s="426" t="str">
        <f>K56</f>
        <v xml:space="preserve"> </v>
      </c>
      <c r="EP56" s="497" t="str">
        <f ca="1">IF(AND(Z56&lt;&gt;"t",Z56&lt;&gt;"f"),"",IF(AND(EN56=$BH$14,K56&lt;&gt;EN56),EP$4,IF(AND(EN56=$BH$13,K56=$BH$12),EP$4,IF(AND(EN56=$BH$13,K56=$BH$11),EP$4,IF(AND(EN56=$BH$12,K56=$BH$11),$EP$4,IF(EN56=$BH$11,"Earth",""))))))</f>
        <v/>
      </c>
      <c r="EQ56" s="430" t="str">
        <f ca="1">IF(Z56&lt;&gt;"t","",IF(EQ$5=2,IF(K56&lt;&gt;BH$11,EQ$7," ")))</f>
        <v/>
      </c>
      <c r="ER56" s="439" t="str">
        <f ca="1">IF(H56=0," ",H56)</f>
        <v xml:space="preserve"> </v>
      </c>
      <c r="ES56" s="440" t="str">
        <f ca="1">IF(ER56&lt;&gt;" ",IF(ER56&lt;&gt;ER$7,"Changed",""),"")</f>
        <v/>
      </c>
      <c r="ET56" s="440">
        <f t="shared" ca="1" si="20"/>
        <v>0</v>
      </c>
      <c r="EU56" s="426" t="str">
        <f ca="1">IF(I56=" "," ",IF(F56&lt;OFFSET($BM$9,CL56-1,0,1,1),1,""))</f>
        <v xml:space="preserve"> </v>
      </c>
      <c r="EW56" s="427"/>
      <c r="EY56" s="421"/>
    </row>
    <row r="57" spans="1:155" ht="17.100000000000001" customHeight="1">
      <c r="A57" s="2685"/>
      <c r="B57" s="689" t="s">
        <v>246</v>
      </c>
      <c r="C57" s="684" t="str">
        <f>IF(OR(F57=0,I57="",I57=" ")," ",$V57)</f>
        <v xml:space="preserve"> </v>
      </c>
      <c r="D57" s="1033"/>
      <c r="E57" s="1360"/>
      <c r="F57" s="202"/>
      <c r="G57" s="1416"/>
      <c r="H57" s="1417" t="str">
        <f ca="1">IF(OR(F57=0,Z57="E",Z57="f")," ",'Project Demand'!E$55)</f>
        <v xml:space="preserve"> </v>
      </c>
      <c r="I57" s="631" t="str">
        <f>IF($I$6&lt;&gt;$BG$8," ",AB57)</f>
        <v xml:space="preserve"> </v>
      </c>
      <c r="J57" s="44" t="str">
        <f ca="1">IF(OR(I57=" ",I57="")," ",OFFSET($BO$9,CL57-1,0-4,1,1))</f>
        <v xml:space="preserve"> </v>
      </c>
      <c r="K57" s="55" t="str">
        <f>IF(OR(I57=" ",I57="")," ",IF(OR(Z57="e",Z57="h"),"SD",IF(BG$24=BH$11,BH$13,BG$24)))</f>
        <v xml:space="preserve"> </v>
      </c>
      <c r="L57" s="49">
        <f ca="1">CW57</f>
        <v>0</v>
      </c>
      <c r="M57" s="49">
        <f ca="1">CY57</f>
        <v>0</v>
      </c>
      <c r="N57" s="50">
        <f t="shared" ca="1" si="37"/>
        <v>0</v>
      </c>
      <c r="O57" s="126">
        <f t="shared" ca="1" si="37"/>
        <v>0</v>
      </c>
      <c r="P57" s="140"/>
      <c r="Q57" s="752" t="str">
        <f ca="1">IF(AND(OR(Z57="t",Z57="f"),K57=$BH$11),"No Floor!  Change Floor Type",IF(OR(I57=" ",I57="")," ",IF(F57&lt;OFFSET($BM$9,CL57-1,0,1,1),"check L(m)",DE57&amp;IF(AND(DP57&gt;=CY57,DR57&gt;=DB57),IF(AND(ED57&gt;=DP57,EF57&gt;=DR57),CONCATENATE(DS57," will provide same result"),CONCATENATE(CO57," will provide same result")),IF((DP57&gt;=CY57),CONCATENATE(CO57," provides same result in WIND"),IF((DR57&gt;=DB57),CONCATENATE(CO57," provides same result in EQ"),""))))))&amp;IF(ISERROR(FIND("pile",I57,1)),"",IF(INT(F57)&lt;&gt;F57,"Pile!  Use Whole Numbers Only",""))</f>
        <v xml:space="preserve"> </v>
      </c>
      <c r="R57" s="52"/>
      <c r="S57" s="1372"/>
      <c r="T57" s="1372"/>
      <c r="U57" s="1377"/>
      <c r="V57" s="52" t="str">
        <f ca="1">IF(AND(B$5=$BF$9,OR(I57=BH$16,I57=BH$17))," ",IF(ISNUMBER(B$56),(CONCATENATE(B$56,".",W57)),(CONCATENATE(B$56,W57))))</f>
        <v>I0</v>
      </c>
      <c r="W57" s="9">
        <f ca="1">W56+X57</f>
        <v>0</v>
      </c>
      <c r="X57" s="9">
        <f>IF(AND(B$5=$BF$9,OR($I57=$BH$16,$I57=$BH$17,$I57=" ",$I57="",$F57=0)),0,IF(OR($I57=" ",$I57="",$F57=0),0,1))</f>
        <v>0</v>
      </c>
      <c r="Y57" s="896"/>
      <c r="Z57" s="52" t="str">
        <f ca="1">IF(I57=" "," ",OFFSET($BM$9,$CL57-1,8,1,1))</f>
        <v xml:space="preserve"> </v>
      </c>
      <c r="AA57" s="51" t="str">
        <f>IF(G57&gt;=45,"WA","")</f>
        <v/>
      </c>
      <c r="AB57" s="1364" t="str">
        <f>IF(OR(E57=" ",E57="")," ",(IF(F57&lt;&gt;"",IF(OR(D57=$BG$12,D57=$BG$13),IF(E57&lt;&gt;$BG$17,$BF$20,$BF$21),IF(E57&lt;&gt;$BG$17,$BF$20,$BF$21))," ")))</f>
        <v xml:space="preserve"> </v>
      </c>
      <c r="AC57" s="1"/>
      <c r="AJ57" s="2"/>
      <c r="AK57" s="63" t="str">
        <f>'Custom Elements'!B18</f>
        <v xml:space="preserve">  </v>
      </c>
      <c r="AL57" s="860" t="str">
        <f>'Custom Elements'!C18</f>
        <v>Custom10</v>
      </c>
      <c r="AM57" s="11">
        <f>'Custom Elements'!D18</f>
        <v>9.9999999999999996E-76</v>
      </c>
      <c r="AN57" s="7">
        <f>'Custom Elements'!E18</f>
        <v>0</v>
      </c>
      <c r="AO57" s="7">
        <f>'Custom Elements'!F18</f>
        <v>0</v>
      </c>
      <c r="AP57" s="762" t="str">
        <f>'Custom Elements'!G18</f>
        <v>B</v>
      </c>
      <c r="AQ57" s="1637" t="str">
        <f>'Custom Elements'!H18</f>
        <v>Single</v>
      </c>
      <c r="AR57" s="1637" t="str">
        <f>'Custom Elements'!I18</f>
        <v>Yes</v>
      </c>
      <c r="AS57" s="442" t="str">
        <f>'Custom Elements'!J18</f>
        <v>Yes</v>
      </c>
      <c r="AT57" s="1155"/>
      <c r="AU57"/>
      <c r="AY57"/>
      <c r="AZ57" s="442" t="str">
        <f>IF(AND('Custom Elements'!J18="Yes",'Custom Elements'!I18="Yes"),"T",IF('Custom Elements'!J18="Yes","F",IF('Custom Elements'!I18="Yes","H","E")))</f>
        <v>T</v>
      </c>
      <c r="BA57" s="51"/>
      <c r="BB57" s="51"/>
      <c r="BC57" s="51"/>
      <c r="BD57" s="638"/>
      <c r="BE57" s="2715" t="s">
        <v>822</v>
      </c>
      <c r="BF57" s="2716"/>
      <c r="BG57" s="2716"/>
      <c r="BH57" s="479"/>
      <c r="BI57" s="759"/>
      <c r="BJ57" s="897">
        <f t="shared" si="33"/>
        <v>49</v>
      </c>
      <c r="BK57" s="764"/>
      <c r="BL57" s="766"/>
      <c r="BM57" s="455">
        <f>Table!D11</f>
        <v>0.6</v>
      </c>
      <c r="BN57" s="455">
        <f>BM58</f>
        <v>0.8</v>
      </c>
      <c r="BO57" s="455">
        <f>Table!E11</f>
        <v>90</v>
      </c>
      <c r="BP57" s="925">
        <f>Table!F11</f>
        <v>83</v>
      </c>
      <c r="BR57" s="764"/>
      <c r="BS57" s="455"/>
      <c r="BT57" s="455"/>
      <c r="BU57" s="925" t="s">
        <v>242</v>
      </c>
      <c r="BV57" s="895"/>
      <c r="BW57" s="912"/>
      <c r="BX57" s="925" t="str">
        <f>Table!H11</f>
        <v>Double</v>
      </c>
      <c r="CH57" s="764">
        <f>IF(BN57=999,0,(BO58-BO57)/(BN57-BM57))</f>
        <v>14.999999999999995</v>
      </c>
      <c r="CI57" s="925">
        <f>IF(BN57=999,0,(BP58-BP57)/(BN57-BM57))</f>
        <v>0</v>
      </c>
      <c r="CJ57" s="759"/>
      <c r="CK57" s="188"/>
      <c r="CL57" s="979">
        <f>VLOOKUP(I57,Prodlink,2,0)</f>
        <v>0</v>
      </c>
      <c r="CN57" s="497">
        <f t="shared" ca="1" si="31"/>
        <v>0</v>
      </c>
      <c r="CO57" s="497">
        <f ca="1">OFFSET($CH$9,CL57-1,-15,1,1)</f>
        <v>0</v>
      </c>
      <c r="CQ57" s="51">
        <v>0</v>
      </c>
      <c r="CR57" s="51">
        <f ca="1">IF(AND(Z57&lt;&gt;"t",Z57&lt;&gt;"f"),10000,IF(K57=$BH$11,0,IF(K57=$BH$12,$BH$23,IF(K57=$BH$13,$BH$24,10000))))</f>
        <v>10000</v>
      </c>
      <c r="CS57" s="51">
        <f ca="1">IF(F57&lt;OFFSET($BM$9,CL57-1,0,1,1),0,IF(F57&lt;OFFSET($BN$9,CL57-1,0,1,1),((F57-OFFSET($BM$9,CL57-1,0,1,1))*OFFSET($CH$9,CL57-1,0,1,1))+OFFSET($BO$9,CL57-1,CQ57,1,1),IF(F57&lt;OFFSET($BN$9,CL57+0,0,1,1),((F57-OFFSET($BM$9,CL57+0,0,1,1))*OFFSET($CH$9,CL57+0,0,1,1))+OFFSET($BO$9,CL57+0,CQ57,1,1),IF(F57&lt;OFFSET($BN$9,CL57+1,0,1,1),((F57-OFFSET($BM$9,CL57+1,0,1,1))*OFFSET($CH$9,CL57+1,0,1,1))+OFFSET($BO$9,CL57+1,CQ57,1,1),IF(F57&lt;OFFSET($BN$9,CL57+2,0,1,1),((F57-OFFSET($BM$9,CL57+2,0,1,1))*OFFSET($CH$9,CL57+2,0,1,1))+OFFSET($BO$9,CL57+2,CQ57,1,1),IF(F57&lt;OFFSET($BN$9,CL57+3,0,1,1),((F57-OFFSET($BM$9,CL57+3,0,1,1))*OFFSET($CH$9,CL57+3,0,1,1))+OFFSET($BO$9,CL57+3,CQ57,1,1),0))))))</f>
        <v>0</v>
      </c>
      <c r="CT57" s="51">
        <f ca="1">IF($F57&lt;OFFSET($BM$9,$CL57-1,0,1,1),0,IF($F57&lt;OFFSET($BN$9,$CL57-1,0,1,1),IF(AND($H57&gt;2.4,Z57&lt;&gt;"e",Z57&lt;&gt;"f"),CX57*2.4/$H57,CX57),IF($F57&lt;OFFSET($BN$9,$CL57+0,0,1,1),IF(AND($H57&gt;2.4,Z57&lt;&gt;"e",Z57&lt;&gt;"f"),CX57*2.4/$H57,CX57),IF($F57&lt;OFFSET($BN$9,$CL57+1,0,1,1),IF(AND($H57&gt;2.4,Z57&lt;&gt;"e",Z57&lt;&gt;"f"),CX57*2.4/$H57,CX57),IF($F57&lt;OFFSET($BN$9,CL57+2,0,1,1),IF(AND($H57&gt;2.4,Z57&lt;&gt;"e",Z57&lt;&gt;"f"),CX57*2.4/$H57,CX57),IF($F57&lt;OFFSET($BN$9,CL57+3,0,1,1),IF(AND($H57&gt;2.4,Z57&lt;&gt;"e",Z57&lt;&gt;"f"),CX57*2.4/$H57,CX57),0)))))*COS(RADIANS($G57)))</f>
        <v>0</v>
      </c>
      <c r="CU57" s="51">
        <f ca="1">IF(F57&lt;OFFSET($BM$9,CL57-1,0,1,1),0,IF(F57&lt;OFFSET($BN$9,CL57-1,0,1,1),((F57-OFFSET($BM$9,CL57-1,0,1,1))*OFFSET($CI$9,CL57-1,0,1,1))+OFFSET($BP$9,CL57-1,CQ57,1,1),IF(F57&lt;OFFSET($BN$9,CL57+0,0,1,1),((F57-OFFSET($BM$9,CL57+0,0,1,1))*OFFSET($CI$9,CL57+0,0,1,1))+OFFSET($BP$9,CL57+0,CQ57,1,1),IF(F57&lt;OFFSET($BN$9,CL57+1,0,1,1),((F57-OFFSET($BM$9,CL57+1,0,1,1))*OFFSET($CI$9,CL57+1,0,1,1))+OFFSET($BP$9,CL57+1,CQ57,1,1),IF(F57&lt;OFFSET($BN$9,CL57+2,0,1,1),((F57-OFFSET($BM$9,CL57+2,0,1,1))*OFFSET($CI$9,CL57+2,0,1,1))+OFFSET($BP$9,CL57+2,CQ57,1,1),IF(F57&lt;OFFSET($BN$9,CL57+3,0,1,1),((F57-OFFSET($BM$9,CL57+3,0,1,1))*OFFSET($CI$9,CL57+3,0,1,1))+OFFSET($BP$9,CL57+3,CQ57,1,1),0))))))</f>
        <v>0</v>
      </c>
      <c r="CV57" s="51">
        <f ca="1">IF($F57&lt;OFFSET($BM$9,$CL57-1,0,1,1),0,IF($F57&lt;OFFSET($BN$9,$CL57-1,0,1,1),IF(AND($H57&gt;2.4,Z57&lt;&gt;"e",Z57&lt;&gt;"f"),CZ57*2.4/$H57,CZ57),IF($F57&lt;OFFSET($BN$9,$CL57+0,0,1,1),IF(AND($H57&gt;2.4,Z57&lt;&gt;"e",Z57&lt;&gt;"f"),CZ57*2.4/$H57,CZ57),IF($F57&lt;OFFSET($BN$9,$CL57+1,0,1,1),IF(AND($H57&gt;2.4,Z57&lt;&gt;"e",Z57&lt;&gt;"f"),CZ57*2.4/$H57,CZ57),IF($F57&lt;OFFSET($BN$9,$CL57+2,0,1,1),IF(AND($H57&gt;2.4,Z57&lt;&gt;"e",Z57&lt;&gt;"f"),CZ57*2.4/$H57,CZ57),IF($F57&lt;OFFSET($BN$9,$CL57+3,0,1,1),IF(AND($H57&gt;2.4,Z57&lt;&gt;"e",Z57&lt;&gt;"f"),CZ57*2.4/$H57,CZ57),0)))))*COS(RADIANS($G57)))</f>
        <v>0</v>
      </c>
      <c r="CW57" s="51">
        <f t="shared" ca="1" si="17"/>
        <v>0</v>
      </c>
      <c r="CX57" s="51">
        <f ca="1">IF(CS57&gt;$CR57,$CR57,CS57)</f>
        <v>0</v>
      </c>
      <c r="CY57" s="51">
        <f ca="1">CW57*F57</f>
        <v>0</v>
      </c>
      <c r="CZ57" s="51">
        <f ca="1">IF($CU57&gt;$CR57,$CR57,$CU57)</f>
        <v>0</v>
      </c>
      <c r="DA57" s="51">
        <f ca="1">IF(CV57&gt;CR57,CR57,CV57)</f>
        <v>0</v>
      </c>
      <c r="DB57" s="51">
        <f ca="1">DA57*F57</f>
        <v>0</v>
      </c>
      <c r="DC57" s="993">
        <v>1</v>
      </c>
      <c r="DD57" s="758" t="str">
        <f>IF(OR(D57=BG$12,D57=BG$13),"External",IF(D57=BG$14,"Internal"," "))</f>
        <v xml:space="preserve"> </v>
      </c>
      <c r="DE57" s="51" t="str">
        <f t="shared" ca="1" si="18"/>
        <v/>
      </c>
      <c r="DF57" s="52" t="str">
        <f t="shared" ca="1" si="19"/>
        <v xml:space="preserve"> </v>
      </c>
      <c r="DG57" s="51">
        <f ca="1">IF(F57&lt;OFFSET($BM$9,CN57-1,0,1,1),0,IF(F57&lt;OFFSET($BN$9,CN57-1,0,1,1),((F57-OFFSET($BM$9,CN57-1,0,1,1))*OFFSET($CH$9,CN57-1,0,1,1))+OFFSET($BO$9,CN57-1,CQ57,1,1),IF(F57&lt;OFFSET($BN$9,CN57+0,0,1,1),((F57-OFFSET($BM$9,CN57+0,0,1,1))*OFFSET($CH$9,CN57+0,0,1,1))+OFFSET($BO$9,CN57+0,CQ57,1,1),IF(F57&lt;OFFSET($BN$9,CN57+1,0,1,1),((F57-OFFSET($BM$9,CN57+1,0,1,1))*OFFSET($CH$9,CN57+1,0,1,1))+OFFSET($BO$9,CN57+1,CQ57,1,1),IF(F57&lt;OFFSET($BN$9,CN57+2,0,1,1),((F57-OFFSET($BM$9,CN57+2,0,1,1))*OFFSET($CH$9,CN57+2,0,1,1))+OFFSET($BO$9,CN57+2,CQ57,1,1),IF(F57&lt;OFFSET($BN$9,CN57+3,0,1,1),((F57-OFFSET($BM$9,CN57+3,0,1,1))*OFFSET($CH$9,CN57+3,0,1,1))+OFFSET($BO$9,CN57+3,CQ57,1,1),0))))))</f>
        <v>0</v>
      </c>
      <c r="DH57" s="51">
        <f ca="1">IF($F57&lt;OFFSET($BM$9,$CN57-1,0,1,1),0,IF($F57&lt;OFFSET($BN$9,$CN57-1,0,1,1),IF(AND($H57&gt;2.4,Z57&lt;&gt;"e",Z57&lt;&gt;"f"),DL57*2.4/$H57,DL57),IF($F57&lt;OFFSET($BN$9,$CN57+0,0,1,1),IF(AND($H57&gt;2.4,Z57&lt;&gt;"e",Z57&lt;&gt;"f"),DL57*2.4/$H57,DL57),IF($F57&lt;OFFSET($BN$9,$CN57+1,0,1,1),IF(AND($H57&gt;2.4,Z57&lt;&gt;"e",Z57&lt;&gt;"f"),DL57*2.4/$H57,DL57),IF($F57&lt;OFFSET($BN$9,$CN57+2,0,1,1),IF(AND($H57&gt;2.4,Z57&lt;&gt;"e",Z57&lt;&gt;"f"),DL57*2.4/$H57,DL57),IF($F57&lt;OFFSET($BN$9,$CN57+3,0,1,1),IF(AND($H57&gt;2.4,Z57&lt;&gt;"e",Z57&lt;&gt;"f"),DL57*2.4/$H57,DL57),0)))))*COS(RADIANS($G57)))</f>
        <v>0</v>
      </c>
      <c r="DI57" s="51">
        <f ca="1">IF(F57&lt;OFFSET($BM$9,CN57-1,0,1,1),0,IF(F57&lt;OFFSET($BN$9,CN57-1,0,1,1),((F57-OFFSET($BM$9,CN57-1,0,1,1))*OFFSET($CI$9,CN57-1,0,1,1))+OFFSET($BP$9,CN57-1,CQ57,1,1),IF(F57&lt;OFFSET($BN$9,CN57+0,0,1,1),((F57-OFFSET($BM$9,CN57+0,0,1,1))*OFFSET($CI$9,CN57+0,0,1,1))+OFFSET($BP$9,CN57+0,CQ57,1,1),IF(F57&lt;OFFSET($BN$9,CN57+1,0,1,1),((F57-OFFSET($BM$9,CN57+1,0,1,1))*OFFSET($CI$9,CN57+1,0,1,1))+OFFSET($BP$9,CN57+1,CQ57,1,1),IF(F57&lt;OFFSET($BN$9,CN57+2,0,1,1),((F57-OFFSET($BM$9,CN57+2,0,1,1))*OFFSET($CI$9,CN57+2,0,1,1))+OFFSET($BP$9,CN57+2,CQ57,1,1),IF(F57&lt;OFFSET($BN$9,CN57+3,0,1,1),((F57-OFFSET($BM$9,CN57+3,0,1,1))*OFFSET($CI$9,CN57+3,0,1,1))+OFFSET($BP$9,CN57+3,CQ57,1,1),0))))))</f>
        <v>0</v>
      </c>
      <c r="DJ57" s="51">
        <f ca="1">IF($F57&lt;OFFSET($BM$9,$CN57-1,0,1,1),0,IF($F57&lt;OFFSET($BN$9,$CN57-1,0,1,1),IF(AND($H57&gt;2.4,Z57&lt;&gt;"e",Z57&lt;&gt;"f"),DN57*2.4/$H57,DN57),IF($F57&lt;OFFSET($BN$9,$CN57+0,0,1,1),IF(AND($H57&gt;2.4,Z57&lt;&gt;"e",Z57&lt;&gt;"f"),DN57*2.4/$H57,DN57),IF($F57&lt;OFFSET($BN$9,$CN57+1,0,1,1),IF(AND($H57&gt;2.4,Z57&lt;&gt;"e",Z57&lt;&gt;"f"),DN57*2.4/$H57,DN57),IF($F57&lt;OFFSET($BN$9,$CN57+2,0,1,1),IF(AND($H57&gt;2.4,Z57&lt;&gt;"e",Z57&lt;&gt;"f"),DN57*2.4/$H57,DN57),IF($F57&lt;OFFSET($BN$9,$CN57+3,0,1,1),IF(AND($H57&gt;2.4,Z57&lt;&gt;"e",Z57&lt;&gt;"f"),DN57*2.4/$H57,DN57),0)))))*COS(RADIANS($G57)))</f>
        <v>0</v>
      </c>
      <c r="DK57" s="51"/>
      <c r="DL57" s="51">
        <f ca="1">IF(DG57&gt;$CR57,$CR57,DG57)</f>
        <v>0</v>
      </c>
      <c r="DM57" s="51"/>
      <c r="DN57" s="51">
        <f ca="1">IF(DI57&gt;$CR57,$CR57,DI57)</f>
        <v>0</v>
      </c>
      <c r="DO57" s="435">
        <f ca="1">IF(DH57&gt;$CR57,$CR57,DH57)</f>
        <v>0</v>
      </c>
      <c r="DP57" s="435">
        <f ca="1">DO57*F57</f>
        <v>0</v>
      </c>
      <c r="DQ57" s="436">
        <f ca="1">IF(DJ57&gt;$CR57,$CR57,DJ57)</f>
        <v>0</v>
      </c>
      <c r="DR57" s="437">
        <f ca="1">DQ57*F57</f>
        <v>0</v>
      </c>
      <c r="DS57" s="426">
        <f ca="1">OFFSET($CH$9,CL57-1,-15,1,1)</f>
        <v>0</v>
      </c>
      <c r="DT57" s="426">
        <f t="shared" ca="1" si="32"/>
        <v>0</v>
      </c>
      <c r="DU57" s="188">
        <f ca="1">IF(F57&lt;OFFSET($BM$9,DT57-1,0,1,1),0,IF(F57&lt;OFFSET($BN$9,DT57-1,0,1,1),((F57-OFFSET($BM$9,DT57-1,0,1,1))*OFFSET($CH$9,DT57-1,0,1,1))+OFFSET($BO$9,DT57-1,CQ57,1,1),IF(F57&lt;OFFSET($BN$9,DT57+0,0,1,1),((F57-OFFSET($BM$9,DT57+0,0,1,1))*OFFSET($CH$9,DT57+0,0,1,1))+OFFSET($BO$9,DT57+0,CQ57,1,1),IF(F57&lt;OFFSET($BN$9,DT57+1,0,1,1),((F57-OFFSET($BM$9,DT57+1,0,1,1))*OFFSET($CH$9,DT57+1,0,1,1))+OFFSET($BO$9,DT57+1,CQ57,1,1),IF(F57&lt;OFFSET($BN$9,DT57+2,0,1,1),((F57-OFFSET($BM$9,DT57+2,0,1,1))*OFFSET($CH$9,DT57+2,0,1,1))+OFFSET($BO$9,DT57+2,CQ57,1,1),IF(F57&lt;OFFSET($BN$9,DT57+3,0,1,1),((F57-OFFSET($BM$9,DT57+3,0,1,1))*OFFSET($CH$9,DT57+3,0,1,1))+OFFSET($BO$9,DT57+3,CQ57,1,1),0))))))</f>
        <v>0</v>
      </c>
      <c r="DV57" s="51">
        <f ca="1">IF($F57&lt;OFFSET($BM$9,$DT57-1,0,1,1),0,IF($F57&lt;OFFSET($BN$9,$DT57-1,0,1,1),IF(AND($H57&gt;2.4,Z57&lt;&gt;"e",Z57&lt;&gt;"f"),DZ57*2.4/$H57,DZ57),IF($F57&lt;OFFSET($BN$9,$DT57+0,0,1,1),IF(AND($H57&gt;2.4,Z57&lt;&gt;"e",Z57&lt;&gt;"f"),DZ57*2.4/$H57,DZ57),IF($F57&lt;OFFSET($BN$9,$DT57+1,0,1,1),IF(AND($H57&gt;2.4,Z57&lt;&gt;"e",Z57&lt;&gt;"f"),DZ57*2.4/$H57,DZ57),IF($F57&lt;OFFSET($BN$9,$DT57+2,0,1,1),IF(AND($H57&gt;2.4,Z57&lt;&gt;"e",Z57&lt;&gt;"f"),DZ57*2.4/$H57,DZ57),IF($F57&lt;OFFSET($BN$9,$DT57+3,0,1,1),IF(AND($H57&gt;2.4,Z57&lt;&gt;"e",Z57&lt;&gt;"f"),DZ57*2.4/$H57,DZ57),0)))))*COS(RADIANS($G57)))</f>
        <v>0</v>
      </c>
      <c r="DW57" s="188">
        <f ca="1">IF(F57&lt;OFFSET($BM$9,DT57-1,0,1,1),0,IF(F57&lt;OFFSET($BN$9,DT57-1,0,1,1),((F57-OFFSET($BM$9,DT57-1,0,1,1))*OFFSET($CI$9,DT57-1,0,1,1))+OFFSET($BP$9,DT57-1,CQ57,1,1),IF(F57&lt;OFFSET($BN$9,DT57+0,0,1,1),((F57-OFFSET($BM$9,DT57+0,0,1,1))*OFFSET($CI$9,DT57+0,0,1,1))+OFFSET($BP$9,DT57+0,CQ57,1,1),IF(F57&lt;OFFSET($BN$9,DT57+1,0,1,1),((F57-OFFSET($BM$9,DT57+1,0,1,1))*OFFSET($CI$9,DT57+1,0,1,1))+OFFSET($BP$9,DT57+1,CQ57,1,1),IF(F57&lt;OFFSET($BN$9,DT57+2,0,1,1),((F57-OFFSET($BM$9,DT57+2,0,1,1))*OFFSET($CI$9,DT57+2,0,1,1))+OFFSET($BP$9,DT57+2,CQ57,1,1),IF(F57&lt;OFFSET($BN$9,DT57+3,0,1,1),((F57-OFFSET($BM$9,DT57+3,0,1,1))*OFFSET($CI$9,DT57+3,0,1,1))+OFFSET($BP$9,DT57+3,CQ57,1,1),0))))))</f>
        <v>0</v>
      </c>
      <c r="DX57" s="51">
        <f ca="1">IF($F57&lt;OFFSET($BM$9,$DT57-1,0,1,1),0,IF($F57&lt;OFFSET($BN$9,$DT57-1,0,1,1),IF(AND($H57&gt;2.4,Z57&lt;&gt;"e",Z57&lt;&gt;"f"),EB57*2.4/$H57,EB57),IF($F57&lt;OFFSET($BN$9,$DT57+0,0,1,1),IF(AND($H57&gt;2.4,Z57&lt;&gt;"e",Z57&lt;&gt;"f"),EB57*2.4/$H57,EB57),IF($F57&lt;OFFSET($BN$9,$DT57+1,0,1,1),IF(AND($H57&gt;2.4,Z57&lt;&gt;"e",Z57&lt;&gt;"f"),EB57*2.4/$H57,EB57),IF($F57&lt;OFFSET($BN$9,$DT57+2,0,1,1),IF(AND($H57&gt;2.4,Z57&lt;&gt;"e",Z57&lt;&gt;"f"),EB57*2.4/$H57,EB57),IF($F57&lt;OFFSET($BN$9,$DT57+3,0,1,1),IF(AND($H57&gt;2.4,Z57&lt;&gt;"e",Z57&lt;&gt;"f"),EB57*2.4/$H57,EB57),0)))))*COS(RADIANS($G57)))</f>
        <v>0</v>
      </c>
      <c r="DY57" s="188"/>
      <c r="DZ57" s="188">
        <f ca="1">IF(DU57&gt;$CR57,$CR57,DU57)</f>
        <v>0</v>
      </c>
      <c r="EA57" s="188"/>
      <c r="EB57" s="188">
        <f ca="1">IF(DW57&gt;$CR57,$CR57,DW57)</f>
        <v>0</v>
      </c>
      <c r="EC57" s="435">
        <f ca="1">IF(DV57&gt;$CR57,$CR57,DV57)</f>
        <v>0</v>
      </c>
      <c r="ED57" s="435">
        <f ca="1">EC57*F57</f>
        <v>0</v>
      </c>
      <c r="EE57" s="436">
        <f ca="1">IF(DX57&gt;$CR57,$CR57,DX57)</f>
        <v>0</v>
      </c>
      <c r="EF57" s="437">
        <f ca="1">EE57*F57</f>
        <v>0</v>
      </c>
      <c r="EG57" s="613" t="str">
        <f>IF(D57=BG$12,BG$12,"")</f>
        <v/>
      </c>
      <c r="EH57" s="614" t="str">
        <f>IF(D57=BG$13,BG$13,"")</f>
        <v/>
      </c>
      <c r="EI57" s="611">
        <f>IF(EG57=BG$12,M57,0)</f>
        <v>0</v>
      </c>
      <c r="EJ57" s="451">
        <f>IF(EG57=BG$12,O57,0)</f>
        <v>0</v>
      </c>
      <c r="EK57" s="451">
        <f>IF(EH57=BG$13,M57,0)</f>
        <v>0</v>
      </c>
      <c r="EL57" s="612">
        <f>IF(EH57=BG$13,O57,0)</f>
        <v>0</v>
      </c>
      <c r="EM57" s="426" t="str">
        <f ca="1">IF(AND(Z57&lt;&gt;"t",Z57&lt;&gt;"f"),"",IF(AND(EN57=$BH$11,K57&lt;&gt;EN57),EM$4,IF(AND(EN57=$BH$12,K57=$BH$13),EM$4,IF(AND(EN57=$BH$12,K57=$BH$14),EM$4,IF(AND(EN57=$BH$13,K57=$BH$14),$EM$4,IF(EN57=$BH$14,$EM$4,""))))))</f>
        <v/>
      </c>
      <c r="EN57" s="489" t="str">
        <f>BG$24</f>
        <v>No Floor</v>
      </c>
      <c r="EO57" s="426" t="str">
        <f>K57</f>
        <v xml:space="preserve"> </v>
      </c>
      <c r="EP57" s="497" t="str">
        <f ca="1">IF(AND(Z57&lt;&gt;"t",Z57&lt;&gt;"f"),"",IF(AND(EN57=$BH$14,K57&lt;&gt;EN57),EP$4,IF(AND(EN57=$BH$13,K57=$BH$12),EP$4,IF(AND(EN57=$BH$13,K57=$BH$11),EP$4,IF(AND(EN57=$BH$12,K57=$BH$11),$EP$4,IF(EN57=$BH$11,"Earth",""))))))</f>
        <v/>
      </c>
      <c r="EQ57" s="430" t="str">
        <f ca="1">IF(Z57&lt;&gt;"t","",IF(EQ$5=2,IF(K57&lt;&gt;BH$11,EQ$7," ")))</f>
        <v/>
      </c>
      <c r="ER57" s="439" t="str">
        <f ca="1">IF(H57=0," ",H57)</f>
        <v xml:space="preserve"> </v>
      </c>
      <c r="ES57" s="440" t="str">
        <f ca="1">IF(ER57&lt;&gt;" ",IF(ER57&lt;&gt;ER$7,"Changed",""),"")</f>
        <v/>
      </c>
      <c r="ET57" s="440">
        <f t="shared" ca="1" si="20"/>
        <v>0</v>
      </c>
      <c r="EU57" s="426" t="str">
        <f ca="1">IF(I57=" "," ",IF(F57&lt;OFFSET($BM$9,CL57-1,0,1,1),1,""))</f>
        <v xml:space="preserve"> </v>
      </c>
      <c r="EW57" s="427"/>
      <c r="EY57" s="421"/>
    </row>
    <row r="58" spans="1:155" ht="17.100000000000001" customHeight="1">
      <c r="A58" s="2685"/>
      <c r="B58" s="689" t="s">
        <v>246</v>
      </c>
      <c r="C58" s="684" t="str">
        <f>IF(OR(F58=0,I58="",I58=" ")," ",$V58)</f>
        <v xml:space="preserve"> </v>
      </c>
      <c r="D58" s="1033"/>
      <c r="E58" s="1360"/>
      <c r="F58" s="202"/>
      <c r="G58" s="1416"/>
      <c r="H58" s="1417" t="str">
        <f ca="1">IF(OR(F58=0,Z58="E",Z58="f")," ",'Project Demand'!E$55)</f>
        <v xml:space="preserve"> </v>
      </c>
      <c r="I58" s="631" t="str">
        <f>IF($I$6&lt;&gt;$BG$8," ",AB58)</f>
        <v xml:space="preserve"> </v>
      </c>
      <c r="J58" s="44" t="str">
        <f ca="1">IF(OR(I58=" ",I58="")," ",OFFSET($BO$9,CL58-1,0-4,1,1))</f>
        <v xml:space="preserve"> </v>
      </c>
      <c r="K58" s="55" t="str">
        <f>IF(OR(I58=" ",I58="")," ",IF(OR(Z58="e",Z58="h"),"SD",IF(BG$24=BH$11,BH$13,BG$24)))</f>
        <v xml:space="preserve"> </v>
      </c>
      <c r="L58" s="49">
        <f ca="1">CW58</f>
        <v>0</v>
      </c>
      <c r="M58" s="49">
        <f ca="1">CY58</f>
        <v>0</v>
      </c>
      <c r="N58" s="50">
        <f t="shared" ca="1" si="37"/>
        <v>0</v>
      </c>
      <c r="O58" s="126">
        <f t="shared" ca="1" si="37"/>
        <v>0</v>
      </c>
      <c r="P58" s="140"/>
      <c r="Q58" s="752" t="str">
        <f ca="1">IF(AND(OR(Z58="t",Z58="f"),K58=$BH$11),"No Floor!  Change Floor Type",IF(OR(I58=" ",I58="")," ",IF(F58&lt;OFFSET($BM$9,CL58-1,0,1,1),"check L(m)",DE58&amp;IF(AND(DP58&gt;=CY58,DR58&gt;=DB58),IF(AND(ED58&gt;=DP58,EF58&gt;=DR58),CONCATENATE(DS58," will provide same result"),CONCATENATE(CO58," will provide same result")),IF((DP58&gt;=CY58),CONCATENATE(CO58," provides same result in WIND"),IF((DR58&gt;=DB58),CONCATENATE(CO58," provides same result in EQ"),""))))))&amp;IF(ISERROR(FIND("pile",I58,1)),"",IF(INT(F58)&lt;&gt;F58,"Pile!  Use Whole Numbers Only",""))</f>
        <v xml:space="preserve"> </v>
      </c>
      <c r="R58" s="52"/>
      <c r="S58" s="1372"/>
      <c r="T58" s="1372"/>
      <c r="U58" s="1377"/>
      <c r="V58" s="52" t="str">
        <f ca="1">IF(AND(B$5=$BF$9,OR(I58=BH$16,I58=BH$17))," ",IF(ISNUMBER(B$56),(CONCATENATE(B$56,".",W58)),(CONCATENATE(B$56,W58))))</f>
        <v>I0</v>
      </c>
      <c r="W58" s="9">
        <f ca="1">W57+X58</f>
        <v>0</v>
      </c>
      <c r="X58" s="9">
        <f>IF(AND(B$5=$BF$9,OR($I58=$BH$16,$I58=$BH$17,$I58=" ",$I58="",$F58=0)),0,IF(OR($I58=" ",$I58="",$F58=0),0,1))</f>
        <v>0</v>
      </c>
      <c r="Y58" s="896"/>
      <c r="Z58" s="52" t="str">
        <f ca="1">IF(I58=" "," ",OFFSET($BM$9,$CL58-1,8,1,1))</f>
        <v xml:space="preserve"> </v>
      </c>
      <c r="AA58" s="51" t="str">
        <f>IF(G58&gt;=45,"WA","")</f>
        <v/>
      </c>
      <c r="AB58" s="1364" t="str">
        <f>IF(OR(E58=" ",E58="")," ",(IF(F58&lt;&gt;"",IF(OR(D58=$BG$12,D58=$BG$13),IF(E58&lt;&gt;$BG$17,$BF$20,$BF$21),IF(E58&lt;&gt;$BG$17,$BF$20,$BF$21))," ")))</f>
        <v xml:space="preserve"> </v>
      </c>
      <c r="AC58" s="1"/>
      <c r="AJ58" s="2"/>
      <c r="AK58" s="63" t="str">
        <f>'Custom Elements'!B19</f>
        <v xml:space="preserve">  </v>
      </c>
      <c r="AL58" s="860" t="str">
        <f>'Custom Elements'!C19</f>
        <v>Custom11</v>
      </c>
      <c r="AM58" s="11">
        <f>'Custom Elements'!D19</f>
        <v>9.9999999999999996E-76</v>
      </c>
      <c r="AN58" s="7">
        <f>'Custom Elements'!E19</f>
        <v>0</v>
      </c>
      <c r="AO58" s="7">
        <f>'Custom Elements'!F19</f>
        <v>0</v>
      </c>
      <c r="AP58" s="762" t="str">
        <f>'Custom Elements'!G19</f>
        <v>B</v>
      </c>
      <c r="AQ58" s="1637" t="str">
        <f>'Custom Elements'!H19</f>
        <v>Single</v>
      </c>
      <c r="AR58" s="1637" t="str">
        <f>'Custom Elements'!I19</f>
        <v>Yes</v>
      </c>
      <c r="AS58" s="442" t="str">
        <f>'Custom Elements'!J19</f>
        <v>Yes</v>
      </c>
      <c r="AT58" s="1155"/>
      <c r="AU58"/>
      <c r="AY58"/>
      <c r="AZ58" s="442" t="str">
        <f>IF(AND('Custom Elements'!J19="Yes",'Custom Elements'!I19="Yes"),"T",IF('Custom Elements'!J19="Yes","F",IF('Custom Elements'!I19="Yes","H","E")))</f>
        <v>T</v>
      </c>
      <c r="BA58" s="51"/>
      <c r="BB58" s="51"/>
      <c r="BC58" s="51"/>
      <c r="BD58" s="638"/>
      <c r="BE58" s="2715" t="s">
        <v>827</v>
      </c>
      <c r="BF58" s="2716"/>
      <c r="BG58" s="2716"/>
      <c r="BH58" s="479"/>
      <c r="BI58" s="759"/>
      <c r="BJ58" s="897">
        <f t="shared" si="33"/>
        <v>50</v>
      </c>
      <c r="BK58" s="764"/>
      <c r="BL58" s="766"/>
      <c r="BM58" s="455">
        <f>Table!D12</f>
        <v>0.8</v>
      </c>
      <c r="BN58" s="455">
        <f>BM59</f>
        <v>0.9</v>
      </c>
      <c r="BO58" s="455">
        <f>Table!E12</f>
        <v>93</v>
      </c>
      <c r="BP58" s="925">
        <f>Table!F12</f>
        <v>83</v>
      </c>
      <c r="BR58" s="764"/>
      <c r="BS58" s="455"/>
      <c r="BT58" s="455"/>
      <c r="BU58" s="925" t="s">
        <v>242</v>
      </c>
      <c r="BV58" s="895"/>
      <c r="BW58" s="912"/>
      <c r="BX58" s="925" t="str">
        <f>Table!H11</f>
        <v>Double</v>
      </c>
      <c r="CH58" s="764">
        <f>IF(BN58=999,0,(BO59-BO58)/(BN58-BM58))</f>
        <v>50.000000000000014</v>
      </c>
      <c r="CI58" s="925">
        <f>IF(BN58=999,0,(BP59-BP58)/(BN58-BM58))</f>
        <v>50.000000000000014</v>
      </c>
      <c r="CJ58" s="759"/>
      <c r="CK58" s="188"/>
      <c r="CL58" s="979">
        <f>VLOOKUP(I58,Prodlink,2,0)</f>
        <v>0</v>
      </c>
      <c r="CN58" s="497">
        <f t="shared" ca="1" si="31"/>
        <v>0</v>
      </c>
      <c r="CO58" s="497">
        <f ca="1">OFFSET($CH$9,CL58-1,-15,1,1)</f>
        <v>0</v>
      </c>
      <c r="CQ58" s="51">
        <v>0</v>
      </c>
      <c r="CR58" s="51">
        <f ca="1">IF(AND(Z58&lt;&gt;"t",Z58&lt;&gt;"f"),10000,IF(K58=$BH$11,0,IF(K58=$BH$12,$BH$23,IF(K58=$BH$13,$BH$24,10000))))</f>
        <v>10000</v>
      </c>
      <c r="CS58" s="51">
        <f ca="1">IF(F58&lt;OFFSET($BM$9,CL58-1,0,1,1),0,IF(F58&lt;OFFSET($BN$9,CL58-1,0,1,1),((F58-OFFSET($BM$9,CL58-1,0,1,1))*OFFSET($CH$9,CL58-1,0,1,1))+OFFSET($BO$9,CL58-1,CQ58,1,1),IF(F58&lt;OFFSET($BN$9,CL58+0,0,1,1),((F58-OFFSET($BM$9,CL58+0,0,1,1))*OFFSET($CH$9,CL58+0,0,1,1))+OFFSET($BO$9,CL58+0,CQ58,1,1),IF(F58&lt;OFFSET($BN$9,CL58+1,0,1,1),((F58-OFFSET($BM$9,CL58+1,0,1,1))*OFFSET($CH$9,CL58+1,0,1,1))+OFFSET($BO$9,CL58+1,CQ58,1,1),IF(F58&lt;OFFSET($BN$9,CL58+2,0,1,1),((F58-OFFSET($BM$9,CL58+2,0,1,1))*OFFSET($CH$9,CL58+2,0,1,1))+OFFSET($BO$9,CL58+2,CQ58,1,1),IF(F58&lt;OFFSET($BN$9,CL58+3,0,1,1),((F58-OFFSET($BM$9,CL58+3,0,1,1))*OFFSET($CH$9,CL58+3,0,1,1))+OFFSET($BO$9,CL58+3,CQ58,1,1),0))))))</f>
        <v>0</v>
      </c>
      <c r="CT58" s="51">
        <f ca="1">IF($F58&lt;OFFSET($BM$9,$CL58-1,0,1,1),0,IF($F58&lt;OFFSET($BN$9,$CL58-1,0,1,1),IF(AND($H58&gt;2.4,Z58&lt;&gt;"e",Z58&lt;&gt;"f"),CX58*2.4/$H58,CX58),IF($F58&lt;OFFSET($BN$9,$CL58+0,0,1,1),IF(AND($H58&gt;2.4,Z58&lt;&gt;"e",Z58&lt;&gt;"f"),CX58*2.4/$H58,CX58),IF($F58&lt;OFFSET($BN$9,$CL58+1,0,1,1),IF(AND($H58&gt;2.4,Z58&lt;&gt;"e",Z58&lt;&gt;"f"),CX58*2.4/$H58,CX58),IF($F58&lt;OFFSET($BN$9,CL58+2,0,1,1),IF(AND($H58&gt;2.4,Z58&lt;&gt;"e",Z58&lt;&gt;"f"),CX58*2.4/$H58,CX58),IF($F58&lt;OFFSET($BN$9,CL58+3,0,1,1),IF(AND($H58&gt;2.4,Z58&lt;&gt;"e",Z58&lt;&gt;"f"),CX58*2.4/$H58,CX58),0)))))*COS(RADIANS($G58)))</f>
        <v>0</v>
      </c>
      <c r="CU58" s="51">
        <f ca="1">IF(F58&lt;OFFSET($BM$9,CL58-1,0,1,1),0,IF(F58&lt;OFFSET($BN$9,CL58-1,0,1,1),((F58-OFFSET($BM$9,CL58-1,0,1,1))*OFFSET($CI$9,CL58-1,0,1,1))+OFFSET($BP$9,CL58-1,CQ58,1,1),IF(F58&lt;OFFSET($BN$9,CL58+0,0,1,1),((F58-OFFSET($BM$9,CL58+0,0,1,1))*OFFSET($CI$9,CL58+0,0,1,1))+OFFSET($BP$9,CL58+0,CQ58,1,1),IF(F58&lt;OFFSET($BN$9,CL58+1,0,1,1),((F58-OFFSET($BM$9,CL58+1,0,1,1))*OFFSET($CI$9,CL58+1,0,1,1))+OFFSET($BP$9,CL58+1,CQ58,1,1),IF(F58&lt;OFFSET($BN$9,CL58+2,0,1,1),((F58-OFFSET($BM$9,CL58+2,0,1,1))*OFFSET($CI$9,CL58+2,0,1,1))+OFFSET($BP$9,CL58+2,CQ58,1,1),IF(F58&lt;OFFSET($BN$9,CL58+3,0,1,1),((F58-OFFSET($BM$9,CL58+3,0,1,1))*OFFSET($CI$9,CL58+3,0,1,1))+OFFSET($BP$9,CL58+3,CQ58,1,1),0))))))</f>
        <v>0</v>
      </c>
      <c r="CV58" s="51">
        <f ca="1">IF($F58&lt;OFFSET($BM$9,$CL58-1,0,1,1),0,IF($F58&lt;OFFSET($BN$9,$CL58-1,0,1,1),IF(AND($H58&gt;2.4,Z58&lt;&gt;"e",Z58&lt;&gt;"f"),CZ58*2.4/$H58,CZ58),IF($F58&lt;OFFSET($BN$9,$CL58+0,0,1,1),IF(AND($H58&gt;2.4,Z58&lt;&gt;"e",Z58&lt;&gt;"f"),CZ58*2.4/$H58,CZ58),IF($F58&lt;OFFSET($BN$9,$CL58+1,0,1,1),IF(AND($H58&gt;2.4,Z58&lt;&gt;"e",Z58&lt;&gt;"f"),CZ58*2.4/$H58,CZ58),IF($F58&lt;OFFSET($BN$9,$CL58+2,0,1,1),IF(AND($H58&gt;2.4,Z58&lt;&gt;"e",Z58&lt;&gt;"f"),CZ58*2.4/$H58,CZ58),IF($F58&lt;OFFSET($BN$9,$CL58+3,0,1,1),IF(AND($H58&gt;2.4,Z58&lt;&gt;"e",Z58&lt;&gt;"f"),CZ58*2.4/$H58,CZ58),0)))))*COS(RADIANS($G58)))</f>
        <v>0</v>
      </c>
      <c r="CW58" s="51">
        <f t="shared" ca="1" si="17"/>
        <v>0</v>
      </c>
      <c r="CX58" s="51">
        <f ca="1">IF(CS58&gt;$CR58,$CR58,CS58)</f>
        <v>0</v>
      </c>
      <c r="CY58" s="51">
        <f ca="1">CW58*F58</f>
        <v>0</v>
      </c>
      <c r="CZ58" s="51">
        <f ca="1">IF($CU58&gt;$CR58,$CR58,$CU58)</f>
        <v>0</v>
      </c>
      <c r="DA58" s="51">
        <f ca="1">IF(CV58&gt;CR58,CR58,CV58)</f>
        <v>0</v>
      </c>
      <c r="DB58" s="51">
        <f ca="1">DA58*F58</f>
        <v>0</v>
      </c>
      <c r="DC58" s="993">
        <v>1</v>
      </c>
      <c r="DD58" s="758" t="str">
        <f>IF(OR(D58=BG$12,D58=BG$13),"External",IF(D58=BG$14,"Internal"," "))</f>
        <v xml:space="preserve"> </v>
      </c>
      <c r="DE58" s="51" t="str">
        <f t="shared" ca="1" si="18"/>
        <v/>
      </c>
      <c r="DF58" s="52" t="str">
        <f t="shared" ca="1" si="19"/>
        <v xml:space="preserve"> </v>
      </c>
      <c r="DG58" s="51">
        <f ca="1">IF(F58&lt;OFFSET($BM$9,CN58-1,0,1,1),0,IF(F58&lt;OFFSET($BN$9,CN58-1,0,1,1),((F58-OFFSET($BM$9,CN58-1,0,1,1))*OFFSET($CH$9,CN58-1,0,1,1))+OFFSET($BO$9,CN58-1,CQ58,1,1),IF(F58&lt;OFFSET($BN$9,CN58+0,0,1,1),((F58-OFFSET($BM$9,CN58+0,0,1,1))*OFFSET($CH$9,CN58+0,0,1,1))+OFFSET($BO$9,CN58+0,CQ58,1,1),IF(F58&lt;OFFSET($BN$9,CN58+1,0,1,1),((F58-OFFSET($BM$9,CN58+1,0,1,1))*OFFSET($CH$9,CN58+1,0,1,1))+OFFSET($BO$9,CN58+1,CQ58,1,1),IF(F58&lt;OFFSET($BN$9,CN58+2,0,1,1),((F58-OFFSET($BM$9,CN58+2,0,1,1))*OFFSET($CH$9,CN58+2,0,1,1))+OFFSET($BO$9,CN58+2,CQ58,1,1),IF(F58&lt;OFFSET($BN$9,CN58+3,0,1,1),((F58-OFFSET($BM$9,CN58+3,0,1,1))*OFFSET($CH$9,CN58+3,0,1,1))+OFFSET($BO$9,CN58+3,CQ58,1,1),0))))))</f>
        <v>0</v>
      </c>
      <c r="DH58" s="51">
        <f ca="1">IF($F58&lt;OFFSET($BM$9,$CN58-1,0,1,1),0,IF($F58&lt;OFFSET($BN$9,$CN58-1,0,1,1),IF(AND($H58&gt;2.4,Z58&lt;&gt;"e",Z58&lt;&gt;"f"),DL58*2.4/$H58,DL58),IF($F58&lt;OFFSET($BN$9,$CN58+0,0,1,1),IF(AND($H58&gt;2.4,Z58&lt;&gt;"e",Z58&lt;&gt;"f"),DL58*2.4/$H58,DL58),IF($F58&lt;OFFSET($BN$9,$CN58+1,0,1,1),IF(AND($H58&gt;2.4,Z58&lt;&gt;"e",Z58&lt;&gt;"f"),DL58*2.4/$H58,DL58),IF($F58&lt;OFFSET($BN$9,$CN58+2,0,1,1),IF(AND($H58&gt;2.4,Z58&lt;&gt;"e",Z58&lt;&gt;"f"),DL58*2.4/$H58,DL58),IF($F58&lt;OFFSET($BN$9,$CN58+3,0,1,1),IF(AND($H58&gt;2.4,Z58&lt;&gt;"e",Z58&lt;&gt;"f"),DL58*2.4/$H58,DL58),0)))))*COS(RADIANS($G58)))</f>
        <v>0</v>
      </c>
      <c r="DI58" s="51">
        <f ca="1">IF(F58&lt;OFFSET($BM$9,CN58-1,0,1,1),0,IF(F58&lt;OFFSET($BN$9,CN58-1,0,1,1),((F58-OFFSET($BM$9,CN58-1,0,1,1))*OFFSET($CI$9,CN58-1,0,1,1))+OFFSET($BP$9,CN58-1,CQ58,1,1),IF(F58&lt;OFFSET($BN$9,CN58+0,0,1,1),((F58-OFFSET($BM$9,CN58+0,0,1,1))*OFFSET($CI$9,CN58+0,0,1,1))+OFFSET($BP$9,CN58+0,CQ58,1,1),IF(F58&lt;OFFSET($BN$9,CN58+1,0,1,1),((F58-OFFSET($BM$9,CN58+1,0,1,1))*OFFSET($CI$9,CN58+1,0,1,1))+OFFSET($BP$9,CN58+1,CQ58,1,1),IF(F58&lt;OFFSET($BN$9,CN58+2,0,1,1),((F58-OFFSET($BM$9,CN58+2,0,1,1))*OFFSET($CI$9,CN58+2,0,1,1))+OFFSET($BP$9,CN58+2,CQ58,1,1),IF(F58&lt;OFFSET($BN$9,CN58+3,0,1,1),((F58-OFFSET($BM$9,CN58+3,0,1,1))*OFFSET($CI$9,CN58+3,0,1,1))+OFFSET($BP$9,CN58+3,CQ58,1,1),0))))))</f>
        <v>0</v>
      </c>
      <c r="DJ58" s="51">
        <f ca="1">IF($F58&lt;OFFSET($BM$9,$CN58-1,0,1,1),0,IF($F58&lt;OFFSET($BN$9,$CN58-1,0,1,1),IF(AND($H58&gt;2.4,Z58&lt;&gt;"e",Z58&lt;&gt;"f"),DN58*2.4/$H58,DN58),IF($F58&lt;OFFSET($BN$9,$CN58+0,0,1,1),IF(AND($H58&gt;2.4,Z58&lt;&gt;"e",Z58&lt;&gt;"f"),DN58*2.4/$H58,DN58),IF($F58&lt;OFFSET($BN$9,$CN58+1,0,1,1),IF(AND($H58&gt;2.4,Z58&lt;&gt;"e",Z58&lt;&gt;"f"),DN58*2.4/$H58,DN58),IF($F58&lt;OFFSET($BN$9,$CN58+2,0,1,1),IF(AND($H58&gt;2.4,Z58&lt;&gt;"e",Z58&lt;&gt;"f"),DN58*2.4/$H58,DN58),IF($F58&lt;OFFSET($BN$9,$CN58+3,0,1,1),IF(AND($H58&gt;2.4,Z58&lt;&gt;"e",Z58&lt;&gt;"f"),DN58*2.4/$H58,DN58),0)))))*COS(RADIANS($G58)))</f>
        <v>0</v>
      </c>
      <c r="DK58" s="51"/>
      <c r="DL58" s="51">
        <f ca="1">IF(DG58&gt;$CR58,$CR58,DG58)</f>
        <v>0</v>
      </c>
      <c r="DM58" s="51"/>
      <c r="DN58" s="51">
        <f ca="1">IF(DI58&gt;$CR58,$CR58,DI58)</f>
        <v>0</v>
      </c>
      <c r="DO58" s="435">
        <f ca="1">IF(DH58&gt;$CR58,$CR58,DH58)</f>
        <v>0</v>
      </c>
      <c r="DP58" s="435">
        <f ca="1">DO58*F58</f>
        <v>0</v>
      </c>
      <c r="DQ58" s="436">
        <f ca="1">IF(DJ58&gt;$CR58,$CR58,DJ58)</f>
        <v>0</v>
      </c>
      <c r="DR58" s="437">
        <f ca="1">DQ58*F58</f>
        <v>0</v>
      </c>
      <c r="DS58" s="426">
        <f ca="1">OFFSET($CH$9,CL58-1,-15,1,1)</f>
        <v>0</v>
      </c>
      <c r="DT58" s="426">
        <f t="shared" ca="1" si="32"/>
        <v>0</v>
      </c>
      <c r="DU58" s="188">
        <f ca="1">IF(F58&lt;OFFSET($BM$9,DT58-1,0,1,1),0,IF(F58&lt;OFFSET($BN$9,DT58-1,0,1,1),((F58-OFFSET($BM$9,DT58-1,0,1,1))*OFFSET($CH$9,DT58-1,0,1,1))+OFFSET($BO$9,DT58-1,CQ58,1,1),IF(F58&lt;OFFSET($BN$9,DT58+0,0,1,1),((F58-OFFSET($BM$9,DT58+0,0,1,1))*OFFSET($CH$9,DT58+0,0,1,1))+OFFSET($BO$9,DT58+0,CQ58,1,1),IF(F58&lt;OFFSET($BN$9,DT58+1,0,1,1),((F58-OFFSET($BM$9,DT58+1,0,1,1))*OFFSET($CH$9,DT58+1,0,1,1))+OFFSET($BO$9,DT58+1,CQ58,1,1),IF(F58&lt;OFFSET($BN$9,DT58+2,0,1,1),((F58-OFFSET($BM$9,DT58+2,0,1,1))*OFFSET($CH$9,DT58+2,0,1,1))+OFFSET($BO$9,DT58+2,CQ58,1,1),IF(F58&lt;OFFSET($BN$9,DT58+3,0,1,1),((F58-OFFSET($BM$9,DT58+3,0,1,1))*OFFSET($CH$9,DT58+3,0,1,1))+OFFSET($BO$9,DT58+3,CQ58,1,1),0))))))</f>
        <v>0</v>
      </c>
      <c r="DV58" s="51">
        <f ca="1">IF($F58&lt;OFFSET($BM$9,$DT58-1,0,1,1),0,IF($F58&lt;OFFSET($BN$9,$DT58-1,0,1,1),IF(AND($H58&gt;2.4,Z58&lt;&gt;"e",Z58&lt;&gt;"f"),DZ58*2.4/$H58,DZ58),IF($F58&lt;OFFSET($BN$9,$DT58+0,0,1,1),IF(AND($H58&gt;2.4,Z58&lt;&gt;"e",Z58&lt;&gt;"f"),DZ58*2.4/$H58,DZ58),IF($F58&lt;OFFSET($BN$9,$DT58+1,0,1,1),IF(AND($H58&gt;2.4,Z58&lt;&gt;"e",Z58&lt;&gt;"f"),DZ58*2.4/$H58,DZ58),IF($F58&lt;OFFSET($BN$9,$DT58+2,0,1,1),IF(AND($H58&gt;2.4,Z58&lt;&gt;"e",Z58&lt;&gt;"f"),DZ58*2.4/$H58,DZ58),IF($F58&lt;OFFSET($BN$9,$DT58+3,0,1,1),IF(AND($H58&gt;2.4,Z58&lt;&gt;"e",Z58&lt;&gt;"f"),DZ58*2.4/$H58,DZ58),0)))))*COS(RADIANS($G58)))</f>
        <v>0</v>
      </c>
      <c r="DW58" s="188">
        <f ca="1">IF(F58&lt;OFFSET($BM$9,DT58-1,0,1,1),0,IF(F58&lt;OFFSET($BN$9,DT58-1,0,1,1),((F58-OFFSET($BM$9,DT58-1,0,1,1))*OFFSET($CI$9,DT58-1,0,1,1))+OFFSET($BP$9,DT58-1,CQ58,1,1),IF(F58&lt;OFFSET($BN$9,DT58+0,0,1,1),((F58-OFFSET($BM$9,DT58+0,0,1,1))*OFFSET($CI$9,DT58+0,0,1,1))+OFFSET($BP$9,DT58+0,CQ58,1,1),IF(F58&lt;OFFSET($BN$9,DT58+1,0,1,1),((F58-OFFSET($BM$9,DT58+1,0,1,1))*OFFSET($CI$9,DT58+1,0,1,1))+OFFSET($BP$9,DT58+1,CQ58,1,1),IF(F58&lt;OFFSET($BN$9,DT58+2,0,1,1),((F58-OFFSET($BM$9,DT58+2,0,1,1))*OFFSET($CI$9,DT58+2,0,1,1))+OFFSET($BP$9,DT58+2,CQ58,1,1),IF(F58&lt;OFFSET($BN$9,DT58+3,0,1,1),((F58-OFFSET($BM$9,DT58+3,0,1,1))*OFFSET($CI$9,DT58+3,0,1,1))+OFFSET($BP$9,DT58+3,CQ58,1,1),0))))))</f>
        <v>0</v>
      </c>
      <c r="DX58" s="51">
        <f ca="1">IF($F58&lt;OFFSET($BM$9,$DT58-1,0,1,1),0,IF($F58&lt;OFFSET($BN$9,$DT58-1,0,1,1),IF(AND($H58&gt;2.4,Z58&lt;&gt;"e",Z58&lt;&gt;"f"),EB58*2.4/$H58,EB58),IF($F58&lt;OFFSET($BN$9,$DT58+0,0,1,1),IF(AND($H58&gt;2.4,Z58&lt;&gt;"e",Z58&lt;&gt;"f"),EB58*2.4/$H58,EB58),IF($F58&lt;OFFSET($BN$9,$DT58+1,0,1,1),IF(AND($H58&gt;2.4,Z58&lt;&gt;"e",Z58&lt;&gt;"f"),EB58*2.4/$H58,EB58),IF($F58&lt;OFFSET($BN$9,$DT58+2,0,1,1),IF(AND($H58&gt;2.4,Z58&lt;&gt;"e",Z58&lt;&gt;"f"),EB58*2.4/$H58,EB58),IF($F58&lt;OFFSET($BN$9,$DT58+3,0,1,1),IF(AND($H58&gt;2.4,Z58&lt;&gt;"e",Z58&lt;&gt;"f"),EB58*2.4/$H58,EB58),0)))))*COS(RADIANS($G58)))</f>
        <v>0</v>
      </c>
      <c r="DY58" s="188"/>
      <c r="DZ58" s="188">
        <f ca="1">IF(DU58&gt;$CR58,$CR58,DU58)</f>
        <v>0</v>
      </c>
      <c r="EA58" s="188"/>
      <c r="EB58" s="188">
        <f ca="1">IF(DW58&gt;$CR58,$CR58,DW58)</f>
        <v>0</v>
      </c>
      <c r="EC58" s="435">
        <f ca="1">IF(DV58&gt;$CR58,$CR58,DV58)</f>
        <v>0</v>
      </c>
      <c r="ED58" s="435">
        <f ca="1">EC58*F58</f>
        <v>0</v>
      </c>
      <c r="EE58" s="436">
        <f ca="1">IF(DX58&gt;$CR58,$CR58,DX58)</f>
        <v>0</v>
      </c>
      <c r="EF58" s="437">
        <f ca="1">EE58*F58</f>
        <v>0</v>
      </c>
      <c r="EG58" s="613" t="str">
        <f>IF(D58=BG$12,BG$12,"")</f>
        <v/>
      </c>
      <c r="EH58" s="614" t="str">
        <f>IF(D58=BG$13,BG$13,"")</f>
        <v/>
      </c>
      <c r="EI58" s="611">
        <f>IF(EG58=BG$12,M58,0)</f>
        <v>0</v>
      </c>
      <c r="EJ58" s="451">
        <f>IF(EG58=BG$12,O58,0)</f>
        <v>0</v>
      </c>
      <c r="EK58" s="451">
        <f>IF(EH58=BG$13,M58,0)</f>
        <v>0</v>
      </c>
      <c r="EL58" s="612">
        <f>IF(EH58=BG$13,O58,0)</f>
        <v>0</v>
      </c>
      <c r="EM58" s="426" t="str">
        <f ca="1">IF(AND(Z58&lt;&gt;"t",Z58&lt;&gt;"f"),"",IF(AND(EN58=$BH$11,K58&lt;&gt;EN58),EM$4,IF(AND(EN58=$BH$12,K58=$BH$13),EM$4,IF(AND(EN58=$BH$12,K58=$BH$14),EM$4,IF(AND(EN58=$BH$13,K58=$BH$14),$EM$4,IF(EN58=$BH$14,$EM$4,""))))))</f>
        <v/>
      </c>
      <c r="EN58" s="489" t="str">
        <f>BG$24</f>
        <v>No Floor</v>
      </c>
      <c r="EO58" s="426" t="str">
        <f>K58</f>
        <v xml:space="preserve"> </v>
      </c>
      <c r="EP58" s="497" t="str">
        <f ca="1">IF(AND(Z58&lt;&gt;"t",Z58&lt;&gt;"f"),"",IF(AND(EN58=$BH$14,K58&lt;&gt;EN58),EP$4,IF(AND(EN58=$BH$13,K58=$BH$12),EP$4,IF(AND(EN58=$BH$13,K58=$BH$11),EP$4,IF(AND(EN58=$BH$12,K58=$BH$11),$EP$4,IF(EN58=$BH$11,"Earth",""))))))</f>
        <v/>
      </c>
      <c r="EQ58" s="430" t="str">
        <f ca="1">IF(Z58&lt;&gt;"t","",IF(EQ$5=2,IF(K58&lt;&gt;BH$11,EQ$7," ")))</f>
        <v/>
      </c>
      <c r="ER58" s="439" t="str">
        <f ca="1">IF(H58=0," ",H58)</f>
        <v xml:space="preserve"> </v>
      </c>
      <c r="ES58" s="440" t="str">
        <f ca="1">IF(ER58&lt;&gt;" ",IF(ER58&lt;&gt;ER$7,"Changed",""),"")</f>
        <v/>
      </c>
      <c r="ET58" s="440">
        <f t="shared" ca="1" si="20"/>
        <v>0</v>
      </c>
      <c r="EU58" s="426" t="str">
        <f ca="1">IF(I58=" "," ",IF(F58&lt;OFFSET($BM$9,CL58-1,0,1,1),1,""))</f>
        <v xml:space="preserve"> </v>
      </c>
      <c r="EW58" s="427"/>
      <c r="EY58" s="421"/>
    </row>
    <row r="59" spans="1:155" ht="17.100000000000001" customHeight="1">
      <c r="A59" s="2685"/>
      <c r="B59" s="689" t="s">
        <v>246</v>
      </c>
      <c r="C59" s="684" t="str">
        <f>IF(OR(F59=0,I59="",I59=" ")," ",$V59)</f>
        <v xml:space="preserve"> </v>
      </c>
      <c r="D59" s="1033"/>
      <c r="E59" s="1360"/>
      <c r="F59" s="202"/>
      <c r="G59" s="1416"/>
      <c r="H59" s="1417" t="str">
        <f ca="1">IF(OR(F59=0,Z59="E",Z59="f")," ",'Project Demand'!E$55)</f>
        <v xml:space="preserve"> </v>
      </c>
      <c r="I59" s="631" t="str">
        <f>IF($I$6&lt;&gt;$BG$8," ",AB59)</f>
        <v xml:space="preserve"> </v>
      </c>
      <c r="J59" s="44" t="str">
        <f ca="1">IF(OR(I59=" ",I59="")," ",OFFSET($BO$9,CL59-1,0-4,1,1))</f>
        <v xml:space="preserve"> </v>
      </c>
      <c r="K59" s="55" t="str">
        <f>IF(OR(I59=" ",I59="")," ",IF(OR(Z59="e",Z59="h"),"SD",IF(BG$24=BH$11,BH$13,BG$24)))</f>
        <v xml:space="preserve"> </v>
      </c>
      <c r="L59" s="49">
        <f ca="1">CW59</f>
        <v>0</v>
      </c>
      <c r="M59" s="49">
        <f ca="1">CY59</f>
        <v>0</v>
      </c>
      <c r="N59" s="50">
        <f t="shared" ca="1" si="37"/>
        <v>0</v>
      </c>
      <c r="O59" s="126">
        <f t="shared" ca="1" si="37"/>
        <v>0</v>
      </c>
      <c r="P59" s="140"/>
      <c r="Q59" s="752" t="str">
        <f ca="1">IF(AND(OR(Z59="t",Z59="f"),K59=$BH$11),"No Floor!  Change Floor Type",IF(OR(I59=" ",I59="")," ",IF(F59&lt;OFFSET($BM$9,CL59-1,0,1,1),"check L(m)",DE59&amp;IF(AND(DP59&gt;=CY59,DR59&gt;=DB59),IF(AND(ED59&gt;=DP59,EF59&gt;=DR59),CONCATENATE(DS59," will provide same result"),CONCATENATE(CO59," will provide same result")),IF((DP59&gt;=CY59),CONCATENATE(CO59," provides same result in WIND"),IF((DR59&gt;=DB59),CONCATENATE(CO59," provides same result in EQ"),""))))))&amp;IF(ISERROR(FIND("pile",I59,1)),"",IF(INT(F59)&lt;&gt;F59,"Pile!  Use Whole Numbers Only",""))</f>
        <v xml:space="preserve"> </v>
      </c>
      <c r="R59" s="52"/>
      <c r="S59" s="1372"/>
      <c r="T59" s="1372"/>
      <c r="U59" s="1377"/>
      <c r="V59" s="52" t="str">
        <f ca="1">IF(AND(B$5=$BF$9,OR(I59=BH$16,I59=BH$17))," ",IF(ISNUMBER(B$56),(CONCATENATE(B$56,".",W59)),(CONCATENATE(B$56,W59))))</f>
        <v>I0</v>
      </c>
      <c r="W59" s="9">
        <f ca="1">W58+X59</f>
        <v>0</v>
      </c>
      <c r="X59" s="9">
        <f>IF(AND(B$5=$BF$9,OR($I59=$BH$16,$I59=$BH$17,$I59=" ",$I59="",$F59=0)),0,IF(OR($I59=" ",$I59="",$F59=0),0,1))</f>
        <v>0</v>
      </c>
      <c r="Y59" s="896"/>
      <c r="Z59" s="52" t="str">
        <f ca="1">IF(I59=" "," ",OFFSET($BM$9,$CL59-1,8,1,1))</f>
        <v xml:space="preserve"> </v>
      </c>
      <c r="AA59" s="51" t="str">
        <f>IF(G59&gt;=45,"WA","")</f>
        <v/>
      </c>
      <c r="AB59" s="1364" t="str">
        <f>IF(OR(E59=" ",E59="")," ",(IF(F59&lt;&gt;"",IF(OR(D59=$BG$12,D59=$BG$13),IF(E59&lt;&gt;$BG$17,$BF$20,$BF$21),IF(E59&lt;&gt;$BG$17,$BF$20,$BF$21))," ")))</f>
        <v xml:space="preserve"> </v>
      </c>
      <c r="AC59" s="1"/>
      <c r="AJ59" s="2"/>
      <c r="AK59" s="63" t="str">
        <f>'Custom Elements'!B20</f>
        <v xml:space="preserve">  </v>
      </c>
      <c r="AL59" s="860" t="str">
        <f>'Custom Elements'!C20</f>
        <v>Custom12</v>
      </c>
      <c r="AM59" s="11">
        <f>'Custom Elements'!D20</f>
        <v>9.9999999999999996E-76</v>
      </c>
      <c r="AN59" s="7">
        <f>'Custom Elements'!E20</f>
        <v>0</v>
      </c>
      <c r="AO59" s="7">
        <f>'Custom Elements'!F20</f>
        <v>0</v>
      </c>
      <c r="AP59" s="762" t="str">
        <f>'Custom Elements'!G20</f>
        <v>B</v>
      </c>
      <c r="AQ59" s="1637" t="str">
        <f>'Custom Elements'!H20</f>
        <v>Single</v>
      </c>
      <c r="AR59" s="1637" t="str">
        <f>'Custom Elements'!I20</f>
        <v>Yes</v>
      </c>
      <c r="AS59" s="442" t="str">
        <f>'Custom Elements'!J20</f>
        <v>Yes</v>
      </c>
      <c r="AT59" s="1155"/>
      <c r="AU59"/>
      <c r="AY59"/>
      <c r="AZ59" s="442" t="str">
        <f>IF(AND('Custom Elements'!J20="Yes",'Custom Elements'!I20="Yes"),"T",IF('Custom Elements'!J20="Yes","F",IF('Custom Elements'!I20="Yes","H","E")))</f>
        <v>T</v>
      </c>
      <c r="BA59" s="51"/>
      <c r="BB59" s="51"/>
      <c r="BC59" s="51"/>
      <c r="BD59" s="638"/>
      <c r="BE59" s="2717" t="str">
        <f>IF($BE$3=1,BE57,BE58)</f>
        <v>"Min Bu's entered &lt; 100"</v>
      </c>
      <c r="BF59" s="2718"/>
      <c r="BG59" s="2718"/>
      <c r="BH59" s="479"/>
      <c r="BI59" s="759"/>
      <c r="BJ59" s="897">
        <f t="shared" si="33"/>
        <v>51</v>
      </c>
      <c r="BK59" s="764"/>
      <c r="BL59" s="766"/>
      <c r="BM59" s="455">
        <f>Table!D13</f>
        <v>0.9</v>
      </c>
      <c r="BN59" s="455">
        <f>BM60</f>
        <v>1.2</v>
      </c>
      <c r="BO59" s="455">
        <f>Table!E13</f>
        <v>98</v>
      </c>
      <c r="BP59" s="925">
        <f>Table!F13</f>
        <v>88</v>
      </c>
      <c r="BR59" s="764"/>
      <c r="BS59" s="455"/>
      <c r="BT59" s="455"/>
      <c r="BU59" s="925" t="s">
        <v>242</v>
      </c>
      <c r="BV59" s="895"/>
      <c r="BW59" s="912"/>
      <c r="BX59" s="925" t="str">
        <f>Table!H11</f>
        <v>Double</v>
      </c>
      <c r="CH59" s="764">
        <f>IF(BN59=999,0,(BO60-BO59)/(BN59-BM59))</f>
        <v>0</v>
      </c>
      <c r="CI59" s="925">
        <f>IF(BN59=999,0,(BP60-BP59)/(BN59-BM59))</f>
        <v>0</v>
      </c>
      <c r="CJ59" s="759"/>
      <c r="CK59" s="188"/>
      <c r="CL59" s="979">
        <f>VLOOKUP(I59,Prodlink,2,0)</f>
        <v>0</v>
      </c>
      <c r="CN59" s="497">
        <f t="shared" ca="1" si="31"/>
        <v>0</v>
      </c>
      <c r="CO59" s="497">
        <f ca="1">OFFSET($CH$9,CL59-1,-15,1,1)</f>
        <v>0</v>
      </c>
      <c r="CQ59" s="51">
        <v>0</v>
      </c>
      <c r="CR59" s="51">
        <f ca="1">IF(AND(Z59&lt;&gt;"t",Z59&lt;&gt;"f"),10000,IF(K59=$BH$11,0,IF(K59=$BH$12,$BH$23,IF(K59=$BH$13,$BH$24,10000))))</f>
        <v>10000</v>
      </c>
      <c r="CS59" s="51">
        <f ca="1">IF(F59&lt;OFFSET($BM$9,CL59-1,0,1,1),0,IF(F59&lt;OFFSET($BN$9,CL59-1,0,1,1),((F59-OFFSET($BM$9,CL59-1,0,1,1))*OFFSET($CH$9,CL59-1,0,1,1))+OFFSET($BO$9,CL59-1,CQ59,1,1),IF(F59&lt;OFFSET($BN$9,CL59+0,0,1,1),((F59-OFFSET($BM$9,CL59+0,0,1,1))*OFFSET($CH$9,CL59+0,0,1,1))+OFFSET($BO$9,CL59+0,CQ59,1,1),IF(F59&lt;OFFSET($BN$9,CL59+1,0,1,1),((F59-OFFSET($BM$9,CL59+1,0,1,1))*OFFSET($CH$9,CL59+1,0,1,1))+OFFSET($BO$9,CL59+1,CQ59,1,1),IF(F59&lt;OFFSET($BN$9,CL59+2,0,1,1),((F59-OFFSET($BM$9,CL59+2,0,1,1))*OFFSET($CH$9,CL59+2,0,1,1))+OFFSET($BO$9,CL59+2,CQ59,1,1),IF(F59&lt;OFFSET($BN$9,CL59+3,0,1,1),((F59-OFFSET($BM$9,CL59+3,0,1,1))*OFFSET($CH$9,CL59+3,0,1,1))+OFFSET($BO$9,CL59+3,CQ59,1,1),0))))))</f>
        <v>0</v>
      </c>
      <c r="CT59" s="51">
        <f ca="1">IF($F59&lt;OFFSET($BM$9,$CL59-1,0,1,1),0,IF($F59&lt;OFFSET($BN$9,$CL59-1,0,1,1),IF(AND($H59&gt;2.4,Z59&lt;&gt;"e",Z59&lt;&gt;"f"),CX59*2.4/$H59,CX59),IF($F59&lt;OFFSET($BN$9,$CL59+0,0,1,1),IF(AND($H59&gt;2.4,Z59&lt;&gt;"e",Z59&lt;&gt;"f"),CX59*2.4/$H59,CX59),IF($F59&lt;OFFSET($BN$9,$CL59+1,0,1,1),IF(AND($H59&gt;2.4,Z59&lt;&gt;"e",Z59&lt;&gt;"f"),CX59*2.4/$H59,CX59),IF($F59&lt;OFFSET($BN$9,CL59+2,0,1,1),IF(AND($H59&gt;2.4,Z59&lt;&gt;"e",Z59&lt;&gt;"f"),CX59*2.4/$H59,CX59),IF($F59&lt;OFFSET($BN$9,CL59+3,0,1,1),IF(AND($H59&gt;2.4,Z59&lt;&gt;"e",Z59&lt;&gt;"f"),CX59*2.4/$H59,CX59),0)))))*COS(RADIANS($G59)))</f>
        <v>0</v>
      </c>
      <c r="CU59" s="51">
        <f ca="1">IF(F59&lt;OFFSET($BM$9,CL59-1,0,1,1),0,IF(F59&lt;OFFSET($BN$9,CL59-1,0,1,1),((F59-OFFSET($BM$9,CL59-1,0,1,1))*OFFSET($CI$9,CL59-1,0,1,1))+OFFSET($BP$9,CL59-1,CQ59,1,1),IF(F59&lt;OFFSET($BN$9,CL59+0,0,1,1),((F59-OFFSET($BM$9,CL59+0,0,1,1))*OFFSET($CI$9,CL59+0,0,1,1))+OFFSET($BP$9,CL59+0,CQ59,1,1),IF(F59&lt;OFFSET($BN$9,CL59+1,0,1,1),((F59-OFFSET($BM$9,CL59+1,0,1,1))*OFFSET($CI$9,CL59+1,0,1,1))+OFFSET($BP$9,CL59+1,CQ59,1,1),IF(F59&lt;OFFSET($BN$9,CL59+2,0,1,1),((F59-OFFSET($BM$9,CL59+2,0,1,1))*OFFSET($CI$9,CL59+2,0,1,1))+OFFSET($BP$9,CL59+2,CQ59,1,1),IF(F59&lt;OFFSET($BN$9,CL59+3,0,1,1),((F59-OFFSET($BM$9,CL59+3,0,1,1))*OFFSET($CI$9,CL59+3,0,1,1))+OFFSET($BP$9,CL59+3,CQ59,1,1),0))))))</f>
        <v>0</v>
      </c>
      <c r="CV59" s="51">
        <f ca="1">IF($F59&lt;OFFSET($BM$9,$CL59-1,0,1,1),0,IF($F59&lt;OFFSET($BN$9,$CL59-1,0,1,1),IF(AND($H59&gt;2.4,Z59&lt;&gt;"e",Z59&lt;&gt;"f"),CZ59*2.4/$H59,CZ59),IF($F59&lt;OFFSET($BN$9,$CL59+0,0,1,1),IF(AND($H59&gt;2.4,Z59&lt;&gt;"e",Z59&lt;&gt;"f"),CZ59*2.4/$H59,CZ59),IF($F59&lt;OFFSET($BN$9,$CL59+1,0,1,1),IF(AND($H59&gt;2.4,Z59&lt;&gt;"e",Z59&lt;&gt;"f"),CZ59*2.4/$H59,CZ59),IF($F59&lt;OFFSET($BN$9,$CL59+2,0,1,1),IF(AND($H59&gt;2.4,Z59&lt;&gt;"e",Z59&lt;&gt;"f"),CZ59*2.4/$H59,CZ59),IF($F59&lt;OFFSET($BN$9,$CL59+3,0,1,1),IF(AND($H59&gt;2.4,Z59&lt;&gt;"e",Z59&lt;&gt;"f"),CZ59*2.4/$H59,CZ59),0)))))*COS(RADIANS($G59)))</f>
        <v>0</v>
      </c>
      <c r="CW59" s="51">
        <f t="shared" ca="1" si="17"/>
        <v>0</v>
      </c>
      <c r="CX59" s="51">
        <f ca="1">IF(CS59&gt;$CR59,$CR59,CS59)</f>
        <v>0</v>
      </c>
      <c r="CY59" s="51">
        <f ca="1">CW59*F59</f>
        <v>0</v>
      </c>
      <c r="CZ59" s="51">
        <f ca="1">IF($CU59&gt;$CR59,$CR59,$CU59)</f>
        <v>0</v>
      </c>
      <c r="DA59" s="51">
        <f ca="1">IF(CV59&gt;CR59,CR59,CV59)</f>
        <v>0</v>
      </c>
      <c r="DB59" s="51">
        <f ca="1">DA59*F59</f>
        <v>0</v>
      </c>
      <c r="DC59" s="993">
        <v>1</v>
      </c>
      <c r="DD59" s="758" t="str">
        <f>IF(OR(D59=BG$12,D59=BG$13),"External",IF(D59=BG$14,"Internal"," "))</f>
        <v xml:space="preserve"> </v>
      </c>
      <c r="DE59" s="51" t="str">
        <f t="shared" ca="1" si="18"/>
        <v/>
      </c>
      <c r="DF59" s="52" t="str">
        <f t="shared" ca="1" si="19"/>
        <v xml:space="preserve"> </v>
      </c>
      <c r="DG59" s="51">
        <f ca="1">IF(F59&lt;OFFSET($BM$9,CN59-1,0,1,1),0,IF(F59&lt;OFFSET($BN$9,CN59-1,0,1,1),((F59-OFFSET($BM$9,CN59-1,0,1,1))*OFFSET($CH$9,CN59-1,0,1,1))+OFFSET($BO$9,CN59-1,CQ59,1,1),IF(F59&lt;OFFSET($BN$9,CN59+0,0,1,1),((F59-OFFSET($BM$9,CN59+0,0,1,1))*OFFSET($CH$9,CN59+0,0,1,1))+OFFSET($BO$9,CN59+0,CQ59,1,1),IF(F59&lt;OFFSET($BN$9,CN59+1,0,1,1),((F59-OFFSET($BM$9,CN59+1,0,1,1))*OFFSET($CH$9,CN59+1,0,1,1))+OFFSET($BO$9,CN59+1,CQ59,1,1),IF(F59&lt;OFFSET($BN$9,CN59+2,0,1,1),((F59-OFFSET($BM$9,CN59+2,0,1,1))*OFFSET($CH$9,CN59+2,0,1,1))+OFFSET($BO$9,CN59+2,CQ59,1,1),IF(F59&lt;OFFSET($BN$9,CN59+3,0,1,1),((F59-OFFSET($BM$9,CN59+3,0,1,1))*OFFSET($CH$9,CN59+3,0,1,1))+OFFSET($BO$9,CN59+3,CQ59,1,1),0))))))</f>
        <v>0</v>
      </c>
      <c r="DH59" s="51">
        <f ca="1">IF($F59&lt;OFFSET($BM$9,$CN59-1,0,1,1),0,IF($F59&lt;OFFSET($BN$9,$CN59-1,0,1,1),IF(AND($H59&gt;2.4,Z59&lt;&gt;"e",Z59&lt;&gt;"f"),DL59*2.4/$H59,DL59),IF($F59&lt;OFFSET($BN$9,$CN59+0,0,1,1),IF(AND($H59&gt;2.4,Z59&lt;&gt;"e",Z59&lt;&gt;"f"),DL59*2.4/$H59,DL59),IF($F59&lt;OFFSET($BN$9,$CN59+1,0,1,1),IF(AND($H59&gt;2.4,Z59&lt;&gt;"e",Z59&lt;&gt;"f"),DL59*2.4/$H59,DL59),IF($F59&lt;OFFSET($BN$9,$CN59+2,0,1,1),IF(AND($H59&gt;2.4,Z59&lt;&gt;"e",Z59&lt;&gt;"f"),DL59*2.4/$H59,DL59),IF($F59&lt;OFFSET($BN$9,$CN59+3,0,1,1),IF(AND($H59&gt;2.4,Z59&lt;&gt;"e",Z59&lt;&gt;"f"),DL59*2.4/$H59,DL59),0)))))*COS(RADIANS($G59)))</f>
        <v>0</v>
      </c>
      <c r="DI59" s="51">
        <f ca="1">IF(F59&lt;OFFSET($BM$9,CN59-1,0,1,1),0,IF(F59&lt;OFFSET($BN$9,CN59-1,0,1,1),((F59-OFFSET($BM$9,CN59-1,0,1,1))*OFFSET($CI$9,CN59-1,0,1,1))+OFFSET($BP$9,CN59-1,CQ59,1,1),IF(F59&lt;OFFSET($BN$9,CN59+0,0,1,1),((F59-OFFSET($BM$9,CN59+0,0,1,1))*OFFSET($CI$9,CN59+0,0,1,1))+OFFSET($BP$9,CN59+0,CQ59,1,1),IF(F59&lt;OFFSET($BN$9,CN59+1,0,1,1),((F59-OFFSET($BM$9,CN59+1,0,1,1))*OFFSET($CI$9,CN59+1,0,1,1))+OFFSET($BP$9,CN59+1,CQ59,1,1),IF(F59&lt;OFFSET($BN$9,CN59+2,0,1,1),((F59-OFFSET($BM$9,CN59+2,0,1,1))*OFFSET($CI$9,CN59+2,0,1,1))+OFFSET($BP$9,CN59+2,CQ59,1,1),IF(F59&lt;OFFSET($BN$9,CN59+3,0,1,1),((F59-OFFSET($BM$9,CN59+3,0,1,1))*OFFSET($CI$9,CN59+3,0,1,1))+OFFSET($BP$9,CN59+3,CQ59,1,1),0))))))</f>
        <v>0</v>
      </c>
      <c r="DJ59" s="51">
        <f ca="1">IF($F59&lt;OFFSET($BM$9,$CN59-1,0,1,1),0,IF($F59&lt;OFFSET($BN$9,$CN59-1,0,1,1),IF(AND($H59&gt;2.4,Z59&lt;&gt;"e",Z59&lt;&gt;"f"),DN59*2.4/$H59,DN59),IF($F59&lt;OFFSET($BN$9,$CN59+0,0,1,1),IF(AND($H59&gt;2.4,Z59&lt;&gt;"e",Z59&lt;&gt;"f"),DN59*2.4/$H59,DN59),IF($F59&lt;OFFSET($BN$9,$CN59+1,0,1,1),IF(AND($H59&gt;2.4,Z59&lt;&gt;"e",Z59&lt;&gt;"f"),DN59*2.4/$H59,DN59),IF($F59&lt;OFFSET($BN$9,$CN59+2,0,1,1),IF(AND($H59&gt;2.4,Z59&lt;&gt;"e",Z59&lt;&gt;"f"),DN59*2.4/$H59,DN59),IF($F59&lt;OFFSET($BN$9,$CN59+3,0,1,1),IF(AND($H59&gt;2.4,Z59&lt;&gt;"e",Z59&lt;&gt;"f"),DN59*2.4/$H59,DN59),0)))))*COS(RADIANS($G59)))</f>
        <v>0</v>
      </c>
      <c r="DK59" s="51"/>
      <c r="DL59" s="51">
        <f ca="1">IF(DG59&gt;$CR59,$CR59,DG59)</f>
        <v>0</v>
      </c>
      <c r="DM59" s="51"/>
      <c r="DN59" s="51">
        <f ca="1">IF(DI59&gt;$CR59,$CR59,DI59)</f>
        <v>0</v>
      </c>
      <c r="DO59" s="435">
        <f ca="1">IF(DH59&gt;$CR59,$CR59,DH59)</f>
        <v>0</v>
      </c>
      <c r="DP59" s="435">
        <f ca="1">DO59*F59</f>
        <v>0</v>
      </c>
      <c r="DQ59" s="436">
        <f ca="1">IF(DJ59&gt;$CR59,$CR59,DJ59)</f>
        <v>0</v>
      </c>
      <c r="DR59" s="437">
        <f ca="1">DQ59*F59</f>
        <v>0</v>
      </c>
      <c r="DS59" s="426">
        <f ca="1">OFFSET($CH$9,CL59-1,-15,1,1)</f>
        <v>0</v>
      </c>
      <c r="DT59" s="426">
        <f t="shared" ca="1" si="32"/>
        <v>0</v>
      </c>
      <c r="DU59" s="188">
        <f ca="1">IF(F59&lt;OFFSET($BM$9,DT59-1,0,1,1),0,IF(F59&lt;OFFSET($BN$9,DT59-1,0,1,1),((F59-OFFSET($BM$9,DT59-1,0,1,1))*OFFSET($CH$9,DT59-1,0,1,1))+OFFSET($BO$9,DT59-1,CQ59,1,1),IF(F59&lt;OFFSET($BN$9,DT59+0,0,1,1),((F59-OFFSET($BM$9,DT59+0,0,1,1))*OFFSET($CH$9,DT59+0,0,1,1))+OFFSET($BO$9,DT59+0,CQ59,1,1),IF(F59&lt;OFFSET($BN$9,DT59+1,0,1,1),((F59-OFFSET($BM$9,DT59+1,0,1,1))*OFFSET($CH$9,DT59+1,0,1,1))+OFFSET($BO$9,DT59+1,CQ59,1,1),IF(F59&lt;OFFSET($BN$9,DT59+2,0,1,1),((F59-OFFSET($BM$9,DT59+2,0,1,1))*OFFSET($CH$9,DT59+2,0,1,1))+OFFSET($BO$9,DT59+2,CQ59,1,1),IF(F59&lt;OFFSET($BN$9,DT59+3,0,1,1),((F59-OFFSET($BM$9,DT59+3,0,1,1))*OFFSET($CH$9,DT59+3,0,1,1))+OFFSET($BO$9,DT59+3,CQ59,1,1),0))))))</f>
        <v>0</v>
      </c>
      <c r="DV59" s="51">
        <f ca="1">IF($F59&lt;OFFSET($BM$9,$DT59-1,0,1,1),0,IF($F59&lt;OFFSET($BN$9,$DT59-1,0,1,1),IF(AND($H59&gt;2.4,Z59&lt;&gt;"e",Z59&lt;&gt;"f"),DZ59*2.4/$H59,DZ59),IF($F59&lt;OFFSET($BN$9,$DT59+0,0,1,1),IF(AND($H59&gt;2.4,Z59&lt;&gt;"e",Z59&lt;&gt;"f"),DZ59*2.4/$H59,DZ59),IF($F59&lt;OFFSET($BN$9,$DT59+1,0,1,1),IF(AND($H59&gt;2.4,Z59&lt;&gt;"e",Z59&lt;&gt;"f"),DZ59*2.4/$H59,DZ59),IF($F59&lt;OFFSET($BN$9,$DT59+2,0,1,1),IF(AND($H59&gt;2.4,Z59&lt;&gt;"e",Z59&lt;&gt;"f"),DZ59*2.4/$H59,DZ59),IF($F59&lt;OFFSET($BN$9,$DT59+3,0,1,1),IF(AND($H59&gt;2.4,Z59&lt;&gt;"e",Z59&lt;&gt;"f"),DZ59*2.4/$H59,DZ59),0)))))*COS(RADIANS($G59)))</f>
        <v>0</v>
      </c>
      <c r="DW59" s="188">
        <f ca="1">IF(F59&lt;OFFSET($BM$9,DT59-1,0,1,1),0,IF(F59&lt;OFFSET($BN$9,DT59-1,0,1,1),((F59-OFFSET($BM$9,DT59-1,0,1,1))*OFFSET($CI$9,DT59-1,0,1,1))+OFFSET($BP$9,DT59-1,CQ59,1,1),IF(F59&lt;OFFSET($BN$9,DT59+0,0,1,1),((F59-OFFSET($BM$9,DT59+0,0,1,1))*OFFSET($CI$9,DT59+0,0,1,1))+OFFSET($BP$9,DT59+0,CQ59,1,1),IF(F59&lt;OFFSET($BN$9,DT59+1,0,1,1),((F59-OFFSET($BM$9,DT59+1,0,1,1))*OFFSET($CI$9,DT59+1,0,1,1))+OFFSET($BP$9,DT59+1,CQ59,1,1),IF(F59&lt;OFFSET($BN$9,DT59+2,0,1,1),((F59-OFFSET($BM$9,DT59+2,0,1,1))*OFFSET($CI$9,DT59+2,0,1,1))+OFFSET($BP$9,DT59+2,CQ59,1,1),IF(F59&lt;OFFSET($BN$9,DT59+3,0,1,1),((F59-OFFSET($BM$9,DT59+3,0,1,1))*OFFSET($CI$9,DT59+3,0,1,1))+OFFSET($BP$9,DT59+3,CQ59,1,1),0))))))</f>
        <v>0</v>
      </c>
      <c r="DX59" s="51">
        <f ca="1">IF($F59&lt;OFFSET($BM$9,$DT59-1,0,1,1),0,IF($F59&lt;OFFSET($BN$9,$DT59-1,0,1,1),IF(AND($H59&gt;2.4,Z59&lt;&gt;"e",Z59&lt;&gt;"f"),EB59*2.4/$H59,EB59),IF($F59&lt;OFFSET($BN$9,$DT59+0,0,1,1),IF(AND($H59&gt;2.4,Z59&lt;&gt;"e",Z59&lt;&gt;"f"),EB59*2.4/$H59,EB59),IF($F59&lt;OFFSET($BN$9,$DT59+1,0,1,1),IF(AND($H59&gt;2.4,Z59&lt;&gt;"e",Z59&lt;&gt;"f"),EB59*2.4/$H59,EB59),IF($F59&lt;OFFSET($BN$9,$DT59+2,0,1,1),IF(AND($H59&gt;2.4,Z59&lt;&gt;"e",Z59&lt;&gt;"f"),EB59*2.4/$H59,EB59),IF($F59&lt;OFFSET($BN$9,$DT59+3,0,1,1),IF(AND($H59&gt;2.4,Z59&lt;&gt;"e",Z59&lt;&gt;"f"),EB59*2.4/$H59,EB59),0)))))*COS(RADIANS($G59)))</f>
        <v>0</v>
      </c>
      <c r="DY59" s="188"/>
      <c r="DZ59" s="188">
        <f ca="1">IF(DU59&gt;$CR59,$CR59,DU59)</f>
        <v>0</v>
      </c>
      <c r="EA59" s="188"/>
      <c r="EB59" s="188">
        <f ca="1">IF(DW59&gt;$CR59,$CR59,DW59)</f>
        <v>0</v>
      </c>
      <c r="EC59" s="435">
        <f ca="1">IF(DV59&gt;$CR59,$CR59,DV59)</f>
        <v>0</v>
      </c>
      <c r="ED59" s="435">
        <f ca="1">EC59*F59</f>
        <v>0</v>
      </c>
      <c r="EE59" s="436">
        <f ca="1">IF(DX59&gt;$CR59,$CR59,DX59)</f>
        <v>0</v>
      </c>
      <c r="EF59" s="437">
        <f ca="1">EE59*F59</f>
        <v>0</v>
      </c>
      <c r="EG59" s="613" t="str">
        <f>IF(D59=BG$12,BG$12,"")</f>
        <v/>
      </c>
      <c r="EH59" s="614" t="str">
        <f>IF(D59=BG$13,BG$13,"")</f>
        <v/>
      </c>
      <c r="EI59" s="611">
        <f>IF(EG59=BG$12,M59,0)</f>
        <v>0</v>
      </c>
      <c r="EJ59" s="451">
        <f>IF(EG59=BG$12,O59,0)</f>
        <v>0</v>
      </c>
      <c r="EK59" s="451">
        <f>IF(EH59=BG$13,M59,0)</f>
        <v>0</v>
      </c>
      <c r="EL59" s="612">
        <f>IF(EH59=BG$13,O59,0)</f>
        <v>0</v>
      </c>
      <c r="EM59" s="426" t="str">
        <f ca="1">IF(AND(Z59&lt;&gt;"t",Z59&lt;&gt;"f"),"",IF(AND(EN59=$BH$11,K59&lt;&gt;EN59),EM$4,IF(AND(EN59=$BH$12,K59=$BH$13),EM$4,IF(AND(EN59=$BH$12,K59=$BH$14),EM$4,IF(AND(EN59=$BH$13,K59=$BH$14),$EM$4,IF(EN59=$BH$14,$EM$4,""))))))</f>
        <v/>
      </c>
      <c r="EN59" s="489" t="str">
        <f>BG$24</f>
        <v>No Floor</v>
      </c>
      <c r="EO59" s="426" t="str">
        <f>K59</f>
        <v xml:space="preserve"> </v>
      </c>
      <c r="EP59" s="497" t="str">
        <f ca="1">IF(AND(Z59&lt;&gt;"t",Z59&lt;&gt;"f"),"",IF(AND(EN59=$BH$14,K59&lt;&gt;EN59),EP$4,IF(AND(EN59=$BH$13,K59=$BH$12),EP$4,IF(AND(EN59=$BH$13,K59=$BH$11),EP$4,IF(AND(EN59=$BH$12,K59=$BH$11),$EP$4,IF(EN59=$BH$11,"Earth",""))))))</f>
        <v/>
      </c>
      <c r="EQ59" s="430" t="str">
        <f ca="1">IF(Z59&lt;&gt;"t","",IF(EQ$5=2,IF(K59&lt;&gt;BH$11,EQ$7," ")))</f>
        <v/>
      </c>
      <c r="ER59" s="439" t="str">
        <f ca="1">IF(H59=0," ",H59)</f>
        <v xml:space="preserve"> </v>
      </c>
      <c r="ES59" s="440" t="str">
        <f ca="1">IF(ER59&lt;&gt;" ",IF(ER59&lt;&gt;ER$7,"Changed",""),"")</f>
        <v/>
      </c>
      <c r="ET59" s="440">
        <f t="shared" ca="1" si="20"/>
        <v>0</v>
      </c>
      <c r="EU59" s="426" t="str">
        <f ca="1">IF(I59=" "," ",IF(F59&lt;OFFSET($BM$9,CL59-1,0,1,1),1,""))</f>
        <v xml:space="preserve"> </v>
      </c>
      <c r="EW59" s="427"/>
      <c r="EY59" s="421"/>
    </row>
    <row r="60" spans="1:155" ht="17.100000000000001" customHeight="1" thickBot="1">
      <c r="A60" s="2685"/>
      <c r="B60" s="689" t="s">
        <v>246</v>
      </c>
      <c r="C60" s="684" t="str">
        <f>IF(OR(F60=0,I60="",I60=" ")," ",$V60)</f>
        <v xml:space="preserve"> </v>
      </c>
      <c r="D60" s="1033"/>
      <c r="E60" s="1360"/>
      <c r="F60" s="202"/>
      <c r="G60" s="1416"/>
      <c r="H60" s="1417" t="str">
        <f ca="1">IF(OR(F60=0,Z60="E",Z60="f")," ",'Project Demand'!E$55)</f>
        <v xml:space="preserve"> </v>
      </c>
      <c r="I60" s="631" t="str">
        <f>IF($I$6&lt;&gt;$BG$8," ",AB60)</f>
        <v xml:space="preserve"> </v>
      </c>
      <c r="J60" s="44" t="str">
        <f ca="1">IF(OR(I60=" ",I60="")," ",OFFSET($BO$9,CL60-1,0-4,1,1))</f>
        <v xml:space="preserve"> </v>
      </c>
      <c r="K60" s="55" t="str">
        <f>IF(OR(I60=" ",I60="")," ",IF(OR(Z60="e",Z60="h"),"SD",IF(BG$24=BH$11,BH$13,BG$24)))</f>
        <v xml:space="preserve"> </v>
      </c>
      <c r="L60" s="49">
        <f ca="1">CW60</f>
        <v>0</v>
      </c>
      <c r="M60" s="49">
        <f ca="1">CY60</f>
        <v>0</v>
      </c>
      <c r="N60" s="50">
        <f t="shared" ca="1" si="37"/>
        <v>0</v>
      </c>
      <c r="O60" s="126">
        <f t="shared" ca="1" si="37"/>
        <v>0</v>
      </c>
      <c r="P60" s="140"/>
      <c r="Q60" s="752" t="str">
        <f ca="1">IF(AND(OR(Z60="t",Z60="f"),K60=$BH$11),"No Floor!  Change Floor Type",IF(OR(I60=" ",I60="")," ",IF(F60&lt;OFFSET($BM$9,CL60-1,0,1,1),"check L(m)",DE60&amp;IF(AND(DP60&gt;=CY60,DR60&gt;=DB60),IF(AND(ED60&gt;=DP60,EF60&gt;=DR60),CONCATENATE(DS60," will provide same result"),CONCATENATE(CO60," will provide same result")),IF((DP60&gt;=CY60),CONCATENATE(CO60," provides same result in WIND"),IF((DR60&gt;=DB60),CONCATENATE(CO60," provides same result in EQ"),""))))))&amp;IF(ISERROR(FIND("pile",I60,1)),"",IF(INT(F60)&lt;&gt;F60,"Pile!  Use Whole Numbers Only",""))</f>
        <v xml:space="preserve"> </v>
      </c>
      <c r="R60" s="52"/>
      <c r="S60" s="1372"/>
      <c r="T60" s="1372"/>
      <c r="U60" s="1377"/>
      <c r="V60" s="52" t="str">
        <f ca="1">IF(AND(B$5=$BF$9,OR(I60=BH$16,I60=BH$17))," ",IF(ISNUMBER(B$56),(CONCATENATE(B$56,".",W60)),(CONCATENATE(B$56,W60))))</f>
        <v>I0</v>
      </c>
      <c r="W60" s="9">
        <f ca="1">W59+X60</f>
        <v>0</v>
      </c>
      <c r="X60" s="9">
        <f>IF(AND(B$5=$BF$9,OR($I60=$BH$16,$I60=$BH$17,$I60=" ",$I60="",$F60=0)),0,IF(OR($I60=" ",$I60="",$F60=0),0,1))</f>
        <v>0</v>
      </c>
      <c r="Y60" s="896"/>
      <c r="Z60" s="52" t="str">
        <f ca="1">IF(I60=" "," ",OFFSET($BM$9,$CL60-1,8,1,1))</f>
        <v xml:space="preserve"> </v>
      </c>
      <c r="AA60" s="51" t="str">
        <f>IF(G60&gt;=45,"WA","")</f>
        <v/>
      </c>
      <c r="AB60" s="1364" t="str">
        <f>IF(OR(E60=" ",E60="")," ",(IF(F60&lt;&gt;"",IF(OR(D60=$BG$12,D60=$BG$13),IF(E60&lt;&gt;$BG$17,$BF$20,$BF$21),IF(E60&lt;&gt;$BG$17,$BF$20,$BF$21))," ")))</f>
        <v xml:space="preserve"> </v>
      </c>
      <c r="AC60" s="1"/>
      <c r="AJ60" s="2"/>
      <c r="AK60" s="63" t="str">
        <f>'Custom Elements'!B21</f>
        <v xml:space="preserve">  </v>
      </c>
      <c r="AL60" s="860" t="str">
        <f>'Custom Elements'!C21</f>
        <v>Custom13</v>
      </c>
      <c r="AM60" s="11">
        <f>'Custom Elements'!D21</f>
        <v>9.9999999999999996E-76</v>
      </c>
      <c r="AN60" s="7">
        <f>'Custom Elements'!E21</f>
        <v>0</v>
      </c>
      <c r="AO60" s="7">
        <f>'Custom Elements'!F21</f>
        <v>0</v>
      </c>
      <c r="AP60" s="762" t="str">
        <f>'Custom Elements'!G21</f>
        <v>B</v>
      </c>
      <c r="AQ60" s="1637" t="str">
        <f>'Custom Elements'!H21</f>
        <v>Single</v>
      </c>
      <c r="AR60" s="1637" t="str">
        <f>'Custom Elements'!I21</f>
        <v>Yes</v>
      </c>
      <c r="AS60" s="442" t="str">
        <f>'Custom Elements'!J21</f>
        <v>Yes</v>
      </c>
      <c r="AT60" s="1155"/>
      <c r="AU60"/>
      <c r="AY60"/>
      <c r="AZ60" s="442" t="str">
        <f>IF(AND('Custom Elements'!J21="Yes",'Custom Elements'!I21="Yes"),"T",IF('Custom Elements'!J21="Yes","F",IF('Custom Elements'!I21="Yes","H","E")))</f>
        <v>T</v>
      </c>
      <c r="BA60" s="51"/>
      <c r="BB60" s="51"/>
      <c r="BC60" s="51"/>
      <c r="BD60" s="638"/>
      <c r="BE60" s="1020"/>
      <c r="BF60" s="1020"/>
      <c r="BG60" s="1020"/>
      <c r="BH60" s="479"/>
      <c r="BI60" s="759"/>
      <c r="BJ60" s="897">
        <f t="shared" si="33"/>
        <v>52</v>
      </c>
      <c r="BK60" s="908"/>
      <c r="BL60" s="767"/>
      <c r="BM60" s="776">
        <f>Table!D14</f>
        <v>1.2</v>
      </c>
      <c r="BN60" s="776">
        <v>999</v>
      </c>
      <c r="BO60" s="776">
        <f>Table!E14</f>
        <v>98</v>
      </c>
      <c r="BP60" s="926">
        <f>Table!F14</f>
        <v>88</v>
      </c>
      <c r="BQ60" s="1183"/>
      <c r="BR60" s="908"/>
      <c r="BS60" s="776"/>
      <c r="BT60" s="776"/>
      <c r="BU60" s="926" t="s">
        <v>242</v>
      </c>
      <c r="BV60" s="433"/>
      <c r="BW60" s="914"/>
      <c r="BX60" s="926" t="str">
        <f>Table!H11</f>
        <v>Double</v>
      </c>
      <c r="CH60" s="908">
        <f>IF(BN60=999,0,(BO61-BO60)/(BN60-BM60))</f>
        <v>0</v>
      </c>
      <c r="CI60" s="926">
        <f>IF(BN60=999,0,(BP61-BP60)/(BN60-BM60))</f>
        <v>0</v>
      </c>
      <c r="CJ60" s="759"/>
      <c r="CK60" s="188"/>
      <c r="CL60" s="979">
        <f>VLOOKUP(I60,Prodlink,2,0)</f>
        <v>0</v>
      </c>
      <c r="CN60" s="497">
        <f t="shared" ca="1" si="31"/>
        <v>0</v>
      </c>
      <c r="CO60" s="497">
        <f ca="1">OFFSET($CH$9,CL60-1,-15,1,1)</f>
        <v>0</v>
      </c>
      <c r="CQ60" s="51">
        <v>0</v>
      </c>
      <c r="CR60" s="51">
        <f ca="1">IF(AND(Z60&lt;&gt;"t",Z60&lt;&gt;"f"),10000,IF(K60=$BH$11,0,IF(K60=$BH$12,$BH$23,IF(K60=$BH$13,$BH$24,10000))))</f>
        <v>10000</v>
      </c>
      <c r="CS60" s="51">
        <f ca="1">IF(F60&lt;OFFSET($BM$9,CL60-1,0,1,1),0,IF(F60&lt;OFFSET($BN$9,CL60-1,0,1,1),((F60-OFFSET($BM$9,CL60-1,0,1,1))*OFFSET($CH$9,CL60-1,0,1,1))+OFFSET($BO$9,CL60-1,CQ60,1,1),IF(F60&lt;OFFSET($BN$9,CL60+0,0,1,1),((F60-OFFSET($BM$9,CL60+0,0,1,1))*OFFSET($CH$9,CL60+0,0,1,1))+OFFSET($BO$9,CL60+0,CQ60,1,1),IF(F60&lt;OFFSET($BN$9,CL60+1,0,1,1),((F60-OFFSET($BM$9,CL60+1,0,1,1))*OFFSET($CH$9,CL60+1,0,1,1))+OFFSET($BO$9,CL60+1,CQ60,1,1),IF(F60&lt;OFFSET($BN$9,CL60+2,0,1,1),((F60-OFFSET($BM$9,CL60+2,0,1,1))*OFFSET($CH$9,CL60+2,0,1,1))+OFFSET($BO$9,CL60+2,CQ60,1,1),IF(F60&lt;OFFSET($BN$9,CL60+3,0,1,1),((F60-OFFSET($BM$9,CL60+3,0,1,1))*OFFSET($CH$9,CL60+3,0,1,1))+OFFSET($BO$9,CL60+3,CQ60,1,1),0))))))</f>
        <v>0</v>
      </c>
      <c r="CT60" s="51">
        <f ca="1">IF($F60&lt;OFFSET($BM$9,$CL60-1,0,1,1),0,IF($F60&lt;OFFSET($BN$9,$CL60-1,0,1,1),IF(AND($H60&gt;2.4,Z60&lt;&gt;"e",Z60&lt;&gt;"f"),CX60*2.4/$H60,CX60),IF($F60&lt;OFFSET($BN$9,$CL60+0,0,1,1),IF(AND($H60&gt;2.4,Z60&lt;&gt;"e",Z60&lt;&gt;"f"),CX60*2.4/$H60,CX60),IF($F60&lt;OFFSET($BN$9,$CL60+1,0,1,1),IF(AND($H60&gt;2.4,Z60&lt;&gt;"e",Z60&lt;&gt;"f"),CX60*2.4/$H60,CX60),IF($F60&lt;OFFSET($BN$9,CL60+2,0,1,1),IF(AND($H60&gt;2.4,Z60&lt;&gt;"e",Z60&lt;&gt;"f"),CX60*2.4/$H60,CX60),IF($F60&lt;OFFSET($BN$9,CL60+3,0,1,1),IF(AND($H60&gt;2.4,Z60&lt;&gt;"e",Z60&lt;&gt;"f"),CX60*2.4/$H60,CX60),0)))))*COS(RADIANS($G60)))</f>
        <v>0</v>
      </c>
      <c r="CU60" s="51">
        <f ca="1">IF(F60&lt;OFFSET($BM$9,CL60-1,0,1,1),0,IF(F60&lt;OFFSET($BN$9,CL60-1,0,1,1),((F60-OFFSET($BM$9,CL60-1,0,1,1))*OFFSET($CI$9,CL60-1,0,1,1))+OFFSET($BP$9,CL60-1,CQ60,1,1),IF(F60&lt;OFFSET($BN$9,CL60+0,0,1,1),((F60-OFFSET($BM$9,CL60+0,0,1,1))*OFFSET($CI$9,CL60+0,0,1,1))+OFFSET($BP$9,CL60+0,CQ60,1,1),IF(F60&lt;OFFSET($BN$9,CL60+1,0,1,1),((F60-OFFSET($BM$9,CL60+1,0,1,1))*OFFSET($CI$9,CL60+1,0,1,1))+OFFSET($BP$9,CL60+1,CQ60,1,1),IF(F60&lt;OFFSET($BN$9,CL60+2,0,1,1),((F60-OFFSET($BM$9,CL60+2,0,1,1))*OFFSET($CI$9,CL60+2,0,1,1))+OFFSET($BP$9,CL60+2,CQ60,1,1),IF(F60&lt;OFFSET($BN$9,CL60+3,0,1,1),((F60-OFFSET($BM$9,CL60+3,0,1,1))*OFFSET($CI$9,CL60+3,0,1,1))+OFFSET($BP$9,CL60+3,CQ60,1,1),0))))))</f>
        <v>0</v>
      </c>
      <c r="CV60" s="51">
        <f ca="1">IF($F60&lt;OFFSET($BM$9,$CL60-1,0,1,1),0,IF($F60&lt;OFFSET($BN$9,$CL60-1,0,1,1),IF(AND($H60&gt;2.4,Z60&lt;&gt;"e",Z60&lt;&gt;"f"),CZ60*2.4/$H60,CZ60),IF($F60&lt;OFFSET($BN$9,$CL60+0,0,1,1),IF(AND($H60&gt;2.4,Z60&lt;&gt;"e",Z60&lt;&gt;"f"),CZ60*2.4/$H60,CZ60),IF($F60&lt;OFFSET($BN$9,$CL60+1,0,1,1),IF(AND($H60&gt;2.4,Z60&lt;&gt;"e",Z60&lt;&gt;"f"),CZ60*2.4/$H60,CZ60),IF($F60&lt;OFFSET($BN$9,$CL60+2,0,1,1),IF(AND($H60&gt;2.4,Z60&lt;&gt;"e",Z60&lt;&gt;"f"),CZ60*2.4/$H60,CZ60),IF($F60&lt;OFFSET($BN$9,$CL60+3,0,1,1),IF(AND($H60&gt;2.4,Z60&lt;&gt;"e",Z60&lt;&gt;"f"),CZ60*2.4/$H60,CZ60),0)))))*COS(RADIANS($G60)))</f>
        <v>0</v>
      </c>
      <c r="CW60" s="51">
        <f t="shared" ca="1" si="17"/>
        <v>0</v>
      </c>
      <c r="CX60" s="51">
        <f ca="1">IF(CS60&gt;$CR60,$CR60,CS60)</f>
        <v>0</v>
      </c>
      <c r="CY60" s="51">
        <f ca="1">CW60*F60</f>
        <v>0</v>
      </c>
      <c r="CZ60" s="51">
        <f ca="1">IF($CU60&gt;$CR60,$CR60,$CU60)</f>
        <v>0</v>
      </c>
      <c r="DA60" s="51">
        <f ca="1">IF(CV60&gt;CR60,CR60,CV60)</f>
        <v>0</v>
      </c>
      <c r="DB60" s="51">
        <f ca="1">DA60*F60</f>
        <v>0</v>
      </c>
      <c r="DC60" s="993">
        <v>1</v>
      </c>
      <c r="DD60" s="758" t="str">
        <f>IF(OR(D60=BG$12,D60=BG$13),"External",IF(D60=BG$14,"Internal"," "))</f>
        <v xml:space="preserve"> </v>
      </c>
      <c r="DE60" s="51" t="str">
        <f t="shared" ca="1" si="18"/>
        <v/>
      </c>
      <c r="DF60" s="52" t="str">
        <f t="shared" ca="1" si="19"/>
        <v xml:space="preserve"> </v>
      </c>
      <c r="DG60" s="51">
        <f ca="1">IF(F60&lt;OFFSET($BM$9,CN60-1,0,1,1),0,IF(F60&lt;OFFSET($BN$9,CN60-1,0,1,1),((F60-OFFSET($BM$9,CN60-1,0,1,1))*OFFSET($CH$9,CN60-1,0,1,1))+OFFSET($BO$9,CN60-1,CQ60,1,1),IF(F60&lt;OFFSET($BN$9,CN60+0,0,1,1),((F60-OFFSET($BM$9,CN60+0,0,1,1))*OFFSET($CH$9,CN60+0,0,1,1))+OFFSET($BO$9,CN60+0,CQ60,1,1),IF(F60&lt;OFFSET($BN$9,CN60+1,0,1,1),((F60-OFFSET($BM$9,CN60+1,0,1,1))*OFFSET($CH$9,CN60+1,0,1,1))+OFFSET($BO$9,CN60+1,CQ60,1,1),IF(F60&lt;OFFSET($BN$9,CN60+2,0,1,1),((F60-OFFSET($BM$9,CN60+2,0,1,1))*OFFSET($CH$9,CN60+2,0,1,1))+OFFSET($BO$9,CN60+2,CQ60,1,1),IF(F60&lt;OFFSET($BN$9,CN60+3,0,1,1),((F60-OFFSET($BM$9,CN60+3,0,1,1))*OFFSET($CH$9,CN60+3,0,1,1))+OFFSET($BO$9,CN60+3,CQ60,1,1),0))))))</f>
        <v>0</v>
      </c>
      <c r="DH60" s="51">
        <f ca="1">IF($F60&lt;OFFSET($BM$9,$CN60-1,0,1,1),0,IF($F60&lt;OFFSET($BN$9,$CN60-1,0,1,1),IF(AND($H60&gt;2.4,Z60&lt;&gt;"e",Z60&lt;&gt;"f"),DL60*2.4/$H60,DL60),IF($F60&lt;OFFSET($BN$9,$CN60+0,0,1,1),IF(AND($H60&gt;2.4,Z60&lt;&gt;"e",Z60&lt;&gt;"f"),DL60*2.4/$H60,DL60),IF($F60&lt;OFFSET($BN$9,$CN60+1,0,1,1),IF(AND($H60&gt;2.4,Z60&lt;&gt;"e",Z60&lt;&gt;"f"),DL60*2.4/$H60,DL60),IF($F60&lt;OFFSET($BN$9,$CN60+2,0,1,1),IF(AND($H60&gt;2.4,Z60&lt;&gt;"e",Z60&lt;&gt;"f"),DL60*2.4/$H60,DL60),IF($F60&lt;OFFSET($BN$9,$CN60+3,0,1,1),IF(AND($H60&gt;2.4,Z60&lt;&gt;"e",Z60&lt;&gt;"f"),DL60*2.4/$H60,DL60),0)))))*COS(RADIANS($G60)))</f>
        <v>0</v>
      </c>
      <c r="DI60" s="51">
        <f ca="1">IF(F60&lt;OFFSET($BM$9,CN60-1,0,1,1),0,IF(F60&lt;OFFSET($BN$9,CN60-1,0,1,1),((F60-OFFSET($BM$9,CN60-1,0,1,1))*OFFSET($CI$9,CN60-1,0,1,1))+OFFSET($BP$9,CN60-1,CQ60,1,1),IF(F60&lt;OFFSET($BN$9,CN60+0,0,1,1),((F60-OFFSET($BM$9,CN60+0,0,1,1))*OFFSET($CI$9,CN60+0,0,1,1))+OFFSET($BP$9,CN60+0,CQ60,1,1),IF(F60&lt;OFFSET($BN$9,CN60+1,0,1,1),((F60-OFFSET($BM$9,CN60+1,0,1,1))*OFFSET($CI$9,CN60+1,0,1,1))+OFFSET($BP$9,CN60+1,CQ60,1,1),IF(F60&lt;OFFSET($BN$9,CN60+2,0,1,1),((F60-OFFSET($BM$9,CN60+2,0,1,1))*OFFSET($CI$9,CN60+2,0,1,1))+OFFSET($BP$9,CN60+2,CQ60,1,1),IF(F60&lt;OFFSET($BN$9,CN60+3,0,1,1),((F60-OFFSET($BM$9,CN60+3,0,1,1))*OFFSET($CI$9,CN60+3,0,1,1))+OFFSET($BP$9,CN60+3,CQ60,1,1),0))))))</f>
        <v>0</v>
      </c>
      <c r="DJ60" s="51">
        <f ca="1">IF($F60&lt;OFFSET($BM$9,$CN60-1,0,1,1),0,IF($F60&lt;OFFSET($BN$9,$CN60-1,0,1,1),IF(AND($H60&gt;2.4,Z60&lt;&gt;"e",Z60&lt;&gt;"f"),DN60*2.4/$H60,DN60),IF($F60&lt;OFFSET($BN$9,$CN60+0,0,1,1),IF(AND($H60&gt;2.4,Z60&lt;&gt;"e",Z60&lt;&gt;"f"),DN60*2.4/$H60,DN60),IF($F60&lt;OFFSET($BN$9,$CN60+1,0,1,1),IF(AND($H60&gt;2.4,Z60&lt;&gt;"e",Z60&lt;&gt;"f"),DN60*2.4/$H60,DN60),IF($F60&lt;OFFSET($BN$9,$CN60+2,0,1,1),IF(AND($H60&gt;2.4,Z60&lt;&gt;"e",Z60&lt;&gt;"f"),DN60*2.4/$H60,DN60),IF($F60&lt;OFFSET($BN$9,$CN60+3,0,1,1),IF(AND($H60&gt;2.4,Z60&lt;&gt;"e",Z60&lt;&gt;"f"),DN60*2.4/$H60,DN60),0)))))*COS(RADIANS($G60)))</f>
        <v>0</v>
      </c>
      <c r="DK60" s="51"/>
      <c r="DL60" s="51">
        <f ca="1">IF(DG60&gt;$CR60,$CR60,DG60)</f>
        <v>0</v>
      </c>
      <c r="DM60" s="51"/>
      <c r="DN60" s="51">
        <f ca="1">IF(DI60&gt;$CR60,$CR60,DI60)</f>
        <v>0</v>
      </c>
      <c r="DO60" s="435">
        <f ca="1">IF(DH60&gt;$CR60,$CR60,DH60)</f>
        <v>0</v>
      </c>
      <c r="DP60" s="435">
        <f ca="1">DO60*F60</f>
        <v>0</v>
      </c>
      <c r="DQ60" s="436">
        <f ca="1">IF(DJ60&gt;$CR60,$CR60,DJ60)</f>
        <v>0</v>
      </c>
      <c r="DR60" s="437">
        <f ca="1">DQ60*F60</f>
        <v>0</v>
      </c>
      <c r="DS60" s="426">
        <f ca="1">OFFSET($CH$9,CL60-1,-15,1,1)</f>
        <v>0</v>
      </c>
      <c r="DT60" s="426">
        <f t="shared" ca="1" si="32"/>
        <v>0</v>
      </c>
      <c r="DU60" s="188">
        <f ca="1">IF(F60&lt;OFFSET($BM$9,DT60-1,0,1,1),0,IF(F60&lt;OFFSET($BN$9,DT60-1,0,1,1),((F60-OFFSET($BM$9,DT60-1,0,1,1))*OFFSET($CH$9,DT60-1,0,1,1))+OFFSET($BO$9,DT60-1,CQ60,1,1),IF(F60&lt;OFFSET($BN$9,DT60+0,0,1,1),((F60-OFFSET($BM$9,DT60+0,0,1,1))*OFFSET($CH$9,DT60+0,0,1,1))+OFFSET($BO$9,DT60+0,CQ60,1,1),IF(F60&lt;OFFSET($BN$9,DT60+1,0,1,1),((F60-OFFSET($BM$9,DT60+1,0,1,1))*OFFSET($CH$9,DT60+1,0,1,1))+OFFSET($BO$9,DT60+1,CQ60,1,1),IF(F60&lt;OFFSET($BN$9,DT60+2,0,1,1),((F60-OFFSET($BM$9,DT60+2,0,1,1))*OFFSET($CH$9,DT60+2,0,1,1))+OFFSET($BO$9,DT60+2,CQ60,1,1),IF(F60&lt;OFFSET($BN$9,DT60+3,0,1,1),((F60-OFFSET($BM$9,DT60+3,0,1,1))*OFFSET($CH$9,DT60+3,0,1,1))+OFFSET($BO$9,DT60+3,CQ60,1,1),0))))))</f>
        <v>0</v>
      </c>
      <c r="DV60" s="51">
        <f ca="1">IF($F60&lt;OFFSET($BM$9,$DT60-1,0,1,1),0,IF($F60&lt;OFFSET($BN$9,$DT60-1,0,1,1),IF(AND($H60&gt;2.4,Z60&lt;&gt;"e",Z60&lt;&gt;"f"),DZ60*2.4/$H60,DZ60),IF($F60&lt;OFFSET($BN$9,$DT60+0,0,1,1),IF(AND($H60&gt;2.4,Z60&lt;&gt;"e",Z60&lt;&gt;"f"),DZ60*2.4/$H60,DZ60),IF($F60&lt;OFFSET($BN$9,$DT60+1,0,1,1),IF(AND($H60&gt;2.4,Z60&lt;&gt;"e",Z60&lt;&gt;"f"),DZ60*2.4/$H60,DZ60),IF($F60&lt;OFFSET($BN$9,$DT60+2,0,1,1),IF(AND($H60&gt;2.4,Z60&lt;&gt;"e",Z60&lt;&gt;"f"),DZ60*2.4/$H60,DZ60),IF($F60&lt;OFFSET($BN$9,$DT60+3,0,1,1),IF(AND($H60&gt;2.4,Z60&lt;&gt;"e",Z60&lt;&gt;"f"),DZ60*2.4/$H60,DZ60),0)))))*COS(RADIANS($G60)))</f>
        <v>0</v>
      </c>
      <c r="DW60" s="188">
        <f ca="1">IF(F60&lt;OFFSET($BM$9,DT60-1,0,1,1),0,IF(F60&lt;OFFSET($BN$9,DT60-1,0,1,1),((F60-OFFSET($BM$9,DT60-1,0,1,1))*OFFSET($CI$9,DT60-1,0,1,1))+OFFSET($BP$9,DT60-1,CQ60,1,1),IF(F60&lt;OFFSET($BN$9,DT60+0,0,1,1),((F60-OFFSET($BM$9,DT60+0,0,1,1))*OFFSET($CI$9,DT60+0,0,1,1))+OFFSET($BP$9,DT60+0,CQ60,1,1),IF(F60&lt;OFFSET($BN$9,DT60+1,0,1,1),((F60-OFFSET($BM$9,DT60+1,0,1,1))*OFFSET($CI$9,DT60+1,0,1,1))+OFFSET($BP$9,DT60+1,CQ60,1,1),IF(F60&lt;OFFSET($BN$9,DT60+2,0,1,1),((F60-OFFSET($BM$9,DT60+2,0,1,1))*OFFSET($CI$9,DT60+2,0,1,1))+OFFSET($BP$9,DT60+2,CQ60,1,1),IF(F60&lt;OFFSET($BN$9,DT60+3,0,1,1),((F60-OFFSET($BM$9,DT60+3,0,1,1))*OFFSET($CI$9,DT60+3,0,1,1))+OFFSET($BP$9,DT60+3,CQ60,1,1),0))))))</f>
        <v>0</v>
      </c>
      <c r="DX60" s="51">
        <f ca="1">IF($F60&lt;OFFSET($BM$9,$DT60-1,0,1,1),0,IF($F60&lt;OFFSET($BN$9,$DT60-1,0,1,1),IF(AND($H60&gt;2.4,Z60&lt;&gt;"e",Z60&lt;&gt;"f"),EB60*2.4/$H60,EB60),IF($F60&lt;OFFSET($BN$9,$DT60+0,0,1,1),IF(AND($H60&gt;2.4,Z60&lt;&gt;"e",Z60&lt;&gt;"f"),EB60*2.4/$H60,EB60),IF($F60&lt;OFFSET($BN$9,$DT60+1,0,1,1),IF(AND($H60&gt;2.4,Z60&lt;&gt;"e",Z60&lt;&gt;"f"),EB60*2.4/$H60,EB60),IF($F60&lt;OFFSET($BN$9,$DT60+2,0,1,1),IF(AND($H60&gt;2.4,Z60&lt;&gt;"e",Z60&lt;&gt;"f"),EB60*2.4/$H60,EB60),IF($F60&lt;OFFSET($BN$9,$DT60+3,0,1,1),IF(AND($H60&gt;2.4,Z60&lt;&gt;"e",Z60&lt;&gt;"f"),EB60*2.4/$H60,EB60),0)))))*COS(RADIANS($G60)))</f>
        <v>0</v>
      </c>
      <c r="DY60" s="188"/>
      <c r="DZ60" s="188">
        <f ca="1">IF(DU60&gt;$CR60,$CR60,DU60)</f>
        <v>0</v>
      </c>
      <c r="EA60" s="188"/>
      <c r="EB60" s="188">
        <f ca="1">IF(DW60&gt;$CR60,$CR60,DW60)</f>
        <v>0</v>
      </c>
      <c r="EC60" s="435">
        <f ca="1">IF(DV60&gt;$CR60,$CR60,DV60)</f>
        <v>0</v>
      </c>
      <c r="ED60" s="435">
        <f ca="1">EC60*F60</f>
        <v>0</v>
      </c>
      <c r="EE60" s="436">
        <f ca="1">IF(DX60&gt;$CR60,$CR60,DX60)</f>
        <v>0</v>
      </c>
      <c r="EF60" s="437">
        <f ca="1">EE60*F60</f>
        <v>0</v>
      </c>
      <c r="EG60" s="613" t="str">
        <f>IF(D60=BG$12,BG$12,"")</f>
        <v/>
      </c>
      <c r="EH60" s="614" t="str">
        <f>IF(D60=BG$13,BG$13,"")</f>
        <v/>
      </c>
      <c r="EI60" s="611">
        <f>IF(EG60=BG$12,M60,0)</f>
        <v>0</v>
      </c>
      <c r="EJ60" s="451">
        <f>IF(EG60=BG$12,O60,0)</f>
        <v>0</v>
      </c>
      <c r="EK60" s="451">
        <f>IF(EH60=BG$13,M60,0)</f>
        <v>0</v>
      </c>
      <c r="EL60" s="612">
        <f>IF(EH60=BG$13,O60,0)</f>
        <v>0</v>
      </c>
      <c r="EM60" s="426" t="str">
        <f ca="1">IF(AND(Z60&lt;&gt;"t",Z60&lt;&gt;"f"),"",IF(AND(EN60=$BH$11,K60&lt;&gt;EN60),EM$4,IF(AND(EN60=$BH$12,K60=$BH$13),EM$4,IF(AND(EN60=$BH$12,K60=$BH$14),EM$4,IF(AND(EN60=$BH$13,K60=$BH$14),$EM$4,IF(EN60=$BH$14,$EM$4,""))))))</f>
        <v/>
      </c>
      <c r="EN60" s="489" t="str">
        <f>BG$24</f>
        <v>No Floor</v>
      </c>
      <c r="EO60" s="426" t="str">
        <f>K60</f>
        <v xml:space="preserve"> </v>
      </c>
      <c r="EP60" s="497" t="str">
        <f ca="1">IF(AND(Z60&lt;&gt;"t",Z60&lt;&gt;"f"),"",IF(AND(EN60=$BH$14,K60&lt;&gt;EN60),EP$4,IF(AND(EN60=$BH$13,K60=$BH$12),EP$4,IF(AND(EN60=$BH$13,K60=$BH$11),EP$4,IF(AND(EN60=$BH$12,K60=$BH$11),$EP$4,IF(EN60=$BH$11,"Earth",""))))))</f>
        <v/>
      </c>
      <c r="EQ60" s="430" t="str">
        <f ca="1">IF(Z60&lt;&gt;"t","",IF(EQ$5=2,IF(K60&lt;&gt;BH$11,EQ$7," ")))</f>
        <v/>
      </c>
      <c r="ER60" s="439" t="str">
        <f ca="1">IF(H60=0," ",H60)</f>
        <v xml:space="preserve"> </v>
      </c>
      <c r="ES60" s="440" t="str">
        <f ca="1">IF(ER60&lt;&gt;" ",IF(ER60&lt;&gt;ER$7,"Changed",""),"")</f>
        <v/>
      </c>
      <c r="ET60" s="440">
        <f t="shared" ca="1" si="20"/>
        <v>0</v>
      </c>
      <c r="EU60" s="426" t="str">
        <f ca="1">IF(I60=" "," ",IF(F60&lt;OFFSET($BM$9,CL60-1,0,1,1),1,""))</f>
        <v xml:space="preserve"> </v>
      </c>
      <c r="EW60" s="427"/>
      <c r="EY60" s="421"/>
    </row>
    <row r="61" spans="1:155" ht="17.100000000000001" customHeight="1" thickBot="1">
      <c r="A61" s="2685"/>
      <c r="B61" s="2686" t="s">
        <v>8</v>
      </c>
      <c r="C61" s="2687"/>
      <c r="D61" s="1461" t="s">
        <v>8</v>
      </c>
      <c r="E61" s="659"/>
      <c r="F61" s="659"/>
      <c r="G61" s="659"/>
      <c r="H61" s="659"/>
      <c r="I61" s="1462"/>
      <c r="J61" s="1365" t="str">
        <f ca="1">(CONCATENATE(B56,$BE$54))</f>
        <v>I  Line:  Min. Requirement</v>
      </c>
      <c r="K61" s="23"/>
      <c r="L61" s="1019">
        <f ca="1">L$5</f>
        <v>0</v>
      </c>
      <c r="M61" s="48">
        <f ca="1">IF(B56=B50,SUM(M56:M60)+M55,SUM(M56:M60))</f>
        <v>0</v>
      </c>
      <c r="N61" s="1019">
        <f ca="1">N$5</f>
        <v>0</v>
      </c>
      <c r="O61" s="125">
        <f ca="1">IF(B56=B50,SUM(O56:O60)+O55,SUM(O56:O60))</f>
        <v>0</v>
      </c>
      <c r="P61" s="139"/>
      <c r="Q61" s="42" t="str">
        <f ca="1">IF(B56=B62,"",IF(AND(M61&gt;0,L61=L$5,OR(M61&lt;$M$105,M61&lt;$BF$3)),"Achieved &lt; Min Req per Line",IF(AND(O61&gt;0,N61=N$5,OR(O61&lt;$O$105,O61&lt;$BF$3)),"Achieved &lt; Min Req per Line",IF(AND(M61&gt;0,L61&gt;M61),"More Required on this line",IF(AND(O61&gt;0,N61&gt;O61),"More Required on this line",IF(AND(L61&gt;0,L61&lt;$BF$3),$BE$59,IF(AND(N61&gt;0,N61&lt;$BF$3),$BE$59,"")))))))</f>
        <v/>
      </c>
      <c r="R61" s="52"/>
      <c r="S61" s="52"/>
      <c r="T61" s="52"/>
      <c r="U61" s="1378"/>
      <c r="V61" s="52"/>
      <c r="W61" s="9"/>
      <c r="X61" s="9"/>
      <c r="Y61" s="896"/>
      <c r="Z61" s="52"/>
      <c r="AA61" s="51"/>
      <c r="AB61" s="1364"/>
      <c r="AC61"/>
      <c r="AJ61" s="2"/>
      <c r="AK61" s="63" t="str">
        <f>'Custom Elements'!B22</f>
        <v xml:space="preserve">  </v>
      </c>
      <c r="AL61" s="860" t="str">
        <f>'Custom Elements'!C22</f>
        <v>Custom14</v>
      </c>
      <c r="AM61" s="11">
        <f>'Custom Elements'!D22</f>
        <v>9.9999999999999996E-76</v>
      </c>
      <c r="AN61" s="7">
        <f>'Custom Elements'!E22</f>
        <v>0</v>
      </c>
      <c r="AO61" s="7">
        <f>'Custom Elements'!F22</f>
        <v>0</v>
      </c>
      <c r="AP61" s="762" t="str">
        <f>'Custom Elements'!G22</f>
        <v>B</v>
      </c>
      <c r="AQ61" s="1637" t="str">
        <f>'Custom Elements'!H22</f>
        <v>Single</v>
      </c>
      <c r="AR61" s="1637" t="str">
        <f>'Custom Elements'!I22</f>
        <v>Yes</v>
      </c>
      <c r="AS61" s="442" t="str">
        <f>'Custom Elements'!J22</f>
        <v>Yes</v>
      </c>
      <c r="AT61" s="1155"/>
      <c r="AU61"/>
      <c r="AY61"/>
      <c r="AZ61" s="442" t="str">
        <f>IF(AND('Custom Elements'!J22="Yes",'Custom Elements'!I22="Yes"),"T",IF('Custom Elements'!J22="Yes","F",IF('Custom Elements'!I22="Yes","H","E")))</f>
        <v>T</v>
      </c>
      <c r="BA61" s="51"/>
      <c r="BB61" s="51"/>
      <c r="BC61" s="51"/>
      <c r="BD61" s="641"/>
      <c r="BE61" s="2715" t="s">
        <v>861</v>
      </c>
      <c r="BF61" s="2716"/>
      <c r="BG61" s="2838"/>
      <c r="BH61" s="479"/>
      <c r="BI61" s="759"/>
      <c r="BJ61" s="897">
        <f t="shared" si="33"/>
        <v>53</v>
      </c>
      <c r="BK61" s="1231"/>
      <c r="BL61" s="1232"/>
      <c r="BM61" s="1205"/>
      <c r="BN61" s="1205"/>
      <c r="BO61" s="1205"/>
      <c r="BP61" s="1205"/>
      <c r="BQ61" s="1233"/>
      <c r="BR61" s="1205"/>
      <c r="BS61" s="1205"/>
      <c r="BT61" s="1205"/>
      <c r="BU61" s="1206"/>
      <c r="BV61" s="1227">
        <v>0</v>
      </c>
      <c r="BW61" s="1228">
        <v>0</v>
      </c>
      <c r="CH61" s="970"/>
      <c r="CI61" s="971"/>
      <c r="CJ61" s="759"/>
      <c r="CK61" s="188"/>
      <c r="CL61" s="979"/>
      <c r="CN61" s="497"/>
      <c r="CO61" s="497"/>
      <c r="CQ61" s="51"/>
      <c r="CR61" s="51"/>
      <c r="CS61" s="51"/>
      <c r="CT61" s="51" t="s">
        <v>8</v>
      </c>
      <c r="CU61" s="51"/>
      <c r="CV61" s="51" t="s">
        <v>8</v>
      </c>
      <c r="CW61" s="51"/>
      <c r="CX61" s="51"/>
      <c r="CY61" s="51"/>
      <c r="CZ61" s="51"/>
      <c r="DD61" s="758"/>
      <c r="DF61" s="52"/>
      <c r="DG61" s="51"/>
      <c r="DH61" s="51"/>
      <c r="DI61" s="51"/>
      <c r="DJ61" s="51"/>
      <c r="DK61" s="51"/>
      <c r="DL61" s="51"/>
      <c r="DM61" s="51"/>
      <c r="DN61" s="51"/>
      <c r="DO61" s="435"/>
      <c r="DP61" s="435"/>
      <c r="DQ61" s="868"/>
      <c r="DR61" s="868"/>
      <c r="DU61" s="188"/>
      <c r="DV61" s="188" t="s">
        <v>8</v>
      </c>
      <c r="DW61" s="188"/>
      <c r="DX61" s="188" t="s">
        <v>8</v>
      </c>
      <c r="DY61" s="188"/>
      <c r="DZ61" s="188"/>
      <c r="EA61" s="188"/>
      <c r="EB61" s="188"/>
      <c r="EC61" s="435"/>
      <c r="ED61" s="435"/>
      <c r="EE61" s="868"/>
      <c r="EF61" s="868"/>
      <c r="EG61" s="613"/>
      <c r="EH61" s="614"/>
      <c r="EI61" s="613"/>
      <c r="EJ61" s="435"/>
      <c r="EK61" s="451"/>
      <c r="EL61" s="612"/>
      <c r="EN61" s="438"/>
      <c r="ER61" s="441"/>
      <c r="ES61" s="440"/>
      <c r="ET61" s="440"/>
      <c r="EW61" s="427"/>
      <c r="EY61" s="421"/>
    </row>
    <row r="62" spans="1:155" ht="17.100000000000001" customHeight="1" thickBot="1">
      <c r="A62" s="2685"/>
      <c r="B62" s="1369" t="str">
        <f ca="1">S62</f>
        <v>J</v>
      </c>
      <c r="C62" s="684" t="str">
        <f>IF(OR(F62=0,I62="",I62=" ")," ",$V62)</f>
        <v xml:space="preserve"> </v>
      </c>
      <c r="D62" s="1033"/>
      <c r="E62" s="1360"/>
      <c r="F62" s="202"/>
      <c r="G62" s="1416"/>
      <c r="H62" s="1417" t="str">
        <f ca="1">IF(OR(F62=0,Z62="E",Z62="f")," ",'Project Demand'!E$55)</f>
        <v xml:space="preserve"> </v>
      </c>
      <c r="I62" s="631" t="str">
        <f>IF($I$6&lt;&gt;$BG$8," ",AB62)</f>
        <v xml:space="preserve"> </v>
      </c>
      <c r="J62" s="43" t="str">
        <f ca="1">IF(OR(I62=" ",I62="")," ",OFFSET($BO$9,CL62-1,0-4,1,1))</f>
        <v xml:space="preserve"> </v>
      </c>
      <c r="K62" s="55" t="str">
        <f>IF(OR(I62=" ",I62="")," ",IF(OR(Z62="e",Z62="h"),"SD",IF(BG$24=BH$11,BH$13,BG$24)))</f>
        <v xml:space="preserve"> </v>
      </c>
      <c r="L62" s="49">
        <f ca="1">CW62</f>
        <v>0</v>
      </c>
      <c r="M62" s="49">
        <f ca="1">CY62</f>
        <v>0</v>
      </c>
      <c r="N62" s="50">
        <f t="shared" ref="N62:O66" ca="1" si="38">DA62</f>
        <v>0</v>
      </c>
      <c r="O62" s="126">
        <f t="shared" ca="1" si="38"/>
        <v>0</v>
      </c>
      <c r="P62" s="140"/>
      <c r="Q62" s="752" t="str">
        <f ca="1">IF(AND(OR(Z62="t",Z62="f"),K62=$BH$11),"No Floor!  Change Floor Type",IF(OR(I62=" ",I62="")," ",IF(F62&lt;OFFSET($BM$9,CL62-1,0,1,1),"check L(m)",DE62&amp;IF(AND(DP62&gt;=CY62,DR62&gt;=DB62),IF(AND(ED62&gt;=DP62,EF62&gt;=DR62),CONCATENATE(DS62," will provide same result"),CONCATENATE(CO62," will provide same result")),IF((DP62&gt;=CY62),CONCATENATE(CO62," provides same result in WIND"),IF((DR62&gt;=DB62),CONCATENATE(CO62," provides same result in EQ"),""))))))&amp;IF(ISERROR(FIND("pile",I62,1)),"",IF(INT(F62)&lt;&gt;F62,"Pile!  Use Whole Numbers Only",""))</f>
        <v xml:space="preserve"> </v>
      </c>
      <c r="R62" s="52">
        <f ca="1">IF(T56&lt;&gt;2,(COLUMN(INDIRECT(B56&amp;1))+1),U62)</f>
        <v>10</v>
      </c>
      <c r="S62" s="1372" t="str">
        <f ca="1">SUBSTITUTE(ADDRESS(1,R62,4),"1","")</f>
        <v>J</v>
      </c>
      <c r="T62" s="451">
        <f ca="1">IF(AND(ISTEXT(B62),SUBSTITUTE(SUBSTITUTE(SUBSTITUTE(SUBSTITUTE(SUBSTITUTE(SUBSTITUTE(SUBSTITUTE(SUBSTITUTE(SUBSTITUTE(SUBSTITUTE(SUBSTITUTE(SUBSTITUTE(SUBSTITUTE(SUBSTITUTE(SUBSTITUTE(SUBSTITUTE(SUBSTITUTE(SUBSTITUTE(SUBSTITUTE(SUBSTITUTE(SUBSTITUTE(SUBSTITUTE(SUBSTITUTE(SUBSTITUTE(SUBSTITUTE(SUBSTITUTE(LOWER(B62),"a",),"b",),"c",),"d",),"e",),"f",),"g",),"h",),"i",),"j",),"k",),"l",),"m",),"n",),"o",),"p",),"q",),"r",),"s",),"t",),"u",),"v",),"w",),"x",),"y",),"z",)=""),1,2)</f>
        <v>1</v>
      </c>
      <c r="U62" s="1377">
        <v>10</v>
      </c>
      <c r="V62" s="52" t="str">
        <f ca="1">IF(AND(B$5=$BF$9,OR(I62=BH$16,I62=BH$17))," ",IF(ISNUMBER(B$62),(CONCATENATE(B$62,".",W62)),(CONCATENATE(B$62,W62))))</f>
        <v>J0</v>
      </c>
      <c r="W62" s="9">
        <f ca="1">IF(B56=B62,W60+X62,X62)</f>
        <v>0</v>
      </c>
      <c r="X62" s="9">
        <f>IF(AND(B$5=$BF$9,OR($I62=$BH$16,$I62=$BH$17,$I62=" ",$I62="",$F62=0)),0,IF(OR($I62=" ",$I62="",$F62=0),0,1))</f>
        <v>0</v>
      </c>
      <c r="Y62" s="896">
        <f ca="1">IF(AND(M67&gt;0,B62&lt;&gt;B68),1,0)</f>
        <v>0</v>
      </c>
      <c r="Z62" s="52" t="str">
        <f ca="1">IF(I62=" "," ",OFFSET($BM$9,$CL62-1,8,1,1))</f>
        <v xml:space="preserve"> </v>
      </c>
      <c r="AA62" s="51" t="str">
        <f>IF(G62&gt;=45,"WA","")</f>
        <v/>
      </c>
      <c r="AB62" s="1364" t="str">
        <f>IF(OR(E62=" ",E62="")," ",(IF(F62&lt;&gt;"",IF(OR(D62=$BG$12,D62=$BG$13),IF(E62&lt;&gt;$BG$17,$BF$20,$BF$21),IF(E62&lt;&gt;$BG$17,$BF$20,$BF$21))," ")))</f>
        <v xml:space="preserve"> </v>
      </c>
      <c r="AC62" s="1"/>
      <c r="AJ62" s="2"/>
      <c r="AK62" s="63" t="str">
        <f>'Custom Elements'!B23</f>
        <v xml:space="preserve">  </v>
      </c>
      <c r="AL62" s="860" t="str">
        <f>'Custom Elements'!C23</f>
        <v>Custom15</v>
      </c>
      <c r="AM62" s="11">
        <f>'Custom Elements'!D23</f>
        <v>9.9999999999999996E-76</v>
      </c>
      <c r="AN62" s="7">
        <f>'Custom Elements'!E23</f>
        <v>0</v>
      </c>
      <c r="AO62" s="7">
        <f>'Custom Elements'!F23</f>
        <v>0</v>
      </c>
      <c r="AP62" s="762" t="str">
        <f>'Custom Elements'!G23</f>
        <v>B</v>
      </c>
      <c r="AQ62" s="1637" t="str">
        <f>'Custom Elements'!H23</f>
        <v>Single</v>
      </c>
      <c r="AR62" s="1637" t="str">
        <f>'Custom Elements'!I23</f>
        <v>Yes</v>
      </c>
      <c r="AS62" s="442" t="str">
        <f>'Custom Elements'!J23</f>
        <v>Yes</v>
      </c>
      <c r="AT62" s="1155"/>
      <c r="AU62"/>
      <c r="AY62"/>
      <c r="AZ62" s="442" t="str">
        <f>IF(AND('Custom Elements'!J23="Yes",'Custom Elements'!I23="Yes"),"T",IF('Custom Elements'!J23="Yes","F",IF('Custom Elements'!I23="Yes","H","E")))</f>
        <v>T</v>
      </c>
      <c r="BA62" s="51"/>
      <c r="BB62" s="51"/>
      <c r="BC62" s="51"/>
      <c r="BD62" s="641"/>
      <c r="BE62" s="2715" t="s">
        <v>905</v>
      </c>
      <c r="BF62" s="2716"/>
      <c r="BG62" s="2838"/>
      <c r="BH62" s="479"/>
      <c r="BI62" s="759"/>
      <c r="BJ62" s="897">
        <f t="shared" si="33"/>
        <v>54</v>
      </c>
      <c r="BK62" s="768" t="str">
        <f>BK56</f>
        <v xml:space="preserve">EPB </v>
      </c>
      <c r="BL62" s="765" t="str">
        <f>Table!O4</f>
        <v>ES-H</v>
      </c>
      <c r="BM62" s="454">
        <f>Table!P4</f>
        <v>0.4</v>
      </c>
      <c r="BN62" s="454">
        <f>BM63</f>
        <v>0.6</v>
      </c>
      <c r="BO62" s="454">
        <f>Table!Q4</f>
        <v>75</v>
      </c>
      <c r="BP62" s="924">
        <f>Table!R4</f>
        <v>75</v>
      </c>
      <c r="BQ62" s="920"/>
      <c r="BR62" s="768" t="str">
        <f>Table!S4</f>
        <v>ES-N</v>
      </c>
      <c r="BS62" s="454" t="str">
        <f>Table!S5</f>
        <v>ES-N</v>
      </c>
      <c r="BT62" s="454" t="str">
        <f>Table!T4</f>
        <v>B</v>
      </c>
      <c r="BU62" s="924" t="s">
        <v>242</v>
      </c>
      <c r="BV62" s="1230" t="str">
        <f>Table!AI74</f>
        <v>ES-H</v>
      </c>
      <c r="BW62" s="1229">
        <f>BJ62</f>
        <v>54</v>
      </c>
      <c r="BX62" s="924" t="str">
        <f>Table!T5</f>
        <v>Single</v>
      </c>
      <c r="CH62" s="768">
        <f>IF(BN62=999,0,(BO63-BO62)/(BN62-BM62))</f>
        <v>100.00000000000003</v>
      </c>
      <c r="CI62" s="924">
        <f>IF(BN62=999,0,(BP63-BP62)/(BN62-BM62))</f>
        <v>25.000000000000007</v>
      </c>
      <c r="CJ62" s="759"/>
      <c r="CK62" s="188"/>
      <c r="CL62" s="979">
        <f>VLOOKUP(I62,Prodlink,2,0)</f>
        <v>0</v>
      </c>
      <c r="CN62" s="497">
        <f t="shared" ca="1" si="31"/>
        <v>0</v>
      </c>
      <c r="CO62" s="497">
        <f ca="1">OFFSET($CH$9,CL62-1,-15,1,1)</f>
        <v>0</v>
      </c>
      <c r="CQ62" s="51">
        <v>0</v>
      </c>
      <c r="CR62" s="51">
        <f ca="1">IF(AND(Z62&lt;&gt;"t",Z62&lt;&gt;"f"),10000,IF(K62=$BH$11,0,IF(K62=$BH$12,$BH$23,IF(K62=$BH$13,$BH$24,10000))))</f>
        <v>10000</v>
      </c>
      <c r="CS62" s="51">
        <f ca="1">IF(F62&lt;OFFSET($BM$9,CL62-1,0,1,1),0,IF(F62&lt;OFFSET($BN$9,CL62-1,0,1,1),((F62-OFFSET($BM$9,CL62-1,0,1,1))*OFFSET($CH$9,CL62-1,0,1,1))+OFFSET($BO$9,CL62-1,CQ62,1,1),IF(F62&lt;OFFSET($BN$9,CL62+0,0,1,1),((F62-OFFSET($BM$9,CL62+0,0,1,1))*OFFSET($CH$9,CL62+0,0,1,1))+OFFSET($BO$9,CL62+0,CQ62,1,1),IF(F62&lt;OFFSET($BN$9,CL62+1,0,1,1),((F62-OFFSET($BM$9,CL62+1,0,1,1))*OFFSET($CH$9,CL62+1,0,1,1))+OFFSET($BO$9,CL62+1,CQ62,1,1),IF(F62&lt;OFFSET($BN$9,CL62+2,0,1,1),((F62-OFFSET($BM$9,CL62+2,0,1,1))*OFFSET($CH$9,CL62+2,0,1,1))+OFFSET($BO$9,CL62+2,CQ62,1,1),IF(F62&lt;OFFSET($BN$9,CL62+3,0,1,1),((F62-OFFSET($BM$9,CL62+3,0,1,1))*OFFSET($CH$9,CL62+3,0,1,1))+OFFSET($BO$9,CL62+3,CQ62,1,1),0))))))</f>
        <v>0</v>
      </c>
      <c r="CT62" s="51">
        <f ca="1">IF($F62&lt;OFFSET($BM$9,$CL62-1,0,1,1),0,IF($F62&lt;OFFSET($BN$9,$CL62-1,0,1,1),IF(AND($H62&gt;2.4,Z62&lt;&gt;"e",Z62&lt;&gt;"f"),CX62*2.4/$H62,CX62),IF($F62&lt;OFFSET($BN$9,$CL62+0,0,1,1),IF(AND($H62&gt;2.4,Z62&lt;&gt;"e",Z62&lt;&gt;"f"),CX62*2.4/$H62,CX62),IF($F62&lt;OFFSET($BN$9,$CL62+1,0,1,1),IF(AND($H62&gt;2.4,Z62&lt;&gt;"e",Z62&lt;&gt;"f"),CX62*2.4/$H62,CX62),IF($F62&lt;OFFSET($BN$9,CL62+2,0,1,1),IF(AND($H62&gt;2.4,Z62&lt;&gt;"e",Z62&lt;&gt;"f"),CX62*2.4/$H62,CX62),IF($F62&lt;OFFSET($BN$9,CL62+3,0,1,1),IF(AND($H62&gt;2.4,Z62&lt;&gt;"e",Z62&lt;&gt;"f"),CX62*2.4/$H62,CX62),0)))))*COS(RADIANS($G62)))</f>
        <v>0</v>
      </c>
      <c r="CU62" s="51">
        <f ca="1">IF(F62&lt;OFFSET($BM$9,CL62-1,0,1,1),0,IF(F62&lt;OFFSET($BN$9,CL62-1,0,1,1),((F62-OFFSET($BM$9,CL62-1,0,1,1))*OFFSET($CI$9,CL62-1,0,1,1))+OFFSET($BP$9,CL62-1,CQ62,1,1),IF(F62&lt;OFFSET($BN$9,CL62+0,0,1,1),((F62-OFFSET($BM$9,CL62+0,0,1,1))*OFFSET($CI$9,CL62+0,0,1,1))+OFFSET($BP$9,CL62+0,CQ62,1,1),IF(F62&lt;OFFSET($BN$9,CL62+1,0,1,1),((F62-OFFSET($BM$9,CL62+1,0,1,1))*OFFSET($CI$9,CL62+1,0,1,1))+OFFSET($BP$9,CL62+1,CQ62,1,1),IF(F62&lt;OFFSET($BN$9,CL62+2,0,1,1),((F62-OFFSET($BM$9,CL62+2,0,1,1))*OFFSET($CI$9,CL62+2,0,1,1))+OFFSET($BP$9,CL62+2,CQ62,1,1),IF(F62&lt;OFFSET($BN$9,CL62+3,0,1,1),((F62-OFFSET($BM$9,CL62+3,0,1,1))*OFFSET($CI$9,CL62+3,0,1,1))+OFFSET($BP$9,CL62+3,CQ62,1,1),0))))))</f>
        <v>0</v>
      </c>
      <c r="CV62" s="51">
        <f ca="1">IF($F62&lt;OFFSET($BM$9,$CL62-1,0,1,1),0,IF($F62&lt;OFFSET($BN$9,$CL62-1,0,1,1),IF(AND($H62&gt;2.4,Z62&lt;&gt;"e",Z62&lt;&gt;"f"),CZ62*2.4/$H62,CZ62),IF($F62&lt;OFFSET($BN$9,$CL62+0,0,1,1),IF(AND($H62&gt;2.4,Z62&lt;&gt;"e",Z62&lt;&gt;"f"),CZ62*2.4/$H62,CZ62),IF($F62&lt;OFFSET($BN$9,$CL62+1,0,1,1),IF(AND($H62&gt;2.4,Z62&lt;&gt;"e",Z62&lt;&gt;"f"),CZ62*2.4/$H62,CZ62),IF($F62&lt;OFFSET($BN$9,$CL62+2,0,1,1),IF(AND($H62&gt;2.4,Z62&lt;&gt;"e",Z62&lt;&gt;"f"),CZ62*2.4/$H62,CZ62),IF($F62&lt;OFFSET($BN$9,$CL62+3,0,1,1),IF(AND($H62&gt;2.4,Z62&lt;&gt;"e",Z62&lt;&gt;"f"),CZ62*2.4/$H62,CZ62),0)))))*COS(RADIANS($G62)))</f>
        <v>0</v>
      </c>
      <c r="CW62" s="51">
        <f t="shared" ca="1" si="17"/>
        <v>0</v>
      </c>
      <c r="CX62" s="51">
        <f ca="1">IF(CS62&gt;$CR62,$CR62,CS62)</f>
        <v>0</v>
      </c>
      <c r="CY62" s="51">
        <f ca="1">CW62*F62</f>
        <v>0</v>
      </c>
      <c r="CZ62" s="51">
        <f ca="1">IF($CU62&gt;$CR62,$CR62,$CU62)</f>
        <v>0</v>
      </c>
      <c r="DA62" s="51">
        <f ca="1">IF(CV62&gt;CR62,CR62,CV62)</f>
        <v>0</v>
      </c>
      <c r="DB62" s="51">
        <f ca="1">DA62*F62</f>
        <v>0</v>
      </c>
      <c r="DC62" s="993">
        <v>1</v>
      </c>
      <c r="DD62" s="758" t="str">
        <f>IF(OR(D62=BG$12,D62=BG$13),"External",IF(D62=BG$14,"Internal"," "))</f>
        <v xml:space="preserve"> </v>
      </c>
      <c r="DE62" s="51" t="str">
        <f t="shared" ca="1" si="18"/>
        <v/>
      </c>
      <c r="DF62" s="52" t="str">
        <f t="shared" ca="1" si="19"/>
        <v xml:space="preserve"> </v>
      </c>
      <c r="DG62" s="51">
        <f ca="1">IF(F62&lt;OFFSET($BM$9,CN62-1,0,1,1),0,IF(F62&lt;OFFSET($BN$9,CN62-1,0,1,1),((F62-OFFSET($BM$9,CN62-1,0,1,1))*OFFSET($CH$9,CN62-1,0,1,1))+OFFSET($BO$9,CN62-1,CQ62,1,1),IF(F62&lt;OFFSET($BN$9,CN62+0,0,1,1),((F62-OFFSET($BM$9,CN62+0,0,1,1))*OFFSET($CH$9,CN62+0,0,1,1))+OFFSET($BO$9,CN62+0,CQ62,1,1),IF(F62&lt;OFFSET($BN$9,CN62+1,0,1,1),((F62-OFFSET($BM$9,CN62+1,0,1,1))*OFFSET($CH$9,CN62+1,0,1,1))+OFFSET($BO$9,CN62+1,CQ62,1,1),IF(F62&lt;OFFSET($BN$9,CN62+2,0,1,1),((F62-OFFSET($BM$9,CN62+2,0,1,1))*OFFSET($CH$9,CN62+2,0,1,1))+OFFSET($BO$9,CN62+2,CQ62,1,1),IF(F62&lt;OFFSET($BN$9,CN62+3,0,1,1),((F62-OFFSET($BM$9,CN62+3,0,1,1))*OFFSET($CH$9,CN62+3,0,1,1))+OFFSET($BO$9,CN62+3,CQ62,1,1),0))))))</f>
        <v>0</v>
      </c>
      <c r="DH62" s="51">
        <f ca="1">IF($F62&lt;OFFSET($BM$9,$CN62-1,0,1,1),0,IF($F62&lt;OFFSET($BN$9,$CN62-1,0,1,1),IF(AND($H62&gt;2.4,Z62&lt;&gt;"e",Z62&lt;&gt;"f"),DL62*2.4/$H62,DL62),IF($F62&lt;OFFSET($BN$9,$CN62+0,0,1,1),IF(AND($H62&gt;2.4,Z62&lt;&gt;"e",Z62&lt;&gt;"f"),DL62*2.4/$H62,DL62),IF($F62&lt;OFFSET($BN$9,$CN62+1,0,1,1),IF(AND($H62&gt;2.4,Z62&lt;&gt;"e",Z62&lt;&gt;"f"),DL62*2.4/$H62,DL62),IF($F62&lt;OFFSET($BN$9,$CN62+2,0,1,1),IF(AND($H62&gt;2.4,Z62&lt;&gt;"e",Z62&lt;&gt;"f"),DL62*2.4/$H62,DL62),IF($F62&lt;OFFSET($BN$9,$CN62+3,0,1,1),IF(AND($H62&gt;2.4,Z62&lt;&gt;"e",Z62&lt;&gt;"f"),DL62*2.4/$H62,DL62),0)))))*COS(RADIANS($G62)))</f>
        <v>0</v>
      </c>
      <c r="DI62" s="51">
        <f ca="1">IF(F62&lt;OFFSET($BM$9,CN62-1,0,1,1),0,IF(F62&lt;OFFSET($BN$9,CN62-1,0,1,1),((F62-OFFSET($BM$9,CN62-1,0,1,1))*OFFSET($CI$9,CN62-1,0,1,1))+OFFSET($BP$9,CN62-1,CQ62,1,1),IF(F62&lt;OFFSET($BN$9,CN62+0,0,1,1),((F62-OFFSET($BM$9,CN62+0,0,1,1))*OFFSET($CI$9,CN62+0,0,1,1))+OFFSET($BP$9,CN62+0,CQ62,1,1),IF(F62&lt;OFFSET($BN$9,CN62+1,0,1,1),((F62-OFFSET($BM$9,CN62+1,0,1,1))*OFFSET($CI$9,CN62+1,0,1,1))+OFFSET($BP$9,CN62+1,CQ62,1,1),IF(F62&lt;OFFSET($BN$9,CN62+2,0,1,1),((F62-OFFSET($BM$9,CN62+2,0,1,1))*OFFSET($CI$9,CN62+2,0,1,1))+OFFSET($BP$9,CN62+2,CQ62,1,1),IF(F62&lt;OFFSET($BN$9,CN62+3,0,1,1),((F62-OFFSET($BM$9,CN62+3,0,1,1))*OFFSET($CI$9,CN62+3,0,1,1))+OFFSET($BP$9,CN62+3,CQ62,1,1),0))))))</f>
        <v>0</v>
      </c>
      <c r="DJ62" s="51">
        <f ca="1">IF($F62&lt;OFFSET($BM$9,$CN62-1,0,1,1),0,IF($F62&lt;OFFSET($BN$9,$CN62-1,0,1,1),IF(AND($H62&gt;2.4,Z62&lt;&gt;"e",Z62&lt;&gt;"f"),DN62*2.4/$H62,DN62),IF($F62&lt;OFFSET($BN$9,$CN62+0,0,1,1),IF(AND($H62&gt;2.4,Z62&lt;&gt;"e",Z62&lt;&gt;"f"),DN62*2.4/$H62,DN62),IF($F62&lt;OFFSET($BN$9,$CN62+1,0,1,1),IF(AND($H62&gt;2.4,Z62&lt;&gt;"e",Z62&lt;&gt;"f"),DN62*2.4/$H62,DN62),IF($F62&lt;OFFSET($BN$9,$CN62+2,0,1,1),IF(AND($H62&gt;2.4,Z62&lt;&gt;"e",Z62&lt;&gt;"f"),DN62*2.4/$H62,DN62),IF($F62&lt;OFFSET($BN$9,$CN62+3,0,1,1),IF(AND($H62&gt;2.4,Z62&lt;&gt;"e",Z62&lt;&gt;"f"),DN62*2.4/$H62,DN62),0)))))*COS(RADIANS($G62)))</f>
        <v>0</v>
      </c>
      <c r="DK62" s="51"/>
      <c r="DL62" s="51">
        <f ca="1">IF(DG62&gt;$CR62,$CR62,DG62)</f>
        <v>0</v>
      </c>
      <c r="DM62" s="51"/>
      <c r="DN62" s="51">
        <f ca="1">IF(DI62&gt;$CR62,$CR62,DI62)</f>
        <v>0</v>
      </c>
      <c r="DO62" s="435">
        <f ca="1">IF(DH62&gt;$CR62,$CR62,DH62)</f>
        <v>0</v>
      </c>
      <c r="DP62" s="435">
        <f ca="1">DO62*F62</f>
        <v>0</v>
      </c>
      <c r="DQ62" s="436">
        <f ca="1">IF(DJ62&gt;$CR62,$CR62,DJ62)</f>
        <v>0</v>
      </c>
      <c r="DR62" s="437">
        <f ca="1">DQ62*F62</f>
        <v>0</v>
      </c>
      <c r="DS62" s="426">
        <f ca="1">OFFSET($CH$9,CL62-1,-15,1,1)</f>
        <v>0</v>
      </c>
      <c r="DT62" s="426">
        <f t="shared" ca="1" si="32"/>
        <v>0</v>
      </c>
      <c r="DU62" s="188">
        <f ca="1">IF(F62&lt;OFFSET($BM$9,DT62-1,0,1,1),0,IF(F62&lt;OFFSET($BN$9,DT62-1,0,1,1),((F62-OFFSET($BM$9,DT62-1,0,1,1))*OFFSET($CH$9,DT62-1,0,1,1))+OFFSET($BO$9,DT62-1,CQ62,1,1),IF(F62&lt;OFFSET($BN$9,DT62+0,0,1,1),((F62-OFFSET($BM$9,DT62+0,0,1,1))*OFFSET($CH$9,DT62+0,0,1,1))+OFFSET($BO$9,DT62+0,CQ62,1,1),IF(F62&lt;OFFSET($BN$9,DT62+1,0,1,1),((F62-OFFSET($BM$9,DT62+1,0,1,1))*OFFSET($CH$9,DT62+1,0,1,1))+OFFSET($BO$9,DT62+1,CQ62,1,1),IF(F62&lt;OFFSET($BN$9,DT62+2,0,1,1),((F62-OFFSET($BM$9,DT62+2,0,1,1))*OFFSET($CH$9,DT62+2,0,1,1))+OFFSET($BO$9,DT62+2,CQ62,1,1),IF(F62&lt;OFFSET($BN$9,DT62+3,0,1,1),((F62-OFFSET($BM$9,DT62+3,0,1,1))*OFFSET($CH$9,DT62+3,0,1,1))+OFFSET($BO$9,DT62+3,CQ62,1,1),0))))))</f>
        <v>0</v>
      </c>
      <c r="DV62" s="51">
        <f ca="1">IF($F62&lt;OFFSET($BM$9,$DT62-1,0,1,1),0,IF($F62&lt;OFFSET($BN$9,$DT62-1,0,1,1),IF(AND($H62&gt;2.4,Z62&lt;&gt;"e",Z62&lt;&gt;"f"),DZ62*2.4/$H62,DZ62),IF($F62&lt;OFFSET($BN$9,$DT62+0,0,1,1),IF(AND($H62&gt;2.4,Z62&lt;&gt;"e",Z62&lt;&gt;"f"),DZ62*2.4/$H62,DZ62),IF($F62&lt;OFFSET($BN$9,$DT62+1,0,1,1),IF(AND($H62&gt;2.4,Z62&lt;&gt;"e",Z62&lt;&gt;"f"),DZ62*2.4/$H62,DZ62),IF($F62&lt;OFFSET($BN$9,$DT62+2,0,1,1),IF(AND($H62&gt;2.4,Z62&lt;&gt;"e",Z62&lt;&gt;"f"),DZ62*2.4/$H62,DZ62),IF($F62&lt;OFFSET($BN$9,$DT62+3,0,1,1),IF(AND($H62&gt;2.4,Z62&lt;&gt;"e",Z62&lt;&gt;"f"),DZ62*2.4/$H62,DZ62),0)))))*COS(RADIANS($G62)))</f>
        <v>0</v>
      </c>
      <c r="DW62" s="188">
        <f ca="1">IF(F62&lt;OFFSET($BM$9,DT62-1,0,1,1),0,IF(F62&lt;OFFSET($BN$9,DT62-1,0,1,1),((F62-OFFSET($BM$9,DT62-1,0,1,1))*OFFSET($CI$9,DT62-1,0,1,1))+OFFSET($BP$9,DT62-1,CQ62,1,1),IF(F62&lt;OFFSET($BN$9,DT62+0,0,1,1),((F62-OFFSET($BM$9,DT62+0,0,1,1))*OFFSET($CI$9,DT62+0,0,1,1))+OFFSET($BP$9,DT62+0,CQ62,1,1),IF(F62&lt;OFFSET($BN$9,DT62+1,0,1,1),((F62-OFFSET($BM$9,DT62+1,0,1,1))*OFFSET($CI$9,DT62+1,0,1,1))+OFFSET($BP$9,DT62+1,CQ62,1,1),IF(F62&lt;OFFSET($BN$9,DT62+2,0,1,1),((F62-OFFSET($BM$9,DT62+2,0,1,1))*OFFSET($CI$9,DT62+2,0,1,1))+OFFSET($BP$9,DT62+2,CQ62,1,1),IF(F62&lt;OFFSET($BN$9,DT62+3,0,1,1),((F62-OFFSET($BM$9,DT62+3,0,1,1))*OFFSET($CI$9,DT62+3,0,1,1))+OFFSET($BP$9,DT62+3,CQ62,1,1),0))))))</f>
        <v>0</v>
      </c>
      <c r="DX62" s="51">
        <f ca="1">IF($F62&lt;OFFSET($BM$9,$DT62-1,0,1,1),0,IF($F62&lt;OFFSET($BN$9,$DT62-1,0,1,1),IF(AND($H62&gt;2.4,Z62&lt;&gt;"e",Z62&lt;&gt;"f"),EB62*2.4/$H62,EB62),IF($F62&lt;OFFSET($BN$9,$DT62+0,0,1,1),IF(AND($H62&gt;2.4,Z62&lt;&gt;"e",Z62&lt;&gt;"f"),EB62*2.4/$H62,EB62),IF($F62&lt;OFFSET($BN$9,$DT62+1,0,1,1),IF(AND($H62&gt;2.4,Z62&lt;&gt;"e",Z62&lt;&gt;"f"),EB62*2.4/$H62,EB62),IF($F62&lt;OFFSET($BN$9,$DT62+2,0,1,1),IF(AND($H62&gt;2.4,Z62&lt;&gt;"e",Z62&lt;&gt;"f"),EB62*2.4/$H62,EB62),IF($F62&lt;OFFSET($BN$9,$DT62+3,0,1,1),IF(AND($H62&gt;2.4,Z62&lt;&gt;"e",Z62&lt;&gt;"f"),EB62*2.4/$H62,EB62),0)))))*COS(RADIANS($G62)))</f>
        <v>0</v>
      </c>
      <c r="DY62" s="188"/>
      <c r="DZ62" s="188">
        <f ca="1">IF(DU62&gt;$CR62,$CR62,DU62)</f>
        <v>0</v>
      </c>
      <c r="EA62" s="188"/>
      <c r="EB62" s="188">
        <f ca="1">IF(DW62&gt;$CR62,$CR62,DW62)</f>
        <v>0</v>
      </c>
      <c r="EC62" s="435">
        <f ca="1">IF(DV62&gt;$CR62,$CR62,DV62)</f>
        <v>0</v>
      </c>
      <c r="ED62" s="435">
        <f ca="1">EC62*F62</f>
        <v>0</v>
      </c>
      <c r="EE62" s="436">
        <f ca="1">IF(DX62&gt;$CR62,$CR62,DX62)</f>
        <v>0</v>
      </c>
      <c r="EF62" s="437">
        <f ca="1">EE62*F62</f>
        <v>0</v>
      </c>
      <c r="EG62" s="613" t="str">
        <f>IF(D62=BG$12,BG$12,"")</f>
        <v/>
      </c>
      <c r="EH62" s="614" t="str">
        <f>IF(D62=BG$13,BG$13,"")</f>
        <v/>
      </c>
      <c r="EI62" s="611">
        <f>IF(EG62=BG$12,M62,0)</f>
        <v>0</v>
      </c>
      <c r="EJ62" s="451">
        <f>IF(EG62=BG$12,O62,0)</f>
        <v>0</v>
      </c>
      <c r="EK62" s="451">
        <f>IF(EH62=BG$13,M62,0)</f>
        <v>0</v>
      </c>
      <c r="EL62" s="612">
        <f>IF(EH62=BG$13,O62,0)</f>
        <v>0</v>
      </c>
      <c r="EM62" s="426" t="str">
        <f ca="1">IF(AND(Z62&lt;&gt;"t",Z62&lt;&gt;"f"),"",IF(AND(EN62=$BH$11,K62&lt;&gt;EN62),EM$4,IF(AND(EN62=$BH$12,K62=$BH$13),EM$4,IF(AND(EN62=$BH$12,K62=$BH$14),EM$4,IF(AND(EN62=$BH$13,K62=$BH$14),$EM$4,IF(EN62=$BH$14,$EM$4,""))))))</f>
        <v/>
      </c>
      <c r="EN62" s="489" t="str">
        <f>BG$24</f>
        <v>No Floor</v>
      </c>
      <c r="EO62" s="426" t="str">
        <f>K62</f>
        <v xml:space="preserve"> </v>
      </c>
      <c r="EP62" s="497" t="str">
        <f ca="1">IF(AND(Z62&lt;&gt;"t",Z62&lt;&gt;"f"),"",IF(AND(EN62=$BH$14,K62&lt;&gt;EN62),EP$4,IF(AND(EN62=$BH$13,K62=$BH$12),EP$4,IF(AND(EN62=$BH$13,K62=$BH$11),EP$4,IF(AND(EN62=$BH$12,K62=$BH$11),$EP$4,IF(EN62=$BH$11,"Earth",""))))))</f>
        <v/>
      </c>
      <c r="EQ62" s="430" t="str">
        <f ca="1">IF(Z62&lt;&gt;"t","",IF(EQ$5=2,IF(K62&lt;&gt;BH$11,EQ$7," ")))</f>
        <v/>
      </c>
      <c r="ER62" s="439" t="str">
        <f ca="1">IF(H62=0," ",H62)</f>
        <v xml:space="preserve"> </v>
      </c>
      <c r="ES62" s="440" t="str">
        <f ca="1">IF(ER62&lt;&gt;" ",IF(ER62&lt;&gt;ER$7,"Changed",""),"")</f>
        <v/>
      </c>
      <c r="ET62" s="440">
        <f t="shared" ca="1" si="20"/>
        <v>0</v>
      </c>
      <c r="EU62" s="426" t="str">
        <f ca="1">IF(I62=" "," ",IF(F62&lt;OFFSET($BM$9,CL62-1,0,1,1),1,""))</f>
        <v xml:space="preserve"> </v>
      </c>
      <c r="EW62" s="427"/>
      <c r="EY62" s="421"/>
    </row>
    <row r="63" spans="1:155" ht="17.100000000000001" customHeight="1" thickBot="1">
      <c r="A63" s="2685"/>
      <c r="B63" s="689" t="s">
        <v>246</v>
      </c>
      <c r="C63" s="684" t="str">
        <f>IF(OR(F63=0,I63="",I63=" ")," ",$V63)</f>
        <v xml:space="preserve"> </v>
      </c>
      <c r="D63" s="1033"/>
      <c r="E63" s="1360"/>
      <c r="F63" s="202"/>
      <c r="G63" s="1416"/>
      <c r="H63" s="1417" t="str">
        <f ca="1">IF(OR(F63=0,Z63="E",Z63="f")," ",'Project Demand'!E$55)</f>
        <v xml:space="preserve"> </v>
      </c>
      <c r="I63" s="631" t="str">
        <f>IF($I$6&lt;&gt;$BG$8," ",AB63)</f>
        <v xml:space="preserve"> </v>
      </c>
      <c r="J63" s="44" t="str">
        <f ca="1">IF(OR(I63=" ",I63="")," ",OFFSET($BO$9,CL63-1,0-4,1,1))</f>
        <v xml:space="preserve"> </v>
      </c>
      <c r="K63" s="55" t="str">
        <f>IF(OR(I63=" ",I63="")," ",IF(OR(Z63="e",Z63="h"),"SD",IF(BG$24=BH$11,BH$13,BG$24)))</f>
        <v xml:space="preserve"> </v>
      </c>
      <c r="L63" s="49">
        <f ca="1">CW63</f>
        <v>0</v>
      </c>
      <c r="M63" s="49">
        <f ca="1">CY63</f>
        <v>0</v>
      </c>
      <c r="N63" s="50">
        <f t="shared" ca="1" si="38"/>
        <v>0</v>
      </c>
      <c r="O63" s="126">
        <f t="shared" ca="1" si="38"/>
        <v>0</v>
      </c>
      <c r="P63" s="140"/>
      <c r="Q63" s="752" t="str">
        <f ca="1">IF(AND(OR(Z63="t",Z63="f"),K63=$BH$11),"No Floor!  Change Floor Type",IF(OR(I63=" ",I63="")," ",IF(F63&lt;OFFSET($BM$9,CL63-1,0,1,1),"check L(m)",DE63&amp;IF(AND(DP63&gt;=CY63,DR63&gt;=DB63),IF(AND(ED63&gt;=DP63,EF63&gt;=DR63),CONCATENATE(DS63," will provide same result"),CONCATENATE(CO63," will provide same result")),IF((DP63&gt;=CY63),CONCATENATE(CO63," provides same result in WIND"),IF((DR63&gt;=DB63),CONCATENATE(CO63," provides same result in EQ"),""))))))&amp;IF(ISERROR(FIND("pile",I63,1)),"",IF(INT(F63)&lt;&gt;F63,"Pile!  Use Whole Numbers Only",""))</f>
        <v xml:space="preserve"> </v>
      </c>
      <c r="R63" s="52"/>
      <c r="S63" s="1372"/>
      <c r="T63" s="1372"/>
      <c r="U63" s="1377"/>
      <c r="V63" s="52" t="str">
        <f ca="1">IF(AND(B$5=$BF$9,OR(I63=BH$16,I63=BH$17))," ",IF(ISNUMBER(B$62),(CONCATENATE(B$62,".",W63)),(CONCATENATE(B$62,W63))))</f>
        <v>J0</v>
      </c>
      <c r="W63" s="9">
        <f ca="1">W62+X63</f>
        <v>0</v>
      </c>
      <c r="X63" s="9">
        <f>IF(AND(B$5=$BF$9,OR($I63=$BH$16,$I63=$BH$17,$I63=" ",$I63="",$F63=0)),0,IF(OR($I63=" ",$I63="",$F63=0),0,1))</f>
        <v>0</v>
      </c>
      <c r="Y63" s="896"/>
      <c r="Z63" s="52" t="str">
        <f ca="1">IF(I63=" "," ",OFFSET($BM$9,$CL63-1,8,1,1))</f>
        <v xml:space="preserve"> </v>
      </c>
      <c r="AA63" s="51" t="str">
        <f>IF(G63&gt;=45,"WA","")</f>
        <v/>
      </c>
      <c r="AB63" s="1364" t="str">
        <f>IF(OR(E63=" ",E63="")," ",(IF(F63&lt;&gt;"",IF(OR(D63=$BG$12,D63=$BG$13),IF(E63&lt;&gt;$BG$17,$BF$20,$BF$21),IF(E63&lt;&gt;$BG$17,$BF$20,$BF$21))," ")))</f>
        <v xml:space="preserve"> </v>
      </c>
      <c r="AC63" s="1"/>
      <c r="AJ63" s="2"/>
      <c r="AK63" s="63" t="str">
        <f>'Custom Elements'!B24</f>
        <v xml:space="preserve">  </v>
      </c>
      <c r="AL63" s="860" t="str">
        <f>'Custom Elements'!C24</f>
        <v>Custom16</v>
      </c>
      <c r="AM63" s="11">
        <f>'Custom Elements'!D24</f>
        <v>9.9999999999999996E-76</v>
      </c>
      <c r="AN63" s="7">
        <f>'Custom Elements'!E24</f>
        <v>0</v>
      </c>
      <c r="AO63" s="7">
        <f>'Custom Elements'!F24</f>
        <v>0</v>
      </c>
      <c r="AP63" s="762" t="str">
        <f>'Custom Elements'!G24</f>
        <v>B</v>
      </c>
      <c r="AQ63" s="1637" t="str">
        <f>'Custom Elements'!H24</f>
        <v>Single</v>
      </c>
      <c r="AR63" s="1637" t="str">
        <f>'Custom Elements'!I24</f>
        <v>Yes</v>
      </c>
      <c r="AS63" s="442" t="str">
        <f>'Custom Elements'!J24</f>
        <v>Yes</v>
      </c>
      <c r="AT63" s="1155"/>
      <c r="AU63"/>
      <c r="AY63"/>
      <c r="AZ63" s="442" t="str">
        <f>IF(AND('Custom Elements'!J24="Yes",'Custom Elements'!I24="Yes"),"T",IF('Custom Elements'!J24="Yes","F",IF('Custom Elements'!I24="Yes","H","E")))</f>
        <v>T</v>
      </c>
      <c r="BA63" s="51"/>
      <c r="BB63" s="51"/>
      <c r="BC63" s="51"/>
      <c r="BD63" s="641"/>
      <c r="BE63" s="1020"/>
      <c r="BF63" s="1020"/>
      <c r="BG63" s="1020"/>
      <c r="BH63" s="479"/>
      <c r="BI63" s="759"/>
      <c r="BJ63" s="897">
        <f t="shared" si="33"/>
        <v>55</v>
      </c>
      <c r="BK63" s="764"/>
      <c r="BL63" s="766"/>
      <c r="BM63" s="455">
        <f>Table!P5</f>
        <v>0.6</v>
      </c>
      <c r="BN63" s="455">
        <f>BM64</f>
        <v>0.8</v>
      </c>
      <c r="BO63" s="455">
        <f>Table!Q5</f>
        <v>95</v>
      </c>
      <c r="BP63" s="925">
        <f>Table!R5</f>
        <v>80</v>
      </c>
      <c r="BR63" s="764"/>
      <c r="BS63" s="455"/>
      <c r="BT63" s="455"/>
      <c r="BU63" s="925" t="s">
        <v>242</v>
      </c>
      <c r="BV63" s="895"/>
      <c r="BW63" s="912"/>
      <c r="BX63" s="925" t="str">
        <f>Table!T5</f>
        <v>Single</v>
      </c>
      <c r="CH63" s="764">
        <f>IF(BN63=999,0,(BO64-BO63)/(BN63-BM63))</f>
        <v>0</v>
      </c>
      <c r="CI63" s="925">
        <f>IF(BN63=999,0,(BP64-BP63)/(BN63-BM63))</f>
        <v>14.999999999999995</v>
      </c>
      <c r="CJ63" s="759"/>
      <c r="CK63" s="188"/>
      <c r="CL63" s="979">
        <f>VLOOKUP(I63,Prodlink,2,0)</f>
        <v>0</v>
      </c>
      <c r="CN63" s="497">
        <f t="shared" ca="1" si="31"/>
        <v>0</v>
      </c>
      <c r="CO63" s="497">
        <f ca="1">OFFSET($CH$9,CL63-1,-15,1,1)</f>
        <v>0</v>
      </c>
      <c r="CQ63" s="51">
        <v>0</v>
      </c>
      <c r="CR63" s="51">
        <f ca="1">IF(AND(Z63&lt;&gt;"t",Z63&lt;&gt;"f"),10000,IF(K63=$BH$11,0,IF(K63=$BH$12,$BH$23,IF(K63=$BH$13,$BH$24,10000))))</f>
        <v>10000</v>
      </c>
      <c r="CS63" s="51">
        <f ca="1">IF(F63&lt;OFFSET($BM$9,CL63-1,0,1,1),0,IF(F63&lt;OFFSET($BN$9,CL63-1,0,1,1),((F63-OFFSET($BM$9,CL63-1,0,1,1))*OFFSET($CH$9,CL63-1,0,1,1))+OFFSET($BO$9,CL63-1,CQ63,1,1),IF(F63&lt;OFFSET($BN$9,CL63+0,0,1,1),((F63-OFFSET($BM$9,CL63+0,0,1,1))*OFFSET($CH$9,CL63+0,0,1,1))+OFFSET($BO$9,CL63+0,CQ63,1,1),IF(F63&lt;OFFSET($BN$9,CL63+1,0,1,1),((F63-OFFSET($BM$9,CL63+1,0,1,1))*OFFSET($CH$9,CL63+1,0,1,1))+OFFSET($BO$9,CL63+1,CQ63,1,1),IF(F63&lt;OFFSET($BN$9,CL63+2,0,1,1),((F63-OFFSET($BM$9,CL63+2,0,1,1))*OFFSET($CH$9,CL63+2,0,1,1))+OFFSET($BO$9,CL63+2,CQ63,1,1),IF(F63&lt;OFFSET($BN$9,CL63+3,0,1,1),((F63-OFFSET($BM$9,CL63+3,0,1,1))*OFFSET($CH$9,CL63+3,0,1,1))+OFFSET($BO$9,CL63+3,CQ63,1,1),0))))))</f>
        <v>0</v>
      </c>
      <c r="CT63" s="51">
        <f ca="1">IF($F63&lt;OFFSET($BM$9,$CL63-1,0,1,1),0,IF($F63&lt;OFFSET($BN$9,$CL63-1,0,1,1),IF(AND($H63&gt;2.4,Z63&lt;&gt;"e",Z63&lt;&gt;"f"),CX63*2.4/$H63,CX63),IF($F63&lt;OFFSET($BN$9,$CL63+0,0,1,1),IF(AND($H63&gt;2.4,Z63&lt;&gt;"e",Z63&lt;&gt;"f"),CX63*2.4/$H63,CX63),IF($F63&lt;OFFSET($BN$9,$CL63+1,0,1,1),IF(AND($H63&gt;2.4,Z63&lt;&gt;"e",Z63&lt;&gt;"f"),CX63*2.4/$H63,CX63),IF($F63&lt;OFFSET($BN$9,CL63+2,0,1,1),IF(AND($H63&gt;2.4,Z63&lt;&gt;"e",Z63&lt;&gt;"f"),CX63*2.4/$H63,CX63),IF($F63&lt;OFFSET($BN$9,CL63+3,0,1,1),IF(AND($H63&gt;2.4,Z63&lt;&gt;"e",Z63&lt;&gt;"f"),CX63*2.4/$H63,CX63),0)))))*COS(RADIANS($G63)))</f>
        <v>0</v>
      </c>
      <c r="CU63" s="51">
        <f ca="1">IF(F63&lt;OFFSET($BM$9,CL63-1,0,1,1),0,IF(F63&lt;OFFSET($BN$9,CL63-1,0,1,1),((F63-OFFSET($BM$9,CL63-1,0,1,1))*OFFSET($CI$9,CL63-1,0,1,1))+OFFSET($BP$9,CL63-1,CQ63,1,1),IF(F63&lt;OFFSET($BN$9,CL63+0,0,1,1),((F63-OFFSET($BM$9,CL63+0,0,1,1))*OFFSET($CI$9,CL63+0,0,1,1))+OFFSET($BP$9,CL63+0,CQ63,1,1),IF(F63&lt;OFFSET($BN$9,CL63+1,0,1,1),((F63-OFFSET($BM$9,CL63+1,0,1,1))*OFFSET($CI$9,CL63+1,0,1,1))+OFFSET($BP$9,CL63+1,CQ63,1,1),IF(F63&lt;OFFSET($BN$9,CL63+2,0,1,1),((F63-OFFSET($BM$9,CL63+2,0,1,1))*OFFSET($CI$9,CL63+2,0,1,1))+OFFSET($BP$9,CL63+2,CQ63,1,1),IF(F63&lt;OFFSET($BN$9,CL63+3,0,1,1),((F63-OFFSET($BM$9,CL63+3,0,1,1))*OFFSET($CI$9,CL63+3,0,1,1))+OFFSET($BP$9,CL63+3,CQ63,1,1),0))))))</f>
        <v>0</v>
      </c>
      <c r="CV63" s="51">
        <f ca="1">IF($F63&lt;OFFSET($BM$9,$CL63-1,0,1,1),0,IF($F63&lt;OFFSET($BN$9,$CL63-1,0,1,1),IF(AND($H63&gt;2.4,Z63&lt;&gt;"e",Z63&lt;&gt;"f"),CZ63*2.4/$H63,CZ63),IF($F63&lt;OFFSET($BN$9,$CL63+0,0,1,1),IF(AND($H63&gt;2.4,Z63&lt;&gt;"e",Z63&lt;&gt;"f"),CZ63*2.4/$H63,CZ63),IF($F63&lt;OFFSET($BN$9,$CL63+1,0,1,1),IF(AND($H63&gt;2.4,Z63&lt;&gt;"e",Z63&lt;&gt;"f"),CZ63*2.4/$H63,CZ63),IF($F63&lt;OFFSET($BN$9,$CL63+2,0,1,1),IF(AND($H63&gt;2.4,Z63&lt;&gt;"e",Z63&lt;&gt;"f"),CZ63*2.4/$H63,CZ63),IF($F63&lt;OFFSET($BN$9,$CL63+3,0,1,1),IF(AND($H63&gt;2.4,Z63&lt;&gt;"e",Z63&lt;&gt;"f"),CZ63*2.4/$H63,CZ63),0)))))*COS(RADIANS($G63)))</f>
        <v>0</v>
      </c>
      <c r="CW63" s="51">
        <f t="shared" ca="1" si="17"/>
        <v>0</v>
      </c>
      <c r="CX63" s="51">
        <f ca="1">IF(CS63&gt;$CR63,$CR63,CS63)</f>
        <v>0</v>
      </c>
      <c r="CY63" s="51">
        <f ca="1">CW63*F63</f>
        <v>0</v>
      </c>
      <c r="CZ63" s="51">
        <f ca="1">IF($CU63&gt;$CR63,$CR63,$CU63)</f>
        <v>0</v>
      </c>
      <c r="DA63" s="51">
        <f ca="1">IF(CV63&gt;CR63,CR63,CV63)</f>
        <v>0</v>
      </c>
      <c r="DB63" s="51">
        <f ca="1">DA63*F63</f>
        <v>0</v>
      </c>
      <c r="DC63" s="993">
        <v>1</v>
      </c>
      <c r="DD63" s="758" t="str">
        <f>IF(OR(D63=BG$12,D63=BG$13),"External",IF(D63=BG$14,"Internal"," "))</f>
        <v xml:space="preserve"> </v>
      </c>
      <c r="DE63" s="51" t="str">
        <f t="shared" ca="1" si="18"/>
        <v/>
      </c>
      <c r="DF63" s="52" t="str">
        <f t="shared" ca="1" si="19"/>
        <v xml:space="preserve"> </v>
      </c>
      <c r="DG63" s="51">
        <f ca="1">IF(F63&lt;OFFSET($BM$9,CN63-1,0,1,1),0,IF(F63&lt;OFFSET($BN$9,CN63-1,0,1,1),((F63-OFFSET($BM$9,CN63-1,0,1,1))*OFFSET($CH$9,CN63-1,0,1,1))+OFFSET($BO$9,CN63-1,CQ63,1,1),IF(F63&lt;OFFSET($BN$9,CN63+0,0,1,1),((F63-OFFSET($BM$9,CN63+0,0,1,1))*OFFSET($CH$9,CN63+0,0,1,1))+OFFSET($BO$9,CN63+0,CQ63,1,1),IF(F63&lt;OFFSET($BN$9,CN63+1,0,1,1),((F63-OFFSET($BM$9,CN63+1,0,1,1))*OFFSET($CH$9,CN63+1,0,1,1))+OFFSET($BO$9,CN63+1,CQ63,1,1),IF(F63&lt;OFFSET($BN$9,CN63+2,0,1,1),((F63-OFFSET($BM$9,CN63+2,0,1,1))*OFFSET($CH$9,CN63+2,0,1,1))+OFFSET($BO$9,CN63+2,CQ63,1,1),IF(F63&lt;OFFSET($BN$9,CN63+3,0,1,1),((F63-OFFSET($BM$9,CN63+3,0,1,1))*OFFSET($CH$9,CN63+3,0,1,1))+OFFSET($BO$9,CN63+3,CQ63,1,1),0))))))</f>
        <v>0</v>
      </c>
      <c r="DH63" s="51">
        <f ca="1">IF($F63&lt;OFFSET($BM$9,$CN63-1,0,1,1),0,IF($F63&lt;OFFSET($BN$9,$CN63-1,0,1,1),IF(AND($H63&gt;2.4,Z63&lt;&gt;"e",Z63&lt;&gt;"f"),DL63*2.4/$H63,DL63),IF($F63&lt;OFFSET($BN$9,$CN63+0,0,1,1),IF(AND($H63&gt;2.4,Z63&lt;&gt;"e",Z63&lt;&gt;"f"),DL63*2.4/$H63,DL63),IF($F63&lt;OFFSET($BN$9,$CN63+1,0,1,1),IF(AND($H63&gt;2.4,Z63&lt;&gt;"e",Z63&lt;&gt;"f"),DL63*2.4/$H63,DL63),IF($F63&lt;OFFSET($BN$9,$CN63+2,0,1,1),IF(AND($H63&gt;2.4,Z63&lt;&gt;"e",Z63&lt;&gt;"f"),DL63*2.4/$H63,DL63),IF($F63&lt;OFFSET($BN$9,$CN63+3,0,1,1),IF(AND($H63&gt;2.4,Z63&lt;&gt;"e",Z63&lt;&gt;"f"),DL63*2.4/$H63,DL63),0)))))*COS(RADIANS($G63)))</f>
        <v>0</v>
      </c>
      <c r="DI63" s="51">
        <f ca="1">IF(F63&lt;OFFSET($BM$9,CN63-1,0,1,1),0,IF(F63&lt;OFFSET($BN$9,CN63-1,0,1,1),((F63-OFFSET($BM$9,CN63-1,0,1,1))*OFFSET($CI$9,CN63-1,0,1,1))+OFFSET($BP$9,CN63-1,CQ63,1,1),IF(F63&lt;OFFSET($BN$9,CN63+0,0,1,1),((F63-OFFSET($BM$9,CN63+0,0,1,1))*OFFSET($CI$9,CN63+0,0,1,1))+OFFSET($BP$9,CN63+0,CQ63,1,1),IF(F63&lt;OFFSET($BN$9,CN63+1,0,1,1),((F63-OFFSET($BM$9,CN63+1,0,1,1))*OFFSET($CI$9,CN63+1,0,1,1))+OFFSET($BP$9,CN63+1,CQ63,1,1),IF(F63&lt;OFFSET($BN$9,CN63+2,0,1,1),((F63-OFFSET($BM$9,CN63+2,0,1,1))*OFFSET($CI$9,CN63+2,0,1,1))+OFFSET($BP$9,CN63+2,CQ63,1,1),IF(F63&lt;OFFSET($BN$9,CN63+3,0,1,1),((F63-OFFSET($BM$9,CN63+3,0,1,1))*OFFSET($CI$9,CN63+3,0,1,1))+OFFSET($BP$9,CN63+3,CQ63,1,1),0))))))</f>
        <v>0</v>
      </c>
      <c r="DJ63" s="51">
        <f ca="1">IF($F63&lt;OFFSET($BM$9,$CN63-1,0,1,1),0,IF($F63&lt;OFFSET($BN$9,$CN63-1,0,1,1),IF(AND($H63&gt;2.4,Z63&lt;&gt;"e",Z63&lt;&gt;"f"),DN63*2.4/$H63,DN63),IF($F63&lt;OFFSET($BN$9,$CN63+0,0,1,1),IF(AND($H63&gt;2.4,Z63&lt;&gt;"e",Z63&lt;&gt;"f"),DN63*2.4/$H63,DN63),IF($F63&lt;OFFSET($BN$9,$CN63+1,0,1,1),IF(AND($H63&gt;2.4,Z63&lt;&gt;"e",Z63&lt;&gt;"f"),DN63*2.4/$H63,DN63),IF($F63&lt;OFFSET($BN$9,$CN63+2,0,1,1),IF(AND($H63&gt;2.4,Z63&lt;&gt;"e",Z63&lt;&gt;"f"),DN63*2.4/$H63,DN63),IF($F63&lt;OFFSET($BN$9,$CN63+3,0,1,1),IF(AND($H63&gt;2.4,Z63&lt;&gt;"e",Z63&lt;&gt;"f"),DN63*2.4/$H63,DN63),0)))))*COS(RADIANS($G63)))</f>
        <v>0</v>
      </c>
      <c r="DK63" s="51"/>
      <c r="DL63" s="51">
        <f ca="1">IF(DG63&gt;$CR63,$CR63,DG63)</f>
        <v>0</v>
      </c>
      <c r="DM63" s="51"/>
      <c r="DN63" s="51">
        <f ca="1">IF(DI63&gt;$CR63,$CR63,DI63)</f>
        <v>0</v>
      </c>
      <c r="DO63" s="435">
        <f ca="1">IF(DH63&gt;$CR63,$CR63,DH63)</f>
        <v>0</v>
      </c>
      <c r="DP63" s="435">
        <f ca="1">DO63*F63</f>
        <v>0</v>
      </c>
      <c r="DQ63" s="436">
        <f ca="1">IF(DJ63&gt;$CR63,$CR63,DJ63)</f>
        <v>0</v>
      </c>
      <c r="DR63" s="437">
        <f ca="1">DQ63*F63</f>
        <v>0</v>
      </c>
      <c r="DS63" s="426">
        <f ca="1">OFFSET($CH$9,CL63-1,-15,1,1)</f>
        <v>0</v>
      </c>
      <c r="DT63" s="426">
        <f t="shared" ca="1" si="32"/>
        <v>0</v>
      </c>
      <c r="DU63" s="188">
        <f ca="1">IF(F63&lt;OFFSET($BM$9,DT63-1,0,1,1),0,IF(F63&lt;OFFSET($BN$9,DT63-1,0,1,1),((F63-OFFSET($BM$9,DT63-1,0,1,1))*OFFSET($CH$9,DT63-1,0,1,1))+OFFSET($BO$9,DT63-1,CQ63,1,1),IF(F63&lt;OFFSET($BN$9,DT63+0,0,1,1),((F63-OFFSET($BM$9,DT63+0,0,1,1))*OFFSET($CH$9,DT63+0,0,1,1))+OFFSET($BO$9,DT63+0,CQ63,1,1),IF(F63&lt;OFFSET($BN$9,DT63+1,0,1,1),((F63-OFFSET($BM$9,DT63+1,0,1,1))*OFFSET($CH$9,DT63+1,0,1,1))+OFFSET($BO$9,DT63+1,CQ63,1,1),IF(F63&lt;OFFSET($BN$9,DT63+2,0,1,1),((F63-OFFSET($BM$9,DT63+2,0,1,1))*OFFSET($CH$9,DT63+2,0,1,1))+OFFSET($BO$9,DT63+2,CQ63,1,1),IF(F63&lt;OFFSET($BN$9,DT63+3,0,1,1),((F63-OFFSET($BM$9,DT63+3,0,1,1))*OFFSET($CH$9,DT63+3,0,1,1))+OFFSET($BO$9,DT63+3,CQ63,1,1),0))))))</f>
        <v>0</v>
      </c>
      <c r="DV63" s="51">
        <f ca="1">IF($F63&lt;OFFSET($BM$9,$DT63-1,0,1,1),0,IF($F63&lt;OFFSET($BN$9,$DT63-1,0,1,1),IF(AND($H63&gt;2.4,Z63&lt;&gt;"e",Z63&lt;&gt;"f"),DZ63*2.4/$H63,DZ63),IF($F63&lt;OFFSET($BN$9,$DT63+0,0,1,1),IF(AND($H63&gt;2.4,Z63&lt;&gt;"e",Z63&lt;&gt;"f"),DZ63*2.4/$H63,DZ63),IF($F63&lt;OFFSET($BN$9,$DT63+1,0,1,1),IF(AND($H63&gt;2.4,Z63&lt;&gt;"e",Z63&lt;&gt;"f"),DZ63*2.4/$H63,DZ63),IF($F63&lt;OFFSET($BN$9,$DT63+2,0,1,1),IF(AND($H63&gt;2.4,Z63&lt;&gt;"e",Z63&lt;&gt;"f"),DZ63*2.4/$H63,DZ63),IF($F63&lt;OFFSET($BN$9,$DT63+3,0,1,1),IF(AND($H63&gt;2.4,Z63&lt;&gt;"e",Z63&lt;&gt;"f"),DZ63*2.4/$H63,DZ63),0)))))*COS(RADIANS($G63)))</f>
        <v>0</v>
      </c>
      <c r="DW63" s="188">
        <f ca="1">IF(F63&lt;OFFSET($BM$9,DT63-1,0,1,1),0,IF(F63&lt;OFFSET($BN$9,DT63-1,0,1,1),((F63-OFFSET($BM$9,DT63-1,0,1,1))*OFFSET($CI$9,DT63-1,0,1,1))+OFFSET($BP$9,DT63-1,CQ63,1,1),IF(F63&lt;OFFSET($BN$9,DT63+0,0,1,1),((F63-OFFSET($BM$9,DT63+0,0,1,1))*OFFSET($CI$9,DT63+0,0,1,1))+OFFSET($BP$9,DT63+0,CQ63,1,1),IF(F63&lt;OFFSET($BN$9,DT63+1,0,1,1),((F63-OFFSET($BM$9,DT63+1,0,1,1))*OFFSET($CI$9,DT63+1,0,1,1))+OFFSET($BP$9,DT63+1,CQ63,1,1),IF(F63&lt;OFFSET($BN$9,DT63+2,0,1,1),((F63-OFFSET($BM$9,DT63+2,0,1,1))*OFFSET($CI$9,DT63+2,0,1,1))+OFFSET($BP$9,DT63+2,CQ63,1,1),IF(F63&lt;OFFSET($BN$9,DT63+3,0,1,1),((F63-OFFSET($BM$9,DT63+3,0,1,1))*OFFSET($CI$9,DT63+3,0,1,1))+OFFSET($BP$9,DT63+3,CQ63,1,1),0))))))</f>
        <v>0</v>
      </c>
      <c r="DX63" s="51">
        <f ca="1">IF($F63&lt;OFFSET($BM$9,$DT63-1,0,1,1),0,IF($F63&lt;OFFSET($BN$9,$DT63-1,0,1,1),IF(AND($H63&gt;2.4,Z63&lt;&gt;"e",Z63&lt;&gt;"f"),EB63*2.4/$H63,EB63),IF($F63&lt;OFFSET($BN$9,$DT63+0,0,1,1),IF(AND($H63&gt;2.4,Z63&lt;&gt;"e",Z63&lt;&gt;"f"),EB63*2.4/$H63,EB63),IF($F63&lt;OFFSET($BN$9,$DT63+1,0,1,1),IF(AND($H63&gt;2.4,Z63&lt;&gt;"e",Z63&lt;&gt;"f"),EB63*2.4/$H63,EB63),IF($F63&lt;OFFSET($BN$9,$DT63+2,0,1,1),IF(AND($H63&gt;2.4,Z63&lt;&gt;"e",Z63&lt;&gt;"f"),EB63*2.4/$H63,EB63),IF($F63&lt;OFFSET($BN$9,$DT63+3,0,1,1),IF(AND($H63&gt;2.4,Z63&lt;&gt;"e",Z63&lt;&gt;"f"),EB63*2.4/$H63,EB63),0)))))*COS(RADIANS($G63)))</f>
        <v>0</v>
      </c>
      <c r="DY63" s="188"/>
      <c r="DZ63" s="188">
        <f ca="1">IF(DU63&gt;$CR63,$CR63,DU63)</f>
        <v>0</v>
      </c>
      <c r="EA63" s="188"/>
      <c r="EB63" s="188">
        <f ca="1">IF(DW63&gt;$CR63,$CR63,DW63)</f>
        <v>0</v>
      </c>
      <c r="EC63" s="435">
        <f ca="1">IF(DV63&gt;$CR63,$CR63,DV63)</f>
        <v>0</v>
      </c>
      <c r="ED63" s="435">
        <f ca="1">EC63*F63</f>
        <v>0</v>
      </c>
      <c r="EE63" s="436">
        <f ca="1">IF(DX63&gt;$CR63,$CR63,DX63)</f>
        <v>0</v>
      </c>
      <c r="EF63" s="437">
        <f ca="1">EE63*F63</f>
        <v>0</v>
      </c>
      <c r="EG63" s="613" t="str">
        <f>IF(D63=BG$12,BG$12,"")</f>
        <v/>
      </c>
      <c r="EH63" s="614" t="str">
        <f>IF(D63=BG$13,BG$13,"")</f>
        <v/>
      </c>
      <c r="EI63" s="611">
        <f>IF(EG63=BG$12,M63,0)</f>
        <v>0</v>
      </c>
      <c r="EJ63" s="451">
        <f>IF(EG63=BG$12,O63,0)</f>
        <v>0</v>
      </c>
      <c r="EK63" s="451">
        <f>IF(EH63=BG$13,M63,0)</f>
        <v>0</v>
      </c>
      <c r="EL63" s="612">
        <f>IF(EH63=BG$13,O63,0)</f>
        <v>0</v>
      </c>
      <c r="EM63" s="426" t="str">
        <f ca="1">IF(AND(Z63&lt;&gt;"t",Z63&lt;&gt;"f"),"",IF(AND(EN63=$BH$11,K63&lt;&gt;EN63),EM$4,IF(AND(EN63=$BH$12,K63=$BH$13),EM$4,IF(AND(EN63=$BH$12,K63=$BH$14),EM$4,IF(AND(EN63=$BH$13,K63=$BH$14),$EM$4,IF(EN63=$BH$14,$EM$4,""))))))</f>
        <v/>
      </c>
      <c r="EN63" s="489" t="str">
        <f>BG$24</f>
        <v>No Floor</v>
      </c>
      <c r="EO63" s="426" t="str">
        <f>K63</f>
        <v xml:space="preserve"> </v>
      </c>
      <c r="EP63" s="497" t="str">
        <f ca="1">IF(AND(Z63&lt;&gt;"t",Z63&lt;&gt;"f"),"",IF(AND(EN63=$BH$14,K63&lt;&gt;EN63),EP$4,IF(AND(EN63=$BH$13,K63=$BH$12),EP$4,IF(AND(EN63=$BH$13,K63=$BH$11),EP$4,IF(AND(EN63=$BH$12,K63=$BH$11),$EP$4,IF(EN63=$BH$11,"Earth",""))))))</f>
        <v/>
      </c>
      <c r="EQ63" s="430" t="str">
        <f ca="1">IF(Z63&lt;&gt;"t","",IF(EQ$5=2,IF(K63&lt;&gt;BH$11,EQ$7," ")))</f>
        <v/>
      </c>
      <c r="ER63" s="439" t="str">
        <f ca="1">IF(H63=0," ",H63)</f>
        <v xml:space="preserve"> </v>
      </c>
      <c r="ES63" s="440" t="str">
        <f ca="1">IF(ER63&lt;&gt;" ",IF(ER63&lt;&gt;ER$7,"Changed",""),"")</f>
        <v/>
      </c>
      <c r="ET63" s="440">
        <f t="shared" ca="1" si="20"/>
        <v>0</v>
      </c>
      <c r="EU63" s="426" t="str">
        <f ca="1">IF(I63=" "," ",IF(F63&lt;OFFSET($BM$9,CL63-1,0,1,1),1,""))</f>
        <v xml:space="preserve"> </v>
      </c>
      <c r="EW63" s="427"/>
      <c r="EY63" s="421"/>
    </row>
    <row r="64" spans="1:155" ht="17.100000000000001" customHeight="1">
      <c r="A64" s="2685"/>
      <c r="B64" s="689" t="s">
        <v>246</v>
      </c>
      <c r="C64" s="684" t="str">
        <f>IF(OR(F64=0,I64="",I64=" ")," ",$V64)</f>
        <v xml:space="preserve"> </v>
      </c>
      <c r="D64" s="1033"/>
      <c r="E64" s="1360"/>
      <c r="F64" s="202"/>
      <c r="G64" s="1416"/>
      <c r="H64" s="1417" t="str">
        <f ca="1">IF(OR(F64=0,Z64="E",Z64="f")," ",'Project Demand'!E$55)</f>
        <v xml:space="preserve"> </v>
      </c>
      <c r="I64" s="631" t="str">
        <f>IF($I$6&lt;&gt;$BG$8," ",AB64)</f>
        <v xml:space="preserve"> </v>
      </c>
      <c r="J64" s="44" t="str">
        <f ca="1">IF(OR(I64=" ",I64="")," ",OFFSET($BO$9,CL64-1,0-4,1,1))</f>
        <v xml:space="preserve"> </v>
      </c>
      <c r="K64" s="55" t="str">
        <f>IF(OR(I64=" ",I64="")," ",IF(OR(Z64="e",Z64="h"),"SD",IF(BG$24=BH$11,BH$13,BG$24)))</f>
        <v xml:space="preserve"> </v>
      </c>
      <c r="L64" s="49">
        <f ca="1">CW64</f>
        <v>0</v>
      </c>
      <c r="M64" s="49">
        <f ca="1">CY64</f>
        <v>0</v>
      </c>
      <c r="N64" s="50">
        <f t="shared" ca="1" si="38"/>
        <v>0</v>
      </c>
      <c r="O64" s="126">
        <f t="shared" ca="1" si="38"/>
        <v>0</v>
      </c>
      <c r="P64" s="140"/>
      <c r="Q64" s="752" t="str">
        <f ca="1">IF(AND(OR(Z64="t",Z64="f"),K64=$BH$11),"No Floor!  Change Floor Type",IF(OR(I64=" ",I64="")," ",IF(F64&lt;OFFSET($BM$9,CL64-1,0,1,1),"check L(m)",DE64&amp;IF(AND(DP64&gt;=CY64,DR64&gt;=DB64),IF(AND(ED64&gt;=DP64,EF64&gt;=DR64),CONCATENATE(DS64," will provide same result"),CONCATENATE(CO64," will provide same result")),IF((DP64&gt;=CY64),CONCATENATE(CO64," provides same result in WIND"),IF((DR64&gt;=DB64),CONCATENATE(CO64," provides same result in EQ"),""))))))&amp;IF(ISERROR(FIND("pile",I64,1)),"",IF(INT(F64)&lt;&gt;F64,"Pile!  Use Whole Numbers Only",""))</f>
        <v xml:space="preserve"> </v>
      </c>
      <c r="R64" s="52"/>
      <c r="S64" s="1372"/>
      <c r="T64" s="1372"/>
      <c r="U64" s="1377"/>
      <c r="V64" s="52" t="str">
        <f ca="1">IF(AND(B$5=$BF$9,OR(I64=BH$16,I64=BH$17))," ",IF(ISNUMBER(B$62),(CONCATENATE(B$62,".",W64)),(CONCATENATE(B$62,W64))))</f>
        <v>J0</v>
      </c>
      <c r="W64" s="9">
        <f ca="1">W63+X64</f>
        <v>0</v>
      </c>
      <c r="X64" s="9">
        <f>IF(AND(B$5=$BF$9,OR($I64=$BH$16,$I64=$BH$17,$I64=" ",$I64="",$F64=0)),0,IF(OR($I64=" ",$I64="",$F64=0),0,1))</f>
        <v>0</v>
      </c>
      <c r="Y64" s="896"/>
      <c r="Z64" s="52" t="str">
        <f ca="1">IF(I64=" "," ",OFFSET($BM$9,$CL64-1,8,1,1))</f>
        <v xml:space="preserve"> </v>
      </c>
      <c r="AA64" s="51" t="str">
        <f>IF(G64&gt;=45,"WA","")</f>
        <v/>
      </c>
      <c r="AB64" s="1364" t="str">
        <f>IF(OR(E64=" ",E64="")," ",(IF(F64&lt;&gt;"",IF(OR(D64=$BG$12,D64=$BG$13),IF(E64&lt;&gt;$BG$17,$BF$20,$BF$21),IF(E64&lt;&gt;$BG$17,$BF$20,$BF$21))," ")))</f>
        <v xml:space="preserve"> </v>
      </c>
      <c r="AC64" s="1"/>
      <c r="AJ64" s="2"/>
      <c r="AK64" s="63" t="str">
        <f>'Custom Elements'!B25</f>
        <v xml:space="preserve">  </v>
      </c>
      <c r="AL64" s="860" t="str">
        <f>'Custom Elements'!C25</f>
        <v>Custom17</v>
      </c>
      <c r="AM64" s="11">
        <f>'Custom Elements'!D25</f>
        <v>9.9999999999999996E-76</v>
      </c>
      <c r="AN64" s="7">
        <f>'Custom Elements'!E25</f>
        <v>0</v>
      </c>
      <c r="AO64" s="7">
        <f>'Custom Elements'!F25</f>
        <v>0</v>
      </c>
      <c r="AP64" s="762" t="str">
        <f>'Custom Elements'!G25</f>
        <v>B</v>
      </c>
      <c r="AQ64" s="1637" t="str">
        <f>'Custom Elements'!H25</f>
        <v>Single</v>
      </c>
      <c r="AR64" s="1637" t="str">
        <f>'Custom Elements'!I25</f>
        <v>Yes</v>
      </c>
      <c r="AS64" s="442" t="str">
        <f>'Custom Elements'!J25</f>
        <v>Yes</v>
      </c>
      <c r="AT64" s="1155"/>
      <c r="AU64"/>
      <c r="AY64"/>
      <c r="AZ64" s="442" t="str">
        <f>IF(AND('Custom Elements'!J25="Yes",'Custom Elements'!I25="Yes"),"T",IF('Custom Elements'!J25="Yes","F",IF('Custom Elements'!I25="Yes","H","E")))</f>
        <v>T</v>
      </c>
      <c r="BA64" s="51"/>
      <c r="BB64" s="51"/>
      <c r="BC64" s="51"/>
      <c r="BD64" s="641"/>
      <c r="BE64" s="1023" t="s">
        <v>906</v>
      </c>
      <c r="BF64" s="1024"/>
      <c r="BG64" s="1025"/>
      <c r="BH64" s="479"/>
      <c r="BI64" s="759"/>
      <c r="BJ64" s="897">
        <f t="shared" si="33"/>
        <v>56</v>
      </c>
      <c r="BK64" s="764"/>
      <c r="BL64" s="766"/>
      <c r="BM64" s="455">
        <f>Table!P6</f>
        <v>0.8</v>
      </c>
      <c r="BN64" s="455">
        <f>BM65</f>
        <v>1.2</v>
      </c>
      <c r="BO64" s="455">
        <f>Table!Q6</f>
        <v>95</v>
      </c>
      <c r="BP64" s="925">
        <f>Table!R6</f>
        <v>83</v>
      </c>
      <c r="BR64" s="764"/>
      <c r="BS64" s="455"/>
      <c r="BT64" s="455"/>
      <c r="BU64" s="925" t="s">
        <v>242</v>
      </c>
      <c r="BV64" s="895"/>
      <c r="BW64" s="912"/>
      <c r="BX64" s="925" t="str">
        <f>Table!T5</f>
        <v>Single</v>
      </c>
      <c r="CH64" s="764">
        <f>IF(BN64=999,0,(BO65-BO64)/(BN64-BM64))</f>
        <v>0</v>
      </c>
      <c r="CI64" s="925">
        <f>IF(BN64=999,0,(BP65-BP64)/(BN64-BM64))</f>
        <v>2.5000000000000004</v>
      </c>
      <c r="CJ64" s="759"/>
      <c r="CK64" s="188"/>
      <c r="CL64" s="979">
        <f>VLOOKUP(I64,Prodlink,2,0)</f>
        <v>0</v>
      </c>
      <c r="CN64" s="497">
        <f t="shared" ca="1" si="31"/>
        <v>0</v>
      </c>
      <c r="CO64" s="497">
        <f ca="1">OFFSET($CH$9,CL64-1,-15,1,1)</f>
        <v>0</v>
      </c>
      <c r="CQ64" s="51">
        <v>0</v>
      </c>
      <c r="CR64" s="51">
        <f ca="1">IF(AND(Z64&lt;&gt;"t",Z64&lt;&gt;"f"),10000,IF(K64=$BH$11,0,IF(K64=$BH$12,$BH$23,IF(K64=$BH$13,$BH$24,10000))))</f>
        <v>10000</v>
      </c>
      <c r="CS64" s="51">
        <f ca="1">IF(F64&lt;OFFSET($BM$9,CL64-1,0,1,1),0,IF(F64&lt;OFFSET($BN$9,CL64-1,0,1,1),((F64-OFFSET($BM$9,CL64-1,0,1,1))*OFFSET($CH$9,CL64-1,0,1,1))+OFFSET($BO$9,CL64-1,CQ64,1,1),IF(F64&lt;OFFSET($BN$9,CL64+0,0,1,1),((F64-OFFSET($BM$9,CL64+0,0,1,1))*OFFSET($CH$9,CL64+0,0,1,1))+OFFSET($BO$9,CL64+0,CQ64,1,1),IF(F64&lt;OFFSET($BN$9,CL64+1,0,1,1),((F64-OFFSET($BM$9,CL64+1,0,1,1))*OFFSET($CH$9,CL64+1,0,1,1))+OFFSET($BO$9,CL64+1,CQ64,1,1),IF(F64&lt;OFFSET($BN$9,CL64+2,0,1,1),((F64-OFFSET($BM$9,CL64+2,0,1,1))*OFFSET($CH$9,CL64+2,0,1,1))+OFFSET($BO$9,CL64+2,CQ64,1,1),IF(F64&lt;OFFSET($BN$9,CL64+3,0,1,1),((F64-OFFSET($BM$9,CL64+3,0,1,1))*OFFSET($CH$9,CL64+3,0,1,1))+OFFSET($BO$9,CL64+3,CQ64,1,1),0))))))</f>
        <v>0</v>
      </c>
      <c r="CT64" s="51">
        <f ca="1">IF($F64&lt;OFFSET($BM$9,$CL64-1,0,1,1),0,IF($F64&lt;OFFSET($BN$9,$CL64-1,0,1,1),IF(AND($H64&gt;2.4,Z64&lt;&gt;"e",Z64&lt;&gt;"f"),CX64*2.4/$H64,CX64),IF($F64&lt;OFFSET($BN$9,$CL64+0,0,1,1),IF(AND($H64&gt;2.4,Z64&lt;&gt;"e",Z64&lt;&gt;"f"),CX64*2.4/$H64,CX64),IF($F64&lt;OFFSET($BN$9,$CL64+1,0,1,1),IF(AND($H64&gt;2.4,Z64&lt;&gt;"e",Z64&lt;&gt;"f"),CX64*2.4/$H64,CX64),IF($F64&lt;OFFSET($BN$9,CL64+2,0,1,1),IF(AND($H64&gt;2.4,Z64&lt;&gt;"e",Z64&lt;&gt;"f"),CX64*2.4/$H64,CX64),IF($F64&lt;OFFSET($BN$9,CL64+3,0,1,1),IF(AND($H64&gt;2.4,Z64&lt;&gt;"e",Z64&lt;&gt;"f"),CX64*2.4/$H64,CX64),0)))))*COS(RADIANS($G64)))</f>
        <v>0</v>
      </c>
      <c r="CU64" s="51">
        <f ca="1">IF(F64&lt;OFFSET($BM$9,CL64-1,0,1,1),0,IF(F64&lt;OFFSET($BN$9,CL64-1,0,1,1),((F64-OFFSET($BM$9,CL64-1,0,1,1))*OFFSET($CI$9,CL64-1,0,1,1))+OFFSET($BP$9,CL64-1,CQ64,1,1),IF(F64&lt;OFFSET($BN$9,CL64+0,0,1,1),((F64-OFFSET($BM$9,CL64+0,0,1,1))*OFFSET($CI$9,CL64+0,0,1,1))+OFFSET($BP$9,CL64+0,CQ64,1,1),IF(F64&lt;OFFSET($BN$9,CL64+1,0,1,1),((F64-OFFSET($BM$9,CL64+1,0,1,1))*OFFSET($CI$9,CL64+1,0,1,1))+OFFSET($BP$9,CL64+1,CQ64,1,1),IF(F64&lt;OFFSET($BN$9,CL64+2,0,1,1),((F64-OFFSET($BM$9,CL64+2,0,1,1))*OFFSET($CI$9,CL64+2,0,1,1))+OFFSET($BP$9,CL64+2,CQ64,1,1),IF(F64&lt;OFFSET($BN$9,CL64+3,0,1,1),((F64-OFFSET($BM$9,CL64+3,0,1,1))*OFFSET($CI$9,CL64+3,0,1,1))+OFFSET($BP$9,CL64+3,CQ64,1,1),0))))))</f>
        <v>0</v>
      </c>
      <c r="CV64" s="51">
        <f ca="1">IF($F64&lt;OFFSET($BM$9,$CL64-1,0,1,1),0,IF($F64&lt;OFFSET($BN$9,$CL64-1,0,1,1),IF(AND($H64&gt;2.4,Z64&lt;&gt;"e",Z64&lt;&gt;"f"),CZ64*2.4/$H64,CZ64),IF($F64&lt;OFFSET($BN$9,$CL64+0,0,1,1),IF(AND($H64&gt;2.4,Z64&lt;&gt;"e",Z64&lt;&gt;"f"),CZ64*2.4/$H64,CZ64),IF($F64&lt;OFFSET($BN$9,$CL64+1,0,1,1),IF(AND($H64&gt;2.4,Z64&lt;&gt;"e",Z64&lt;&gt;"f"),CZ64*2.4/$H64,CZ64),IF($F64&lt;OFFSET($BN$9,$CL64+2,0,1,1),IF(AND($H64&gt;2.4,Z64&lt;&gt;"e",Z64&lt;&gt;"f"),CZ64*2.4/$H64,CZ64),IF($F64&lt;OFFSET($BN$9,$CL64+3,0,1,1),IF(AND($H64&gt;2.4,Z64&lt;&gt;"e",Z64&lt;&gt;"f"),CZ64*2.4/$H64,CZ64),0)))))*COS(RADIANS($G64)))</f>
        <v>0</v>
      </c>
      <c r="CW64" s="51">
        <f t="shared" ca="1" si="17"/>
        <v>0</v>
      </c>
      <c r="CX64" s="51">
        <f ca="1">IF(CS64&gt;$CR64,$CR64,CS64)</f>
        <v>0</v>
      </c>
      <c r="CY64" s="51">
        <f ca="1">CW64*F64</f>
        <v>0</v>
      </c>
      <c r="CZ64" s="51">
        <f ca="1">IF($CU64&gt;$CR64,$CR64,$CU64)</f>
        <v>0</v>
      </c>
      <c r="DA64" s="51">
        <f ca="1">IF(CV64&gt;CR64,CR64,CV64)</f>
        <v>0</v>
      </c>
      <c r="DB64" s="51">
        <f ca="1">DA64*F64</f>
        <v>0</v>
      </c>
      <c r="DC64" s="993">
        <v>1</v>
      </c>
      <c r="DD64" s="758" t="str">
        <f>IF(OR(D64=BG$12,D64=BG$13),"External",IF(D64=BG$14,"Internal"," "))</f>
        <v xml:space="preserve"> </v>
      </c>
      <c r="DE64" s="51" t="str">
        <f t="shared" ca="1" si="18"/>
        <v/>
      </c>
      <c r="DF64" s="52" t="str">
        <f t="shared" ca="1" si="19"/>
        <v xml:space="preserve"> </v>
      </c>
      <c r="DG64" s="51">
        <f ca="1">IF(F64&lt;OFFSET($BM$9,CN64-1,0,1,1),0,IF(F64&lt;OFFSET($BN$9,CN64-1,0,1,1),((F64-OFFSET($BM$9,CN64-1,0,1,1))*OFFSET($CH$9,CN64-1,0,1,1))+OFFSET($BO$9,CN64-1,CQ64,1,1),IF(F64&lt;OFFSET($BN$9,CN64+0,0,1,1),((F64-OFFSET($BM$9,CN64+0,0,1,1))*OFFSET($CH$9,CN64+0,0,1,1))+OFFSET($BO$9,CN64+0,CQ64,1,1),IF(F64&lt;OFFSET($BN$9,CN64+1,0,1,1),((F64-OFFSET($BM$9,CN64+1,0,1,1))*OFFSET($CH$9,CN64+1,0,1,1))+OFFSET($BO$9,CN64+1,CQ64,1,1),IF(F64&lt;OFFSET($BN$9,CN64+2,0,1,1),((F64-OFFSET($BM$9,CN64+2,0,1,1))*OFFSET($CH$9,CN64+2,0,1,1))+OFFSET($BO$9,CN64+2,CQ64,1,1),IF(F64&lt;OFFSET($BN$9,CN64+3,0,1,1),((F64-OFFSET($BM$9,CN64+3,0,1,1))*OFFSET($CH$9,CN64+3,0,1,1))+OFFSET($BO$9,CN64+3,CQ64,1,1),0))))))</f>
        <v>0</v>
      </c>
      <c r="DH64" s="51">
        <f ca="1">IF($F64&lt;OFFSET($BM$9,$CN64-1,0,1,1),0,IF($F64&lt;OFFSET($BN$9,$CN64-1,0,1,1),IF(AND($H64&gt;2.4,Z64&lt;&gt;"e",Z64&lt;&gt;"f"),DL64*2.4/$H64,DL64),IF($F64&lt;OFFSET($BN$9,$CN64+0,0,1,1),IF(AND($H64&gt;2.4,Z64&lt;&gt;"e",Z64&lt;&gt;"f"),DL64*2.4/$H64,DL64),IF($F64&lt;OFFSET($BN$9,$CN64+1,0,1,1),IF(AND($H64&gt;2.4,Z64&lt;&gt;"e",Z64&lt;&gt;"f"),DL64*2.4/$H64,DL64),IF($F64&lt;OFFSET($BN$9,$CN64+2,0,1,1),IF(AND($H64&gt;2.4,Z64&lt;&gt;"e",Z64&lt;&gt;"f"),DL64*2.4/$H64,DL64),IF($F64&lt;OFFSET($BN$9,$CN64+3,0,1,1),IF(AND($H64&gt;2.4,Z64&lt;&gt;"e",Z64&lt;&gt;"f"),DL64*2.4/$H64,DL64),0)))))*COS(RADIANS($G64)))</f>
        <v>0</v>
      </c>
      <c r="DI64" s="51">
        <f ca="1">IF(F64&lt;OFFSET($BM$9,CN64-1,0,1,1),0,IF(F64&lt;OFFSET($BN$9,CN64-1,0,1,1),((F64-OFFSET($BM$9,CN64-1,0,1,1))*OFFSET($CI$9,CN64-1,0,1,1))+OFFSET($BP$9,CN64-1,CQ64,1,1),IF(F64&lt;OFFSET($BN$9,CN64+0,0,1,1),((F64-OFFSET($BM$9,CN64+0,0,1,1))*OFFSET($CI$9,CN64+0,0,1,1))+OFFSET($BP$9,CN64+0,CQ64,1,1),IF(F64&lt;OFFSET($BN$9,CN64+1,0,1,1),((F64-OFFSET($BM$9,CN64+1,0,1,1))*OFFSET($CI$9,CN64+1,0,1,1))+OFFSET($BP$9,CN64+1,CQ64,1,1),IF(F64&lt;OFFSET($BN$9,CN64+2,0,1,1),((F64-OFFSET($BM$9,CN64+2,0,1,1))*OFFSET($CI$9,CN64+2,0,1,1))+OFFSET($BP$9,CN64+2,CQ64,1,1),IF(F64&lt;OFFSET($BN$9,CN64+3,0,1,1),((F64-OFFSET($BM$9,CN64+3,0,1,1))*OFFSET($CI$9,CN64+3,0,1,1))+OFFSET($BP$9,CN64+3,CQ64,1,1),0))))))</f>
        <v>0</v>
      </c>
      <c r="DJ64" s="51">
        <f ca="1">IF($F64&lt;OFFSET($BM$9,$CN64-1,0,1,1),0,IF($F64&lt;OFFSET($BN$9,$CN64-1,0,1,1),IF(AND($H64&gt;2.4,Z64&lt;&gt;"e",Z64&lt;&gt;"f"),DN64*2.4/$H64,DN64),IF($F64&lt;OFFSET($BN$9,$CN64+0,0,1,1),IF(AND($H64&gt;2.4,Z64&lt;&gt;"e",Z64&lt;&gt;"f"),DN64*2.4/$H64,DN64),IF($F64&lt;OFFSET($BN$9,$CN64+1,0,1,1),IF(AND($H64&gt;2.4,Z64&lt;&gt;"e",Z64&lt;&gt;"f"),DN64*2.4/$H64,DN64),IF($F64&lt;OFFSET($BN$9,$CN64+2,0,1,1),IF(AND($H64&gt;2.4,Z64&lt;&gt;"e",Z64&lt;&gt;"f"),DN64*2.4/$H64,DN64),IF($F64&lt;OFFSET($BN$9,$CN64+3,0,1,1),IF(AND($H64&gt;2.4,Z64&lt;&gt;"e",Z64&lt;&gt;"f"),DN64*2.4/$H64,DN64),0)))))*COS(RADIANS($G64)))</f>
        <v>0</v>
      </c>
      <c r="DK64" s="51"/>
      <c r="DL64" s="51">
        <f ca="1">IF(DG64&gt;$CR64,$CR64,DG64)</f>
        <v>0</v>
      </c>
      <c r="DM64" s="51"/>
      <c r="DN64" s="51">
        <f ca="1">IF(DI64&gt;$CR64,$CR64,DI64)</f>
        <v>0</v>
      </c>
      <c r="DO64" s="435">
        <f ca="1">IF(DH64&gt;$CR64,$CR64,DH64)</f>
        <v>0</v>
      </c>
      <c r="DP64" s="435">
        <f ca="1">DO64*F64</f>
        <v>0</v>
      </c>
      <c r="DQ64" s="436">
        <f ca="1">IF(DJ64&gt;$CR64,$CR64,DJ64)</f>
        <v>0</v>
      </c>
      <c r="DR64" s="437">
        <f ca="1">DQ64*F64</f>
        <v>0</v>
      </c>
      <c r="DS64" s="426">
        <f ca="1">OFFSET($CH$9,CL64-1,-15,1,1)</f>
        <v>0</v>
      </c>
      <c r="DT64" s="426">
        <f t="shared" ca="1" si="32"/>
        <v>0</v>
      </c>
      <c r="DU64" s="188">
        <f ca="1">IF(F64&lt;OFFSET($BM$9,DT64-1,0,1,1),0,IF(F64&lt;OFFSET($BN$9,DT64-1,0,1,1),((F64-OFFSET($BM$9,DT64-1,0,1,1))*OFFSET($CH$9,DT64-1,0,1,1))+OFFSET($BO$9,DT64-1,CQ64,1,1),IF(F64&lt;OFFSET($BN$9,DT64+0,0,1,1),((F64-OFFSET($BM$9,DT64+0,0,1,1))*OFFSET($CH$9,DT64+0,0,1,1))+OFFSET($BO$9,DT64+0,CQ64,1,1),IF(F64&lt;OFFSET($BN$9,DT64+1,0,1,1),((F64-OFFSET($BM$9,DT64+1,0,1,1))*OFFSET($CH$9,DT64+1,0,1,1))+OFFSET($BO$9,DT64+1,CQ64,1,1),IF(F64&lt;OFFSET($BN$9,DT64+2,0,1,1),((F64-OFFSET($BM$9,DT64+2,0,1,1))*OFFSET($CH$9,DT64+2,0,1,1))+OFFSET($BO$9,DT64+2,CQ64,1,1),IF(F64&lt;OFFSET($BN$9,DT64+3,0,1,1),((F64-OFFSET($BM$9,DT64+3,0,1,1))*OFFSET($CH$9,DT64+3,0,1,1))+OFFSET($BO$9,DT64+3,CQ64,1,1),0))))))</f>
        <v>0</v>
      </c>
      <c r="DV64" s="51">
        <f ca="1">IF($F64&lt;OFFSET($BM$9,$DT64-1,0,1,1),0,IF($F64&lt;OFFSET($BN$9,$DT64-1,0,1,1),IF(AND($H64&gt;2.4,Z64&lt;&gt;"e",Z64&lt;&gt;"f"),DZ64*2.4/$H64,DZ64),IF($F64&lt;OFFSET($BN$9,$DT64+0,0,1,1),IF(AND($H64&gt;2.4,Z64&lt;&gt;"e",Z64&lt;&gt;"f"),DZ64*2.4/$H64,DZ64),IF($F64&lt;OFFSET($BN$9,$DT64+1,0,1,1),IF(AND($H64&gt;2.4,Z64&lt;&gt;"e",Z64&lt;&gt;"f"),DZ64*2.4/$H64,DZ64),IF($F64&lt;OFFSET($BN$9,$DT64+2,0,1,1),IF(AND($H64&gt;2.4,Z64&lt;&gt;"e",Z64&lt;&gt;"f"),DZ64*2.4/$H64,DZ64),IF($F64&lt;OFFSET($BN$9,$DT64+3,0,1,1),IF(AND($H64&gt;2.4,Z64&lt;&gt;"e",Z64&lt;&gt;"f"),DZ64*2.4/$H64,DZ64),0)))))*COS(RADIANS($G64)))</f>
        <v>0</v>
      </c>
      <c r="DW64" s="188">
        <f ca="1">IF(F64&lt;OFFSET($BM$9,DT64-1,0,1,1),0,IF(F64&lt;OFFSET($BN$9,DT64-1,0,1,1),((F64-OFFSET($BM$9,DT64-1,0,1,1))*OFFSET($CI$9,DT64-1,0,1,1))+OFFSET($BP$9,DT64-1,CQ64,1,1),IF(F64&lt;OFFSET($BN$9,DT64+0,0,1,1),((F64-OFFSET($BM$9,DT64+0,0,1,1))*OFFSET($CI$9,DT64+0,0,1,1))+OFFSET($BP$9,DT64+0,CQ64,1,1),IF(F64&lt;OFFSET($BN$9,DT64+1,0,1,1),((F64-OFFSET($BM$9,DT64+1,0,1,1))*OFFSET($CI$9,DT64+1,0,1,1))+OFFSET($BP$9,DT64+1,CQ64,1,1),IF(F64&lt;OFFSET($BN$9,DT64+2,0,1,1),((F64-OFFSET($BM$9,DT64+2,0,1,1))*OFFSET($CI$9,DT64+2,0,1,1))+OFFSET($BP$9,DT64+2,CQ64,1,1),IF(F64&lt;OFFSET($BN$9,DT64+3,0,1,1),((F64-OFFSET($BM$9,DT64+3,0,1,1))*OFFSET($CI$9,DT64+3,0,1,1))+OFFSET($BP$9,DT64+3,CQ64,1,1),0))))))</f>
        <v>0</v>
      </c>
      <c r="DX64" s="51">
        <f ca="1">IF($F64&lt;OFFSET($BM$9,$DT64-1,0,1,1),0,IF($F64&lt;OFFSET($BN$9,$DT64-1,0,1,1),IF(AND($H64&gt;2.4,Z64&lt;&gt;"e",Z64&lt;&gt;"f"),EB64*2.4/$H64,EB64),IF($F64&lt;OFFSET($BN$9,$DT64+0,0,1,1),IF(AND($H64&gt;2.4,Z64&lt;&gt;"e",Z64&lt;&gt;"f"),EB64*2.4/$H64,EB64),IF($F64&lt;OFFSET($BN$9,$DT64+1,0,1,1),IF(AND($H64&gt;2.4,Z64&lt;&gt;"e",Z64&lt;&gt;"f"),EB64*2.4/$H64,EB64),IF($F64&lt;OFFSET($BN$9,$DT64+2,0,1,1),IF(AND($H64&gt;2.4,Z64&lt;&gt;"e",Z64&lt;&gt;"f"),EB64*2.4/$H64,EB64),IF($F64&lt;OFFSET($BN$9,$DT64+3,0,1,1),IF(AND($H64&gt;2.4,Z64&lt;&gt;"e",Z64&lt;&gt;"f"),EB64*2.4/$H64,EB64),0)))))*COS(RADIANS($G64)))</f>
        <v>0</v>
      </c>
      <c r="DY64" s="188"/>
      <c r="DZ64" s="188">
        <f ca="1">IF(DU64&gt;$CR64,$CR64,DU64)</f>
        <v>0</v>
      </c>
      <c r="EA64" s="188"/>
      <c r="EB64" s="188">
        <f ca="1">IF(DW64&gt;$CR64,$CR64,DW64)</f>
        <v>0</v>
      </c>
      <c r="EC64" s="435">
        <f ca="1">IF(DV64&gt;$CR64,$CR64,DV64)</f>
        <v>0</v>
      </c>
      <c r="ED64" s="435">
        <f ca="1">EC64*F64</f>
        <v>0</v>
      </c>
      <c r="EE64" s="436">
        <f ca="1">IF(DX64&gt;$CR64,$CR64,DX64)</f>
        <v>0</v>
      </c>
      <c r="EF64" s="437">
        <f ca="1">EE64*F64</f>
        <v>0</v>
      </c>
      <c r="EG64" s="613" t="str">
        <f>IF(D64=BG$12,BG$12,"")</f>
        <v/>
      </c>
      <c r="EH64" s="614" t="str">
        <f>IF(D64=BG$13,BG$13,"")</f>
        <v/>
      </c>
      <c r="EI64" s="611">
        <f>IF(EG64=BG$12,M64,0)</f>
        <v>0</v>
      </c>
      <c r="EJ64" s="451">
        <f>IF(EG64=BG$12,O64,0)</f>
        <v>0</v>
      </c>
      <c r="EK64" s="451">
        <f>IF(EH64=BG$13,M64,0)</f>
        <v>0</v>
      </c>
      <c r="EL64" s="612">
        <f>IF(EH64=BG$13,O64,0)</f>
        <v>0</v>
      </c>
      <c r="EM64" s="426" t="str">
        <f ca="1">IF(AND(Z64&lt;&gt;"t",Z64&lt;&gt;"f"),"",IF(AND(EN64=$BH$11,K64&lt;&gt;EN64),EM$4,IF(AND(EN64=$BH$12,K64=$BH$13),EM$4,IF(AND(EN64=$BH$12,K64=$BH$14),EM$4,IF(AND(EN64=$BH$13,K64=$BH$14),$EM$4,IF(EN64=$BH$14,$EM$4,""))))))</f>
        <v/>
      </c>
      <c r="EN64" s="489" t="str">
        <f>BG$24</f>
        <v>No Floor</v>
      </c>
      <c r="EO64" s="426" t="str">
        <f>K64</f>
        <v xml:space="preserve"> </v>
      </c>
      <c r="EP64" s="497" t="str">
        <f ca="1">IF(AND(Z64&lt;&gt;"t",Z64&lt;&gt;"f"),"",IF(AND(EN64=$BH$14,K64&lt;&gt;EN64),EP$4,IF(AND(EN64=$BH$13,K64=$BH$12),EP$4,IF(AND(EN64=$BH$13,K64=$BH$11),EP$4,IF(AND(EN64=$BH$12,K64=$BH$11),$EP$4,IF(EN64=$BH$11,"Earth",""))))))</f>
        <v/>
      </c>
      <c r="EQ64" s="430" t="str">
        <f ca="1">IF(Z64&lt;&gt;"t","",IF(EQ$5=2,IF(K64&lt;&gt;BH$11,EQ$7," ")))</f>
        <v/>
      </c>
      <c r="ER64" s="439" t="str">
        <f ca="1">IF(H64=0," ",H64)</f>
        <v xml:space="preserve"> </v>
      </c>
      <c r="ES64" s="440" t="str">
        <f ca="1">IF(ER64&lt;&gt;" ",IF(ER64&lt;&gt;ER$7,"Changed",""),"")</f>
        <v/>
      </c>
      <c r="ET64" s="440">
        <f t="shared" ca="1" si="20"/>
        <v>0</v>
      </c>
      <c r="EU64" s="426" t="str">
        <f ca="1">IF(I64=" "," ",IF(F64&lt;OFFSET($BM$9,CL64-1,0,1,1),1,""))</f>
        <v xml:space="preserve"> </v>
      </c>
      <c r="EW64" s="427"/>
      <c r="EY64" s="421"/>
    </row>
    <row r="65" spans="1:155" ht="17.100000000000001" customHeight="1">
      <c r="A65" s="2685"/>
      <c r="B65" s="689" t="s">
        <v>246</v>
      </c>
      <c r="C65" s="684" t="str">
        <f>IF(OR(F65=0,I65="",I65=" ")," ",$V65)</f>
        <v xml:space="preserve"> </v>
      </c>
      <c r="D65" s="1033"/>
      <c r="E65" s="1360"/>
      <c r="F65" s="202"/>
      <c r="G65" s="1416"/>
      <c r="H65" s="1417" t="str">
        <f ca="1">IF(OR(F65=0,Z65="E",Z65="f")," ",'Project Demand'!E$55)</f>
        <v xml:space="preserve"> </v>
      </c>
      <c r="I65" s="631" t="str">
        <f>IF($I$6&lt;&gt;$BG$8," ",AB65)</f>
        <v xml:space="preserve"> </v>
      </c>
      <c r="J65" s="44" t="str">
        <f ca="1">IF(OR(I65=" ",I65="")," ",OFFSET($BO$9,CL65-1,0-4,1,1))</f>
        <v xml:space="preserve"> </v>
      </c>
      <c r="K65" s="55" t="str">
        <f>IF(OR(I65=" ",I65="")," ",IF(OR(Z65="e",Z65="h"),"SD",IF(BG$24=BH$11,BH$13,BG$24)))</f>
        <v xml:space="preserve"> </v>
      </c>
      <c r="L65" s="49">
        <f ca="1">CW65</f>
        <v>0</v>
      </c>
      <c r="M65" s="49">
        <f ca="1">CY65</f>
        <v>0</v>
      </c>
      <c r="N65" s="50">
        <f t="shared" ca="1" si="38"/>
        <v>0</v>
      </c>
      <c r="O65" s="126">
        <f t="shared" ca="1" si="38"/>
        <v>0</v>
      </c>
      <c r="P65" s="140"/>
      <c r="Q65" s="752" t="str">
        <f ca="1">IF(AND(OR(Z65="t",Z65="f"),K65=$BH$11),"No Floor!  Change Floor Type",IF(OR(I65=" ",I65="")," ",IF(F65&lt;OFFSET($BM$9,CL65-1,0,1,1),"check L(m)",DE65&amp;IF(AND(DP65&gt;=CY65,DR65&gt;=DB65),IF(AND(ED65&gt;=DP65,EF65&gt;=DR65),CONCATENATE(DS65," will provide same result"),CONCATENATE(CO65," will provide same result")),IF((DP65&gt;=CY65),CONCATENATE(CO65," provides same result in WIND"),IF((DR65&gt;=DB65),CONCATENATE(CO65," provides same result in EQ"),""))))))&amp;IF(ISERROR(FIND("pile",I65,1)),"",IF(INT(F65)&lt;&gt;F65,"Pile!  Use Whole Numbers Only",""))</f>
        <v xml:space="preserve"> </v>
      </c>
      <c r="R65" s="52"/>
      <c r="S65" s="1372"/>
      <c r="T65" s="1372"/>
      <c r="U65" s="1377"/>
      <c r="V65" s="52" t="str">
        <f ca="1">IF(AND(B$5=$BF$9,OR(I65=BH$16,I65=BH$17))," ",IF(ISNUMBER(B$62),(CONCATENATE(B$62,".",W65)),(CONCATENATE(B$62,W65))))</f>
        <v>J0</v>
      </c>
      <c r="W65" s="9">
        <f ca="1">W64+X65</f>
        <v>0</v>
      </c>
      <c r="X65" s="9">
        <f>IF(AND(B$5=$BF$9,OR($I65=$BH$16,$I65=$BH$17,$I65=" ",$I65="",$F65=0)),0,IF(OR($I65=" ",$I65="",$F65=0),0,1))</f>
        <v>0</v>
      </c>
      <c r="Y65" s="896"/>
      <c r="Z65" s="52" t="str">
        <f ca="1">IF(I65=" "," ",OFFSET($BM$9,$CL65-1,8,1,1))</f>
        <v xml:space="preserve"> </v>
      </c>
      <c r="AA65" s="51" t="str">
        <f>IF(G65&gt;=45,"WA","")</f>
        <v/>
      </c>
      <c r="AB65" s="1364" t="str">
        <f>IF(OR(E65=" ",E65="")," ",(IF(F65&lt;&gt;"",IF(OR(D65=$BG$12,D65=$BG$13),IF(E65&lt;&gt;$BG$17,$BF$20,$BF$21),IF(E65&lt;&gt;$BG$17,$BF$20,$BF$21))," ")))</f>
        <v xml:space="preserve"> </v>
      </c>
      <c r="AC65" s="1"/>
      <c r="AJ65" s="2"/>
      <c r="AK65" s="63" t="str">
        <f>'Custom Elements'!B26</f>
        <v xml:space="preserve">  </v>
      </c>
      <c r="AL65" s="860" t="str">
        <f>'Custom Elements'!C26</f>
        <v>Custom18</v>
      </c>
      <c r="AM65" s="11">
        <f>'Custom Elements'!D26</f>
        <v>9.9999999999999996E-76</v>
      </c>
      <c r="AN65" s="7">
        <f>'Custom Elements'!E26</f>
        <v>0</v>
      </c>
      <c r="AO65" s="7">
        <f>'Custom Elements'!F26</f>
        <v>0</v>
      </c>
      <c r="AP65" s="762" t="str">
        <f>'Custom Elements'!G26</f>
        <v>B</v>
      </c>
      <c r="AQ65" s="1637" t="str">
        <f>'Custom Elements'!H26</f>
        <v>Single</v>
      </c>
      <c r="AR65" s="1637" t="str">
        <f>'Custom Elements'!I26</f>
        <v>Yes</v>
      </c>
      <c r="AS65" s="442" t="str">
        <f>'Custom Elements'!J26</f>
        <v>Yes</v>
      </c>
      <c r="AT65" s="1155"/>
      <c r="AU65"/>
      <c r="AY65"/>
      <c r="AZ65" s="442" t="str">
        <f>IF(AND('Custom Elements'!J26="Yes",'Custom Elements'!I26="Yes"),"T",IF('Custom Elements'!J26="Yes","F",IF('Custom Elements'!I26="Yes","H","E")))</f>
        <v>T</v>
      </c>
      <c r="BA65" s="51"/>
      <c r="BB65" s="51"/>
      <c r="BC65" s="51"/>
      <c r="BD65" s="641"/>
      <c r="BE65" s="1026" t="s">
        <v>904</v>
      </c>
      <c r="BF65" s="640"/>
      <c r="BG65" s="1027"/>
      <c r="BH65" s="479"/>
      <c r="BI65" s="759"/>
      <c r="BJ65" s="897">
        <f t="shared" si="33"/>
        <v>57</v>
      </c>
      <c r="BK65" s="764"/>
      <c r="BL65" s="766"/>
      <c r="BM65" s="455">
        <f>Table!P7</f>
        <v>1.2</v>
      </c>
      <c r="BN65" s="455">
        <f>BM66</f>
        <v>1.8</v>
      </c>
      <c r="BO65" s="455">
        <f>Table!Q7</f>
        <v>95</v>
      </c>
      <c r="BP65" s="925">
        <f>Table!R7</f>
        <v>84</v>
      </c>
      <c r="BR65" s="764"/>
      <c r="BS65" s="455"/>
      <c r="BT65" s="455"/>
      <c r="BU65" s="925" t="s">
        <v>242</v>
      </c>
      <c r="BV65" s="895"/>
      <c r="BW65" s="912"/>
      <c r="BX65" s="925" t="str">
        <f>Table!T5</f>
        <v>Single</v>
      </c>
      <c r="CH65" s="764">
        <f>IF(BN65=999,0,(BO66-BO65)/(BN65-BM65))</f>
        <v>24.999999999999996</v>
      </c>
      <c r="CI65" s="925">
        <f>IF(BN65=999,0,(BP66-BP65)/(BN65-BM65))</f>
        <v>0</v>
      </c>
      <c r="CJ65" s="759"/>
      <c r="CK65" s="188"/>
      <c r="CL65" s="979">
        <f>VLOOKUP(I65,Prodlink,2,0)</f>
        <v>0</v>
      </c>
      <c r="CN65" s="497">
        <f t="shared" ca="1" si="31"/>
        <v>0</v>
      </c>
      <c r="CO65" s="497">
        <f ca="1">OFFSET($CH$9,CL65-1,-15,1,1)</f>
        <v>0</v>
      </c>
      <c r="CQ65" s="51">
        <v>0</v>
      </c>
      <c r="CR65" s="51">
        <f ca="1">IF(AND(Z65&lt;&gt;"t",Z65&lt;&gt;"f"),10000,IF(K65=$BH$11,0,IF(K65=$BH$12,$BH$23,IF(K65=$BH$13,$BH$24,10000))))</f>
        <v>10000</v>
      </c>
      <c r="CS65" s="51">
        <f ca="1">IF(F65&lt;OFFSET($BM$9,CL65-1,0,1,1),0,IF(F65&lt;OFFSET($BN$9,CL65-1,0,1,1),((F65-OFFSET($BM$9,CL65-1,0,1,1))*OFFSET($CH$9,CL65-1,0,1,1))+OFFSET($BO$9,CL65-1,CQ65,1,1),IF(F65&lt;OFFSET($BN$9,CL65+0,0,1,1),((F65-OFFSET($BM$9,CL65+0,0,1,1))*OFFSET($CH$9,CL65+0,0,1,1))+OFFSET($BO$9,CL65+0,CQ65,1,1),IF(F65&lt;OFFSET($BN$9,CL65+1,0,1,1),((F65-OFFSET($BM$9,CL65+1,0,1,1))*OFFSET($CH$9,CL65+1,0,1,1))+OFFSET($BO$9,CL65+1,CQ65,1,1),IF(F65&lt;OFFSET($BN$9,CL65+2,0,1,1),((F65-OFFSET($BM$9,CL65+2,0,1,1))*OFFSET($CH$9,CL65+2,0,1,1))+OFFSET($BO$9,CL65+2,CQ65,1,1),IF(F65&lt;OFFSET($BN$9,CL65+3,0,1,1),((F65-OFFSET($BM$9,CL65+3,0,1,1))*OFFSET($CH$9,CL65+3,0,1,1))+OFFSET($BO$9,CL65+3,CQ65,1,1),0))))))</f>
        <v>0</v>
      </c>
      <c r="CT65" s="51">
        <f ca="1">IF($F65&lt;OFFSET($BM$9,$CL65-1,0,1,1),0,IF($F65&lt;OFFSET($BN$9,$CL65-1,0,1,1),IF(AND($H65&gt;2.4,Z65&lt;&gt;"e",Z65&lt;&gt;"f"),CX65*2.4/$H65,CX65),IF($F65&lt;OFFSET($BN$9,$CL65+0,0,1,1),IF(AND($H65&gt;2.4,Z65&lt;&gt;"e",Z65&lt;&gt;"f"),CX65*2.4/$H65,CX65),IF($F65&lt;OFFSET($BN$9,$CL65+1,0,1,1),IF(AND($H65&gt;2.4,Z65&lt;&gt;"e",Z65&lt;&gt;"f"),CX65*2.4/$H65,CX65),IF($F65&lt;OFFSET($BN$9,CL65+2,0,1,1),IF(AND($H65&gt;2.4,Z65&lt;&gt;"e",Z65&lt;&gt;"f"),CX65*2.4/$H65,CX65),IF($F65&lt;OFFSET($BN$9,CL65+3,0,1,1),IF(AND($H65&gt;2.4,Z65&lt;&gt;"e",Z65&lt;&gt;"f"),CX65*2.4/$H65,CX65),0)))))*COS(RADIANS($G65)))</f>
        <v>0</v>
      </c>
      <c r="CU65" s="51">
        <f ca="1">IF(F65&lt;OFFSET($BM$9,CL65-1,0,1,1),0,IF(F65&lt;OFFSET($BN$9,CL65-1,0,1,1),((F65-OFFSET($BM$9,CL65-1,0,1,1))*OFFSET($CI$9,CL65-1,0,1,1))+OFFSET($BP$9,CL65-1,CQ65,1,1),IF(F65&lt;OFFSET($BN$9,CL65+0,0,1,1),((F65-OFFSET($BM$9,CL65+0,0,1,1))*OFFSET($CI$9,CL65+0,0,1,1))+OFFSET($BP$9,CL65+0,CQ65,1,1),IF(F65&lt;OFFSET($BN$9,CL65+1,0,1,1),((F65-OFFSET($BM$9,CL65+1,0,1,1))*OFFSET($CI$9,CL65+1,0,1,1))+OFFSET($BP$9,CL65+1,CQ65,1,1),IF(F65&lt;OFFSET($BN$9,CL65+2,0,1,1),((F65-OFFSET($BM$9,CL65+2,0,1,1))*OFFSET($CI$9,CL65+2,0,1,1))+OFFSET($BP$9,CL65+2,CQ65,1,1),IF(F65&lt;OFFSET($BN$9,CL65+3,0,1,1),((F65-OFFSET($BM$9,CL65+3,0,1,1))*OFFSET($CI$9,CL65+3,0,1,1))+OFFSET($BP$9,CL65+3,CQ65,1,1),0))))))</f>
        <v>0</v>
      </c>
      <c r="CV65" s="51">
        <f ca="1">IF($F65&lt;OFFSET($BM$9,$CL65-1,0,1,1),0,IF($F65&lt;OFFSET($BN$9,$CL65-1,0,1,1),IF(AND($H65&gt;2.4,Z65&lt;&gt;"e",Z65&lt;&gt;"f"),CZ65*2.4/$H65,CZ65),IF($F65&lt;OFFSET($BN$9,$CL65+0,0,1,1),IF(AND($H65&gt;2.4,Z65&lt;&gt;"e",Z65&lt;&gt;"f"),CZ65*2.4/$H65,CZ65),IF($F65&lt;OFFSET($BN$9,$CL65+1,0,1,1),IF(AND($H65&gt;2.4,Z65&lt;&gt;"e",Z65&lt;&gt;"f"),CZ65*2.4/$H65,CZ65),IF($F65&lt;OFFSET($BN$9,$CL65+2,0,1,1),IF(AND($H65&gt;2.4,Z65&lt;&gt;"e",Z65&lt;&gt;"f"),CZ65*2.4/$H65,CZ65),IF($F65&lt;OFFSET($BN$9,$CL65+3,0,1,1),IF(AND($H65&gt;2.4,Z65&lt;&gt;"e",Z65&lt;&gt;"f"),CZ65*2.4/$H65,CZ65),0)))))*COS(RADIANS($G65)))</f>
        <v>0</v>
      </c>
      <c r="CW65" s="51">
        <f t="shared" ca="1" si="17"/>
        <v>0</v>
      </c>
      <c r="CX65" s="51">
        <f ca="1">IF(CS65&gt;$CR65,$CR65,CS65)</f>
        <v>0</v>
      </c>
      <c r="CY65" s="51">
        <f ca="1">CW65*F65</f>
        <v>0</v>
      </c>
      <c r="CZ65" s="51">
        <f ca="1">IF($CU65&gt;$CR65,$CR65,$CU65)</f>
        <v>0</v>
      </c>
      <c r="DA65" s="51">
        <f ca="1">IF(CV65&gt;CR65,CR65,CV65)</f>
        <v>0</v>
      </c>
      <c r="DB65" s="51">
        <f ca="1">DA65*F65</f>
        <v>0</v>
      </c>
      <c r="DC65" s="993">
        <v>1</v>
      </c>
      <c r="DD65" s="758" t="str">
        <f>IF(OR(D65=BG$12,D65=BG$13),"External",IF(D65=BG$14,"Internal"," "))</f>
        <v xml:space="preserve"> </v>
      </c>
      <c r="DE65" s="51" t="str">
        <f t="shared" ca="1" si="18"/>
        <v/>
      </c>
      <c r="DF65" s="52" t="str">
        <f t="shared" ca="1" si="19"/>
        <v xml:space="preserve"> </v>
      </c>
      <c r="DG65" s="51">
        <f ca="1">IF(F65&lt;OFFSET($BM$9,CN65-1,0,1,1),0,IF(F65&lt;OFFSET($BN$9,CN65-1,0,1,1),((F65-OFFSET($BM$9,CN65-1,0,1,1))*OFFSET($CH$9,CN65-1,0,1,1))+OFFSET($BO$9,CN65-1,CQ65,1,1),IF(F65&lt;OFFSET($BN$9,CN65+0,0,1,1),((F65-OFFSET($BM$9,CN65+0,0,1,1))*OFFSET($CH$9,CN65+0,0,1,1))+OFFSET($BO$9,CN65+0,CQ65,1,1),IF(F65&lt;OFFSET($BN$9,CN65+1,0,1,1),((F65-OFFSET($BM$9,CN65+1,0,1,1))*OFFSET($CH$9,CN65+1,0,1,1))+OFFSET($BO$9,CN65+1,CQ65,1,1),IF(F65&lt;OFFSET($BN$9,CN65+2,0,1,1),((F65-OFFSET($BM$9,CN65+2,0,1,1))*OFFSET($CH$9,CN65+2,0,1,1))+OFFSET($BO$9,CN65+2,CQ65,1,1),IF(F65&lt;OFFSET($BN$9,CN65+3,0,1,1),((F65-OFFSET($BM$9,CN65+3,0,1,1))*OFFSET($CH$9,CN65+3,0,1,1))+OFFSET($BO$9,CN65+3,CQ65,1,1),0))))))</f>
        <v>0</v>
      </c>
      <c r="DH65" s="51">
        <f ca="1">IF($F65&lt;OFFSET($BM$9,$CN65-1,0,1,1),0,IF($F65&lt;OFFSET($BN$9,$CN65-1,0,1,1),IF(AND($H65&gt;2.4,Z65&lt;&gt;"e",Z65&lt;&gt;"f"),DL65*2.4/$H65,DL65),IF($F65&lt;OFFSET($BN$9,$CN65+0,0,1,1),IF(AND($H65&gt;2.4,Z65&lt;&gt;"e",Z65&lt;&gt;"f"),DL65*2.4/$H65,DL65),IF($F65&lt;OFFSET($BN$9,$CN65+1,0,1,1),IF(AND($H65&gt;2.4,Z65&lt;&gt;"e",Z65&lt;&gt;"f"),DL65*2.4/$H65,DL65),IF($F65&lt;OFFSET($BN$9,$CN65+2,0,1,1),IF(AND($H65&gt;2.4,Z65&lt;&gt;"e",Z65&lt;&gt;"f"),DL65*2.4/$H65,DL65),IF($F65&lt;OFFSET($BN$9,$CN65+3,0,1,1),IF(AND($H65&gt;2.4,Z65&lt;&gt;"e",Z65&lt;&gt;"f"),DL65*2.4/$H65,DL65),0)))))*COS(RADIANS($G65)))</f>
        <v>0</v>
      </c>
      <c r="DI65" s="51">
        <f ca="1">IF(F65&lt;OFFSET($BM$9,CN65-1,0,1,1),0,IF(F65&lt;OFFSET($BN$9,CN65-1,0,1,1),((F65-OFFSET($BM$9,CN65-1,0,1,1))*OFFSET($CI$9,CN65-1,0,1,1))+OFFSET($BP$9,CN65-1,CQ65,1,1),IF(F65&lt;OFFSET($BN$9,CN65+0,0,1,1),((F65-OFFSET($BM$9,CN65+0,0,1,1))*OFFSET($CI$9,CN65+0,0,1,1))+OFFSET($BP$9,CN65+0,CQ65,1,1),IF(F65&lt;OFFSET($BN$9,CN65+1,0,1,1),((F65-OFFSET($BM$9,CN65+1,0,1,1))*OFFSET($CI$9,CN65+1,0,1,1))+OFFSET($BP$9,CN65+1,CQ65,1,1),IF(F65&lt;OFFSET($BN$9,CN65+2,0,1,1),((F65-OFFSET($BM$9,CN65+2,0,1,1))*OFFSET($CI$9,CN65+2,0,1,1))+OFFSET($BP$9,CN65+2,CQ65,1,1),IF(F65&lt;OFFSET($BN$9,CN65+3,0,1,1),((F65-OFFSET($BM$9,CN65+3,0,1,1))*OFFSET($CI$9,CN65+3,0,1,1))+OFFSET($BP$9,CN65+3,CQ65,1,1),0))))))</f>
        <v>0</v>
      </c>
      <c r="DJ65" s="51">
        <f ca="1">IF($F65&lt;OFFSET($BM$9,$CN65-1,0,1,1),0,IF($F65&lt;OFFSET($BN$9,$CN65-1,0,1,1),IF(AND($H65&gt;2.4,Z65&lt;&gt;"e",Z65&lt;&gt;"f"),DN65*2.4/$H65,DN65),IF($F65&lt;OFFSET($BN$9,$CN65+0,0,1,1),IF(AND($H65&gt;2.4,Z65&lt;&gt;"e",Z65&lt;&gt;"f"),DN65*2.4/$H65,DN65),IF($F65&lt;OFFSET($BN$9,$CN65+1,0,1,1),IF(AND($H65&gt;2.4,Z65&lt;&gt;"e",Z65&lt;&gt;"f"),DN65*2.4/$H65,DN65),IF($F65&lt;OFFSET($BN$9,$CN65+2,0,1,1),IF(AND($H65&gt;2.4,Z65&lt;&gt;"e",Z65&lt;&gt;"f"),DN65*2.4/$H65,DN65),IF($F65&lt;OFFSET($BN$9,$CN65+3,0,1,1),IF(AND($H65&gt;2.4,Z65&lt;&gt;"e",Z65&lt;&gt;"f"),DN65*2.4/$H65,DN65),0)))))*COS(RADIANS($G65)))</f>
        <v>0</v>
      </c>
      <c r="DK65" s="51"/>
      <c r="DL65" s="51">
        <f ca="1">IF(DG65&gt;$CR65,$CR65,DG65)</f>
        <v>0</v>
      </c>
      <c r="DM65" s="51"/>
      <c r="DN65" s="51">
        <f ca="1">IF(DI65&gt;$CR65,$CR65,DI65)</f>
        <v>0</v>
      </c>
      <c r="DO65" s="435">
        <f ca="1">IF(DH65&gt;$CR65,$CR65,DH65)</f>
        <v>0</v>
      </c>
      <c r="DP65" s="435">
        <f ca="1">DO65*F65</f>
        <v>0</v>
      </c>
      <c r="DQ65" s="436">
        <f ca="1">IF(DJ65&gt;$CR65,$CR65,DJ65)</f>
        <v>0</v>
      </c>
      <c r="DR65" s="437">
        <f ca="1">DQ65*F65</f>
        <v>0</v>
      </c>
      <c r="DS65" s="426">
        <f ca="1">OFFSET($CH$9,CL65-1,-15,1,1)</f>
        <v>0</v>
      </c>
      <c r="DT65" s="426">
        <f t="shared" ca="1" si="32"/>
        <v>0</v>
      </c>
      <c r="DU65" s="188">
        <f ca="1">IF(F65&lt;OFFSET($BM$9,DT65-1,0,1,1),0,IF(F65&lt;OFFSET($BN$9,DT65-1,0,1,1),((F65-OFFSET($BM$9,DT65-1,0,1,1))*OFFSET($CH$9,DT65-1,0,1,1))+OFFSET($BO$9,DT65-1,CQ65,1,1),IF(F65&lt;OFFSET($BN$9,DT65+0,0,1,1),((F65-OFFSET($BM$9,DT65+0,0,1,1))*OFFSET($CH$9,DT65+0,0,1,1))+OFFSET($BO$9,DT65+0,CQ65,1,1),IF(F65&lt;OFFSET($BN$9,DT65+1,0,1,1),((F65-OFFSET($BM$9,DT65+1,0,1,1))*OFFSET($CH$9,DT65+1,0,1,1))+OFFSET($BO$9,DT65+1,CQ65,1,1),IF(F65&lt;OFFSET($BN$9,DT65+2,0,1,1),((F65-OFFSET($BM$9,DT65+2,0,1,1))*OFFSET($CH$9,DT65+2,0,1,1))+OFFSET($BO$9,DT65+2,CQ65,1,1),IF(F65&lt;OFFSET($BN$9,DT65+3,0,1,1),((F65-OFFSET($BM$9,DT65+3,0,1,1))*OFFSET($CH$9,DT65+3,0,1,1))+OFFSET($BO$9,DT65+3,CQ65,1,1),0))))))</f>
        <v>0</v>
      </c>
      <c r="DV65" s="51">
        <f ca="1">IF($F65&lt;OFFSET($BM$9,$DT65-1,0,1,1),0,IF($F65&lt;OFFSET($BN$9,$DT65-1,0,1,1),IF(AND($H65&gt;2.4,Z65&lt;&gt;"e",Z65&lt;&gt;"f"),DZ65*2.4/$H65,DZ65),IF($F65&lt;OFFSET($BN$9,$DT65+0,0,1,1),IF(AND($H65&gt;2.4,Z65&lt;&gt;"e",Z65&lt;&gt;"f"),DZ65*2.4/$H65,DZ65),IF($F65&lt;OFFSET($BN$9,$DT65+1,0,1,1),IF(AND($H65&gt;2.4,Z65&lt;&gt;"e",Z65&lt;&gt;"f"),DZ65*2.4/$H65,DZ65),IF($F65&lt;OFFSET($BN$9,$DT65+2,0,1,1),IF(AND($H65&gt;2.4,Z65&lt;&gt;"e",Z65&lt;&gt;"f"),DZ65*2.4/$H65,DZ65),IF($F65&lt;OFFSET($BN$9,$DT65+3,0,1,1),IF(AND($H65&gt;2.4,Z65&lt;&gt;"e",Z65&lt;&gt;"f"),DZ65*2.4/$H65,DZ65),0)))))*COS(RADIANS($G65)))</f>
        <v>0</v>
      </c>
      <c r="DW65" s="188">
        <f ca="1">IF(F65&lt;OFFSET($BM$9,DT65-1,0,1,1),0,IF(F65&lt;OFFSET($BN$9,DT65-1,0,1,1),((F65-OFFSET($BM$9,DT65-1,0,1,1))*OFFSET($CI$9,DT65-1,0,1,1))+OFFSET($BP$9,DT65-1,CQ65,1,1),IF(F65&lt;OFFSET($BN$9,DT65+0,0,1,1),((F65-OFFSET($BM$9,DT65+0,0,1,1))*OFFSET($CI$9,DT65+0,0,1,1))+OFFSET($BP$9,DT65+0,CQ65,1,1),IF(F65&lt;OFFSET($BN$9,DT65+1,0,1,1),((F65-OFFSET($BM$9,DT65+1,0,1,1))*OFFSET($CI$9,DT65+1,0,1,1))+OFFSET($BP$9,DT65+1,CQ65,1,1),IF(F65&lt;OFFSET($BN$9,DT65+2,0,1,1),((F65-OFFSET($BM$9,DT65+2,0,1,1))*OFFSET($CI$9,DT65+2,0,1,1))+OFFSET($BP$9,DT65+2,CQ65,1,1),IF(F65&lt;OFFSET($BN$9,DT65+3,0,1,1),((F65-OFFSET($BM$9,DT65+3,0,1,1))*OFFSET($CI$9,DT65+3,0,1,1))+OFFSET($BP$9,DT65+3,CQ65,1,1),0))))))</f>
        <v>0</v>
      </c>
      <c r="DX65" s="51">
        <f ca="1">IF($F65&lt;OFFSET($BM$9,$DT65-1,0,1,1),0,IF($F65&lt;OFFSET($BN$9,$DT65-1,0,1,1),IF(AND($H65&gt;2.4,Z65&lt;&gt;"e",Z65&lt;&gt;"f"),EB65*2.4/$H65,EB65),IF($F65&lt;OFFSET($BN$9,$DT65+0,0,1,1),IF(AND($H65&gt;2.4,Z65&lt;&gt;"e",Z65&lt;&gt;"f"),EB65*2.4/$H65,EB65),IF($F65&lt;OFFSET($BN$9,$DT65+1,0,1,1),IF(AND($H65&gt;2.4,Z65&lt;&gt;"e",Z65&lt;&gt;"f"),EB65*2.4/$H65,EB65),IF($F65&lt;OFFSET($BN$9,$DT65+2,0,1,1),IF(AND($H65&gt;2.4,Z65&lt;&gt;"e",Z65&lt;&gt;"f"),EB65*2.4/$H65,EB65),IF($F65&lt;OFFSET($BN$9,$DT65+3,0,1,1),IF(AND($H65&gt;2.4,Z65&lt;&gt;"e",Z65&lt;&gt;"f"),EB65*2.4/$H65,EB65),0)))))*COS(RADIANS($G65)))</f>
        <v>0</v>
      </c>
      <c r="DY65" s="188"/>
      <c r="DZ65" s="188">
        <f ca="1">IF(DU65&gt;$CR65,$CR65,DU65)</f>
        <v>0</v>
      </c>
      <c r="EA65" s="188"/>
      <c r="EB65" s="188">
        <f ca="1">IF(DW65&gt;$CR65,$CR65,DW65)</f>
        <v>0</v>
      </c>
      <c r="EC65" s="435">
        <f ca="1">IF(DV65&gt;$CR65,$CR65,DV65)</f>
        <v>0</v>
      </c>
      <c r="ED65" s="435">
        <f ca="1">EC65*F65</f>
        <v>0</v>
      </c>
      <c r="EE65" s="436">
        <f ca="1">IF(DX65&gt;$CR65,$CR65,DX65)</f>
        <v>0</v>
      </c>
      <c r="EF65" s="437">
        <f ca="1">EE65*F65</f>
        <v>0</v>
      </c>
      <c r="EG65" s="613" t="str">
        <f>IF(D65=BG$12,BG$12,"")</f>
        <v/>
      </c>
      <c r="EH65" s="614" t="str">
        <f>IF(D65=BG$13,BG$13,"")</f>
        <v/>
      </c>
      <c r="EI65" s="611">
        <f>IF(EG65=BG$12,M65,0)</f>
        <v>0</v>
      </c>
      <c r="EJ65" s="451">
        <f>IF(EG65=BG$12,O65,0)</f>
        <v>0</v>
      </c>
      <c r="EK65" s="451">
        <f>IF(EH65=BG$13,M65,0)</f>
        <v>0</v>
      </c>
      <c r="EL65" s="612">
        <f>IF(EH65=BG$13,O65,0)</f>
        <v>0</v>
      </c>
      <c r="EM65" s="426" t="str">
        <f ca="1">IF(AND(Z65&lt;&gt;"t",Z65&lt;&gt;"f"),"",IF(AND(EN65=$BH$11,K65&lt;&gt;EN65),EM$4,IF(AND(EN65=$BH$12,K65=$BH$13),EM$4,IF(AND(EN65=$BH$12,K65=$BH$14),EM$4,IF(AND(EN65=$BH$13,K65=$BH$14),$EM$4,IF(EN65=$BH$14,$EM$4,""))))))</f>
        <v/>
      </c>
      <c r="EN65" s="489" t="str">
        <f>BG$24</f>
        <v>No Floor</v>
      </c>
      <c r="EO65" s="426" t="str">
        <f>K65</f>
        <v xml:space="preserve"> </v>
      </c>
      <c r="EP65" s="497" t="str">
        <f ca="1">IF(AND(Z65&lt;&gt;"t",Z65&lt;&gt;"f"),"",IF(AND(EN65=$BH$14,K65&lt;&gt;EN65),EP$4,IF(AND(EN65=$BH$13,K65=$BH$12),EP$4,IF(AND(EN65=$BH$13,K65=$BH$11),EP$4,IF(AND(EN65=$BH$12,K65=$BH$11),$EP$4,IF(EN65=$BH$11,"Earth",""))))))</f>
        <v/>
      </c>
      <c r="EQ65" s="430" t="str">
        <f ca="1">IF(Z65&lt;&gt;"t","",IF(EQ$5=2,IF(K65&lt;&gt;BH$11,EQ$7," ")))</f>
        <v/>
      </c>
      <c r="ER65" s="439" t="str">
        <f ca="1">IF(H65=0," ",H65)</f>
        <v xml:space="preserve"> </v>
      </c>
      <c r="ES65" s="440" t="str">
        <f ca="1">IF(ER65&lt;&gt;" ",IF(ER65&lt;&gt;ER$7,"Changed",""),"")</f>
        <v/>
      </c>
      <c r="ET65" s="440">
        <f t="shared" ca="1" si="20"/>
        <v>0</v>
      </c>
      <c r="EU65" s="426" t="str">
        <f ca="1">IF(I65=" "," ",IF(F65&lt;OFFSET($BM$9,CL65-1,0,1,1),1,""))</f>
        <v xml:space="preserve"> </v>
      </c>
      <c r="EW65" s="427"/>
      <c r="EY65" s="421"/>
    </row>
    <row r="66" spans="1:155" ht="17.100000000000001" customHeight="1" thickBot="1">
      <c r="A66" s="2685"/>
      <c r="B66" s="689" t="s">
        <v>246</v>
      </c>
      <c r="C66" s="684" t="str">
        <f>IF(OR(F66=0,I66="",I66=" ")," ",$V66)</f>
        <v xml:space="preserve"> </v>
      </c>
      <c r="D66" s="1033"/>
      <c r="E66" s="1360"/>
      <c r="F66" s="202"/>
      <c r="G66" s="1416"/>
      <c r="H66" s="1417" t="str">
        <f ca="1">IF(OR(F66=0,Z66="E",Z66="f")," ",'Project Demand'!E$55)</f>
        <v xml:space="preserve"> </v>
      </c>
      <c r="I66" s="631" t="str">
        <f>IF($I$6&lt;&gt;$BG$8," ",AB66)</f>
        <v xml:space="preserve"> </v>
      </c>
      <c r="J66" s="44" t="str">
        <f ca="1">IF(OR(I66=" ",I66="")," ",OFFSET($BO$9,CL66-1,0-4,1,1))</f>
        <v xml:space="preserve"> </v>
      </c>
      <c r="K66" s="55" t="str">
        <f>IF(OR(I66=" ",I66="")," ",IF(OR(Z66="e",Z66="h"),"SD",IF(BG$24=BH$11,BH$13,BG$24)))</f>
        <v xml:space="preserve"> </v>
      </c>
      <c r="L66" s="49">
        <f ca="1">CW66</f>
        <v>0</v>
      </c>
      <c r="M66" s="49">
        <f ca="1">CY66</f>
        <v>0</v>
      </c>
      <c r="N66" s="50">
        <f t="shared" ca="1" si="38"/>
        <v>0</v>
      </c>
      <c r="O66" s="126">
        <f t="shared" ca="1" si="38"/>
        <v>0</v>
      </c>
      <c r="P66" s="140"/>
      <c r="Q66" s="752" t="str">
        <f ca="1">IF(AND(OR(Z66="t",Z66="f"),K66=$BH$11),"No Floor!  Change Floor Type",IF(OR(I66=" ",I66="")," ",IF(F66&lt;OFFSET($BM$9,CL66-1,0,1,1),"check L(m)",DE66&amp;IF(AND(DP66&gt;=CY66,DR66&gt;=DB66),IF(AND(ED66&gt;=DP66,EF66&gt;=DR66),CONCATENATE(DS66," will provide same result"),CONCATENATE(CO66," will provide same result")),IF((DP66&gt;=CY66),CONCATENATE(CO66," provides same result in WIND"),IF((DR66&gt;=DB66),CONCATENATE(CO66," provides same result in EQ"),""))))))&amp;IF(ISERROR(FIND("pile",I66,1)),"",IF(INT(F66)&lt;&gt;F66,"Pile!  Use Whole Numbers Only",""))</f>
        <v xml:space="preserve"> </v>
      </c>
      <c r="R66" s="52"/>
      <c r="S66" s="1372"/>
      <c r="T66" s="1372"/>
      <c r="U66" s="1377"/>
      <c r="V66" s="52" t="str">
        <f ca="1">IF(AND(B$5=$BF$9,OR(I66=BH$16,I66=BH$17))," ",IF(ISNUMBER(B$62),(CONCATENATE(B$62,".",W66)),(CONCATENATE(B$62,W66))))</f>
        <v>J0</v>
      </c>
      <c r="W66" s="9">
        <f ca="1">W65+X66</f>
        <v>0</v>
      </c>
      <c r="X66" s="9">
        <f>IF(AND(B$5=$BF$9,OR($I66=$BH$16,$I66=$BH$17,$I66=" ",$I66="",$F66=0)),0,IF(OR($I66=" ",$I66="",$F66=0),0,1))</f>
        <v>0</v>
      </c>
      <c r="Y66" s="896"/>
      <c r="Z66" s="52" t="str">
        <f ca="1">IF(I66=" "," ",OFFSET($BM$9,$CL66-1,8,1,1))</f>
        <v xml:space="preserve"> </v>
      </c>
      <c r="AA66" s="51" t="str">
        <f>IF(G66&gt;=45,"WA","")</f>
        <v/>
      </c>
      <c r="AB66" s="1364" t="str">
        <f>IF(OR(E66=" ",E66="")," ",(IF(F66&lt;&gt;"",IF(OR(D66=$BG$12,D66=$BG$13),IF(E66&lt;&gt;$BG$17,$BF$20,$BF$21),IF(E66&lt;&gt;$BG$17,$BF$20,$BF$21))," ")))</f>
        <v xml:space="preserve"> </v>
      </c>
      <c r="AC66" s="1"/>
      <c r="AJ66" s="2"/>
      <c r="AK66" s="63" t="str">
        <f>'Custom Elements'!B27</f>
        <v xml:space="preserve">  </v>
      </c>
      <c r="AL66" s="860" t="str">
        <f>'Custom Elements'!C27</f>
        <v>Custom19</v>
      </c>
      <c r="AM66" s="11">
        <f>'Custom Elements'!D27</f>
        <v>9.9999999999999996E-76</v>
      </c>
      <c r="AN66" s="7">
        <f>'Custom Elements'!E27</f>
        <v>0</v>
      </c>
      <c r="AO66" s="7">
        <f>'Custom Elements'!F27</f>
        <v>0</v>
      </c>
      <c r="AP66" s="762" t="str">
        <f>'Custom Elements'!G27</f>
        <v>B</v>
      </c>
      <c r="AQ66" s="1637" t="str">
        <f>'Custom Elements'!H27</f>
        <v>Single</v>
      </c>
      <c r="AR66" s="1637" t="str">
        <f>'Custom Elements'!I27</f>
        <v>Yes</v>
      </c>
      <c r="AS66" s="442" t="str">
        <f>'Custom Elements'!J27</f>
        <v>Yes</v>
      </c>
      <c r="AT66" s="1155"/>
      <c r="AU66"/>
      <c r="AY66"/>
      <c r="AZ66" s="442" t="str">
        <f>IF(AND('Custom Elements'!J27="Yes",'Custom Elements'!I27="Yes"),"T",IF('Custom Elements'!J27="Yes","F",IF('Custom Elements'!I27="Yes","H","E")))</f>
        <v>T</v>
      </c>
      <c r="BA66" s="51"/>
      <c r="BB66" s="51"/>
      <c r="BC66" s="51"/>
      <c r="BD66" s="641"/>
      <c r="BE66" s="2715" t="s">
        <v>862</v>
      </c>
      <c r="BF66" s="2716"/>
      <c r="BG66" s="2838"/>
      <c r="BH66" s="479"/>
      <c r="BI66" s="759"/>
      <c r="BJ66" s="897">
        <f t="shared" si="33"/>
        <v>58</v>
      </c>
      <c r="BK66" s="908"/>
      <c r="BL66" s="767"/>
      <c r="BM66" s="776">
        <f>Table!P8</f>
        <v>1.8</v>
      </c>
      <c r="BN66" s="776">
        <v>999</v>
      </c>
      <c r="BO66" s="776">
        <f>Table!Q8</f>
        <v>110</v>
      </c>
      <c r="BP66" s="926">
        <f>Table!R8</f>
        <v>84</v>
      </c>
      <c r="BQ66" s="1183"/>
      <c r="BR66" s="908"/>
      <c r="BS66" s="776"/>
      <c r="BT66" s="776"/>
      <c r="BU66" s="926" t="s">
        <v>242</v>
      </c>
      <c r="BV66" s="433"/>
      <c r="BW66" s="914"/>
      <c r="BX66" s="926" t="str">
        <f>Table!T5</f>
        <v>Single</v>
      </c>
      <c r="CH66" s="908">
        <f>IF(BN66=999,0,(BO67-BO66)/(BN66-BM66))</f>
        <v>0</v>
      </c>
      <c r="CI66" s="926">
        <f>IF(BN66=999,0,(BP67-BP66)/(BN66-BM66))</f>
        <v>0</v>
      </c>
      <c r="CJ66" s="759"/>
      <c r="CK66" s="188"/>
      <c r="CL66" s="979">
        <f>VLOOKUP(I66,Prodlink,2,0)</f>
        <v>0</v>
      </c>
      <c r="CN66" s="497">
        <f t="shared" ca="1" si="31"/>
        <v>0</v>
      </c>
      <c r="CO66" s="497">
        <f ca="1">OFFSET($CH$9,CL66-1,-15,1,1)</f>
        <v>0</v>
      </c>
      <c r="CQ66" s="51">
        <v>0</v>
      </c>
      <c r="CR66" s="51">
        <f ca="1">IF(AND(Z66&lt;&gt;"t",Z66&lt;&gt;"f"),10000,IF(K66=$BH$11,0,IF(K66=$BH$12,$BH$23,IF(K66=$BH$13,$BH$24,10000))))</f>
        <v>10000</v>
      </c>
      <c r="CS66" s="51">
        <f ca="1">IF(F66&lt;OFFSET($BM$9,CL66-1,0,1,1),0,IF(F66&lt;OFFSET($BN$9,CL66-1,0,1,1),((F66-OFFSET($BM$9,CL66-1,0,1,1))*OFFSET($CH$9,CL66-1,0,1,1))+OFFSET($BO$9,CL66-1,CQ66,1,1),IF(F66&lt;OFFSET($BN$9,CL66+0,0,1,1),((F66-OFFSET($BM$9,CL66+0,0,1,1))*OFFSET($CH$9,CL66+0,0,1,1))+OFFSET($BO$9,CL66+0,CQ66,1,1),IF(F66&lt;OFFSET($BN$9,CL66+1,0,1,1),((F66-OFFSET($BM$9,CL66+1,0,1,1))*OFFSET($CH$9,CL66+1,0,1,1))+OFFSET($BO$9,CL66+1,CQ66,1,1),IF(F66&lt;OFFSET($BN$9,CL66+2,0,1,1),((F66-OFFSET($BM$9,CL66+2,0,1,1))*OFFSET($CH$9,CL66+2,0,1,1))+OFFSET($BO$9,CL66+2,CQ66,1,1),IF(F66&lt;OFFSET($BN$9,CL66+3,0,1,1),((F66-OFFSET($BM$9,CL66+3,0,1,1))*OFFSET($CH$9,CL66+3,0,1,1))+OFFSET($BO$9,CL66+3,CQ66,1,1),0))))))</f>
        <v>0</v>
      </c>
      <c r="CT66" s="51">
        <f ca="1">IF($F66&lt;OFFSET($BM$9,$CL66-1,0,1,1),0,IF($F66&lt;OFFSET($BN$9,$CL66-1,0,1,1),IF(AND($H66&gt;2.4,Z66&lt;&gt;"e",Z66&lt;&gt;"f"),CX66*2.4/$H66,CX66),IF($F66&lt;OFFSET($BN$9,$CL66+0,0,1,1),IF(AND($H66&gt;2.4,Z66&lt;&gt;"e",Z66&lt;&gt;"f"),CX66*2.4/$H66,CX66),IF($F66&lt;OFFSET($BN$9,$CL66+1,0,1,1),IF(AND($H66&gt;2.4,Z66&lt;&gt;"e",Z66&lt;&gt;"f"),CX66*2.4/$H66,CX66),IF($F66&lt;OFFSET($BN$9,CL66+2,0,1,1),IF(AND($H66&gt;2.4,Z66&lt;&gt;"e",Z66&lt;&gt;"f"),CX66*2.4/$H66,CX66),IF($F66&lt;OFFSET($BN$9,CL66+3,0,1,1),IF(AND($H66&gt;2.4,Z66&lt;&gt;"e",Z66&lt;&gt;"f"),CX66*2.4/$H66,CX66),0)))))*COS(RADIANS($G66)))</f>
        <v>0</v>
      </c>
      <c r="CU66" s="51">
        <f ca="1">IF(F66&lt;OFFSET($BM$9,CL66-1,0,1,1),0,IF(F66&lt;OFFSET($BN$9,CL66-1,0,1,1),((F66-OFFSET($BM$9,CL66-1,0,1,1))*OFFSET($CI$9,CL66-1,0,1,1))+OFFSET($BP$9,CL66-1,CQ66,1,1),IF(F66&lt;OFFSET($BN$9,CL66+0,0,1,1),((F66-OFFSET($BM$9,CL66+0,0,1,1))*OFFSET($CI$9,CL66+0,0,1,1))+OFFSET($BP$9,CL66+0,CQ66,1,1),IF(F66&lt;OFFSET($BN$9,CL66+1,0,1,1),((F66-OFFSET($BM$9,CL66+1,0,1,1))*OFFSET($CI$9,CL66+1,0,1,1))+OFFSET($BP$9,CL66+1,CQ66,1,1),IF(F66&lt;OFFSET($BN$9,CL66+2,0,1,1),((F66-OFFSET($BM$9,CL66+2,0,1,1))*OFFSET($CI$9,CL66+2,0,1,1))+OFFSET($BP$9,CL66+2,CQ66,1,1),IF(F66&lt;OFFSET($BN$9,CL66+3,0,1,1),((F66-OFFSET($BM$9,CL66+3,0,1,1))*OFFSET($CI$9,CL66+3,0,1,1))+OFFSET($BP$9,CL66+3,CQ66,1,1),0))))))</f>
        <v>0</v>
      </c>
      <c r="CV66" s="51">
        <f ca="1">IF($F66&lt;OFFSET($BM$9,$CL66-1,0,1,1),0,IF($F66&lt;OFFSET($BN$9,$CL66-1,0,1,1),IF(AND($H66&gt;2.4,Z66&lt;&gt;"e",Z66&lt;&gt;"f"),CZ66*2.4/$H66,CZ66),IF($F66&lt;OFFSET($BN$9,$CL66+0,0,1,1),IF(AND($H66&gt;2.4,Z66&lt;&gt;"e",Z66&lt;&gt;"f"),CZ66*2.4/$H66,CZ66),IF($F66&lt;OFFSET($BN$9,$CL66+1,0,1,1),IF(AND($H66&gt;2.4,Z66&lt;&gt;"e",Z66&lt;&gt;"f"),CZ66*2.4/$H66,CZ66),IF($F66&lt;OFFSET($BN$9,$CL66+2,0,1,1),IF(AND($H66&gt;2.4,Z66&lt;&gt;"e",Z66&lt;&gt;"f"),CZ66*2.4/$H66,CZ66),IF($F66&lt;OFFSET($BN$9,$CL66+3,0,1,1),IF(AND($H66&gt;2.4,Z66&lt;&gt;"e",Z66&lt;&gt;"f"),CZ66*2.4/$H66,CZ66),0)))))*COS(RADIANS($G66)))</f>
        <v>0</v>
      </c>
      <c r="CW66" s="51">
        <f t="shared" ca="1" si="17"/>
        <v>0</v>
      </c>
      <c r="CX66" s="51">
        <f ca="1">IF(CS66&gt;$CR66,$CR66,CS66)</f>
        <v>0</v>
      </c>
      <c r="CY66" s="51">
        <f ca="1">CW66*F66</f>
        <v>0</v>
      </c>
      <c r="CZ66" s="51">
        <f ca="1">IF($CU66&gt;$CR66,$CR66,$CU66)</f>
        <v>0</v>
      </c>
      <c r="DA66" s="51">
        <f ca="1">IF(CV66&gt;CR66,CR66,CV66)</f>
        <v>0</v>
      </c>
      <c r="DB66" s="51">
        <f ca="1">DA66*F66</f>
        <v>0</v>
      </c>
      <c r="DC66" s="993">
        <v>1</v>
      </c>
      <c r="DD66" s="758" t="str">
        <f>IF(OR(D66=BG$12,D66=BG$13),"External",IF(D66=BG$14,"Internal"," "))</f>
        <v xml:space="preserve"> </v>
      </c>
      <c r="DE66" s="51" t="str">
        <f t="shared" ca="1" si="18"/>
        <v/>
      </c>
      <c r="DF66" s="52" t="str">
        <f t="shared" ca="1" si="19"/>
        <v xml:space="preserve"> </v>
      </c>
      <c r="DG66" s="51">
        <f ca="1">IF(F66&lt;OFFSET($BM$9,CN66-1,0,1,1),0,IF(F66&lt;OFFSET($BN$9,CN66-1,0,1,1),((F66-OFFSET($BM$9,CN66-1,0,1,1))*OFFSET($CH$9,CN66-1,0,1,1))+OFFSET($BO$9,CN66-1,CQ66,1,1),IF(F66&lt;OFFSET($BN$9,CN66+0,0,1,1),((F66-OFFSET($BM$9,CN66+0,0,1,1))*OFFSET($CH$9,CN66+0,0,1,1))+OFFSET($BO$9,CN66+0,CQ66,1,1),IF(F66&lt;OFFSET($BN$9,CN66+1,0,1,1),((F66-OFFSET($BM$9,CN66+1,0,1,1))*OFFSET($CH$9,CN66+1,0,1,1))+OFFSET($BO$9,CN66+1,CQ66,1,1),IF(F66&lt;OFFSET($BN$9,CN66+2,0,1,1),((F66-OFFSET($BM$9,CN66+2,0,1,1))*OFFSET($CH$9,CN66+2,0,1,1))+OFFSET($BO$9,CN66+2,CQ66,1,1),IF(F66&lt;OFFSET($BN$9,CN66+3,0,1,1),((F66-OFFSET($BM$9,CN66+3,0,1,1))*OFFSET($CH$9,CN66+3,0,1,1))+OFFSET($BO$9,CN66+3,CQ66,1,1),0))))))</f>
        <v>0</v>
      </c>
      <c r="DH66" s="51">
        <f ca="1">IF($F66&lt;OFFSET($BM$9,$CN66-1,0,1,1),0,IF($F66&lt;OFFSET($BN$9,$CN66-1,0,1,1),IF(AND($H66&gt;2.4,Z66&lt;&gt;"e",Z66&lt;&gt;"f"),DL66*2.4/$H66,DL66),IF($F66&lt;OFFSET($BN$9,$CN66+0,0,1,1),IF(AND($H66&gt;2.4,Z66&lt;&gt;"e",Z66&lt;&gt;"f"),DL66*2.4/$H66,DL66),IF($F66&lt;OFFSET($BN$9,$CN66+1,0,1,1),IF(AND($H66&gt;2.4,Z66&lt;&gt;"e",Z66&lt;&gt;"f"),DL66*2.4/$H66,DL66),IF($F66&lt;OFFSET($BN$9,$CN66+2,0,1,1),IF(AND($H66&gt;2.4,Z66&lt;&gt;"e",Z66&lt;&gt;"f"),DL66*2.4/$H66,DL66),IF($F66&lt;OFFSET($BN$9,$CN66+3,0,1,1),IF(AND($H66&gt;2.4,Z66&lt;&gt;"e",Z66&lt;&gt;"f"),DL66*2.4/$H66,DL66),0)))))*COS(RADIANS($G66)))</f>
        <v>0</v>
      </c>
      <c r="DI66" s="51">
        <f ca="1">IF(F66&lt;OFFSET($BM$9,CN66-1,0,1,1),0,IF(F66&lt;OFFSET($BN$9,CN66-1,0,1,1),((F66-OFFSET($BM$9,CN66-1,0,1,1))*OFFSET($CI$9,CN66-1,0,1,1))+OFFSET($BP$9,CN66-1,CQ66,1,1),IF(F66&lt;OFFSET($BN$9,CN66+0,0,1,1),((F66-OFFSET($BM$9,CN66+0,0,1,1))*OFFSET($CI$9,CN66+0,0,1,1))+OFFSET($BP$9,CN66+0,CQ66,1,1),IF(F66&lt;OFFSET($BN$9,CN66+1,0,1,1),((F66-OFFSET($BM$9,CN66+1,0,1,1))*OFFSET($CI$9,CN66+1,0,1,1))+OFFSET($BP$9,CN66+1,CQ66,1,1),IF(F66&lt;OFFSET($BN$9,CN66+2,0,1,1),((F66-OFFSET($BM$9,CN66+2,0,1,1))*OFFSET($CI$9,CN66+2,0,1,1))+OFFSET($BP$9,CN66+2,CQ66,1,1),IF(F66&lt;OFFSET($BN$9,CN66+3,0,1,1),((F66-OFFSET($BM$9,CN66+3,0,1,1))*OFFSET($CI$9,CN66+3,0,1,1))+OFFSET($BP$9,CN66+3,CQ66,1,1),0))))))</f>
        <v>0</v>
      </c>
      <c r="DJ66" s="51">
        <f ca="1">IF($F66&lt;OFFSET($BM$9,$CN66-1,0,1,1),0,IF($F66&lt;OFFSET($BN$9,$CN66-1,0,1,1),IF(AND($H66&gt;2.4,Z66&lt;&gt;"e",Z66&lt;&gt;"f"),DN66*2.4/$H66,DN66),IF($F66&lt;OFFSET($BN$9,$CN66+0,0,1,1),IF(AND($H66&gt;2.4,Z66&lt;&gt;"e",Z66&lt;&gt;"f"),DN66*2.4/$H66,DN66),IF($F66&lt;OFFSET($BN$9,$CN66+1,0,1,1),IF(AND($H66&gt;2.4,Z66&lt;&gt;"e",Z66&lt;&gt;"f"),DN66*2.4/$H66,DN66),IF($F66&lt;OFFSET($BN$9,$CN66+2,0,1,1),IF(AND($H66&gt;2.4,Z66&lt;&gt;"e",Z66&lt;&gt;"f"),DN66*2.4/$H66,DN66),IF($F66&lt;OFFSET($BN$9,$CN66+3,0,1,1),IF(AND($H66&gt;2.4,Z66&lt;&gt;"e",Z66&lt;&gt;"f"),DN66*2.4/$H66,DN66),0)))))*COS(RADIANS($G66)))</f>
        <v>0</v>
      </c>
      <c r="DK66" s="51"/>
      <c r="DL66" s="51">
        <f ca="1">IF(DG66&gt;$CR66,$CR66,DG66)</f>
        <v>0</v>
      </c>
      <c r="DM66" s="51"/>
      <c r="DN66" s="51">
        <f ca="1">IF(DI66&gt;$CR66,$CR66,DI66)</f>
        <v>0</v>
      </c>
      <c r="DO66" s="435">
        <f ca="1">IF(DH66&gt;$CR66,$CR66,DH66)</f>
        <v>0</v>
      </c>
      <c r="DP66" s="435">
        <f ca="1">DO66*F66</f>
        <v>0</v>
      </c>
      <c r="DQ66" s="436">
        <f ca="1">IF(DJ66&gt;$CR66,$CR66,DJ66)</f>
        <v>0</v>
      </c>
      <c r="DR66" s="437">
        <f ca="1">DQ66*F66</f>
        <v>0</v>
      </c>
      <c r="DS66" s="426">
        <f ca="1">OFFSET($CH$9,CL66-1,-15,1,1)</f>
        <v>0</v>
      </c>
      <c r="DT66" s="426">
        <f t="shared" ca="1" si="32"/>
        <v>0</v>
      </c>
      <c r="DU66" s="188">
        <f ca="1">IF(F66&lt;OFFSET($BM$9,DT66-1,0,1,1),0,IF(F66&lt;OFFSET($BN$9,DT66-1,0,1,1),((F66-OFFSET($BM$9,DT66-1,0,1,1))*OFFSET($CH$9,DT66-1,0,1,1))+OFFSET($BO$9,DT66-1,CQ66,1,1),IF(F66&lt;OFFSET($BN$9,DT66+0,0,1,1),((F66-OFFSET($BM$9,DT66+0,0,1,1))*OFFSET($CH$9,DT66+0,0,1,1))+OFFSET($BO$9,DT66+0,CQ66,1,1),IF(F66&lt;OFFSET($BN$9,DT66+1,0,1,1),((F66-OFFSET($BM$9,DT66+1,0,1,1))*OFFSET($CH$9,DT66+1,0,1,1))+OFFSET($BO$9,DT66+1,CQ66,1,1),IF(F66&lt;OFFSET($BN$9,DT66+2,0,1,1),((F66-OFFSET($BM$9,DT66+2,0,1,1))*OFFSET($CH$9,DT66+2,0,1,1))+OFFSET($BO$9,DT66+2,CQ66,1,1),IF(F66&lt;OFFSET($BN$9,DT66+3,0,1,1),((F66-OFFSET($BM$9,DT66+3,0,1,1))*OFFSET($CH$9,DT66+3,0,1,1))+OFFSET($BO$9,DT66+3,CQ66,1,1),0))))))</f>
        <v>0</v>
      </c>
      <c r="DV66" s="51">
        <f ca="1">IF($F66&lt;OFFSET($BM$9,$DT66-1,0,1,1),0,IF($F66&lt;OFFSET($BN$9,$DT66-1,0,1,1),IF(AND($H66&gt;2.4,Z66&lt;&gt;"e",Z66&lt;&gt;"f"),DZ66*2.4/$H66,DZ66),IF($F66&lt;OFFSET($BN$9,$DT66+0,0,1,1),IF(AND($H66&gt;2.4,Z66&lt;&gt;"e",Z66&lt;&gt;"f"),DZ66*2.4/$H66,DZ66),IF($F66&lt;OFFSET($BN$9,$DT66+1,0,1,1),IF(AND($H66&gt;2.4,Z66&lt;&gt;"e",Z66&lt;&gt;"f"),DZ66*2.4/$H66,DZ66),IF($F66&lt;OFFSET($BN$9,$DT66+2,0,1,1),IF(AND($H66&gt;2.4,Z66&lt;&gt;"e",Z66&lt;&gt;"f"),DZ66*2.4/$H66,DZ66),IF($F66&lt;OFFSET($BN$9,$DT66+3,0,1,1),IF(AND($H66&gt;2.4,Z66&lt;&gt;"e",Z66&lt;&gt;"f"),DZ66*2.4/$H66,DZ66),0)))))*COS(RADIANS($G66)))</f>
        <v>0</v>
      </c>
      <c r="DW66" s="188">
        <f ca="1">IF(F66&lt;OFFSET($BM$9,DT66-1,0,1,1),0,IF(F66&lt;OFFSET($BN$9,DT66-1,0,1,1),((F66-OFFSET($BM$9,DT66-1,0,1,1))*OFFSET($CI$9,DT66-1,0,1,1))+OFFSET($BP$9,DT66-1,CQ66,1,1),IF(F66&lt;OFFSET($BN$9,DT66+0,0,1,1),((F66-OFFSET($BM$9,DT66+0,0,1,1))*OFFSET($CI$9,DT66+0,0,1,1))+OFFSET($BP$9,DT66+0,CQ66,1,1),IF(F66&lt;OFFSET($BN$9,DT66+1,0,1,1),((F66-OFFSET($BM$9,DT66+1,0,1,1))*OFFSET($CI$9,DT66+1,0,1,1))+OFFSET($BP$9,DT66+1,CQ66,1,1),IF(F66&lt;OFFSET($BN$9,DT66+2,0,1,1),((F66-OFFSET($BM$9,DT66+2,0,1,1))*OFFSET($CI$9,DT66+2,0,1,1))+OFFSET($BP$9,DT66+2,CQ66,1,1),IF(F66&lt;OFFSET($BN$9,DT66+3,0,1,1),((F66-OFFSET($BM$9,DT66+3,0,1,1))*OFFSET($CI$9,DT66+3,0,1,1))+OFFSET($BP$9,DT66+3,CQ66,1,1),0))))))</f>
        <v>0</v>
      </c>
      <c r="DX66" s="51">
        <f ca="1">IF($F66&lt;OFFSET($BM$9,$DT66-1,0,1,1),0,IF($F66&lt;OFFSET($BN$9,$DT66-1,0,1,1),IF(AND($H66&gt;2.4,Z66&lt;&gt;"e",Z66&lt;&gt;"f"),EB66*2.4/$H66,EB66),IF($F66&lt;OFFSET($BN$9,$DT66+0,0,1,1),IF(AND($H66&gt;2.4,Z66&lt;&gt;"e",Z66&lt;&gt;"f"),EB66*2.4/$H66,EB66),IF($F66&lt;OFFSET($BN$9,$DT66+1,0,1,1),IF(AND($H66&gt;2.4,Z66&lt;&gt;"e",Z66&lt;&gt;"f"),EB66*2.4/$H66,EB66),IF($F66&lt;OFFSET($BN$9,$DT66+2,0,1,1),IF(AND($H66&gt;2.4,Z66&lt;&gt;"e",Z66&lt;&gt;"f"),EB66*2.4/$H66,EB66),IF($F66&lt;OFFSET($BN$9,$DT66+3,0,1,1),IF(AND($H66&gt;2.4,Z66&lt;&gt;"e",Z66&lt;&gt;"f"),EB66*2.4/$H66,EB66),0)))))*COS(RADIANS($G66)))</f>
        <v>0</v>
      </c>
      <c r="DY66" s="188"/>
      <c r="DZ66" s="188">
        <f ca="1">IF(DU66&gt;$CR66,$CR66,DU66)</f>
        <v>0</v>
      </c>
      <c r="EA66" s="188"/>
      <c r="EB66" s="188">
        <f ca="1">IF(DW66&gt;$CR66,$CR66,DW66)</f>
        <v>0</v>
      </c>
      <c r="EC66" s="435">
        <f ca="1">IF(DV66&gt;$CR66,$CR66,DV66)</f>
        <v>0</v>
      </c>
      <c r="ED66" s="435">
        <f ca="1">EC66*F66</f>
        <v>0</v>
      </c>
      <c r="EE66" s="436">
        <f ca="1">IF(DX66&gt;$CR66,$CR66,DX66)</f>
        <v>0</v>
      </c>
      <c r="EF66" s="437">
        <f ca="1">EE66*F66</f>
        <v>0</v>
      </c>
      <c r="EG66" s="615" t="str">
        <f>IF(D66=BG$12,BG$12,"")</f>
        <v/>
      </c>
      <c r="EH66" s="616" t="str">
        <f>IF(D66=BG$13,BG$13,"")</f>
        <v/>
      </c>
      <c r="EI66" s="611">
        <f>IF(EG66=BG$12,M66,0)</f>
        <v>0</v>
      </c>
      <c r="EJ66" s="451">
        <f>IF(EG66=BG$12,O66,0)</f>
        <v>0</v>
      </c>
      <c r="EK66" s="451">
        <f>IF(EH66=BG$13,M66,0)</f>
        <v>0</v>
      </c>
      <c r="EL66" s="612">
        <f>IF(EH66=BG$13,O66,0)</f>
        <v>0</v>
      </c>
      <c r="EM66" s="426" t="str">
        <f ca="1">IF(AND(Z66&lt;&gt;"t",Z66&lt;&gt;"f"),"",IF(AND(EN66=$BH$11,K66&lt;&gt;EN66),EM$4,IF(AND(EN66=$BH$12,K66=$BH$13),EM$4,IF(AND(EN66=$BH$12,K66=$BH$14),EM$4,IF(AND(EN66=$BH$13,K66=$BH$14),$EM$4,IF(EN66=$BH$14,$EM$4,""))))))</f>
        <v/>
      </c>
      <c r="EN66" s="489" t="str">
        <f>BG$24</f>
        <v>No Floor</v>
      </c>
      <c r="EO66" s="426" t="str">
        <f>K66</f>
        <v xml:space="preserve"> </v>
      </c>
      <c r="EP66" s="497" t="str">
        <f ca="1">IF(AND(Z66&lt;&gt;"t",Z66&lt;&gt;"f"),"",IF(AND(EN66=$BH$14,K66&lt;&gt;EN66),EP$4,IF(AND(EN66=$BH$13,K66=$BH$12),EP$4,IF(AND(EN66=$BH$13,K66=$BH$11),EP$4,IF(AND(EN66=$BH$12,K66=$BH$11),$EP$4,IF(EN66=$BH$11,"Earth",""))))))</f>
        <v/>
      </c>
      <c r="EQ66" s="430" t="str">
        <f ca="1">IF(Z66&lt;&gt;"t","",IF(EQ$5=2,IF(K66&lt;&gt;BH$11,EQ$7," ")))</f>
        <v/>
      </c>
      <c r="ER66" s="439" t="str">
        <f ca="1">IF(H66=0," ",H66)</f>
        <v xml:space="preserve"> </v>
      </c>
      <c r="ES66" s="447" t="str">
        <f ca="1">IF(ER66&lt;&gt;" ",IF(ER66&lt;&gt;ER$7,"Changed",""),"")</f>
        <v/>
      </c>
      <c r="ET66" s="440">
        <f t="shared" ca="1" si="20"/>
        <v>0</v>
      </c>
      <c r="EU66" s="426" t="str">
        <f ca="1">IF(I66=" "," ",IF(F66&lt;OFFSET($BM$9,CL66-1,0,1,1),1,""))</f>
        <v xml:space="preserve"> </v>
      </c>
      <c r="EW66" s="427"/>
      <c r="EY66" s="421"/>
    </row>
    <row r="67" spans="1:155" ht="17.100000000000001" customHeight="1" thickBot="1">
      <c r="A67" s="2685"/>
      <c r="B67" s="2686" t="s">
        <v>8</v>
      </c>
      <c r="C67" s="2687"/>
      <c r="D67" s="1461" t="s">
        <v>8</v>
      </c>
      <c r="E67" s="659"/>
      <c r="F67" s="659"/>
      <c r="G67" s="659"/>
      <c r="H67" s="659"/>
      <c r="I67" s="1462"/>
      <c r="J67" s="1365" t="str">
        <f ca="1">(CONCATENATE(B62,$BE$54))</f>
        <v>J  Line:  Min. Requirement</v>
      </c>
      <c r="K67" s="23"/>
      <c r="L67" s="1019">
        <f ca="1">L$5</f>
        <v>0</v>
      </c>
      <c r="M67" s="48">
        <f ca="1">IF(B62=B56,SUM(M62:M66)+M61,SUM(M62:M66))</f>
        <v>0</v>
      </c>
      <c r="N67" s="1019">
        <f ca="1">N$5</f>
        <v>0</v>
      </c>
      <c r="O67" s="125">
        <f ca="1">IF(B62=B56,SUM(O62:O66)+O61,SUM(O62:O66))</f>
        <v>0</v>
      </c>
      <c r="P67" s="139"/>
      <c r="Q67" s="42" t="str">
        <f ca="1">IF(B62=B68,"",IF(AND(M67&gt;0,L67=L$5,OR(M67&lt;$M$105,M67&lt;$BF$3)),"Achieved &lt; Min Req per Line",IF(AND(O67&gt;0,N67=N$5,OR(O67&lt;$O$105,O67&lt;$BF$3)),"Achieved &lt; Min Req per Line",IF(AND(M67&gt;0,L67&gt;M67),"More Required on this line",IF(AND(O67&gt;0,N67&gt;O67),"More Required on this line",IF(AND(L67&gt;0,L67&lt;$BF$3),$BE$59,IF(AND(N67&gt;0,N67&lt;$BF$3),$BE$59,"")))))))</f>
        <v/>
      </c>
      <c r="R67" s="52"/>
      <c r="S67" s="52"/>
      <c r="T67" s="52"/>
      <c r="U67" s="1378"/>
      <c r="V67" s="52"/>
      <c r="W67" s="9"/>
      <c r="X67" s="9"/>
      <c r="Y67" s="896"/>
      <c r="Z67" s="52"/>
      <c r="AA67" s="51"/>
      <c r="AB67" s="1364"/>
      <c r="AC67" s="1"/>
      <c r="AJ67" s="2"/>
      <c r="AK67" s="200" t="str">
        <f>'Custom Elements'!B28</f>
        <v xml:space="preserve"> </v>
      </c>
      <c r="AL67" s="861" t="str">
        <f>'Custom Elements'!C28</f>
        <v>Custom20</v>
      </c>
      <c r="AM67" s="117">
        <f>'Custom Elements'!D28</f>
        <v>9.9999999999999996E-76</v>
      </c>
      <c r="AN67" s="62">
        <f>'Custom Elements'!E28</f>
        <v>0</v>
      </c>
      <c r="AO67" s="62">
        <f>'Custom Elements'!F28</f>
        <v>0</v>
      </c>
      <c r="AP67" s="762" t="str">
        <f>'Custom Elements'!G28</f>
        <v>B</v>
      </c>
      <c r="AQ67" s="1638" t="str">
        <f>'Custom Elements'!H28</f>
        <v>Single</v>
      </c>
      <c r="AR67" s="1638" t="str">
        <f>'Custom Elements'!I28</f>
        <v>Yes</v>
      </c>
      <c r="AS67" s="443" t="str">
        <f>'Custom Elements'!J28</f>
        <v>Yes</v>
      </c>
      <c r="AT67" s="1155"/>
      <c r="AU67"/>
      <c r="AY67"/>
      <c r="AZ67" s="442" t="str">
        <f>IF(AND('Custom Elements'!J28="Yes",'Custom Elements'!I28="Yes"),"T",IF('Custom Elements'!J28="Yes","F",IF('Custom Elements'!I28="Yes","H","E")))</f>
        <v>T</v>
      </c>
      <c r="BA67" s="51"/>
      <c r="BB67" s="51"/>
      <c r="BC67" s="51"/>
      <c r="BD67" s="641"/>
      <c r="BE67" s="1362" t="s">
        <v>1053</v>
      </c>
      <c r="BF67" s="1020"/>
      <c r="BG67" s="1020"/>
      <c r="BH67" s="479"/>
      <c r="BI67" s="759"/>
      <c r="BJ67" s="897">
        <f t="shared" si="33"/>
        <v>59</v>
      </c>
      <c r="BK67" s="1231"/>
      <c r="BL67" s="1234"/>
      <c r="BM67" s="1205"/>
      <c r="BN67" s="1205"/>
      <c r="BO67" s="1205"/>
      <c r="BP67" s="1205"/>
      <c r="BQ67" s="1233"/>
      <c r="BR67" s="1205"/>
      <c r="BS67" s="1205"/>
      <c r="BT67" s="1205"/>
      <c r="BU67" s="1205"/>
      <c r="BV67" s="1233"/>
      <c r="BW67" s="1235"/>
      <c r="BX67" s="1205"/>
      <c r="CH67" s="970"/>
      <c r="CI67" s="971"/>
      <c r="CJ67" s="759"/>
      <c r="CK67" s="188"/>
      <c r="CL67" s="979"/>
      <c r="CN67" s="497"/>
      <c r="CO67" s="497"/>
      <c r="CQ67" s="51"/>
      <c r="CR67" s="51"/>
      <c r="CS67" s="51"/>
      <c r="CT67" s="51" t="s">
        <v>8</v>
      </c>
      <c r="CU67" s="51"/>
      <c r="CV67" s="51" t="s">
        <v>8</v>
      </c>
      <c r="CW67" s="51"/>
      <c r="CX67" s="51"/>
      <c r="CY67" s="51"/>
      <c r="CZ67" s="51"/>
      <c r="DD67" s="758"/>
      <c r="DF67" s="52"/>
      <c r="DG67" s="51"/>
      <c r="DH67" s="51"/>
      <c r="DI67" s="51"/>
      <c r="DJ67" s="51"/>
      <c r="DK67" s="51"/>
      <c r="DL67" s="51"/>
      <c r="DM67" s="51"/>
      <c r="DN67" s="51"/>
      <c r="DO67" s="435"/>
      <c r="DP67" s="435"/>
      <c r="DQ67" s="868"/>
      <c r="DR67" s="868"/>
      <c r="DU67" s="188"/>
      <c r="DV67" s="188" t="s">
        <v>8</v>
      </c>
      <c r="DW67" s="188"/>
      <c r="DX67" s="188" t="s">
        <v>8</v>
      </c>
      <c r="DY67" s="188"/>
      <c r="DZ67" s="188"/>
      <c r="EA67" s="188"/>
      <c r="EB67" s="188"/>
      <c r="EC67" s="435"/>
      <c r="ED67" s="435"/>
      <c r="EE67" s="868"/>
      <c r="EF67" s="868"/>
      <c r="EG67" s="613"/>
      <c r="EH67" s="614"/>
      <c r="EI67" s="613"/>
      <c r="EJ67" s="435"/>
      <c r="EK67" s="451"/>
      <c r="EL67" s="612"/>
      <c r="EN67" s="438"/>
      <c r="ER67" s="441"/>
      <c r="ES67" s="440"/>
      <c r="ET67" s="440"/>
      <c r="EW67" s="427"/>
      <c r="EY67" s="421"/>
    </row>
    <row r="68" spans="1:155" ht="17.100000000000001" hidden="1" customHeight="1" thickBot="1">
      <c r="A68" s="2685"/>
      <c r="B68" s="1369" t="str">
        <f ca="1">S68</f>
        <v>K</v>
      </c>
      <c r="C68" s="684" t="str">
        <f>IF(OR(F68=0,I68="",I68=" ")," ",$V68)</f>
        <v xml:space="preserve"> </v>
      </c>
      <c r="D68" s="1033"/>
      <c r="E68" s="1360"/>
      <c r="F68" s="202"/>
      <c r="G68" s="1416"/>
      <c r="H68" s="1417" t="str">
        <f ca="1">IF(OR(F68=0,Z68="E",Z68="f")," ",'Project Demand'!E$55)</f>
        <v xml:space="preserve"> </v>
      </c>
      <c r="I68" s="631" t="str">
        <f>IF($I$6&lt;&gt;$BG$8," ",AB68)</f>
        <v xml:space="preserve"> </v>
      </c>
      <c r="J68" s="43" t="str">
        <f ca="1">IF(OR(I68=" ",I68="")," ",OFFSET($BO$9,CL68-1,0-4,1,1))</f>
        <v xml:space="preserve"> </v>
      </c>
      <c r="K68" s="55" t="str">
        <f>IF(OR(I68=" ",I68="")," ",IF(OR(Z68="e",Z68="h"),"SD",IF(BG$24=BH$11,BH$13,BG$24)))</f>
        <v xml:space="preserve"> </v>
      </c>
      <c r="L68" s="49">
        <f ca="1">CW68</f>
        <v>0</v>
      </c>
      <c r="M68" s="49">
        <f ca="1">CY68</f>
        <v>0</v>
      </c>
      <c r="N68" s="50">
        <f t="shared" ref="N68:O72" ca="1" si="39">DA68</f>
        <v>0</v>
      </c>
      <c r="O68" s="126">
        <f t="shared" ca="1" si="39"/>
        <v>0</v>
      </c>
      <c r="P68" s="140"/>
      <c r="Q68" s="752" t="str">
        <f ca="1">IF(AND(OR(Z68="t",Z68="f"),K68=$BH$11),"No Floor!  Change Floor Type",IF(OR(I68=" ",I68="")," ",IF(F68&lt;OFFSET($BM$9,CL68-1,0,1,1),"check L(m)",DE68&amp;IF(AND(DP68&gt;=CY68,DR68&gt;=DB68),IF(AND(ED68&gt;=DP68,EF68&gt;=DR68),CONCATENATE(DS68," will provide same result"),CONCATENATE(CO68," will provide same result")),IF((DP68&gt;=CY68),CONCATENATE(CO68," provides same result in WIND"),IF((DR68&gt;=DB68),CONCATENATE(CO68," provides same result in EQ"),""))))))&amp;IF(ISERROR(FIND("pile",I68,1)),"",IF(INT(F68)&lt;&gt;F68,"Pile!  Use Whole Numbers Only",""))</f>
        <v xml:space="preserve"> </v>
      </c>
      <c r="R68" s="52">
        <f ca="1">IF(T62&lt;&gt;2,(COLUMN(INDIRECT(B62&amp;1))+1),U68)</f>
        <v>11</v>
      </c>
      <c r="S68" s="1372" t="str">
        <f ca="1">SUBSTITUTE(ADDRESS(1,R68,4),"1","")</f>
        <v>K</v>
      </c>
      <c r="T68" s="451">
        <f ca="1">IF(AND(ISTEXT(B68),SUBSTITUTE(SUBSTITUTE(SUBSTITUTE(SUBSTITUTE(SUBSTITUTE(SUBSTITUTE(SUBSTITUTE(SUBSTITUTE(SUBSTITUTE(SUBSTITUTE(SUBSTITUTE(SUBSTITUTE(SUBSTITUTE(SUBSTITUTE(SUBSTITUTE(SUBSTITUTE(SUBSTITUTE(SUBSTITUTE(SUBSTITUTE(SUBSTITUTE(SUBSTITUTE(SUBSTITUTE(SUBSTITUTE(SUBSTITUTE(SUBSTITUTE(SUBSTITUTE(LOWER(B68),"a",),"b",),"c",),"d",),"e",),"f",),"g",),"h",),"i",),"j",),"k",),"l",),"m",),"n",),"o",),"p",),"q",),"r",),"s",),"t",),"u",),"v",),"w",),"x",),"y",),"z",)=""),1,2)</f>
        <v>1</v>
      </c>
      <c r="U68" s="1377">
        <v>11</v>
      </c>
      <c r="V68" s="52" t="str">
        <f ca="1">IF(AND(B$5=$BF$9,OR(I68=BH$16,I68=BH$17))," ",IF(ISNUMBER(B$68),(CONCATENATE(B$68,".",W68)),(CONCATENATE(B$68,W68))))</f>
        <v>K0</v>
      </c>
      <c r="W68" s="9">
        <f ca="1">IF(B62=B68,W66+X68,X68)</f>
        <v>0</v>
      </c>
      <c r="X68" s="9">
        <f>IF(AND(B$5=$BF$9,OR($I68=$BH$16,$I68=$BH$17,$I68=" ",$I68="",$F68=0)),0,IF(OR($I68=" ",$I68="",$F68=0),0,1))</f>
        <v>0</v>
      </c>
      <c r="Y68" s="896">
        <f ca="1">IF(AND(M73&gt;0,B68&lt;&gt;B74),1,0)</f>
        <v>0</v>
      </c>
      <c r="Z68" s="52" t="str">
        <f ca="1">IF(I68=" "," ",OFFSET($BM$9,$CL68-1,8,1,1))</f>
        <v xml:space="preserve"> </v>
      </c>
      <c r="AA68" s="51" t="str">
        <f>IF(G68&gt;=45,"WA","")</f>
        <v/>
      </c>
      <c r="AB68" s="1364" t="str">
        <f>IF(OR(E68=" ",E68="")," ",(IF(F68&lt;&gt;"",IF(OR(D68=$BG$12,D68=$BG$13),IF(E68&lt;&gt;$BG$17,$BF$20,$BF$21),IF(E68&lt;&gt;$BG$17,$BF$20,$BF$21))," ")))</f>
        <v xml:space="preserve"> </v>
      </c>
      <c r="AC68" s="1"/>
      <c r="AO68" s="51"/>
      <c r="AP68" s="51"/>
      <c r="AQ68" s="51"/>
      <c r="AR68" s="51"/>
      <c r="AS68" s="51"/>
      <c r="AT68" s="51"/>
      <c r="AU68" s="51"/>
      <c r="AV68" s="51"/>
      <c r="AW68" s="51"/>
      <c r="AX68" s="51"/>
      <c r="AY68" s="51"/>
      <c r="AZ68" s="51"/>
      <c r="BA68" s="51"/>
      <c r="BB68" s="51"/>
      <c r="BC68" s="51"/>
      <c r="BD68" s="641"/>
      <c r="BE68" s="2714" t="s">
        <v>903</v>
      </c>
      <c r="BF68" s="2714"/>
      <c r="BG68" s="2714"/>
      <c r="BH68" s="2714"/>
      <c r="BI68" s="759"/>
      <c r="BJ68" s="897">
        <f t="shared" si="33"/>
        <v>60</v>
      </c>
      <c r="BK68" s="768" t="str">
        <f>BK62</f>
        <v xml:space="preserve">EPB </v>
      </c>
      <c r="BL68" s="765" t="str">
        <f>Table!O10</f>
        <v>ESSH</v>
      </c>
      <c r="BM68" s="454">
        <f>Table!P10</f>
        <v>0.4</v>
      </c>
      <c r="BN68" s="454">
        <f>BM69</f>
        <v>0.6</v>
      </c>
      <c r="BO68" s="454">
        <f>Table!Q10</f>
        <v>95</v>
      </c>
      <c r="BP68" s="924">
        <f>Table!R10</f>
        <v>109</v>
      </c>
      <c r="BQ68" s="920"/>
      <c r="BR68" s="768" t="str">
        <f>Table!S10</f>
        <v>ES-H</v>
      </c>
      <c r="BS68" s="454" t="str">
        <f>Table!S11</f>
        <v>EM-H</v>
      </c>
      <c r="BT68" s="454" t="str">
        <f>Table!T10</f>
        <v>I</v>
      </c>
      <c r="BU68" s="924" t="s">
        <v>242</v>
      </c>
      <c r="BV68" s="1230" t="str">
        <f>Table!AI79</f>
        <v>ESSH</v>
      </c>
      <c r="BW68" s="1229">
        <f>BJ68</f>
        <v>60</v>
      </c>
      <c r="BX68" s="924" t="str">
        <f>Table!T11</f>
        <v>Double</v>
      </c>
      <c r="CH68" s="768">
        <f>IF(BN68=999,0,(BO69-BO68)/(BN68-BM68))</f>
        <v>150.00000000000003</v>
      </c>
      <c r="CI68" s="924">
        <f>IF(BN68=999,0,(BP69-BP68)/(BN68-BM68))</f>
        <v>80.000000000000014</v>
      </c>
      <c r="CJ68" s="759"/>
      <c r="CK68" s="188"/>
      <c r="CL68" s="979">
        <f>VLOOKUP(I68,Prodlink,2,0)</f>
        <v>0</v>
      </c>
      <c r="CN68" s="497">
        <f ca="1">VLOOKUP(CO68,Prodlink,2,0)</f>
        <v>0</v>
      </c>
      <c r="CO68" s="497">
        <f ca="1">OFFSET($CH$9,CL68-1,-15,1,1)</f>
        <v>0</v>
      </c>
      <c r="CQ68" s="51">
        <v>0</v>
      </c>
      <c r="CR68" s="51">
        <f ca="1">IF(AND(Z68&lt;&gt;"t",Z68&lt;&gt;"f"),10000,IF(K68=$BH$11,0,IF(K68=$BH$12,$BH$23,IF(K68=$BH$13,$BH$24,10000))))</f>
        <v>10000</v>
      </c>
      <c r="CS68" s="51">
        <f ca="1">IF(F68&lt;OFFSET($BM$9,CL68-1,0,1,1),0,IF(F68&lt;OFFSET($BN$9,CL68-1,0,1,1),((F68-OFFSET($BM$9,CL68-1,0,1,1))*OFFSET($CH$9,CL68-1,0,1,1))+OFFSET($BO$9,CL68-1,CQ68,1,1),IF(F68&lt;OFFSET($BN$9,CL68+0,0,1,1),((F68-OFFSET($BM$9,CL68+0,0,1,1))*OFFSET($CH$9,CL68+0,0,1,1))+OFFSET($BO$9,CL68+0,CQ68,1,1),IF(F68&lt;OFFSET($BN$9,CL68+1,0,1,1),((F68-OFFSET($BM$9,CL68+1,0,1,1))*OFFSET($CH$9,CL68+1,0,1,1))+OFFSET($BO$9,CL68+1,CQ68,1,1),IF(F68&lt;OFFSET($BN$9,CL68+2,0,1,1),((F68-OFFSET($BM$9,CL68+2,0,1,1))*OFFSET($CH$9,CL68+2,0,1,1))+OFFSET($BO$9,CL68+2,CQ68,1,1),IF(F68&lt;OFFSET($BN$9,CL68+3,0,1,1),((F68-OFFSET($BM$9,CL68+3,0,1,1))*OFFSET($CH$9,CL68+3,0,1,1))+OFFSET($BO$9,CL68+3,CQ68,1,1),0))))))</f>
        <v>0</v>
      </c>
      <c r="CT68" s="51">
        <f ca="1">IF($F68&lt;OFFSET($BM$9,$CL68-1,0,1,1),0,IF($F68&lt;OFFSET($BN$9,$CL68-1,0,1,1),IF(AND($H68&gt;2.4,Z68&lt;&gt;"e",Z68&lt;&gt;"f"),CX68*2.4/$H68,CX68),IF($F68&lt;OFFSET($BN$9,$CL68+0,0,1,1),IF(AND($H68&gt;2.4,Z68&lt;&gt;"e",Z68&lt;&gt;"f"),CX68*2.4/$H68,CX68),IF($F68&lt;OFFSET($BN$9,$CL68+1,0,1,1),IF(AND($H68&gt;2.4,Z68&lt;&gt;"e",Z68&lt;&gt;"f"),CX68*2.4/$H68,CX68),IF($F68&lt;OFFSET($BN$9,CL68+2,0,1,1),IF(AND($H68&gt;2.4,Z68&lt;&gt;"e",Z68&lt;&gt;"f"),CX68*2.4/$H68,CX68),IF($F68&lt;OFFSET($BN$9,CL68+3,0,1,1),IF(AND($H68&gt;2.4,Z68&lt;&gt;"e",Z68&lt;&gt;"f"),CX68*2.4/$H68,CX68),0)))))*COS(RADIANS($G68)))</f>
        <v>0</v>
      </c>
      <c r="CU68" s="51">
        <f ca="1">IF(F68&lt;OFFSET($BM$9,CL68-1,0,1,1),0,IF(F68&lt;OFFSET($BN$9,CL68-1,0,1,1),((F68-OFFSET($BM$9,CL68-1,0,1,1))*OFFSET($CI$9,CL68-1,0,1,1))+OFFSET($BP$9,CL68-1,CQ68,1,1),IF(F68&lt;OFFSET($BN$9,CL68+0,0,1,1),((F68-OFFSET($BM$9,CL68+0,0,1,1))*OFFSET($CI$9,CL68+0,0,1,1))+OFFSET($BP$9,CL68+0,CQ68,1,1),IF(F68&lt;OFFSET($BN$9,CL68+1,0,1,1),((F68-OFFSET($BM$9,CL68+1,0,1,1))*OFFSET($CI$9,CL68+1,0,1,1))+OFFSET($BP$9,CL68+1,CQ68,1,1),IF(F68&lt;OFFSET($BN$9,CL68+2,0,1,1),((F68-OFFSET($BM$9,CL68+2,0,1,1))*OFFSET($CI$9,CL68+2,0,1,1))+OFFSET($BP$9,CL68+2,CQ68,1,1),IF(F68&lt;OFFSET($BN$9,CL68+3,0,1,1),((F68-OFFSET($BM$9,CL68+3,0,1,1))*OFFSET($CI$9,CL68+3,0,1,1))+OFFSET($BP$9,CL68+3,CQ68,1,1),0))))))</f>
        <v>0</v>
      </c>
      <c r="CV68" s="51">
        <f ca="1">IF($F68&lt;OFFSET($BM$9,$CL68-1,0,1,1),0,IF($F68&lt;OFFSET($BN$9,$CL68-1,0,1,1),IF(AND($H68&gt;2.4,Z68&lt;&gt;"e",Z68&lt;&gt;"f"),CZ68*2.4/$H68,CZ68),IF($F68&lt;OFFSET($BN$9,$CL68+0,0,1,1),IF(AND($H68&gt;2.4,Z68&lt;&gt;"e",Z68&lt;&gt;"f"),CZ68*2.4/$H68,CZ68),IF($F68&lt;OFFSET($BN$9,$CL68+1,0,1,1),IF(AND($H68&gt;2.4,Z68&lt;&gt;"e",Z68&lt;&gt;"f"),CZ68*2.4/$H68,CZ68),IF($F68&lt;OFFSET($BN$9,$CL68+2,0,1,1),IF(AND($H68&gt;2.4,Z68&lt;&gt;"e",Z68&lt;&gt;"f"),CZ68*2.4/$H68,CZ68),IF($F68&lt;OFFSET($BN$9,$CL68+3,0,1,1),IF(AND($H68&gt;2.4,Z68&lt;&gt;"e",Z68&lt;&gt;"f"),CZ68*2.4/$H68,CZ68),0)))))*COS(RADIANS($G68)))</f>
        <v>0</v>
      </c>
      <c r="CW68" s="51">
        <f ca="1">IF(CT68&gt;CR68,CR68,CT68)</f>
        <v>0</v>
      </c>
      <c r="CX68" s="51">
        <f ca="1">IF(CS68&gt;$CR68,$CR68,CS68)</f>
        <v>0</v>
      </c>
      <c r="CY68" s="51">
        <f ca="1">CW68*F68</f>
        <v>0</v>
      </c>
      <c r="CZ68" s="51">
        <f ca="1">IF($CU68&gt;$CR68,$CR68,$CU68)</f>
        <v>0</v>
      </c>
      <c r="DA68" s="51">
        <f ca="1">IF(CV68&gt;CR68,CR68,CV68)</f>
        <v>0</v>
      </c>
      <c r="DB68" s="51">
        <f ca="1">DA68*F68</f>
        <v>0</v>
      </c>
      <c r="DC68" s="993">
        <v>1</v>
      </c>
      <c r="DD68" s="758" t="str">
        <f>IF(OR(D68=BG$12,D68=BG$13),"External",IF(D68=BG$14,"Internal"," "))</f>
        <v xml:space="preserve"> </v>
      </c>
      <c r="DE68" s="51" t="str">
        <f t="shared" ca="1" si="18"/>
        <v/>
      </c>
      <c r="DF68" s="52" t="str">
        <f t="shared" ca="1" si="19"/>
        <v xml:space="preserve"> </v>
      </c>
      <c r="DG68" s="51">
        <f ca="1">IF(F68&lt;OFFSET($BM$9,CN68-1,0,1,1),0,IF(F68&lt;OFFSET($BN$9,CN68-1,0,1,1),((F68-OFFSET($BM$9,CN68-1,0,1,1))*OFFSET($CH$9,CN68-1,0,1,1))+OFFSET($BO$9,CN68-1,CQ68,1,1),IF(F68&lt;OFFSET($BN$9,CN68+0,0,1,1),((F68-OFFSET($BM$9,CN68+0,0,1,1))*OFFSET($CH$9,CN68+0,0,1,1))+OFFSET($BO$9,CN68+0,CQ68,1,1),IF(F68&lt;OFFSET($BN$9,CN68+1,0,1,1),((F68-OFFSET($BM$9,CN68+1,0,1,1))*OFFSET($CH$9,CN68+1,0,1,1))+OFFSET($BO$9,CN68+1,CQ68,1,1),IF(F68&lt;OFFSET($BN$9,CN68+2,0,1,1),((F68-OFFSET($BM$9,CN68+2,0,1,1))*OFFSET($CH$9,CN68+2,0,1,1))+OFFSET($BO$9,CN68+2,CQ68,1,1),IF(F68&lt;OFFSET($BN$9,CN68+3,0,1,1),((F68-OFFSET($BM$9,CN68+3,0,1,1))*OFFSET($CH$9,CN68+3,0,1,1))+OFFSET($BO$9,CN68+3,CQ68,1,1),0))))))</f>
        <v>0</v>
      </c>
      <c r="DH68" s="51">
        <f ca="1">IF($F68&lt;OFFSET($BM$9,$CN68-1,0,1,1),0,IF($F68&lt;OFFSET($BN$9,$CN68-1,0,1,1),IF(AND($H68&gt;2.4,Z68&lt;&gt;"e",Z68&lt;&gt;"f"),DL68*2.4/$H68,DL68),IF($F68&lt;OFFSET($BN$9,$CN68+0,0,1,1),IF(AND($H68&gt;2.4,Z68&lt;&gt;"e",Z68&lt;&gt;"f"),DL68*2.4/$H68,DL68),IF($F68&lt;OFFSET($BN$9,$CN68+1,0,1,1),IF(AND($H68&gt;2.4,Z68&lt;&gt;"e",Z68&lt;&gt;"f"),DL68*2.4/$H68,DL68),IF($F68&lt;OFFSET($BN$9,$CN68+2,0,1,1),IF(AND($H68&gt;2.4,Z68&lt;&gt;"e",Z68&lt;&gt;"f"),DL68*2.4/$H68,DL68),IF($F68&lt;OFFSET($BN$9,$CN68+3,0,1,1),IF(AND($H68&gt;2.4,Z68&lt;&gt;"e",Z68&lt;&gt;"f"),DL68*2.4/$H68,DL68),0)))))*COS(RADIANS($G68)))</f>
        <v>0</v>
      </c>
      <c r="DI68" s="51">
        <f ca="1">IF(F68&lt;OFFSET($BM$9,CN68-1,0,1,1),0,IF(F68&lt;OFFSET($BN$9,CN68-1,0,1,1),((F68-OFFSET($BM$9,CN68-1,0,1,1))*OFFSET($CI$9,CN68-1,0,1,1))+OFFSET($BP$9,CN68-1,CQ68,1,1),IF(F68&lt;OFFSET($BN$9,CN68+0,0,1,1),((F68-OFFSET($BM$9,CN68+0,0,1,1))*OFFSET($CI$9,CN68+0,0,1,1))+OFFSET($BP$9,CN68+0,CQ68,1,1),IF(F68&lt;OFFSET($BN$9,CN68+1,0,1,1),((F68-OFFSET($BM$9,CN68+1,0,1,1))*OFFSET($CI$9,CN68+1,0,1,1))+OFFSET($BP$9,CN68+1,CQ68,1,1),IF(F68&lt;OFFSET($BN$9,CN68+2,0,1,1),((F68-OFFSET($BM$9,CN68+2,0,1,1))*OFFSET($CI$9,CN68+2,0,1,1))+OFFSET($BP$9,CN68+2,CQ68,1,1),IF(F68&lt;OFFSET($BN$9,CN68+3,0,1,1),((F68-OFFSET($BM$9,CN68+3,0,1,1))*OFFSET($CI$9,CN68+3,0,1,1))+OFFSET($BP$9,CN68+3,CQ68,1,1),0))))))</f>
        <v>0</v>
      </c>
      <c r="DJ68" s="51">
        <f ca="1">IF($F68&lt;OFFSET($BM$9,$CN68-1,0,1,1),0,IF($F68&lt;OFFSET($BN$9,$CN68-1,0,1,1),IF(AND($H68&gt;2.4,Z68&lt;&gt;"e",Z68&lt;&gt;"f"),DN68*2.4/$H68,DN68),IF($F68&lt;OFFSET($BN$9,$CN68+0,0,1,1),IF(AND($H68&gt;2.4,Z68&lt;&gt;"e",Z68&lt;&gt;"f"),DN68*2.4/$H68,DN68),IF($F68&lt;OFFSET($BN$9,$CN68+1,0,1,1),IF(AND($H68&gt;2.4,Z68&lt;&gt;"e",Z68&lt;&gt;"f"),DN68*2.4/$H68,DN68),IF($F68&lt;OFFSET($BN$9,$CN68+2,0,1,1),IF(AND($H68&gt;2.4,Z68&lt;&gt;"e",Z68&lt;&gt;"f"),DN68*2.4/$H68,DN68),IF($F68&lt;OFFSET($BN$9,$CN68+3,0,1,1),IF(AND($H68&gt;2.4,Z68&lt;&gt;"e",Z68&lt;&gt;"f"),DN68*2.4/$H68,DN68),0)))))*COS(RADIANS($G68)))</f>
        <v>0</v>
      </c>
      <c r="DK68" s="51"/>
      <c r="DL68" s="51">
        <f ca="1">IF(DG68&gt;$CR68,$CR68,DG68)</f>
        <v>0</v>
      </c>
      <c r="DM68" s="51"/>
      <c r="DN68" s="51">
        <f ca="1">IF(DI68&gt;$CR68,$CR68,DI68)</f>
        <v>0</v>
      </c>
      <c r="DO68" s="435">
        <f ca="1">IF(DH68&gt;$CR68,$CR68,DH68)</f>
        <v>0</v>
      </c>
      <c r="DP68" s="435">
        <f ca="1">DO68*F68</f>
        <v>0</v>
      </c>
      <c r="DQ68" s="436">
        <f ca="1">IF(DJ68&gt;$CR68,$CR68,DJ68)</f>
        <v>0</v>
      </c>
      <c r="DR68" s="437">
        <f ca="1">DQ68*F68</f>
        <v>0</v>
      </c>
      <c r="DS68" s="426">
        <f ca="1">OFFSET($CH$9,CL68-1,-15,1,1)</f>
        <v>0</v>
      </c>
      <c r="DT68" s="426">
        <f ca="1">VLOOKUP(DS68,Prodlink,2,0)</f>
        <v>0</v>
      </c>
      <c r="DU68" s="188">
        <f ca="1">IF(F68&lt;OFFSET($BM$9,DT68-1,0,1,1),0,IF(F68&lt;OFFSET($BN$9,DT68-1,0,1,1),((F68-OFFSET($BM$9,DT68-1,0,1,1))*OFFSET($CH$9,DT68-1,0,1,1))+OFFSET($BO$9,DT68-1,CQ68,1,1),IF(F68&lt;OFFSET($BN$9,DT68+0,0,1,1),((F68-OFFSET($BM$9,DT68+0,0,1,1))*OFFSET($CH$9,DT68+0,0,1,1))+OFFSET($BO$9,DT68+0,CQ68,1,1),IF(F68&lt;OFFSET($BN$9,DT68+1,0,1,1),((F68-OFFSET($BM$9,DT68+1,0,1,1))*OFFSET($CH$9,DT68+1,0,1,1))+OFFSET($BO$9,DT68+1,CQ68,1,1),IF(F68&lt;OFFSET($BN$9,DT68+2,0,1,1),((F68-OFFSET($BM$9,DT68+2,0,1,1))*OFFSET($CH$9,DT68+2,0,1,1))+OFFSET($BO$9,DT68+2,CQ68,1,1),IF(F68&lt;OFFSET($BN$9,DT68+3,0,1,1),((F68-OFFSET($BM$9,DT68+3,0,1,1))*OFFSET($CH$9,DT68+3,0,1,1))+OFFSET($BO$9,DT68+3,CQ68,1,1),0))))))</f>
        <v>0</v>
      </c>
      <c r="DV68" s="51">
        <f ca="1">IF($F68&lt;OFFSET($BM$9,$DT68-1,0,1,1),0,IF($F68&lt;OFFSET($BN$9,$DT68-1,0,1,1),IF(AND($H68&gt;2.4,Z68&lt;&gt;"e",Z68&lt;&gt;"f"),DZ68*2.4/$H68,DZ68),IF($F68&lt;OFFSET($BN$9,$DT68+0,0,1,1),IF(AND($H68&gt;2.4,Z68&lt;&gt;"e",Z68&lt;&gt;"f"),DZ68*2.4/$H68,DZ68),IF($F68&lt;OFFSET($BN$9,$DT68+1,0,1,1),IF(AND($H68&gt;2.4,Z68&lt;&gt;"e",Z68&lt;&gt;"f"),DZ68*2.4/$H68,DZ68),IF($F68&lt;OFFSET($BN$9,$DT68+2,0,1,1),IF(AND($H68&gt;2.4,Z68&lt;&gt;"e",Z68&lt;&gt;"f"),DZ68*2.4/$H68,DZ68),IF($F68&lt;OFFSET($BN$9,$DT68+3,0,1,1),IF(AND($H68&gt;2.4,Z68&lt;&gt;"e",Z68&lt;&gt;"f"),DZ68*2.4/$H68,DZ68),0)))))*COS(RADIANS($G68)))</f>
        <v>0</v>
      </c>
      <c r="DW68" s="188">
        <f ca="1">IF(F68&lt;OFFSET($BM$9,DT68-1,0,1,1),0,IF(F68&lt;OFFSET($BN$9,DT68-1,0,1,1),((F68-OFFSET($BM$9,DT68-1,0,1,1))*OFFSET($CI$9,DT68-1,0,1,1))+OFFSET($BP$9,DT68-1,CQ68,1,1),IF(F68&lt;OFFSET($BN$9,DT68+0,0,1,1),((F68-OFFSET($BM$9,DT68+0,0,1,1))*OFFSET($CI$9,DT68+0,0,1,1))+OFFSET($BP$9,DT68+0,CQ68,1,1),IF(F68&lt;OFFSET($BN$9,DT68+1,0,1,1),((F68-OFFSET($BM$9,DT68+1,0,1,1))*OFFSET($CI$9,DT68+1,0,1,1))+OFFSET($BP$9,DT68+1,CQ68,1,1),IF(F68&lt;OFFSET($BN$9,DT68+2,0,1,1),((F68-OFFSET($BM$9,DT68+2,0,1,1))*OFFSET($CI$9,DT68+2,0,1,1))+OFFSET($BP$9,DT68+2,CQ68,1,1),IF(F68&lt;OFFSET($BN$9,DT68+3,0,1,1),((F68-OFFSET($BM$9,DT68+3,0,1,1))*OFFSET($CI$9,DT68+3,0,1,1))+OFFSET($BP$9,DT68+3,CQ68,1,1),0))))))</f>
        <v>0</v>
      </c>
      <c r="DX68" s="51">
        <f ca="1">IF($F68&lt;OFFSET($BM$9,$DT68-1,0,1,1),0,IF($F68&lt;OFFSET($BN$9,$DT68-1,0,1,1),IF(AND($H68&gt;2.4,Z68&lt;&gt;"e",Z68&lt;&gt;"f"),EB68*2.4/$H68,EB68),IF($F68&lt;OFFSET($BN$9,$DT68+0,0,1,1),IF(AND($H68&gt;2.4,Z68&lt;&gt;"e",Z68&lt;&gt;"f"),EB68*2.4/$H68,EB68),IF($F68&lt;OFFSET($BN$9,$DT68+1,0,1,1),IF(AND($H68&gt;2.4,Z68&lt;&gt;"e",Z68&lt;&gt;"f"),EB68*2.4/$H68,EB68),IF($F68&lt;OFFSET($BN$9,$DT68+2,0,1,1),IF(AND($H68&gt;2.4,Z68&lt;&gt;"e",Z68&lt;&gt;"f"),EB68*2.4/$H68,EB68),IF($F68&lt;OFFSET($BN$9,$DT68+3,0,1,1),IF(AND($H68&gt;2.4,Z68&lt;&gt;"e",Z68&lt;&gt;"f"),EB68*2.4/$H68,EB68),0)))))*COS(RADIANS($G68)))</f>
        <v>0</v>
      </c>
      <c r="DY68" s="188"/>
      <c r="DZ68" s="188">
        <f ca="1">IF(DU68&gt;$CR68,$CR68,DU68)</f>
        <v>0</v>
      </c>
      <c r="EA68" s="188"/>
      <c r="EB68" s="188">
        <f ca="1">IF(DW68&gt;$CR68,$CR68,DW68)</f>
        <v>0</v>
      </c>
      <c r="EC68" s="435">
        <f ca="1">IF(DV68&gt;$CR68,$CR68,DV68)</f>
        <v>0</v>
      </c>
      <c r="ED68" s="435">
        <f ca="1">EC68*F68</f>
        <v>0</v>
      </c>
      <c r="EE68" s="436">
        <f ca="1">IF(DX68&gt;$CR68,$CR68,DX68)</f>
        <v>0</v>
      </c>
      <c r="EF68" s="437">
        <f ca="1">EE68*F68</f>
        <v>0</v>
      </c>
      <c r="EG68" s="613" t="str">
        <f>IF(D68=BG$12,BG$12,"")</f>
        <v/>
      </c>
      <c r="EH68" s="614" t="str">
        <f>IF(D68=BG$13,BG$13,"")</f>
        <v/>
      </c>
      <c r="EI68" s="611">
        <f>IF(EG68=BG$12,M68,0)</f>
        <v>0</v>
      </c>
      <c r="EJ68" s="451">
        <f>IF(EG68=BG$12,O68,0)</f>
        <v>0</v>
      </c>
      <c r="EK68" s="451">
        <f>IF(EH68=BG$13,M68,0)</f>
        <v>0</v>
      </c>
      <c r="EL68" s="612">
        <f>IF(EH68=BG$13,O68,0)</f>
        <v>0</v>
      </c>
      <c r="EM68" s="426" t="str">
        <f ca="1">IF(AND(Z68&lt;&gt;"t",Z68&lt;&gt;"f"),"",IF(AND(EN68=$BH$11,K68&lt;&gt;EN68),EM$4,IF(AND(EN68=$BH$12,K68=$BH$13),EM$4,IF(AND(EN68=$BH$12,K68=$BH$14),EM$4,IF(AND(EN68=$BH$13,K68=$BH$14),$EM$4,IF(EN68=$BH$14,$EM$4,""))))))</f>
        <v/>
      </c>
      <c r="EN68" s="489" t="str">
        <f>BG$24</f>
        <v>No Floor</v>
      </c>
      <c r="EO68" s="426" t="str">
        <f>K68</f>
        <v xml:space="preserve"> </v>
      </c>
      <c r="EP68" s="497" t="str">
        <f ca="1">IF(AND(Z68&lt;&gt;"t",Z68&lt;&gt;"f"),"",IF(AND(EN68=$BH$14,K68&lt;&gt;EN68),EP$4,IF(AND(EN68=$BH$13,K68=$BH$12),EP$4,IF(AND(EN68=$BH$13,K68=$BH$11),EP$4,IF(AND(EN68=$BH$12,K68=$BH$11),$EP$4,IF(EN68=$BH$11,"Earth",""))))))</f>
        <v/>
      </c>
      <c r="EQ68" s="430" t="str">
        <f ca="1">IF(Z68&lt;&gt;"t","",IF(EQ$5=2,IF(K68&lt;&gt;BH$11,EQ$7," ")))</f>
        <v/>
      </c>
      <c r="ER68" s="439" t="str">
        <f ca="1">IF(H68=0," ",H68)</f>
        <v xml:space="preserve"> </v>
      </c>
      <c r="ES68" s="440" t="str">
        <f ca="1">IF(ER68&lt;&gt;" ",IF(ER68&lt;&gt;ER$7,"Changed",""),"")</f>
        <v/>
      </c>
      <c r="ET68" s="440">
        <f ca="1">IF(ER68&lt;&gt;" ",IF(ER68&lt;&gt;ER$7,1,0),0)</f>
        <v>0</v>
      </c>
      <c r="EU68" s="426" t="str">
        <f ca="1">IF(I68=" "," ",IF(F68&lt;OFFSET($BM$9,CL68-1,0,1,1),1,""))</f>
        <v xml:space="preserve"> </v>
      </c>
      <c r="EW68" s="427"/>
      <c r="EY68" s="421"/>
    </row>
    <row r="69" spans="1:155" ht="17.100000000000001" hidden="1" customHeight="1">
      <c r="A69" s="2685"/>
      <c r="B69" s="689" t="s">
        <v>246</v>
      </c>
      <c r="C69" s="684" t="str">
        <f>IF(OR(F69=0,I69="",I69=" ")," ",$V69)</f>
        <v xml:space="preserve"> </v>
      </c>
      <c r="D69" s="1033"/>
      <c r="E69" s="1360"/>
      <c r="F69" s="202"/>
      <c r="G69" s="1416"/>
      <c r="H69" s="1417" t="str">
        <f ca="1">IF(OR(F69=0,Z69="E",Z69="f")," ",'Project Demand'!E$55)</f>
        <v xml:space="preserve"> </v>
      </c>
      <c r="I69" s="631" t="str">
        <f>IF($I$6&lt;&gt;$BG$8," ",AB69)</f>
        <v xml:space="preserve"> </v>
      </c>
      <c r="J69" s="44" t="str">
        <f ca="1">IF(OR(I69=" ",I69="")," ",OFFSET($BO$9,CL69-1,0-4,1,1))</f>
        <v xml:space="preserve"> </v>
      </c>
      <c r="K69" s="55" t="str">
        <f>IF(OR(I69=" ",I69="")," ",IF(OR(Z69="e",Z69="h"),"SD",IF(BG$24=BH$11,BH$13,BG$24)))</f>
        <v xml:space="preserve"> </v>
      </c>
      <c r="L69" s="49">
        <f ca="1">CW69</f>
        <v>0</v>
      </c>
      <c r="M69" s="49">
        <f ca="1">CY69</f>
        <v>0</v>
      </c>
      <c r="N69" s="50">
        <f t="shared" ca="1" si="39"/>
        <v>0</v>
      </c>
      <c r="O69" s="126">
        <f t="shared" ca="1" si="39"/>
        <v>0</v>
      </c>
      <c r="P69" s="140"/>
      <c r="Q69" s="752" t="str">
        <f ca="1">IF(AND(OR(Z69="t",Z69="f"),K69=$BH$11),"No Floor!  Change Floor Type",IF(OR(I69=" ",I69="")," ",IF(F69&lt;OFFSET($BM$9,CL69-1,0,1,1),"check L(m)",DE69&amp;IF(AND(DP69&gt;=CY69,DR69&gt;=DB69),IF(AND(ED69&gt;=DP69,EF69&gt;=DR69),CONCATENATE(DS69," will provide same result"),CONCATENATE(CO69," will provide same result")),IF((DP69&gt;=CY69),CONCATENATE(CO69," provides same result in WIND"),IF((DR69&gt;=DB69),CONCATENATE(CO69," provides same result in EQ"),""))))))&amp;IF(ISERROR(FIND("pile",I69,1)),"",IF(INT(F69)&lt;&gt;F69,"Pile!  Use Whole Numbers Only",""))</f>
        <v xml:space="preserve"> </v>
      </c>
      <c r="R69" s="52"/>
      <c r="S69" s="1372"/>
      <c r="T69" s="1372"/>
      <c r="U69" s="1377"/>
      <c r="V69" s="52" t="str">
        <f ca="1">IF(AND(B$5=$BF$9,OR(I69=BH$16,I69=BH$17))," ",IF(ISNUMBER(B$68),(CONCATENATE(B$68,".",W69)),(CONCATENATE(B$68,W69))))</f>
        <v>K0</v>
      </c>
      <c r="W69" s="9">
        <f ca="1">W68+X69</f>
        <v>0</v>
      </c>
      <c r="X69" s="9">
        <f>IF(AND(B$5=$BF$9,OR($I69=$BH$16,$I69=$BH$17,$I69=" ",$I69="",$F69=0)),0,IF(OR($I69=" ",$I69="",$F69=0),0,1))</f>
        <v>0</v>
      </c>
      <c r="Y69" s="896"/>
      <c r="Z69" s="52" t="str">
        <f ca="1">IF(I69=" "," ",OFFSET($BM$9,$CL69-1,8,1,1))</f>
        <v xml:space="preserve"> </v>
      </c>
      <c r="AA69" s="51" t="str">
        <f>IF(G69&gt;=45,"WA","")</f>
        <v/>
      </c>
      <c r="AB69" s="1364" t="str">
        <f>IF(OR(E69=" ",E69="")," ",(IF(F69&lt;&gt;"",IF(OR(D69=$BG$12,D69=$BG$13),IF(E69&lt;&gt;$BG$17,$BF$20,$BF$21),IF(E69&lt;&gt;$BG$17,$BF$20,$BF$21))," ")))</f>
        <v xml:space="preserve"> </v>
      </c>
      <c r="AC69" s="1"/>
      <c r="AO69" s="51"/>
      <c r="AP69" s="51"/>
      <c r="AQ69" s="51"/>
      <c r="AR69" s="51"/>
      <c r="AS69" s="51"/>
      <c r="AT69" s="51"/>
      <c r="AU69" s="51"/>
      <c r="AV69" s="51"/>
      <c r="AW69" s="51"/>
      <c r="AX69" s="51"/>
      <c r="AY69" s="51"/>
      <c r="AZ69" s="51"/>
      <c r="BA69" s="51"/>
      <c r="BB69" s="51"/>
      <c r="BC69" s="51"/>
      <c r="BD69" s="641"/>
      <c r="BI69" s="759"/>
      <c r="BJ69" s="897">
        <f t="shared" si="33"/>
        <v>61</v>
      </c>
      <c r="BK69" s="764"/>
      <c r="BL69" s="766"/>
      <c r="BM69" s="455">
        <f>Table!P11</f>
        <v>0.6</v>
      </c>
      <c r="BN69" s="455">
        <f>BM70</f>
        <v>0.8</v>
      </c>
      <c r="BO69" s="455">
        <f>Table!Q11</f>
        <v>125</v>
      </c>
      <c r="BP69" s="925">
        <f>Table!R11</f>
        <v>125</v>
      </c>
      <c r="BR69" s="764"/>
      <c r="BS69" s="455"/>
      <c r="BT69" s="455"/>
      <c r="BU69" s="925" t="s">
        <v>242</v>
      </c>
      <c r="BV69" s="895"/>
      <c r="BW69" s="912"/>
      <c r="BX69" s="925" t="str">
        <f>Table!T11</f>
        <v>Double</v>
      </c>
      <c r="CH69" s="764">
        <f>IF(BN69=999,0,(BO70-BO69)/(BN69-BM69))</f>
        <v>49.999999999999986</v>
      </c>
      <c r="CI69" s="925">
        <f>IF(BN69=999,0,(BP70-BP69)/(BN69-BM69))</f>
        <v>0</v>
      </c>
      <c r="CJ69" s="759"/>
      <c r="CK69" s="188"/>
      <c r="CL69" s="979">
        <f>VLOOKUP(I69,Prodlink,2,0)</f>
        <v>0</v>
      </c>
      <c r="CN69" s="497">
        <f ca="1">VLOOKUP(CO69,Prodlink,2,0)</f>
        <v>0</v>
      </c>
      <c r="CO69" s="497">
        <f ca="1">OFFSET($CH$9,CL69-1,-15,1,1)</f>
        <v>0</v>
      </c>
      <c r="CQ69" s="51">
        <v>0</v>
      </c>
      <c r="CR69" s="51">
        <f ca="1">IF(AND(Z69&lt;&gt;"t",Z69&lt;&gt;"f"),10000,IF(K69=$BH$11,0,IF(K69=$BH$12,$BH$23,IF(K69=$BH$13,$BH$24,10000))))</f>
        <v>10000</v>
      </c>
      <c r="CS69" s="51">
        <f ca="1">IF(F69&lt;OFFSET($BM$9,CL69-1,0,1,1),0,IF(F69&lt;OFFSET($BN$9,CL69-1,0,1,1),((F69-OFFSET($BM$9,CL69-1,0,1,1))*OFFSET($CH$9,CL69-1,0,1,1))+OFFSET($BO$9,CL69-1,CQ69,1,1),IF(F69&lt;OFFSET($BN$9,CL69+0,0,1,1),((F69-OFFSET($BM$9,CL69+0,0,1,1))*OFFSET($CH$9,CL69+0,0,1,1))+OFFSET($BO$9,CL69+0,CQ69,1,1),IF(F69&lt;OFFSET($BN$9,CL69+1,0,1,1),((F69-OFFSET($BM$9,CL69+1,0,1,1))*OFFSET($CH$9,CL69+1,0,1,1))+OFFSET($BO$9,CL69+1,CQ69,1,1),IF(F69&lt;OFFSET($BN$9,CL69+2,0,1,1),((F69-OFFSET($BM$9,CL69+2,0,1,1))*OFFSET($CH$9,CL69+2,0,1,1))+OFFSET($BO$9,CL69+2,CQ69,1,1),IF(F69&lt;OFFSET($BN$9,CL69+3,0,1,1),((F69-OFFSET($BM$9,CL69+3,0,1,1))*OFFSET($CH$9,CL69+3,0,1,1))+OFFSET($BO$9,CL69+3,CQ69,1,1),0))))))</f>
        <v>0</v>
      </c>
      <c r="CT69" s="51">
        <f ca="1">IF($F69&lt;OFFSET($BM$9,$CL69-1,0,1,1),0,IF($F69&lt;OFFSET($BN$9,$CL69-1,0,1,1),IF(AND($H69&gt;2.4,Z69&lt;&gt;"e",Z69&lt;&gt;"f"),CX69*2.4/$H69,CX69),IF($F69&lt;OFFSET($BN$9,$CL69+0,0,1,1),IF(AND($H69&gt;2.4,Z69&lt;&gt;"e",Z69&lt;&gt;"f"),CX69*2.4/$H69,CX69),IF($F69&lt;OFFSET($BN$9,$CL69+1,0,1,1),IF(AND($H69&gt;2.4,Z69&lt;&gt;"e",Z69&lt;&gt;"f"),CX69*2.4/$H69,CX69),IF($F69&lt;OFFSET($BN$9,CL69+2,0,1,1),IF(AND($H69&gt;2.4,Z69&lt;&gt;"e",Z69&lt;&gt;"f"),CX69*2.4/$H69,CX69),IF($F69&lt;OFFSET($BN$9,CL69+3,0,1,1),IF(AND($H69&gt;2.4,Z69&lt;&gt;"e",Z69&lt;&gt;"f"),CX69*2.4/$H69,CX69),0)))))*COS(RADIANS($G69)))</f>
        <v>0</v>
      </c>
      <c r="CU69" s="51">
        <f ca="1">IF(F69&lt;OFFSET($BM$9,CL69-1,0,1,1),0,IF(F69&lt;OFFSET($BN$9,CL69-1,0,1,1),((F69-OFFSET($BM$9,CL69-1,0,1,1))*OFFSET($CI$9,CL69-1,0,1,1))+OFFSET($BP$9,CL69-1,CQ69,1,1),IF(F69&lt;OFFSET($BN$9,CL69+0,0,1,1),((F69-OFFSET($BM$9,CL69+0,0,1,1))*OFFSET($CI$9,CL69+0,0,1,1))+OFFSET($BP$9,CL69+0,CQ69,1,1),IF(F69&lt;OFFSET($BN$9,CL69+1,0,1,1),((F69-OFFSET($BM$9,CL69+1,0,1,1))*OFFSET($CI$9,CL69+1,0,1,1))+OFFSET($BP$9,CL69+1,CQ69,1,1),IF(F69&lt;OFFSET($BN$9,CL69+2,0,1,1),((F69-OFFSET($BM$9,CL69+2,0,1,1))*OFFSET($CI$9,CL69+2,0,1,1))+OFFSET($BP$9,CL69+2,CQ69,1,1),IF(F69&lt;OFFSET($BN$9,CL69+3,0,1,1),((F69-OFFSET($BM$9,CL69+3,0,1,1))*OFFSET($CI$9,CL69+3,0,1,1))+OFFSET($BP$9,CL69+3,CQ69,1,1),0))))))</f>
        <v>0</v>
      </c>
      <c r="CV69" s="51">
        <f ca="1">IF($F69&lt;OFFSET($BM$9,$CL69-1,0,1,1),0,IF($F69&lt;OFFSET($BN$9,$CL69-1,0,1,1),IF(AND($H69&gt;2.4,Z69&lt;&gt;"e",Z69&lt;&gt;"f"),CZ69*2.4/$H69,CZ69),IF($F69&lt;OFFSET($BN$9,$CL69+0,0,1,1),IF(AND($H69&gt;2.4,Z69&lt;&gt;"e",Z69&lt;&gt;"f"),CZ69*2.4/$H69,CZ69),IF($F69&lt;OFFSET($BN$9,$CL69+1,0,1,1),IF(AND($H69&gt;2.4,Z69&lt;&gt;"e",Z69&lt;&gt;"f"),CZ69*2.4/$H69,CZ69),IF($F69&lt;OFFSET($BN$9,$CL69+2,0,1,1),IF(AND($H69&gt;2.4,Z69&lt;&gt;"e",Z69&lt;&gt;"f"),CZ69*2.4/$H69,CZ69),IF($F69&lt;OFFSET($BN$9,$CL69+3,0,1,1),IF(AND($H69&gt;2.4,Z69&lt;&gt;"e",Z69&lt;&gt;"f"),CZ69*2.4/$H69,CZ69),0)))))*COS(RADIANS($G69)))</f>
        <v>0</v>
      </c>
      <c r="CW69" s="51">
        <f ca="1">IF(CT69&gt;CR69,CR69,CT69)</f>
        <v>0</v>
      </c>
      <c r="CX69" s="51">
        <f ca="1">IF(CS69&gt;$CR69,$CR69,CS69)</f>
        <v>0</v>
      </c>
      <c r="CY69" s="51">
        <f ca="1">CW69*F69</f>
        <v>0</v>
      </c>
      <c r="CZ69" s="51">
        <f ca="1">IF($CU69&gt;$CR69,$CR69,$CU69)</f>
        <v>0</v>
      </c>
      <c r="DA69" s="51">
        <f ca="1">IF(CV69&gt;CR69,CR69,CV69)</f>
        <v>0</v>
      </c>
      <c r="DB69" s="51">
        <f ca="1">DA69*F69</f>
        <v>0</v>
      </c>
      <c r="DC69" s="993">
        <v>1</v>
      </c>
      <c r="DD69" s="758" t="str">
        <f>IF(OR(D69=BG$12,D69=BG$13),"External",IF(D69=BG$14,"Internal"," "))</f>
        <v xml:space="preserve"> </v>
      </c>
      <c r="DE69" s="51" t="str">
        <f t="shared" ca="1" si="18"/>
        <v/>
      </c>
      <c r="DF69" s="52" t="str">
        <f t="shared" ca="1" si="19"/>
        <v xml:space="preserve"> </v>
      </c>
      <c r="DG69" s="51">
        <f ca="1">IF(F69&lt;OFFSET($BM$9,CN69-1,0,1,1),0,IF(F69&lt;OFFSET($BN$9,CN69-1,0,1,1),((F69-OFFSET($BM$9,CN69-1,0,1,1))*OFFSET($CH$9,CN69-1,0,1,1))+OFFSET($BO$9,CN69-1,CQ69,1,1),IF(F69&lt;OFFSET($BN$9,CN69+0,0,1,1),((F69-OFFSET($BM$9,CN69+0,0,1,1))*OFFSET($CH$9,CN69+0,0,1,1))+OFFSET($BO$9,CN69+0,CQ69,1,1),IF(F69&lt;OFFSET($BN$9,CN69+1,0,1,1),((F69-OFFSET($BM$9,CN69+1,0,1,1))*OFFSET($CH$9,CN69+1,0,1,1))+OFFSET($BO$9,CN69+1,CQ69,1,1),IF(F69&lt;OFFSET($BN$9,CN69+2,0,1,1),((F69-OFFSET($BM$9,CN69+2,0,1,1))*OFFSET($CH$9,CN69+2,0,1,1))+OFFSET($BO$9,CN69+2,CQ69,1,1),IF(F69&lt;OFFSET($BN$9,CN69+3,0,1,1),((F69-OFFSET($BM$9,CN69+3,0,1,1))*OFFSET($CH$9,CN69+3,0,1,1))+OFFSET($BO$9,CN69+3,CQ69,1,1),0))))))</f>
        <v>0</v>
      </c>
      <c r="DH69" s="51">
        <f ca="1">IF($F69&lt;OFFSET($BM$9,$CN69-1,0,1,1),0,IF($F69&lt;OFFSET($BN$9,$CN69-1,0,1,1),IF(AND($H69&gt;2.4,Z69&lt;&gt;"e",Z69&lt;&gt;"f"),DL69*2.4/$H69,DL69),IF($F69&lt;OFFSET($BN$9,$CN69+0,0,1,1),IF(AND($H69&gt;2.4,Z69&lt;&gt;"e",Z69&lt;&gt;"f"),DL69*2.4/$H69,DL69),IF($F69&lt;OFFSET($BN$9,$CN69+1,0,1,1),IF(AND($H69&gt;2.4,Z69&lt;&gt;"e",Z69&lt;&gt;"f"),DL69*2.4/$H69,DL69),IF($F69&lt;OFFSET($BN$9,$CN69+2,0,1,1),IF(AND($H69&gt;2.4,Z69&lt;&gt;"e",Z69&lt;&gt;"f"),DL69*2.4/$H69,DL69),IF($F69&lt;OFFSET($BN$9,$CN69+3,0,1,1),IF(AND($H69&gt;2.4,Z69&lt;&gt;"e",Z69&lt;&gt;"f"),DL69*2.4/$H69,DL69),0)))))*COS(RADIANS($G69)))</f>
        <v>0</v>
      </c>
      <c r="DI69" s="51">
        <f ca="1">IF(F69&lt;OFFSET($BM$9,CN69-1,0,1,1),0,IF(F69&lt;OFFSET($BN$9,CN69-1,0,1,1),((F69-OFFSET($BM$9,CN69-1,0,1,1))*OFFSET($CI$9,CN69-1,0,1,1))+OFFSET($BP$9,CN69-1,CQ69,1,1),IF(F69&lt;OFFSET($BN$9,CN69+0,0,1,1),((F69-OFFSET($BM$9,CN69+0,0,1,1))*OFFSET($CI$9,CN69+0,0,1,1))+OFFSET($BP$9,CN69+0,CQ69,1,1),IF(F69&lt;OFFSET($BN$9,CN69+1,0,1,1),((F69-OFFSET($BM$9,CN69+1,0,1,1))*OFFSET($CI$9,CN69+1,0,1,1))+OFFSET($BP$9,CN69+1,CQ69,1,1),IF(F69&lt;OFFSET($BN$9,CN69+2,0,1,1),((F69-OFFSET($BM$9,CN69+2,0,1,1))*OFFSET($CI$9,CN69+2,0,1,1))+OFFSET($BP$9,CN69+2,CQ69,1,1),IF(F69&lt;OFFSET($BN$9,CN69+3,0,1,1),((F69-OFFSET($BM$9,CN69+3,0,1,1))*OFFSET($CI$9,CN69+3,0,1,1))+OFFSET($BP$9,CN69+3,CQ69,1,1),0))))))</f>
        <v>0</v>
      </c>
      <c r="DJ69" s="51">
        <f ca="1">IF($F69&lt;OFFSET($BM$9,$CN69-1,0,1,1),0,IF($F69&lt;OFFSET($BN$9,$CN69-1,0,1,1),IF(AND($H69&gt;2.4,Z69&lt;&gt;"e",Z69&lt;&gt;"f"),DN69*2.4/$H69,DN69),IF($F69&lt;OFFSET($BN$9,$CN69+0,0,1,1),IF(AND($H69&gt;2.4,Z69&lt;&gt;"e",Z69&lt;&gt;"f"),DN69*2.4/$H69,DN69),IF($F69&lt;OFFSET($BN$9,$CN69+1,0,1,1),IF(AND($H69&gt;2.4,Z69&lt;&gt;"e",Z69&lt;&gt;"f"),DN69*2.4/$H69,DN69),IF($F69&lt;OFFSET($BN$9,$CN69+2,0,1,1),IF(AND($H69&gt;2.4,Z69&lt;&gt;"e",Z69&lt;&gt;"f"),DN69*2.4/$H69,DN69),IF($F69&lt;OFFSET($BN$9,$CN69+3,0,1,1),IF(AND($H69&gt;2.4,Z69&lt;&gt;"e",Z69&lt;&gt;"f"),DN69*2.4/$H69,DN69),0)))))*COS(RADIANS($G69)))</f>
        <v>0</v>
      </c>
      <c r="DK69" s="51"/>
      <c r="DL69" s="51">
        <f ca="1">IF(DG69&gt;$CR69,$CR69,DG69)</f>
        <v>0</v>
      </c>
      <c r="DM69" s="51"/>
      <c r="DN69" s="51">
        <f ca="1">IF(DI69&gt;$CR69,$CR69,DI69)</f>
        <v>0</v>
      </c>
      <c r="DO69" s="435">
        <f ca="1">IF(DH69&gt;$CR69,$CR69,DH69)</f>
        <v>0</v>
      </c>
      <c r="DP69" s="435">
        <f ca="1">DO69*F69</f>
        <v>0</v>
      </c>
      <c r="DQ69" s="436">
        <f ca="1">IF(DJ69&gt;$CR69,$CR69,DJ69)</f>
        <v>0</v>
      </c>
      <c r="DR69" s="437">
        <f ca="1">DQ69*F69</f>
        <v>0</v>
      </c>
      <c r="DS69" s="426">
        <f ca="1">OFFSET($CH$9,CL69-1,-15,1,1)</f>
        <v>0</v>
      </c>
      <c r="DT69" s="426">
        <f ca="1">VLOOKUP(DS69,Prodlink,2,0)</f>
        <v>0</v>
      </c>
      <c r="DU69" s="188">
        <f ca="1">IF(F69&lt;OFFSET($BM$9,DT69-1,0,1,1),0,IF(F69&lt;OFFSET($BN$9,DT69-1,0,1,1),((F69-OFFSET($BM$9,DT69-1,0,1,1))*OFFSET($CH$9,DT69-1,0,1,1))+OFFSET($BO$9,DT69-1,CQ69,1,1),IF(F69&lt;OFFSET($BN$9,DT69+0,0,1,1),((F69-OFFSET($BM$9,DT69+0,0,1,1))*OFFSET($CH$9,DT69+0,0,1,1))+OFFSET($BO$9,DT69+0,CQ69,1,1),IF(F69&lt;OFFSET($BN$9,DT69+1,0,1,1),((F69-OFFSET($BM$9,DT69+1,0,1,1))*OFFSET($CH$9,DT69+1,0,1,1))+OFFSET($BO$9,DT69+1,CQ69,1,1),IF(F69&lt;OFFSET($BN$9,DT69+2,0,1,1),((F69-OFFSET($BM$9,DT69+2,0,1,1))*OFFSET($CH$9,DT69+2,0,1,1))+OFFSET($BO$9,DT69+2,CQ69,1,1),IF(F69&lt;OFFSET($BN$9,DT69+3,0,1,1),((F69-OFFSET($BM$9,DT69+3,0,1,1))*OFFSET($CH$9,DT69+3,0,1,1))+OFFSET($BO$9,DT69+3,CQ69,1,1),0))))))</f>
        <v>0</v>
      </c>
      <c r="DV69" s="51">
        <f ca="1">IF($F69&lt;OFFSET($BM$9,$DT69-1,0,1,1),0,IF($F69&lt;OFFSET($BN$9,$DT69-1,0,1,1),IF(AND($H69&gt;2.4,Z69&lt;&gt;"e",Z69&lt;&gt;"f"),DZ69*2.4/$H69,DZ69),IF($F69&lt;OFFSET($BN$9,$DT69+0,0,1,1),IF(AND($H69&gt;2.4,Z69&lt;&gt;"e",Z69&lt;&gt;"f"),DZ69*2.4/$H69,DZ69),IF($F69&lt;OFFSET($BN$9,$DT69+1,0,1,1),IF(AND($H69&gt;2.4,Z69&lt;&gt;"e",Z69&lt;&gt;"f"),DZ69*2.4/$H69,DZ69),IF($F69&lt;OFFSET($BN$9,$DT69+2,0,1,1),IF(AND($H69&gt;2.4,Z69&lt;&gt;"e",Z69&lt;&gt;"f"),DZ69*2.4/$H69,DZ69),IF($F69&lt;OFFSET($BN$9,$DT69+3,0,1,1),IF(AND($H69&gt;2.4,Z69&lt;&gt;"e",Z69&lt;&gt;"f"),DZ69*2.4/$H69,DZ69),0)))))*COS(RADIANS($G69)))</f>
        <v>0</v>
      </c>
      <c r="DW69" s="188">
        <f ca="1">IF(F69&lt;OFFSET($BM$9,DT69-1,0,1,1),0,IF(F69&lt;OFFSET($BN$9,DT69-1,0,1,1),((F69-OFFSET($BM$9,DT69-1,0,1,1))*OFFSET($CI$9,DT69-1,0,1,1))+OFFSET($BP$9,DT69-1,CQ69,1,1),IF(F69&lt;OFFSET($BN$9,DT69+0,0,1,1),((F69-OFFSET($BM$9,DT69+0,0,1,1))*OFFSET($CI$9,DT69+0,0,1,1))+OFFSET($BP$9,DT69+0,CQ69,1,1),IF(F69&lt;OFFSET($BN$9,DT69+1,0,1,1),((F69-OFFSET($BM$9,DT69+1,0,1,1))*OFFSET($CI$9,DT69+1,0,1,1))+OFFSET($BP$9,DT69+1,CQ69,1,1),IF(F69&lt;OFFSET($BN$9,DT69+2,0,1,1),((F69-OFFSET($BM$9,DT69+2,0,1,1))*OFFSET($CI$9,DT69+2,0,1,1))+OFFSET($BP$9,DT69+2,CQ69,1,1),IF(F69&lt;OFFSET($BN$9,DT69+3,0,1,1),((F69-OFFSET($BM$9,DT69+3,0,1,1))*OFFSET($CI$9,DT69+3,0,1,1))+OFFSET($BP$9,DT69+3,CQ69,1,1),0))))))</f>
        <v>0</v>
      </c>
      <c r="DX69" s="51">
        <f ca="1">IF($F69&lt;OFFSET($BM$9,$DT69-1,0,1,1),0,IF($F69&lt;OFFSET($BN$9,$DT69-1,0,1,1),IF(AND($H69&gt;2.4,Z69&lt;&gt;"e",Z69&lt;&gt;"f"),EB69*2.4/$H69,EB69),IF($F69&lt;OFFSET($BN$9,$DT69+0,0,1,1),IF(AND($H69&gt;2.4,Z69&lt;&gt;"e",Z69&lt;&gt;"f"),EB69*2.4/$H69,EB69),IF($F69&lt;OFFSET($BN$9,$DT69+1,0,1,1),IF(AND($H69&gt;2.4,Z69&lt;&gt;"e",Z69&lt;&gt;"f"),EB69*2.4/$H69,EB69),IF($F69&lt;OFFSET($BN$9,$DT69+2,0,1,1),IF(AND($H69&gt;2.4,Z69&lt;&gt;"e",Z69&lt;&gt;"f"),EB69*2.4/$H69,EB69),IF($F69&lt;OFFSET($BN$9,$DT69+3,0,1,1),IF(AND($H69&gt;2.4,Z69&lt;&gt;"e",Z69&lt;&gt;"f"),EB69*2.4/$H69,EB69),0)))))*COS(RADIANS($G69)))</f>
        <v>0</v>
      </c>
      <c r="DY69" s="188"/>
      <c r="DZ69" s="188">
        <f ca="1">IF(DU69&gt;$CR69,$CR69,DU69)</f>
        <v>0</v>
      </c>
      <c r="EA69" s="188"/>
      <c r="EB69" s="188">
        <f ca="1">IF(DW69&gt;$CR69,$CR69,DW69)</f>
        <v>0</v>
      </c>
      <c r="EC69" s="435">
        <f ca="1">IF(DV69&gt;$CR69,$CR69,DV69)</f>
        <v>0</v>
      </c>
      <c r="ED69" s="435">
        <f ca="1">EC69*F69</f>
        <v>0</v>
      </c>
      <c r="EE69" s="436">
        <f ca="1">IF(DX69&gt;$CR69,$CR69,DX69)</f>
        <v>0</v>
      </c>
      <c r="EF69" s="437">
        <f ca="1">EE69*F69</f>
        <v>0</v>
      </c>
      <c r="EG69" s="613" t="str">
        <f>IF(D69=BG$12,BG$12,"")</f>
        <v/>
      </c>
      <c r="EH69" s="614" t="str">
        <f>IF(D69=BG$13,BG$13,"")</f>
        <v/>
      </c>
      <c r="EI69" s="611">
        <f>IF(EG69=BG$12,M69,0)</f>
        <v>0</v>
      </c>
      <c r="EJ69" s="451">
        <f>IF(EG69=BG$12,O69,0)</f>
        <v>0</v>
      </c>
      <c r="EK69" s="451">
        <f>IF(EH69=BG$13,M69,0)</f>
        <v>0</v>
      </c>
      <c r="EL69" s="612">
        <f>IF(EH69=BG$13,O69,0)</f>
        <v>0</v>
      </c>
      <c r="EM69" s="426" t="str">
        <f ca="1">IF(AND(Z69&lt;&gt;"t",Z69&lt;&gt;"f"),"",IF(AND(EN69=$BH$11,K69&lt;&gt;EN69),EM$4,IF(AND(EN69=$BH$12,K69=$BH$13),EM$4,IF(AND(EN69=$BH$12,K69=$BH$14),EM$4,IF(AND(EN69=$BH$13,K69=$BH$14),$EM$4,IF(EN69=$BH$14,$EM$4,""))))))</f>
        <v/>
      </c>
      <c r="EN69" s="489" t="str">
        <f>BG$24</f>
        <v>No Floor</v>
      </c>
      <c r="EO69" s="426" t="str">
        <f>K69</f>
        <v xml:space="preserve"> </v>
      </c>
      <c r="EP69" s="497" t="str">
        <f ca="1">IF(AND(Z69&lt;&gt;"t",Z69&lt;&gt;"f"),"",IF(AND(EN69=$BH$14,K69&lt;&gt;EN69),EP$4,IF(AND(EN69=$BH$13,K69=$BH$12),EP$4,IF(AND(EN69=$BH$13,K69=$BH$11),EP$4,IF(AND(EN69=$BH$12,K69=$BH$11),$EP$4,IF(EN69=$BH$11,"Earth",""))))))</f>
        <v/>
      </c>
      <c r="EQ69" s="430" t="str">
        <f ca="1">IF(Z69&lt;&gt;"t","",IF(EQ$5=2,IF(K69&lt;&gt;BH$11,EQ$7," ")))</f>
        <v/>
      </c>
      <c r="ER69" s="439" t="str">
        <f ca="1">IF(H69=0," ",H69)</f>
        <v xml:space="preserve"> </v>
      </c>
      <c r="ES69" s="440" t="str">
        <f ca="1">IF(ER69&lt;&gt;" ",IF(ER69&lt;&gt;ER$7,"Changed",""),"")</f>
        <v/>
      </c>
      <c r="ET69" s="440">
        <f ca="1">IF(ER69&lt;&gt;" ",IF(ER69&lt;&gt;ER$7,1,0),0)</f>
        <v>0</v>
      </c>
      <c r="EU69" s="426" t="str">
        <f ca="1">IF(I69=" "," ",IF(F69&lt;OFFSET($BM$9,CL69-1,0,1,1),1,""))</f>
        <v xml:space="preserve"> </v>
      </c>
      <c r="EW69" s="427"/>
      <c r="EY69" s="421"/>
    </row>
    <row r="70" spans="1:155" ht="17.100000000000001" hidden="1" customHeight="1">
      <c r="A70" s="2685"/>
      <c r="B70" s="689" t="s">
        <v>246</v>
      </c>
      <c r="C70" s="684" t="str">
        <f>IF(OR(F70=0,I70="",I70=" ")," ",$V70)</f>
        <v xml:space="preserve"> </v>
      </c>
      <c r="D70" s="1033"/>
      <c r="E70" s="1360"/>
      <c r="F70" s="202"/>
      <c r="G70" s="1416"/>
      <c r="H70" s="1417" t="str">
        <f ca="1">IF(OR(F70=0,Z70="E",Z70="f")," ",'Project Demand'!E$55)</f>
        <v xml:space="preserve"> </v>
      </c>
      <c r="I70" s="631" t="str">
        <f>IF($I$6&lt;&gt;$BG$8," ",AB70)</f>
        <v xml:space="preserve"> </v>
      </c>
      <c r="J70" s="44" t="str">
        <f ca="1">IF(OR(I70=" ",I70="")," ",OFFSET($BO$9,CL70-1,0-4,1,1))</f>
        <v xml:space="preserve"> </v>
      </c>
      <c r="K70" s="55" t="str">
        <f>IF(OR(I70=" ",I70="")," ",IF(OR(Z70="e",Z70="h"),"SD",IF(BG$24=BH$11,BH$13,BG$24)))</f>
        <v xml:space="preserve"> </v>
      </c>
      <c r="L70" s="49">
        <f ca="1">CW70</f>
        <v>0</v>
      </c>
      <c r="M70" s="49">
        <f ca="1">CY70</f>
        <v>0</v>
      </c>
      <c r="N70" s="50">
        <f t="shared" ca="1" si="39"/>
        <v>0</v>
      </c>
      <c r="O70" s="126">
        <f t="shared" ca="1" si="39"/>
        <v>0</v>
      </c>
      <c r="P70" s="140"/>
      <c r="Q70" s="752" t="str">
        <f ca="1">IF(AND(OR(Z70="t",Z70="f"),K70=$BH$11),"No Floor!  Change Floor Type",IF(OR(I70=" ",I70="")," ",IF(F70&lt;OFFSET($BM$9,CL70-1,0,1,1),"check L(m)",DE70&amp;IF(AND(DP70&gt;=CY70,DR70&gt;=DB70),IF(AND(ED70&gt;=DP70,EF70&gt;=DR70),CONCATENATE(DS70," will provide same result"),CONCATENATE(CO70," will provide same result")),IF((DP70&gt;=CY70),CONCATENATE(CO70," provides same result in WIND"),IF((DR70&gt;=DB70),CONCATENATE(CO70," provides same result in EQ"),""))))))&amp;IF(ISERROR(FIND("pile",I70,1)),"",IF(INT(F70)&lt;&gt;F70,"Pile!  Use Whole Numbers Only",""))</f>
        <v xml:space="preserve"> </v>
      </c>
      <c r="R70" s="52"/>
      <c r="S70" s="1372"/>
      <c r="T70" s="1372"/>
      <c r="U70" s="1377"/>
      <c r="V70" s="52" t="str">
        <f ca="1">IF(AND(B$5=$BF$9,OR(I70=BH$16,I70=BH$17))," ",IF(ISNUMBER(B$68),(CONCATENATE(B$68,".",W70)),(CONCATENATE(B$68,W70))))</f>
        <v>K0</v>
      </c>
      <c r="W70" s="9">
        <f ca="1">W69+X70</f>
        <v>0</v>
      </c>
      <c r="X70" s="9">
        <f>IF(AND(B$5=$BF$9,OR($I70=$BH$16,$I70=$BH$17,$I70=" ",$I70="",$F70=0)),0,IF(OR($I70=" ",$I70="",$F70=0),0,1))</f>
        <v>0</v>
      </c>
      <c r="Y70" s="896"/>
      <c r="Z70" s="52" t="str">
        <f ca="1">IF(I70=" "," ",OFFSET($BM$9,$CL70-1,8,1,1))</f>
        <v xml:space="preserve"> </v>
      </c>
      <c r="AA70" s="51" t="str">
        <f>IF(G70&gt;=45,"WA","")</f>
        <v/>
      </c>
      <c r="AB70" s="1364" t="str">
        <f>IF(OR(E70=" ",E70="")," ",(IF(F70&lt;&gt;"",IF(OR(D70=$BG$12,D70=$BG$13),IF(E70&lt;&gt;$BG$17,$BF$20,$BF$21),IF(E70&lt;&gt;$BG$17,$BF$20,$BF$21))," ")))</f>
        <v xml:space="preserve"> </v>
      </c>
      <c r="AC70" s="1"/>
      <c r="AO70" s="51"/>
      <c r="AP70" s="51"/>
      <c r="AQ70" s="51"/>
      <c r="AR70" s="51"/>
      <c r="AS70" s="51"/>
      <c r="AT70" s="51"/>
      <c r="AU70" s="51"/>
      <c r="AV70" s="51"/>
      <c r="AW70" s="51"/>
      <c r="AX70" s="51"/>
      <c r="AY70" s="51"/>
      <c r="AZ70" s="51"/>
      <c r="BA70" s="51"/>
      <c r="BB70" s="51"/>
      <c r="BC70" s="51"/>
      <c r="BD70" s="641"/>
      <c r="BE70" s="2880" t="s">
        <v>942</v>
      </c>
      <c r="BF70" s="2881"/>
      <c r="BG70" s="2881"/>
      <c r="BH70" s="2882"/>
      <c r="BI70" s="759"/>
      <c r="BJ70" s="897">
        <f t="shared" si="33"/>
        <v>62</v>
      </c>
      <c r="BK70" s="764"/>
      <c r="BL70" s="766"/>
      <c r="BM70" s="455">
        <f>Table!P12</f>
        <v>0.8</v>
      </c>
      <c r="BN70" s="455">
        <f>BM71</f>
        <v>1</v>
      </c>
      <c r="BO70" s="455">
        <f>Table!Q12</f>
        <v>135</v>
      </c>
      <c r="BP70" s="925">
        <f>Table!R12</f>
        <v>125</v>
      </c>
      <c r="BR70" s="764"/>
      <c r="BS70" s="455"/>
      <c r="BT70" s="455"/>
      <c r="BU70" s="925" t="s">
        <v>242</v>
      </c>
      <c r="BV70" s="895"/>
      <c r="BW70" s="912"/>
      <c r="BX70" s="925" t="str">
        <f>Table!T11</f>
        <v>Double</v>
      </c>
      <c r="CH70" s="764">
        <f>IF(BN70=999,0,(BO71-BO70)/(BN70-BM70))</f>
        <v>25.000000000000007</v>
      </c>
      <c r="CI70" s="925">
        <f>IF(BN70=999,0,(BP71-BP70)/(BN70-BM70))</f>
        <v>25.000000000000007</v>
      </c>
      <c r="CJ70" s="759"/>
      <c r="CK70" s="188"/>
      <c r="CL70" s="979">
        <f>VLOOKUP(I70,Prodlink,2,0)</f>
        <v>0</v>
      </c>
      <c r="CN70" s="497">
        <f ca="1">VLOOKUP(CO70,Prodlink,2,0)</f>
        <v>0</v>
      </c>
      <c r="CO70" s="497">
        <f ca="1">OFFSET($CH$9,CL70-1,-15,1,1)</f>
        <v>0</v>
      </c>
      <c r="CQ70" s="51">
        <v>0</v>
      </c>
      <c r="CR70" s="51">
        <f ca="1">IF(AND(Z70&lt;&gt;"t",Z70&lt;&gt;"f"),10000,IF(K70=$BH$11,0,IF(K70=$BH$12,$BH$23,IF(K70=$BH$13,$BH$24,10000))))</f>
        <v>10000</v>
      </c>
      <c r="CS70" s="51">
        <f ca="1">IF(F70&lt;OFFSET($BM$9,CL70-1,0,1,1),0,IF(F70&lt;OFFSET($BN$9,CL70-1,0,1,1),((F70-OFFSET($BM$9,CL70-1,0,1,1))*OFFSET($CH$9,CL70-1,0,1,1))+OFFSET($BO$9,CL70-1,CQ70,1,1),IF(F70&lt;OFFSET($BN$9,CL70+0,0,1,1),((F70-OFFSET($BM$9,CL70+0,0,1,1))*OFFSET($CH$9,CL70+0,0,1,1))+OFFSET($BO$9,CL70+0,CQ70,1,1),IF(F70&lt;OFFSET($BN$9,CL70+1,0,1,1),((F70-OFFSET($BM$9,CL70+1,0,1,1))*OFFSET($CH$9,CL70+1,0,1,1))+OFFSET($BO$9,CL70+1,CQ70,1,1),IF(F70&lt;OFFSET($BN$9,CL70+2,0,1,1),((F70-OFFSET($BM$9,CL70+2,0,1,1))*OFFSET($CH$9,CL70+2,0,1,1))+OFFSET($BO$9,CL70+2,CQ70,1,1),IF(F70&lt;OFFSET($BN$9,CL70+3,0,1,1),((F70-OFFSET($BM$9,CL70+3,0,1,1))*OFFSET($CH$9,CL70+3,0,1,1))+OFFSET($BO$9,CL70+3,CQ70,1,1),0))))))</f>
        <v>0</v>
      </c>
      <c r="CT70" s="51">
        <f ca="1">IF($F70&lt;OFFSET($BM$9,$CL70-1,0,1,1),0,IF($F70&lt;OFFSET($BN$9,$CL70-1,0,1,1),IF(AND($H70&gt;2.4,Z70&lt;&gt;"e",Z70&lt;&gt;"f"),CX70*2.4/$H70,CX70),IF($F70&lt;OFFSET($BN$9,$CL70+0,0,1,1),IF(AND($H70&gt;2.4,Z70&lt;&gt;"e",Z70&lt;&gt;"f"),CX70*2.4/$H70,CX70),IF($F70&lt;OFFSET($BN$9,$CL70+1,0,1,1),IF(AND($H70&gt;2.4,Z70&lt;&gt;"e",Z70&lt;&gt;"f"),CX70*2.4/$H70,CX70),IF($F70&lt;OFFSET($BN$9,CL70+2,0,1,1),IF(AND($H70&gt;2.4,Z70&lt;&gt;"e",Z70&lt;&gt;"f"),CX70*2.4/$H70,CX70),IF($F70&lt;OFFSET($BN$9,CL70+3,0,1,1),IF(AND($H70&gt;2.4,Z70&lt;&gt;"e",Z70&lt;&gt;"f"),CX70*2.4/$H70,CX70),0)))))*COS(RADIANS($G70)))</f>
        <v>0</v>
      </c>
      <c r="CU70" s="51">
        <f ca="1">IF(F70&lt;OFFSET($BM$9,CL70-1,0,1,1),0,IF(F70&lt;OFFSET($BN$9,CL70-1,0,1,1),((F70-OFFSET($BM$9,CL70-1,0,1,1))*OFFSET($CI$9,CL70-1,0,1,1))+OFFSET($BP$9,CL70-1,CQ70,1,1),IF(F70&lt;OFFSET($BN$9,CL70+0,0,1,1),((F70-OFFSET($BM$9,CL70+0,0,1,1))*OFFSET($CI$9,CL70+0,0,1,1))+OFFSET($BP$9,CL70+0,CQ70,1,1),IF(F70&lt;OFFSET($BN$9,CL70+1,0,1,1),((F70-OFFSET($BM$9,CL70+1,0,1,1))*OFFSET($CI$9,CL70+1,0,1,1))+OFFSET($BP$9,CL70+1,CQ70,1,1),IF(F70&lt;OFFSET($BN$9,CL70+2,0,1,1),((F70-OFFSET($BM$9,CL70+2,0,1,1))*OFFSET($CI$9,CL70+2,0,1,1))+OFFSET($BP$9,CL70+2,CQ70,1,1),IF(F70&lt;OFFSET($BN$9,CL70+3,0,1,1),((F70-OFFSET($BM$9,CL70+3,0,1,1))*OFFSET($CI$9,CL70+3,0,1,1))+OFFSET($BP$9,CL70+3,CQ70,1,1),0))))))</f>
        <v>0</v>
      </c>
      <c r="CV70" s="51">
        <f ca="1">IF($F70&lt;OFFSET($BM$9,$CL70-1,0,1,1),0,IF($F70&lt;OFFSET($BN$9,$CL70-1,0,1,1),IF(AND($H70&gt;2.4,Z70&lt;&gt;"e",Z70&lt;&gt;"f"),CZ70*2.4/$H70,CZ70),IF($F70&lt;OFFSET($BN$9,$CL70+0,0,1,1),IF(AND($H70&gt;2.4,Z70&lt;&gt;"e",Z70&lt;&gt;"f"),CZ70*2.4/$H70,CZ70),IF($F70&lt;OFFSET($BN$9,$CL70+1,0,1,1),IF(AND($H70&gt;2.4,Z70&lt;&gt;"e",Z70&lt;&gt;"f"),CZ70*2.4/$H70,CZ70),IF($F70&lt;OFFSET($BN$9,$CL70+2,0,1,1),IF(AND($H70&gt;2.4,Z70&lt;&gt;"e",Z70&lt;&gt;"f"),CZ70*2.4/$H70,CZ70),IF($F70&lt;OFFSET($BN$9,$CL70+3,0,1,1),IF(AND($H70&gt;2.4,Z70&lt;&gt;"e",Z70&lt;&gt;"f"),CZ70*2.4/$H70,CZ70),0)))))*COS(RADIANS($G70)))</f>
        <v>0</v>
      </c>
      <c r="CW70" s="51">
        <f ca="1">IF(CT70&gt;CR70,CR70,CT70)</f>
        <v>0</v>
      </c>
      <c r="CX70" s="51">
        <f ca="1">IF(CS70&gt;$CR70,$CR70,CS70)</f>
        <v>0</v>
      </c>
      <c r="CY70" s="51">
        <f ca="1">CW70*F70</f>
        <v>0</v>
      </c>
      <c r="CZ70" s="51">
        <f ca="1">IF($CU70&gt;$CR70,$CR70,$CU70)</f>
        <v>0</v>
      </c>
      <c r="DA70" s="51">
        <f ca="1">IF(CV70&gt;CR70,CR70,CV70)</f>
        <v>0</v>
      </c>
      <c r="DB70" s="51">
        <f ca="1">DA70*F70</f>
        <v>0</v>
      </c>
      <c r="DC70" s="993">
        <v>1</v>
      </c>
      <c r="DD70" s="758" t="str">
        <f>IF(OR(D70=BG$12,D70=BG$13),"External",IF(D70=BG$14,"Internal"," "))</f>
        <v xml:space="preserve"> </v>
      </c>
      <c r="DE70" s="51" t="str">
        <f t="shared" ca="1" si="18"/>
        <v/>
      </c>
      <c r="DF70" s="52" t="str">
        <f t="shared" ca="1" si="19"/>
        <v xml:space="preserve"> </v>
      </c>
      <c r="DG70" s="51">
        <f ca="1">IF(F70&lt;OFFSET($BM$9,CN70-1,0,1,1),0,IF(F70&lt;OFFSET($BN$9,CN70-1,0,1,1),((F70-OFFSET($BM$9,CN70-1,0,1,1))*OFFSET($CH$9,CN70-1,0,1,1))+OFFSET($BO$9,CN70-1,CQ70,1,1),IF(F70&lt;OFFSET($BN$9,CN70+0,0,1,1),((F70-OFFSET($BM$9,CN70+0,0,1,1))*OFFSET($CH$9,CN70+0,0,1,1))+OFFSET($BO$9,CN70+0,CQ70,1,1),IF(F70&lt;OFFSET($BN$9,CN70+1,0,1,1),((F70-OFFSET($BM$9,CN70+1,0,1,1))*OFFSET($CH$9,CN70+1,0,1,1))+OFFSET($BO$9,CN70+1,CQ70,1,1),IF(F70&lt;OFFSET($BN$9,CN70+2,0,1,1),((F70-OFFSET($BM$9,CN70+2,0,1,1))*OFFSET($CH$9,CN70+2,0,1,1))+OFFSET($BO$9,CN70+2,CQ70,1,1),IF(F70&lt;OFFSET($BN$9,CN70+3,0,1,1),((F70-OFFSET($BM$9,CN70+3,0,1,1))*OFFSET($CH$9,CN70+3,0,1,1))+OFFSET($BO$9,CN70+3,CQ70,1,1),0))))))</f>
        <v>0</v>
      </c>
      <c r="DH70" s="51">
        <f ca="1">IF($F70&lt;OFFSET($BM$9,$CN70-1,0,1,1),0,IF($F70&lt;OFFSET($BN$9,$CN70-1,0,1,1),IF(AND($H70&gt;2.4,Z70&lt;&gt;"e",Z70&lt;&gt;"f"),DL70*2.4/$H70,DL70),IF($F70&lt;OFFSET($BN$9,$CN70+0,0,1,1),IF(AND($H70&gt;2.4,Z70&lt;&gt;"e",Z70&lt;&gt;"f"),DL70*2.4/$H70,DL70),IF($F70&lt;OFFSET($BN$9,$CN70+1,0,1,1),IF(AND($H70&gt;2.4,Z70&lt;&gt;"e",Z70&lt;&gt;"f"),DL70*2.4/$H70,DL70),IF($F70&lt;OFFSET($BN$9,$CN70+2,0,1,1),IF(AND($H70&gt;2.4,Z70&lt;&gt;"e",Z70&lt;&gt;"f"),DL70*2.4/$H70,DL70),IF($F70&lt;OFFSET($BN$9,$CN70+3,0,1,1),IF(AND($H70&gt;2.4,Z70&lt;&gt;"e",Z70&lt;&gt;"f"),DL70*2.4/$H70,DL70),0)))))*COS(RADIANS($G70)))</f>
        <v>0</v>
      </c>
      <c r="DI70" s="51">
        <f ca="1">IF(F70&lt;OFFSET($BM$9,CN70-1,0,1,1),0,IF(F70&lt;OFFSET($BN$9,CN70-1,0,1,1),((F70-OFFSET($BM$9,CN70-1,0,1,1))*OFFSET($CI$9,CN70-1,0,1,1))+OFFSET($BP$9,CN70-1,CQ70,1,1),IF(F70&lt;OFFSET($BN$9,CN70+0,0,1,1),((F70-OFFSET($BM$9,CN70+0,0,1,1))*OFFSET($CI$9,CN70+0,0,1,1))+OFFSET($BP$9,CN70+0,CQ70,1,1),IF(F70&lt;OFFSET($BN$9,CN70+1,0,1,1),((F70-OFFSET($BM$9,CN70+1,0,1,1))*OFFSET($CI$9,CN70+1,0,1,1))+OFFSET($BP$9,CN70+1,CQ70,1,1),IF(F70&lt;OFFSET($BN$9,CN70+2,0,1,1),((F70-OFFSET($BM$9,CN70+2,0,1,1))*OFFSET($CI$9,CN70+2,0,1,1))+OFFSET($BP$9,CN70+2,CQ70,1,1),IF(F70&lt;OFFSET($BN$9,CN70+3,0,1,1),((F70-OFFSET($BM$9,CN70+3,0,1,1))*OFFSET($CI$9,CN70+3,0,1,1))+OFFSET($BP$9,CN70+3,CQ70,1,1),0))))))</f>
        <v>0</v>
      </c>
      <c r="DJ70" s="51">
        <f ca="1">IF($F70&lt;OFFSET($BM$9,$CN70-1,0,1,1),0,IF($F70&lt;OFFSET($BN$9,$CN70-1,0,1,1),IF(AND($H70&gt;2.4,Z70&lt;&gt;"e",Z70&lt;&gt;"f"),DN70*2.4/$H70,DN70),IF($F70&lt;OFFSET($BN$9,$CN70+0,0,1,1),IF(AND($H70&gt;2.4,Z70&lt;&gt;"e",Z70&lt;&gt;"f"),DN70*2.4/$H70,DN70),IF($F70&lt;OFFSET($BN$9,$CN70+1,0,1,1),IF(AND($H70&gt;2.4,Z70&lt;&gt;"e",Z70&lt;&gt;"f"),DN70*2.4/$H70,DN70),IF($F70&lt;OFFSET($BN$9,$CN70+2,0,1,1),IF(AND($H70&gt;2.4,Z70&lt;&gt;"e",Z70&lt;&gt;"f"),DN70*2.4/$H70,DN70),IF($F70&lt;OFFSET($BN$9,$CN70+3,0,1,1),IF(AND($H70&gt;2.4,Z70&lt;&gt;"e",Z70&lt;&gt;"f"),DN70*2.4/$H70,DN70),0)))))*COS(RADIANS($G70)))</f>
        <v>0</v>
      </c>
      <c r="DK70" s="51"/>
      <c r="DL70" s="51">
        <f ca="1">IF(DG70&gt;$CR70,$CR70,DG70)</f>
        <v>0</v>
      </c>
      <c r="DM70" s="51"/>
      <c r="DN70" s="51">
        <f ca="1">IF(DI70&gt;$CR70,$CR70,DI70)</f>
        <v>0</v>
      </c>
      <c r="DO70" s="435">
        <f ca="1">IF(DH70&gt;$CR70,$CR70,DH70)</f>
        <v>0</v>
      </c>
      <c r="DP70" s="435">
        <f ca="1">DO70*F70</f>
        <v>0</v>
      </c>
      <c r="DQ70" s="436">
        <f ca="1">IF(DJ70&gt;$CR70,$CR70,DJ70)</f>
        <v>0</v>
      </c>
      <c r="DR70" s="437">
        <f ca="1">DQ70*F70</f>
        <v>0</v>
      </c>
      <c r="DS70" s="426">
        <f ca="1">OFFSET($CH$9,CL70-1,-15,1,1)</f>
        <v>0</v>
      </c>
      <c r="DT70" s="426">
        <f ca="1">VLOOKUP(DS70,Prodlink,2,0)</f>
        <v>0</v>
      </c>
      <c r="DU70" s="188">
        <f ca="1">IF(F70&lt;OFFSET($BM$9,DT70-1,0,1,1),0,IF(F70&lt;OFFSET($BN$9,DT70-1,0,1,1),((F70-OFFSET($BM$9,DT70-1,0,1,1))*OFFSET($CH$9,DT70-1,0,1,1))+OFFSET($BO$9,DT70-1,CQ70,1,1),IF(F70&lt;OFFSET($BN$9,DT70+0,0,1,1),((F70-OFFSET($BM$9,DT70+0,0,1,1))*OFFSET($CH$9,DT70+0,0,1,1))+OFFSET($BO$9,DT70+0,CQ70,1,1),IF(F70&lt;OFFSET($BN$9,DT70+1,0,1,1),((F70-OFFSET($BM$9,DT70+1,0,1,1))*OFFSET($CH$9,DT70+1,0,1,1))+OFFSET($BO$9,DT70+1,CQ70,1,1),IF(F70&lt;OFFSET($BN$9,DT70+2,0,1,1),((F70-OFFSET($BM$9,DT70+2,0,1,1))*OFFSET($CH$9,DT70+2,0,1,1))+OFFSET($BO$9,DT70+2,CQ70,1,1),IF(F70&lt;OFFSET($BN$9,DT70+3,0,1,1),((F70-OFFSET($BM$9,DT70+3,0,1,1))*OFFSET($CH$9,DT70+3,0,1,1))+OFFSET($BO$9,DT70+3,CQ70,1,1),0))))))</f>
        <v>0</v>
      </c>
      <c r="DV70" s="51">
        <f ca="1">IF($F70&lt;OFFSET($BM$9,$DT70-1,0,1,1),0,IF($F70&lt;OFFSET($BN$9,$DT70-1,0,1,1),IF(AND($H70&gt;2.4,Z70&lt;&gt;"e",Z70&lt;&gt;"f"),DZ70*2.4/$H70,DZ70),IF($F70&lt;OFFSET($BN$9,$DT70+0,0,1,1),IF(AND($H70&gt;2.4,Z70&lt;&gt;"e",Z70&lt;&gt;"f"),DZ70*2.4/$H70,DZ70),IF($F70&lt;OFFSET($BN$9,$DT70+1,0,1,1),IF(AND($H70&gt;2.4,Z70&lt;&gt;"e",Z70&lt;&gt;"f"),DZ70*2.4/$H70,DZ70),IF($F70&lt;OFFSET($BN$9,$DT70+2,0,1,1),IF(AND($H70&gt;2.4,Z70&lt;&gt;"e",Z70&lt;&gt;"f"),DZ70*2.4/$H70,DZ70),IF($F70&lt;OFFSET($BN$9,$DT70+3,0,1,1),IF(AND($H70&gt;2.4,Z70&lt;&gt;"e",Z70&lt;&gt;"f"),DZ70*2.4/$H70,DZ70),0)))))*COS(RADIANS($G70)))</f>
        <v>0</v>
      </c>
      <c r="DW70" s="188">
        <f ca="1">IF(F70&lt;OFFSET($BM$9,DT70-1,0,1,1),0,IF(F70&lt;OFFSET($BN$9,DT70-1,0,1,1),((F70-OFFSET($BM$9,DT70-1,0,1,1))*OFFSET($CI$9,DT70-1,0,1,1))+OFFSET($BP$9,DT70-1,CQ70,1,1),IF(F70&lt;OFFSET($BN$9,DT70+0,0,1,1),((F70-OFFSET($BM$9,DT70+0,0,1,1))*OFFSET($CI$9,DT70+0,0,1,1))+OFFSET($BP$9,DT70+0,CQ70,1,1),IF(F70&lt;OFFSET($BN$9,DT70+1,0,1,1),((F70-OFFSET($BM$9,DT70+1,0,1,1))*OFFSET($CI$9,DT70+1,0,1,1))+OFFSET($BP$9,DT70+1,CQ70,1,1),IF(F70&lt;OFFSET($BN$9,DT70+2,0,1,1),((F70-OFFSET($BM$9,DT70+2,0,1,1))*OFFSET($CI$9,DT70+2,0,1,1))+OFFSET($BP$9,DT70+2,CQ70,1,1),IF(F70&lt;OFFSET($BN$9,DT70+3,0,1,1),((F70-OFFSET($BM$9,DT70+3,0,1,1))*OFFSET($CI$9,DT70+3,0,1,1))+OFFSET($BP$9,DT70+3,CQ70,1,1),0))))))</f>
        <v>0</v>
      </c>
      <c r="DX70" s="51">
        <f ca="1">IF($F70&lt;OFFSET($BM$9,$DT70-1,0,1,1),0,IF($F70&lt;OFFSET($BN$9,$DT70-1,0,1,1),IF(AND($H70&gt;2.4,Z70&lt;&gt;"e",Z70&lt;&gt;"f"),EB70*2.4/$H70,EB70),IF($F70&lt;OFFSET($BN$9,$DT70+0,0,1,1),IF(AND($H70&gt;2.4,Z70&lt;&gt;"e",Z70&lt;&gt;"f"),EB70*2.4/$H70,EB70),IF($F70&lt;OFFSET($BN$9,$DT70+1,0,1,1),IF(AND($H70&gt;2.4,Z70&lt;&gt;"e",Z70&lt;&gt;"f"),EB70*2.4/$H70,EB70),IF($F70&lt;OFFSET($BN$9,$DT70+2,0,1,1),IF(AND($H70&gt;2.4,Z70&lt;&gt;"e",Z70&lt;&gt;"f"),EB70*2.4/$H70,EB70),IF($F70&lt;OFFSET($BN$9,$DT70+3,0,1,1),IF(AND($H70&gt;2.4,Z70&lt;&gt;"e",Z70&lt;&gt;"f"),EB70*2.4/$H70,EB70),0)))))*COS(RADIANS($G70)))</f>
        <v>0</v>
      </c>
      <c r="DY70" s="188"/>
      <c r="DZ70" s="188">
        <f ca="1">IF(DU70&gt;$CR70,$CR70,DU70)</f>
        <v>0</v>
      </c>
      <c r="EA70" s="188"/>
      <c r="EB70" s="188">
        <f ca="1">IF(DW70&gt;$CR70,$CR70,DW70)</f>
        <v>0</v>
      </c>
      <c r="EC70" s="435">
        <f ca="1">IF(DV70&gt;$CR70,$CR70,DV70)</f>
        <v>0</v>
      </c>
      <c r="ED70" s="435">
        <f ca="1">EC70*F70</f>
        <v>0</v>
      </c>
      <c r="EE70" s="436">
        <f ca="1">IF(DX70&gt;$CR70,$CR70,DX70)</f>
        <v>0</v>
      </c>
      <c r="EF70" s="437">
        <f ca="1">EE70*F70</f>
        <v>0</v>
      </c>
      <c r="EG70" s="613" t="str">
        <f>IF(D70=BG$12,BG$12,"")</f>
        <v/>
      </c>
      <c r="EH70" s="614" t="str">
        <f>IF(D70=BG$13,BG$13,"")</f>
        <v/>
      </c>
      <c r="EI70" s="611">
        <f>IF(EG70=BG$12,M70,0)</f>
        <v>0</v>
      </c>
      <c r="EJ70" s="451">
        <f>IF(EG70=BG$12,O70,0)</f>
        <v>0</v>
      </c>
      <c r="EK70" s="451">
        <f>IF(EH70=BG$13,M70,0)</f>
        <v>0</v>
      </c>
      <c r="EL70" s="612">
        <f>IF(EH70=BG$13,O70,0)</f>
        <v>0</v>
      </c>
      <c r="EM70" s="426" t="str">
        <f ca="1">IF(AND(Z70&lt;&gt;"t",Z70&lt;&gt;"f"),"",IF(AND(EN70=$BH$11,K70&lt;&gt;EN70),EM$4,IF(AND(EN70=$BH$12,K70=$BH$13),EM$4,IF(AND(EN70=$BH$12,K70=$BH$14),EM$4,IF(AND(EN70=$BH$13,K70=$BH$14),$EM$4,IF(EN70=$BH$14,$EM$4,""))))))</f>
        <v/>
      </c>
      <c r="EN70" s="489" t="str">
        <f>BG$24</f>
        <v>No Floor</v>
      </c>
      <c r="EO70" s="426" t="str">
        <f>K70</f>
        <v xml:space="preserve"> </v>
      </c>
      <c r="EP70" s="497" t="str">
        <f ca="1">IF(AND(Z70&lt;&gt;"t",Z70&lt;&gt;"f"),"",IF(AND(EN70=$BH$14,K70&lt;&gt;EN70),EP$4,IF(AND(EN70=$BH$13,K70=$BH$12),EP$4,IF(AND(EN70=$BH$13,K70=$BH$11),EP$4,IF(AND(EN70=$BH$12,K70=$BH$11),$EP$4,IF(EN70=$BH$11,"Earth",""))))))</f>
        <v/>
      </c>
      <c r="EQ70" s="430" t="str">
        <f ca="1">IF(Z70&lt;&gt;"t","",IF(EQ$5=2,IF(K70&lt;&gt;BH$11,EQ$7," ")))</f>
        <v/>
      </c>
      <c r="ER70" s="439" t="str">
        <f ca="1">IF(H70=0," ",H70)</f>
        <v xml:space="preserve"> </v>
      </c>
      <c r="ES70" s="440" t="str">
        <f ca="1">IF(ER70&lt;&gt;" ",IF(ER70&lt;&gt;ER$7,"Changed",""),"")</f>
        <v/>
      </c>
      <c r="ET70" s="440">
        <f ca="1">IF(ER70&lt;&gt;" ",IF(ER70&lt;&gt;ER$7,1,0),0)</f>
        <v>0</v>
      </c>
      <c r="EU70" s="426" t="str">
        <f ca="1">IF(I70=" "," ",IF(F70&lt;OFFSET($BM$9,CL70-1,0,1,1),1,""))</f>
        <v xml:space="preserve"> </v>
      </c>
      <c r="EW70" s="427"/>
      <c r="EY70" s="421"/>
    </row>
    <row r="71" spans="1:155" ht="17.100000000000001" hidden="1" customHeight="1">
      <c r="A71" s="2685"/>
      <c r="B71" s="689" t="s">
        <v>246</v>
      </c>
      <c r="C71" s="684" t="str">
        <f>IF(OR(F71=0,I71="",I71=" ")," ",$V71)</f>
        <v xml:space="preserve"> </v>
      </c>
      <c r="D71" s="1033"/>
      <c r="E71" s="1360"/>
      <c r="F71" s="202"/>
      <c r="G71" s="1416"/>
      <c r="H71" s="1417" t="str">
        <f ca="1">IF(OR(F71=0,Z71="E",Z71="f")," ",'Project Demand'!E$55)</f>
        <v xml:space="preserve"> </v>
      </c>
      <c r="I71" s="631" t="str">
        <f>IF($I$6&lt;&gt;$BG$8," ",AB71)</f>
        <v xml:space="preserve"> </v>
      </c>
      <c r="J71" s="44" t="str">
        <f ca="1">IF(OR(I71=" ",I71="")," ",OFFSET($BO$9,CL71-1,0-4,1,1))</f>
        <v xml:space="preserve"> </v>
      </c>
      <c r="K71" s="55" t="str">
        <f>IF(OR(I71=" ",I71="")," ",IF(OR(Z71="e",Z71="h"),"SD",IF(BG$24=BH$11,BH$13,BG$24)))</f>
        <v xml:space="preserve"> </v>
      </c>
      <c r="L71" s="49">
        <f ca="1">CW71</f>
        <v>0</v>
      </c>
      <c r="M71" s="49">
        <f ca="1">CY71</f>
        <v>0</v>
      </c>
      <c r="N71" s="50">
        <f t="shared" ca="1" si="39"/>
        <v>0</v>
      </c>
      <c r="O71" s="126">
        <f t="shared" ca="1" si="39"/>
        <v>0</v>
      </c>
      <c r="P71" s="140"/>
      <c r="Q71" s="752" t="str">
        <f ca="1">IF(AND(OR(Z71="t",Z71="f"),K71=$BH$11),"No Floor!  Change Floor Type",IF(OR(I71=" ",I71="")," ",IF(F71&lt;OFFSET($BM$9,CL71-1,0,1,1),"check L(m)",DE71&amp;IF(AND(DP71&gt;=CY71,DR71&gt;=DB71),IF(AND(ED71&gt;=DP71,EF71&gt;=DR71),CONCATENATE(DS71," will provide same result"),CONCATENATE(CO71," will provide same result")),IF((DP71&gt;=CY71),CONCATENATE(CO71," provides same result in WIND"),IF((DR71&gt;=DB71),CONCATENATE(CO71," provides same result in EQ"),""))))))&amp;IF(ISERROR(FIND("pile",I71,1)),"",IF(INT(F71)&lt;&gt;F71,"Pile!  Use Whole Numbers Only",""))</f>
        <v xml:space="preserve"> </v>
      </c>
      <c r="R71" s="52"/>
      <c r="S71" s="1372"/>
      <c r="T71" s="1372"/>
      <c r="U71" s="1377"/>
      <c r="V71" s="52" t="str">
        <f ca="1">IF(AND(B$5=$BF$9,OR(I71=BH$16,I71=BH$17))," ",IF(ISNUMBER(B$68),(CONCATENATE(B$68,".",W71)),(CONCATENATE(B$68,W71))))</f>
        <v>K0</v>
      </c>
      <c r="W71" s="9">
        <f ca="1">W70+X71</f>
        <v>0</v>
      </c>
      <c r="X71" s="9">
        <f>IF(AND(B$5=$BF$9,OR($I71=$BH$16,$I71=$BH$17,$I71=" ",$I71="",$F71=0)),0,IF(OR($I71=" ",$I71="",$F71=0),0,1))</f>
        <v>0</v>
      </c>
      <c r="Y71" s="896"/>
      <c r="Z71" s="52" t="str">
        <f ca="1">IF(I71=" "," ",OFFSET($BM$9,$CL71-1,8,1,1))</f>
        <v xml:space="preserve"> </v>
      </c>
      <c r="AA71" s="51" t="str">
        <f>IF(G71&gt;=45,"WA","")</f>
        <v/>
      </c>
      <c r="AB71" s="1364" t="str">
        <f>IF(OR(E71=" ",E71="")," ",(IF(F71&lt;&gt;"",IF(OR(D71=$BG$12,D71=$BG$13),IF(E71&lt;&gt;$BG$17,$BF$20,$BF$21),IF(E71&lt;&gt;$BG$17,$BF$20,$BF$21))," ")))</f>
        <v xml:space="preserve"> </v>
      </c>
      <c r="AC71" s="1"/>
      <c r="AO71" s="51"/>
      <c r="AP71" s="51"/>
      <c r="AQ71" s="51"/>
      <c r="AR71" s="51"/>
      <c r="AS71" s="51"/>
      <c r="AT71" s="51"/>
      <c r="AU71" s="51"/>
      <c r="AV71" s="51"/>
      <c r="AW71" s="51"/>
      <c r="AX71" s="51"/>
      <c r="AY71" s="51"/>
      <c r="AZ71" s="51"/>
      <c r="BA71" s="51"/>
      <c r="BB71" s="51"/>
      <c r="BC71" s="51"/>
      <c r="BD71" s="652"/>
      <c r="BE71" s="2880" t="s">
        <v>943</v>
      </c>
      <c r="BF71" s="2881"/>
      <c r="BG71" s="2881"/>
      <c r="BH71" s="2882"/>
      <c r="BI71" s="759"/>
      <c r="BJ71" s="897">
        <f t="shared" si="33"/>
        <v>63</v>
      </c>
      <c r="BK71" s="764"/>
      <c r="BL71" s="766"/>
      <c r="BM71" s="455">
        <f>Table!P13</f>
        <v>1</v>
      </c>
      <c r="BN71" s="455">
        <f>BM72</f>
        <v>1.2</v>
      </c>
      <c r="BO71" s="455">
        <f>Table!Q13</f>
        <v>140</v>
      </c>
      <c r="BP71" s="925">
        <f>Table!R13</f>
        <v>130</v>
      </c>
      <c r="BR71" s="764"/>
      <c r="BS71" s="455"/>
      <c r="BT71" s="455"/>
      <c r="BU71" s="925" t="s">
        <v>242</v>
      </c>
      <c r="BV71" s="895"/>
      <c r="BW71" s="912"/>
      <c r="BX71" s="925" t="str">
        <f>Table!T11</f>
        <v>Double</v>
      </c>
      <c r="CH71" s="764">
        <f>IF(BN71=999,0,(BO72-BO71)/(BN71-BM71))</f>
        <v>50.000000000000014</v>
      </c>
      <c r="CI71" s="925">
        <f>IF(BN71=999,0,(BP72-BP71)/(BN71-BM71))</f>
        <v>25.000000000000007</v>
      </c>
      <c r="CJ71" s="759"/>
      <c r="CK71" s="188"/>
      <c r="CL71" s="979">
        <f>VLOOKUP(I71,Prodlink,2,0)</f>
        <v>0</v>
      </c>
      <c r="CN71" s="497">
        <f ca="1">VLOOKUP(CO71,Prodlink,2,0)</f>
        <v>0</v>
      </c>
      <c r="CO71" s="497">
        <f ca="1">OFFSET($CH$9,CL71-1,-15,1,1)</f>
        <v>0</v>
      </c>
      <c r="CQ71" s="51">
        <v>0</v>
      </c>
      <c r="CR71" s="51">
        <f ca="1">IF(AND(Z71&lt;&gt;"t",Z71&lt;&gt;"f"),10000,IF(K71=$BH$11,0,IF(K71=$BH$12,$BH$23,IF(K71=$BH$13,$BH$24,10000))))</f>
        <v>10000</v>
      </c>
      <c r="CS71" s="51">
        <f ca="1">IF(F71&lt;OFFSET($BM$9,CL71-1,0,1,1),0,IF(F71&lt;OFFSET($BN$9,CL71-1,0,1,1),((F71-OFFSET($BM$9,CL71-1,0,1,1))*OFFSET($CH$9,CL71-1,0,1,1))+OFFSET($BO$9,CL71-1,CQ71,1,1),IF(F71&lt;OFFSET($BN$9,CL71+0,0,1,1),((F71-OFFSET($BM$9,CL71+0,0,1,1))*OFFSET($CH$9,CL71+0,0,1,1))+OFFSET($BO$9,CL71+0,CQ71,1,1),IF(F71&lt;OFFSET($BN$9,CL71+1,0,1,1),((F71-OFFSET($BM$9,CL71+1,0,1,1))*OFFSET($CH$9,CL71+1,0,1,1))+OFFSET($BO$9,CL71+1,CQ71,1,1),IF(F71&lt;OFFSET($BN$9,CL71+2,0,1,1),((F71-OFFSET($BM$9,CL71+2,0,1,1))*OFFSET($CH$9,CL71+2,0,1,1))+OFFSET($BO$9,CL71+2,CQ71,1,1),IF(F71&lt;OFFSET($BN$9,CL71+3,0,1,1),((F71-OFFSET($BM$9,CL71+3,0,1,1))*OFFSET($CH$9,CL71+3,0,1,1))+OFFSET($BO$9,CL71+3,CQ71,1,1),0))))))</f>
        <v>0</v>
      </c>
      <c r="CT71" s="51">
        <f ca="1">IF($F71&lt;OFFSET($BM$9,$CL71-1,0,1,1),0,IF($F71&lt;OFFSET($BN$9,$CL71-1,0,1,1),IF(AND($H71&gt;2.4,Z71&lt;&gt;"e",Z71&lt;&gt;"f"),CX71*2.4/$H71,CX71),IF($F71&lt;OFFSET($BN$9,$CL71+0,0,1,1),IF(AND($H71&gt;2.4,Z71&lt;&gt;"e",Z71&lt;&gt;"f"),CX71*2.4/$H71,CX71),IF($F71&lt;OFFSET($BN$9,$CL71+1,0,1,1),IF(AND($H71&gt;2.4,Z71&lt;&gt;"e",Z71&lt;&gt;"f"),CX71*2.4/$H71,CX71),IF($F71&lt;OFFSET($BN$9,CL71+2,0,1,1),IF(AND($H71&gt;2.4,Z71&lt;&gt;"e",Z71&lt;&gt;"f"),CX71*2.4/$H71,CX71),IF($F71&lt;OFFSET($BN$9,CL71+3,0,1,1),IF(AND($H71&gt;2.4,Z71&lt;&gt;"e",Z71&lt;&gt;"f"),CX71*2.4/$H71,CX71),0)))))*COS(RADIANS($G71)))</f>
        <v>0</v>
      </c>
      <c r="CU71" s="51">
        <f ca="1">IF(F71&lt;OFFSET($BM$9,CL71-1,0,1,1),0,IF(F71&lt;OFFSET($BN$9,CL71-1,0,1,1),((F71-OFFSET($BM$9,CL71-1,0,1,1))*OFFSET($CI$9,CL71-1,0,1,1))+OFFSET($BP$9,CL71-1,CQ71,1,1),IF(F71&lt;OFFSET($BN$9,CL71+0,0,1,1),((F71-OFFSET($BM$9,CL71+0,0,1,1))*OFFSET($CI$9,CL71+0,0,1,1))+OFFSET($BP$9,CL71+0,CQ71,1,1),IF(F71&lt;OFFSET($BN$9,CL71+1,0,1,1),((F71-OFFSET($BM$9,CL71+1,0,1,1))*OFFSET($CI$9,CL71+1,0,1,1))+OFFSET($BP$9,CL71+1,CQ71,1,1),IF(F71&lt;OFFSET($BN$9,CL71+2,0,1,1),((F71-OFFSET($BM$9,CL71+2,0,1,1))*OFFSET($CI$9,CL71+2,0,1,1))+OFFSET($BP$9,CL71+2,CQ71,1,1),IF(F71&lt;OFFSET($BN$9,CL71+3,0,1,1),((F71-OFFSET($BM$9,CL71+3,0,1,1))*OFFSET($CI$9,CL71+3,0,1,1))+OFFSET($BP$9,CL71+3,CQ71,1,1),0))))))</f>
        <v>0</v>
      </c>
      <c r="CV71" s="51">
        <f ca="1">IF($F71&lt;OFFSET($BM$9,$CL71-1,0,1,1),0,IF($F71&lt;OFFSET($BN$9,$CL71-1,0,1,1),IF(AND($H71&gt;2.4,Z71&lt;&gt;"e",Z71&lt;&gt;"f"),CZ71*2.4/$H71,CZ71),IF($F71&lt;OFFSET($BN$9,$CL71+0,0,1,1),IF(AND($H71&gt;2.4,Z71&lt;&gt;"e",Z71&lt;&gt;"f"),CZ71*2.4/$H71,CZ71),IF($F71&lt;OFFSET($BN$9,$CL71+1,0,1,1),IF(AND($H71&gt;2.4,Z71&lt;&gt;"e",Z71&lt;&gt;"f"),CZ71*2.4/$H71,CZ71),IF($F71&lt;OFFSET($BN$9,$CL71+2,0,1,1),IF(AND($H71&gt;2.4,Z71&lt;&gt;"e",Z71&lt;&gt;"f"),CZ71*2.4/$H71,CZ71),IF($F71&lt;OFFSET($BN$9,$CL71+3,0,1,1),IF(AND($H71&gt;2.4,Z71&lt;&gt;"e",Z71&lt;&gt;"f"),CZ71*2.4/$H71,CZ71),0)))))*COS(RADIANS($G71)))</f>
        <v>0</v>
      </c>
      <c r="CW71" s="51">
        <f ca="1">IF(CT71&gt;CR71,CR71,CT71)</f>
        <v>0</v>
      </c>
      <c r="CX71" s="51">
        <f ca="1">IF(CS71&gt;$CR71,$CR71,CS71)</f>
        <v>0</v>
      </c>
      <c r="CY71" s="51">
        <f ca="1">CW71*F71</f>
        <v>0</v>
      </c>
      <c r="CZ71" s="51">
        <f ca="1">IF($CU71&gt;$CR71,$CR71,$CU71)</f>
        <v>0</v>
      </c>
      <c r="DA71" s="51">
        <f ca="1">IF(CV71&gt;CR71,CR71,CV71)</f>
        <v>0</v>
      </c>
      <c r="DB71" s="51">
        <f ca="1">DA71*F71</f>
        <v>0</v>
      </c>
      <c r="DC71" s="993">
        <v>1</v>
      </c>
      <c r="DD71" s="758" t="str">
        <f>IF(OR(D71=BG$12,D71=BG$13),"External",IF(D71=BG$14,"Internal"," "))</f>
        <v xml:space="preserve"> </v>
      </c>
      <c r="DE71" s="51" t="str">
        <f t="shared" ca="1" si="18"/>
        <v/>
      </c>
      <c r="DF71" s="52" t="str">
        <f t="shared" ca="1" si="19"/>
        <v xml:space="preserve"> </v>
      </c>
      <c r="DG71" s="51">
        <f ca="1">IF(F71&lt;OFFSET($BM$9,CN71-1,0,1,1),0,IF(F71&lt;OFFSET($BN$9,CN71-1,0,1,1),((F71-OFFSET($BM$9,CN71-1,0,1,1))*OFFSET($CH$9,CN71-1,0,1,1))+OFFSET($BO$9,CN71-1,CQ71,1,1),IF(F71&lt;OFFSET($BN$9,CN71+0,0,1,1),((F71-OFFSET($BM$9,CN71+0,0,1,1))*OFFSET($CH$9,CN71+0,0,1,1))+OFFSET($BO$9,CN71+0,CQ71,1,1),IF(F71&lt;OFFSET($BN$9,CN71+1,0,1,1),((F71-OFFSET($BM$9,CN71+1,0,1,1))*OFFSET($CH$9,CN71+1,0,1,1))+OFFSET($BO$9,CN71+1,CQ71,1,1),IF(F71&lt;OFFSET($BN$9,CN71+2,0,1,1),((F71-OFFSET($BM$9,CN71+2,0,1,1))*OFFSET($CH$9,CN71+2,0,1,1))+OFFSET($BO$9,CN71+2,CQ71,1,1),IF(F71&lt;OFFSET($BN$9,CN71+3,0,1,1),((F71-OFFSET($BM$9,CN71+3,0,1,1))*OFFSET($CH$9,CN71+3,0,1,1))+OFFSET($BO$9,CN71+3,CQ71,1,1),0))))))</f>
        <v>0</v>
      </c>
      <c r="DH71" s="51">
        <f ca="1">IF($F71&lt;OFFSET($BM$9,$CN71-1,0,1,1),0,IF($F71&lt;OFFSET($BN$9,$CN71-1,0,1,1),IF(AND($H71&gt;2.4,Z71&lt;&gt;"e",Z71&lt;&gt;"f"),DL71*2.4/$H71,DL71),IF($F71&lt;OFFSET($BN$9,$CN71+0,0,1,1),IF(AND($H71&gt;2.4,Z71&lt;&gt;"e",Z71&lt;&gt;"f"),DL71*2.4/$H71,DL71),IF($F71&lt;OFFSET($BN$9,$CN71+1,0,1,1),IF(AND($H71&gt;2.4,Z71&lt;&gt;"e",Z71&lt;&gt;"f"),DL71*2.4/$H71,DL71),IF($F71&lt;OFFSET($BN$9,$CN71+2,0,1,1),IF(AND($H71&gt;2.4,Z71&lt;&gt;"e",Z71&lt;&gt;"f"),DL71*2.4/$H71,DL71),IF($F71&lt;OFFSET($BN$9,$CN71+3,0,1,1),IF(AND($H71&gt;2.4,Z71&lt;&gt;"e",Z71&lt;&gt;"f"),DL71*2.4/$H71,DL71),0)))))*COS(RADIANS($G71)))</f>
        <v>0</v>
      </c>
      <c r="DI71" s="51">
        <f ca="1">IF(F71&lt;OFFSET($BM$9,CN71-1,0,1,1),0,IF(F71&lt;OFFSET($BN$9,CN71-1,0,1,1),((F71-OFFSET($BM$9,CN71-1,0,1,1))*OFFSET($CI$9,CN71-1,0,1,1))+OFFSET($BP$9,CN71-1,CQ71,1,1),IF(F71&lt;OFFSET($BN$9,CN71+0,0,1,1),((F71-OFFSET($BM$9,CN71+0,0,1,1))*OFFSET($CI$9,CN71+0,0,1,1))+OFFSET($BP$9,CN71+0,CQ71,1,1),IF(F71&lt;OFFSET($BN$9,CN71+1,0,1,1),((F71-OFFSET($BM$9,CN71+1,0,1,1))*OFFSET($CI$9,CN71+1,0,1,1))+OFFSET($BP$9,CN71+1,CQ71,1,1),IF(F71&lt;OFFSET($BN$9,CN71+2,0,1,1),((F71-OFFSET($BM$9,CN71+2,0,1,1))*OFFSET($CI$9,CN71+2,0,1,1))+OFFSET($BP$9,CN71+2,CQ71,1,1),IF(F71&lt;OFFSET($BN$9,CN71+3,0,1,1),((F71-OFFSET($BM$9,CN71+3,0,1,1))*OFFSET($CI$9,CN71+3,0,1,1))+OFFSET($BP$9,CN71+3,CQ71,1,1),0))))))</f>
        <v>0</v>
      </c>
      <c r="DJ71" s="51">
        <f ca="1">IF($F71&lt;OFFSET($BM$9,$CN71-1,0,1,1),0,IF($F71&lt;OFFSET($BN$9,$CN71-1,0,1,1),IF(AND($H71&gt;2.4,Z71&lt;&gt;"e",Z71&lt;&gt;"f"),DN71*2.4/$H71,DN71),IF($F71&lt;OFFSET($BN$9,$CN71+0,0,1,1),IF(AND($H71&gt;2.4,Z71&lt;&gt;"e",Z71&lt;&gt;"f"),DN71*2.4/$H71,DN71),IF($F71&lt;OFFSET($BN$9,$CN71+1,0,1,1),IF(AND($H71&gt;2.4,Z71&lt;&gt;"e",Z71&lt;&gt;"f"),DN71*2.4/$H71,DN71),IF($F71&lt;OFFSET($BN$9,$CN71+2,0,1,1),IF(AND($H71&gt;2.4,Z71&lt;&gt;"e",Z71&lt;&gt;"f"),DN71*2.4/$H71,DN71),IF($F71&lt;OFFSET($BN$9,$CN71+3,0,1,1),IF(AND($H71&gt;2.4,Z71&lt;&gt;"e",Z71&lt;&gt;"f"),DN71*2.4/$H71,DN71),0)))))*COS(RADIANS($G71)))</f>
        <v>0</v>
      </c>
      <c r="DK71" s="51"/>
      <c r="DL71" s="51">
        <f ca="1">IF(DG71&gt;$CR71,$CR71,DG71)</f>
        <v>0</v>
      </c>
      <c r="DM71" s="51"/>
      <c r="DN71" s="51">
        <f ca="1">IF(DI71&gt;$CR71,$CR71,DI71)</f>
        <v>0</v>
      </c>
      <c r="DO71" s="435">
        <f ca="1">IF(DH71&gt;$CR71,$CR71,DH71)</f>
        <v>0</v>
      </c>
      <c r="DP71" s="435">
        <f ca="1">DO71*F71</f>
        <v>0</v>
      </c>
      <c r="DQ71" s="436">
        <f ca="1">IF(DJ71&gt;$CR71,$CR71,DJ71)</f>
        <v>0</v>
      </c>
      <c r="DR71" s="437">
        <f ca="1">DQ71*F71</f>
        <v>0</v>
      </c>
      <c r="DS71" s="426">
        <f ca="1">OFFSET($CH$9,CL71-1,-15,1,1)</f>
        <v>0</v>
      </c>
      <c r="DT71" s="426">
        <f ca="1">VLOOKUP(DS71,Prodlink,2,0)</f>
        <v>0</v>
      </c>
      <c r="DU71" s="188">
        <f ca="1">IF(F71&lt;OFFSET($BM$9,DT71-1,0,1,1),0,IF(F71&lt;OFFSET($BN$9,DT71-1,0,1,1),((F71-OFFSET($BM$9,DT71-1,0,1,1))*OFFSET($CH$9,DT71-1,0,1,1))+OFFSET($BO$9,DT71-1,CQ71,1,1),IF(F71&lt;OFFSET($BN$9,DT71+0,0,1,1),((F71-OFFSET($BM$9,DT71+0,0,1,1))*OFFSET($CH$9,DT71+0,0,1,1))+OFFSET($BO$9,DT71+0,CQ71,1,1),IF(F71&lt;OFFSET($BN$9,DT71+1,0,1,1),((F71-OFFSET($BM$9,DT71+1,0,1,1))*OFFSET($CH$9,DT71+1,0,1,1))+OFFSET($BO$9,DT71+1,CQ71,1,1),IF(F71&lt;OFFSET($BN$9,DT71+2,0,1,1),((F71-OFFSET($BM$9,DT71+2,0,1,1))*OFFSET($CH$9,DT71+2,0,1,1))+OFFSET($BO$9,DT71+2,CQ71,1,1),IF(F71&lt;OFFSET($BN$9,DT71+3,0,1,1),((F71-OFFSET($BM$9,DT71+3,0,1,1))*OFFSET($CH$9,DT71+3,0,1,1))+OFFSET($BO$9,DT71+3,CQ71,1,1),0))))))</f>
        <v>0</v>
      </c>
      <c r="DV71" s="51">
        <f ca="1">IF($F71&lt;OFFSET($BM$9,$DT71-1,0,1,1),0,IF($F71&lt;OFFSET($BN$9,$DT71-1,0,1,1),IF(AND($H71&gt;2.4,Z71&lt;&gt;"e",Z71&lt;&gt;"f"),DZ71*2.4/$H71,DZ71),IF($F71&lt;OFFSET($BN$9,$DT71+0,0,1,1),IF(AND($H71&gt;2.4,Z71&lt;&gt;"e",Z71&lt;&gt;"f"),DZ71*2.4/$H71,DZ71),IF($F71&lt;OFFSET($BN$9,$DT71+1,0,1,1),IF(AND($H71&gt;2.4,Z71&lt;&gt;"e",Z71&lt;&gt;"f"),DZ71*2.4/$H71,DZ71),IF($F71&lt;OFFSET($BN$9,$DT71+2,0,1,1),IF(AND($H71&gt;2.4,Z71&lt;&gt;"e",Z71&lt;&gt;"f"),DZ71*2.4/$H71,DZ71),IF($F71&lt;OFFSET($BN$9,$DT71+3,0,1,1),IF(AND($H71&gt;2.4,Z71&lt;&gt;"e",Z71&lt;&gt;"f"),DZ71*2.4/$H71,DZ71),0)))))*COS(RADIANS($G71)))</f>
        <v>0</v>
      </c>
      <c r="DW71" s="188">
        <f ca="1">IF(F71&lt;OFFSET($BM$9,DT71-1,0,1,1),0,IF(F71&lt;OFFSET($BN$9,DT71-1,0,1,1),((F71-OFFSET($BM$9,DT71-1,0,1,1))*OFFSET($CI$9,DT71-1,0,1,1))+OFFSET($BP$9,DT71-1,CQ71,1,1),IF(F71&lt;OFFSET($BN$9,DT71+0,0,1,1),((F71-OFFSET($BM$9,DT71+0,0,1,1))*OFFSET($CI$9,DT71+0,0,1,1))+OFFSET($BP$9,DT71+0,CQ71,1,1),IF(F71&lt;OFFSET($BN$9,DT71+1,0,1,1),((F71-OFFSET($BM$9,DT71+1,0,1,1))*OFFSET($CI$9,DT71+1,0,1,1))+OFFSET($BP$9,DT71+1,CQ71,1,1),IF(F71&lt;OFFSET($BN$9,DT71+2,0,1,1),((F71-OFFSET($BM$9,DT71+2,0,1,1))*OFFSET($CI$9,DT71+2,0,1,1))+OFFSET($BP$9,DT71+2,CQ71,1,1),IF(F71&lt;OFFSET($BN$9,DT71+3,0,1,1),((F71-OFFSET($BM$9,DT71+3,0,1,1))*OFFSET($CI$9,DT71+3,0,1,1))+OFFSET($BP$9,DT71+3,CQ71,1,1),0))))))</f>
        <v>0</v>
      </c>
      <c r="DX71" s="51">
        <f ca="1">IF($F71&lt;OFFSET($BM$9,$DT71-1,0,1,1),0,IF($F71&lt;OFFSET($BN$9,$DT71-1,0,1,1),IF(AND($H71&gt;2.4,Z71&lt;&gt;"e",Z71&lt;&gt;"f"),EB71*2.4/$H71,EB71),IF($F71&lt;OFFSET($BN$9,$DT71+0,0,1,1),IF(AND($H71&gt;2.4,Z71&lt;&gt;"e",Z71&lt;&gt;"f"),EB71*2.4/$H71,EB71),IF($F71&lt;OFFSET($BN$9,$DT71+1,0,1,1),IF(AND($H71&gt;2.4,Z71&lt;&gt;"e",Z71&lt;&gt;"f"),EB71*2.4/$H71,EB71),IF($F71&lt;OFFSET($BN$9,$DT71+2,0,1,1),IF(AND($H71&gt;2.4,Z71&lt;&gt;"e",Z71&lt;&gt;"f"),EB71*2.4/$H71,EB71),IF($F71&lt;OFFSET($BN$9,$DT71+3,0,1,1),IF(AND($H71&gt;2.4,Z71&lt;&gt;"e",Z71&lt;&gt;"f"),EB71*2.4/$H71,EB71),0)))))*COS(RADIANS($G71)))</f>
        <v>0</v>
      </c>
      <c r="DY71" s="188"/>
      <c r="DZ71" s="188">
        <f ca="1">IF(DU71&gt;$CR71,$CR71,DU71)</f>
        <v>0</v>
      </c>
      <c r="EA71" s="188"/>
      <c r="EB71" s="188">
        <f ca="1">IF(DW71&gt;$CR71,$CR71,DW71)</f>
        <v>0</v>
      </c>
      <c r="EC71" s="435">
        <f ca="1">IF(DV71&gt;$CR71,$CR71,DV71)</f>
        <v>0</v>
      </c>
      <c r="ED71" s="435">
        <f ca="1">EC71*F71</f>
        <v>0</v>
      </c>
      <c r="EE71" s="436">
        <f ca="1">IF(DX71&gt;$CR71,$CR71,DX71)</f>
        <v>0</v>
      </c>
      <c r="EF71" s="437">
        <f ca="1">EE71*F71</f>
        <v>0</v>
      </c>
      <c r="EG71" s="613" t="str">
        <f>IF(D71=BG$12,BG$12,"")</f>
        <v/>
      </c>
      <c r="EH71" s="614" t="str">
        <f>IF(D71=BG$13,BG$13,"")</f>
        <v/>
      </c>
      <c r="EI71" s="611">
        <f>IF(EG71=BG$12,M71,0)</f>
        <v>0</v>
      </c>
      <c r="EJ71" s="451">
        <f>IF(EG71=BG$12,O71,0)</f>
        <v>0</v>
      </c>
      <c r="EK71" s="451">
        <f>IF(EH71=BG$13,M71,0)</f>
        <v>0</v>
      </c>
      <c r="EL71" s="612">
        <f>IF(EH71=BG$13,O71,0)</f>
        <v>0</v>
      </c>
      <c r="EM71" s="426" t="str">
        <f ca="1">IF(AND(Z71&lt;&gt;"t",Z71&lt;&gt;"f"),"",IF(AND(EN71=$BH$11,K71&lt;&gt;EN71),EM$4,IF(AND(EN71=$BH$12,K71=$BH$13),EM$4,IF(AND(EN71=$BH$12,K71=$BH$14),EM$4,IF(AND(EN71=$BH$13,K71=$BH$14),$EM$4,IF(EN71=$BH$14,$EM$4,""))))))</f>
        <v/>
      </c>
      <c r="EN71" s="489" t="str">
        <f>BG$24</f>
        <v>No Floor</v>
      </c>
      <c r="EO71" s="426" t="str">
        <f>K71</f>
        <v xml:space="preserve"> </v>
      </c>
      <c r="EP71" s="497" t="str">
        <f ca="1">IF(AND(Z71&lt;&gt;"t",Z71&lt;&gt;"f"),"",IF(AND(EN71=$BH$14,K71&lt;&gt;EN71),EP$4,IF(AND(EN71=$BH$13,K71=$BH$12),EP$4,IF(AND(EN71=$BH$13,K71=$BH$11),EP$4,IF(AND(EN71=$BH$12,K71=$BH$11),$EP$4,IF(EN71=$BH$11,"Earth",""))))))</f>
        <v/>
      </c>
      <c r="EQ71" s="430" t="str">
        <f ca="1">IF(Z71&lt;&gt;"t","",IF(EQ$5=2,IF(K71&lt;&gt;BH$11,EQ$7," ")))</f>
        <v/>
      </c>
      <c r="ER71" s="439" t="str">
        <f ca="1">IF(H71=0," ",H71)</f>
        <v xml:space="preserve"> </v>
      </c>
      <c r="ES71" s="440" t="str">
        <f ca="1">IF(ER71&lt;&gt;" ",IF(ER71&lt;&gt;ER$7,"Changed",""),"")</f>
        <v/>
      </c>
      <c r="ET71" s="440">
        <f ca="1">IF(ER71&lt;&gt;" ",IF(ER71&lt;&gt;ER$7,1,0),0)</f>
        <v>0</v>
      </c>
      <c r="EU71" s="426" t="str">
        <f ca="1">IF(I71=" "," ",IF(F71&lt;OFFSET($BM$9,CL71-1,0,1,1),1,""))</f>
        <v xml:space="preserve"> </v>
      </c>
      <c r="EW71" s="427"/>
      <c r="EY71" s="421"/>
    </row>
    <row r="72" spans="1:155" ht="17.100000000000001" hidden="1" customHeight="1" thickBot="1">
      <c r="A72" s="2685"/>
      <c r="B72" s="689" t="s">
        <v>246</v>
      </c>
      <c r="C72" s="684" t="str">
        <f>IF(OR(F72=0,I72="",I72=" ")," ",$V72)</f>
        <v xml:space="preserve"> </v>
      </c>
      <c r="D72" s="1033"/>
      <c r="E72" s="1360"/>
      <c r="F72" s="202"/>
      <c r="G72" s="1416"/>
      <c r="H72" s="1417" t="str">
        <f ca="1">IF(OR(F72=0,Z72="E",Z72="f")," ",'Project Demand'!E$55)</f>
        <v xml:space="preserve"> </v>
      </c>
      <c r="I72" s="631" t="str">
        <f>IF($I$6&lt;&gt;$BG$8," ",AB72)</f>
        <v xml:space="preserve"> </v>
      </c>
      <c r="J72" s="44" t="str">
        <f ca="1">IF(OR(I72=" ",I72="")," ",OFFSET($BO$9,CL72-1,0-4,1,1))</f>
        <v xml:space="preserve"> </v>
      </c>
      <c r="K72" s="55" t="str">
        <f>IF(OR(I72=" ",I72="")," ",IF(OR(Z72="e",Z72="h"),"SD",IF(BG$24=BH$11,BH$13,BG$24)))</f>
        <v xml:space="preserve"> </v>
      </c>
      <c r="L72" s="49">
        <f ca="1">CW72</f>
        <v>0</v>
      </c>
      <c r="M72" s="49">
        <f ca="1">CY72</f>
        <v>0</v>
      </c>
      <c r="N72" s="50">
        <f t="shared" ca="1" si="39"/>
        <v>0</v>
      </c>
      <c r="O72" s="126">
        <f t="shared" ca="1" si="39"/>
        <v>0</v>
      </c>
      <c r="P72" s="140"/>
      <c r="Q72" s="752" t="str">
        <f ca="1">IF(AND(OR(Z72="t",Z72="f"),K72=$BH$11),"No Floor!  Change Floor Type",IF(OR(I72=" ",I72="")," ",IF(F72&lt;OFFSET($BM$9,CL72-1,0,1,1),"check L(m)",DE72&amp;IF(AND(DP72&gt;=CY72,DR72&gt;=DB72),IF(AND(ED72&gt;=DP72,EF72&gt;=DR72),CONCATENATE(DS72," will provide same result"),CONCATENATE(CO72," will provide same result")),IF((DP72&gt;=CY72),CONCATENATE(CO72," provides same result in WIND"),IF((DR72&gt;=DB72),CONCATENATE(CO72," provides same result in EQ"),""))))))&amp;IF(ISERROR(FIND("pile",I72,1)),"",IF(INT(F72)&lt;&gt;F72,"Pile!  Use Whole Numbers Only",""))</f>
        <v xml:space="preserve"> </v>
      </c>
      <c r="R72" s="52"/>
      <c r="S72" s="1372"/>
      <c r="T72" s="1372"/>
      <c r="U72" s="1377"/>
      <c r="V72" s="52" t="str">
        <f ca="1">IF(AND(B$5=$BF$9,OR(I72=BH$16,I72=BH$17))," ",IF(ISNUMBER(B$68),(CONCATENATE(B$68,".",W72)),(CONCATENATE(B$68,W72))))</f>
        <v>K0</v>
      </c>
      <c r="W72" s="9">
        <f ca="1">W71+X72</f>
        <v>0</v>
      </c>
      <c r="X72" s="9">
        <f>IF(AND(B$5=$BF$9,OR($I72=$BH$16,$I72=$BH$17,$I72=" ",$I72="",$F72=0)),0,IF(OR($I72=" ",$I72="",$F72=0),0,1))</f>
        <v>0</v>
      </c>
      <c r="Y72" s="896"/>
      <c r="Z72" s="52" t="str">
        <f ca="1">IF(I72=" "," ",OFFSET($BM$9,$CL72-1,8,1,1))</f>
        <v xml:space="preserve"> </v>
      </c>
      <c r="AA72" s="51" t="str">
        <f>IF(G72&gt;=45,"WA","")</f>
        <v/>
      </c>
      <c r="AB72" s="1364" t="str">
        <f>IF(OR(E72=" ",E72="")," ",(IF(F72&lt;&gt;"",IF(OR(D72=$BG$12,D72=$BG$13),IF(E72&lt;&gt;$BG$17,$BF$20,$BF$21),IF(E72&lt;&gt;$BG$17,$BF$20,$BF$21))," ")))</f>
        <v xml:space="preserve"> </v>
      </c>
      <c r="AC72" s="1"/>
      <c r="AO72" s="51"/>
      <c r="AP72" s="51"/>
      <c r="AQ72" s="51"/>
      <c r="AR72" s="51"/>
      <c r="AS72" s="51"/>
      <c r="AT72" s="51"/>
      <c r="AU72" s="51"/>
      <c r="AV72" s="51"/>
      <c r="AW72" s="51"/>
      <c r="AX72" s="51"/>
      <c r="AY72" s="51"/>
      <c r="AZ72" s="51"/>
      <c r="BA72" s="51"/>
      <c r="BB72" s="51"/>
      <c r="BC72" s="51"/>
      <c r="BD72" s="652"/>
      <c r="BI72" s="759"/>
      <c r="BJ72" s="897">
        <f t="shared" si="33"/>
        <v>64</v>
      </c>
      <c r="BK72" s="908"/>
      <c r="BL72" s="767"/>
      <c r="BM72" s="776">
        <f>Table!P14</f>
        <v>1.2</v>
      </c>
      <c r="BN72" s="776">
        <v>999</v>
      </c>
      <c r="BO72" s="776">
        <f>Table!Q14</f>
        <v>150</v>
      </c>
      <c r="BP72" s="926">
        <f>Table!R14</f>
        <v>135</v>
      </c>
      <c r="BQ72" s="1183"/>
      <c r="BR72" s="908"/>
      <c r="BS72" s="776"/>
      <c r="BT72" s="776"/>
      <c r="BU72" s="926" t="s">
        <v>242</v>
      </c>
      <c r="BV72" s="433"/>
      <c r="BW72" s="914"/>
      <c r="BX72" s="926" t="str">
        <f>Table!T11</f>
        <v>Double</v>
      </c>
      <c r="CH72" s="908">
        <f>IF(BN72=999,0,(BO73-BO72)/(BN72-BM72))</f>
        <v>0</v>
      </c>
      <c r="CI72" s="926">
        <f>IF(BN72=999,0,(BP73-BP72)/(BN72-BM72))</f>
        <v>0</v>
      </c>
      <c r="CJ72" s="759"/>
      <c r="CK72" s="188"/>
      <c r="CL72" s="979">
        <f>VLOOKUP(I72,Prodlink,2,0)</f>
        <v>0</v>
      </c>
      <c r="CN72" s="497">
        <f ca="1">VLOOKUP(CO72,Prodlink,2,0)</f>
        <v>0</v>
      </c>
      <c r="CO72" s="497">
        <f ca="1">OFFSET($CH$9,CL72-1,-15,1,1)</f>
        <v>0</v>
      </c>
      <c r="CQ72" s="51">
        <v>0</v>
      </c>
      <c r="CR72" s="51">
        <f ca="1">IF(AND(Z72&lt;&gt;"t",Z72&lt;&gt;"f"),10000,IF(K72=$BH$11,0,IF(K72=$BH$12,$BH$23,IF(K72=$BH$13,$BH$24,10000))))</f>
        <v>10000</v>
      </c>
      <c r="CS72" s="51">
        <f ca="1">IF(F72&lt;OFFSET($BM$9,CL72-1,0,1,1),0,IF(F72&lt;OFFSET($BN$9,CL72-1,0,1,1),((F72-OFFSET($BM$9,CL72-1,0,1,1))*OFFSET($CH$9,CL72-1,0,1,1))+OFFSET($BO$9,CL72-1,CQ72,1,1),IF(F72&lt;OFFSET($BN$9,CL72+0,0,1,1),((F72-OFFSET($BM$9,CL72+0,0,1,1))*OFFSET($CH$9,CL72+0,0,1,1))+OFFSET($BO$9,CL72+0,CQ72,1,1),IF(F72&lt;OFFSET($BN$9,CL72+1,0,1,1),((F72-OFFSET($BM$9,CL72+1,0,1,1))*OFFSET($CH$9,CL72+1,0,1,1))+OFFSET($BO$9,CL72+1,CQ72,1,1),IF(F72&lt;OFFSET($BN$9,CL72+2,0,1,1),((F72-OFFSET($BM$9,CL72+2,0,1,1))*OFFSET($CH$9,CL72+2,0,1,1))+OFFSET($BO$9,CL72+2,CQ72,1,1),IF(F72&lt;OFFSET($BN$9,CL72+3,0,1,1),((F72-OFFSET($BM$9,CL72+3,0,1,1))*OFFSET($CH$9,CL72+3,0,1,1))+OFFSET($BO$9,CL72+3,CQ72,1,1),0))))))</f>
        <v>0</v>
      </c>
      <c r="CT72" s="51">
        <f ca="1">IF($F72&lt;OFFSET($BM$9,$CL72-1,0,1,1),0,IF($F72&lt;OFFSET($BN$9,$CL72-1,0,1,1),IF(AND($H72&gt;2.4,Z72&lt;&gt;"e",Z72&lt;&gt;"f"),CX72*2.4/$H72,CX72),IF($F72&lt;OFFSET($BN$9,$CL72+0,0,1,1),IF(AND($H72&gt;2.4,Z72&lt;&gt;"e",Z72&lt;&gt;"f"),CX72*2.4/$H72,CX72),IF($F72&lt;OFFSET($BN$9,$CL72+1,0,1,1),IF(AND($H72&gt;2.4,Z72&lt;&gt;"e",Z72&lt;&gt;"f"),CX72*2.4/$H72,CX72),IF($F72&lt;OFFSET($BN$9,CL72+2,0,1,1),IF(AND($H72&gt;2.4,Z72&lt;&gt;"e",Z72&lt;&gt;"f"),CX72*2.4/$H72,CX72),IF($F72&lt;OFFSET($BN$9,CL72+3,0,1,1),IF(AND($H72&gt;2.4,Z72&lt;&gt;"e",Z72&lt;&gt;"f"),CX72*2.4/$H72,CX72),0)))))*COS(RADIANS($G72)))</f>
        <v>0</v>
      </c>
      <c r="CU72" s="51">
        <f ca="1">IF(F72&lt;OFFSET($BM$9,CL72-1,0,1,1),0,IF(F72&lt;OFFSET($BN$9,CL72-1,0,1,1),((F72-OFFSET($BM$9,CL72-1,0,1,1))*OFFSET($CI$9,CL72-1,0,1,1))+OFFSET($BP$9,CL72-1,CQ72,1,1),IF(F72&lt;OFFSET($BN$9,CL72+0,0,1,1),((F72-OFFSET($BM$9,CL72+0,0,1,1))*OFFSET($CI$9,CL72+0,0,1,1))+OFFSET($BP$9,CL72+0,CQ72,1,1),IF(F72&lt;OFFSET($BN$9,CL72+1,0,1,1),((F72-OFFSET($BM$9,CL72+1,0,1,1))*OFFSET($CI$9,CL72+1,0,1,1))+OFFSET($BP$9,CL72+1,CQ72,1,1),IF(F72&lt;OFFSET($BN$9,CL72+2,0,1,1),((F72-OFFSET($BM$9,CL72+2,0,1,1))*OFFSET($CI$9,CL72+2,0,1,1))+OFFSET($BP$9,CL72+2,CQ72,1,1),IF(F72&lt;OFFSET($BN$9,CL72+3,0,1,1),((F72-OFFSET($BM$9,CL72+3,0,1,1))*OFFSET($CI$9,CL72+3,0,1,1))+OFFSET($BP$9,CL72+3,CQ72,1,1),0))))))</f>
        <v>0</v>
      </c>
      <c r="CV72" s="51">
        <f ca="1">IF($F72&lt;OFFSET($BM$9,$CL72-1,0,1,1),0,IF($F72&lt;OFFSET($BN$9,$CL72-1,0,1,1),IF(AND($H72&gt;2.4,Z72&lt;&gt;"e",Z72&lt;&gt;"f"),CZ72*2.4/$H72,CZ72),IF($F72&lt;OFFSET($BN$9,$CL72+0,0,1,1),IF(AND($H72&gt;2.4,Z72&lt;&gt;"e",Z72&lt;&gt;"f"),CZ72*2.4/$H72,CZ72),IF($F72&lt;OFFSET($BN$9,$CL72+1,0,1,1),IF(AND($H72&gt;2.4,Z72&lt;&gt;"e",Z72&lt;&gt;"f"),CZ72*2.4/$H72,CZ72),IF($F72&lt;OFFSET($BN$9,$CL72+2,0,1,1),IF(AND($H72&gt;2.4,Z72&lt;&gt;"e",Z72&lt;&gt;"f"),CZ72*2.4/$H72,CZ72),IF($F72&lt;OFFSET($BN$9,$CL72+3,0,1,1),IF(AND($H72&gt;2.4,Z72&lt;&gt;"e",Z72&lt;&gt;"f"),CZ72*2.4/$H72,CZ72),0)))))*COS(RADIANS($G72)))</f>
        <v>0</v>
      </c>
      <c r="CW72" s="51">
        <f ca="1">IF(CT72&gt;CR72,CR72,CT72)</f>
        <v>0</v>
      </c>
      <c r="CX72" s="51">
        <f ca="1">IF(CS72&gt;$CR72,$CR72,CS72)</f>
        <v>0</v>
      </c>
      <c r="CY72" s="51">
        <f ca="1">CW72*F72</f>
        <v>0</v>
      </c>
      <c r="CZ72" s="51">
        <f ca="1">IF($CU72&gt;$CR72,$CR72,$CU72)</f>
        <v>0</v>
      </c>
      <c r="DA72" s="51">
        <f ca="1">IF(CV72&gt;CR72,CR72,CV72)</f>
        <v>0</v>
      </c>
      <c r="DB72" s="51">
        <f ca="1">DA72*F72</f>
        <v>0</v>
      </c>
      <c r="DC72" s="993">
        <v>1</v>
      </c>
      <c r="DD72" s="758" t="str">
        <f>IF(OR(D72=BG$12,D72=BG$13),"External",IF(D72=BG$14,"Internal"," "))</f>
        <v xml:space="preserve"> </v>
      </c>
      <c r="DE72" s="51" t="str">
        <f t="shared" ca="1" si="18"/>
        <v/>
      </c>
      <c r="DF72" s="52" t="str">
        <f t="shared" ca="1" si="19"/>
        <v xml:space="preserve"> </v>
      </c>
      <c r="DG72" s="51">
        <f ca="1">IF(F72&lt;OFFSET($BM$9,CN72-1,0,1,1),0,IF(F72&lt;OFFSET($BN$9,CN72-1,0,1,1),((F72-OFFSET($BM$9,CN72-1,0,1,1))*OFFSET($CH$9,CN72-1,0,1,1))+OFFSET($BO$9,CN72-1,CQ72,1,1),IF(F72&lt;OFFSET($BN$9,CN72+0,0,1,1),((F72-OFFSET($BM$9,CN72+0,0,1,1))*OFFSET($CH$9,CN72+0,0,1,1))+OFFSET($BO$9,CN72+0,CQ72,1,1),IF(F72&lt;OFFSET($BN$9,CN72+1,0,1,1),((F72-OFFSET($BM$9,CN72+1,0,1,1))*OFFSET($CH$9,CN72+1,0,1,1))+OFFSET($BO$9,CN72+1,CQ72,1,1),IF(F72&lt;OFFSET($BN$9,CN72+2,0,1,1),((F72-OFFSET($BM$9,CN72+2,0,1,1))*OFFSET($CH$9,CN72+2,0,1,1))+OFFSET($BO$9,CN72+2,CQ72,1,1),IF(F72&lt;OFFSET($BN$9,CN72+3,0,1,1),((F72-OFFSET($BM$9,CN72+3,0,1,1))*OFFSET($CH$9,CN72+3,0,1,1))+OFFSET($BO$9,CN72+3,CQ72,1,1),0))))))</f>
        <v>0</v>
      </c>
      <c r="DH72" s="51">
        <f ca="1">IF($F72&lt;OFFSET($BM$9,$CN72-1,0,1,1),0,IF($F72&lt;OFFSET($BN$9,$CN72-1,0,1,1),IF(AND($H72&gt;2.4,Z72&lt;&gt;"e",Z72&lt;&gt;"f"),DL72*2.4/$H72,DL72),IF($F72&lt;OFFSET($BN$9,$CN72+0,0,1,1),IF(AND($H72&gt;2.4,Z72&lt;&gt;"e",Z72&lt;&gt;"f"),DL72*2.4/$H72,DL72),IF($F72&lt;OFFSET($BN$9,$CN72+1,0,1,1),IF(AND($H72&gt;2.4,Z72&lt;&gt;"e",Z72&lt;&gt;"f"),DL72*2.4/$H72,DL72),IF($F72&lt;OFFSET($BN$9,$CN72+2,0,1,1),IF(AND($H72&gt;2.4,Z72&lt;&gt;"e",Z72&lt;&gt;"f"),DL72*2.4/$H72,DL72),IF($F72&lt;OFFSET($BN$9,$CN72+3,0,1,1),IF(AND($H72&gt;2.4,Z72&lt;&gt;"e",Z72&lt;&gt;"f"),DL72*2.4/$H72,DL72),0)))))*COS(RADIANS($G72)))</f>
        <v>0</v>
      </c>
      <c r="DI72" s="51">
        <f ca="1">IF(F72&lt;OFFSET($BM$9,CN72-1,0,1,1),0,IF(F72&lt;OFFSET($BN$9,CN72-1,0,1,1),((F72-OFFSET($BM$9,CN72-1,0,1,1))*OFFSET($CI$9,CN72-1,0,1,1))+OFFSET($BP$9,CN72-1,CQ72,1,1),IF(F72&lt;OFFSET($BN$9,CN72+0,0,1,1),((F72-OFFSET($BM$9,CN72+0,0,1,1))*OFFSET($CI$9,CN72+0,0,1,1))+OFFSET($BP$9,CN72+0,CQ72,1,1),IF(F72&lt;OFFSET($BN$9,CN72+1,0,1,1),((F72-OFFSET($BM$9,CN72+1,0,1,1))*OFFSET($CI$9,CN72+1,0,1,1))+OFFSET($BP$9,CN72+1,CQ72,1,1),IF(F72&lt;OFFSET($BN$9,CN72+2,0,1,1),((F72-OFFSET($BM$9,CN72+2,0,1,1))*OFFSET($CI$9,CN72+2,0,1,1))+OFFSET($BP$9,CN72+2,CQ72,1,1),IF(F72&lt;OFFSET($BN$9,CN72+3,0,1,1),((F72-OFFSET($BM$9,CN72+3,0,1,1))*OFFSET($CI$9,CN72+3,0,1,1))+OFFSET($BP$9,CN72+3,CQ72,1,1),0))))))</f>
        <v>0</v>
      </c>
      <c r="DJ72" s="51">
        <f ca="1">IF($F72&lt;OFFSET($BM$9,$CN72-1,0,1,1),0,IF($F72&lt;OFFSET($BN$9,$CN72-1,0,1,1),IF(AND($H72&gt;2.4,Z72&lt;&gt;"e",Z72&lt;&gt;"f"),DN72*2.4/$H72,DN72),IF($F72&lt;OFFSET($BN$9,$CN72+0,0,1,1),IF(AND($H72&gt;2.4,Z72&lt;&gt;"e",Z72&lt;&gt;"f"),DN72*2.4/$H72,DN72),IF($F72&lt;OFFSET($BN$9,$CN72+1,0,1,1),IF(AND($H72&gt;2.4,Z72&lt;&gt;"e",Z72&lt;&gt;"f"),DN72*2.4/$H72,DN72),IF($F72&lt;OFFSET($BN$9,$CN72+2,0,1,1),IF(AND($H72&gt;2.4,Z72&lt;&gt;"e",Z72&lt;&gt;"f"),DN72*2.4/$H72,DN72),IF($F72&lt;OFFSET($BN$9,$CN72+3,0,1,1),IF(AND($H72&gt;2.4,Z72&lt;&gt;"e",Z72&lt;&gt;"f"),DN72*2.4/$H72,DN72),0)))))*COS(RADIANS($G72)))</f>
        <v>0</v>
      </c>
      <c r="DK72" s="51"/>
      <c r="DL72" s="51">
        <f ca="1">IF(DG72&gt;$CR72,$CR72,DG72)</f>
        <v>0</v>
      </c>
      <c r="DM72" s="51"/>
      <c r="DN72" s="51">
        <f ca="1">IF(DI72&gt;$CR72,$CR72,DI72)</f>
        <v>0</v>
      </c>
      <c r="DO72" s="435">
        <f ca="1">IF(DH72&gt;$CR72,$CR72,DH72)</f>
        <v>0</v>
      </c>
      <c r="DP72" s="435">
        <f ca="1">DO72*F72</f>
        <v>0</v>
      </c>
      <c r="DQ72" s="436">
        <f ca="1">IF(DJ72&gt;$CR72,$CR72,DJ72)</f>
        <v>0</v>
      </c>
      <c r="DR72" s="437">
        <f ca="1">DQ72*F72</f>
        <v>0</v>
      </c>
      <c r="DS72" s="426">
        <f ca="1">OFFSET($CH$9,CL72-1,-15,1,1)</f>
        <v>0</v>
      </c>
      <c r="DT72" s="426">
        <f ca="1">VLOOKUP(DS72,Prodlink,2,0)</f>
        <v>0</v>
      </c>
      <c r="DU72" s="188">
        <f ca="1">IF(F72&lt;OFFSET($BM$9,DT72-1,0,1,1),0,IF(F72&lt;OFFSET($BN$9,DT72-1,0,1,1),((F72-OFFSET($BM$9,DT72-1,0,1,1))*OFFSET($CH$9,DT72-1,0,1,1))+OFFSET($BO$9,DT72-1,CQ72,1,1),IF(F72&lt;OFFSET($BN$9,DT72+0,0,1,1),((F72-OFFSET($BM$9,DT72+0,0,1,1))*OFFSET($CH$9,DT72+0,0,1,1))+OFFSET($BO$9,DT72+0,CQ72,1,1),IF(F72&lt;OFFSET($BN$9,DT72+1,0,1,1),((F72-OFFSET($BM$9,DT72+1,0,1,1))*OFFSET($CH$9,DT72+1,0,1,1))+OFFSET($BO$9,DT72+1,CQ72,1,1),IF(F72&lt;OFFSET($BN$9,DT72+2,0,1,1),((F72-OFFSET($BM$9,DT72+2,0,1,1))*OFFSET($CH$9,DT72+2,0,1,1))+OFFSET($BO$9,DT72+2,CQ72,1,1),IF(F72&lt;OFFSET($BN$9,DT72+3,0,1,1),((F72-OFFSET($BM$9,DT72+3,0,1,1))*OFFSET($CH$9,DT72+3,0,1,1))+OFFSET($BO$9,DT72+3,CQ72,1,1),0))))))</f>
        <v>0</v>
      </c>
      <c r="DV72" s="51">
        <f ca="1">IF($F72&lt;OFFSET($BM$9,$DT72-1,0,1,1),0,IF($F72&lt;OFFSET($BN$9,$DT72-1,0,1,1),IF(AND($H72&gt;2.4,Z72&lt;&gt;"e",Z72&lt;&gt;"f"),DZ72*2.4/$H72,DZ72),IF($F72&lt;OFFSET($BN$9,$DT72+0,0,1,1),IF(AND($H72&gt;2.4,Z72&lt;&gt;"e",Z72&lt;&gt;"f"),DZ72*2.4/$H72,DZ72),IF($F72&lt;OFFSET($BN$9,$DT72+1,0,1,1),IF(AND($H72&gt;2.4,Z72&lt;&gt;"e",Z72&lt;&gt;"f"),DZ72*2.4/$H72,DZ72),IF($F72&lt;OFFSET($BN$9,$DT72+2,0,1,1),IF(AND($H72&gt;2.4,Z72&lt;&gt;"e",Z72&lt;&gt;"f"),DZ72*2.4/$H72,DZ72),IF($F72&lt;OFFSET($BN$9,$DT72+3,0,1,1),IF(AND($H72&gt;2.4,Z72&lt;&gt;"e",Z72&lt;&gt;"f"),DZ72*2.4/$H72,DZ72),0)))))*COS(RADIANS($G72)))</f>
        <v>0</v>
      </c>
      <c r="DW72" s="188">
        <f ca="1">IF(F72&lt;OFFSET($BM$9,DT72-1,0,1,1),0,IF(F72&lt;OFFSET($BN$9,DT72-1,0,1,1),((F72-OFFSET($BM$9,DT72-1,0,1,1))*OFFSET($CI$9,DT72-1,0,1,1))+OFFSET($BP$9,DT72-1,CQ72,1,1),IF(F72&lt;OFFSET($BN$9,DT72+0,0,1,1),((F72-OFFSET($BM$9,DT72+0,0,1,1))*OFFSET($CI$9,DT72+0,0,1,1))+OFFSET($BP$9,DT72+0,CQ72,1,1),IF(F72&lt;OFFSET($BN$9,DT72+1,0,1,1),((F72-OFFSET($BM$9,DT72+1,0,1,1))*OFFSET($CI$9,DT72+1,0,1,1))+OFFSET($BP$9,DT72+1,CQ72,1,1),IF(F72&lt;OFFSET($BN$9,DT72+2,0,1,1),((F72-OFFSET($BM$9,DT72+2,0,1,1))*OFFSET($CI$9,DT72+2,0,1,1))+OFFSET($BP$9,DT72+2,CQ72,1,1),IF(F72&lt;OFFSET($BN$9,DT72+3,0,1,1),((F72-OFFSET($BM$9,DT72+3,0,1,1))*OFFSET($CI$9,DT72+3,0,1,1))+OFFSET($BP$9,DT72+3,CQ72,1,1),0))))))</f>
        <v>0</v>
      </c>
      <c r="DX72" s="51">
        <f ca="1">IF($F72&lt;OFFSET($BM$9,$DT72-1,0,1,1),0,IF($F72&lt;OFFSET($BN$9,$DT72-1,0,1,1),IF(AND($H72&gt;2.4,Z72&lt;&gt;"e",Z72&lt;&gt;"f"),EB72*2.4/$H72,EB72),IF($F72&lt;OFFSET($BN$9,$DT72+0,0,1,1),IF(AND($H72&gt;2.4,Z72&lt;&gt;"e",Z72&lt;&gt;"f"),EB72*2.4/$H72,EB72),IF($F72&lt;OFFSET($BN$9,$DT72+1,0,1,1),IF(AND($H72&gt;2.4,Z72&lt;&gt;"e",Z72&lt;&gt;"f"),EB72*2.4/$H72,EB72),IF($F72&lt;OFFSET($BN$9,$DT72+2,0,1,1),IF(AND($H72&gt;2.4,Z72&lt;&gt;"e",Z72&lt;&gt;"f"),EB72*2.4/$H72,EB72),IF($F72&lt;OFFSET($BN$9,$DT72+3,0,1,1),IF(AND($H72&gt;2.4,Z72&lt;&gt;"e",Z72&lt;&gt;"f"),EB72*2.4/$H72,EB72),0)))))*COS(RADIANS($G72)))</f>
        <v>0</v>
      </c>
      <c r="DY72" s="188"/>
      <c r="DZ72" s="188">
        <f ca="1">IF(DU72&gt;$CR72,$CR72,DU72)</f>
        <v>0</v>
      </c>
      <c r="EA72" s="188"/>
      <c r="EB72" s="188">
        <f ca="1">IF(DW72&gt;$CR72,$CR72,DW72)</f>
        <v>0</v>
      </c>
      <c r="EC72" s="435">
        <f ca="1">IF(DV72&gt;$CR72,$CR72,DV72)</f>
        <v>0</v>
      </c>
      <c r="ED72" s="435">
        <f ca="1">EC72*F72</f>
        <v>0</v>
      </c>
      <c r="EE72" s="436">
        <f ca="1">IF(DX72&gt;$CR72,$CR72,DX72)</f>
        <v>0</v>
      </c>
      <c r="EF72" s="437">
        <f ca="1">EE72*F72</f>
        <v>0</v>
      </c>
      <c r="EG72" s="615" t="str">
        <f>IF(D72=BG$12,BG$12,"")</f>
        <v/>
      </c>
      <c r="EH72" s="616" t="str">
        <f>IF(D72=BG$13,BG$13,"")</f>
        <v/>
      </c>
      <c r="EI72" s="611">
        <f>IF(EG72=BG$12,M72,0)</f>
        <v>0</v>
      </c>
      <c r="EJ72" s="451">
        <f>IF(EG72=BG$12,O72,0)</f>
        <v>0</v>
      </c>
      <c r="EK72" s="451">
        <f>IF(EH72=BG$13,M72,0)</f>
        <v>0</v>
      </c>
      <c r="EL72" s="612">
        <f>IF(EH72=BG$13,O72,0)</f>
        <v>0</v>
      </c>
      <c r="EM72" s="426" t="str">
        <f ca="1">IF(AND(Z72&lt;&gt;"t",Z72&lt;&gt;"f"),"",IF(AND(EN72=$BH$11,K72&lt;&gt;EN72),EM$4,IF(AND(EN72=$BH$12,K72=$BH$13),EM$4,IF(AND(EN72=$BH$12,K72=$BH$14),EM$4,IF(AND(EN72=$BH$13,K72=$BH$14),$EM$4,IF(EN72=$BH$14,$EM$4,""))))))</f>
        <v/>
      </c>
      <c r="EN72" s="489" t="str">
        <f>BG$24</f>
        <v>No Floor</v>
      </c>
      <c r="EO72" s="426" t="str">
        <f>K72</f>
        <v xml:space="preserve"> </v>
      </c>
      <c r="EP72" s="497" t="str">
        <f ca="1">IF(AND(Z72&lt;&gt;"t",Z72&lt;&gt;"f"),"",IF(AND(EN72=$BH$14,K72&lt;&gt;EN72),EP$4,IF(AND(EN72=$BH$13,K72=$BH$12),EP$4,IF(AND(EN72=$BH$13,K72=$BH$11),EP$4,IF(AND(EN72=$BH$12,K72=$BH$11),$EP$4,IF(EN72=$BH$11,"Earth",""))))))</f>
        <v/>
      </c>
      <c r="EQ72" s="430" t="str">
        <f ca="1">IF(Z72&lt;&gt;"t","",IF(EQ$5=2,IF(K72&lt;&gt;BH$11,EQ$7," ")))</f>
        <v/>
      </c>
      <c r="ER72" s="439" t="str">
        <f ca="1">IF(H72=0," ",H72)</f>
        <v xml:space="preserve"> </v>
      </c>
      <c r="ES72" s="447" t="str">
        <f ca="1">IF(ER72&lt;&gt;" ",IF(ER72&lt;&gt;ER$7,"Changed",""),"")</f>
        <v/>
      </c>
      <c r="ET72" s="440">
        <f ca="1">IF(ER72&lt;&gt;" ",IF(ER72&lt;&gt;ER$7,1,0),0)</f>
        <v>0</v>
      </c>
      <c r="EU72" s="426" t="str">
        <f ca="1">IF(I72=" "," ",IF(F72&lt;OFFSET($BM$9,CL72-1,0,1,1),1,""))</f>
        <v xml:space="preserve"> </v>
      </c>
      <c r="EW72" s="427"/>
      <c r="EY72" s="421"/>
    </row>
    <row r="73" spans="1:155" ht="17.100000000000001" hidden="1" customHeight="1" thickBot="1">
      <c r="A73" s="2685"/>
      <c r="B73" s="2686" t="s">
        <v>8</v>
      </c>
      <c r="C73" s="2687"/>
      <c r="D73" s="1461" t="s">
        <v>8</v>
      </c>
      <c r="E73" s="659"/>
      <c r="F73" s="659"/>
      <c r="G73" s="659"/>
      <c r="H73" s="659"/>
      <c r="I73" s="1462"/>
      <c r="J73" s="1365" t="str">
        <f ca="1">(CONCATENATE(B68,$BE$54))</f>
        <v>K  Line:  Min. Requirement</v>
      </c>
      <c r="K73" s="23"/>
      <c r="L73" s="1019">
        <f ca="1">L$5</f>
        <v>0</v>
      </c>
      <c r="M73" s="48">
        <f ca="1">IF(B68=B62,SUM(M68:M72)+M67,SUM(M68:M72))</f>
        <v>0</v>
      </c>
      <c r="N73" s="1019">
        <f ca="1">N$5</f>
        <v>0</v>
      </c>
      <c r="O73" s="125">
        <f ca="1">IF(B68=B62,SUM(O68:O72)+O67,SUM(O68:O72))</f>
        <v>0</v>
      </c>
      <c r="P73" s="139"/>
      <c r="Q73" s="42" t="str">
        <f ca="1">IF(B68=B74,"",IF(AND(M73&gt;0,L73=L$5,OR(M73&lt;$M$105,M73&lt;$BF$3)),"Achieved &lt; Min Req per Line",IF(AND(O73&gt;0,N73=N$5,OR(O73&lt;$O$105,O73&lt;$BF$3)),"Achieved &lt; Min Req per Line",IF(AND(M73&gt;0,L73&gt;M73),"More Required on this line",IF(AND(O73&gt;0,N73&gt;O73),"More Required on this line",IF(AND(L73&gt;0,L73&lt;$BF$3),$BE$59,IF(AND(N73&gt;0,N73&lt;$BF$3),$BE$59,"")))))))</f>
        <v/>
      </c>
      <c r="R73" s="52"/>
      <c r="S73" s="52"/>
      <c r="T73" s="52"/>
      <c r="U73" s="1378"/>
      <c r="V73" s="52"/>
      <c r="W73" s="9"/>
      <c r="X73" s="9"/>
      <c r="Y73" s="896"/>
      <c r="Z73" s="52"/>
      <c r="AA73" s="51"/>
      <c r="AB73" s="1364"/>
      <c r="AC73" s="1"/>
      <c r="AO73" s="51"/>
      <c r="AP73" s="51"/>
      <c r="AQ73" s="51"/>
      <c r="AR73" s="51"/>
      <c r="AS73" s="51"/>
      <c r="AT73" s="51"/>
      <c r="AU73" s="51"/>
      <c r="AV73" s="51"/>
      <c r="AW73" s="51"/>
      <c r="AX73" s="51"/>
      <c r="AY73" s="51"/>
      <c r="AZ73" s="51"/>
      <c r="BA73" s="51"/>
      <c r="BB73" s="51"/>
      <c r="BC73" s="51"/>
      <c r="BD73" s="652"/>
      <c r="BE73" s="2883" t="s">
        <v>955</v>
      </c>
      <c r="BF73" s="2884"/>
      <c r="BG73" s="2884"/>
      <c r="BH73" s="2885"/>
      <c r="BI73" s="759"/>
      <c r="BJ73" s="897">
        <f t="shared" si="33"/>
        <v>65</v>
      </c>
      <c r="BK73" s="1231"/>
      <c r="BL73" s="1234"/>
      <c r="BM73" s="1205"/>
      <c r="BN73" s="1205"/>
      <c r="BO73" s="1205"/>
      <c r="BP73" s="1205"/>
      <c r="BQ73" s="1233"/>
      <c r="BR73" s="1205"/>
      <c r="BS73" s="1205"/>
      <c r="BT73" s="1205"/>
      <c r="BU73" s="1205"/>
      <c r="BV73" s="1233"/>
      <c r="BW73" s="1235"/>
      <c r="CH73" s="970"/>
      <c r="CI73" s="971"/>
      <c r="CJ73" s="759"/>
      <c r="CK73" s="188"/>
      <c r="CL73" s="979"/>
      <c r="CN73" s="497"/>
      <c r="CO73" s="497"/>
      <c r="CQ73" s="51"/>
      <c r="CR73" s="51"/>
      <c r="CS73" s="51"/>
      <c r="CT73" s="51" t="s">
        <v>8</v>
      </c>
      <c r="CU73" s="51"/>
      <c r="CV73" s="51" t="s">
        <v>8</v>
      </c>
      <c r="CW73" s="51"/>
      <c r="CX73" s="51"/>
      <c r="CY73" s="51"/>
      <c r="CZ73" s="51"/>
      <c r="DD73" s="758"/>
      <c r="DF73" s="52"/>
      <c r="DG73" s="51"/>
      <c r="DH73" s="51"/>
      <c r="DI73" s="51"/>
      <c r="DJ73" s="51"/>
      <c r="DK73" s="51"/>
      <c r="DL73" s="51"/>
      <c r="DM73" s="51"/>
      <c r="DN73" s="51"/>
      <c r="DO73" s="435"/>
      <c r="DP73" s="435"/>
      <c r="DQ73" s="868"/>
      <c r="DR73" s="868"/>
      <c r="DU73" s="188"/>
      <c r="DV73" s="188" t="s">
        <v>8</v>
      </c>
      <c r="DW73" s="188"/>
      <c r="DX73" s="188" t="s">
        <v>8</v>
      </c>
      <c r="DY73" s="188"/>
      <c r="DZ73" s="188"/>
      <c r="EA73" s="188"/>
      <c r="EB73" s="188"/>
      <c r="EC73" s="435"/>
      <c r="ED73" s="435"/>
      <c r="EE73" s="868"/>
      <c r="EF73" s="868"/>
      <c r="EG73" s="613"/>
      <c r="EH73" s="614"/>
      <c r="EI73" s="613"/>
      <c r="EJ73" s="435"/>
      <c r="EK73" s="451"/>
      <c r="EL73" s="612"/>
      <c r="EN73" s="438"/>
      <c r="ER73" s="441"/>
      <c r="ES73" s="440"/>
      <c r="ET73" s="440"/>
      <c r="EW73" s="427"/>
      <c r="EY73" s="421"/>
    </row>
    <row r="74" spans="1:155" ht="17.100000000000001" hidden="1" customHeight="1" thickBot="1">
      <c r="A74" s="2685"/>
      <c r="B74" s="1369" t="str">
        <f ca="1">S74</f>
        <v>L</v>
      </c>
      <c r="C74" s="684" t="str">
        <f>IF(OR(F74=0,I74="",I74=" ")," ",$V74)</f>
        <v xml:space="preserve"> </v>
      </c>
      <c r="D74" s="1033"/>
      <c r="E74" s="1360"/>
      <c r="F74" s="202"/>
      <c r="G74" s="1416"/>
      <c r="H74" s="1417" t="str">
        <f ca="1">IF(OR(F74=0,Z74="E",Z74="f")," ",'Project Demand'!E$55)</f>
        <v xml:space="preserve"> </v>
      </c>
      <c r="I74" s="631" t="str">
        <f>IF($I$6&lt;&gt;$BG$8," ",AB74)</f>
        <v xml:space="preserve"> </v>
      </c>
      <c r="J74" s="43" t="str">
        <f ca="1">IF(OR(I74=" ",I74="")," ",OFFSET($BO$9,CL74-1,0-4,1,1))</f>
        <v xml:space="preserve"> </v>
      </c>
      <c r="K74" s="55" t="str">
        <f>IF(OR(I74=" ",I74="")," ",IF(OR(Z74="e",Z74="h"),"SD",IF(BG$24=BH$11,BH$13,BG$24)))</f>
        <v xml:space="preserve"> </v>
      </c>
      <c r="L74" s="49">
        <f ca="1">CW74</f>
        <v>0</v>
      </c>
      <c r="M74" s="49">
        <f ca="1">CY74</f>
        <v>0</v>
      </c>
      <c r="N74" s="50">
        <f t="shared" ref="N74:O78" ca="1" si="40">DA74</f>
        <v>0</v>
      </c>
      <c r="O74" s="126">
        <f t="shared" ca="1" si="40"/>
        <v>0</v>
      </c>
      <c r="P74" s="140"/>
      <c r="Q74" s="752" t="str">
        <f ca="1">IF(AND(OR(Z74="t",Z74="f"),K74=$BH$11),"No Floor!  Change Floor Type",IF(OR(I74=" ",I74="")," ",IF(F74&lt;OFFSET($BM$9,CL74-1,0,1,1),"check L(m)",DE74&amp;IF(AND(DP74&gt;=CY74,DR74&gt;=DB74),IF(AND(ED74&gt;=DP74,EF74&gt;=DR74),CONCATENATE(DS74," will provide same result"),CONCATENATE(CO74," will provide same result")),IF((DP74&gt;=CY74),CONCATENATE(CO74," provides same result in WIND"),IF((DR74&gt;=DB74),CONCATENATE(CO74," provides same result in EQ"),""))))))&amp;IF(ISERROR(FIND("pile",I74,1)),"",IF(INT(F74)&lt;&gt;F74,"Pile!  Use Whole Numbers Only",""))</f>
        <v xml:space="preserve"> </v>
      </c>
      <c r="R74" s="52">
        <f ca="1">IF(T68&lt;&gt;2,(COLUMN(INDIRECT(B68&amp;1))+1),U74)</f>
        <v>12</v>
      </c>
      <c r="S74" s="1372" t="str">
        <f ca="1">SUBSTITUTE(ADDRESS(1,R74,4),"1","")</f>
        <v>L</v>
      </c>
      <c r="T74" s="451">
        <f ca="1">IF(AND(ISTEXT(B74),SUBSTITUTE(SUBSTITUTE(SUBSTITUTE(SUBSTITUTE(SUBSTITUTE(SUBSTITUTE(SUBSTITUTE(SUBSTITUTE(SUBSTITUTE(SUBSTITUTE(SUBSTITUTE(SUBSTITUTE(SUBSTITUTE(SUBSTITUTE(SUBSTITUTE(SUBSTITUTE(SUBSTITUTE(SUBSTITUTE(SUBSTITUTE(SUBSTITUTE(SUBSTITUTE(SUBSTITUTE(SUBSTITUTE(SUBSTITUTE(SUBSTITUTE(SUBSTITUTE(LOWER(B74),"a",),"b",),"c",),"d",),"e",),"f",),"g",),"h",),"i",),"j",),"k",),"l",),"m",),"n",),"o",),"p",),"q",),"r",),"s",),"t",),"u",),"v",),"w",),"x",),"y",),"z",)=""),1,2)</f>
        <v>1</v>
      </c>
      <c r="U74" s="1377">
        <v>12</v>
      </c>
      <c r="V74" s="52" t="str">
        <f ca="1">IF(AND(B$5=$BF$9,OR(I74=BH$16,I74=BH$17))," ",IF(ISNUMBER(B$74),(CONCATENATE(B$74,".",W74)),(CONCATENATE(B$74,W74))))</f>
        <v>L0</v>
      </c>
      <c r="W74" s="9">
        <f ca="1">IF(B68=B74,W72+X74,X74)</f>
        <v>0</v>
      </c>
      <c r="X74" s="9">
        <f>IF(AND(B$5=$BF$9,OR($I74=$BH$16,$I74=$BH$17,$I74=" ",$I74="",$F74=0)),0,IF(OR($I74=" ",$I74="",$F74=0),0,1))</f>
        <v>0</v>
      </c>
      <c r="Y74" s="896">
        <f ca="1">IF(AND(M79&gt;0,B74&lt;&gt;B80),1,0)</f>
        <v>0</v>
      </c>
      <c r="Z74" s="52" t="str">
        <f ca="1">IF(I74=" "," ",OFFSET($BM$9,$CL74-1,8,1,1))</f>
        <v xml:space="preserve"> </v>
      </c>
      <c r="AA74" s="51" t="str">
        <f>IF(G74&gt;=45,"WA","")</f>
        <v/>
      </c>
      <c r="AB74" s="1364" t="str">
        <f>IF(OR(E74=" ",E74="")," ",(IF(F74&lt;&gt;"",IF(OR(D74=$BG$12,D74=$BG$13),IF(E74&lt;&gt;$BG$17,$BF$20,$BF$21),IF(E74&lt;&gt;$BG$17,$BF$20,$BF$21))," ")))</f>
        <v xml:space="preserve"> </v>
      </c>
      <c r="AC74" s="1"/>
      <c r="AO74" s="51"/>
      <c r="AP74" s="51"/>
      <c r="AQ74" s="51"/>
      <c r="AR74" s="51"/>
      <c r="AS74" s="51"/>
      <c r="AT74" s="51"/>
      <c r="AU74" s="51"/>
      <c r="AV74" s="51"/>
      <c r="AW74" s="51"/>
      <c r="AX74" s="51"/>
      <c r="AY74" s="51"/>
      <c r="AZ74" s="51"/>
      <c r="BA74" s="51"/>
      <c r="BB74" s="51"/>
      <c r="BC74" s="51"/>
      <c r="BD74" s="652"/>
      <c r="BE74" s="2886"/>
      <c r="BF74" s="2887"/>
      <c r="BG74" s="2887"/>
      <c r="BH74" s="2888"/>
      <c r="BI74" s="759"/>
      <c r="BJ74" s="897">
        <f t="shared" si="33"/>
        <v>66</v>
      </c>
      <c r="BK74" s="768" t="str">
        <f>BK68</f>
        <v xml:space="preserve">EPB </v>
      </c>
      <c r="BL74" s="765" t="str">
        <f>Table!O16</f>
        <v>ESPH</v>
      </c>
      <c r="BM74" s="454">
        <f>Table!P16</f>
        <v>0.4</v>
      </c>
      <c r="BN74" s="454">
        <f>BM75</f>
        <v>0.6</v>
      </c>
      <c r="BO74" s="454">
        <f>Table!Q16</f>
        <v>102</v>
      </c>
      <c r="BP74" s="924">
        <f>Table!R16</f>
        <v>114</v>
      </c>
      <c r="BQ74" s="920"/>
      <c r="BR74" s="768" t="str">
        <f>Table!S16</f>
        <v>ES-H</v>
      </c>
      <c r="BS74" s="454" t="str">
        <f>Table!S17</f>
        <v>EM-H</v>
      </c>
      <c r="BT74" s="454" t="str">
        <f>Table!T16</f>
        <v>E</v>
      </c>
      <c r="BU74" s="924" t="s">
        <v>242</v>
      </c>
      <c r="BV74" s="1230" t="str">
        <f>Table!AI83</f>
        <v>ESPH</v>
      </c>
      <c r="BW74" s="1229">
        <f>BJ74</f>
        <v>66</v>
      </c>
      <c r="BX74" s="924" t="str">
        <f>Table!T17</f>
        <v>Double</v>
      </c>
      <c r="CH74" s="768">
        <f>IF(BN74=999,0,(BO75-BO74)/(BN74-BM74))</f>
        <v>90.000000000000014</v>
      </c>
      <c r="CI74" s="924">
        <f>IF(BN74=999,0,(BP75-BP74)/(BN74-BM74))</f>
        <v>80.000000000000014</v>
      </c>
      <c r="CJ74" s="759"/>
      <c r="CK74" s="188"/>
      <c r="CL74" s="979">
        <f>VLOOKUP(I74,Prodlink,2,0)</f>
        <v>0</v>
      </c>
      <c r="CN74" s="497">
        <f ca="1">VLOOKUP(CO74,Prodlink,2,0)</f>
        <v>0</v>
      </c>
      <c r="CO74" s="497">
        <f ca="1">OFFSET($CH$9,CL74-1,-15,1,1)</f>
        <v>0</v>
      </c>
      <c r="CQ74" s="51">
        <v>0</v>
      </c>
      <c r="CR74" s="51">
        <f ca="1">IF(AND(Z74&lt;&gt;"t",Z74&lt;&gt;"f"),10000,IF(K74=$BH$11,0,IF(K74=$BH$12,$BH$23,IF(K74=$BH$13,$BH$24,10000))))</f>
        <v>10000</v>
      </c>
      <c r="CS74" s="51">
        <f ca="1">IF(F74&lt;OFFSET($BM$9,CL74-1,0,1,1),0,IF(F74&lt;OFFSET($BN$9,CL74-1,0,1,1),((F74-OFFSET($BM$9,CL74-1,0,1,1))*OFFSET($CH$9,CL74-1,0,1,1))+OFFSET($BO$9,CL74-1,CQ74,1,1),IF(F74&lt;OFFSET($BN$9,CL74+0,0,1,1),((F74-OFFSET($BM$9,CL74+0,0,1,1))*OFFSET($CH$9,CL74+0,0,1,1))+OFFSET($BO$9,CL74+0,CQ74,1,1),IF(F74&lt;OFFSET($BN$9,CL74+1,0,1,1),((F74-OFFSET($BM$9,CL74+1,0,1,1))*OFFSET($CH$9,CL74+1,0,1,1))+OFFSET($BO$9,CL74+1,CQ74,1,1),IF(F74&lt;OFFSET($BN$9,CL74+2,0,1,1),((F74-OFFSET($BM$9,CL74+2,0,1,1))*OFFSET($CH$9,CL74+2,0,1,1))+OFFSET($BO$9,CL74+2,CQ74,1,1),IF(F74&lt;OFFSET($BN$9,CL74+3,0,1,1),((F74-OFFSET($BM$9,CL74+3,0,1,1))*OFFSET($CH$9,CL74+3,0,1,1))+OFFSET($BO$9,CL74+3,CQ74,1,1),0))))))</f>
        <v>0</v>
      </c>
      <c r="CT74" s="51">
        <f ca="1">IF($F74&lt;OFFSET($BM$9,$CL74-1,0,1,1),0,IF($F74&lt;OFFSET($BN$9,$CL74-1,0,1,1),IF(AND($H74&gt;2.4,Z74&lt;&gt;"e",Z74&lt;&gt;"f"),CX74*2.4/$H74,CX74),IF($F74&lt;OFFSET($BN$9,$CL74+0,0,1,1),IF(AND($H74&gt;2.4,Z74&lt;&gt;"e",Z74&lt;&gt;"f"),CX74*2.4/$H74,CX74),IF($F74&lt;OFFSET($BN$9,$CL74+1,0,1,1),IF(AND($H74&gt;2.4,Z74&lt;&gt;"e",Z74&lt;&gt;"f"),CX74*2.4/$H74,CX74),IF($F74&lt;OFFSET($BN$9,CL74+2,0,1,1),IF(AND($H74&gt;2.4,Z74&lt;&gt;"e",Z74&lt;&gt;"f"),CX74*2.4/$H74,CX74),IF($F74&lt;OFFSET($BN$9,CL74+3,0,1,1),IF(AND($H74&gt;2.4,Z74&lt;&gt;"e",Z74&lt;&gt;"f"),CX74*2.4/$H74,CX74),0)))))*COS(RADIANS($G74)))</f>
        <v>0</v>
      </c>
      <c r="CU74" s="51">
        <f ca="1">IF(F74&lt;OFFSET($BM$9,CL74-1,0,1,1),0,IF(F74&lt;OFFSET($BN$9,CL74-1,0,1,1),((F74-OFFSET($BM$9,CL74-1,0,1,1))*OFFSET($CI$9,CL74-1,0,1,1))+OFFSET($BP$9,CL74-1,CQ74,1,1),IF(F74&lt;OFFSET($BN$9,CL74+0,0,1,1),((F74-OFFSET($BM$9,CL74+0,0,1,1))*OFFSET($CI$9,CL74+0,0,1,1))+OFFSET($BP$9,CL74+0,CQ74,1,1),IF(F74&lt;OFFSET($BN$9,CL74+1,0,1,1),((F74-OFFSET($BM$9,CL74+1,0,1,1))*OFFSET($CI$9,CL74+1,0,1,1))+OFFSET($BP$9,CL74+1,CQ74,1,1),IF(F74&lt;OFFSET($BN$9,CL74+2,0,1,1),((F74-OFFSET($BM$9,CL74+2,0,1,1))*OFFSET($CI$9,CL74+2,0,1,1))+OFFSET($BP$9,CL74+2,CQ74,1,1),IF(F74&lt;OFFSET($BN$9,CL74+3,0,1,1),((F74-OFFSET($BM$9,CL74+3,0,1,1))*OFFSET($CI$9,CL74+3,0,1,1))+OFFSET($BP$9,CL74+3,CQ74,1,1),0))))))</f>
        <v>0</v>
      </c>
      <c r="CV74" s="51">
        <f ca="1">IF($F74&lt;OFFSET($BM$9,$CL74-1,0,1,1),0,IF($F74&lt;OFFSET($BN$9,$CL74-1,0,1,1),IF(AND($H74&gt;2.4,Z74&lt;&gt;"e",Z74&lt;&gt;"f"),CZ74*2.4/$H74,CZ74),IF($F74&lt;OFFSET($BN$9,$CL74+0,0,1,1),IF(AND($H74&gt;2.4,Z74&lt;&gt;"e",Z74&lt;&gt;"f"),CZ74*2.4/$H74,CZ74),IF($F74&lt;OFFSET($BN$9,$CL74+1,0,1,1),IF(AND($H74&gt;2.4,Z74&lt;&gt;"e",Z74&lt;&gt;"f"),CZ74*2.4/$H74,CZ74),IF($F74&lt;OFFSET($BN$9,$CL74+2,0,1,1),IF(AND($H74&gt;2.4,Z74&lt;&gt;"e",Z74&lt;&gt;"f"),CZ74*2.4/$H74,CZ74),IF($F74&lt;OFFSET($BN$9,$CL74+3,0,1,1),IF(AND($H74&gt;2.4,Z74&lt;&gt;"e",Z74&lt;&gt;"f"),CZ74*2.4/$H74,CZ74),0)))))*COS(RADIANS($G74)))</f>
        <v>0</v>
      </c>
      <c r="CW74" s="51">
        <f ca="1">IF(CT74&gt;CR74,CR74,CT74)</f>
        <v>0</v>
      </c>
      <c r="CX74" s="51">
        <f ca="1">IF(CS74&gt;$CR74,$CR74,CS74)</f>
        <v>0</v>
      </c>
      <c r="CY74" s="51">
        <f ca="1">CW74*F74</f>
        <v>0</v>
      </c>
      <c r="CZ74" s="51">
        <f ca="1">IF($CU74&gt;$CR74,$CR74,$CU74)</f>
        <v>0</v>
      </c>
      <c r="DA74" s="51">
        <f ca="1">IF(CV74&gt;CR74,CR74,CV74)</f>
        <v>0</v>
      </c>
      <c r="DB74" s="51">
        <f ca="1">DA74*F74</f>
        <v>0</v>
      </c>
      <c r="DC74" s="993">
        <v>1</v>
      </c>
      <c r="DD74" s="758" t="str">
        <f>IF(OR(D74=BG$12,D74=BG$13),"External",IF(D74=BG$14,"Internal"," "))</f>
        <v xml:space="preserve"> </v>
      </c>
      <c r="DE74" s="51" t="str">
        <f t="shared" ca="1" si="18"/>
        <v/>
      </c>
      <c r="DF74" s="52" t="str">
        <f t="shared" ca="1" si="19"/>
        <v xml:space="preserve"> </v>
      </c>
      <c r="DG74" s="51">
        <f ca="1">IF(F74&lt;OFFSET($BM$9,CN74-1,0,1,1),0,IF(F74&lt;OFFSET($BN$9,CN74-1,0,1,1),((F74-OFFSET($BM$9,CN74-1,0,1,1))*OFFSET($CH$9,CN74-1,0,1,1))+OFFSET($BO$9,CN74-1,CQ74,1,1),IF(F74&lt;OFFSET($BN$9,CN74+0,0,1,1),((F74-OFFSET($BM$9,CN74+0,0,1,1))*OFFSET($CH$9,CN74+0,0,1,1))+OFFSET($BO$9,CN74+0,CQ74,1,1),IF(F74&lt;OFFSET($BN$9,CN74+1,0,1,1),((F74-OFFSET($BM$9,CN74+1,0,1,1))*OFFSET($CH$9,CN74+1,0,1,1))+OFFSET($BO$9,CN74+1,CQ74,1,1),IF(F74&lt;OFFSET($BN$9,CN74+2,0,1,1),((F74-OFFSET($BM$9,CN74+2,0,1,1))*OFFSET($CH$9,CN74+2,0,1,1))+OFFSET($BO$9,CN74+2,CQ74,1,1),IF(F74&lt;OFFSET($BN$9,CN74+3,0,1,1),((F74-OFFSET($BM$9,CN74+3,0,1,1))*OFFSET($CH$9,CN74+3,0,1,1))+OFFSET($BO$9,CN74+3,CQ74,1,1),0))))))</f>
        <v>0</v>
      </c>
      <c r="DH74" s="51">
        <f ca="1">IF($F74&lt;OFFSET($BM$9,$CN74-1,0,1,1),0,IF($F74&lt;OFFSET($BN$9,$CN74-1,0,1,1),IF(AND($H74&gt;2.4,Z74&lt;&gt;"e",Z74&lt;&gt;"f"),DL74*2.4/$H74,DL74),IF($F74&lt;OFFSET($BN$9,$CN74+0,0,1,1),IF(AND($H74&gt;2.4,Z74&lt;&gt;"e",Z74&lt;&gt;"f"),DL74*2.4/$H74,DL74),IF($F74&lt;OFFSET($BN$9,$CN74+1,0,1,1),IF(AND($H74&gt;2.4,Z74&lt;&gt;"e",Z74&lt;&gt;"f"),DL74*2.4/$H74,DL74),IF($F74&lt;OFFSET($BN$9,$CN74+2,0,1,1),IF(AND($H74&gt;2.4,Z74&lt;&gt;"e",Z74&lt;&gt;"f"),DL74*2.4/$H74,DL74),IF($F74&lt;OFFSET($BN$9,$CN74+3,0,1,1),IF(AND($H74&gt;2.4,Z74&lt;&gt;"e",Z74&lt;&gt;"f"),DL74*2.4/$H74,DL74),0)))))*COS(RADIANS($G74)))</f>
        <v>0</v>
      </c>
      <c r="DI74" s="51">
        <f ca="1">IF(F74&lt;OFFSET($BM$9,CN74-1,0,1,1),0,IF(F74&lt;OFFSET($BN$9,CN74-1,0,1,1),((F74-OFFSET($BM$9,CN74-1,0,1,1))*OFFSET($CI$9,CN74-1,0,1,1))+OFFSET($BP$9,CN74-1,CQ74,1,1),IF(F74&lt;OFFSET($BN$9,CN74+0,0,1,1),((F74-OFFSET($BM$9,CN74+0,0,1,1))*OFFSET($CI$9,CN74+0,0,1,1))+OFFSET($BP$9,CN74+0,CQ74,1,1),IF(F74&lt;OFFSET($BN$9,CN74+1,0,1,1),((F74-OFFSET($BM$9,CN74+1,0,1,1))*OFFSET($CI$9,CN74+1,0,1,1))+OFFSET($BP$9,CN74+1,CQ74,1,1),IF(F74&lt;OFFSET($BN$9,CN74+2,0,1,1),((F74-OFFSET($BM$9,CN74+2,0,1,1))*OFFSET($CI$9,CN74+2,0,1,1))+OFFSET($BP$9,CN74+2,CQ74,1,1),IF(F74&lt;OFFSET($BN$9,CN74+3,0,1,1),((F74-OFFSET($BM$9,CN74+3,0,1,1))*OFFSET($CI$9,CN74+3,0,1,1))+OFFSET($BP$9,CN74+3,CQ74,1,1),0))))))</f>
        <v>0</v>
      </c>
      <c r="DJ74" s="51">
        <f ca="1">IF($F74&lt;OFFSET($BM$9,$CN74-1,0,1,1),0,IF($F74&lt;OFFSET($BN$9,$CN74-1,0,1,1),IF(AND($H74&gt;2.4,Z74&lt;&gt;"e",Z74&lt;&gt;"f"),DN74*2.4/$H74,DN74),IF($F74&lt;OFFSET($BN$9,$CN74+0,0,1,1),IF(AND($H74&gt;2.4,Z74&lt;&gt;"e",Z74&lt;&gt;"f"),DN74*2.4/$H74,DN74),IF($F74&lt;OFFSET($BN$9,$CN74+1,0,1,1),IF(AND($H74&gt;2.4,Z74&lt;&gt;"e",Z74&lt;&gt;"f"),DN74*2.4/$H74,DN74),IF($F74&lt;OFFSET($BN$9,$CN74+2,0,1,1),IF(AND($H74&gt;2.4,Z74&lt;&gt;"e",Z74&lt;&gt;"f"),DN74*2.4/$H74,DN74),IF($F74&lt;OFFSET($BN$9,$CN74+3,0,1,1),IF(AND($H74&gt;2.4,Z74&lt;&gt;"e",Z74&lt;&gt;"f"),DN74*2.4/$H74,DN74),0)))))*COS(RADIANS($G74)))</f>
        <v>0</v>
      </c>
      <c r="DK74" s="51"/>
      <c r="DL74" s="51">
        <f ca="1">IF(DG74&gt;$CR74,$CR74,DG74)</f>
        <v>0</v>
      </c>
      <c r="DM74" s="51"/>
      <c r="DN74" s="51">
        <f ca="1">IF(DI74&gt;$CR74,$CR74,DI74)</f>
        <v>0</v>
      </c>
      <c r="DO74" s="435">
        <f ca="1">IF(DH74&gt;$CR74,$CR74,DH74)</f>
        <v>0</v>
      </c>
      <c r="DP74" s="435">
        <f ca="1">DO74*F74</f>
        <v>0</v>
      </c>
      <c r="DQ74" s="436">
        <f ca="1">IF(DJ74&gt;$CR74,$CR74,DJ74)</f>
        <v>0</v>
      </c>
      <c r="DR74" s="437">
        <f ca="1">DQ74*F74</f>
        <v>0</v>
      </c>
      <c r="DS74" s="426">
        <f ca="1">OFFSET($CH$9,CL74-1,-15,1,1)</f>
        <v>0</v>
      </c>
      <c r="DT74" s="426">
        <f ca="1">VLOOKUP(DS74,Prodlink,2,0)</f>
        <v>0</v>
      </c>
      <c r="DU74" s="188">
        <f ca="1">IF(F74&lt;OFFSET($BM$9,DT74-1,0,1,1),0,IF(F74&lt;OFFSET($BN$9,DT74-1,0,1,1),((F74-OFFSET($BM$9,DT74-1,0,1,1))*OFFSET($CH$9,DT74-1,0,1,1))+OFFSET($BO$9,DT74-1,CQ74,1,1),IF(F74&lt;OFFSET($BN$9,DT74+0,0,1,1),((F74-OFFSET($BM$9,DT74+0,0,1,1))*OFFSET($CH$9,DT74+0,0,1,1))+OFFSET($BO$9,DT74+0,CQ74,1,1),IF(F74&lt;OFFSET($BN$9,DT74+1,0,1,1),((F74-OFFSET($BM$9,DT74+1,0,1,1))*OFFSET($CH$9,DT74+1,0,1,1))+OFFSET($BO$9,DT74+1,CQ74,1,1),IF(F74&lt;OFFSET($BN$9,DT74+2,0,1,1),((F74-OFFSET($BM$9,DT74+2,0,1,1))*OFFSET($CH$9,DT74+2,0,1,1))+OFFSET($BO$9,DT74+2,CQ74,1,1),IF(F74&lt;OFFSET($BN$9,DT74+3,0,1,1),((F74-OFFSET($BM$9,DT74+3,0,1,1))*OFFSET($CH$9,DT74+3,0,1,1))+OFFSET($BO$9,DT74+3,CQ74,1,1),0))))))</f>
        <v>0</v>
      </c>
      <c r="DV74" s="51">
        <f ca="1">IF($F74&lt;OFFSET($BM$9,$DT74-1,0,1,1),0,IF($F74&lt;OFFSET($BN$9,$DT74-1,0,1,1),IF(AND($H74&gt;2.4,Z74&lt;&gt;"e",Z74&lt;&gt;"f"),DZ74*2.4/$H74,DZ74),IF($F74&lt;OFFSET($BN$9,$DT74+0,0,1,1),IF(AND($H74&gt;2.4,Z74&lt;&gt;"e",Z74&lt;&gt;"f"),DZ74*2.4/$H74,DZ74),IF($F74&lt;OFFSET($BN$9,$DT74+1,0,1,1),IF(AND($H74&gt;2.4,Z74&lt;&gt;"e",Z74&lt;&gt;"f"),DZ74*2.4/$H74,DZ74),IF($F74&lt;OFFSET($BN$9,$DT74+2,0,1,1),IF(AND($H74&gt;2.4,Z74&lt;&gt;"e",Z74&lt;&gt;"f"),DZ74*2.4/$H74,DZ74),IF($F74&lt;OFFSET($BN$9,$DT74+3,0,1,1),IF(AND($H74&gt;2.4,Z74&lt;&gt;"e",Z74&lt;&gt;"f"),DZ74*2.4/$H74,DZ74),0)))))*COS(RADIANS($G74)))</f>
        <v>0</v>
      </c>
      <c r="DW74" s="188">
        <f ca="1">IF(F74&lt;OFFSET($BM$9,DT74-1,0,1,1),0,IF(F74&lt;OFFSET($BN$9,DT74-1,0,1,1),((F74-OFFSET($BM$9,DT74-1,0,1,1))*OFFSET($CI$9,DT74-1,0,1,1))+OFFSET($BP$9,DT74-1,CQ74,1,1),IF(F74&lt;OFFSET($BN$9,DT74+0,0,1,1),((F74-OFFSET($BM$9,DT74+0,0,1,1))*OFFSET($CI$9,DT74+0,0,1,1))+OFFSET($BP$9,DT74+0,CQ74,1,1),IF(F74&lt;OFFSET($BN$9,DT74+1,0,1,1),((F74-OFFSET($BM$9,DT74+1,0,1,1))*OFFSET($CI$9,DT74+1,0,1,1))+OFFSET($BP$9,DT74+1,CQ74,1,1),IF(F74&lt;OFFSET($BN$9,DT74+2,0,1,1),((F74-OFFSET($BM$9,DT74+2,0,1,1))*OFFSET($CI$9,DT74+2,0,1,1))+OFFSET($BP$9,DT74+2,CQ74,1,1),IF(F74&lt;OFFSET($BN$9,DT74+3,0,1,1),((F74-OFFSET($BM$9,DT74+3,0,1,1))*OFFSET($CI$9,DT74+3,0,1,1))+OFFSET($BP$9,DT74+3,CQ74,1,1),0))))))</f>
        <v>0</v>
      </c>
      <c r="DX74" s="51">
        <f ca="1">IF($F74&lt;OFFSET($BM$9,$DT74-1,0,1,1),0,IF($F74&lt;OFFSET($BN$9,$DT74-1,0,1,1),IF(AND($H74&gt;2.4,Z74&lt;&gt;"e",Z74&lt;&gt;"f"),EB74*2.4/$H74,EB74),IF($F74&lt;OFFSET($BN$9,$DT74+0,0,1,1),IF(AND($H74&gt;2.4,Z74&lt;&gt;"e",Z74&lt;&gt;"f"),EB74*2.4/$H74,EB74),IF($F74&lt;OFFSET($BN$9,$DT74+1,0,1,1),IF(AND($H74&gt;2.4,Z74&lt;&gt;"e",Z74&lt;&gt;"f"),EB74*2.4/$H74,EB74),IF($F74&lt;OFFSET($BN$9,$DT74+2,0,1,1),IF(AND($H74&gt;2.4,Z74&lt;&gt;"e",Z74&lt;&gt;"f"),EB74*2.4/$H74,EB74),IF($F74&lt;OFFSET($BN$9,$DT74+3,0,1,1),IF(AND($H74&gt;2.4,Z74&lt;&gt;"e",Z74&lt;&gt;"f"),EB74*2.4/$H74,EB74),0)))))*COS(RADIANS($G74)))</f>
        <v>0</v>
      </c>
      <c r="DY74" s="188"/>
      <c r="DZ74" s="188">
        <f ca="1">IF(DU74&gt;$CR74,$CR74,DU74)</f>
        <v>0</v>
      </c>
      <c r="EA74" s="188"/>
      <c r="EB74" s="188">
        <f ca="1">IF(DW74&gt;$CR74,$CR74,DW74)</f>
        <v>0</v>
      </c>
      <c r="EC74" s="435">
        <f ca="1">IF(DV74&gt;$CR74,$CR74,DV74)</f>
        <v>0</v>
      </c>
      <c r="ED74" s="435">
        <f ca="1">EC74*F74</f>
        <v>0</v>
      </c>
      <c r="EE74" s="436">
        <f ca="1">IF(DX74&gt;$CR74,$CR74,DX74)</f>
        <v>0</v>
      </c>
      <c r="EF74" s="437">
        <f ca="1">EE74*F74</f>
        <v>0</v>
      </c>
      <c r="EG74" s="613" t="str">
        <f>IF(D74=BG$12,BG$12,"")</f>
        <v/>
      </c>
      <c r="EH74" s="614" t="str">
        <f>IF(D74=BG$13,BG$13,"")</f>
        <v/>
      </c>
      <c r="EI74" s="611">
        <f>IF(EG74=BG$12,M74,0)</f>
        <v>0</v>
      </c>
      <c r="EJ74" s="451">
        <f>IF(EG74=BG$12,O74,0)</f>
        <v>0</v>
      </c>
      <c r="EK74" s="451">
        <f>IF(EH74=BG$13,M74,0)</f>
        <v>0</v>
      </c>
      <c r="EL74" s="612">
        <f>IF(EH74=BG$13,O74,0)</f>
        <v>0</v>
      </c>
      <c r="EM74" s="426" t="str">
        <f ca="1">IF(AND(Z74&lt;&gt;"t",Z74&lt;&gt;"f"),"",IF(AND(EN74=$BH$11,K74&lt;&gt;EN74),EM$4,IF(AND(EN74=$BH$12,K74=$BH$13),EM$4,IF(AND(EN74=$BH$12,K74=$BH$14),EM$4,IF(AND(EN74=$BH$13,K74=$BH$14),$EM$4,IF(EN74=$BH$14,$EM$4,""))))))</f>
        <v/>
      </c>
      <c r="EN74" s="489" t="str">
        <f>BG$24</f>
        <v>No Floor</v>
      </c>
      <c r="EO74" s="426" t="str">
        <f>K74</f>
        <v xml:space="preserve"> </v>
      </c>
      <c r="EP74" s="497" t="str">
        <f ca="1">IF(AND(Z74&lt;&gt;"t",Z74&lt;&gt;"f"),"",IF(AND(EN74=$BH$14,K74&lt;&gt;EN74),EP$4,IF(AND(EN74=$BH$13,K74=$BH$12),EP$4,IF(AND(EN74=$BH$13,K74=$BH$11),EP$4,IF(AND(EN74=$BH$12,K74=$BH$11),$EP$4,IF(EN74=$BH$11,"Earth",""))))))</f>
        <v/>
      </c>
      <c r="EQ74" s="430" t="str">
        <f ca="1">IF(Z74&lt;&gt;"t","",IF(EQ$5=2,IF(K74&lt;&gt;BH$11,EQ$7," ")))</f>
        <v/>
      </c>
      <c r="ER74" s="439" t="str">
        <f ca="1">IF(H74=0," ",H74)</f>
        <v xml:space="preserve"> </v>
      </c>
      <c r="ES74" s="440" t="str">
        <f ca="1">IF(ER74&lt;&gt;" ",IF(ER74&lt;&gt;ER$7,"Changed",""),"")</f>
        <v/>
      </c>
      <c r="ET74" s="440">
        <f ca="1">IF(ER74&lt;&gt;" ",IF(ER74&lt;&gt;ER$7,1,0),0)</f>
        <v>0</v>
      </c>
      <c r="EU74" s="426" t="str">
        <f ca="1">IF(I74=" "," ",IF(F74&lt;OFFSET($BM$9,CL74-1,0,1,1),1,""))</f>
        <v xml:space="preserve"> </v>
      </c>
      <c r="EW74" s="427"/>
      <c r="EY74" s="421"/>
    </row>
    <row r="75" spans="1:155" ht="17.100000000000001" hidden="1" customHeight="1">
      <c r="A75" s="2685"/>
      <c r="B75" s="689" t="s">
        <v>246</v>
      </c>
      <c r="C75" s="684" t="str">
        <f>IF(OR(F75=0,I75="",I75=" ")," ",$V75)</f>
        <v xml:space="preserve"> </v>
      </c>
      <c r="D75" s="1033"/>
      <c r="E75" s="1360"/>
      <c r="F75" s="202"/>
      <c r="G75" s="1416"/>
      <c r="H75" s="1417" t="str">
        <f ca="1">IF(OR(F75=0,Z75="E",Z75="f")," ",'Project Demand'!E$55)</f>
        <v xml:space="preserve"> </v>
      </c>
      <c r="I75" s="631" t="str">
        <f>IF($I$6&lt;&gt;$BG$8," ",AB75)</f>
        <v xml:space="preserve"> </v>
      </c>
      <c r="J75" s="44" t="str">
        <f ca="1">IF(OR(I75=" ",I75="")," ",OFFSET($BO$9,CL75-1,0-4,1,1))</f>
        <v xml:space="preserve"> </v>
      </c>
      <c r="K75" s="55" t="str">
        <f>IF(OR(I75=" ",I75="")," ",IF(OR(Z75="e",Z75="h"),"SD",IF(BG$24=BH$11,BH$13,BG$24)))</f>
        <v xml:space="preserve"> </v>
      </c>
      <c r="L75" s="49">
        <f ca="1">CW75</f>
        <v>0</v>
      </c>
      <c r="M75" s="49">
        <f ca="1">CY75</f>
        <v>0</v>
      </c>
      <c r="N75" s="50">
        <f t="shared" ca="1" si="40"/>
        <v>0</v>
      </c>
      <c r="O75" s="126">
        <f t="shared" ca="1" si="40"/>
        <v>0</v>
      </c>
      <c r="P75" s="140"/>
      <c r="Q75" s="752" t="str">
        <f ca="1">IF(AND(OR(Z75="t",Z75="f"),K75=$BH$11),"No Floor!  Change Floor Type",IF(OR(I75=" ",I75="")," ",IF(F75&lt;OFFSET($BM$9,CL75-1,0,1,1),"check L(m)",DE75&amp;IF(AND(DP75&gt;=CY75,DR75&gt;=DB75),IF(AND(ED75&gt;=DP75,EF75&gt;=DR75),CONCATENATE(DS75," will provide same result"),CONCATENATE(CO75," will provide same result")),IF((DP75&gt;=CY75),CONCATENATE(CO75," provides same result in WIND"),IF((DR75&gt;=DB75),CONCATENATE(CO75," provides same result in EQ"),""))))))&amp;IF(ISERROR(FIND("pile",I75,1)),"",IF(INT(F75)&lt;&gt;F75,"Pile!  Use Whole Numbers Only",""))</f>
        <v xml:space="preserve"> </v>
      </c>
      <c r="R75" s="52"/>
      <c r="S75" s="1372"/>
      <c r="T75" s="1372"/>
      <c r="U75" s="1377"/>
      <c r="V75" s="52" t="str">
        <f ca="1">IF(AND(B$5=$BF$9,OR(I75=BH$16,I75=BH$17))," ",IF(ISNUMBER(B$74),(CONCATENATE(B$74,".",W75)),(CONCATENATE(B$74,W75))))</f>
        <v>L0</v>
      </c>
      <c r="W75" s="9">
        <f ca="1">W74+X75</f>
        <v>0</v>
      </c>
      <c r="X75" s="9">
        <f>IF(AND(B$5=$BF$9,OR($I75=$BH$16,$I75=$BH$17,$I75=" ",$I75="",$F75=0)),0,IF(OR($I75=" ",$I75="",$F75=0),0,1))</f>
        <v>0</v>
      </c>
      <c r="Y75" s="896"/>
      <c r="Z75" s="52" t="str">
        <f ca="1">IF(I75=" "," ",OFFSET($BM$9,$CL75-1,8,1,1))</f>
        <v xml:space="preserve"> </v>
      </c>
      <c r="AA75" s="51" t="str">
        <f>IF(G75&gt;=45,"WA","")</f>
        <v/>
      </c>
      <c r="AB75" s="1364" t="str">
        <f>IF(OR(E75=" ",E75="")," ",(IF(F75&lt;&gt;"",IF(OR(D75=$BG$12,D75=$BG$13),IF(E75&lt;&gt;$BG$17,$BF$20,$BF$21),IF(E75&lt;&gt;$BG$17,$BF$20,$BF$21))," ")))</f>
        <v xml:space="preserve"> </v>
      </c>
      <c r="AC75" s="1"/>
      <c r="AO75" s="51"/>
      <c r="AP75" s="51"/>
      <c r="AQ75" s="51"/>
      <c r="AR75" s="51"/>
      <c r="AS75" s="51"/>
      <c r="AT75" s="51"/>
      <c r="AU75" s="51"/>
      <c r="AV75" s="51"/>
      <c r="AW75" s="51"/>
      <c r="AX75" s="51"/>
      <c r="AY75" s="51"/>
      <c r="AZ75" s="51"/>
      <c r="BA75" s="51"/>
      <c r="BB75" s="51"/>
      <c r="BC75" s="51"/>
      <c r="BD75" s="652"/>
      <c r="BI75" s="759"/>
      <c r="BJ75" s="897">
        <f t="shared" si="33"/>
        <v>67</v>
      </c>
      <c r="BK75" s="764"/>
      <c r="BL75" s="773"/>
      <c r="BM75" s="455">
        <f>Table!P17</f>
        <v>0.6</v>
      </c>
      <c r="BN75" s="455">
        <f>BM76</f>
        <v>0.8</v>
      </c>
      <c r="BO75" s="455">
        <f>Table!Q17</f>
        <v>120</v>
      </c>
      <c r="BP75" s="925">
        <f>Table!R17</f>
        <v>130</v>
      </c>
      <c r="BR75" s="764"/>
      <c r="BS75" s="455"/>
      <c r="BT75" s="455"/>
      <c r="BU75" s="925" t="s">
        <v>242</v>
      </c>
      <c r="BV75" s="895"/>
      <c r="BW75" s="912"/>
      <c r="BX75" s="925" t="str">
        <f>Table!T17</f>
        <v>Double</v>
      </c>
      <c r="CH75" s="764">
        <f>IF(BN75=999,0,(BO76-BO75)/(BN75-BM75))</f>
        <v>99.999999999999972</v>
      </c>
      <c r="CI75" s="925">
        <f>IF(BN75=999,0,(BP76-BP75)/(BN75-BM75))</f>
        <v>49.999999999999986</v>
      </c>
      <c r="CJ75" s="759"/>
      <c r="CK75" s="188"/>
      <c r="CL75" s="979">
        <f>VLOOKUP(I75,Prodlink,2,0)</f>
        <v>0</v>
      </c>
      <c r="CN75" s="497">
        <f ca="1">VLOOKUP(CO75,Prodlink,2,0)</f>
        <v>0</v>
      </c>
      <c r="CO75" s="497">
        <f ca="1">OFFSET($CH$9,CL75-1,-15,1,1)</f>
        <v>0</v>
      </c>
      <c r="CQ75" s="51">
        <v>0</v>
      </c>
      <c r="CR75" s="51">
        <f ca="1">IF(AND(Z75&lt;&gt;"t",Z75&lt;&gt;"f"),10000,IF(K75=$BH$11,0,IF(K75=$BH$12,$BH$23,IF(K75=$BH$13,$BH$24,10000))))</f>
        <v>10000</v>
      </c>
      <c r="CS75" s="51">
        <f ca="1">IF(F75&lt;OFFSET($BM$9,CL75-1,0,1,1),0,IF(F75&lt;OFFSET($BN$9,CL75-1,0,1,1),((F75-OFFSET($BM$9,CL75-1,0,1,1))*OFFSET($CH$9,CL75-1,0,1,1))+OFFSET($BO$9,CL75-1,CQ75,1,1),IF(F75&lt;OFFSET($BN$9,CL75+0,0,1,1),((F75-OFFSET($BM$9,CL75+0,0,1,1))*OFFSET($CH$9,CL75+0,0,1,1))+OFFSET($BO$9,CL75+0,CQ75,1,1),IF(F75&lt;OFFSET($BN$9,CL75+1,0,1,1),((F75-OFFSET($BM$9,CL75+1,0,1,1))*OFFSET($CH$9,CL75+1,0,1,1))+OFFSET($BO$9,CL75+1,CQ75,1,1),IF(F75&lt;OFFSET($BN$9,CL75+2,0,1,1),((F75-OFFSET($BM$9,CL75+2,0,1,1))*OFFSET($CH$9,CL75+2,0,1,1))+OFFSET($BO$9,CL75+2,CQ75,1,1),IF(F75&lt;OFFSET($BN$9,CL75+3,0,1,1),((F75-OFFSET($BM$9,CL75+3,0,1,1))*OFFSET($CH$9,CL75+3,0,1,1))+OFFSET($BO$9,CL75+3,CQ75,1,1),0))))))</f>
        <v>0</v>
      </c>
      <c r="CT75" s="51">
        <f ca="1">IF($F75&lt;OFFSET($BM$9,$CL75-1,0,1,1),0,IF($F75&lt;OFFSET($BN$9,$CL75-1,0,1,1),IF(AND($H75&gt;2.4,Z75&lt;&gt;"e",Z75&lt;&gt;"f"),CX75*2.4/$H75,CX75),IF($F75&lt;OFFSET($BN$9,$CL75+0,0,1,1),IF(AND($H75&gt;2.4,Z75&lt;&gt;"e",Z75&lt;&gt;"f"),CX75*2.4/$H75,CX75),IF($F75&lt;OFFSET($BN$9,$CL75+1,0,1,1),IF(AND($H75&gt;2.4,Z75&lt;&gt;"e",Z75&lt;&gt;"f"),CX75*2.4/$H75,CX75),IF($F75&lt;OFFSET($BN$9,CL75+2,0,1,1),IF(AND($H75&gt;2.4,Z75&lt;&gt;"e",Z75&lt;&gt;"f"),CX75*2.4/$H75,CX75),IF($F75&lt;OFFSET($BN$9,CL75+3,0,1,1),IF(AND($H75&gt;2.4,Z75&lt;&gt;"e",Z75&lt;&gt;"f"),CX75*2.4/$H75,CX75),0)))))*COS(RADIANS($G75)))</f>
        <v>0</v>
      </c>
      <c r="CU75" s="51">
        <f ca="1">IF(F75&lt;OFFSET($BM$9,CL75-1,0,1,1),0,IF(F75&lt;OFFSET($BN$9,CL75-1,0,1,1),((F75-OFFSET($BM$9,CL75-1,0,1,1))*OFFSET($CI$9,CL75-1,0,1,1))+OFFSET($BP$9,CL75-1,CQ75,1,1),IF(F75&lt;OFFSET($BN$9,CL75+0,0,1,1),((F75-OFFSET($BM$9,CL75+0,0,1,1))*OFFSET($CI$9,CL75+0,0,1,1))+OFFSET($BP$9,CL75+0,CQ75,1,1),IF(F75&lt;OFFSET($BN$9,CL75+1,0,1,1),((F75-OFFSET($BM$9,CL75+1,0,1,1))*OFFSET($CI$9,CL75+1,0,1,1))+OFFSET($BP$9,CL75+1,CQ75,1,1),IF(F75&lt;OFFSET($BN$9,CL75+2,0,1,1),((F75-OFFSET($BM$9,CL75+2,0,1,1))*OFFSET($CI$9,CL75+2,0,1,1))+OFFSET($BP$9,CL75+2,CQ75,1,1),IF(F75&lt;OFFSET($BN$9,CL75+3,0,1,1),((F75-OFFSET($BM$9,CL75+3,0,1,1))*OFFSET($CI$9,CL75+3,0,1,1))+OFFSET($BP$9,CL75+3,CQ75,1,1),0))))))</f>
        <v>0</v>
      </c>
      <c r="CV75" s="51">
        <f ca="1">IF($F75&lt;OFFSET($BM$9,$CL75-1,0,1,1),0,IF($F75&lt;OFFSET($BN$9,$CL75-1,0,1,1),IF(AND($H75&gt;2.4,Z75&lt;&gt;"e",Z75&lt;&gt;"f"),CZ75*2.4/$H75,CZ75),IF($F75&lt;OFFSET($BN$9,$CL75+0,0,1,1),IF(AND($H75&gt;2.4,Z75&lt;&gt;"e",Z75&lt;&gt;"f"),CZ75*2.4/$H75,CZ75),IF($F75&lt;OFFSET($BN$9,$CL75+1,0,1,1),IF(AND($H75&gt;2.4,Z75&lt;&gt;"e",Z75&lt;&gt;"f"),CZ75*2.4/$H75,CZ75),IF($F75&lt;OFFSET($BN$9,$CL75+2,0,1,1),IF(AND($H75&gt;2.4,Z75&lt;&gt;"e",Z75&lt;&gt;"f"),CZ75*2.4/$H75,CZ75),IF($F75&lt;OFFSET($BN$9,$CL75+3,0,1,1),IF(AND($H75&gt;2.4,Z75&lt;&gt;"e",Z75&lt;&gt;"f"),CZ75*2.4/$H75,CZ75),0)))))*COS(RADIANS($G75)))</f>
        <v>0</v>
      </c>
      <c r="CW75" s="51">
        <f ca="1">IF(CT75&gt;CR75,CR75,CT75)</f>
        <v>0</v>
      </c>
      <c r="CX75" s="51">
        <f ca="1">IF(CS75&gt;$CR75,$CR75,CS75)</f>
        <v>0</v>
      </c>
      <c r="CY75" s="51">
        <f ca="1">CW75*F75</f>
        <v>0</v>
      </c>
      <c r="CZ75" s="51">
        <f ca="1">IF($CU75&gt;$CR75,$CR75,$CU75)</f>
        <v>0</v>
      </c>
      <c r="DA75" s="51">
        <f ca="1">IF(CV75&gt;CR75,CR75,CV75)</f>
        <v>0</v>
      </c>
      <c r="DB75" s="51">
        <f ca="1">DA75*F75</f>
        <v>0</v>
      </c>
      <c r="DC75" s="993">
        <v>1</v>
      </c>
      <c r="DD75" s="758" t="str">
        <f>IF(OR(D75=BG$12,D75=BG$13),"External",IF(D75=BG$14,"Internal"," "))</f>
        <v xml:space="preserve"> </v>
      </c>
      <c r="DE75" s="51" t="str">
        <f t="shared" ca="1" si="18"/>
        <v/>
      </c>
      <c r="DF75" s="52" t="str">
        <f t="shared" ca="1" si="19"/>
        <v xml:space="preserve"> </v>
      </c>
      <c r="DG75" s="51">
        <f ca="1">IF(F75&lt;OFFSET($BM$9,CN75-1,0,1,1),0,IF(F75&lt;OFFSET($BN$9,CN75-1,0,1,1),((F75-OFFSET($BM$9,CN75-1,0,1,1))*OFFSET($CH$9,CN75-1,0,1,1))+OFFSET($BO$9,CN75-1,CQ75,1,1),IF(F75&lt;OFFSET($BN$9,CN75+0,0,1,1),((F75-OFFSET($BM$9,CN75+0,0,1,1))*OFFSET($CH$9,CN75+0,0,1,1))+OFFSET($BO$9,CN75+0,CQ75,1,1),IF(F75&lt;OFFSET($BN$9,CN75+1,0,1,1),((F75-OFFSET($BM$9,CN75+1,0,1,1))*OFFSET($CH$9,CN75+1,0,1,1))+OFFSET($BO$9,CN75+1,CQ75,1,1),IF(F75&lt;OFFSET($BN$9,CN75+2,0,1,1),((F75-OFFSET($BM$9,CN75+2,0,1,1))*OFFSET($CH$9,CN75+2,0,1,1))+OFFSET($BO$9,CN75+2,CQ75,1,1),IF(F75&lt;OFFSET($BN$9,CN75+3,0,1,1),((F75-OFFSET($BM$9,CN75+3,0,1,1))*OFFSET($CH$9,CN75+3,0,1,1))+OFFSET($BO$9,CN75+3,CQ75,1,1),0))))))</f>
        <v>0</v>
      </c>
      <c r="DH75" s="51">
        <f ca="1">IF($F75&lt;OFFSET($BM$9,$CN75-1,0,1,1),0,IF($F75&lt;OFFSET($BN$9,$CN75-1,0,1,1),IF(AND($H75&gt;2.4,Z75&lt;&gt;"e",Z75&lt;&gt;"f"),DL75*2.4/$H75,DL75),IF($F75&lt;OFFSET($BN$9,$CN75+0,0,1,1),IF(AND($H75&gt;2.4,Z75&lt;&gt;"e",Z75&lt;&gt;"f"),DL75*2.4/$H75,DL75),IF($F75&lt;OFFSET($BN$9,$CN75+1,0,1,1),IF(AND($H75&gt;2.4,Z75&lt;&gt;"e",Z75&lt;&gt;"f"),DL75*2.4/$H75,DL75),IF($F75&lt;OFFSET($BN$9,$CN75+2,0,1,1),IF(AND($H75&gt;2.4,Z75&lt;&gt;"e",Z75&lt;&gt;"f"),DL75*2.4/$H75,DL75),IF($F75&lt;OFFSET($BN$9,$CN75+3,0,1,1),IF(AND($H75&gt;2.4,Z75&lt;&gt;"e",Z75&lt;&gt;"f"),DL75*2.4/$H75,DL75),0)))))*COS(RADIANS($G75)))</f>
        <v>0</v>
      </c>
      <c r="DI75" s="51">
        <f ca="1">IF(F75&lt;OFFSET($BM$9,CN75-1,0,1,1),0,IF(F75&lt;OFFSET($BN$9,CN75-1,0,1,1),((F75-OFFSET($BM$9,CN75-1,0,1,1))*OFFSET($CI$9,CN75-1,0,1,1))+OFFSET($BP$9,CN75-1,CQ75,1,1),IF(F75&lt;OFFSET($BN$9,CN75+0,0,1,1),((F75-OFFSET($BM$9,CN75+0,0,1,1))*OFFSET($CI$9,CN75+0,0,1,1))+OFFSET($BP$9,CN75+0,CQ75,1,1),IF(F75&lt;OFFSET($BN$9,CN75+1,0,1,1),((F75-OFFSET($BM$9,CN75+1,0,1,1))*OFFSET($CI$9,CN75+1,0,1,1))+OFFSET($BP$9,CN75+1,CQ75,1,1),IF(F75&lt;OFFSET($BN$9,CN75+2,0,1,1),((F75-OFFSET($BM$9,CN75+2,0,1,1))*OFFSET($CI$9,CN75+2,0,1,1))+OFFSET($BP$9,CN75+2,CQ75,1,1),IF(F75&lt;OFFSET($BN$9,CN75+3,0,1,1),((F75-OFFSET($BM$9,CN75+3,0,1,1))*OFFSET($CI$9,CN75+3,0,1,1))+OFFSET($BP$9,CN75+3,CQ75,1,1),0))))))</f>
        <v>0</v>
      </c>
      <c r="DJ75" s="51">
        <f ca="1">IF($F75&lt;OFFSET($BM$9,$CN75-1,0,1,1),0,IF($F75&lt;OFFSET($BN$9,$CN75-1,0,1,1),IF(AND($H75&gt;2.4,Z75&lt;&gt;"e",Z75&lt;&gt;"f"),DN75*2.4/$H75,DN75),IF($F75&lt;OFFSET($BN$9,$CN75+0,0,1,1),IF(AND($H75&gt;2.4,Z75&lt;&gt;"e",Z75&lt;&gt;"f"),DN75*2.4/$H75,DN75),IF($F75&lt;OFFSET($BN$9,$CN75+1,0,1,1),IF(AND($H75&gt;2.4,Z75&lt;&gt;"e",Z75&lt;&gt;"f"),DN75*2.4/$H75,DN75),IF($F75&lt;OFFSET($BN$9,$CN75+2,0,1,1),IF(AND($H75&gt;2.4,Z75&lt;&gt;"e",Z75&lt;&gt;"f"),DN75*2.4/$H75,DN75),IF($F75&lt;OFFSET($BN$9,$CN75+3,0,1,1),IF(AND($H75&gt;2.4,Z75&lt;&gt;"e",Z75&lt;&gt;"f"),DN75*2.4/$H75,DN75),0)))))*COS(RADIANS($G75)))</f>
        <v>0</v>
      </c>
      <c r="DK75" s="51"/>
      <c r="DL75" s="51">
        <f ca="1">IF(DG75&gt;$CR75,$CR75,DG75)</f>
        <v>0</v>
      </c>
      <c r="DM75" s="51"/>
      <c r="DN75" s="51">
        <f ca="1">IF(DI75&gt;$CR75,$CR75,DI75)</f>
        <v>0</v>
      </c>
      <c r="DO75" s="435">
        <f ca="1">IF(DH75&gt;$CR75,$CR75,DH75)</f>
        <v>0</v>
      </c>
      <c r="DP75" s="435">
        <f ca="1">DO75*F75</f>
        <v>0</v>
      </c>
      <c r="DQ75" s="436">
        <f ca="1">IF(DJ75&gt;$CR75,$CR75,DJ75)</f>
        <v>0</v>
      </c>
      <c r="DR75" s="437">
        <f ca="1">DQ75*F75</f>
        <v>0</v>
      </c>
      <c r="DS75" s="426">
        <f ca="1">OFFSET($CH$9,CL75-1,-15,1,1)</f>
        <v>0</v>
      </c>
      <c r="DT75" s="426">
        <f ca="1">VLOOKUP(DS75,Prodlink,2,0)</f>
        <v>0</v>
      </c>
      <c r="DU75" s="188">
        <f ca="1">IF(F75&lt;OFFSET($BM$9,DT75-1,0,1,1),0,IF(F75&lt;OFFSET($BN$9,DT75-1,0,1,1),((F75-OFFSET($BM$9,DT75-1,0,1,1))*OFFSET($CH$9,DT75-1,0,1,1))+OFFSET($BO$9,DT75-1,CQ75,1,1),IF(F75&lt;OFFSET($BN$9,DT75+0,0,1,1),((F75-OFFSET($BM$9,DT75+0,0,1,1))*OFFSET($CH$9,DT75+0,0,1,1))+OFFSET($BO$9,DT75+0,CQ75,1,1),IF(F75&lt;OFFSET($BN$9,DT75+1,0,1,1),((F75-OFFSET($BM$9,DT75+1,0,1,1))*OFFSET($CH$9,DT75+1,0,1,1))+OFFSET($BO$9,DT75+1,CQ75,1,1),IF(F75&lt;OFFSET($BN$9,DT75+2,0,1,1),((F75-OFFSET($BM$9,DT75+2,0,1,1))*OFFSET($CH$9,DT75+2,0,1,1))+OFFSET($BO$9,DT75+2,CQ75,1,1),IF(F75&lt;OFFSET($BN$9,DT75+3,0,1,1),((F75-OFFSET($BM$9,DT75+3,0,1,1))*OFFSET($CH$9,DT75+3,0,1,1))+OFFSET($BO$9,DT75+3,CQ75,1,1),0))))))</f>
        <v>0</v>
      </c>
      <c r="DV75" s="51">
        <f ca="1">IF($F75&lt;OFFSET($BM$9,$DT75-1,0,1,1),0,IF($F75&lt;OFFSET($BN$9,$DT75-1,0,1,1),IF(AND($H75&gt;2.4,Z75&lt;&gt;"e",Z75&lt;&gt;"f"),DZ75*2.4/$H75,DZ75),IF($F75&lt;OFFSET($BN$9,$DT75+0,0,1,1),IF(AND($H75&gt;2.4,Z75&lt;&gt;"e",Z75&lt;&gt;"f"),DZ75*2.4/$H75,DZ75),IF($F75&lt;OFFSET($BN$9,$DT75+1,0,1,1),IF(AND($H75&gt;2.4,Z75&lt;&gt;"e",Z75&lt;&gt;"f"),DZ75*2.4/$H75,DZ75),IF($F75&lt;OFFSET($BN$9,$DT75+2,0,1,1),IF(AND($H75&gt;2.4,Z75&lt;&gt;"e",Z75&lt;&gt;"f"),DZ75*2.4/$H75,DZ75),IF($F75&lt;OFFSET($BN$9,$DT75+3,0,1,1),IF(AND($H75&gt;2.4,Z75&lt;&gt;"e",Z75&lt;&gt;"f"),DZ75*2.4/$H75,DZ75),0)))))*COS(RADIANS($G75)))</f>
        <v>0</v>
      </c>
      <c r="DW75" s="188">
        <f ca="1">IF(F75&lt;OFFSET($BM$9,DT75-1,0,1,1),0,IF(F75&lt;OFFSET($BN$9,DT75-1,0,1,1),((F75-OFFSET($BM$9,DT75-1,0,1,1))*OFFSET($CI$9,DT75-1,0,1,1))+OFFSET($BP$9,DT75-1,CQ75,1,1),IF(F75&lt;OFFSET($BN$9,DT75+0,0,1,1),((F75-OFFSET($BM$9,DT75+0,0,1,1))*OFFSET($CI$9,DT75+0,0,1,1))+OFFSET($BP$9,DT75+0,CQ75,1,1),IF(F75&lt;OFFSET($BN$9,DT75+1,0,1,1),((F75-OFFSET($BM$9,DT75+1,0,1,1))*OFFSET($CI$9,DT75+1,0,1,1))+OFFSET($BP$9,DT75+1,CQ75,1,1),IF(F75&lt;OFFSET($BN$9,DT75+2,0,1,1),((F75-OFFSET($BM$9,DT75+2,0,1,1))*OFFSET($CI$9,DT75+2,0,1,1))+OFFSET($BP$9,DT75+2,CQ75,1,1),IF(F75&lt;OFFSET($BN$9,DT75+3,0,1,1),((F75-OFFSET($BM$9,DT75+3,0,1,1))*OFFSET($CI$9,DT75+3,0,1,1))+OFFSET($BP$9,DT75+3,CQ75,1,1),0))))))</f>
        <v>0</v>
      </c>
      <c r="DX75" s="51">
        <f ca="1">IF($F75&lt;OFFSET($BM$9,$DT75-1,0,1,1),0,IF($F75&lt;OFFSET($BN$9,$DT75-1,0,1,1),IF(AND($H75&gt;2.4,Z75&lt;&gt;"e",Z75&lt;&gt;"f"),EB75*2.4/$H75,EB75),IF($F75&lt;OFFSET($BN$9,$DT75+0,0,1,1),IF(AND($H75&gt;2.4,Z75&lt;&gt;"e",Z75&lt;&gt;"f"),EB75*2.4/$H75,EB75),IF($F75&lt;OFFSET($BN$9,$DT75+1,0,1,1),IF(AND($H75&gt;2.4,Z75&lt;&gt;"e",Z75&lt;&gt;"f"),EB75*2.4/$H75,EB75),IF($F75&lt;OFFSET($BN$9,$DT75+2,0,1,1),IF(AND($H75&gt;2.4,Z75&lt;&gt;"e",Z75&lt;&gt;"f"),EB75*2.4/$H75,EB75),IF($F75&lt;OFFSET($BN$9,$DT75+3,0,1,1),IF(AND($H75&gt;2.4,Z75&lt;&gt;"e",Z75&lt;&gt;"f"),EB75*2.4/$H75,EB75),0)))))*COS(RADIANS($G75)))</f>
        <v>0</v>
      </c>
      <c r="DY75" s="188"/>
      <c r="DZ75" s="188">
        <f ca="1">IF(DU75&gt;$CR75,$CR75,DU75)</f>
        <v>0</v>
      </c>
      <c r="EA75" s="188"/>
      <c r="EB75" s="188">
        <f ca="1">IF(DW75&gt;$CR75,$CR75,DW75)</f>
        <v>0</v>
      </c>
      <c r="EC75" s="435">
        <f ca="1">IF(DV75&gt;$CR75,$CR75,DV75)</f>
        <v>0</v>
      </c>
      <c r="ED75" s="435">
        <f ca="1">EC75*F75</f>
        <v>0</v>
      </c>
      <c r="EE75" s="436">
        <f ca="1">IF(DX75&gt;$CR75,$CR75,DX75)</f>
        <v>0</v>
      </c>
      <c r="EF75" s="437">
        <f ca="1">EE75*F75</f>
        <v>0</v>
      </c>
      <c r="EG75" s="613" t="str">
        <f>IF(D75=BG$12,BG$12,"")</f>
        <v/>
      </c>
      <c r="EH75" s="614" t="str">
        <f>IF(D75=BG$13,BG$13,"")</f>
        <v/>
      </c>
      <c r="EI75" s="611">
        <f>IF(EG75=BG$12,M75,0)</f>
        <v>0</v>
      </c>
      <c r="EJ75" s="451">
        <f>IF(EG75=BG$12,O75,0)</f>
        <v>0</v>
      </c>
      <c r="EK75" s="451">
        <f>IF(EH75=BG$13,M75,0)</f>
        <v>0</v>
      </c>
      <c r="EL75" s="612">
        <f>IF(EH75=BG$13,O75,0)</f>
        <v>0</v>
      </c>
      <c r="EM75" s="426" t="str">
        <f ca="1">IF(AND(Z75&lt;&gt;"t",Z75&lt;&gt;"f"),"",IF(AND(EN75=$BH$11,K75&lt;&gt;EN75),EM$4,IF(AND(EN75=$BH$12,K75=$BH$13),EM$4,IF(AND(EN75=$BH$12,K75=$BH$14),EM$4,IF(AND(EN75=$BH$13,K75=$BH$14),$EM$4,IF(EN75=$BH$14,$EM$4,""))))))</f>
        <v/>
      </c>
      <c r="EN75" s="489" t="str">
        <f>BG$24</f>
        <v>No Floor</v>
      </c>
      <c r="EO75" s="426" t="str">
        <f>K75</f>
        <v xml:space="preserve"> </v>
      </c>
      <c r="EP75" s="497" t="str">
        <f ca="1">IF(AND(Z75&lt;&gt;"t",Z75&lt;&gt;"f"),"",IF(AND(EN75=$BH$14,K75&lt;&gt;EN75),EP$4,IF(AND(EN75=$BH$13,K75=$BH$12),EP$4,IF(AND(EN75=$BH$13,K75=$BH$11),EP$4,IF(AND(EN75=$BH$12,K75=$BH$11),$EP$4,IF(EN75=$BH$11,"Earth",""))))))</f>
        <v/>
      </c>
      <c r="EQ75" s="430" t="str">
        <f ca="1">IF(Z75&lt;&gt;"t","",IF(EQ$5=2,IF(K75&lt;&gt;BH$11,EQ$7," ")))</f>
        <v/>
      </c>
      <c r="ER75" s="439" t="str">
        <f ca="1">IF(H75=0," ",H75)</f>
        <v xml:space="preserve"> </v>
      </c>
      <c r="ES75" s="440" t="str">
        <f ca="1">IF(ER75&lt;&gt;" ",IF(ER75&lt;&gt;ER$7,"Changed",""),"")</f>
        <v/>
      </c>
      <c r="ET75" s="440">
        <f ca="1">IF(ER75&lt;&gt;" ",IF(ER75&lt;&gt;ER$7,1,0),0)</f>
        <v>0</v>
      </c>
      <c r="EU75" s="426" t="str">
        <f ca="1">IF(I75=" "," ",IF(F75&lt;OFFSET($BM$9,CL75-1,0,1,1),1,""))</f>
        <v xml:space="preserve"> </v>
      </c>
      <c r="EW75" s="427"/>
      <c r="EY75" s="421"/>
    </row>
    <row r="76" spans="1:155" ht="17.100000000000001" hidden="1" customHeight="1">
      <c r="A76" s="2685"/>
      <c r="B76" s="689" t="s">
        <v>246</v>
      </c>
      <c r="C76" s="684" t="str">
        <f>IF(OR(F76=0,I76="",I76=" ")," ",$V76)</f>
        <v xml:space="preserve"> </v>
      </c>
      <c r="D76" s="1033"/>
      <c r="E76" s="1360"/>
      <c r="F76" s="202"/>
      <c r="G76" s="1416"/>
      <c r="H76" s="1417" t="str">
        <f ca="1">IF(OR(F76=0,Z76="E",Z76="f")," ",'Project Demand'!E$55)</f>
        <v xml:space="preserve"> </v>
      </c>
      <c r="I76" s="631" t="str">
        <f>IF($I$6&lt;&gt;$BG$8," ",AB76)</f>
        <v xml:space="preserve"> </v>
      </c>
      <c r="J76" s="44" t="str">
        <f ca="1">IF(OR(I76=" ",I76="")," ",OFFSET($BO$9,CL76-1,0-4,1,1))</f>
        <v xml:space="preserve"> </v>
      </c>
      <c r="K76" s="55" t="str">
        <f>IF(OR(I76=" ",I76="")," ",IF(OR(Z76="e",Z76="h"),"SD",IF(BG$24=BH$11,BH$13,BG$24)))</f>
        <v xml:space="preserve"> </v>
      </c>
      <c r="L76" s="49">
        <f ca="1">CW76</f>
        <v>0</v>
      </c>
      <c r="M76" s="49">
        <f ca="1">CY76</f>
        <v>0</v>
      </c>
      <c r="N76" s="50">
        <f t="shared" ca="1" si="40"/>
        <v>0</v>
      </c>
      <c r="O76" s="126">
        <f t="shared" ca="1" si="40"/>
        <v>0</v>
      </c>
      <c r="P76" s="140"/>
      <c r="Q76" s="752" t="str">
        <f ca="1">IF(AND(OR(Z76="t",Z76="f"),K76=$BH$11),"No Floor!  Change Floor Type",IF(OR(I76=" ",I76="")," ",IF(F76&lt;OFFSET($BM$9,CL76-1,0,1,1),"check L(m)",DE76&amp;IF(AND(DP76&gt;=CY76,DR76&gt;=DB76),IF(AND(ED76&gt;=DP76,EF76&gt;=DR76),CONCATENATE(DS76," will provide same result"),CONCATENATE(CO76," will provide same result")),IF((DP76&gt;=CY76),CONCATENATE(CO76," provides same result in WIND"),IF((DR76&gt;=DB76),CONCATENATE(CO76," provides same result in EQ"),""))))))&amp;IF(ISERROR(FIND("pile",I76,1)),"",IF(INT(F76)&lt;&gt;F76,"Pile!  Use Whole Numbers Only",""))</f>
        <v xml:space="preserve"> </v>
      </c>
      <c r="R76" s="52"/>
      <c r="S76" s="1372"/>
      <c r="T76" s="1372"/>
      <c r="U76" s="1377"/>
      <c r="V76" s="52" t="str">
        <f ca="1">IF(AND(B$5=$BF$9,OR(I76=BH$16,I76=BH$17))," ",IF(ISNUMBER(B$74),(CONCATENATE(B$74,".",W76)),(CONCATENATE(B$74,W76))))</f>
        <v>L0</v>
      </c>
      <c r="W76" s="9">
        <f ca="1">W75+X76</f>
        <v>0</v>
      </c>
      <c r="X76" s="9">
        <f>IF(AND(B$5=$BF$9,OR($I76=$BH$16,$I76=$BH$17,$I76=" ",$I76="",$F76=0)),0,IF(OR($I76=" ",$I76="",$F76=0),0,1))</f>
        <v>0</v>
      </c>
      <c r="Y76" s="896"/>
      <c r="Z76" s="52" t="str">
        <f ca="1">IF(I76=" "," ",OFFSET($BM$9,$CL76-1,8,1,1))</f>
        <v xml:space="preserve"> </v>
      </c>
      <c r="AA76" s="51" t="str">
        <f>IF(G76&gt;=45,"WA","")</f>
        <v/>
      </c>
      <c r="AB76" s="1364" t="str">
        <f>IF(OR(E76=" ",E76="")," ",(IF(F76&lt;&gt;"",IF(OR(D76=$BG$12,D76=$BG$13),IF(E76&lt;&gt;$BG$17,$BF$20,$BF$21),IF(E76&lt;&gt;$BG$17,$BF$20,$BF$21))," ")))</f>
        <v xml:space="preserve"> </v>
      </c>
      <c r="AC76" s="1"/>
      <c r="AO76" s="51"/>
      <c r="AP76" s="51"/>
      <c r="AQ76" s="51"/>
      <c r="AR76" s="51"/>
      <c r="AS76" s="51"/>
      <c r="AT76" s="51"/>
      <c r="AU76" s="51"/>
      <c r="AV76" s="51"/>
      <c r="AW76" s="51"/>
      <c r="AX76" s="51"/>
      <c r="AY76" s="51"/>
      <c r="AZ76" s="51"/>
      <c r="BA76" s="51"/>
      <c r="BB76" s="51"/>
      <c r="BC76" s="51"/>
      <c r="BD76" s="652"/>
      <c r="BI76" s="1240"/>
      <c r="BJ76" s="897">
        <f t="shared" si="33"/>
        <v>68</v>
      </c>
      <c r="BK76" s="764"/>
      <c r="BL76" s="773"/>
      <c r="BM76" s="455">
        <f>Table!P18</f>
        <v>0.8</v>
      </c>
      <c r="BN76" s="455">
        <f>BM77</f>
        <v>0.9</v>
      </c>
      <c r="BO76" s="455">
        <f>Table!Q18</f>
        <v>140</v>
      </c>
      <c r="BP76" s="925">
        <f>Table!R18</f>
        <v>140</v>
      </c>
      <c r="BR76" s="764"/>
      <c r="BS76" s="455"/>
      <c r="BT76" s="455"/>
      <c r="BU76" s="925" t="s">
        <v>242</v>
      </c>
      <c r="BV76" s="895"/>
      <c r="BW76" s="912"/>
      <c r="BX76" s="925" t="str">
        <f>Table!T17</f>
        <v>Double</v>
      </c>
      <c r="CH76" s="764">
        <f>IF(BN76=999,0,(BO77-BO76)/(BN76-BM76))</f>
        <v>150.00000000000003</v>
      </c>
      <c r="CI76" s="925">
        <f>IF(BN76=999,0,(BP77-BP76)/(BN76-BM76))</f>
        <v>150.00000000000003</v>
      </c>
      <c r="CJ76" s="759"/>
      <c r="CK76" s="188"/>
      <c r="CL76" s="979">
        <f>VLOOKUP(I76,Prodlink,2,0)</f>
        <v>0</v>
      </c>
      <c r="CN76" s="497">
        <f ca="1">VLOOKUP(CO76,Prodlink,2,0)</f>
        <v>0</v>
      </c>
      <c r="CO76" s="497">
        <f ca="1">OFFSET($CH$9,CL76-1,-15,1,1)</f>
        <v>0</v>
      </c>
      <c r="CQ76" s="51">
        <v>0</v>
      </c>
      <c r="CR76" s="51">
        <f ca="1">IF(AND(Z76&lt;&gt;"t",Z76&lt;&gt;"f"),10000,IF(K76=$BH$11,0,IF(K76=$BH$12,$BH$23,IF(K76=$BH$13,$BH$24,10000))))</f>
        <v>10000</v>
      </c>
      <c r="CS76" s="51">
        <f ca="1">IF(F76&lt;OFFSET($BM$9,CL76-1,0,1,1),0,IF(F76&lt;OFFSET($BN$9,CL76-1,0,1,1),((F76-OFFSET($BM$9,CL76-1,0,1,1))*OFFSET($CH$9,CL76-1,0,1,1))+OFFSET($BO$9,CL76-1,CQ76,1,1),IF(F76&lt;OFFSET($BN$9,CL76+0,0,1,1),((F76-OFFSET($BM$9,CL76+0,0,1,1))*OFFSET($CH$9,CL76+0,0,1,1))+OFFSET($BO$9,CL76+0,CQ76,1,1),IF(F76&lt;OFFSET($BN$9,CL76+1,0,1,1),((F76-OFFSET($BM$9,CL76+1,0,1,1))*OFFSET($CH$9,CL76+1,0,1,1))+OFFSET($BO$9,CL76+1,CQ76,1,1),IF(F76&lt;OFFSET($BN$9,CL76+2,0,1,1),((F76-OFFSET($BM$9,CL76+2,0,1,1))*OFFSET($CH$9,CL76+2,0,1,1))+OFFSET($BO$9,CL76+2,CQ76,1,1),IF(F76&lt;OFFSET($BN$9,CL76+3,0,1,1),((F76-OFFSET($BM$9,CL76+3,0,1,1))*OFFSET($CH$9,CL76+3,0,1,1))+OFFSET($BO$9,CL76+3,CQ76,1,1),0))))))</f>
        <v>0</v>
      </c>
      <c r="CT76" s="51">
        <f ca="1">IF($F76&lt;OFFSET($BM$9,$CL76-1,0,1,1),0,IF($F76&lt;OFFSET($BN$9,$CL76-1,0,1,1),IF(AND($H76&gt;2.4,Z76&lt;&gt;"e",Z76&lt;&gt;"f"),CX76*2.4/$H76,CX76),IF($F76&lt;OFFSET($BN$9,$CL76+0,0,1,1),IF(AND($H76&gt;2.4,Z76&lt;&gt;"e",Z76&lt;&gt;"f"),CX76*2.4/$H76,CX76),IF($F76&lt;OFFSET($BN$9,$CL76+1,0,1,1),IF(AND($H76&gt;2.4,Z76&lt;&gt;"e",Z76&lt;&gt;"f"),CX76*2.4/$H76,CX76),IF($F76&lt;OFFSET($BN$9,CL76+2,0,1,1),IF(AND($H76&gt;2.4,Z76&lt;&gt;"e",Z76&lt;&gt;"f"),CX76*2.4/$H76,CX76),IF($F76&lt;OFFSET($BN$9,CL76+3,0,1,1),IF(AND($H76&gt;2.4,Z76&lt;&gt;"e",Z76&lt;&gt;"f"),CX76*2.4/$H76,CX76),0)))))*COS(RADIANS($G76)))</f>
        <v>0</v>
      </c>
      <c r="CU76" s="51">
        <f ca="1">IF(F76&lt;OFFSET($BM$9,CL76-1,0,1,1),0,IF(F76&lt;OFFSET($BN$9,CL76-1,0,1,1),((F76-OFFSET($BM$9,CL76-1,0,1,1))*OFFSET($CI$9,CL76-1,0,1,1))+OFFSET($BP$9,CL76-1,CQ76,1,1),IF(F76&lt;OFFSET($BN$9,CL76+0,0,1,1),((F76-OFFSET($BM$9,CL76+0,0,1,1))*OFFSET($CI$9,CL76+0,0,1,1))+OFFSET($BP$9,CL76+0,CQ76,1,1),IF(F76&lt;OFFSET($BN$9,CL76+1,0,1,1),((F76-OFFSET($BM$9,CL76+1,0,1,1))*OFFSET($CI$9,CL76+1,0,1,1))+OFFSET($BP$9,CL76+1,CQ76,1,1),IF(F76&lt;OFFSET($BN$9,CL76+2,0,1,1),((F76-OFFSET($BM$9,CL76+2,0,1,1))*OFFSET($CI$9,CL76+2,0,1,1))+OFFSET($BP$9,CL76+2,CQ76,1,1),IF(F76&lt;OFFSET($BN$9,CL76+3,0,1,1),((F76-OFFSET($BM$9,CL76+3,0,1,1))*OFFSET($CI$9,CL76+3,0,1,1))+OFFSET($BP$9,CL76+3,CQ76,1,1),0))))))</f>
        <v>0</v>
      </c>
      <c r="CV76" s="51">
        <f ca="1">IF($F76&lt;OFFSET($BM$9,$CL76-1,0,1,1),0,IF($F76&lt;OFFSET($BN$9,$CL76-1,0,1,1),IF(AND($H76&gt;2.4,Z76&lt;&gt;"e",Z76&lt;&gt;"f"),CZ76*2.4/$H76,CZ76),IF($F76&lt;OFFSET($BN$9,$CL76+0,0,1,1),IF(AND($H76&gt;2.4,Z76&lt;&gt;"e",Z76&lt;&gt;"f"),CZ76*2.4/$H76,CZ76),IF($F76&lt;OFFSET($BN$9,$CL76+1,0,1,1),IF(AND($H76&gt;2.4,Z76&lt;&gt;"e",Z76&lt;&gt;"f"),CZ76*2.4/$H76,CZ76),IF($F76&lt;OFFSET($BN$9,$CL76+2,0,1,1),IF(AND($H76&gt;2.4,Z76&lt;&gt;"e",Z76&lt;&gt;"f"),CZ76*2.4/$H76,CZ76),IF($F76&lt;OFFSET($BN$9,$CL76+3,0,1,1),IF(AND($H76&gt;2.4,Z76&lt;&gt;"e",Z76&lt;&gt;"f"),CZ76*2.4/$H76,CZ76),0)))))*COS(RADIANS($G76)))</f>
        <v>0</v>
      </c>
      <c r="CW76" s="51">
        <f ca="1">IF(CT76&gt;CR76,CR76,CT76)</f>
        <v>0</v>
      </c>
      <c r="CX76" s="51">
        <f ca="1">IF(CS76&gt;$CR76,$CR76,CS76)</f>
        <v>0</v>
      </c>
      <c r="CY76" s="51">
        <f ca="1">CW76*F76</f>
        <v>0</v>
      </c>
      <c r="CZ76" s="51">
        <f ca="1">IF($CU76&gt;$CR76,$CR76,$CU76)</f>
        <v>0</v>
      </c>
      <c r="DA76" s="51">
        <f ca="1">IF(CV76&gt;CR76,CR76,CV76)</f>
        <v>0</v>
      </c>
      <c r="DB76" s="51">
        <f ca="1">DA76*F76</f>
        <v>0</v>
      </c>
      <c r="DC76" s="993">
        <v>1</v>
      </c>
      <c r="DD76" s="758" t="str">
        <f>IF(OR(D76=BG$12,D76=BG$13),"External",IF(D76=BG$14,"Internal"," "))</f>
        <v xml:space="preserve"> </v>
      </c>
      <c r="DE76" s="51" t="str">
        <f t="shared" ref="DE76:DE78" ca="1" si="41">IF(AND(OFFSET($CH$9,CL76-1,-14,1,1)="I",DD76="External"),BE$66,IF(AND(OFFSET($CH$9,CL76-1,-14,1,1)="M",DD76="Internal"),BE$65,IF(AND(OFFSET($CH$9,CL76-1,-14,1,1)="M",DD76=" "),BE$64,IF(AND(OFFSET($CH$9,CL76-1,-14,1,1)="E",DD76="Internal"),BE$62,IF(AND(OFFSET($CH$9,CL76-1,-14,1,1)="E",DD76=" "),BE$61,IF(AND(DF76="Double",E76=$BG$16),BE$67,""))))))</f>
        <v/>
      </c>
      <c r="DF76" s="52" t="str">
        <f t="shared" ref="DF76:DF78" ca="1" si="42">IF(I76=" "," ",OFFSET($BM$9,$CL76-1,11,1,1))</f>
        <v xml:space="preserve"> </v>
      </c>
      <c r="DG76" s="51">
        <f ca="1">IF(F76&lt;OFFSET($BM$9,CN76-1,0,1,1),0,IF(F76&lt;OFFSET($BN$9,CN76-1,0,1,1),((F76-OFFSET($BM$9,CN76-1,0,1,1))*OFFSET($CH$9,CN76-1,0,1,1))+OFFSET($BO$9,CN76-1,CQ76,1,1),IF(F76&lt;OFFSET($BN$9,CN76+0,0,1,1),((F76-OFFSET($BM$9,CN76+0,0,1,1))*OFFSET($CH$9,CN76+0,0,1,1))+OFFSET($BO$9,CN76+0,CQ76,1,1),IF(F76&lt;OFFSET($BN$9,CN76+1,0,1,1),((F76-OFFSET($BM$9,CN76+1,0,1,1))*OFFSET($CH$9,CN76+1,0,1,1))+OFFSET($BO$9,CN76+1,CQ76,1,1),IF(F76&lt;OFFSET($BN$9,CN76+2,0,1,1),((F76-OFFSET($BM$9,CN76+2,0,1,1))*OFFSET($CH$9,CN76+2,0,1,1))+OFFSET($BO$9,CN76+2,CQ76,1,1),IF(F76&lt;OFFSET($BN$9,CN76+3,0,1,1),((F76-OFFSET($BM$9,CN76+3,0,1,1))*OFFSET($CH$9,CN76+3,0,1,1))+OFFSET($BO$9,CN76+3,CQ76,1,1),0))))))</f>
        <v>0</v>
      </c>
      <c r="DH76" s="51">
        <f ca="1">IF($F76&lt;OFFSET($BM$9,$CN76-1,0,1,1),0,IF($F76&lt;OFFSET($BN$9,$CN76-1,0,1,1),IF(AND($H76&gt;2.4,Z76&lt;&gt;"e",Z76&lt;&gt;"f"),DL76*2.4/$H76,DL76),IF($F76&lt;OFFSET($BN$9,$CN76+0,0,1,1),IF(AND($H76&gt;2.4,Z76&lt;&gt;"e",Z76&lt;&gt;"f"),DL76*2.4/$H76,DL76),IF($F76&lt;OFFSET($BN$9,$CN76+1,0,1,1),IF(AND($H76&gt;2.4,Z76&lt;&gt;"e",Z76&lt;&gt;"f"),DL76*2.4/$H76,DL76),IF($F76&lt;OFFSET($BN$9,$CN76+2,0,1,1),IF(AND($H76&gt;2.4,Z76&lt;&gt;"e",Z76&lt;&gt;"f"),DL76*2.4/$H76,DL76),IF($F76&lt;OFFSET($BN$9,$CN76+3,0,1,1),IF(AND($H76&gt;2.4,Z76&lt;&gt;"e",Z76&lt;&gt;"f"),DL76*2.4/$H76,DL76),0)))))*COS(RADIANS($G76)))</f>
        <v>0</v>
      </c>
      <c r="DI76" s="51">
        <f ca="1">IF(F76&lt;OFFSET($BM$9,CN76-1,0,1,1),0,IF(F76&lt;OFFSET($BN$9,CN76-1,0,1,1),((F76-OFFSET($BM$9,CN76-1,0,1,1))*OFFSET($CI$9,CN76-1,0,1,1))+OFFSET($BP$9,CN76-1,CQ76,1,1),IF(F76&lt;OFFSET($BN$9,CN76+0,0,1,1),((F76-OFFSET($BM$9,CN76+0,0,1,1))*OFFSET($CI$9,CN76+0,0,1,1))+OFFSET($BP$9,CN76+0,CQ76,1,1),IF(F76&lt;OFFSET($BN$9,CN76+1,0,1,1),((F76-OFFSET($BM$9,CN76+1,0,1,1))*OFFSET($CI$9,CN76+1,0,1,1))+OFFSET($BP$9,CN76+1,CQ76,1,1),IF(F76&lt;OFFSET($BN$9,CN76+2,0,1,1),((F76-OFFSET($BM$9,CN76+2,0,1,1))*OFFSET($CI$9,CN76+2,0,1,1))+OFFSET($BP$9,CN76+2,CQ76,1,1),IF(F76&lt;OFFSET($BN$9,CN76+3,0,1,1),((F76-OFFSET($BM$9,CN76+3,0,1,1))*OFFSET($CI$9,CN76+3,0,1,1))+OFFSET($BP$9,CN76+3,CQ76,1,1),0))))))</f>
        <v>0</v>
      </c>
      <c r="DJ76" s="51">
        <f ca="1">IF($F76&lt;OFFSET($BM$9,$CN76-1,0,1,1),0,IF($F76&lt;OFFSET($BN$9,$CN76-1,0,1,1),IF(AND($H76&gt;2.4,Z76&lt;&gt;"e",Z76&lt;&gt;"f"),DN76*2.4/$H76,DN76),IF($F76&lt;OFFSET($BN$9,$CN76+0,0,1,1),IF(AND($H76&gt;2.4,Z76&lt;&gt;"e",Z76&lt;&gt;"f"),DN76*2.4/$H76,DN76),IF($F76&lt;OFFSET($BN$9,$CN76+1,0,1,1),IF(AND($H76&gt;2.4,Z76&lt;&gt;"e",Z76&lt;&gt;"f"),DN76*2.4/$H76,DN76),IF($F76&lt;OFFSET($BN$9,$CN76+2,0,1,1),IF(AND($H76&gt;2.4,Z76&lt;&gt;"e",Z76&lt;&gt;"f"),DN76*2.4/$H76,DN76),IF($F76&lt;OFFSET($BN$9,$CN76+3,0,1,1),IF(AND($H76&gt;2.4,Z76&lt;&gt;"e",Z76&lt;&gt;"f"),DN76*2.4/$H76,DN76),0)))))*COS(RADIANS($G76)))</f>
        <v>0</v>
      </c>
      <c r="DK76" s="51"/>
      <c r="DL76" s="51">
        <f ca="1">IF(DG76&gt;$CR76,$CR76,DG76)</f>
        <v>0</v>
      </c>
      <c r="DM76" s="51"/>
      <c r="DN76" s="51">
        <f ca="1">IF(DI76&gt;$CR76,$CR76,DI76)</f>
        <v>0</v>
      </c>
      <c r="DO76" s="435">
        <f ca="1">IF(DH76&gt;$CR76,$CR76,DH76)</f>
        <v>0</v>
      </c>
      <c r="DP76" s="435">
        <f ca="1">DO76*F76</f>
        <v>0</v>
      </c>
      <c r="DQ76" s="436">
        <f ca="1">IF(DJ76&gt;$CR76,$CR76,DJ76)</f>
        <v>0</v>
      </c>
      <c r="DR76" s="437">
        <f ca="1">DQ76*F76</f>
        <v>0</v>
      </c>
      <c r="DS76" s="426">
        <f ca="1">OFFSET($CH$9,CL76-1,-15,1,1)</f>
        <v>0</v>
      </c>
      <c r="DT76" s="426">
        <f ca="1">VLOOKUP(DS76,Prodlink,2,0)</f>
        <v>0</v>
      </c>
      <c r="DU76" s="188">
        <f ca="1">IF(F76&lt;OFFSET($BM$9,DT76-1,0,1,1),0,IF(F76&lt;OFFSET($BN$9,DT76-1,0,1,1),((F76-OFFSET($BM$9,DT76-1,0,1,1))*OFFSET($CH$9,DT76-1,0,1,1))+OFFSET($BO$9,DT76-1,CQ76,1,1),IF(F76&lt;OFFSET($BN$9,DT76+0,0,1,1),((F76-OFFSET($BM$9,DT76+0,0,1,1))*OFFSET($CH$9,DT76+0,0,1,1))+OFFSET($BO$9,DT76+0,CQ76,1,1),IF(F76&lt;OFFSET($BN$9,DT76+1,0,1,1),((F76-OFFSET($BM$9,DT76+1,0,1,1))*OFFSET($CH$9,DT76+1,0,1,1))+OFFSET($BO$9,DT76+1,CQ76,1,1),IF(F76&lt;OFFSET($BN$9,DT76+2,0,1,1),((F76-OFFSET($BM$9,DT76+2,0,1,1))*OFFSET($CH$9,DT76+2,0,1,1))+OFFSET($BO$9,DT76+2,CQ76,1,1),IF(F76&lt;OFFSET($BN$9,DT76+3,0,1,1),((F76-OFFSET($BM$9,DT76+3,0,1,1))*OFFSET($CH$9,DT76+3,0,1,1))+OFFSET($BO$9,DT76+3,CQ76,1,1),0))))))</f>
        <v>0</v>
      </c>
      <c r="DV76" s="51">
        <f ca="1">IF($F76&lt;OFFSET($BM$9,$DT76-1,0,1,1),0,IF($F76&lt;OFFSET($BN$9,$DT76-1,0,1,1),IF(AND($H76&gt;2.4,Z76&lt;&gt;"e",Z76&lt;&gt;"f"),DZ76*2.4/$H76,DZ76),IF($F76&lt;OFFSET($BN$9,$DT76+0,0,1,1),IF(AND($H76&gt;2.4,Z76&lt;&gt;"e",Z76&lt;&gt;"f"),DZ76*2.4/$H76,DZ76),IF($F76&lt;OFFSET($BN$9,$DT76+1,0,1,1),IF(AND($H76&gt;2.4,Z76&lt;&gt;"e",Z76&lt;&gt;"f"),DZ76*2.4/$H76,DZ76),IF($F76&lt;OFFSET($BN$9,$DT76+2,0,1,1),IF(AND($H76&gt;2.4,Z76&lt;&gt;"e",Z76&lt;&gt;"f"),DZ76*2.4/$H76,DZ76),IF($F76&lt;OFFSET($BN$9,$DT76+3,0,1,1),IF(AND($H76&gt;2.4,Z76&lt;&gt;"e",Z76&lt;&gt;"f"),DZ76*2.4/$H76,DZ76),0)))))*COS(RADIANS($G76)))</f>
        <v>0</v>
      </c>
      <c r="DW76" s="188">
        <f ca="1">IF(F76&lt;OFFSET($BM$9,DT76-1,0,1,1),0,IF(F76&lt;OFFSET($BN$9,DT76-1,0,1,1),((F76-OFFSET($BM$9,DT76-1,0,1,1))*OFFSET($CI$9,DT76-1,0,1,1))+OFFSET($BP$9,DT76-1,CQ76,1,1),IF(F76&lt;OFFSET($BN$9,DT76+0,0,1,1),((F76-OFFSET($BM$9,DT76+0,0,1,1))*OFFSET($CI$9,DT76+0,0,1,1))+OFFSET($BP$9,DT76+0,CQ76,1,1),IF(F76&lt;OFFSET($BN$9,DT76+1,0,1,1),((F76-OFFSET($BM$9,DT76+1,0,1,1))*OFFSET($CI$9,DT76+1,0,1,1))+OFFSET($BP$9,DT76+1,CQ76,1,1),IF(F76&lt;OFFSET($BN$9,DT76+2,0,1,1),((F76-OFFSET($BM$9,DT76+2,0,1,1))*OFFSET($CI$9,DT76+2,0,1,1))+OFFSET($BP$9,DT76+2,CQ76,1,1),IF(F76&lt;OFFSET($BN$9,DT76+3,0,1,1),((F76-OFFSET($BM$9,DT76+3,0,1,1))*OFFSET($CI$9,DT76+3,0,1,1))+OFFSET($BP$9,DT76+3,CQ76,1,1),0))))))</f>
        <v>0</v>
      </c>
      <c r="DX76" s="51">
        <f ca="1">IF($F76&lt;OFFSET($BM$9,$DT76-1,0,1,1),0,IF($F76&lt;OFFSET($BN$9,$DT76-1,0,1,1),IF(AND($H76&gt;2.4,Z76&lt;&gt;"e",Z76&lt;&gt;"f"),EB76*2.4/$H76,EB76),IF($F76&lt;OFFSET($BN$9,$DT76+0,0,1,1),IF(AND($H76&gt;2.4,Z76&lt;&gt;"e",Z76&lt;&gt;"f"),EB76*2.4/$H76,EB76),IF($F76&lt;OFFSET($BN$9,$DT76+1,0,1,1),IF(AND($H76&gt;2.4,Z76&lt;&gt;"e",Z76&lt;&gt;"f"),EB76*2.4/$H76,EB76),IF($F76&lt;OFFSET($BN$9,$DT76+2,0,1,1),IF(AND($H76&gt;2.4,Z76&lt;&gt;"e",Z76&lt;&gt;"f"),EB76*2.4/$H76,EB76),IF($F76&lt;OFFSET($BN$9,$DT76+3,0,1,1),IF(AND($H76&gt;2.4,Z76&lt;&gt;"e",Z76&lt;&gt;"f"),EB76*2.4/$H76,EB76),0)))))*COS(RADIANS($G76)))</f>
        <v>0</v>
      </c>
      <c r="DY76" s="188"/>
      <c r="DZ76" s="188">
        <f ca="1">IF(DU76&gt;$CR76,$CR76,DU76)</f>
        <v>0</v>
      </c>
      <c r="EA76" s="188"/>
      <c r="EB76" s="188">
        <f ca="1">IF(DW76&gt;$CR76,$CR76,DW76)</f>
        <v>0</v>
      </c>
      <c r="EC76" s="435">
        <f ca="1">IF(DV76&gt;$CR76,$CR76,DV76)</f>
        <v>0</v>
      </c>
      <c r="ED76" s="435">
        <f ca="1">EC76*F76</f>
        <v>0</v>
      </c>
      <c r="EE76" s="436">
        <f ca="1">IF(DX76&gt;$CR76,$CR76,DX76)</f>
        <v>0</v>
      </c>
      <c r="EF76" s="437">
        <f ca="1">EE76*F76</f>
        <v>0</v>
      </c>
      <c r="EG76" s="613" t="str">
        <f>IF(D76=BG$12,BG$12,"")</f>
        <v/>
      </c>
      <c r="EH76" s="614" t="str">
        <f>IF(D76=BG$13,BG$13,"")</f>
        <v/>
      </c>
      <c r="EI76" s="611">
        <f>IF(EG76=BG$12,M76,0)</f>
        <v>0</v>
      </c>
      <c r="EJ76" s="451">
        <f>IF(EG76=BG$12,O76,0)</f>
        <v>0</v>
      </c>
      <c r="EK76" s="451">
        <f>IF(EH76=BG$13,M76,0)</f>
        <v>0</v>
      </c>
      <c r="EL76" s="612">
        <f>IF(EH76=BG$13,O76,0)</f>
        <v>0</v>
      </c>
      <c r="EM76" s="426" t="str">
        <f ca="1">IF(AND(Z76&lt;&gt;"t",Z76&lt;&gt;"f"),"",IF(AND(EN76=$BH$11,K76&lt;&gt;EN76),EM$4,IF(AND(EN76=$BH$12,K76=$BH$13),EM$4,IF(AND(EN76=$BH$12,K76=$BH$14),EM$4,IF(AND(EN76=$BH$13,K76=$BH$14),$EM$4,IF(EN76=$BH$14,$EM$4,""))))))</f>
        <v/>
      </c>
      <c r="EN76" s="489" t="str">
        <f>BG$24</f>
        <v>No Floor</v>
      </c>
      <c r="EO76" s="426" t="str">
        <f>K76</f>
        <v xml:space="preserve"> </v>
      </c>
      <c r="EP76" s="497" t="str">
        <f ca="1">IF(AND(Z76&lt;&gt;"t",Z76&lt;&gt;"f"),"",IF(AND(EN76=$BH$14,K76&lt;&gt;EN76),EP$4,IF(AND(EN76=$BH$13,K76=$BH$12),EP$4,IF(AND(EN76=$BH$13,K76=$BH$11),EP$4,IF(AND(EN76=$BH$12,K76=$BH$11),$EP$4,IF(EN76=$BH$11,"Earth",""))))))</f>
        <v/>
      </c>
      <c r="EQ76" s="430" t="str">
        <f ca="1">IF(Z76&lt;&gt;"t","",IF(EQ$5=2,IF(K76&lt;&gt;BH$11,EQ$7," ")))</f>
        <v/>
      </c>
      <c r="ER76" s="439" t="str">
        <f ca="1">IF(H76=0," ",H76)</f>
        <v xml:space="preserve"> </v>
      </c>
      <c r="ES76" s="440" t="str">
        <f ca="1">IF(ER76&lt;&gt;" ",IF(ER76&lt;&gt;ER$7,"Changed",""),"")</f>
        <v/>
      </c>
      <c r="ET76" s="440">
        <f ca="1">IF(ER76&lt;&gt;" ",IF(ER76&lt;&gt;ER$7,1,0),0)</f>
        <v>0</v>
      </c>
      <c r="EU76" s="426" t="str">
        <f ca="1">IF(I76=" "," ",IF(F76&lt;OFFSET($BM$9,CL76-1,0,1,1),1,""))</f>
        <v xml:space="preserve"> </v>
      </c>
      <c r="EW76" s="427"/>
      <c r="EY76" s="421"/>
    </row>
    <row r="77" spans="1:155" ht="17.100000000000001" hidden="1" customHeight="1">
      <c r="A77" s="2685"/>
      <c r="B77" s="689" t="s">
        <v>246</v>
      </c>
      <c r="C77" s="684" t="str">
        <f>IF(OR(F77=0,I77="",I77=" ")," ",$V77)</f>
        <v xml:space="preserve"> </v>
      </c>
      <c r="D77" s="1033"/>
      <c r="E77" s="1360"/>
      <c r="F77" s="202"/>
      <c r="G77" s="1416"/>
      <c r="H77" s="1417" t="str">
        <f ca="1">IF(OR(F77=0,Z77="E",Z77="f")," ",'Project Demand'!E$55)</f>
        <v xml:space="preserve"> </v>
      </c>
      <c r="I77" s="631" t="str">
        <f>IF($I$6&lt;&gt;$BG$8," ",AB77)</f>
        <v xml:space="preserve"> </v>
      </c>
      <c r="J77" s="44" t="str">
        <f ca="1">IF(OR(I77=" ",I77="")," ",OFFSET($BO$9,CL77-1,0-4,1,1))</f>
        <v xml:space="preserve"> </v>
      </c>
      <c r="K77" s="55" t="str">
        <f>IF(OR(I77=" ",I77="")," ",IF(OR(Z77="e",Z77="h"),"SD",IF(BG$24=BH$11,BH$13,BG$24)))</f>
        <v xml:space="preserve"> </v>
      </c>
      <c r="L77" s="49">
        <f ca="1">CW77</f>
        <v>0</v>
      </c>
      <c r="M77" s="49">
        <f ca="1">CY77</f>
        <v>0</v>
      </c>
      <c r="N77" s="50">
        <f t="shared" ca="1" si="40"/>
        <v>0</v>
      </c>
      <c r="O77" s="126">
        <f t="shared" ca="1" si="40"/>
        <v>0</v>
      </c>
      <c r="P77" s="140"/>
      <c r="Q77" s="752" t="str">
        <f ca="1">IF(AND(OR(Z77="t",Z77="f"),K77=$BH$11),"No Floor!  Change Floor Type",IF(OR(I77=" ",I77="")," ",IF(F77&lt;OFFSET($BM$9,CL77-1,0,1,1),"check L(m)",DE77&amp;IF(AND(DP77&gt;=CY77,DR77&gt;=DB77),IF(AND(ED77&gt;=DP77,EF77&gt;=DR77),CONCATENATE(DS77," will provide same result"),CONCATENATE(CO77," will provide same result")),IF((DP77&gt;=CY77),CONCATENATE(CO77," provides same result in WIND"),IF((DR77&gt;=DB77),CONCATENATE(CO77," provides same result in EQ"),""))))))&amp;IF(ISERROR(FIND("pile",I77,1)),"",IF(INT(F77)&lt;&gt;F77,"Pile!  Use Whole Numbers Only",""))</f>
        <v xml:space="preserve"> </v>
      </c>
      <c r="R77" s="52"/>
      <c r="S77" s="1372"/>
      <c r="T77" s="1372"/>
      <c r="U77" s="1377"/>
      <c r="V77" s="52" t="str">
        <f ca="1">IF(AND(B$5=$BF$9,OR(I77=BH$16,I77=BH$17))," ",IF(ISNUMBER(B$74),(CONCATENATE(B$74,".",W77)),(CONCATENATE(B$74,W77))))</f>
        <v>L0</v>
      </c>
      <c r="W77" s="9">
        <f ca="1">W76+X77</f>
        <v>0</v>
      </c>
      <c r="X77" s="9">
        <f>IF(AND(B$5=$BF$9,OR($I77=$BH$16,$I77=$BH$17,$I77=" ",$I77="",$F77=0)),0,IF(OR($I77=" ",$I77="",$F77=0),0,1))</f>
        <v>0</v>
      </c>
      <c r="Y77" s="896"/>
      <c r="Z77" s="52" t="str">
        <f ca="1">IF(I77=" "," ",OFFSET($BM$9,$CL77-1,8,1,1))</f>
        <v xml:space="preserve"> </v>
      </c>
      <c r="AA77" s="51" t="str">
        <f>IF(G77&gt;=45,"WA","")</f>
        <v/>
      </c>
      <c r="AB77" s="1364" t="str">
        <f>IF(OR(E77=" ",E77="")," ",(IF(F77&lt;&gt;"",IF(OR(D77=$BG$12,D77=$BG$13),IF(E77&lt;&gt;$BG$17,$BF$20,$BF$21),IF(E77&lt;&gt;$BG$17,$BF$20,$BF$21))," ")))</f>
        <v xml:space="preserve"> </v>
      </c>
      <c r="AC77" s="1"/>
      <c r="AO77" s="51"/>
      <c r="AP77" s="51"/>
      <c r="AQ77" s="51"/>
      <c r="AR77" s="51"/>
      <c r="AS77" s="51"/>
      <c r="AT77" s="51"/>
      <c r="AU77" s="51"/>
      <c r="AV77" s="51"/>
      <c r="AW77" s="51"/>
      <c r="AX77" s="51"/>
      <c r="AY77" s="51"/>
      <c r="AZ77" s="51"/>
      <c r="BA77" s="51"/>
      <c r="BB77" s="51"/>
      <c r="BC77" s="51"/>
      <c r="BD77" s="652"/>
      <c r="BI77" s="759"/>
      <c r="BJ77" s="897">
        <f t="shared" si="33"/>
        <v>69</v>
      </c>
      <c r="BK77" s="764"/>
      <c r="BL77" s="773"/>
      <c r="BM77" s="455">
        <f>Table!P19</f>
        <v>0.9</v>
      </c>
      <c r="BN77" s="455">
        <f>BM78</f>
        <v>1.2</v>
      </c>
      <c r="BO77" s="455">
        <f>Table!Q19</f>
        <v>155</v>
      </c>
      <c r="BP77" s="925">
        <f>Table!R19</f>
        <v>155</v>
      </c>
      <c r="BR77" s="764"/>
      <c r="BS77" s="455"/>
      <c r="BT77" s="455"/>
      <c r="BU77" s="925" t="s">
        <v>242</v>
      </c>
      <c r="BV77" s="895"/>
      <c r="BW77" s="912"/>
      <c r="BX77" s="925" t="str">
        <f>Table!T17</f>
        <v>Double</v>
      </c>
      <c r="CH77" s="764">
        <f>IF(BN77=999,0,(BO78-BO77)/(BN77-BM77))</f>
        <v>0</v>
      </c>
      <c r="CI77" s="925">
        <f>IF(BN77=999,0,(BP78-BP77)/(BN77-BM77))</f>
        <v>0</v>
      </c>
      <c r="CJ77" s="759"/>
      <c r="CK77" s="188"/>
      <c r="CL77" s="979">
        <f>VLOOKUP(I77,Prodlink,2,0)</f>
        <v>0</v>
      </c>
      <c r="CN77" s="497">
        <f ca="1">VLOOKUP(CO77,Prodlink,2,0)</f>
        <v>0</v>
      </c>
      <c r="CO77" s="497">
        <f ca="1">OFFSET($CH$9,CL77-1,-15,1,1)</f>
        <v>0</v>
      </c>
      <c r="CQ77" s="51">
        <v>0</v>
      </c>
      <c r="CR77" s="51">
        <f ca="1">IF(AND(Z77&lt;&gt;"t",Z77&lt;&gt;"f"),10000,IF(K77=$BH$11,0,IF(K77=$BH$12,$BH$23,IF(K77=$BH$13,$BH$24,10000))))</f>
        <v>10000</v>
      </c>
      <c r="CS77" s="51">
        <f ca="1">IF(F77&lt;OFFSET($BM$9,CL77-1,0,1,1),0,IF(F77&lt;OFFSET($BN$9,CL77-1,0,1,1),((F77-OFFSET($BM$9,CL77-1,0,1,1))*OFFSET($CH$9,CL77-1,0,1,1))+OFFSET($BO$9,CL77-1,CQ77,1,1),IF(F77&lt;OFFSET($BN$9,CL77+0,0,1,1),((F77-OFFSET($BM$9,CL77+0,0,1,1))*OFFSET($CH$9,CL77+0,0,1,1))+OFFSET($BO$9,CL77+0,CQ77,1,1),IF(F77&lt;OFFSET($BN$9,CL77+1,0,1,1),((F77-OFFSET($BM$9,CL77+1,0,1,1))*OFFSET($CH$9,CL77+1,0,1,1))+OFFSET($BO$9,CL77+1,CQ77,1,1),IF(F77&lt;OFFSET($BN$9,CL77+2,0,1,1),((F77-OFFSET($BM$9,CL77+2,0,1,1))*OFFSET($CH$9,CL77+2,0,1,1))+OFFSET($BO$9,CL77+2,CQ77,1,1),IF(F77&lt;OFFSET($BN$9,CL77+3,0,1,1),((F77-OFFSET($BM$9,CL77+3,0,1,1))*OFFSET($CH$9,CL77+3,0,1,1))+OFFSET($BO$9,CL77+3,CQ77,1,1),0))))))</f>
        <v>0</v>
      </c>
      <c r="CT77" s="51">
        <f ca="1">IF($F77&lt;OFFSET($BM$9,$CL77-1,0,1,1),0,IF($F77&lt;OFFSET($BN$9,$CL77-1,0,1,1),IF(AND($H77&gt;2.4,Z77&lt;&gt;"e",Z77&lt;&gt;"f"),CX77*2.4/$H77,CX77),IF($F77&lt;OFFSET($BN$9,$CL77+0,0,1,1),IF(AND($H77&gt;2.4,Z77&lt;&gt;"e",Z77&lt;&gt;"f"),CX77*2.4/$H77,CX77),IF($F77&lt;OFFSET($BN$9,$CL77+1,0,1,1),IF(AND($H77&gt;2.4,Z77&lt;&gt;"e",Z77&lt;&gt;"f"),CX77*2.4/$H77,CX77),IF($F77&lt;OFFSET($BN$9,CL77+2,0,1,1),IF(AND($H77&gt;2.4,Z77&lt;&gt;"e",Z77&lt;&gt;"f"),CX77*2.4/$H77,CX77),IF($F77&lt;OFFSET($BN$9,CL77+3,0,1,1),IF(AND($H77&gt;2.4,Z77&lt;&gt;"e",Z77&lt;&gt;"f"),CX77*2.4/$H77,CX77),0)))))*COS(RADIANS($G77)))</f>
        <v>0</v>
      </c>
      <c r="CU77" s="51">
        <f ca="1">IF(F77&lt;OFFSET($BM$9,CL77-1,0,1,1),0,IF(F77&lt;OFFSET($BN$9,CL77-1,0,1,1),((F77-OFFSET($BM$9,CL77-1,0,1,1))*OFFSET($CI$9,CL77-1,0,1,1))+OFFSET($BP$9,CL77-1,CQ77,1,1),IF(F77&lt;OFFSET($BN$9,CL77+0,0,1,1),((F77-OFFSET($BM$9,CL77+0,0,1,1))*OFFSET($CI$9,CL77+0,0,1,1))+OFFSET($BP$9,CL77+0,CQ77,1,1),IF(F77&lt;OFFSET($BN$9,CL77+1,0,1,1),((F77-OFFSET($BM$9,CL77+1,0,1,1))*OFFSET($CI$9,CL77+1,0,1,1))+OFFSET($BP$9,CL77+1,CQ77,1,1),IF(F77&lt;OFFSET($BN$9,CL77+2,0,1,1),((F77-OFFSET($BM$9,CL77+2,0,1,1))*OFFSET($CI$9,CL77+2,0,1,1))+OFFSET($BP$9,CL77+2,CQ77,1,1),IF(F77&lt;OFFSET($BN$9,CL77+3,0,1,1),((F77-OFFSET($BM$9,CL77+3,0,1,1))*OFFSET($CI$9,CL77+3,0,1,1))+OFFSET($BP$9,CL77+3,CQ77,1,1),0))))))</f>
        <v>0</v>
      </c>
      <c r="CV77" s="51">
        <f ca="1">IF($F77&lt;OFFSET($BM$9,$CL77-1,0,1,1),0,IF($F77&lt;OFFSET($BN$9,$CL77-1,0,1,1),IF(AND($H77&gt;2.4,Z77&lt;&gt;"e",Z77&lt;&gt;"f"),CZ77*2.4/$H77,CZ77),IF($F77&lt;OFFSET($BN$9,$CL77+0,0,1,1),IF(AND($H77&gt;2.4,Z77&lt;&gt;"e",Z77&lt;&gt;"f"),CZ77*2.4/$H77,CZ77),IF($F77&lt;OFFSET($BN$9,$CL77+1,0,1,1),IF(AND($H77&gt;2.4,Z77&lt;&gt;"e",Z77&lt;&gt;"f"),CZ77*2.4/$H77,CZ77),IF($F77&lt;OFFSET($BN$9,$CL77+2,0,1,1),IF(AND($H77&gt;2.4,Z77&lt;&gt;"e",Z77&lt;&gt;"f"),CZ77*2.4/$H77,CZ77),IF($F77&lt;OFFSET($BN$9,$CL77+3,0,1,1),IF(AND($H77&gt;2.4,Z77&lt;&gt;"e",Z77&lt;&gt;"f"),CZ77*2.4/$H77,CZ77),0)))))*COS(RADIANS($G77)))</f>
        <v>0</v>
      </c>
      <c r="CW77" s="51">
        <f ca="1">IF(CT77&gt;CR77,CR77,CT77)</f>
        <v>0</v>
      </c>
      <c r="CX77" s="51">
        <f ca="1">IF(CS77&gt;$CR77,$CR77,CS77)</f>
        <v>0</v>
      </c>
      <c r="CY77" s="51">
        <f ca="1">CW77*F77</f>
        <v>0</v>
      </c>
      <c r="CZ77" s="51">
        <f ca="1">IF($CU77&gt;$CR77,$CR77,$CU77)</f>
        <v>0</v>
      </c>
      <c r="DA77" s="51">
        <f ca="1">IF(CV77&gt;CR77,CR77,CV77)</f>
        <v>0</v>
      </c>
      <c r="DB77" s="51">
        <f ca="1">DA77*F77</f>
        <v>0</v>
      </c>
      <c r="DC77" s="993">
        <v>1</v>
      </c>
      <c r="DD77" s="758" t="str">
        <f>IF(OR(D77=BG$12,D77=BG$13),"External",IF(D77=BG$14,"Internal"," "))</f>
        <v xml:space="preserve"> </v>
      </c>
      <c r="DE77" s="51" t="str">
        <f t="shared" ca="1" si="41"/>
        <v/>
      </c>
      <c r="DF77" s="52" t="str">
        <f t="shared" ca="1" si="42"/>
        <v xml:space="preserve"> </v>
      </c>
      <c r="DG77" s="51">
        <f ca="1">IF(F77&lt;OFFSET($BM$9,CN77-1,0,1,1),0,IF(F77&lt;OFFSET($BN$9,CN77-1,0,1,1),((F77-OFFSET($BM$9,CN77-1,0,1,1))*OFFSET($CH$9,CN77-1,0,1,1))+OFFSET($BO$9,CN77-1,CQ77,1,1),IF(F77&lt;OFFSET($BN$9,CN77+0,0,1,1),((F77-OFFSET($BM$9,CN77+0,0,1,1))*OFFSET($CH$9,CN77+0,0,1,1))+OFFSET($BO$9,CN77+0,CQ77,1,1),IF(F77&lt;OFFSET($BN$9,CN77+1,0,1,1),((F77-OFFSET($BM$9,CN77+1,0,1,1))*OFFSET($CH$9,CN77+1,0,1,1))+OFFSET($BO$9,CN77+1,CQ77,1,1),IF(F77&lt;OFFSET($BN$9,CN77+2,0,1,1),((F77-OFFSET($BM$9,CN77+2,0,1,1))*OFFSET($CH$9,CN77+2,0,1,1))+OFFSET($BO$9,CN77+2,CQ77,1,1),IF(F77&lt;OFFSET($BN$9,CN77+3,0,1,1),((F77-OFFSET($BM$9,CN77+3,0,1,1))*OFFSET($CH$9,CN77+3,0,1,1))+OFFSET($BO$9,CN77+3,CQ77,1,1),0))))))</f>
        <v>0</v>
      </c>
      <c r="DH77" s="51">
        <f ca="1">IF($F77&lt;OFFSET($BM$9,$CN77-1,0,1,1),0,IF($F77&lt;OFFSET($BN$9,$CN77-1,0,1,1),IF(AND($H77&gt;2.4,Z77&lt;&gt;"e",Z77&lt;&gt;"f"),DL77*2.4/$H77,DL77),IF($F77&lt;OFFSET($BN$9,$CN77+0,0,1,1),IF(AND($H77&gt;2.4,Z77&lt;&gt;"e",Z77&lt;&gt;"f"),DL77*2.4/$H77,DL77),IF($F77&lt;OFFSET($BN$9,$CN77+1,0,1,1),IF(AND($H77&gt;2.4,Z77&lt;&gt;"e",Z77&lt;&gt;"f"),DL77*2.4/$H77,DL77),IF($F77&lt;OFFSET($BN$9,$CN77+2,0,1,1),IF(AND($H77&gt;2.4,Z77&lt;&gt;"e",Z77&lt;&gt;"f"),DL77*2.4/$H77,DL77),IF($F77&lt;OFFSET($BN$9,$CN77+3,0,1,1),IF(AND($H77&gt;2.4,Z77&lt;&gt;"e",Z77&lt;&gt;"f"),DL77*2.4/$H77,DL77),0)))))*COS(RADIANS($G77)))</f>
        <v>0</v>
      </c>
      <c r="DI77" s="51">
        <f ca="1">IF(F77&lt;OFFSET($BM$9,CN77-1,0,1,1),0,IF(F77&lt;OFFSET($BN$9,CN77-1,0,1,1),((F77-OFFSET($BM$9,CN77-1,0,1,1))*OFFSET($CI$9,CN77-1,0,1,1))+OFFSET($BP$9,CN77-1,CQ77,1,1),IF(F77&lt;OFFSET($BN$9,CN77+0,0,1,1),((F77-OFFSET($BM$9,CN77+0,0,1,1))*OFFSET($CI$9,CN77+0,0,1,1))+OFFSET($BP$9,CN77+0,CQ77,1,1),IF(F77&lt;OFFSET($BN$9,CN77+1,0,1,1),((F77-OFFSET($BM$9,CN77+1,0,1,1))*OFFSET($CI$9,CN77+1,0,1,1))+OFFSET($BP$9,CN77+1,CQ77,1,1),IF(F77&lt;OFFSET($BN$9,CN77+2,0,1,1),((F77-OFFSET($BM$9,CN77+2,0,1,1))*OFFSET($CI$9,CN77+2,0,1,1))+OFFSET($BP$9,CN77+2,CQ77,1,1),IF(F77&lt;OFFSET($BN$9,CN77+3,0,1,1),((F77-OFFSET($BM$9,CN77+3,0,1,1))*OFFSET($CI$9,CN77+3,0,1,1))+OFFSET($BP$9,CN77+3,CQ77,1,1),0))))))</f>
        <v>0</v>
      </c>
      <c r="DJ77" s="51">
        <f ca="1">IF($F77&lt;OFFSET($BM$9,$CN77-1,0,1,1),0,IF($F77&lt;OFFSET($BN$9,$CN77-1,0,1,1),IF(AND($H77&gt;2.4,Z77&lt;&gt;"e",Z77&lt;&gt;"f"),DN77*2.4/$H77,DN77),IF($F77&lt;OFFSET($BN$9,$CN77+0,0,1,1),IF(AND($H77&gt;2.4,Z77&lt;&gt;"e",Z77&lt;&gt;"f"),DN77*2.4/$H77,DN77),IF($F77&lt;OFFSET($BN$9,$CN77+1,0,1,1),IF(AND($H77&gt;2.4,Z77&lt;&gt;"e",Z77&lt;&gt;"f"),DN77*2.4/$H77,DN77),IF($F77&lt;OFFSET($BN$9,$CN77+2,0,1,1),IF(AND($H77&gt;2.4,Z77&lt;&gt;"e",Z77&lt;&gt;"f"),DN77*2.4/$H77,DN77),IF($F77&lt;OFFSET($BN$9,$CN77+3,0,1,1),IF(AND($H77&gt;2.4,Z77&lt;&gt;"e",Z77&lt;&gt;"f"),DN77*2.4/$H77,DN77),0)))))*COS(RADIANS($G77)))</f>
        <v>0</v>
      </c>
      <c r="DK77" s="51"/>
      <c r="DL77" s="51">
        <f ca="1">IF(DG77&gt;$CR77,$CR77,DG77)</f>
        <v>0</v>
      </c>
      <c r="DM77" s="51"/>
      <c r="DN77" s="51">
        <f ca="1">IF(DI77&gt;$CR77,$CR77,DI77)</f>
        <v>0</v>
      </c>
      <c r="DO77" s="435">
        <f ca="1">IF(DH77&gt;$CR77,$CR77,DH77)</f>
        <v>0</v>
      </c>
      <c r="DP77" s="435">
        <f ca="1">DO77*F77</f>
        <v>0</v>
      </c>
      <c r="DQ77" s="436">
        <f ca="1">IF(DJ77&gt;$CR77,$CR77,DJ77)</f>
        <v>0</v>
      </c>
      <c r="DR77" s="437">
        <f ca="1">DQ77*F77</f>
        <v>0</v>
      </c>
      <c r="DS77" s="426">
        <f ca="1">OFFSET($CH$9,CL77-1,-15,1,1)</f>
        <v>0</v>
      </c>
      <c r="DT77" s="426">
        <f ca="1">VLOOKUP(DS77,Prodlink,2,0)</f>
        <v>0</v>
      </c>
      <c r="DU77" s="188">
        <f ca="1">IF(F77&lt;OFFSET($BM$9,DT77-1,0,1,1),0,IF(F77&lt;OFFSET($BN$9,DT77-1,0,1,1),((F77-OFFSET($BM$9,DT77-1,0,1,1))*OFFSET($CH$9,DT77-1,0,1,1))+OFFSET($BO$9,DT77-1,CQ77,1,1),IF(F77&lt;OFFSET($BN$9,DT77+0,0,1,1),((F77-OFFSET($BM$9,DT77+0,0,1,1))*OFFSET($CH$9,DT77+0,0,1,1))+OFFSET($BO$9,DT77+0,CQ77,1,1),IF(F77&lt;OFFSET($BN$9,DT77+1,0,1,1),((F77-OFFSET($BM$9,DT77+1,0,1,1))*OFFSET($CH$9,DT77+1,0,1,1))+OFFSET($BO$9,DT77+1,CQ77,1,1),IF(F77&lt;OFFSET($BN$9,DT77+2,0,1,1),((F77-OFFSET($BM$9,DT77+2,0,1,1))*OFFSET($CH$9,DT77+2,0,1,1))+OFFSET($BO$9,DT77+2,CQ77,1,1),IF(F77&lt;OFFSET($BN$9,DT77+3,0,1,1),((F77-OFFSET($BM$9,DT77+3,0,1,1))*OFFSET($CH$9,DT77+3,0,1,1))+OFFSET($BO$9,DT77+3,CQ77,1,1),0))))))</f>
        <v>0</v>
      </c>
      <c r="DV77" s="51">
        <f ca="1">IF($F77&lt;OFFSET($BM$9,$DT77-1,0,1,1),0,IF($F77&lt;OFFSET($BN$9,$DT77-1,0,1,1),IF(AND($H77&gt;2.4,Z77&lt;&gt;"e",Z77&lt;&gt;"f"),DZ77*2.4/$H77,DZ77),IF($F77&lt;OFFSET($BN$9,$DT77+0,0,1,1),IF(AND($H77&gt;2.4,Z77&lt;&gt;"e",Z77&lt;&gt;"f"),DZ77*2.4/$H77,DZ77),IF($F77&lt;OFFSET($BN$9,$DT77+1,0,1,1),IF(AND($H77&gt;2.4,Z77&lt;&gt;"e",Z77&lt;&gt;"f"),DZ77*2.4/$H77,DZ77),IF($F77&lt;OFFSET($BN$9,$DT77+2,0,1,1),IF(AND($H77&gt;2.4,Z77&lt;&gt;"e",Z77&lt;&gt;"f"),DZ77*2.4/$H77,DZ77),IF($F77&lt;OFFSET($BN$9,$DT77+3,0,1,1),IF(AND($H77&gt;2.4,Z77&lt;&gt;"e",Z77&lt;&gt;"f"),DZ77*2.4/$H77,DZ77),0)))))*COS(RADIANS($G77)))</f>
        <v>0</v>
      </c>
      <c r="DW77" s="188">
        <f ca="1">IF(F77&lt;OFFSET($BM$9,DT77-1,0,1,1),0,IF(F77&lt;OFFSET($BN$9,DT77-1,0,1,1),((F77-OFFSET($BM$9,DT77-1,0,1,1))*OFFSET($CI$9,DT77-1,0,1,1))+OFFSET($BP$9,DT77-1,CQ77,1,1),IF(F77&lt;OFFSET($BN$9,DT77+0,0,1,1),((F77-OFFSET($BM$9,DT77+0,0,1,1))*OFFSET($CI$9,DT77+0,0,1,1))+OFFSET($BP$9,DT77+0,CQ77,1,1),IF(F77&lt;OFFSET($BN$9,DT77+1,0,1,1),((F77-OFFSET($BM$9,DT77+1,0,1,1))*OFFSET($CI$9,DT77+1,0,1,1))+OFFSET($BP$9,DT77+1,CQ77,1,1),IF(F77&lt;OFFSET($BN$9,DT77+2,0,1,1),((F77-OFFSET($BM$9,DT77+2,0,1,1))*OFFSET($CI$9,DT77+2,0,1,1))+OFFSET($BP$9,DT77+2,CQ77,1,1),IF(F77&lt;OFFSET($BN$9,DT77+3,0,1,1),((F77-OFFSET($BM$9,DT77+3,0,1,1))*OFFSET($CI$9,DT77+3,0,1,1))+OFFSET($BP$9,DT77+3,CQ77,1,1),0))))))</f>
        <v>0</v>
      </c>
      <c r="DX77" s="51">
        <f ca="1">IF($F77&lt;OFFSET($BM$9,$DT77-1,0,1,1),0,IF($F77&lt;OFFSET($BN$9,$DT77-1,0,1,1),IF(AND($H77&gt;2.4,Z77&lt;&gt;"e",Z77&lt;&gt;"f"),EB77*2.4/$H77,EB77),IF($F77&lt;OFFSET($BN$9,$DT77+0,0,1,1),IF(AND($H77&gt;2.4,Z77&lt;&gt;"e",Z77&lt;&gt;"f"),EB77*2.4/$H77,EB77),IF($F77&lt;OFFSET($BN$9,$DT77+1,0,1,1),IF(AND($H77&gt;2.4,Z77&lt;&gt;"e",Z77&lt;&gt;"f"),EB77*2.4/$H77,EB77),IF($F77&lt;OFFSET($BN$9,$DT77+2,0,1,1),IF(AND($H77&gt;2.4,Z77&lt;&gt;"e",Z77&lt;&gt;"f"),EB77*2.4/$H77,EB77),IF($F77&lt;OFFSET($BN$9,$DT77+3,0,1,1),IF(AND($H77&gt;2.4,Z77&lt;&gt;"e",Z77&lt;&gt;"f"),EB77*2.4/$H77,EB77),0)))))*COS(RADIANS($G77)))</f>
        <v>0</v>
      </c>
      <c r="DY77" s="188"/>
      <c r="DZ77" s="188">
        <f ca="1">IF(DU77&gt;$CR77,$CR77,DU77)</f>
        <v>0</v>
      </c>
      <c r="EA77" s="188"/>
      <c r="EB77" s="188">
        <f ca="1">IF(DW77&gt;$CR77,$CR77,DW77)</f>
        <v>0</v>
      </c>
      <c r="EC77" s="435">
        <f ca="1">IF(DV77&gt;$CR77,$CR77,DV77)</f>
        <v>0</v>
      </c>
      <c r="ED77" s="435">
        <f ca="1">EC77*F77</f>
        <v>0</v>
      </c>
      <c r="EE77" s="436">
        <f ca="1">IF(DX77&gt;$CR77,$CR77,DX77)</f>
        <v>0</v>
      </c>
      <c r="EF77" s="437">
        <f ca="1">EE77*F77</f>
        <v>0</v>
      </c>
      <c r="EG77" s="613" t="str">
        <f>IF(D77=BG$12,BG$12,"")</f>
        <v/>
      </c>
      <c r="EH77" s="614" t="str">
        <f>IF(D77=BG$13,BG$13,"")</f>
        <v/>
      </c>
      <c r="EI77" s="611">
        <f>IF(EG77=BG$12,M77,0)</f>
        <v>0</v>
      </c>
      <c r="EJ77" s="451">
        <f>IF(EG77=BG$12,O77,0)</f>
        <v>0</v>
      </c>
      <c r="EK77" s="451">
        <f>IF(EH77=BG$13,M77,0)</f>
        <v>0</v>
      </c>
      <c r="EL77" s="612">
        <f>IF(EH77=BG$13,O77,0)</f>
        <v>0</v>
      </c>
      <c r="EM77" s="426" t="str">
        <f ca="1">IF(AND(Z77&lt;&gt;"t",Z77&lt;&gt;"f"),"",IF(AND(EN77=$BH$11,K77&lt;&gt;EN77),EM$4,IF(AND(EN77=$BH$12,K77=$BH$13),EM$4,IF(AND(EN77=$BH$12,K77=$BH$14),EM$4,IF(AND(EN77=$BH$13,K77=$BH$14),$EM$4,IF(EN77=$BH$14,$EM$4,""))))))</f>
        <v/>
      </c>
      <c r="EN77" s="489" t="str">
        <f>BG$24</f>
        <v>No Floor</v>
      </c>
      <c r="EO77" s="426" t="str">
        <f>K77</f>
        <v xml:space="preserve"> </v>
      </c>
      <c r="EP77" s="497" t="str">
        <f ca="1">IF(AND(Z77&lt;&gt;"t",Z77&lt;&gt;"f"),"",IF(AND(EN77=$BH$14,K77&lt;&gt;EN77),EP$4,IF(AND(EN77=$BH$13,K77=$BH$12),EP$4,IF(AND(EN77=$BH$13,K77=$BH$11),EP$4,IF(AND(EN77=$BH$12,K77=$BH$11),$EP$4,IF(EN77=$BH$11,"Earth",""))))))</f>
        <v/>
      </c>
      <c r="EQ77" s="430" t="str">
        <f ca="1">IF(Z77&lt;&gt;"t","",IF(EQ$5=2,IF(K77&lt;&gt;BH$11,EQ$7," ")))</f>
        <v/>
      </c>
      <c r="ER77" s="439" t="str">
        <f ca="1">IF(H77=0," ",H77)</f>
        <v xml:space="preserve"> </v>
      </c>
      <c r="ES77" s="440" t="str">
        <f ca="1">IF(ER77&lt;&gt;" ",IF(ER77&lt;&gt;ER$7,"Changed",""),"")</f>
        <v/>
      </c>
      <c r="ET77" s="440">
        <f ca="1">IF(ER77&lt;&gt;" ",IF(ER77&lt;&gt;ER$7,1,0),0)</f>
        <v>0</v>
      </c>
      <c r="EU77" s="426" t="str">
        <f ca="1">IF(I77=" "," ",IF(F77&lt;OFFSET($BM$9,CL77-1,0,1,1),1,""))</f>
        <v xml:space="preserve"> </v>
      </c>
      <c r="EW77" s="427"/>
      <c r="EY77" s="421"/>
    </row>
    <row r="78" spans="1:155" ht="17.100000000000001" hidden="1" customHeight="1" thickBot="1">
      <c r="A78" s="2685"/>
      <c r="B78" s="689" t="s">
        <v>246</v>
      </c>
      <c r="C78" s="684" t="str">
        <f>IF(OR(F78=0,I78="",I78=" ")," ",$V78)</f>
        <v xml:space="preserve"> </v>
      </c>
      <c r="D78" s="1033"/>
      <c r="E78" s="1360"/>
      <c r="F78" s="202"/>
      <c r="G78" s="1416"/>
      <c r="H78" s="1417" t="str">
        <f ca="1">IF(OR(F78=0,Z78="E",Z78="f")," ",'Project Demand'!E$55)</f>
        <v xml:space="preserve"> </v>
      </c>
      <c r="I78" s="631" t="str">
        <f>IF($I$6&lt;&gt;$BG$8," ",AB78)</f>
        <v xml:space="preserve"> </v>
      </c>
      <c r="J78" s="44" t="str">
        <f ca="1">IF(OR(I78=" ",I78="")," ",OFFSET($BO$9,CL78-1,0-4,1,1))</f>
        <v xml:space="preserve"> </v>
      </c>
      <c r="K78" s="55" t="str">
        <f>IF(OR(I78=" ",I78="")," ",IF(OR(Z78="e",Z78="h"),"SD",IF(BG$24=BH$11,BH$13,BG$24)))</f>
        <v xml:space="preserve"> </v>
      </c>
      <c r="L78" s="49">
        <f ca="1">CW78</f>
        <v>0</v>
      </c>
      <c r="M78" s="49">
        <f ca="1">CY78</f>
        <v>0</v>
      </c>
      <c r="N78" s="50">
        <f t="shared" ca="1" si="40"/>
        <v>0</v>
      </c>
      <c r="O78" s="126">
        <f t="shared" ca="1" si="40"/>
        <v>0</v>
      </c>
      <c r="P78" s="140"/>
      <c r="Q78" s="752" t="str">
        <f ca="1">IF(AND(OR(Z78="t",Z78="f"),K78=$BH$11),"No Floor!  Change Floor Type",IF(OR(I78=" ",I78="")," ",IF(F78&lt;OFFSET($BM$9,CL78-1,0,1,1),"check L(m)",DE78&amp;IF(AND(DP78&gt;=CY78,DR78&gt;=DB78),IF(AND(ED78&gt;=DP78,EF78&gt;=DR78),CONCATENATE(DS78," will provide same result"),CONCATENATE(CO78," will provide same result")),IF((DP78&gt;=CY78),CONCATENATE(CO78," provides same result in WIND"),IF((DR78&gt;=DB78),CONCATENATE(CO78," provides same result in EQ"),""))))))&amp;IF(ISERROR(FIND("pile",I78,1)),"",IF(INT(F78)&lt;&gt;F78,"Pile!  Use Whole Numbers Only",""))</f>
        <v xml:space="preserve"> </v>
      </c>
      <c r="R78" s="52"/>
      <c r="S78" s="1372"/>
      <c r="T78" s="1372"/>
      <c r="U78" s="1377"/>
      <c r="V78" s="52" t="str">
        <f ca="1">IF(AND(B$5=$BF$9,OR(I78=BH$16,I78=BH$17))," ",IF(ISNUMBER(B$74),(CONCATENATE(B$74,".",W78)),(CONCATENATE(B$74,W78))))</f>
        <v>L0</v>
      </c>
      <c r="W78" s="9">
        <f ca="1">W77+X78</f>
        <v>0</v>
      </c>
      <c r="X78" s="9">
        <f>IF(AND(B$5=$BF$9,OR($I78=$BH$16,$I78=$BH$17,$I78=" ",$I78="",$F78=0)),0,IF(OR($I78=" ",$I78="",$F78=0),0,1))</f>
        <v>0</v>
      </c>
      <c r="Y78" s="896"/>
      <c r="Z78" s="52" t="str">
        <f ca="1">IF(I78=" "," ",OFFSET($BM$9,$CL78-1,8,1,1))</f>
        <v xml:space="preserve"> </v>
      </c>
      <c r="AA78" s="51" t="str">
        <f>IF(G78&gt;=45,"WA","")</f>
        <v/>
      </c>
      <c r="AB78" s="1364" t="str">
        <f>IF(OR(E78=" ",E78="")," ",(IF(F78&lt;&gt;"",IF(OR(D78=$BG$12,D78=$BG$13),IF(E78&lt;&gt;$BG$17,$BF$20,$BF$21),IF(E78&lt;&gt;$BG$17,$BF$20,$BF$21))," ")))</f>
        <v xml:space="preserve"> </v>
      </c>
      <c r="AC78" s="1"/>
      <c r="AO78" s="51"/>
      <c r="AP78" s="51"/>
      <c r="AQ78" s="51"/>
      <c r="AR78" s="51"/>
      <c r="AS78" s="51"/>
      <c r="AT78" s="51"/>
      <c r="AU78" s="51"/>
      <c r="AV78" s="51"/>
      <c r="AW78" s="51"/>
      <c r="AX78" s="51"/>
      <c r="AY78" s="51"/>
      <c r="AZ78" s="51"/>
      <c r="BA78" s="51"/>
      <c r="BB78" s="51"/>
      <c r="BC78" s="51"/>
      <c r="BD78" s="652"/>
      <c r="BI78" s="759"/>
      <c r="BJ78" s="897">
        <f t="shared" si="33"/>
        <v>70</v>
      </c>
      <c r="BK78" s="908"/>
      <c r="BL78" s="774"/>
      <c r="BM78" s="776">
        <f>Table!P20</f>
        <v>1.2</v>
      </c>
      <c r="BN78" s="776">
        <v>999</v>
      </c>
      <c r="BO78" s="776">
        <f>Table!Q20</f>
        <v>155</v>
      </c>
      <c r="BP78" s="926">
        <f>Table!R20</f>
        <v>155</v>
      </c>
      <c r="BQ78" s="1183"/>
      <c r="BR78" s="908"/>
      <c r="BS78" s="776"/>
      <c r="BT78" s="776"/>
      <c r="BU78" s="926" t="s">
        <v>242</v>
      </c>
      <c r="BV78" s="433"/>
      <c r="BW78" s="914"/>
      <c r="BX78" s="926" t="str">
        <f>Table!T17</f>
        <v>Double</v>
      </c>
      <c r="CH78" s="908">
        <f>IF(BN78=999,0,(BO79-BO78)/(BN78-BM78))</f>
        <v>0</v>
      </c>
      <c r="CI78" s="926">
        <f>IF(BN78=999,0,(BP79-BP78)/(BN78-BM78))</f>
        <v>0</v>
      </c>
      <c r="CJ78" s="759"/>
      <c r="CK78" s="188"/>
      <c r="CL78" s="979">
        <f>VLOOKUP(I78,Prodlink,2,0)</f>
        <v>0</v>
      </c>
      <c r="CN78" s="497">
        <f ca="1">VLOOKUP(CO78,Prodlink,2,0)</f>
        <v>0</v>
      </c>
      <c r="CO78" s="497">
        <f ca="1">OFFSET($CH$9,CL78-1,-15,1,1)</f>
        <v>0</v>
      </c>
      <c r="CQ78" s="51">
        <v>0</v>
      </c>
      <c r="CR78" s="51">
        <f ca="1">IF(AND(Z78&lt;&gt;"t",Z78&lt;&gt;"f"),10000,IF(K78=$BH$11,0,IF(K78=$BH$12,$BH$23,IF(K78=$BH$13,$BH$24,10000))))</f>
        <v>10000</v>
      </c>
      <c r="CS78" s="51">
        <f ca="1">IF(F78&lt;OFFSET($BM$9,CL78-1,0,1,1),0,IF(F78&lt;OFFSET($BN$9,CL78-1,0,1,1),((F78-OFFSET($BM$9,CL78-1,0,1,1))*OFFSET($CH$9,CL78-1,0,1,1))+OFFSET($BO$9,CL78-1,CQ78,1,1),IF(F78&lt;OFFSET($BN$9,CL78+0,0,1,1),((F78-OFFSET($BM$9,CL78+0,0,1,1))*OFFSET($CH$9,CL78+0,0,1,1))+OFFSET($BO$9,CL78+0,CQ78,1,1),IF(F78&lt;OFFSET($BN$9,CL78+1,0,1,1),((F78-OFFSET($BM$9,CL78+1,0,1,1))*OFFSET($CH$9,CL78+1,0,1,1))+OFFSET($BO$9,CL78+1,CQ78,1,1),IF(F78&lt;OFFSET($BN$9,CL78+2,0,1,1),((F78-OFFSET($BM$9,CL78+2,0,1,1))*OFFSET($CH$9,CL78+2,0,1,1))+OFFSET($BO$9,CL78+2,CQ78,1,1),IF(F78&lt;OFFSET($BN$9,CL78+3,0,1,1),((F78-OFFSET($BM$9,CL78+3,0,1,1))*OFFSET($CH$9,CL78+3,0,1,1))+OFFSET($BO$9,CL78+3,CQ78,1,1),0))))))</f>
        <v>0</v>
      </c>
      <c r="CT78" s="51">
        <f ca="1">IF($F78&lt;OFFSET($BM$9,$CL78-1,0,1,1),0,IF($F78&lt;OFFSET($BN$9,$CL78-1,0,1,1),IF(AND($H78&gt;2.4,Z78&lt;&gt;"e",Z78&lt;&gt;"f"),CX78*2.4/$H78,CX78),IF($F78&lt;OFFSET($BN$9,$CL78+0,0,1,1),IF(AND($H78&gt;2.4,Z78&lt;&gt;"e",Z78&lt;&gt;"f"),CX78*2.4/$H78,CX78),IF($F78&lt;OFFSET($BN$9,$CL78+1,0,1,1),IF(AND($H78&gt;2.4,Z78&lt;&gt;"e",Z78&lt;&gt;"f"),CX78*2.4/$H78,CX78),IF($F78&lt;OFFSET($BN$9,CL78+2,0,1,1),IF(AND($H78&gt;2.4,Z78&lt;&gt;"e",Z78&lt;&gt;"f"),CX78*2.4/$H78,CX78),IF($F78&lt;OFFSET($BN$9,CL78+3,0,1,1),IF(AND($H78&gt;2.4,Z78&lt;&gt;"e",Z78&lt;&gt;"f"),CX78*2.4/$H78,CX78),0)))))*COS(RADIANS($G78)))</f>
        <v>0</v>
      </c>
      <c r="CU78" s="51">
        <f ca="1">IF(F78&lt;OFFSET($BM$9,CL78-1,0,1,1),0,IF(F78&lt;OFFSET($BN$9,CL78-1,0,1,1),((F78-OFFSET($BM$9,CL78-1,0,1,1))*OFFSET($CI$9,CL78-1,0,1,1))+OFFSET($BP$9,CL78-1,CQ78,1,1),IF(F78&lt;OFFSET($BN$9,CL78+0,0,1,1),((F78-OFFSET($BM$9,CL78+0,0,1,1))*OFFSET($CI$9,CL78+0,0,1,1))+OFFSET($BP$9,CL78+0,CQ78,1,1),IF(F78&lt;OFFSET($BN$9,CL78+1,0,1,1),((F78-OFFSET($BM$9,CL78+1,0,1,1))*OFFSET($CI$9,CL78+1,0,1,1))+OFFSET($BP$9,CL78+1,CQ78,1,1),IF(F78&lt;OFFSET($BN$9,CL78+2,0,1,1),((F78-OFFSET($BM$9,CL78+2,0,1,1))*OFFSET($CI$9,CL78+2,0,1,1))+OFFSET($BP$9,CL78+2,CQ78,1,1),IF(F78&lt;OFFSET($BN$9,CL78+3,0,1,1),((F78-OFFSET($BM$9,CL78+3,0,1,1))*OFFSET($CI$9,CL78+3,0,1,1))+OFFSET($BP$9,CL78+3,CQ78,1,1),0))))))</f>
        <v>0</v>
      </c>
      <c r="CV78" s="51">
        <f ca="1">IF($F78&lt;OFFSET($BM$9,$CL78-1,0,1,1),0,IF($F78&lt;OFFSET($BN$9,$CL78-1,0,1,1),IF(AND($H78&gt;2.4,Z78&lt;&gt;"e",Z78&lt;&gt;"f"),CZ78*2.4/$H78,CZ78),IF($F78&lt;OFFSET($BN$9,$CL78+0,0,1,1),IF(AND($H78&gt;2.4,Z78&lt;&gt;"e",Z78&lt;&gt;"f"),CZ78*2.4/$H78,CZ78),IF($F78&lt;OFFSET($BN$9,$CL78+1,0,1,1),IF(AND($H78&gt;2.4,Z78&lt;&gt;"e",Z78&lt;&gt;"f"),CZ78*2.4/$H78,CZ78),IF($F78&lt;OFFSET($BN$9,$CL78+2,0,1,1),IF(AND($H78&gt;2.4,Z78&lt;&gt;"e",Z78&lt;&gt;"f"),CZ78*2.4/$H78,CZ78),IF($F78&lt;OFFSET($BN$9,$CL78+3,0,1,1),IF(AND($H78&gt;2.4,Z78&lt;&gt;"e",Z78&lt;&gt;"f"),CZ78*2.4/$H78,CZ78),0)))))*COS(RADIANS($G78)))</f>
        <v>0</v>
      </c>
      <c r="CW78" s="51">
        <f ca="1">IF(CT78&gt;CR78,CR78,CT78)</f>
        <v>0</v>
      </c>
      <c r="CX78" s="51">
        <f ca="1">IF(CS78&gt;$CR78,$CR78,CS78)</f>
        <v>0</v>
      </c>
      <c r="CY78" s="51">
        <f ca="1">CW78*F78</f>
        <v>0</v>
      </c>
      <c r="CZ78" s="51">
        <f ca="1">IF($CU78&gt;$CR78,$CR78,$CU78)</f>
        <v>0</v>
      </c>
      <c r="DA78" s="51">
        <f ca="1">IF(CV78&gt;CR78,CR78,CV78)</f>
        <v>0</v>
      </c>
      <c r="DB78" s="51">
        <f ca="1">DA78*F78</f>
        <v>0</v>
      </c>
      <c r="DC78" s="993">
        <v>1</v>
      </c>
      <c r="DD78" s="758" t="str">
        <f>IF(OR(D78=BG$12,D78=BG$13),"External",IF(D78=BG$14,"Internal"," "))</f>
        <v xml:space="preserve"> </v>
      </c>
      <c r="DE78" s="51" t="str">
        <f t="shared" ca="1" si="41"/>
        <v/>
      </c>
      <c r="DF78" s="52" t="str">
        <f t="shared" ca="1" si="42"/>
        <v xml:space="preserve"> </v>
      </c>
      <c r="DG78" s="51">
        <f ca="1">IF(F78&lt;OFFSET($BM$9,CN78-1,0,1,1),0,IF(F78&lt;OFFSET($BN$9,CN78-1,0,1,1),((F78-OFFSET($BM$9,CN78-1,0,1,1))*OFFSET($CH$9,CN78-1,0,1,1))+OFFSET($BO$9,CN78-1,CQ78,1,1),IF(F78&lt;OFFSET($BN$9,CN78+0,0,1,1),((F78-OFFSET($BM$9,CN78+0,0,1,1))*OFFSET($CH$9,CN78+0,0,1,1))+OFFSET($BO$9,CN78+0,CQ78,1,1),IF(F78&lt;OFFSET($BN$9,CN78+1,0,1,1),((F78-OFFSET($BM$9,CN78+1,0,1,1))*OFFSET($CH$9,CN78+1,0,1,1))+OFFSET($BO$9,CN78+1,CQ78,1,1),IF(F78&lt;OFFSET($BN$9,CN78+2,0,1,1),((F78-OFFSET($BM$9,CN78+2,0,1,1))*OFFSET($CH$9,CN78+2,0,1,1))+OFFSET($BO$9,CN78+2,CQ78,1,1),IF(F78&lt;OFFSET($BN$9,CN78+3,0,1,1),((F78-OFFSET($BM$9,CN78+3,0,1,1))*OFFSET($CH$9,CN78+3,0,1,1))+OFFSET($BO$9,CN78+3,CQ78,1,1),0))))))</f>
        <v>0</v>
      </c>
      <c r="DH78" s="51">
        <f ca="1">IF($F78&lt;OFFSET($BM$9,$CN78-1,0,1,1),0,IF($F78&lt;OFFSET($BN$9,$CN78-1,0,1,1),IF(AND($H78&gt;2.4,Z78&lt;&gt;"e",Z78&lt;&gt;"f"),DL78*2.4/$H78,DL78),IF($F78&lt;OFFSET($BN$9,$CN78+0,0,1,1),IF(AND($H78&gt;2.4,Z78&lt;&gt;"e",Z78&lt;&gt;"f"),DL78*2.4/$H78,DL78),IF($F78&lt;OFFSET($BN$9,$CN78+1,0,1,1),IF(AND($H78&gt;2.4,Z78&lt;&gt;"e",Z78&lt;&gt;"f"),DL78*2.4/$H78,DL78),IF($F78&lt;OFFSET($BN$9,$CN78+2,0,1,1),IF(AND($H78&gt;2.4,Z78&lt;&gt;"e",Z78&lt;&gt;"f"),DL78*2.4/$H78,DL78),IF($F78&lt;OFFSET($BN$9,$CN78+3,0,1,1),IF(AND($H78&gt;2.4,Z78&lt;&gt;"e",Z78&lt;&gt;"f"),DL78*2.4/$H78,DL78),0)))))*COS(RADIANS($G78)))</f>
        <v>0</v>
      </c>
      <c r="DI78" s="51">
        <f ca="1">IF(F78&lt;OFFSET($BM$9,CN78-1,0,1,1),0,IF(F78&lt;OFFSET($BN$9,CN78-1,0,1,1),((F78-OFFSET($BM$9,CN78-1,0,1,1))*OFFSET($CI$9,CN78-1,0,1,1))+OFFSET($BP$9,CN78-1,CQ78,1,1),IF(F78&lt;OFFSET($BN$9,CN78+0,0,1,1),((F78-OFFSET($BM$9,CN78+0,0,1,1))*OFFSET($CI$9,CN78+0,0,1,1))+OFFSET($BP$9,CN78+0,CQ78,1,1),IF(F78&lt;OFFSET($BN$9,CN78+1,0,1,1),((F78-OFFSET($BM$9,CN78+1,0,1,1))*OFFSET($CI$9,CN78+1,0,1,1))+OFFSET($BP$9,CN78+1,CQ78,1,1),IF(F78&lt;OFFSET($BN$9,CN78+2,0,1,1),((F78-OFFSET($BM$9,CN78+2,0,1,1))*OFFSET($CI$9,CN78+2,0,1,1))+OFFSET($BP$9,CN78+2,CQ78,1,1),IF(F78&lt;OFFSET($BN$9,CN78+3,0,1,1),((F78-OFFSET($BM$9,CN78+3,0,1,1))*OFFSET($CI$9,CN78+3,0,1,1))+OFFSET($BP$9,CN78+3,CQ78,1,1),0))))))</f>
        <v>0</v>
      </c>
      <c r="DJ78" s="51">
        <f ca="1">IF($F78&lt;OFFSET($BM$9,$CN78-1,0,1,1),0,IF($F78&lt;OFFSET($BN$9,$CN78-1,0,1,1),IF(AND($H78&gt;2.4,Z78&lt;&gt;"e",Z78&lt;&gt;"f"),DN78*2.4/$H78,DN78),IF($F78&lt;OFFSET($BN$9,$CN78+0,0,1,1),IF(AND($H78&gt;2.4,Z78&lt;&gt;"e",Z78&lt;&gt;"f"),DN78*2.4/$H78,DN78),IF($F78&lt;OFFSET($BN$9,$CN78+1,0,1,1),IF(AND($H78&gt;2.4,Z78&lt;&gt;"e",Z78&lt;&gt;"f"),DN78*2.4/$H78,DN78),IF($F78&lt;OFFSET($BN$9,$CN78+2,0,1,1),IF(AND($H78&gt;2.4,Z78&lt;&gt;"e",Z78&lt;&gt;"f"),DN78*2.4/$H78,DN78),IF($F78&lt;OFFSET($BN$9,$CN78+3,0,1,1),IF(AND($H78&gt;2.4,Z78&lt;&gt;"e",Z78&lt;&gt;"f"),DN78*2.4/$H78,DN78),0)))))*COS(RADIANS($G78)))</f>
        <v>0</v>
      </c>
      <c r="DK78" s="51"/>
      <c r="DL78" s="51">
        <f ca="1">IF(DG78&gt;$CR78,$CR78,DG78)</f>
        <v>0</v>
      </c>
      <c r="DM78" s="51"/>
      <c r="DN78" s="51">
        <f ca="1">IF(DI78&gt;$CR78,$CR78,DI78)</f>
        <v>0</v>
      </c>
      <c r="DO78" s="435">
        <f ca="1">IF(DH78&gt;$CR78,$CR78,DH78)</f>
        <v>0</v>
      </c>
      <c r="DP78" s="435">
        <f ca="1">DO78*F78</f>
        <v>0</v>
      </c>
      <c r="DQ78" s="436">
        <f ca="1">IF(DJ78&gt;$CR78,$CR78,DJ78)</f>
        <v>0</v>
      </c>
      <c r="DR78" s="437">
        <f ca="1">DQ78*F78</f>
        <v>0</v>
      </c>
      <c r="DS78" s="426">
        <f ca="1">OFFSET($CH$9,CL78-1,-15,1,1)</f>
        <v>0</v>
      </c>
      <c r="DT78" s="426">
        <f ca="1">VLOOKUP(DS78,Prodlink,2,0)</f>
        <v>0</v>
      </c>
      <c r="DU78" s="188">
        <f ca="1">IF(F78&lt;OFFSET($BM$9,DT78-1,0,1,1),0,IF(F78&lt;OFFSET($BN$9,DT78-1,0,1,1),((F78-OFFSET($BM$9,DT78-1,0,1,1))*OFFSET($CH$9,DT78-1,0,1,1))+OFFSET($BO$9,DT78-1,CQ78,1,1),IF(F78&lt;OFFSET($BN$9,DT78+0,0,1,1),((F78-OFFSET($BM$9,DT78+0,0,1,1))*OFFSET($CH$9,DT78+0,0,1,1))+OFFSET($BO$9,DT78+0,CQ78,1,1),IF(F78&lt;OFFSET($BN$9,DT78+1,0,1,1),((F78-OFFSET($BM$9,DT78+1,0,1,1))*OFFSET($CH$9,DT78+1,0,1,1))+OFFSET($BO$9,DT78+1,CQ78,1,1),IF(F78&lt;OFFSET($BN$9,DT78+2,0,1,1),((F78-OFFSET($BM$9,DT78+2,0,1,1))*OFFSET($CH$9,DT78+2,0,1,1))+OFFSET($BO$9,DT78+2,CQ78,1,1),IF(F78&lt;OFFSET($BN$9,DT78+3,0,1,1),((F78-OFFSET($BM$9,DT78+3,0,1,1))*OFFSET($CH$9,DT78+3,0,1,1))+OFFSET($BO$9,DT78+3,CQ78,1,1),0))))))</f>
        <v>0</v>
      </c>
      <c r="DV78" s="51">
        <f ca="1">IF($F78&lt;OFFSET($BM$9,$DT78-1,0,1,1),0,IF($F78&lt;OFFSET($BN$9,$DT78-1,0,1,1),IF(AND($H78&gt;2.4,Z78&lt;&gt;"e",Z78&lt;&gt;"f"),DZ78*2.4/$H78,DZ78),IF($F78&lt;OFFSET($BN$9,$DT78+0,0,1,1),IF(AND($H78&gt;2.4,Z78&lt;&gt;"e",Z78&lt;&gt;"f"),DZ78*2.4/$H78,DZ78),IF($F78&lt;OFFSET($BN$9,$DT78+1,0,1,1),IF(AND($H78&gt;2.4,Z78&lt;&gt;"e",Z78&lt;&gt;"f"),DZ78*2.4/$H78,DZ78),IF($F78&lt;OFFSET($BN$9,$DT78+2,0,1,1),IF(AND($H78&gt;2.4,Z78&lt;&gt;"e",Z78&lt;&gt;"f"),DZ78*2.4/$H78,DZ78),IF($F78&lt;OFFSET($BN$9,$DT78+3,0,1,1),IF(AND($H78&gt;2.4,Z78&lt;&gt;"e",Z78&lt;&gt;"f"),DZ78*2.4/$H78,DZ78),0)))))*COS(RADIANS($G78)))</f>
        <v>0</v>
      </c>
      <c r="DW78" s="188">
        <f ca="1">IF(F78&lt;OFFSET($BM$9,DT78-1,0,1,1),0,IF(F78&lt;OFFSET($BN$9,DT78-1,0,1,1),((F78-OFFSET($BM$9,DT78-1,0,1,1))*OFFSET($CI$9,DT78-1,0,1,1))+OFFSET($BP$9,DT78-1,CQ78,1,1),IF(F78&lt;OFFSET($BN$9,DT78+0,0,1,1),((F78-OFFSET($BM$9,DT78+0,0,1,1))*OFFSET($CI$9,DT78+0,0,1,1))+OFFSET($BP$9,DT78+0,CQ78,1,1),IF(F78&lt;OFFSET($BN$9,DT78+1,0,1,1),((F78-OFFSET($BM$9,DT78+1,0,1,1))*OFFSET($CI$9,DT78+1,0,1,1))+OFFSET($BP$9,DT78+1,CQ78,1,1),IF(F78&lt;OFFSET($BN$9,DT78+2,0,1,1),((F78-OFFSET($BM$9,DT78+2,0,1,1))*OFFSET($CI$9,DT78+2,0,1,1))+OFFSET($BP$9,DT78+2,CQ78,1,1),IF(F78&lt;OFFSET($BN$9,DT78+3,0,1,1),((F78-OFFSET($BM$9,DT78+3,0,1,1))*OFFSET($CI$9,DT78+3,0,1,1))+OFFSET($BP$9,DT78+3,CQ78,1,1),0))))))</f>
        <v>0</v>
      </c>
      <c r="DX78" s="51">
        <f ca="1">IF($F78&lt;OFFSET($BM$9,$DT78-1,0,1,1),0,IF($F78&lt;OFFSET($BN$9,$DT78-1,0,1,1),IF(AND($H78&gt;2.4,Z78&lt;&gt;"e",Z78&lt;&gt;"f"),EB78*2.4/$H78,EB78),IF($F78&lt;OFFSET($BN$9,$DT78+0,0,1,1),IF(AND($H78&gt;2.4,Z78&lt;&gt;"e",Z78&lt;&gt;"f"),EB78*2.4/$H78,EB78),IF($F78&lt;OFFSET($BN$9,$DT78+1,0,1,1),IF(AND($H78&gt;2.4,Z78&lt;&gt;"e",Z78&lt;&gt;"f"),EB78*2.4/$H78,EB78),IF($F78&lt;OFFSET($BN$9,$DT78+2,0,1,1),IF(AND($H78&gt;2.4,Z78&lt;&gt;"e",Z78&lt;&gt;"f"),EB78*2.4/$H78,EB78),IF($F78&lt;OFFSET($BN$9,$DT78+3,0,1,1),IF(AND($H78&gt;2.4,Z78&lt;&gt;"e",Z78&lt;&gt;"f"),EB78*2.4/$H78,EB78),0)))))*COS(RADIANS($G78)))</f>
        <v>0</v>
      </c>
      <c r="DY78" s="188"/>
      <c r="DZ78" s="188">
        <f ca="1">IF(DU78&gt;$CR78,$CR78,DU78)</f>
        <v>0</v>
      </c>
      <c r="EA78" s="188"/>
      <c r="EB78" s="188">
        <f ca="1">IF(DW78&gt;$CR78,$CR78,DW78)</f>
        <v>0</v>
      </c>
      <c r="EC78" s="435">
        <f ca="1">IF(DV78&gt;$CR78,$CR78,DV78)</f>
        <v>0</v>
      </c>
      <c r="ED78" s="435">
        <f ca="1">EC78*F78</f>
        <v>0</v>
      </c>
      <c r="EE78" s="436">
        <f ca="1">IF(DX78&gt;$CR78,$CR78,DX78)</f>
        <v>0</v>
      </c>
      <c r="EF78" s="437">
        <f ca="1">EE78*F78</f>
        <v>0</v>
      </c>
      <c r="EG78" s="615" t="str">
        <f>IF(D78=BG$12,BG$12,"")</f>
        <v/>
      </c>
      <c r="EH78" s="616" t="str">
        <f>IF(D78=BG$13,BG$13,"")</f>
        <v/>
      </c>
      <c r="EI78" s="611">
        <f>IF(EG78=BG$12,M78,0)</f>
        <v>0</v>
      </c>
      <c r="EJ78" s="451">
        <f>IF(EG78=BG$12,O78,0)</f>
        <v>0</v>
      </c>
      <c r="EK78" s="451">
        <f>IF(EH78=BG$13,M78,0)</f>
        <v>0</v>
      </c>
      <c r="EL78" s="612">
        <f>IF(EH78=BG$13,O78,0)</f>
        <v>0</v>
      </c>
      <c r="EM78" s="426" t="str">
        <f ca="1">IF(AND(Z78&lt;&gt;"t",Z78&lt;&gt;"f"),"",IF(AND(EN78=$BH$11,K78&lt;&gt;EN78),EM$4,IF(AND(EN78=$BH$12,K78=$BH$13),EM$4,IF(AND(EN78=$BH$12,K78=$BH$14),EM$4,IF(AND(EN78=$BH$13,K78=$BH$14),$EM$4,IF(EN78=$BH$14,$EM$4,""))))))</f>
        <v/>
      </c>
      <c r="EN78" s="489" t="str">
        <f>BG$24</f>
        <v>No Floor</v>
      </c>
      <c r="EO78" s="426" t="str">
        <f>K78</f>
        <v xml:space="preserve"> </v>
      </c>
      <c r="EP78" s="497" t="str">
        <f ca="1">IF(AND(Z78&lt;&gt;"t",Z78&lt;&gt;"f"),"",IF(AND(EN78=$BH$14,K78&lt;&gt;EN78),EP$4,IF(AND(EN78=$BH$13,K78=$BH$12),EP$4,IF(AND(EN78=$BH$13,K78=$BH$11),EP$4,IF(AND(EN78=$BH$12,K78=$BH$11),$EP$4,IF(EN78=$BH$11,"Earth",""))))))</f>
        <v/>
      </c>
      <c r="EQ78" s="430" t="str">
        <f ca="1">IF(Z78&lt;&gt;"t","",IF(EQ$5=2,IF(K78&lt;&gt;BH$11,EQ$7," ")))</f>
        <v/>
      </c>
      <c r="ER78" s="439" t="str">
        <f ca="1">IF(H78=0," ",H78)</f>
        <v xml:space="preserve"> </v>
      </c>
      <c r="ES78" s="447" t="str">
        <f ca="1">IF(ER78&lt;&gt;" ",IF(ER78&lt;&gt;ER$7,"Changed",""),"")</f>
        <v/>
      </c>
      <c r="ET78" s="440">
        <f ca="1">IF(ER78&lt;&gt;" ",IF(ER78&lt;&gt;ER$7,1,0),0)</f>
        <v>0</v>
      </c>
      <c r="EU78" s="426" t="str">
        <f ca="1">IF(I78=" "," ",IF(F78&lt;OFFSET($BM$9,CL78-1,0,1,1),1,""))</f>
        <v xml:space="preserve"> </v>
      </c>
      <c r="EW78" s="427"/>
      <c r="EY78" s="421"/>
    </row>
    <row r="79" spans="1:155" ht="17.100000000000001" hidden="1" customHeight="1" thickBot="1">
      <c r="A79" s="2685"/>
      <c r="B79" s="2686" t="s">
        <v>8</v>
      </c>
      <c r="C79" s="2687"/>
      <c r="D79" s="1461" t="s">
        <v>8</v>
      </c>
      <c r="E79" s="659"/>
      <c r="F79" s="659"/>
      <c r="G79" s="659"/>
      <c r="H79" s="659"/>
      <c r="I79" s="1462"/>
      <c r="J79" s="1365" t="str">
        <f ca="1">(CONCATENATE(B74,$BE$54))</f>
        <v>L  Line:  Min. Requirement</v>
      </c>
      <c r="K79" s="23"/>
      <c r="L79" s="1019">
        <f ca="1">L$5</f>
        <v>0</v>
      </c>
      <c r="M79" s="48">
        <f ca="1">IF(B74=B68,SUM(M74:M78)+M73,SUM(M74:M78))</f>
        <v>0</v>
      </c>
      <c r="N79" s="1019">
        <f ca="1">N$5</f>
        <v>0</v>
      </c>
      <c r="O79" s="125">
        <f ca="1">IF(B74=B68,SUM(O74:O78)+O73,SUM(O74:O78))</f>
        <v>0</v>
      </c>
      <c r="P79" s="139"/>
      <c r="Q79" s="42" t="str">
        <f ca="1">IF(B74=B80,"",IF(AND(M79&gt;0,L79=L$5,OR(M79&lt;$M$105,M79&lt;$BF$3)),"Achieved &lt; Min Req per Line",IF(AND(O79&gt;0,N79=N$5,OR(O79&lt;$O$105,O79&lt;$BF$3)),"Achieved &lt; Min Req per Line",IF(AND(M79&gt;0,L79&gt;M79),"More Required on this line",IF(AND(O79&gt;0,N79&gt;O79),"More Required on this line",IF(AND(L79&gt;0,L79&lt;$BF$3),$BE$59,IF(AND(N79&gt;0,N79&lt;$BF$3),$BE$59,"")))))))</f>
        <v/>
      </c>
      <c r="R79" s="52"/>
      <c r="S79" s="52"/>
      <c r="T79" s="52"/>
      <c r="U79" s="52"/>
      <c r="V79" s="52"/>
      <c r="W79" s="1000"/>
      <c r="X79" s="9"/>
      <c r="Y79" s="896"/>
      <c r="Z79" s="52"/>
      <c r="AA79" s="51"/>
      <c r="AB79" s="1364"/>
      <c r="AC79" s="1"/>
      <c r="AO79" s="51"/>
      <c r="AP79" s="51"/>
      <c r="AQ79" s="51"/>
      <c r="AR79" s="51"/>
      <c r="AS79" s="51"/>
      <c r="AT79" s="51"/>
      <c r="AU79" s="51"/>
      <c r="AV79" s="51"/>
      <c r="AW79" s="51"/>
      <c r="AX79" s="51"/>
      <c r="AY79" s="51"/>
      <c r="AZ79" s="51"/>
      <c r="BA79" s="51"/>
      <c r="BB79" s="51"/>
      <c r="BC79" s="51"/>
      <c r="BD79" s="652"/>
      <c r="BI79" s="759"/>
      <c r="BJ79" s="897">
        <f t="shared" si="33"/>
        <v>71</v>
      </c>
      <c r="BK79" s="1231"/>
      <c r="BL79" s="1234"/>
      <c r="BM79" s="1205"/>
      <c r="BN79" s="1205"/>
      <c r="BO79" s="1205"/>
      <c r="BP79" s="1205"/>
      <c r="BQ79" s="1233"/>
      <c r="BR79" s="1205"/>
      <c r="BS79" s="1205"/>
      <c r="BT79" s="1205"/>
      <c r="BU79" s="1205"/>
      <c r="BV79" s="1233"/>
      <c r="BW79" s="1235"/>
      <c r="BX79" s="1205"/>
      <c r="CH79" s="970"/>
      <c r="CI79" s="971"/>
      <c r="CJ79" s="759"/>
      <c r="CK79" s="188"/>
      <c r="CL79" s="980"/>
      <c r="CM79" s="939"/>
      <c r="CN79" s="940"/>
      <c r="CO79" s="940"/>
      <c r="CP79" s="939"/>
      <c r="CQ79" s="939"/>
      <c r="CR79" s="938"/>
      <c r="CS79" s="938"/>
      <c r="CT79" s="938"/>
      <c r="CU79" s="938"/>
      <c r="CV79" s="938"/>
      <c r="CW79" s="938"/>
      <c r="CX79" s="938"/>
      <c r="CY79" s="938"/>
      <c r="CZ79" s="938"/>
      <c r="DA79" s="938"/>
      <c r="DB79" s="938"/>
      <c r="DC79" s="998">
        <v>1</v>
      </c>
      <c r="DD79" s="938"/>
      <c r="DE79" s="938"/>
      <c r="DF79" s="938"/>
      <c r="DG79" s="938"/>
      <c r="DH79" s="938"/>
      <c r="DI79" s="938"/>
      <c r="DJ79" s="938"/>
      <c r="DK79" s="938"/>
      <c r="DL79" s="938"/>
      <c r="DM79" s="938"/>
      <c r="DN79" s="938"/>
      <c r="DO79" s="941"/>
      <c r="DP79" s="941"/>
      <c r="DQ79" s="941"/>
      <c r="DR79" s="941"/>
      <c r="DS79" s="942"/>
      <c r="DT79" s="942"/>
      <c r="DU79" s="939"/>
      <c r="DV79" s="939"/>
      <c r="DW79" s="939"/>
      <c r="DX79" s="939"/>
      <c r="DY79" s="939"/>
      <c r="DZ79" s="939"/>
      <c r="EA79" s="939"/>
      <c r="EB79" s="939"/>
      <c r="EC79" s="941">
        <f>IF(DV79&gt;$BY83,$BY83,DV79)</f>
        <v>0</v>
      </c>
      <c r="ED79" s="941"/>
      <c r="EE79" s="941">
        <f>IF(DX79&gt;$BY83,$BY83,DX79)</f>
        <v>0</v>
      </c>
      <c r="EF79" s="941"/>
      <c r="EG79" s="435"/>
      <c r="EH79" s="435"/>
      <c r="EI79" s="451"/>
      <c r="EJ79" s="451"/>
      <c r="EK79" s="451"/>
      <c r="EL79" s="451"/>
      <c r="ER79" s="448"/>
      <c r="EW79" s="427"/>
      <c r="EY79" s="421"/>
    </row>
    <row r="80" spans="1:155" ht="15" customHeight="1" thickBot="1">
      <c r="A80" s="2685"/>
      <c r="B80" s="2748" t="s">
        <v>488</v>
      </c>
      <c r="C80" s="2749"/>
      <c r="D80" s="2750"/>
      <c r="E80" s="2766"/>
      <c r="F80" s="2767"/>
      <c r="G80" s="2767"/>
      <c r="H80" s="2767"/>
      <c r="I80" s="2767"/>
      <c r="J80" s="2767"/>
      <c r="K80" s="2768"/>
      <c r="L80" s="17"/>
      <c r="M80" s="24" t="s">
        <v>1</v>
      </c>
      <c r="N80" s="16"/>
      <c r="O80" s="127" t="s">
        <v>17</v>
      </c>
      <c r="P80" s="142"/>
      <c r="R80" s="52"/>
      <c r="S80" s="52"/>
      <c r="T80" s="52"/>
      <c r="U80" s="52"/>
      <c r="V80" s="52"/>
      <c r="W80" s="52"/>
      <c r="X80" s="52"/>
      <c r="Y80" s="896"/>
      <c r="Z80" s="52"/>
      <c r="AA80" s="51"/>
      <c r="AB80" s="51"/>
      <c r="AC80" s="9"/>
      <c r="AO80" s="51"/>
      <c r="AP80" s="51"/>
      <c r="AQ80" s="51"/>
      <c r="AR80" s="51"/>
      <c r="AS80" s="51"/>
      <c r="AT80" s="51"/>
      <c r="AU80" s="51"/>
      <c r="AV80" s="51"/>
      <c r="AW80" s="51"/>
      <c r="AX80" s="51"/>
      <c r="AY80" s="51"/>
      <c r="AZ80" s="51"/>
      <c r="BA80" s="51"/>
      <c r="BB80" s="51"/>
      <c r="BC80" s="51"/>
      <c r="BD80" s="652"/>
      <c r="BI80" s="759"/>
      <c r="BJ80" s="897">
        <f t="shared" si="33"/>
        <v>72</v>
      </c>
      <c r="BK80" s="768" t="str">
        <f>BK74</f>
        <v xml:space="preserve">EPB </v>
      </c>
      <c r="BL80" s="765" t="str">
        <f>Table!AA4</f>
        <v>EM-H</v>
      </c>
      <c r="BM80" s="454">
        <f>Table!AB4</f>
        <v>0.4</v>
      </c>
      <c r="BN80" s="454">
        <f>BM81</f>
        <v>0.6</v>
      </c>
      <c r="BO80" s="454">
        <f>Table!AC4</f>
        <v>98</v>
      </c>
      <c r="BP80" s="924">
        <f>Table!AD4</f>
        <v>100</v>
      </c>
      <c r="BQ80" s="920"/>
      <c r="BR80" s="768" t="str">
        <f>Table!AE4</f>
        <v>ES-H</v>
      </c>
      <c r="BS80" s="454" t="str">
        <f>Table!AE5</f>
        <v>ES-H</v>
      </c>
      <c r="BT80" s="454" t="str">
        <f>Table!AF4</f>
        <v>B</v>
      </c>
      <c r="BU80" s="924" t="s">
        <v>242</v>
      </c>
      <c r="BV80" s="1230" t="str">
        <f>Table!AI75</f>
        <v>EM-H</v>
      </c>
      <c r="BW80" s="1229">
        <f>BJ80</f>
        <v>72</v>
      </c>
      <c r="BX80" s="924" t="str">
        <f>Table!AF5</f>
        <v>Single</v>
      </c>
      <c r="CH80" s="768">
        <f>IF(BN80=999,0,(BO81-BO80)/(BN80-BM80))</f>
        <v>60.000000000000014</v>
      </c>
      <c r="CI80" s="924">
        <f>IF(BN80=999,0,(BP81-BP80)/(BN80-BM80))</f>
        <v>20.000000000000004</v>
      </c>
      <c r="CJ80" s="759"/>
      <c r="CK80" s="188"/>
      <c r="CL80" s="52"/>
      <c r="EW80" s="427"/>
      <c r="EY80" s="421"/>
    </row>
    <row r="81" spans="2:155" ht="19.5" customHeight="1">
      <c r="B81" s="2746" t="s">
        <v>219</v>
      </c>
      <c r="C81" s="2747"/>
      <c r="D81" s="164">
        <f ca="1">'Project Demand'!N5</f>
        <v>44439.670989930557</v>
      </c>
      <c r="E81" s="1359"/>
      <c r="F81" s="2773" t="str">
        <f>B4</f>
        <v>Subfloor</v>
      </c>
      <c r="G81" s="2639"/>
      <c r="H81" s="2773" t="str">
        <f>B3</f>
        <v>Wall Along</v>
      </c>
      <c r="I81" s="2639"/>
      <c r="J81" s="2795" t="str">
        <f>DA4</f>
        <v>Achieved BU's =</v>
      </c>
      <c r="K81" s="2639"/>
      <c r="L81" s="45">
        <f ca="1">M2/M3</f>
        <v>0</v>
      </c>
      <c r="M81" s="46">
        <f ca="1">M2</f>
        <v>0</v>
      </c>
      <c r="N81" s="45">
        <f ca="1">O2/O3</f>
        <v>0</v>
      </c>
      <c r="O81" s="128">
        <f ca="1">O2</f>
        <v>0</v>
      </c>
      <c r="P81" s="133"/>
      <c r="R81" s="52"/>
      <c r="S81" s="52"/>
      <c r="T81" s="52"/>
      <c r="U81" s="52"/>
      <c r="V81" s="52"/>
      <c r="W81" s="52"/>
      <c r="X81" s="52"/>
      <c r="Y81" s="896"/>
      <c r="Z81" s="52"/>
      <c r="AA81" s="52"/>
      <c r="AB81" s="52"/>
      <c r="AC81" s="9"/>
      <c r="AO81" s="51"/>
      <c r="AP81" s="51"/>
      <c r="AQ81" s="51"/>
      <c r="AR81" s="51"/>
      <c r="AS81" s="51"/>
      <c r="AT81" s="51"/>
      <c r="AU81" s="51"/>
      <c r="AV81" s="51"/>
      <c r="AW81" s="51"/>
      <c r="AX81" s="51"/>
      <c r="AY81" s="51"/>
      <c r="AZ81" s="51"/>
      <c r="BA81" s="51"/>
      <c r="BB81" s="51"/>
      <c r="BC81" s="51"/>
      <c r="BD81" s="652"/>
      <c r="BE81" s="1"/>
      <c r="BF81" s="51"/>
      <c r="BG81" s="51"/>
      <c r="BI81" s="759"/>
      <c r="BJ81" s="897">
        <f t="shared" si="33"/>
        <v>73</v>
      </c>
      <c r="BK81" s="764"/>
      <c r="BL81" s="766"/>
      <c r="BM81" s="455">
        <f>Table!AB5</f>
        <v>0.6</v>
      </c>
      <c r="BN81" s="455">
        <f>BM82</f>
        <v>0.8</v>
      </c>
      <c r="BO81" s="455">
        <f>Table!AC5</f>
        <v>110</v>
      </c>
      <c r="BP81" s="925">
        <f>Table!AD5</f>
        <v>104</v>
      </c>
      <c r="BR81" s="764"/>
      <c r="BS81" s="455"/>
      <c r="BT81" s="455"/>
      <c r="BU81" s="925" t="s">
        <v>242</v>
      </c>
      <c r="BV81" s="895"/>
      <c r="BW81" s="912"/>
      <c r="BX81" s="925" t="str">
        <f>Table!AF5</f>
        <v>Single</v>
      </c>
      <c r="CH81" s="764">
        <f>IF(BN81=999,0,(BO82-BO81)/(BN81-BM81))</f>
        <v>49.999999999999986</v>
      </c>
      <c r="CI81" s="925">
        <f>IF(BN81=999,0,(BP82-BP81)/(BN81-BM81))</f>
        <v>24.999999999999993</v>
      </c>
      <c r="CJ81" s="759"/>
      <c r="CK81" s="188"/>
      <c r="CL81" s="52"/>
      <c r="EI81" s="746">
        <f ca="1">SUM(EI8:EI78)</f>
        <v>0</v>
      </c>
      <c r="EJ81" s="746">
        <f ca="1">SUM(EJ8:EJ78)</f>
        <v>0</v>
      </c>
      <c r="EK81" s="747">
        <f>SUM(EK8:EK78)</f>
        <v>0</v>
      </c>
      <c r="EL81" s="748">
        <f>SUM(EL8:EL78)</f>
        <v>0</v>
      </c>
      <c r="ET81" s="746">
        <f ca="1">SUM(ET8:ET78)</f>
        <v>0</v>
      </c>
      <c r="EU81" s="746">
        <f ca="1">SUM(EU8:EU78)</f>
        <v>0</v>
      </c>
      <c r="EW81" s="427"/>
      <c r="EY81" s="421"/>
    </row>
    <row r="82" spans="2:155" ht="18" customHeight="1" thickBot="1">
      <c r="B82" s="2770" t="str">
        <f>FP</f>
        <v>Elephant QuickBrace™ September 2018  V.1.0</v>
      </c>
      <c r="C82" s="2771"/>
      <c r="D82" s="2771"/>
      <c r="E82" s="2771"/>
      <c r="F82" s="2771"/>
      <c r="G82" s="2771"/>
      <c r="H82" s="2772"/>
      <c r="I82" s="2757" t="str">
        <f>K3</f>
        <v>Total Demand =</v>
      </c>
      <c r="J82" s="2758"/>
      <c r="K82" s="2759"/>
      <c r="L82" s="1795" t="str">
        <f>$BH$3</f>
        <v>Bu's</v>
      </c>
      <c r="M82" s="1796">
        <f>M3</f>
        <v>685</v>
      </c>
      <c r="N82" s="1795" t="str">
        <f>$BH$3</f>
        <v>Bu's</v>
      </c>
      <c r="O82" s="1797">
        <f>O3</f>
        <v>1206</v>
      </c>
      <c r="P82" s="132"/>
      <c r="R82" s="52"/>
      <c r="S82" s="52"/>
      <c r="T82" s="52"/>
      <c r="U82" s="52"/>
      <c r="V82" s="52"/>
      <c r="W82" s="52"/>
      <c r="X82" s="52"/>
      <c r="Y82" s="896"/>
      <c r="Z82" s="52"/>
      <c r="AA82" s="52"/>
      <c r="AB82" s="52"/>
      <c r="AC82" s="9"/>
      <c r="AO82" s="51"/>
      <c r="AP82" s="51"/>
      <c r="AQ82" s="51"/>
      <c r="AR82" s="51"/>
      <c r="AS82" s="51"/>
      <c r="AT82" s="51"/>
      <c r="AU82" s="51"/>
      <c r="AV82" s="51"/>
      <c r="AW82" s="51"/>
      <c r="AX82" s="51"/>
      <c r="AY82" s="51"/>
      <c r="AZ82" s="51"/>
      <c r="BA82" s="51"/>
      <c r="BB82" s="51"/>
      <c r="BC82" s="51"/>
      <c r="BD82" s="652"/>
      <c r="BE82" s="1"/>
      <c r="BF82" s="51"/>
      <c r="BG82" s="51"/>
      <c r="BI82" s="759"/>
      <c r="BJ82" s="897">
        <f t="shared" ref="BJ82:BJ88" si="43">BJ81+1</f>
        <v>74</v>
      </c>
      <c r="BK82" s="764"/>
      <c r="BL82" s="766"/>
      <c r="BM82" s="455">
        <f>Table!AB6</f>
        <v>0.8</v>
      </c>
      <c r="BN82" s="455">
        <f>BM83</f>
        <v>1</v>
      </c>
      <c r="BO82" s="455">
        <f>Table!AC6</f>
        <v>120</v>
      </c>
      <c r="BP82" s="925">
        <f>Table!AD6</f>
        <v>109</v>
      </c>
      <c r="BR82" s="764"/>
      <c r="BS82" s="455"/>
      <c r="BT82" s="455"/>
      <c r="BU82" s="925" t="s">
        <v>242</v>
      </c>
      <c r="BV82" s="895"/>
      <c r="BW82" s="912"/>
      <c r="BX82" s="925" t="str">
        <f>Table!AF5</f>
        <v>Single</v>
      </c>
      <c r="CH82" s="764">
        <f>IF(BN82=999,0,(BO83-BO82)/(BN82-BM82))</f>
        <v>55.000000000000014</v>
      </c>
      <c r="CI82" s="925">
        <f>IF(BN82=999,0,(BP83-BP82)/(BN82-BM82))</f>
        <v>10.000000000000002</v>
      </c>
      <c r="CJ82" s="759"/>
      <c r="CK82" s="188"/>
      <c r="CL82" s="52"/>
      <c r="EI82" s="749">
        <f ca="1">SUM(EI8:EI12)+(IF($B14=$B8,IF($B20=$B8,(SUM(EI20:EI25)+SUM(EI14:EI18)),SUM(EI14:EI18)),0))</f>
        <v>0</v>
      </c>
      <c r="EJ82" s="750">
        <f ca="1">SUM(EJ8:EJ12)+(IF($B14=$B8,IF($B20=$B8,(SUM(EJ20:EJ25)+SUM(EJ14:EJ18)),SUM(EJ14:EJ18)),0))</f>
        <v>0</v>
      </c>
      <c r="EK82" s="751">
        <f ca="1">SUM(EK8:EK12)+(IF($B14=$B8,IF($B20=$B8,(SUM(EK20:EK25)+SUM(EK14:EK18)),SUM(EK14:EK18)),0))</f>
        <v>0</v>
      </c>
      <c r="EL82" s="750">
        <f ca="1">SUM(EL8:EL12)+(IF($B14=$B8,IF($B20=$B8,(SUM(EL20:EL25)+SUM(EL14:EL18)),SUM(EL14:EL18)),0))</f>
        <v>0</v>
      </c>
      <c r="EW82" s="427"/>
      <c r="EY82" s="421"/>
    </row>
    <row r="83" spans="2:155" ht="15" customHeight="1">
      <c r="B83" s="543" t="s">
        <v>898</v>
      </c>
      <c r="C83" s="129"/>
      <c r="D83" s="129"/>
      <c r="E83" s="129"/>
      <c r="F83" s="129"/>
      <c r="G83" s="154" t="str">
        <f>IF('Project Demand'!AQ59=2,"Alternatively Sourced Demands are used in this sheet","")</f>
        <v/>
      </c>
      <c r="H83" s="130"/>
      <c r="I83" s="130"/>
      <c r="J83" s="130"/>
      <c r="K83" s="130"/>
      <c r="L83" s="2760" t="str">
        <f ca="1">IF(M81&lt;M82,"NOT Enough","")</f>
        <v>NOT Enough</v>
      </c>
      <c r="M83" s="2760"/>
      <c r="N83" s="2760" t="str">
        <f ca="1">IF(O81&lt;O82,"NOT Enough","")</f>
        <v>NOT Enough</v>
      </c>
      <c r="O83" s="2769"/>
      <c r="P83" s="122"/>
      <c r="R83" s="52"/>
      <c r="S83" s="52"/>
      <c r="T83" s="52"/>
      <c r="U83" s="52"/>
      <c r="V83" s="52"/>
      <c r="W83" s="52"/>
      <c r="X83" s="52"/>
      <c r="Y83" s="896"/>
      <c r="Z83" s="52"/>
      <c r="AA83" s="52"/>
      <c r="AB83" s="52"/>
      <c r="AC83" s="9"/>
      <c r="AD83" s="1"/>
      <c r="AE83" s="1"/>
      <c r="AF83" s="1"/>
      <c r="AG83" s="1"/>
      <c r="AH83" s="1"/>
      <c r="AI83" s="1"/>
      <c r="AJ83" s="1"/>
      <c r="AK83" s="1"/>
      <c r="AL83" s="1"/>
      <c r="AM83" s="6"/>
      <c r="AN83" s="51"/>
      <c r="AO83" s="51"/>
      <c r="AP83" s="51"/>
      <c r="AQ83" s="51"/>
      <c r="AR83" s="51"/>
      <c r="AS83" s="51"/>
      <c r="AT83" s="51"/>
      <c r="AU83" s="51"/>
      <c r="AV83" s="51"/>
      <c r="AW83" s="51"/>
      <c r="AX83" s="51"/>
      <c r="AY83" s="51"/>
      <c r="AZ83" s="51"/>
      <c r="BA83" s="51"/>
      <c r="BB83" s="51"/>
      <c r="BC83" s="51"/>
      <c r="BD83" s="652"/>
      <c r="BE83" s="1"/>
      <c r="BF83" s="51"/>
      <c r="BG83" s="51"/>
      <c r="BI83" s="759"/>
      <c r="BJ83" s="897">
        <f t="shared" si="43"/>
        <v>75</v>
      </c>
      <c r="BK83" s="764"/>
      <c r="BL83" s="766"/>
      <c r="BM83" s="455">
        <f>Table!AB7</f>
        <v>1</v>
      </c>
      <c r="BN83" s="455">
        <f>BM84</f>
        <v>1.2</v>
      </c>
      <c r="BO83" s="455">
        <f>Table!AC7</f>
        <v>131</v>
      </c>
      <c r="BP83" s="925">
        <f>Table!AD7</f>
        <v>111</v>
      </c>
      <c r="BR83" s="764"/>
      <c r="BS83" s="455"/>
      <c r="BT83" s="455"/>
      <c r="BU83" s="925" t="s">
        <v>242</v>
      </c>
      <c r="BV83" s="895"/>
      <c r="BW83" s="912"/>
      <c r="BX83" s="925" t="str">
        <f>Table!AF5</f>
        <v>Single</v>
      </c>
      <c r="CH83" s="764">
        <f>IF(BN83=999,0,(BO84-BO83)/(BN83-BM83))</f>
        <v>45.000000000000007</v>
      </c>
      <c r="CI83" s="925">
        <f>IF(BN83=999,0,(BP84-BP83)/(BN83-BM83))</f>
        <v>20.000000000000004</v>
      </c>
      <c r="CJ83" s="759"/>
      <c r="CL83" s="52"/>
      <c r="EW83" s="427"/>
      <c r="EY83" s="421"/>
    </row>
    <row r="84" spans="2:155" ht="14.1" customHeight="1" thickBot="1">
      <c r="B84" s="131" t="str">
        <f ca="1">IF(ISERROR(FIND($EM$4,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EM68&amp;EM69&amp;EM70&amp;EM71&amp;EM72&amp;EM74&amp;EM75&amp;EM76&amp;EM77&amp;EM78,1)),"",BE70)</f>
        <v/>
      </c>
      <c r="C84"/>
      <c r="D84"/>
      <c r="E84"/>
      <c r="F84"/>
      <c r="H84"/>
      <c r="I84" s="1"/>
      <c r="J84" s="57" t="str">
        <f ca="1">IF(ISERROR(FIND("Achieved &lt;",Q13&amp;Q19&amp;Q25&amp;Q31&amp;Q37&amp;Q43&amp;Q49&amp;Q55&amp;Q61&amp;Q67&amp;Q73&amp;Q79,1)),"","* Minimum Req./Line not reached")</f>
        <v/>
      </c>
      <c r="K84"/>
      <c r="L84"/>
      <c r="M84"/>
      <c r="N84"/>
      <c r="O84" s="118"/>
      <c r="Q84" s="52"/>
      <c r="R84" s="52"/>
      <c r="S84" s="52"/>
      <c r="T84" s="52"/>
      <c r="U84" s="52"/>
      <c r="V84" s="52"/>
      <c r="W84" s="52"/>
      <c r="X84" s="52"/>
      <c r="Y84" s="896"/>
      <c r="Z84" s="52"/>
      <c r="AA84" s="52"/>
      <c r="AB84" s="52"/>
      <c r="AC84" s="9"/>
      <c r="AD84" s="31"/>
      <c r="AE84" s="31"/>
      <c r="AF84" s="31"/>
      <c r="AG84" s="31"/>
      <c r="AH84" s="1"/>
      <c r="AI84" s="1"/>
      <c r="AJ84" s="1"/>
      <c r="AK84" s="1"/>
      <c r="AL84" s="1"/>
      <c r="AM84" s="6"/>
      <c r="AN84" s="51"/>
      <c r="AO84" s="51"/>
      <c r="AP84" s="51"/>
      <c r="AQ84" s="51"/>
      <c r="AR84" s="51"/>
      <c r="AS84" s="51"/>
      <c r="AT84" s="51"/>
      <c r="AU84" s="51"/>
      <c r="AV84" s="51"/>
      <c r="AW84" s="51"/>
      <c r="AX84" s="51"/>
      <c r="AY84" s="51"/>
      <c r="AZ84" s="51"/>
      <c r="BA84" s="51"/>
      <c r="BB84" s="51"/>
      <c r="BC84" s="51"/>
      <c r="BD84" s="652"/>
      <c r="BE84" s="1"/>
      <c r="BF84" s="51"/>
      <c r="BG84" s="51"/>
      <c r="BI84" s="759"/>
      <c r="BJ84" s="897">
        <f t="shared" si="43"/>
        <v>76</v>
      </c>
      <c r="BK84" s="908"/>
      <c r="BL84" s="767"/>
      <c r="BM84" s="776">
        <f>Table!AB8</f>
        <v>1.2</v>
      </c>
      <c r="BN84" s="776">
        <v>999</v>
      </c>
      <c r="BO84" s="776">
        <f>Table!AC8</f>
        <v>140</v>
      </c>
      <c r="BP84" s="926">
        <f>Table!AD8</f>
        <v>115</v>
      </c>
      <c r="BQ84" s="1183"/>
      <c r="BR84" s="908"/>
      <c r="BS84" s="776"/>
      <c r="BT84" s="776"/>
      <c r="BU84" s="926" t="s">
        <v>242</v>
      </c>
      <c r="BV84" s="433"/>
      <c r="BW84" s="914"/>
      <c r="BX84" s="926" t="str">
        <f>Table!AF5</f>
        <v>Single</v>
      </c>
      <c r="CH84" s="908">
        <f>IF(BN84=999,0,(BO85-BO84)/(BN84-BM84))</f>
        <v>0</v>
      </c>
      <c r="CI84" s="926">
        <f>IF(BN84=999,0,(BP85-BP84)/(BN84-BM84))</f>
        <v>0</v>
      </c>
      <c r="CJ84" s="759"/>
      <c r="CK84" s="498"/>
      <c r="CL84" s="52"/>
      <c r="EW84" s="427"/>
      <c r="EY84" s="421"/>
    </row>
    <row r="85" spans="2:155" ht="14.1" customHeight="1" thickBot="1">
      <c r="B85" s="2753" t="str">
        <f ca="1">IF(OR((L79+N79)&lt;&gt;(L$5+N$5),(L73+N73)&lt;&gt;(L$5+N$5),(L67+N67)&lt;&gt;(L$5+N$5),(L61+N61)&lt;&gt;(L$5+N$5),(L55+N55)&lt;&gt;(L$5+N$5),(L49+N49)&lt;&gt;(L$5+N$5),(L43+N43)&lt;&gt;(L$5+N$5),(L37+N37)&lt;&gt;(L$5+N$5),(L31+N31)&lt;&gt;(L$5+N$5),(L25+N25)&lt;&gt;(L$5+N$5),(L19+N19)&lt;&gt;(L$5+N$5),(L13+N13)&lt;&gt;(L$5+N$5)),$BE$68,"")</f>
        <v/>
      </c>
      <c r="C85" s="2754"/>
      <c r="D85" s="2754"/>
      <c r="E85" s="2754"/>
      <c r="F85" s="2754"/>
      <c r="G85" s="492"/>
      <c r="H85" s="492"/>
      <c r="I85" s="493"/>
      <c r="J85" s="495" t="str">
        <f ca="1">IF(ISERROR(FIND("More R",Q13&amp;Q19&amp;Q25&amp;Q31&amp;Q37&amp;Q43&amp;Q49&amp;Q55&amp;Q61&amp;Q67&amp;Q73&amp;Q79,1)),"","* More required for Overridden Minimum Req./Line ")</f>
        <v/>
      </c>
      <c r="K85" s="492"/>
      <c r="L85" s="1454"/>
      <c r="M85" s="1454"/>
      <c r="N85" s="1454"/>
      <c r="O85" s="1455"/>
      <c r="Q85" s="52"/>
      <c r="R85" s="52"/>
      <c r="S85" s="52"/>
      <c r="T85" s="52"/>
      <c r="U85" s="52"/>
      <c r="V85" s="52"/>
      <c r="W85" s="52"/>
      <c r="X85" s="52"/>
      <c r="Y85" s="896"/>
      <c r="Z85" s="52"/>
      <c r="AA85" s="52"/>
      <c r="AB85" s="52"/>
      <c r="AC85" s="9"/>
      <c r="AD85" s="31"/>
      <c r="AE85" s="31"/>
      <c r="AF85" s="31"/>
      <c r="AG85" s="31"/>
      <c r="AH85" s="1"/>
      <c r="AI85" s="1"/>
      <c r="AJ85" s="1"/>
      <c r="AK85" s="1"/>
      <c r="AL85" s="1"/>
      <c r="AM85" s="6"/>
      <c r="AN85" s="51"/>
      <c r="AO85" s="51"/>
      <c r="AP85" s="51"/>
      <c r="AQ85" s="51"/>
      <c r="AR85" s="51"/>
      <c r="AS85" s="51"/>
      <c r="AT85" s="51"/>
      <c r="AU85" s="51"/>
      <c r="AV85" s="51"/>
      <c r="AW85" s="51"/>
      <c r="AX85" s="51"/>
      <c r="AY85" s="51"/>
      <c r="AZ85" s="51"/>
      <c r="BA85" s="51"/>
      <c r="BB85" s="51"/>
      <c r="BC85" s="51"/>
      <c r="BD85" s="652"/>
      <c r="BE85" s="1"/>
      <c r="BF85" s="51"/>
      <c r="BG85" s="51"/>
      <c r="BI85" s="759"/>
      <c r="BJ85" s="897">
        <f t="shared" si="43"/>
        <v>77</v>
      </c>
      <c r="BK85" s="1231"/>
      <c r="BL85" s="1234"/>
      <c r="BM85" s="1205"/>
      <c r="BN85" s="1205"/>
      <c r="BO85" s="1205"/>
      <c r="BP85" s="1205"/>
      <c r="BQ85" s="1233"/>
      <c r="BR85" s="1205"/>
      <c r="BS85" s="1205"/>
      <c r="BT85" s="1205"/>
      <c r="BU85" s="1205"/>
      <c r="BV85" s="1233"/>
      <c r="BW85" s="1235"/>
      <c r="CH85" s="970"/>
      <c r="CI85" s="971"/>
      <c r="CJ85" s="759"/>
      <c r="CK85" s="498"/>
      <c r="CL85" s="52"/>
      <c r="EW85" s="427"/>
      <c r="EY85" s="421"/>
    </row>
    <row r="86" spans="2:155" ht="24" customHeight="1" thickBot="1">
      <c r="B86" s="869" t="s">
        <v>899</v>
      </c>
      <c r="C86" s="496"/>
      <c r="D86" s="496"/>
      <c r="E86" s="496"/>
      <c r="F86" s="56"/>
      <c r="G86" s="56"/>
      <c r="H86" s="56"/>
      <c r="I86" s="2755" t="str">
        <f ca="1">IF(ISERROR(FIND(EP4,EP8&amp;EP9&amp;EP10&amp;EP11&amp;EP12&amp;EP14&amp;EP15&amp;EP16&amp;EP17&amp;EP18&amp;EP20&amp;EP21&amp;EP22&amp;EP23&amp;EP24&amp;EP26&amp;EP27&amp;EP28&amp;EP29&amp;EP30&amp;EP32&amp;EP33&amp;EP34&amp;EP35&amp;EP36&amp;EP38&amp;EP39&amp;EP40&amp;EP41&amp;EP42&amp;EP44&amp;EP45&amp;EP46&amp;EP47&amp;EP48&amp;EP50&amp;EP51&amp;EP52&amp;EP53&amp;EP54&amp;EP56&amp;EP57&amp;EP58&amp;EP59&amp;EP60&amp;EP62&amp;EP63&amp;EP64&amp;EP65&amp;EP66&amp;EP68&amp;EP69&amp;EP70&amp;EP71&amp;EP72&amp;EP74&amp;EP75&amp;EP76&amp;EP77&amp;EP88,1)),"",BE71)</f>
        <v/>
      </c>
      <c r="J86" s="2755"/>
      <c r="K86" s="2756"/>
      <c r="L86" s="2763" t="s">
        <v>1089</v>
      </c>
      <c r="M86" s="2764"/>
      <c r="N86" s="2764"/>
      <c r="O86" s="2765"/>
      <c r="P86" s="58"/>
      <c r="Q86" s="52"/>
      <c r="R86" s="52"/>
      <c r="S86" s="52"/>
      <c r="T86" s="52"/>
      <c r="U86" s="52"/>
      <c r="V86" s="52"/>
      <c r="W86" s="52"/>
      <c r="X86" s="52"/>
      <c r="Y86" s="896"/>
      <c r="Z86" s="52"/>
      <c r="AA86" s="52"/>
      <c r="AB86" s="52"/>
      <c r="AC86" s="9"/>
      <c r="AD86" s="31"/>
      <c r="AE86" s="31"/>
      <c r="AF86" s="31"/>
      <c r="AG86" s="31"/>
      <c r="AH86" s="1"/>
      <c r="AI86" s="1"/>
      <c r="AJ86" s="1"/>
      <c r="AK86" s="1"/>
      <c r="AL86" s="1"/>
      <c r="AM86" s="6"/>
      <c r="AN86" s="51"/>
      <c r="AO86" s="51"/>
      <c r="AP86" s="51"/>
      <c r="AQ86" s="51"/>
      <c r="AR86" s="51"/>
      <c r="AS86" s="51"/>
      <c r="AT86" s="51"/>
      <c r="AU86" s="51"/>
      <c r="AV86" s="51"/>
      <c r="AW86" s="51"/>
      <c r="AX86" s="51"/>
      <c r="AY86" s="51"/>
      <c r="AZ86" s="51"/>
      <c r="BA86" s="51"/>
      <c r="BB86" s="51"/>
      <c r="BC86" s="51"/>
      <c r="BD86" s="652"/>
      <c r="BE86" s="1"/>
      <c r="BF86" s="51"/>
      <c r="BG86" s="51"/>
      <c r="BI86" s="759"/>
      <c r="BJ86" s="897">
        <f t="shared" si="43"/>
        <v>78</v>
      </c>
      <c r="BK86" s="768" t="str">
        <f>BK80</f>
        <v xml:space="preserve">EPB </v>
      </c>
      <c r="BL86" s="765" t="str">
        <f>Table!AA10</f>
        <v>EMSH</v>
      </c>
      <c r="BM86" s="454">
        <f>Table!AB10</f>
        <v>0.4</v>
      </c>
      <c r="BN86" s="454">
        <f>BM87</f>
        <v>0.6</v>
      </c>
      <c r="BO86" s="454">
        <f>Table!AC10</f>
        <v>110</v>
      </c>
      <c r="BP86" s="924">
        <f>Table!AD10</f>
        <v>115</v>
      </c>
      <c r="BQ86" s="920"/>
      <c r="BR86" s="768" t="str">
        <f>Table!AE10</f>
        <v>ESSH</v>
      </c>
      <c r="BS86" s="454" t="str">
        <f>Table!AE11</f>
        <v>ESSH</v>
      </c>
      <c r="BT86" s="454" t="str">
        <f>Table!AF10</f>
        <v>I</v>
      </c>
      <c r="BU86" s="924" t="s">
        <v>242</v>
      </c>
      <c r="BV86" s="1230" t="str">
        <f>Table!AI80</f>
        <v>EMSH</v>
      </c>
      <c r="BW86" s="1229">
        <f>BJ86</f>
        <v>78</v>
      </c>
      <c r="BX86" s="924" t="str">
        <f>Table!AF11</f>
        <v>Double</v>
      </c>
      <c r="CH86" s="768">
        <f>IF(BN86=999,0,(BO87-BO86)/(BN86-BM86))</f>
        <v>120.00000000000003</v>
      </c>
      <c r="CI86" s="924">
        <f>IF(BN86=999,0,(BP87-BP86)/(BN86-BM86))</f>
        <v>115.00000000000003</v>
      </c>
      <c r="CJ86" s="759"/>
      <c r="CK86" s="498"/>
      <c r="CL86" s="52"/>
      <c r="EW86" s="427"/>
      <c r="EY86" s="421"/>
    </row>
    <row r="87" spans="2:155" ht="24" customHeight="1">
      <c r="B87" s="131" t="str">
        <f ca="1">IF(ISERROR(FIND("check L",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Minimum wall length not acheived for some systems")</f>
        <v/>
      </c>
      <c r="C87" s="494"/>
      <c r="D87" s="494"/>
      <c r="E87" s="494"/>
      <c r="F87"/>
      <c r="G87" s="1"/>
      <c r="H87" s="2889" t="str">
        <f ca="1">IF(ISERROR(FIND("3 Levels",EQ8&amp;EQ9&amp;EQ10&amp;EQ11&amp;EQ12&amp;EQ14&amp;EQ15&amp;EQ16&amp;EQ17&amp;EQ18&amp;EQ20&amp;EQ21&amp;EQ22&amp;EQ23&amp;EQ24&amp;EQ26&amp;EQ27&amp;EQ28&amp;EQ29&amp;EQ30&amp;EQ32&amp;EQ33&amp;EQ34&amp;EQ35&amp;EQ36&amp;EQ38&amp;EQ39&amp;EQ40&amp;EQ41&amp;EQ42&amp;EQ44&amp;EQ45&amp;EQ46&amp;EQ47&amp;EQ48&amp;EQ50&amp;EQ51&amp;EQ52&amp;EQ53&amp;EQ54&amp;EQ56&amp;EQ57&amp;EQ58&amp;EQ59&amp;EQ60&amp;EQ62&amp;EQ63&amp;EQ64&amp;EQ65&amp;EQ66&amp;EQ68&amp;EQ69&amp;EQ70&amp;EQ71&amp;EQ72&amp;EQ74&amp;EQ75&amp;EQ76&amp;EQ77&amp;EQ78,1)),"",BE73)</f>
        <v/>
      </c>
      <c r="I87" s="2889"/>
      <c r="J87" s="2889"/>
      <c r="K87" s="2890"/>
      <c r="L87" s="2621" t="s">
        <v>1</v>
      </c>
      <c r="M87" s="2622"/>
      <c r="N87" s="2623" t="s">
        <v>17</v>
      </c>
      <c r="O87" s="2624"/>
      <c r="P87" s="58"/>
      <c r="Q87" s="52"/>
      <c r="R87" s="52"/>
      <c r="S87" s="52"/>
      <c r="T87" s="52"/>
      <c r="U87" s="52"/>
      <c r="V87" s="52"/>
      <c r="W87" s="52"/>
      <c r="X87" s="52"/>
      <c r="Y87" s="896"/>
      <c r="Z87" s="52"/>
      <c r="AA87" s="52"/>
      <c r="AB87" s="52"/>
      <c r="AC87" s="9"/>
      <c r="AD87" s="31"/>
      <c r="AE87" s="31"/>
      <c r="AF87" s="31"/>
      <c r="AG87" s="31"/>
      <c r="AH87" s="1"/>
      <c r="AI87" s="1"/>
      <c r="AJ87" s="1"/>
      <c r="AK87" s="1"/>
      <c r="AL87" s="1"/>
      <c r="AM87" s="6"/>
      <c r="AN87" s="51"/>
      <c r="AO87" s="51"/>
      <c r="AP87" s="51"/>
      <c r="AQ87" s="51"/>
      <c r="AR87" s="51"/>
      <c r="AS87" s="51"/>
      <c r="AT87" s="51"/>
      <c r="AU87" s="51"/>
      <c r="AV87" s="51"/>
      <c r="AW87" s="51"/>
      <c r="AX87" s="51"/>
      <c r="AY87" s="51"/>
      <c r="AZ87" s="51"/>
      <c r="BA87" s="51"/>
      <c r="BB87" s="51"/>
      <c r="BC87" s="51"/>
      <c r="BD87" s="652"/>
      <c r="BE87" s="1"/>
      <c r="BF87" s="51"/>
      <c r="BG87" s="51"/>
      <c r="BI87" s="759"/>
      <c r="BJ87" s="897">
        <f t="shared" si="43"/>
        <v>79</v>
      </c>
      <c r="BK87" s="764"/>
      <c r="BL87" s="766"/>
      <c r="BM87" s="455">
        <f>Table!AB11</f>
        <v>0.6</v>
      </c>
      <c r="BN87" s="455">
        <f>BM88</f>
        <v>0.8</v>
      </c>
      <c r="BO87" s="455">
        <f>Table!AC11</f>
        <v>134</v>
      </c>
      <c r="BP87" s="925">
        <f>Table!AD11</f>
        <v>138</v>
      </c>
      <c r="BR87" s="764"/>
      <c r="BS87" s="455"/>
      <c r="BT87" s="455"/>
      <c r="BU87" s="925" t="s">
        <v>242</v>
      </c>
      <c r="BV87" s="895"/>
      <c r="BW87" s="912"/>
      <c r="BX87" s="925" t="str">
        <f>Table!AF11</f>
        <v>Double</v>
      </c>
      <c r="CH87" s="764">
        <f>IF(BN87=999,0,(BO88-BO87)/(BN87-BM87))</f>
        <v>44.999999999999986</v>
      </c>
      <c r="CI87" s="925">
        <f>IF(BN87=999,0,(BP88-BP87)/(BN87-BM87))</f>
        <v>-19.999999999999993</v>
      </c>
      <c r="CJ87" s="759"/>
      <c r="CK87" s="498"/>
      <c r="CL87" s="52"/>
      <c r="EW87" s="427"/>
      <c r="EY87" s="421"/>
    </row>
    <row r="88" spans="2:155" ht="24" customHeight="1">
      <c r="B88" s="131" t="str">
        <f ca="1">IF(ISERROR(FIND(BE66,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Internal Systems on External Walls.  Are you sure?")</f>
        <v/>
      </c>
      <c r="C88" s="35"/>
      <c r="D88" s="141"/>
      <c r="E88" s="141"/>
      <c r="F88" s="143"/>
      <c r="G88" s="144"/>
      <c r="H88" s="31"/>
      <c r="I88" s="1376" t="str">
        <f ca="1">IF(ISERROR(FIND(BE67,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Double Sided System on Single Sided Wall")</f>
        <v/>
      </c>
      <c r="L88" s="1357" t="str">
        <f>IF($BG$4=1,$BG$42,$BH$42)</f>
        <v>Top    Line</v>
      </c>
      <c r="M88" s="1434" t="str">
        <f>IF($BG$4=1,$BG$43,$BH$43)</f>
        <v>Bottom Line</v>
      </c>
      <c r="N88" s="1449" t="str">
        <f>IF($BG$4=1,$BG$42,$BH$42)</f>
        <v>Top    Line</v>
      </c>
      <c r="O88" s="1358" t="str">
        <f>IF($BG$4=1,$BG$43,$BH$43)</f>
        <v>Bottom Line</v>
      </c>
      <c r="Q88" s="52"/>
      <c r="R88" s="52"/>
      <c r="S88" s="52"/>
      <c r="T88" s="52"/>
      <c r="U88" s="52"/>
      <c r="V88" s="52"/>
      <c r="W88" s="52"/>
      <c r="X88" s="52"/>
      <c r="Y88" s="896"/>
      <c r="Z88" s="52" t="s">
        <v>8</v>
      </c>
      <c r="AA88" s="51"/>
      <c r="AB88" s="51"/>
      <c r="AC88" s="1"/>
      <c r="AD88" s="31"/>
      <c r="AE88" s="31"/>
      <c r="AF88" s="31"/>
      <c r="AG88" s="31"/>
      <c r="AH88" s="1"/>
      <c r="AI88" s="1"/>
      <c r="AJ88" s="1"/>
      <c r="AK88" s="1"/>
      <c r="AL88" s="1"/>
      <c r="AM88" s="6"/>
      <c r="AN88" s="51"/>
      <c r="AO88" s="51"/>
      <c r="AP88" s="51"/>
      <c r="AQ88" s="51"/>
      <c r="AR88" s="51"/>
      <c r="AS88" s="51"/>
      <c r="AT88" s="51"/>
      <c r="AU88" s="51"/>
      <c r="AV88" s="51"/>
      <c r="AW88" s="51"/>
      <c r="AX88" s="51"/>
      <c r="AY88" s="51"/>
      <c r="AZ88" s="51"/>
      <c r="BA88" s="51"/>
      <c r="BB88" s="51"/>
      <c r="BC88" s="51"/>
      <c r="BD88" s="652"/>
      <c r="BE88" s="1"/>
      <c r="BF88" s="51"/>
      <c r="BG88" s="51"/>
      <c r="BI88" s="759"/>
      <c r="BJ88" s="897">
        <f t="shared" si="43"/>
        <v>80</v>
      </c>
      <c r="BK88" s="764"/>
      <c r="BL88" s="766"/>
      <c r="BM88" s="455">
        <f>Table!AB12</f>
        <v>0.8</v>
      </c>
      <c r="BN88" s="455">
        <f>BM89</f>
        <v>1</v>
      </c>
      <c r="BO88" s="455">
        <f>Table!AC12</f>
        <v>143</v>
      </c>
      <c r="BP88" s="925">
        <f>Table!AD12</f>
        <v>134</v>
      </c>
      <c r="BR88" s="764"/>
      <c r="BS88" s="455"/>
      <c r="BT88" s="455"/>
      <c r="BU88" s="925" t="s">
        <v>242</v>
      </c>
      <c r="BV88" s="895"/>
      <c r="BW88" s="912"/>
      <c r="BX88" s="925" t="str">
        <f>Table!AF11</f>
        <v>Double</v>
      </c>
      <c r="CH88" s="764">
        <f>IF(BN88=999,0,(BO89-BO88)/(BN88-BM88))</f>
        <v>45.000000000000007</v>
      </c>
      <c r="CI88" s="925">
        <f>IF(BN88=999,0,(BP89-BP88)/(BN88-BM88))</f>
        <v>35.000000000000007</v>
      </c>
      <c r="CJ88" s="759"/>
      <c r="CK88" s="498"/>
      <c r="CL88" s="52"/>
      <c r="EW88" s="427"/>
      <c r="EY88" s="421"/>
    </row>
    <row r="89" spans="2:155" ht="24" customHeight="1" thickBot="1">
      <c r="B89" s="162" t="str">
        <f ca="1">IF(ISERROR(FIND(BE62,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External Systems on Internal Walls. Are you sure?")</f>
        <v/>
      </c>
      <c r="C89" s="145"/>
      <c r="D89" s="145"/>
      <c r="E89" s="145"/>
      <c r="F89" s="145"/>
      <c r="G89" s="146"/>
      <c r="H89" s="146"/>
      <c r="L89" s="2751" t="str">
        <f ca="1">IF(AND(L90&gt;=L92,M90&gt;=L92),"Achieved","Not reached")</f>
        <v>Not reached</v>
      </c>
      <c r="M89" s="2752"/>
      <c r="N89" s="2774" t="str">
        <f ca="1">IF(AND(N90&gt;=N92,O90&gt;=N92),"Achieved","Not reached")</f>
        <v>Not reached</v>
      </c>
      <c r="O89" s="2775"/>
      <c r="P89" s="51"/>
      <c r="Q89" s="52"/>
      <c r="R89" s="52"/>
      <c r="S89" s="52"/>
      <c r="T89" s="52"/>
      <c r="U89" s="52"/>
      <c r="V89" s="52"/>
      <c r="W89" s="52"/>
      <c r="X89" s="52"/>
      <c r="Y89" s="896"/>
      <c r="Z89" s="52" t="s">
        <v>8</v>
      </c>
      <c r="AA89" s="51"/>
      <c r="AB89" s="51"/>
      <c r="AC89" s="1"/>
      <c r="AD89" s="31"/>
      <c r="AE89" s="31"/>
      <c r="AF89" s="31"/>
      <c r="AG89" s="31"/>
      <c r="AH89" s="1"/>
      <c r="AI89" s="1"/>
      <c r="AJ89" s="1"/>
      <c r="AK89" s="1"/>
      <c r="AL89" s="1"/>
      <c r="AM89" s="6"/>
      <c r="AN89" s="51"/>
      <c r="AO89" s="51"/>
      <c r="AP89" s="51"/>
      <c r="AQ89" s="51"/>
      <c r="AR89" s="51"/>
      <c r="AS89" s="51"/>
      <c r="AT89" s="51"/>
      <c r="AU89" s="51"/>
      <c r="AV89" s="51"/>
      <c r="AW89" s="51"/>
      <c r="AX89" s="51"/>
      <c r="AY89" s="51"/>
      <c r="AZ89" s="51"/>
      <c r="BA89" s="51"/>
      <c r="BB89" s="51"/>
      <c r="BC89" s="51"/>
      <c r="BD89" s="652"/>
      <c r="BE89" s="1"/>
      <c r="BF89" s="51"/>
      <c r="BG89" s="51"/>
      <c r="BI89" s="759"/>
      <c r="BJ89" s="897">
        <f t="shared" ref="BJ89:BJ96" si="44">BJ88+1</f>
        <v>81</v>
      </c>
      <c r="BK89" s="764"/>
      <c r="BL89" s="766"/>
      <c r="BM89" s="455">
        <f>Table!AB13</f>
        <v>1</v>
      </c>
      <c r="BN89" s="455">
        <f>BM90</f>
        <v>1.2</v>
      </c>
      <c r="BO89" s="455">
        <f>Table!AC13</f>
        <v>152</v>
      </c>
      <c r="BP89" s="925">
        <f>Table!AD13</f>
        <v>141</v>
      </c>
      <c r="BR89" s="764"/>
      <c r="BS89" s="455"/>
      <c r="BT89" s="455"/>
      <c r="BU89" s="925" t="s">
        <v>242</v>
      </c>
      <c r="BV89" s="895"/>
      <c r="BW89" s="912"/>
      <c r="BX89" s="925" t="str">
        <f>Table!AF11</f>
        <v>Double</v>
      </c>
      <c r="CH89" s="764">
        <f>IF(BN89=999,0,(BO90-BO89)/(BN89-BM89))</f>
        <v>70.000000000000014</v>
      </c>
      <c r="CI89" s="925">
        <f>IF(BN89=999,0,(BP90-BP89)/(BN89-BM89))</f>
        <v>35.000000000000007</v>
      </c>
      <c r="CJ89" s="759"/>
      <c r="CK89" s="498"/>
      <c r="CL89" s="52"/>
      <c r="EW89" s="427"/>
      <c r="EY89" s="421"/>
    </row>
    <row r="90" spans="2:155" ht="24" customHeight="1" thickBot="1">
      <c r="B90" s="426"/>
      <c r="C90" s="451"/>
      <c r="D90" s="52"/>
      <c r="E90" s="52"/>
      <c r="F90" s="497"/>
      <c r="G90" s="426"/>
      <c r="H90" s="51"/>
      <c r="I90" s="2776" t="str">
        <f ca="1">IF(OR(L90&lt;L92,M90&lt;L92,N90&lt;N92,O90&lt;N92),"External Line Totals Not Reached", "External Lines Achieved=")</f>
        <v>External Line Totals Not Reached</v>
      </c>
      <c r="J90" s="2777"/>
      <c r="K90" s="2777"/>
      <c r="L90" s="1810">
        <f ca="1">$EI$81</f>
        <v>0</v>
      </c>
      <c r="M90" s="1811">
        <f>$EK$81</f>
        <v>0</v>
      </c>
      <c r="N90" s="1782">
        <f ca="1">$EJ$81</f>
        <v>0</v>
      </c>
      <c r="O90" s="1783">
        <f>$EL$81</f>
        <v>0</v>
      </c>
      <c r="P90" s="59"/>
      <c r="R90" s="52"/>
      <c r="S90" s="52"/>
      <c r="T90" s="52"/>
      <c r="U90" s="52"/>
      <c r="V90" s="52"/>
      <c r="W90" s="52"/>
      <c r="X90" s="52"/>
      <c r="Y90" s="896"/>
      <c r="Z90" s="52"/>
      <c r="AA90" s="51"/>
      <c r="AB90" s="51"/>
      <c r="AC90" s="1"/>
      <c r="AD90" s="31"/>
      <c r="AE90" s="31"/>
      <c r="AF90" s="31"/>
      <c r="AG90" s="31"/>
      <c r="AH90" s="1"/>
      <c r="AI90" s="1"/>
      <c r="AJ90" s="1"/>
      <c r="AK90" s="1"/>
      <c r="AL90" s="1"/>
      <c r="AM90" s="6"/>
      <c r="AN90" s="51"/>
      <c r="AO90" s="51"/>
      <c r="AP90" s="51"/>
      <c r="AQ90" s="51"/>
      <c r="AR90" s="51"/>
      <c r="AS90" s="51"/>
      <c r="AT90" s="51"/>
      <c r="AU90" s="51"/>
      <c r="AV90" s="51"/>
      <c r="AW90" s="51"/>
      <c r="AX90" s="51"/>
      <c r="AY90" s="51"/>
      <c r="AZ90" s="51"/>
      <c r="BA90" s="51"/>
      <c r="BB90" s="51"/>
      <c r="BC90" s="51"/>
      <c r="BD90" s="652"/>
      <c r="BE90" s="1"/>
      <c r="BF90" s="51"/>
      <c r="BG90" s="51"/>
      <c r="BI90" s="759"/>
      <c r="BJ90" s="897">
        <f t="shared" si="44"/>
        <v>82</v>
      </c>
      <c r="BK90" s="908"/>
      <c r="BL90" s="767"/>
      <c r="BM90" s="776">
        <f>Table!AB14</f>
        <v>1.2</v>
      </c>
      <c r="BN90" s="776">
        <v>999</v>
      </c>
      <c r="BO90" s="776">
        <f>Table!AC14</f>
        <v>166</v>
      </c>
      <c r="BP90" s="926">
        <f>Table!AD14</f>
        <v>148</v>
      </c>
      <c r="BQ90" s="1183"/>
      <c r="BR90" s="908"/>
      <c r="BS90" s="776"/>
      <c r="BT90" s="776"/>
      <c r="BU90" s="926" t="s">
        <v>242</v>
      </c>
      <c r="BV90" s="433"/>
      <c r="BW90" s="914"/>
      <c r="BX90" s="926" t="str">
        <f>Table!AF11</f>
        <v>Double</v>
      </c>
      <c r="CH90" s="908">
        <f>IF(BN90=999,0,(BO91-BO90)/(BN90-BM90))</f>
        <v>0</v>
      </c>
      <c r="CI90" s="926">
        <f>IF(BN90=999,0,(BP91-BP90)/(BN90-BM90))</f>
        <v>0</v>
      </c>
      <c r="CJ90" s="759"/>
      <c r="CK90" s="498"/>
      <c r="CL90" s="52"/>
      <c r="EW90" s="427"/>
      <c r="EY90" s="421"/>
    </row>
    <row r="91" spans="2:155" ht="24" customHeight="1" thickBot="1">
      <c r="B91" s="426"/>
      <c r="C91" s="451"/>
      <c r="D91" s="52"/>
      <c r="E91" s="52"/>
      <c r="F91" s="497"/>
      <c r="G91" s="426"/>
      <c r="H91" s="51"/>
      <c r="I91" s="1433"/>
      <c r="J91" s="426"/>
      <c r="K91" s="51"/>
      <c r="L91" s="2632" t="s">
        <v>1091</v>
      </c>
      <c r="M91" s="2761"/>
      <c r="N91" s="2632" t="s">
        <v>1090</v>
      </c>
      <c r="O91" s="2633"/>
      <c r="P91" s="51"/>
      <c r="Q91" s="52"/>
      <c r="R91" s="52"/>
      <c r="S91" s="52"/>
      <c r="T91" s="52"/>
      <c r="U91" s="52"/>
      <c r="V91" s="52"/>
      <c r="W91" s="52"/>
      <c r="X91" s="52"/>
      <c r="Y91" s="896"/>
      <c r="Z91" s="52"/>
      <c r="AA91" s="51"/>
      <c r="AB91" s="51"/>
      <c r="AC91" s="1"/>
      <c r="AD91" s="31"/>
      <c r="AE91" s="31"/>
      <c r="AF91" s="31"/>
      <c r="AG91" s="31"/>
      <c r="AH91" s="1"/>
      <c r="AI91" s="1"/>
      <c r="AJ91" s="1"/>
      <c r="AK91" s="1"/>
      <c r="AL91" s="1"/>
      <c r="AM91" s="6"/>
      <c r="AN91" s="51"/>
      <c r="AO91" s="51"/>
      <c r="AP91" s="51"/>
      <c r="AQ91" s="51"/>
      <c r="AR91" s="51"/>
      <c r="AS91" s="51"/>
      <c r="AT91" s="51"/>
      <c r="AU91" s="51"/>
      <c r="AV91" s="51"/>
      <c r="AW91" s="51"/>
      <c r="AX91" s="51"/>
      <c r="AY91" s="51"/>
      <c r="AZ91" s="51"/>
      <c r="BA91" s="51"/>
      <c r="BB91" s="51"/>
      <c r="BC91" s="51"/>
      <c r="BD91" s="652"/>
      <c r="BE91" s="1"/>
      <c r="BF91" s="51"/>
      <c r="BG91" s="51"/>
      <c r="BI91" s="759"/>
      <c r="BJ91" s="897">
        <f t="shared" si="44"/>
        <v>83</v>
      </c>
      <c r="BK91" s="1231"/>
      <c r="BL91" s="1234"/>
      <c r="BM91" s="1205"/>
      <c r="BN91" s="1205"/>
      <c r="BO91" s="1205"/>
      <c r="BP91" s="1205"/>
      <c r="BQ91" s="1233"/>
      <c r="BR91" s="1205"/>
      <c r="BS91" s="1205"/>
      <c r="BT91" s="1205"/>
      <c r="BU91" s="1205"/>
      <c r="BV91" s="1233"/>
      <c r="BW91" s="1235"/>
      <c r="BX91" s="1205"/>
      <c r="CJ91" s="929"/>
      <c r="CK91" s="498"/>
      <c r="CL91" s="52"/>
      <c r="EW91" s="427"/>
      <c r="EY91" s="421"/>
    </row>
    <row r="92" spans="2:155" ht="24" customHeight="1" thickBot="1">
      <c r="B92" s="426"/>
      <c r="C92" s="451"/>
      <c r="D92" s="52"/>
      <c r="E92" s="52"/>
      <c r="F92" s="497"/>
      <c r="G92" s="426"/>
      <c r="H92" s="51"/>
      <c r="I92" s="2744" t="s">
        <v>836</v>
      </c>
      <c r="J92" s="2745"/>
      <c r="K92" s="2745"/>
      <c r="L92" s="2628">
        <f ca="1">$L$4</f>
        <v>180</v>
      </c>
      <c r="M92" s="2762"/>
      <c r="N92" s="2628">
        <f ca="1">$N$4</f>
        <v>180</v>
      </c>
      <c r="O92" s="2629"/>
      <c r="P92" s="51"/>
      <c r="Q92" s="52"/>
      <c r="R92" s="52"/>
      <c r="S92" s="52"/>
      <c r="T92" s="52"/>
      <c r="U92" s="52"/>
      <c r="V92" s="52"/>
      <c r="W92" s="52"/>
      <c r="X92" s="52"/>
      <c r="Y92" s="896"/>
      <c r="Z92" s="52"/>
      <c r="AA92" s="51" t="s">
        <v>8</v>
      </c>
      <c r="AB92" s="51"/>
      <c r="AC92" s="1"/>
      <c r="AD92" s="31"/>
      <c r="AE92" s="31"/>
      <c r="AF92" s="31"/>
      <c r="AG92" s="31"/>
      <c r="AH92" s="1"/>
      <c r="AI92" s="1"/>
      <c r="AJ92" s="1"/>
      <c r="AK92" s="1"/>
      <c r="AL92" s="1"/>
      <c r="AM92" s="6"/>
      <c r="AN92" s="51"/>
      <c r="AO92" s="51"/>
      <c r="AP92" s="51"/>
      <c r="AQ92" s="51"/>
      <c r="AR92" s="51"/>
      <c r="AS92" s="51"/>
      <c r="AT92" s="51"/>
      <c r="AU92" s="51"/>
      <c r="AV92" s="51"/>
      <c r="AW92" s="51"/>
      <c r="AX92" s="51"/>
      <c r="AY92" s="51"/>
      <c r="AZ92" s="51"/>
      <c r="BA92" s="51"/>
      <c r="BB92" s="51"/>
      <c r="BC92" s="51"/>
      <c r="BD92" s="652"/>
      <c r="BE92" s="1"/>
      <c r="BF92" s="51"/>
      <c r="BG92" s="51"/>
      <c r="BI92" s="759"/>
      <c r="BJ92" s="897">
        <f t="shared" si="44"/>
        <v>84</v>
      </c>
      <c r="BK92" s="768" t="str">
        <f>BK86</f>
        <v xml:space="preserve">EPB </v>
      </c>
      <c r="BL92" s="765" t="str">
        <f>Table!AA16</f>
        <v>EMPH</v>
      </c>
      <c r="BM92" s="454">
        <f>Table!AB16</f>
        <v>0.4</v>
      </c>
      <c r="BN92" s="454">
        <f>BM93</f>
        <v>0.6</v>
      </c>
      <c r="BO92" s="454">
        <f>Table!AC16</f>
        <v>121</v>
      </c>
      <c r="BP92" s="924">
        <f>Table!AD16</f>
        <v>138</v>
      </c>
      <c r="BQ92" s="920"/>
      <c r="BR92" s="768" t="str">
        <f>Table!AE16</f>
        <v>ESPH</v>
      </c>
      <c r="BS92" s="454" t="str">
        <f>Table!AE17</f>
        <v>ESPH</v>
      </c>
      <c r="BT92" s="454" t="str">
        <f>Table!AF16</f>
        <v>E</v>
      </c>
      <c r="BU92" s="924" t="s">
        <v>242</v>
      </c>
      <c r="BV92" s="1230" t="str">
        <f>Table!AI84</f>
        <v>EMPH</v>
      </c>
      <c r="BW92" s="1229">
        <f>BJ92</f>
        <v>84</v>
      </c>
      <c r="BX92" s="924" t="str">
        <f>Table!AF17</f>
        <v>Double</v>
      </c>
      <c r="CH92" s="768">
        <f>IF(BN92=999,0,(BO93-BO92)/(BN92-BM92))</f>
        <v>80.000000000000014</v>
      </c>
      <c r="CI92" s="924">
        <f>IF(BN92=999,0,(BP93-BP92)/(BN92-BM92))</f>
        <v>75.000000000000014</v>
      </c>
      <c r="CJ92" s="929"/>
      <c r="CK92" s="498"/>
      <c r="CL92" s="52"/>
      <c r="EW92" s="427"/>
      <c r="EY92" s="421"/>
    </row>
    <row r="93" spans="2:155" ht="12.75" customHeight="1">
      <c r="B93" s="426"/>
      <c r="C93" s="451"/>
      <c r="D93" s="52"/>
      <c r="E93" s="52"/>
      <c r="F93" s="497"/>
      <c r="G93" s="426"/>
      <c r="H93" s="51"/>
      <c r="I93" s="426"/>
      <c r="J93" s="426"/>
      <c r="K93" s="51"/>
      <c r="L93" s="52"/>
      <c r="M93" s="51"/>
      <c r="N93" s="52"/>
      <c r="O93" s="51"/>
      <c r="P93" s="53"/>
      <c r="Q93" s="54"/>
      <c r="R93" s="52"/>
      <c r="S93" s="52"/>
      <c r="T93" s="52"/>
      <c r="U93" s="52"/>
      <c r="V93" s="52"/>
      <c r="W93" s="52"/>
      <c r="X93" s="52"/>
      <c r="Y93" s="896"/>
      <c r="Z93" s="52"/>
      <c r="AA93" s="51"/>
      <c r="AB93" s="51"/>
      <c r="AC93" s="1"/>
      <c r="AD93" s="31"/>
      <c r="AE93" s="31"/>
      <c r="AF93" s="31"/>
      <c r="AG93" s="31"/>
      <c r="AH93" s="1"/>
      <c r="AI93" s="1"/>
      <c r="AJ93" s="1"/>
      <c r="AK93" s="1"/>
      <c r="AL93" s="1"/>
      <c r="AM93" s="6"/>
      <c r="AN93" s="51"/>
      <c r="AO93" s="51"/>
      <c r="AP93" s="51"/>
      <c r="AQ93" s="51"/>
      <c r="AR93" s="51"/>
      <c r="AS93" s="51"/>
      <c r="AT93" s="51"/>
      <c r="AU93" s="51"/>
      <c r="AV93" s="51"/>
      <c r="AW93" s="51"/>
      <c r="AX93" s="51"/>
      <c r="AY93" s="51"/>
      <c r="AZ93" s="51"/>
      <c r="BA93" s="51"/>
      <c r="BB93" s="51"/>
      <c r="BC93" s="51"/>
      <c r="BD93" s="652"/>
      <c r="BE93" s="1"/>
      <c r="BF93" s="51"/>
      <c r="BG93" s="51"/>
      <c r="BI93" s="759"/>
      <c r="BJ93" s="897">
        <f t="shared" si="44"/>
        <v>85</v>
      </c>
      <c r="BK93" s="764"/>
      <c r="BL93" s="766"/>
      <c r="BM93" s="455">
        <f>Table!AB17</f>
        <v>0.6</v>
      </c>
      <c r="BN93" s="455">
        <f>BM94</f>
        <v>0.8</v>
      </c>
      <c r="BO93" s="455">
        <f>Table!AC17</f>
        <v>137</v>
      </c>
      <c r="BP93" s="925">
        <f>Table!AD17</f>
        <v>153</v>
      </c>
      <c r="BR93" s="764"/>
      <c r="BS93" s="455"/>
      <c r="BT93" s="455"/>
      <c r="BU93" s="925" t="s">
        <v>242</v>
      </c>
      <c r="BV93" s="895"/>
      <c r="BW93" s="912"/>
      <c r="BX93" s="925" t="str">
        <f>Table!AF17</f>
        <v>Double</v>
      </c>
      <c r="CH93" s="764">
        <f>IF(BN93=999,0,(BO94-BO93)/(BN93-BM93))</f>
        <v>54.999999999999979</v>
      </c>
      <c r="CI93" s="925">
        <f>IF(BN93=999,0,(BP94-BP93)/(BN93-BM93))</f>
        <v>44.999999999999986</v>
      </c>
      <c r="CJ93" s="929"/>
      <c r="CK93" s="498"/>
      <c r="CL93" s="52"/>
      <c r="EW93" s="427"/>
      <c r="EY93" s="421"/>
    </row>
    <row r="94" spans="2:155" ht="12.75" customHeight="1">
      <c r="B94" s="421"/>
      <c r="C94" s="863"/>
      <c r="D94" s="502"/>
      <c r="E94" s="502"/>
      <c r="F94" s="864"/>
      <c r="G94" s="421"/>
      <c r="H94" s="498"/>
      <c r="I94" s="421"/>
      <c r="J94" s="421"/>
      <c r="K94" s="498"/>
      <c r="L94" s="52"/>
      <c r="M94" s="51"/>
      <c r="N94" s="52"/>
      <c r="O94" s="51"/>
      <c r="P94" s="53"/>
      <c r="Q94" s="54"/>
      <c r="R94" s="52"/>
      <c r="S94" s="52"/>
      <c r="T94" s="52"/>
      <c r="U94" s="52"/>
      <c r="V94" s="52"/>
      <c r="W94" s="52"/>
      <c r="X94" s="52"/>
      <c r="Y94" s="896"/>
      <c r="Z94" s="52"/>
      <c r="AA94" s="51"/>
      <c r="AB94" s="51"/>
      <c r="AC94" s="1"/>
      <c r="AD94" s="31"/>
      <c r="AE94" s="31"/>
      <c r="AF94" s="31"/>
      <c r="AG94" s="31"/>
      <c r="AH94" s="1"/>
      <c r="AI94" s="1"/>
      <c r="AJ94" s="1"/>
      <c r="AK94" s="1"/>
      <c r="AL94" s="1"/>
      <c r="AM94" s="6"/>
      <c r="AN94" s="51"/>
      <c r="AO94" s="51"/>
      <c r="AP94" s="51"/>
      <c r="AQ94" s="51"/>
      <c r="AR94" s="51"/>
      <c r="AS94" s="51"/>
      <c r="AT94" s="51"/>
      <c r="AU94" s="51"/>
      <c r="AV94" s="51"/>
      <c r="AW94" s="51"/>
      <c r="AX94" s="51"/>
      <c r="AY94" s="51"/>
      <c r="AZ94" s="51"/>
      <c r="BA94" s="51"/>
      <c r="BB94" s="51"/>
      <c r="BC94" s="51"/>
      <c r="BD94" s="652"/>
      <c r="BE94" s="1"/>
      <c r="BF94" s="51"/>
      <c r="BG94" s="51"/>
      <c r="BI94" s="1241"/>
      <c r="BJ94" s="897">
        <f t="shared" si="44"/>
        <v>86</v>
      </c>
      <c r="BK94" s="764"/>
      <c r="BL94" s="766"/>
      <c r="BM94" s="455">
        <f>Table!AB18</f>
        <v>0.8</v>
      </c>
      <c r="BN94" s="455">
        <f>BM95</f>
        <v>0.9</v>
      </c>
      <c r="BO94" s="455">
        <f>Table!AC18</f>
        <v>148</v>
      </c>
      <c r="BP94" s="925">
        <f>Table!AD18</f>
        <v>162</v>
      </c>
      <c r="BR94" s="764"/>
      <c r="BS94" s="455"/>
      <c r="BT94" s="455"/>
      <c r="BU94" s="925" t="s">
        <v>242</v>
      </c>
      <c r="BV94" s="895"/>
      <c r="BW94" s="912"/>
      <c r="BX94" s="925" t="str">
        <f>Table!AF17</f>
        <v>Double</v>
      </c>
      <c r="CH94" s="764">
        <f>IF(BN94=999,0,(BO95-BO94)/(BN94-BM94))</f>
        <v>140.00000000000003</v>
      </c>
      <c r="CI94" s="925">
        <f>IF(BN94=999,0,(BP95-BP94)/(BN94-BM94))</f>
        <v>50.000000000000014</v>
      </c>
      <c r="CJ94" s="1243"/>
      <c r="CK94" s="498"/>
      <c r="CL94" s="52"/>
      <c r="EW94" s="427"/>
      <c r="EY94" s="421"/>
    </row>
    <row r="95" spans="2:155" ht="15.75" hidden="1">
      <c r="B95" s="421"/>
      <c r="C95" s="863"/>
      <c r="D95" s="502"/>
      <c r="E95" s="502"/>
      <c r="F95" s="864"/>
      <c r="G95" s="421"/>
      <c r="H95" s="498"/>
      <c r="I95" s="421"/>
      <c r="J95" s="421"/>
      <c r="K95" s="498"/>
      <c r="L95" s="52"/>
      <c r="M95" s="51"/>
      <c r="N95" s="52"/>
      <c r="O95" s="51"/>
      <c r="P95" s="53"/>
      <c r="Q95" s="54"/>
      <c r="R95" s="52"/>
      <c r="S95" s="52"/>
      <c r="T95" s="52"/>
      <c r="U95" s="52"/>
      <c r="V95" s="52"/>
      <c r="W95" s="52"/>
      <c r="X95" s="52"/>
      <c r="Y95" s="896"/>
      <c r="Z95" s="52"/>
      <c r="AA95" s="51"/>
      <c r="AB95" s="51"/>
      <c r="AC95" s="1"/>
      <c r="AD95" s="31"/>
      <c r="AE95" s="31"/>
      <c r="AF95" s="31"/>
      <c r="AG95" s="31"/>
      <c r="AH95" s="1"/>
      <c r="AI95" s="1"/>
      <c r="AJ95" s="1"/>
      <c r="AK95" s="1"/>
      <c r="AL95" s="1"/>
      <c r="AM95" s="6"/>
      <c r="AN95" s="51"/>
      <c r="AO95" s="51"/>
      <c r="AP95" s="51"/>
      <c r="AQ95" s="51"/>
      <c r="AR95" s="51"/>
      <c r="AS95" s="51"/>
      <c r="AT95" s="51"/>
      <c r="AU95" s="51"/>
      <c r="AV95" s="51"/>
      <c r="AW95" s="51"/>
      <c r="AX95" s="51"/>
      <c r="AY95" s="51"/>
      <c r="AZ95" s="51"/>
      <c r="BA95" s="51"/>
      <c r="BB95" s="51"/>
      <c r="BC95" s="51"/>
      <c r="BD95" s="652"/>
      <c r="BE95" s="1"/>
      <c r="BF95" s="51"/>
      <c r="BG95" s="51"/>
      <c r="BI95" s="1241"/>
      <c r="BJ95" s="897">
        <f t="shared" si="44"/>
        <v>87</v>
      </c>
      <c r="BK95" s="764"/>
      <c r="BL95" s="766"/>
      <c r="BM95" s="455">
        <f>Table!AB19</f>
        <v>0.9</v>
      </c>
      <c r="BN95" s="455">
        <f>BM96</f>
        <v>1.2</v>
      </c>
      <c r="BO95" s="455">
        <f>Table!AC19</f>
        <v>162</v>
      </c>
      <c r="BP95" s="925">
        <f>Table!AD19</f>
        <v>167</v>
      </c>
      <c r="BR95" s="764"/>
      <c r="BS95" s="455"/>
      <c r="BT95" s="455"/>
      <c r="BU95" s="925" t="s">
        <v>242</v>
      </c>
      <c r="BV95" s="895"/>
      <c r="BW95" s="912"/>
      <c r="BX95" s="925" t="str">
        <f>Table!AF17</f>
        <v>Double</v>
      </c>
      <c r="CH95" s="764">
        <f>IF(BN95=999,0,(BO96-BO95)/(BN95-BM95))</f>
        <v>0</v>
      </c>
      <c r="CI95" s="925">
        <f>IF(BN95=999,0,(BP96-BP95)/(BN95-BM95))</f>
        <v>0</v>
      </c>
      <c r="CJ95" s="1241"/>
      <c r="CK95" s="498"/>
      <c r="CL95" s="52"/>
      <c r="EW95" s="427"/>
      <c r="EY95" s="421"/>
    </row>
    <row r="96" spans="2:155" ht="16.5" hidden="1" thickBot="1">
      <c r="B96" s="421"/>
      <c r="C96" s="863"/>
      <c r="D96" s="502"/>
      <c r="E96" s="502"/>
      <c r="F96" s="864"/>
      <c r="G96" s="421"/>
      <c r="H96" s="498"/>
      <c r="I96" s="421"/>
      <c r="J96" s="421"/>
      <c r="K96" s="1409"/>
      <c r="L96" s="1435"/>
      <c r="M96" s="1409"/>
      <c r="N96" s="1435"/>
      <c r="O96" s="1409"/>
      <c r="P96" s="1436"/>
      <c r="Q96" s="1437"/>
      <c r="R96" s="52"/>
      <c r="S96" s="52"/>
      <c r="T96" s="52"/>
      <c r="U96" s="52"/>
      <c r="V96" s="52"/>
      <c r="W96" s="52"/>
      <c r="X96" s="52"/>
      <c r="Y96" s="896"/>
      <c r="Z96" s="52"/>
      <c r="AA96" s="51"/>
      <c r="AB96" s="51"/>
      <c r="AC96" s="1"/>
      <c r="AD96" s="31"/>
      <c r="AE96" s="31"/>
      <c r="AF96" s="31"/>
      <c r="AG96" s="31"/>
      <c r="AH96" s="1"/>
      <c r="AI96" s="1"/>
      <c r="AJ96" s="1"/>
      <c r="AK96" s="1"/>
      <c r="AL96" s="1"/>
      <c r="AM96" s="6"/>
      <c r="AN96" s="51"/>
      <c r="AO96" s="51"/>
      <c r="AP96" s="51"/>
      <c r="AQ96" s="51"/>
      <c r="AR96" s="51"/>
      <c r="AS96" s="51"/>
      <c r="AT96" s="51"/>
      <c r="AU96" s="51"/>
      <c r="AV96" s="51"/>
      <c r="AW96" s="51"/>
      <c r="AX96" s="51"/>
      <c r="AY96" s="51"/>
      <c r="AZ96" s="51"/>
      <c r="BA96" s="51"/>
      <c r="BB96" s="51"/>
      <c r="BC96" s="51"/>
      <c r="BD96" s="652"/>
      <c r="BE96" s="1"/>
      <c r="BF96" s="51"/>
      <c r="BG96" s="51"/>
      <c r="BI96" s="1241"/>
      <c r="BJ96" s="897">
        <f t="shared" si="44"/>
        <v>88</v>
      </c>
      <c r="BK96" s="908"/>
      <c r="BL96" s="767"/>
      <c r="BM96" s="776">
        <f>Table!AB20</f>
        <v>1.2</v>
      </c>
      <c r="BN96" s="776">
        <v>999</v>
      </c>
      <c r="BO96" s="776">
        <f>Table!AC20</f>
        <v>162</v>
      </c>
      <c r="BP96" s="926">
        <f>Table!AD20</f>
        <v>167</v>
      </c>
      <c r="BQ96" s="1183"/>
      <c r="BR96" s="908"/>
      <c r="BS96" s="776"/>
      <c r="BT96" s="776"/>
      <c r="BU96" s="926" t="s">
        <v>242</v>
      </c>
      <c r="BV96" s="433"/>
      <c r="BW96" s="914"/>
      <c r="BX96" s="926" t="str">
        <f>Table!AF17</f>
        <v>Double</v>
      </c>
      <c r="CH96" s="908">
        <f>IF(BN96=999,0,(BO97-BO96)/(BN96-BM96))</f>
        <v>0</v>
      </c>
      <c r="CI96" s="926">
        <f>IF(BN96=999,0,(BP97-BP96)/(BN96-BM96))</f>
        <v>0</v>
      </c>
      <c r="CJ96" s="1243"/>
      <c r="CK96" s="498"/>
      <c r="CL96" s="52"/>
      <c r="EW96" s="427"/>
      <c r="EY96" s="421"/>
    </row>
    <row r="97" spans="1:155" ht="12.75" hidden="1" customHeight="1">
      <c r="B97" s="421">
        <f ca="1">IF(OR(B84&lt;&gt;"",B85&lt;&gt;"",),1,0)</f>
        <v>0</v>
      </c>
      <c r="C97" s="863"/>
      <c r="D97" s="502"/>
      <c r="E97" s="502"/>
      <c r="F97" s="864"/>
      <c r="G97" s="421">
        <f>IF(OR(G83&lt;&gt;""),0,0)</f>
        <v>0</v>
      </c>
      <c r="H97" s="498"/>
      <c r="I97" s="421"/>
      <c r="J97" s="421">
        <f ca="1">IF(OR(J84&lt;&gt;"",J85&lt;&gt;"",),1,0)</f>
        <v>0</v>
      </c>
      <c r="K97" s="1409"/>
      <c r="L97" s="1435"/>
      <c r="M97" s="1409">
        <f ca="1">IF(L83&lt;&gt;"",1,0)</f>
        <v>1</v>
      </c>
      <c r="N97" s="1435"/>
      <c r="O97" s="1409">
        <f ca="1">IF(N83&lt;&gt;"",1,0)</f>
        <v>1</v>
      </c>
      <c r="P97" s="1409"/>
      <c r="Q97" s="1435">
        <f ca="1">SUM(B97:O97)</f>
        <v>2</v>
      </c>
      <c r="R97" s="52"/>
      <c r="S97" s="52"/>
      <c r="T97" s="52"/>
      <c r="U97" s="52"/>
      <c r="V97" s="52"/>
      <c r="W97" s="52"/>
      <c r="X97" s="52"/>
      <c r="Y97" s="896"/>
      <c r="Z97" s="52"/>
      <c r="AA97" s="51"/>
      <c r="AB97" s="51"/>
      <c r="AC97" s="1"/>
      <c r="AD97" s="31"/>
      <c r="AE97" s="31"/>
      <c r="AF97" s="31"/>
      <c r="AG97" s="31"/>
      <c r="AH97" s="1"/>
      <c r="AI97" s="1"/>
      <c r="AJ97" s="1"/>
      <c r="AK97" s="1"/>
      <c r="AL97" s="1"/>
      <c r="AM97" s="6"/>
      <c r="AN97" s="51"/>
      <c r="AO97" s="51"/>
      <c r="AP97" s="51"/>
      <c r="AQ97" s="51"/>
      <c r="AR97" s="51"/>
      <c r="AS97" s="51"/>
      <c r="AT97" s="51"/>
      <c r="AU97" s="51"/>
      <c r="AV97" s="51"/>
      <c r="AW97" s="51"/>
      <c r="AX97" s="51"/>
      <c r="AY97" s="51"/>
      <c r="AZ97" s="51"/>
      <c r="BA97" s="51"/>
      <c r="BB97" s="51"/>
      <c r="BC97" s="51"/>
      <c r="BD97" s="652"/>
      <c r="BE97" s="1"/>
      <c r="BF97" s="51"/>
      <c r="BG97" s="51"/>
      <c r="BI97" s="1241"/>
      <c r="BJ97" s="893"/>
      <c r="BK97" s="421"/>
      <c r="BL97" s="899"/>
      <c r="BM97" s="502"/>
      <c r="BN97" s="502"/>
      <c r="BO97" s="502"/>
      <c r="BP97" s="502"/>
      <c r="BQ97" s="498"/>
      <c r="BR97" s="502"/>
      <c r="BS97" s="502"/>
      <c r="BT97" s="502"/>
      <c r="BU97" s="502"/>
      <c r="BV97" s="498"/>
      <c r="BW97" s="498"/>
      <c r="BX97" s="498"/>
      <c r="BY97" s="498"/>
      <c r="BZ97" s="498"/>
      <c r="CA97" s="498"/>
      <c r="CB97" s="498"/>
      <c r="CC97" s="498"/>
      <c r="CD97" s="498"/>
      <c r="CE97" s="498"/>
      <c r="CF97" s="498"/>
      <c r="CG97" s="498"/>
      <c r="CH97" s="502"/>
      <c r="CI97" s="502"/>
      <c r="CJ97" s="1243"/>
      <c r="CK97" s="498"/>
      <c r="CL97" s="52"/>
      <c r="EW97" s="427"/>
      <c r="EY97" s="421"/>
    </row>
    <row r="98" spans="1:155" ht="12.75" hidden="1" customHeight="1">
      <c r="A98" s="498"/>
      <c r="B98" s="499">
        <f ca="1">IF(OR(B84&lt;&gt;"",B85&lt;&gt;"",B87&lt;&gt;"",B88&lt;&gt;"",B89&lt;&gt;""),1,0)</f>
        <v>0</v>
      </c>
      <c r="C98" s="500"/>
      <c r="D98" s="501"/>
      <c r="E98" s="501"/>
      <c r="F98" s="502"/>
      <c r="G98" s="499">
        <f>IF(OR(G83&lt;&gt;""),0,0)</f>
        <v>0</v>
      </c>
      <c r="H98" s="498"/>
      <c r="I98" s="498"/>
      <c r="J98" s="499">
        <f ca="1">IF(OR(J84&lt;&gt;"",J85&lt;&gt;"",I86&lt;&gt;"",H87&lt;&gt;"",),1,0)</f>
        <v>0</v>
      </c>
      <c r="K98" s="1409"/>
      <c r="L98" s="1438">
        <f ca="1">L99+M99</f>
        <v>1</v>
      </c>
      <c r="M98" s="1439">
        <f ca="1">IF(L83&lt;&gt;"",1,0)</f>
        <v>1</v>
      </c>
      <c r="N98" s="1438">
        <f ca="1">N99+O99</f>
        <v>1</v>
      </c>
      <c r="O98" s="1440">
        <f ca="1">IF(N83&lt;&gt;"",1,0)</f>
        <v>1</v>
      </c>
      <c r="P98" s="1436"/>
      <c r="Q98" s="1435">
        <f ca="1">SUM(B98:O98)</f>
        <v>4</v>
      </c>
      <c r="R98" s="52"/>
      <c r="S98" s="52"/>
      <c r="T98" s="52"/>
      <c r="U98" s="52"/>
      <c r="V98" s="52"/>
      <c r="W98" s="52"/>
      <c r="X98" s="52"/>
      <c r="Y98" s="896"/>
      <c r="Z98" s="52"/>
      <c r="AA98" s="51" t="s">
        <v>68</v>
      </c>
      <c r="AB98" s="51"/>
      <c r="AC98" s="1"/>
      <c r="AD98" s="31"/>
      <c r="AE98" s="31"/>
      <c r="AF98" s="31"/>
      <c r="AG98" s="31"/>
      <c r="AH98" s="1"/>
      <c r="AI98" s="1"/>
      <c r="AJ98" s="1"/>
      <c r="AK98" s="1"/>
      <c r="AL98" s="1"/>
      <c r="AM98" s="6"/>
      <c r="AN98" s="51"/>
      <c r="AO98" s="51"/>
      <c r="AP98" s="51"/>
      <c r="AQ98" s="51"/>
      <c r="AR98" s="51"/>
      <c r="AS98" s="51"/>
      <c r="AT98" s="51"/>
      <c r="AU98" s="51"/>
      <c r="AV98" s="51"/>
      <c r="AW98" s="51"/>
      <c r="AX98" s="51"/>
      <c r="AY98" s="51"/>
      <c r="AZ98" s="51"/>
      <c r="BA98" s="51"/>
      <c r="BB98" s="51"/>
      <c r="BC98" s="51"/>
      <c r="BD98" s="652"/>
      <c r="BE98" s="1"/>
      <c r="BF98" s="51"/>
      <c r="BG98" s="51"/>
      <c r="BI98" s="1241"/>
      <c r="BJ98" s="893"/>
      <c r="BK98" s="421"/>
      <c r="BL98" s="899"/>
      <c r="BM98" s="502"/>
      <c r="BN98" s="502"/>
      <c r="BO98" s="502"/>
      <c r="BP98" s="502"/>
      <c r="BQ98" s="498"/>
      <c r="BR98" s="502"/>
      <c r="BS98" s="502"/>
      <c r="BT98" s="502"/>
      <c r="BU98" s="502"/>
      <c r="BV98" s="498"/>
      <c r="BW98" s="498"/>
      <c r="BX98" s="498"/>
      <c r="BY98" s="498"/>
      <c r="BZ98" s="498"/>
      <c r="CA98" s="498"/>
      <c r="CB98" s="498"/>
      <c r="CC98" s="498"/>
      <c r="CD98" s="498"/>
      <c r="CE98" s="498"/>
      <c r="CF98" s="498"/>
      <c r="CG98" s="498"/>
      <c r="CH98" s="502"/>
      <c r="CI98" s="502"/>
      <c r="CJ98" s="1243"/>
      <c r="CK98" s="498"/>
      <c r="CL98" s="52"/>
      <c r="EW98" s="427"/>
      <c r="EY98" s="421"/>
    </row>
    <row r="99" spans="1:155" ht="12.75" hidden="1" customHeight="1">
      <c r="B99" s="499"/>
      <c r="C99" s="502"/>
      <c r="D99" s="502"/>
      <c r="E99" s="502"/>
      <c r="F99" s="502"/>
      <c r="G99" s="498"/>
      <c r="H99" s="498"/>
      <c r="I99" s="498"/>
      <c r="J99" s="498"/>
      <c r="K99" s="1409"/>
      <c r="L99" s="1435">
        <f ca="1">IF((L90&lt;L92),1,0)</f>
        <v>1</v>
      </c>
      <c r="M99" s="1435">
        <f>IF((M90&lt;M92),1,0)</f>
        <v>0</v>
      </c>
      <c r="N99" s="1435">
        <f ca="1">IF((N90&lt;N92),1,0)</f>
        <v>1</v>
      </c>
      <c r="O99" s="1435">
        <f>IF((O90&lt;O92),1,0)</f>
        <v>0</v>
      </c>
      <c r="P99" s="1436"/>
      <c r="Q99" s="1437"/>
      <c r="R99" s="52"/>
      <c r="S99" s="52"/>
      <c r="T99" s="52"/>
      <c r="U99" s="52"/>
      <c r="V99" s="52"/>
      <c r="W99" s="52"/>
      <c r="X99" s="52"/>
      <c r="Y99" s="896"/>
      <c r="Z99" s="52"/>
      <c r="AA99" s="51"/>
      <c r="AB99" s="51"/>
      <c r="AC99" s="1"/>
      <c r="AD99" s="31"/>
      <c r="AE99" s="31"/>
      <c r="AH99" s="1"/>
      <c r="AI99" s="1"/>
      <c r="AJ99" s="1"/>
      <c r="AK99" s="1"/>
      <c r="AL99" s="1"/>
      <c r="AM99" s="6"/>
      <c r="AN99" s="51"/>
      <c r="AO99" s="51"/>
      <c r="AP99" s="51"/>
      <c r="AQ99" s="51"/>
      <c r="AR99" s="51"/>
      <c r="AS99" s="51"/>
      <c r="AT99" s="51"/>
      <c r="AU99" s="51"/>
      <c r="AV99" s="51"/>
      <c r="AW99" s="51"/>
      <c r="AX99" s="51"/>
      <c r="AY99" s="51"/>
      <c r="AZ99" s="51"/>
      <c r="BA99" s="51"/>
      <c r="BB99" s="51"/>
      <c r="BC99" s="51"/>
      <c r="BD99" s="652"/>
      <c r="BE99" s="1"/>
      <c r="BF99" s="51"/>
      <c r="BG99" s="51"/>
      <c r="BI99" s="1241"/>
      <c r="BJ99" s="1242"/>
      <c r="BK99" s="934"/>
      <c r="BL99" s="935"/>
      <c r="BM99" s="936"/>
      <c r="BN99" s="936"/>
      <c r="BO99" s="936"/>
      <c r="BP99" s="936"/>
      <c r="BQ99" s="929"/>
      <c r="BR99" s="936"/>
      <c r="BS99" s="936"/>
      <c r="BT99" s="936"/>
      <c r="BU99" s="936"/>
      <c r="BV99" s="929"/>
      <c r="BW99" s="929"/>
      <c r="BX99" s="929"/>
      <c r="BY99" s="929"/>
      <c r="BZ99" s="929"/>
      <c r="CA99" s="929"/>
      <c r="CB99" s="929"/>
      <c r="CC99" s="929"/>
      <c r="CD99" s="929"/>
      <c r="CE99" s="929"/>
      <c r="CF99" s="929"/>
      <c r="CG99" s="929"/>
      <c r="CH99" s="936"/>
      <c r="CI99" s="936"/>
      <c r="CJ99" s="1243"/>
      <c r="CK99" s="498"/>
      <c r="CL99" s="52"/>
      <c r="EW99" s="427"/>
      <c r="EY99" s="421"/>
    </row>
    <row r="100" spans="1:155" ht="15.75" hidden="1" customHeight="1">
      <c r="B100" s="498"/>
      <c r="C100" s="502"/>
      <c r="D100" s="502"/>
      <c r="E100" s="502"/>
      <c r="F100" s="502"/>
      <c r="G100" s="498"/>
      <c r="H100" s="498"/>
      <c r="I100" s="498"/>
      <c r="J100" s="498"/>
      <c r="K100" s="1409"/>
      <c r="L100" s="1435"/>
      <c r="M100" s="1409"/>
      <c r="N100" s="1435"/>
      <c r="O100" s="1409"/>
      <c r="P100" s="1436"/>
      <c r="Q100" s="1437"/>
      <c r="R100" s="52"/>
      <c r="S100" s="52"/>
      <c r="T100" s="52"/>
      <c r="U100" s="52"/>
      <c r="V100" s="52"/>
      <c r="W100" s="52"/>
      <c r="X100" s="52"/>
      <c r="Y100" s="896"/>
      <c r="Z100" s="52"/>
      <c r="AA100" s="51"/>
      <c r="AB100" s="51"/>
      <c r="AC100" s="1"/>
      <c r="AD100" s="31"/>
      <c r="AE100" s="31"/>
      <c r="AH100" s="1"/>
      <c r="AI100" s="1"/>
      <c r="AJ100" s="1"/>
      <c r="AK100" s="1"/>
      <c r="AL100" s="1"/>
      <c r="AM100" s="6"/>
      <c r="AN100" s="51"/>
      <c r="AO100" s="51"/>
      <c r="AP100" s="51"/>
      <c r="AQ100" s="51"/>
      <c r="AR100" s="51"/>
      <c r="AS100" s="51"/>
      <c r="AT100" s="51"/>
      <c r="AU100" s="51"/>
      <c r="AV100" s="51"/>
      <c r="AW100" s="51"/>
      <c r="AX100" s="51"/>
      <c r="AY100" s="51"/>
      <c r="AZ100" s="51"/>
      <c r="BA100" s="51"/>
      <c r="BB100" s="51"/>
      <c r="BC100" s="51"/>
      <c r="BD100" s="652"/>
      <c r="BE100" s="1"/>
      <c r="BF100" s="51"/>
      <c r="BG100" s="51"/>
      <c r="BJ100" s="893"/>
      <c r="BK100" s="502"/>
      <c r="BL100" s="900"/>
      <c r="BM100" s="502"/>
      <c r="BN100" s="502"/>
      <c r="BO100" s="502"/>
      <c r="BP100" s="502"/>
      <c r="BQ100" s="498"/>
      <c r="BR100" s="502"/>
      <c r="BS100" s="502"/>
      <c r="BT100" s="502"/>
      <c r="BU100" s="502"/>
      <c r="BV100" s="498"/>
      <c r="BW100" s="498"/>
      <c r="BX100" s="498"/>
      <c r="BY100" s="498"/>
      <c r="BZ100" s="498"/>
      <c r="CA100" s="498"/>
      <c r="CB100" s="498"/>
      <c r="CC100" s="498"/>
      <c r="CD100" s="498"/>
      <c r="CE100" s="498"/>
      <c r="CF100" s="498"/>
      <c r="CG100" s="498"/>
      <c r="CH100" s="502"/>
      <c r="CI100" s="502"/>
      <c r="CJ100" s="498"/>
      <c r="CK100" s="498"/>
      <c r="CL100" s="52"/>
      <c r="EW100" s="427"/>
      <c r="EY100" s="421"/>
    </row>
    <row r="101" spans="1:155" ht="15.75" hidden="1" customHeight="1">
      <c r="B101" s="498"/>
      <c r="C101" s="502"/>
      <c r="D101" s="502"/>
      <c r="E101" s="502"/>
      <c r="F101" s="502"/>
      <c r="G101" s="498"/>
      <c r="H101" s="498"/>
      <c r="I101" s="498"/>
      <c r="J101" s="498"/>
      <c r="K101" s="1436"/>
      <c r="L101" s="1437"/>
      <c r="M101" s="1436"/>
      <c r="N101" s="1437"/>
      <c r="O101" s="1436"/>
      <c r="P101" s="1409"/>
      <c r="Q101" s="1435"/>
      <c r="R101" s="52"/>
      <c r="S101" s="52"/>
      <c r="T101" s="52"/>
      <c r="U101" s="52"/>
      <c r="V101" s="52"/>
      <c r="W101" s="52"/>
      <c r="X101" s="52"/>
      <c r="Y101" s="896"/>
      <c r="Z101" s="52"/>
      <c r="AA101" s="51"/>
      <c r="AB101" s="51"/>
      <c r="AC101" s="1"/>
      <c r="AD101" s="31"/>
      <c r="AE101" s="31"/>
      <c r="AH101" s="1"/>
      <c r="AI101" s="1"/>
      <c r="AJ101" s="1"/>
      <c r="AK101" s="1"/>
      <c r="AL101" s="1"/>
      <c r="AM101" s="6"/>
      <c r="AN101" s="51"/>
      <c r="AO101" s="51"/>
      <c r="AP101" s="51"/>
      <c r="AQ101" s="51"/>
      <c r="AR101" s="51"/>
      <c r="AS101" s="51"/>
      <c r="AT101" s="51"/>
      <c r="AU101" s="51"/>
      <c r="AV101" s="51"/>
      <c r="AW101" s="51"/>
      <c r="AX101" s="51"/>
      <c r="AY101" s="51"/>
      <c r="AZ101" s="51"/>
      <c r="BA101" s="51"/>
      <c r="BB101" s="51"/>
      <c r="BC101" s="51"/>
      <c r="BD101" s="652"/>
      <c r="BE101" s="1"/>
      <c r="BF101" s="51"/>
      <c r="BG101" s="51"/>
      <c r="BJ101" s="893"/>
      <c r="BK101" s="502"/>
      <c r="BL101" s="900"/>
      <c r="BM101" s="502"/>
      <c r="BN101" s="502"/>
      <c r="BO101" s="502"/>
      <c r="BP101" s="502"/>
      <c r="BQ101" s="498"/>
      <c r="BR101" s="502"/>
      <c r="BS101" s="502"/>
      <c r="BT101" s="502"/>
      <c r="BU101" s="502"/>
      <c r="BV101" s="498"/>
      <c r="BW101" s="498"/>
      <c r="BX101" s="498"/>
      <c r="BY101" s="498"/>
      <c r="BZ101" s="498"/>
      <c r="CA101" s="498"/>
      <c r="CB101" s="498"/>
      <c r="CC101" s="498"/>
      <c r="CD101" s="498"/>
      <c r="CE101" s="498"/>
      <c r="CF101" s="498"/>
      <c r="CG101" s="498"/>
      <c r="CH101" s="502"/>
      <c r="CI101" s="502"/>
      <c r="CJ101" s="498"/>
      <c r="CK101" s="498"/>
      <c r="CL101" s="52"/>
      <c r="EW101" s="427"/>
      <c r="EY101" s="421"/>
    </row>
    <row r="102" spans="1:155" ht="15.75" hidden="1" customHeight="1">
      <c r="B102" s="498"/>
      <c r="C102" s="502"/>
      <c r="D102" s="502"/>
      <c r="E102" s="502"/>
      <c r="F102" s="502"/>
      <c r="G102" s="498"/>
      <c r="H102" s="498"/>
      <c r="I102" s="892"/>
      <c r="J102" s="892"/>
      <c r="K102" s="890"/>
      <c r="L102" s="890"/>
      <c r="M102" s="890"/>
      <c r="N102" s="890"/>
      <c r="O102" s="503"/>
      <c r="P102" s="147"/>
      <c r="Q102" s="148"/>
      <c r="R102" s="52"/>
      <c r="S102" s="52"/>
      <c r="T102" s="52"/>
      <c r="U102" s="52"/>
      <c r="V102" s="52"/>
      <c r="W102" s="52"/>
      <c r="X102" s="52"/>
      <c r="Y102" s="896"/>
      <c r="Z102" s="52" t="s">
        <v>8</v>
      </c>
      <c r="AA102" s="51" t="s">
        <v>8</v>
      </c>
      <c r="AB102" s="51"/>
      <c r="AC102" s="1"/>
      <c r="AD102" s="31"/>
      <c r="AE102" s="31"/>
      <c r="AF102" s="1"/>
      <c r="AG102" s="1"/>
      <c r="AH102" s="1"/>
      <c r="AI102" s="1"/>
      <c r="AJ102" s="1"/>
      <c r="AK102" s="1"/>
      <c r="AL102" s="1"/>
      <c r="AM102" s="6"/>
      <c r="AN102" s="51"/>
      <c r="AO102" s="51"/>
      <c r="AP102" s="51"/>
      <c r="AQ102" s="51"/>
      <c r="AR102" s="51"/>
      <c r="AS102" s="51"/>
      <c r="AT102" s="51"/>
      <c r="AU102" s="51"/>
      <c r="AV102" s="51"/>
      <c r="AW102" s="51"/>
      <c r="AX102" s="51"/>
      <c r="AY102" s="51"/>
      <c r="AZ102" s="51"/>
      <c r="BA102" s="51"/>
      <c r="BB102" s="51"/>
      <c r="BC102" s="51"/>
      <c r="BD102" s="652"/>
      <c r="BE102" s="1"/>
      <c r="BF102" s="51"/>
      <c r="BG102" s="51"/>
      <c r="BJ102" s="893"/>
      <c r="BK102" s="502"/>
      <c r="BL102" s="900"/>
      <c r="BM102" s="502"/>
      <c r="BN102" s="502"/>
      <c r="BO102" s="502"/>
      <c r="BP102" s="502"/>
      <c r="BQ102" s="498"/>
      <c r="BR102" s="502"/>
      <c r="BS102" s="502"/>
      <c r="BT102" s="502"/>
      <c r="BU102" s="502"/>
      <c r="BV102" s="498"/>
      <c r="BW102" s="498"/>
      <c r="BX102" s="498"/>
      <c r="BY102" s="498"/>
      <c r="BZ102" s="498"/>
      <c r="CA102" s="498"/>
      <c r="CB102" s="498"/>
      <c r="CC102" s="498"/>
      <c r="CD102" s="498"/>
      <c r="CE102" s="498"/>
      <c r="CF102" s="498"/>
      <c r="CG102" s="498"/>
      <c r="CH102" s="502"/>
      <c r="CI102" s="502"/>
      <c r="CJ102" s="498"/>
      <c r="CK102" s="498"/>
      <c r="CL102" s="52"/>
      <c r="EW102" s="427"/>
      <c r="EY102" s="421"/>
    </row>
    <row r="103" spans="1:155" ht="15.75" hidden="1" customHeight="1">
      <c r="B103" s="498"/>
      <c r="C103" s="502"/>
      <c r="D103" s="502"/>
      <c r="E103" s="502"/>
      <c r="F103" s="502"/>
      <c r="G103" s="498"/>
      <c r="H103" s="498"/>
      <c r="I103" s="892"/>
      <c r="J103" s="892"/>
      <c r="K103" s="503"/>
      <c r="L103" s="891" t="s">
        <v>317</v>
      </c>
      <c r="M103" s="503">
        <f>M82/2</f>
        <v>342.5</v>
      </c>
      <c r="N103" s="889"/>
      <c r="O103" s="503">
        <f>O82/2</f>
        <v>603</v>
      </c>
      <c r="P103" s="147"/>
      <c r="Q103" s="148"/>
      <c r="R103" s="52"/>
      <c r="S103" s="52"/>
      <c r="T103" s="52"/>
      <c r="U103" s="52"/>
      <c r="V103" s="52"/>
      <c r="W103" s="52"/>
      <c r="X103" s="52"/>
      <c r="Y103" s="896"/>
      <c r="Z103" s="52"/>
      <c r="AA103" s="51"/>
      <c r="AB103" s="51"/>
      <c r="AC103" s="1"/>
      <c r="AD103" s="31"/>
      <c r="AE103" s="31"/>
      <c r="AF103" s="1"/>
      <c r="AG103" s="1"/>
      <c r="AH103" s="1"/>
      <c r="AI103" s="1"/>
      <c r="AJ103" s="1"/>
      <c r="AK103" s="1"/>
      <c r="AL103" s="1"/>
      <c r="AM103" s="6"/>
      <c r="AN103" s="51"/>
      <c r="AO103" s="51"/>
      <c r="AP103" s="51"/>
      <c r="AQ103" s="51"/>
      <c r="AR103" s="51"/>
      <c r="AS103" s="51"/>
      <c r="AT103" s="51"/>
      <c r="AU103" s="51"/>
      <c r="AV103" s="51"/>
      <c r="AW103" s="51"/>
      <c r="AX103" s="51"/>
      <c r="AY103" s="51"/>
      <c r="AZ103" s="51"/>
      <c r="BA103" s="51"/>
      <c r="BB103" s="51"/>
      <c r="BC103" s="51"/>
      <c r="BD103" s="652"/>
      <c r="BE103" s="1"/>
      <c r="BF103" s="51"/>
      <c r="BG103" s="51"/>
      <c r="BJ103" s="893"/>
      <c r="BK103" s="502"/>
      <c r="BL103" s="900"/>
      <c r="BM103" s="502"/>
      <c r="BN103" s="502"/>
      <c r="BO103" s="502"/>
      <c r="BP103" s="502"/>
      <c r="BQ103" s="498"/>
      <c r="BR103" s="502"/>
      <c r="BS103" s="502"/>
      <c r="BT103" s="502"/>
      <c r="BU103" s="502"/>
      <c r="BV103" s="498"/>
      <c r="BW103" s="498"/>
      <c r="BX103" s="498"/>
      <c r="BY103" s="498"/>
      <c r="BZ103" s="498"/>
      <c r="CA103" s="498"/>
      <c r="CB103" s="498"/>
      <c r="CC103" s="498"/>
      <c r="CD103" s="498"/>
      <c r="CE103" s="498"/>
      <c r="CF103" s="498"/>
      <c r="CG103" s="498"/>
      <c r="CH103" s="502"/>
      <c r="CI103" s="502"/>
      <c r="CJ103" s="498"/>
      <c r="CK103" s="498"/>
      <c r="CL103" s="52"/>
      <c r="EW103" s="427"/>
      <c r="EY103" s="421"/>
    </row>
    <row r="104" spans="1:155" ht="12.75" hidden="1" customHeight="1">
      <c r="B104" s="498"/>
      <c r="C104" s="502"/>
      <c r="D104" s="502"/>
      <c r="E104" s="502"/>
      <c r="F104" s="502"/>
      <c r="G104" s="498"/>
      <c r="H104" s="498"/>
      <c r="I104" s="892"/>
      <c r="J104" s="892"/>
      <c r="K104" s="503"/>
      <c r="L104" s="889" t="s">
        <v>320</v>
      </c>
      <c r="M104" s="503">
        <f ca="1">SUM(Y8:Y74)</f>
        <v>0</v>
      </c>
      <c r="N104" s="889"/>
      <c r="O104" s="503">
        <f ca="1">M104</f>
        <v>0</v>
      </c>
      <c r="P104" s="147"/>
      <c r="Q104" s="148"/>
      <c r="R104" s="52"/>
      <c r="S104" s="52"/>
      <c r="T104" s="52"/>
      <c r="U104" s="52"/>
      <c r="V104" s="52"/>
      <c r="W104" s="52"/>
      <c r="X104" s="52"/>
      <c r="Y104" s="896"/>
      <c r="Z104" s="52"/>
      <c r="AA104" s="51"/>
      <c r="AB104" s="51"/>
      <c r="AC104" s="1"/>
      <c r="AD104" s="31"/>
      <c r="AE104" s="31"/>
      <c r="AF104" s="1"/>
      <c r="AG104" s="1"/>
      <c r="AH104" s="1"/>
      <c r="AI104" s="1"/>
      <c r="AJ104" s="1"/>
      <c r="AK104" s="1"/>
      <c r="AL104" s="1"/>
      <c r="AM104" s="6"/>
      <c r="AN104" s="51"/>
      <c r="AO104" s="51"/>
      <c r="AP104" s="51"/>
      <c r="AQ104" s="51"/>
      <c r="AR104" s="51"/>
      <c r="AS104" s="51"/>
      <c r="AT104" s="51"/>
      <c r="AU104" s="51"/>
      <c r="AV104" s="51"/>
      <c r="AW104" s="51"/>
      <c r="AX104" s="51"/>
      <c r="AY104" s="51"/>
      <c r="AZ104" s="51"/>
      <c r="BA104" s="51"/>
      <c r="BB104" s="51"/>
      <c r="BC104" s="51"/>
      <c r="BD104" s="652"/>
      <c r="BE104" s="1"/>
      <c r="BF104" s="51"/>
      <c r="BG104" s="51"/>
      <c r="BJ104" s="893"/>
      <c r="BK104" s="421"/>
      <c r="BL104" s="899"/>
      <c r="BM104" s="502"/>
      <c r="BN104" s="502"/>
      <c r="BO104" s="502"/>
      <c r="BP104" s="502"/>
      <c r="BQ104" s="498"/>
      <c r="BR104" s="502"/>
      <c r="BS104" s="502"/>
      <c r="BT104" s="502"/>
      <c r="BU104" s="502"/>
      <c r="BV104" s="498"/>
      <c r="BW104" s="498"/>
      <c r="BX104" s="498"/>
      <c r="BY104" s="498"/>
      <c r="BZ104" s="498"/>
      <c r="CA104" s="498"/>
      <c r="CB104" s="498"/>
      <c r="CC104" s="498"/>
      <c r="CD104" s="498"/>
      <c r="CE104" s="498"/>
      <c r="CF104" s="498"/>
      <c r="CG104" s="498"/>
      <c r="CH104" s="502"/>
      <c r="CI104" s="502"/>
      <c r="CJ104" s="498"/>
      <c r="CK104" s="498"/>
      <c r="CL104" s="52"/>
      <c r="EW104" s="427"/>
      <c r="EY104" s="421"/>
    </row>
    <row r="105" spans="1:155" ht="12.75" hidden="1" customHeight="1">
      <c r="B105" s="498"/>
      <c r="C105" s="502"/>
      <c r="D105" s="502"/>
      <c r="E105" s="502"/>
      <c r="F105" s="502"/>
      <c r="G105" s="498"/>
      <c r="H105" s="498"/>
      <c r="I105" s="892"/>
      <c r="J105" s="892"/>
      <c r="K105" s="503"/>
      <c r="L105" s="889" t="s">
        <v>321</v>
      </c>
      <c r="M105" s="503">
        <f ca="1">IF(M104&gt;0,IF(M103/M104&lt;$BF$3,$BF$3,M103/M104),0)</f>
        <v>0</v>
      </c>
      <c r="N105" s="889"/>
      <c r="O105" s="503">
        <f ca="1">IF(O104&gt;0,IF(O103/O104&lt;$BF$3,$BF$3,O103/O104),0)</f>
        <v>0</v>
      </c>
      <c r="P105" s="147"/>
      <c r="Q105" s="148"/>
      <c r="R105" s="52"/>
      <c r="S105" s="52"/>
      <c r="T105" s="52"/>
      <c r="U105" s="52"/>
      <c r="V105" s="52"/>
      <c r="W105" s="52"/>
      <c r="X105" s="52"/>
      <c r="Y105" s="896"/>
      <c r="Z105" s="52"/>
      <c r="AA105" s="51"/>
      <c r="AB105" s="51"/>
      <c r="AC105" s="1"/>
      <c r="AD105" s="31"/>
      <c r="AE105" s="31"/>
      <c r="AF105" s="1"/>
      <c r="AG105" s="1"/>
      <c r="AH105" s="1"/>
      <c r="AI105" s="1"/>
      <c r="AJ105" s="1"/>
      <c r="AK105" s="1"/>
      <c r="AL105" s="1"/>
      <c r="AM105" s="6"/>
      <c r="AN105" s="51"/>
      <c r="AO105" s="51"/>
      <c r="AP105" s="51"/>
      <c r="AQ105" s="51"/>
      <c r="AR105" s="51"/>
      <c r="AS105" s="51"/>
      <c r="AT105" s="51"/>
      <c r="AU105" s="51"/>
      <c r="AV105" s="51"/>
      <c r="AW105" s="51"/>
      <c r="AX105" s="51"/>
      <c r="AY105" s="51"/>
      <c r="AZ105" s="51"/>
      <c r="BA105" s="51"/>
      <c r="BB105" s="51"/>
      <c r="BC105" s="51"/>
      <c r="BD105" s="652"/>
      <c r="BE105" s="1"/>
      <c r="BF105" s="51"/>
      <c r="BG105" s="51"/>
      <c r="BJ105" s="893"/>
      <c r="BK105" s="421"/>
      <c r="BL105" s="899"/>
      <c r="BM105" s="502"/>
      <c r="BN105" s="502"/>
      <c r="BO105" s="502"/>
      <c r="BP105" s="502"/>
      <c r="BQ105" s="498"/>
      <c r="BR105" s="502"/>
      <c r="BS105" s="502"/>
      <c r="BT105" s="502"/>
      <c r="BU105" s="502"/>
      <c r="BV105" s="498"/>
      <c r="BW105" s="498"/>
      <c r="BX105" s="498"/>
      <c r="BY105" s="498"/>
      <c r="BZ105" s="498"/>
      <c r="CA105" s="498"/>
      <c r="CB105" s="498"/>
      <c r="CC105" s="498"/>
      <c r="CD105" s="498"/>
      <c r="CE105" s="498"/>
      <c r="CF105" s="498"/>
      <c r="CG105" s="498"/>
      <c r="CH105" s="502"/>
      <c r="CI105" s="502"/>
      <c r="CJ105" s="498"/>
      <c r="CK105" s="498"/>
      <c r="CL105" s="52"/>
      <c r="EW105" s="427"/>
      <c r="EY105" s="421"/>
    </row>
    <row r="106" spans="1:155" ht="12.75" hidden="1" customHeight="1">
      <c r="B106" s="498"/>
      <c r="C106" s="502"/>
      <c r="D106" s="502"/>
      <c r="E106" s="502"/>
      <c r="F106" s="502"/>
      <c r="G106" s="498"/>
      <c r="H106" s="498"/>
      <c r="I106" s="498"/>
      <c r="J106" s="498"/>
      <c r="K106" s="498"/>
      <c r="L106" s="502"/>
      <c r="M106" s="498"/>
      <c r="N106" s="502"/>
      <c r="O106" s="498"/>
      <c r="P106" s="147"/>
      <c r="Q106" s="148"/>
      <c r="R106" s="52"/>
      <c r="S106" s="52"/>
      <c r="T106" s="52"/>
      <c r="U106" s="52"/>
      <c r="V106" s="52"/>
      <c r="W106" s="52"/>
      <c r="X106" s="52"/>
      <c r="Y106" s="896"/>
      <c r="Z106" s="52"/>
      <c r="AA106" s="51" t="s">
        <v>68</v>
      </c>
      <c r="AB106" s="51"/>
      <c r="AC106" s="1"/>
      <c r="AD106" s="31"/>
      <c r="AE106" s="31"/>
      <c r="AH106" s="1"/>
      <c r="AI106" s="1"/>
      <c r="AJ106" s="1"/>
      <c r="AK106" s="1"/>
      <c r="AL106" s="1"/>
      <c r="AM106" s="6"/>
      <c r="AN106" s="51"/>
      <c r="AO106" s="51"/>
      <c r="AP106" s="51"/>
      <c r="AQ106" s="51"/>
      <c r="AR106" s="51"/>
      <c r="AS106" s="51"/>
      <c r="AT106" s="51"/>
      <c r="AU106" s="51"/>
      <c r="AV106" s="51"/>
      <c r="AW106" s="51"/>
      <c r="AX106" s="51"/>
      <c r="AY106" s="51"/>
      <c r="AZ106" s="51"/>
      <c r="BA106" s="51"/>
      <c r="BB106" s="51"/>
      <c r="BC106" s="51"/>
      <c r="BD106" s="652"/>
      <c r="BE106" s="1"/>
      <c r="BF106" s="51"/>
      <c r="BG106" s="51"/>
      <c r="BJ106" s="893"/>
      <c r="BK106" s="421"/>
      <c r="BL106" s="899"/>
      <c r="BM106" s="502"/>
      <c r="BN106" s="502"/>
      <c r="BO106" s="502"/>
      <c r="BP106" s="502"/>
      <c r="BQ106" s="498"/>
      <c r="BR106" s="502"/>
      <c r="BS106" s="502"/>
      <c r="BT106" s="502"/>
      <c r="BU106" s="502"/>
      <c r="BV106" s="498"/>
      <c r="BW106" s="498"/>
      <c r="BX106" s="498"/>
      <c r="BY106" s="498"/>
      <c r="BZ106" s="498"/>
      <c r="CA106" s="498"/>
      <c r="CB106" s="498"/>
      <c r="CC106" s="498"/>
      <c r="CD106" s="498"/>
      <c r="CE106" s="498"/>
      <c r="CF106" s="498"/>
      <c r="CG106" s="498"/>
      <c r="CH106" s="502"/>
      <c r="CI106" s="502"/>
      <c r="CJ106" s="498"/>
      <c r="CK106" s="498"/>
      <c r="CL106" s="52"/>
      <c r="EW106" s="427"/>
      <c r="EY106" s="421"/>
    </row>
    <row r="107" spans="1:155" hidden="1">
      <c r="B107" s="51"/>
      <c r="C107" s="52"/>
      <c r="D107" s="52"/>
      <c r="E107" s="52"/>
      <c r="F107" s="52"/>
      <c r="G107" s="51"/>
      <c r="H107" s="51"/>
      <c r="I107" s="51"/>
      <c r="J107" s="51"/>
      <c r="K107" s="51"/>
      <c r="L107" s="52"/>
      <c r="M107" s="51"/>
      <c r="N107" s="52"/>
      <c r="O107" s="51"/>
      <c r="P107" s="147"/>
      <c r="Q107" s="148"/>
      <c r="R107" s="52"/>
      <c r="S107" s="52"/>
      <c r="T107" s="52"/>
      <c r="U107" s="52"/>
      <c r="V107" s="52"/>
      <c r="W107" s="52"/>
      <c r="X107" s="52"/>
      <c r="Y107" s="896"/>
      <c r="Z107" s="52"/>
      <c r="AA107" s="51"/>
      <c r="AB107" s="51"/>
      <c r="AC107" s="1"/>
      <c r="AD107" s="31"/>
      <c r="AE107" s="31"/>
      <c r="AH107" s="1"/>
      <c r="AI107" s="1"/>
      <c r="AJ107" s="1"/>
      <c r="AK107" s="1"/>
      <c r="AL107" s="1"/>
      <c r="AM107" s="6"/>
      <c r="AN107" s="51"/>
      <c r="AO107" s="51"/>
      <c r="AP107" s="51"/>
      <c r="AQ107" s="51"/>
      <c r="AR107" s="51"/>
      <c r="AS107" s="51"/>
      <c r="AT107" s="51"/>
      <c r="AU107" s="51"/>
      <c r="AV107" s="51"/>
      <c r="AW107" s="51"/>
      <c r="AX107" s="51"/>
      <c r="AY107" s="51"/>
      <c r="AZ107" s="51"/>
      <c r="BA107" s="51"/>
      <c r="BB107" s="51"/>
      <c r="BC107" s="51"/>
      <c r="BD107" s="652"/>
      <c r="BE107" s="1"/>
      <c r="BF107" s="51"/>
      <c r="BG107" s="51"/>
      <c r="BJ107" s="893"/>
      <c r="BK107" s="421"/>
      <c r="BL107" s="899"/>
      <c r="BM107" s="502"/>
      <c r="BN107" s="502"/>
      <c r="BO107" s="502"/>
      <c r="BP107" s="502"/>
      <c r="BQ107" s="498"/>
      <c r="BR107" s="502"/>
      <c r="BS107" s="502"/>
      <c r="BT107" s="502"/>
      <c r="BU107" s="502"/>
      <c r="BV107" s="498"/>
      <c r="BW107" s="498"/>
      <c r="BX107" s="498"/>
      <c r="BY107" s="498"/>
      <c r="BZ107" s="498"/>
      <c r="CA107" s="498"/>
      <c r="CB107" s="498"/>
      <c r="CC107" s="498"/>
      <c r="CD107" s="498"/>
      <c r="CE107" s="498"/>
      <c r="CF107" s="498"/>
      <c r="CG107" s="498"/>
      <c r="CH107" s="502"/>
      <c r="CI107" s="502"/>
      <c r="CJ107" s="498"/>
      <c r="CK107" s="498"/>
      <c r="CL107" s="52"/>
      <c r="EW107" s="427"/>
      <c r="EY107" s="421"/>
    </row>
    <row r="108" spans="1:155" hidden="1">
      <c r="B108" s="51"/>
      <c r="C108" s="52"/>
      <c r="D108" s="52"/>
      <c r="E108" s="52"/>
      <c r="F108" s="52"/>
      <c r="G108" s="51"/>
      <c r="H108" s="51"/>
      <c r="I108" s="51"/>
      <c r="J108" s="51"/>
      <c r="K108" s="51"/>
      <c r="L108" s="52"/>
      <c r="M108" s="51"/>
      <c r="N108" s="52"/>
      <c r="O108" s="51"/>
      <c r="P108" s="147"/>
      <c r="Q108" s="148"/>
      <c r="R108" s="52"/>
      <c r="S108" s="52"/>
      <c r="T108" s="52"/>
      <c r="U108" s="52"/>
      <c r="V108" s="52"/>
      <c r="W108" s="52"/>
      <c r="X108" s="52"/>
      <c r="Y108" s="896"/>
      <c r="Z108" s="52"/>
      <c r="AA108" s="51"/>
      <c r="AB108" s="51"/>
      <c r="AC108" s="1"/>
      <c r="AD108" s="31"/>
      <c r="AE108" s="31"/>
      <c r="AH108" s="1"/>
      <c r="AI108" s="1"/>
      <c r="AJ108" s="1"/>
      <c r="AK108" s="1"/>
      <c r="AL108" s="1"/>
      <c r="AM108" s="6"/>
      <c r="AN108" s="51"/>
      <c r="AO108" s="51"/>
      <c r="AP108" s="51"/>
      <c r="AQ108" s="51"/>
      <c r="AR108" s="51"/>
      <c r="AS108" s="51"/>
      <c r="AT108" s="51"/>
      <c r="AU108" s="51"/>
      <c r="AV108" s="51"/>
      <c r="AW108" s="51"/>
      <c r="AX108" s="51"/>
      <c r="AY108" s="51"/>
      <c r="AZ108" s="51"/>
      <c r="BA108" s="51"/>
      <c r="BB108" s="51"/>
      <c r="BC108" s="51"/>
      <c r="BD108" s="652"/>
      <c r="BE108" s="1"/>
      <c r="BF108" s="51"/>
      <c r="BG108" s="51"/>
      <c r="BJ108" s="893"/>
      <c r="BK108" s="421"/>
      <c r="BL108" s="899"/>
      <c r="BM108" s="502"/>
      <c r="BN108" s="502"/>
      <c r="BO108" s="502"/>
      <c r="BP108" s="502"/>
      <c r="BQ108" s="498"/>
      <c r="BR108" s="502"/>
      <c r="BS108" s="502"/>
      <c r="BT108" s="502"/>
      <c r="BU108" s="502"/>
      <c r="BV108" s="498"/>
      <c r="BW108" s="498"/>
      <c r="BX108" s="498"/>
      <c r="BY108" s="498"/>
      <c r="BZ108" s="498"/>
      <c r="CA108" s="498"/>
      <c r="CB108" s="498"/>
      <c r="CC108" s="498"/>
      <c r="CD108" s="498"/>
      <c r="CE108" s="498"/>
      <c r="CF108" s="498"/>
      <c r="CG108" s="498"/>
      <c r="CH108" s="502"/>
      <c r="CI108" s="502"/>
      <c r="CJ108" s="498"/>
      <c r="CK108" s="498"/>
      <c r="CL108" s="52"/>
      <c r="EW108" s="427"/>
      <c r="EY108" s="421"/>
    </row>
    <row r="109" spans="1:155" hidden="1">
      <c r="B109" s="51"/>
      <c r="C109" s="52"/>
      <c r="D109" s="52"/>
      <c r="E109" s="52"/>
      <c r="F109" s="52"/>
      <c r="G109" s="51"/>
      <c r="H109" s="51"/>
      <c r="I109" s="51"/>
      <c r="J109" s="51"/>
      <c r="K109" s="51"/>
      <c r="L109" s="52"/>
      <c r="M109" s="51"/>
      <c r="N109" s="52"/>
      <c r="O109" s="51"/>
      <c r="R109" s="52"/>
      <c r="S109" s="52"/>
      <c r="T109" s="52"/>
      <c r="U109" s="52"/>
      <c r="V109" s="52"/>
      <c r="W109" s="52"/>
      <c r="X109" s="52"/>
      <c r="Y109" s="896"/>
      <c r="Z109" s="52"/>
      <c r="AA109" s="51"/>
      <c r="AB109" s="51"/>
      <c r="AC109" s="1"/>
      <c r="AD109" s="1"/>
      <c r="AE109" s="1"/>
      <c r="AH109" s="1"/>
      <c r="AI109" s="1"/>
      <c r="AJ109" s="1"/>
      <c r="AK109" s="1"/>
      <c r="AL109" s="1"/>
      <c r="AM109" s="6"/>
      <c r="AN109" s="51"/>
      <c r="AO109" s="51"/>
      <c r="AP109" s="51"/>
      <c r="AQ109" s="51"/>
      <c r="AR109" s="51"/>
      <c r="AS109" s="51"/>
      <c r="AT109" s="51"/>
      <c r="AU109" s="51"/>
      <c r="AV109" s="51"/>
      <c r="AW109" s="51"/>
      <c r="AX109" s="51"/>
      <c r="AY109" s="51"/>
      <c r="AZ109" s="51"/>
      <c r="BA109" s="51"/>
      <c r="BB109" s="51"/>
      <c r="BC109" s="51"/>
      <c r="BD109" s="652"/>
      <c r="BE109" s="641"/>
      <c r="BF109" s="652"/>
      <c r="BG109" s="652"/>
      <c r="BH109" s="652"/>
      <c r="BI109" s="652"/>
      <c r="BJ109" s="901"/>
      <c r="BK109" s="902"/>
      <c r="BL109" s="903"/>
      <c r="BM109" s="905"/>
      <c r="BN109" s="905"/>
      <c r="BO109" s="905"/>
      <c r="BP109" s="905"/>
      <c r="BQ109" s="904"/>
      <c r="BR109" s="905"/>
      <c r="BS109" s="905"/>
      <c r="BT109" s="905"/>
      <c r="BU109" s="905"/>
      <c r="BV109" s="904"/>
      <c r="BW109" s="904"/>
      <c r="BX109" s="904"/>
      <c r="BY109" s="904"/>
      <c r="BZ109" s="904"/>
      <c r="CA109" s="904"/>
      <c r="CB109" s="904"/>
      <c r="CC109" s="904"/>
      <c r="CD109" s="904"/>
      <c r="CE109" s="904"/>
      <c r="CF109" s="904"/>
      <c r="CG109" s="904"/>
      <c r="CH109" s="905"/>
      <c r="CI109" s="905"/>
      <c r="CJ109" s="904"/>
      <c r="CK109" s="904"/>
      <c r="CL109" s="657"/>
      <c r="CM109" s="652"/>
      <c r="CN109" s="657"/>
      <c r="CO109" s="657"/>
      <c r="CP109" s="652"/>
      <c r="CQ109" s="652"/>
      <c r="CR109" s="652"/>
      <c r="CS109" s="652"/>
      <c r="CT109" s="652"/>
      <c r="CU109" s="652"/>
      <c r="CV109" s="652"/>
      <c r="CW109" s="652"/>
      <c r="CX109" s="652"/>
      <c r="CY109" s="652"/>
      <c r="CZ109" s="652"/>
      <c r="DA109" s="652"/>
      <c r="DB109" s="652"/>
      <c r="DD109" s="652"/>
      <c r="DE109" s="652"/>
      <c r="DF109" s="652"/>
      <c r="DG109" s="427"/>
      <c r="DH109" s="427"/>
      <c r="DI109" s="427"/>
      <c r="DJ109" s="427"/>
      <c r="DK109" s="427"/>
      <c r="DL109" s="427"/>
      <c r="DM109" s="427"/>
      <c r="DN109" s="427"/>
      <c r="DO109" s="427"/>
      <c r="DP109" s="427"/>
      <c r="DQ109" s="427"/>
      <c r="DR109" s="427"/>
      <c r="DS109" s="427"/>
      <c r="DT109" s="427"/>
      <c r="DU109" s="427"/>
      <c r="DV109" s="427"/>
      <c r="DW109" s="427"/>
      <c r="DX109" s="427"/>
      <c r="DY109" s="427"/>
      <c r="DZ109" s="427"/>
      <c r="EA109" s="427"/>
      <c r="EB109" s="427"/>
      <c r="EC109" s="427"/>
      <c r="ED109" s="427"/>
      <c r="EE109" s="427"/>
      <c r="EF109" s="427"/>
      <c r="EW109" s="427"/>
      <c r="EY109" s="421"/>
    </row>
    <row r="110" spans="1:155" hidden="1">
      <c r="B110" s="51"/>
      <c r="C110" s="52"/>
      <c r="D110" s="52"/>
      <c r="E110" s="52"/>
      <c r="F110" s="52"/>
      <c r="G110" s="51"/>
      <c r="H110" s="51"/>
      <c r="I110" s="51"/>
      <c r="J110" s="51"/>
      <c r="K110" s="51"/>
      <c r="L110" s="52"/>
      <c r="M110" s="51"/>
      <c r="N110" s="52"/>
      <c r="O110" s="51"/>
      <c r="R110" s="52"/>
      <c r="S110" s="52"/>
      <c r="T110" s="52"/>
      <c r="U110" s="52"/>
      <c r="V110" s="52"/>
      <c r="W110" s="52"/>
      <c r="X110" s="52"/>
      <c r="Y110" s="896"/>
      <c r="Z110" s="52"/>
      <c r="AA110" s="51"/>
      <c r="AB110" s="51"/>
      <c r="AC110" s="1"/>
      <c r="AD110" s="1"/>
      <c r="AE110" s="1"/>
      <c r="AH110" s="1"/>
      <c r="AI110" s="1"/>
      <c r="AJ110" s="1"/>
      <c r="AK110" s="1"/>
      <c r="AL110" s="1"/>
      <c r="AM110" s="6"/>
      <c r="AN110" s="51"/>
      <c r="AO110" s="51"/>
      <c r="AP110" s="51"/>
      <c r="AQ110" s="51"/>
      <c r="AR110" s="51"/>
      <c r="AS110" s="51"/>
      <c r="AT110" s="51"/>
      <c r="AU110" s="51"/>
      <c r="AV110" s="51"/>
      <c r="AW110" s="51"/>
      <c r="AX110" s="51"/>
      <c r="AY110" s="51"/>
      <c r="AZ110" s="51"/>
      <c r="BA110" s="51"/>
      <c r="BB110" s="51"/>
      <c r="BC110" s="51"/>
      <c r="BJ110" s="498"/>
      <c r="BK110" s="421"/>
      <c r="BL110" s="899"/>
      <c r="BM110" s="502"/>
      <c r="BN110" s="502"/>
      <c r="BO110" s="502"/>
      <c r="BP110" s="502"/>
      <c r="BQ110" s="498"/>
      <c r="BR110" s="502"/>
      <c r="BS110" s="502"/>
      <c r="BT110" s="502"/>
      <c r="BU110" s="502"/>
      <c r="BV110" s="498"/>
      <c r="BW110" s="498"/>
      <c r="BX110" s="498"/>
      <c r="BY110" s="498"/>
      <c r="BZ110" s="498"/>
      <c r="CA110" s="498"/>
      <c r="CB110" s="498"/>
      <c r="CC110" s="498"/>
      <c r="CD110" s="498"/>
      <c r="CE110" s="498"/>
      <c r="CF110" s="498"/>
      <c r="CG110" s="498"/>
      <c r="CH110" s="502"/>
      <c r="CI110" s="502"/>
      <c r="CJ110" s="498"/>
      <c r="CK110" s="498"/>
      <c r="DC110" s="994"/>
      <c r="EW110" s="427"/>
      <c r="EY110" s="421"/>
    </row>
    <row r="111" spans="1:155" hidden="1">
      <c r="B111" s="51"/>
      <c r="C111" s="52"/>
      <c r="D111" s="52"/>
      <c r="E111" s="52"/>
      <c r="F111" s="52"/>
      <c r="G111" s="51"/>
      <c r="H111" s="51"/>
      <c r="I111" s="51"/>
      <c r="J111" s="51"/>
      <c r="K111" s="51"/>
      <c r="L111" s="52"/>
      <c r="M111" s="51"/>
      <c r="N111" s="52"/>
      <c r="O111" s="51"/>
      <c r="R111" s="52"/>
      <c r="S111" s="52"/>
      <c r="T111" s="52"/>
      <c r="U111" s="52"/>
      <c r="V111" s="52"/>
      <c r="W111" s="52"/>
      <c r="X111" s="52"/>
      <c r="Y111" s="896"/>
      <c r="Z111" s="52"/>
      <c r="AA111" s="51"/>
      <c r="AB111" s="51"/>
      <c r="AC111" s="1"/>
      <c r="AD111" s="1"/>
      <c r="AE111" s="1"/>
      <c r="AH111" s="1"/>
      <c r="AI111" s="1"/>
      <c r="AJ111" s="1"/>
      <c r="AK111" s="1"/>
      <c r="AL111" s="1"/>
      <c r="AM111" s="6"/>
      <c r="AN111" s="51"/>
      <c r="AO111" s="51"/>
      <c r="AP111" s="51"/>
      <c r="AQ111" s="51"/>
      <c r="AR111" s="51"/>
      <c r="AS111" s="51"/>
      <c r="AT111" s="51"/>
      <c r="AU111" s="51"/>
      <c r="AV111" s="51"/>
      <c r="AW111" s="51"/>
      <c r="AX111" s="51"/>
      <c r="AY111" s="51"/>
      <c r="AZ111" s="51"/>
      <c r="BA111" s="51"/>
      <c r="BB111" s="51"/>
      <c r="BC111" s="51"/>
      <c r="EW111" s="427"/>
      <c r="EY111" s="421"/>
    </row>
    <row r="112" spans="1:155" hidden="1">
      <c r="B112" s="1"/>
      <c r="C112" s="9"/>
      <c r="F112" s="9"/>
      <c r="G112" s="1"/>
      <c r="I112" s="1"/>
      <c r="J112" s="1"/>
      <c r="R112" s="52"/>
      <c r="S112" s="52"/>
      <c r="T112" s="52"/>
      <c r="U112" s="52"/>
      <c r="V112" s="52"/>
      <c r="W112" s="52"/>
      <c r="X112" s="52"/>
      <c r="Y112" s="896"/>
      <c r="Z112" s="52"/>
      <c r="AA112" s="51"/>
      <c r="AB112" s="51"/>
      <c r="AC112" s="1"/>
      <c r="AD112" s="1"/>
      <c r="AE112" s="1"/>
      <c r="AF112" s="1"/>
      <c r="AG112" s="1"/>
      <c r="AH112" s="1"/>
      <c r="AI112" s="1"/>
      <c r="AJ112" s="1"/>
      <c r="AK112" s="1"/>
      <c r="AL112" s="1"/>
      <c r="AM112" s="6"/>
      <c r="AN112" s="51"/>
      <c r="AO112" s="51"/>
      <c r="AP112" s="51"/>
      <c r="AQ112" s="51"/>
      <c r="AR112" s="51"/>
      <c r="AS112" s="51"/>
      <c r="AT112" s="51"/>
      <c r="AU112" s="51"/>
      <c r="AV112" s="51"/>
      <c r="AW112" s="51"/>
      <c r="AX112" s="51"/>
      <c r="AY112" s="51"/>
      <c r="AZ112" s="51"/>
      <c r="BA112" s="51"/>
      <c r="BB112" s="51"/>
      <c r="BC112" s="51"/>
      <c r="EW112" s="427"/>
      <c r="EY112" s="421"/>
    </row>
    <row r="113" spans="2:155" hidden="1">
      <c r="B113" s="1"/>
      <c r="C113" s="9"/>
      <c r="F113" s="9"/>
      <c r="G113" s="1"/>
      <c r="I113" s="1"/>
      <c r="J113" s="1"/>
      <c r="R113" s="52"/>
      <c r="S113" s="52"/>
      <c r="T113" s="52"/>
      <c r="U113" s="52"/>
      <c r="V113" s="52"/>
      <c r="W113" s="52"/>
      <c r="X113" s="52"/>
      <c r="Y113" s="896"/>
      <c r="Z113" s="52"/>
      <c r="AA113" s="51"/>
      <c r="AB113" s="51"/>
      <c r="AC113" s="1"/>
      <c r="AD113" s="1"/>
      <c r="AE113" s="1"/>
      <c r="AF113" s="1"/>
      <c r="AG113" s="1"/>
      <c r="AH113" s="1"/>
      <c r="AI113" s="1"/>
      <c r="AJ113" s="1"/>
      <c r="AK113" s="1"/>
      <c r="AL113" s="1"/>
      <c r="AM113" s="6"/>
      <c r="AN113" s="51"/>
      <c r="AO113" s="51"/>
      <c r="AP113" s="51"/>
      <c r="AQ113" s="51"/>
      <c r="AR113" s="51"/>
      <c r="AS113" s="51"/>
      <c r="AT113" s="51"/>
      <c r="AU113" s="51"/>
      <c r="AV113" s="51"/>
      <c r="AW113" s="51"/>
      <c r="AX113" s="51"/>
      <c r="AY113" s="51"/>
      <c r="AZ113" s="51"/>
      <c r="BA113" s="51"/>
      <c r="BB113" s="51"/>
      <c r="BC113" s="51"/>
      <c r="EW113" s="427"/>
      <c r="EY113" s="421"/>
    </row>
    <row r="114" spans="2:155" hidden="1">
      <c r="B114" s="1"/>
      <c r="C114" s="9"/>
      <c r="F114" s="9"/>
      <c r="G114" s="1"/>
      <c r="I114" s="1"/>
      <c r="J114" s="1"/>
      <c r="R114" s="52"/>
      <c r="S114" s="52"/>
      <c r="T114" s="52"/>
      <c r="U114" s="52"/>
      <c r="V114" s="52"/>
      <c r="W114" s="52"/>
      <c r="X114" s="52"/>
      <c r="Y114" s="896"/>
      <c r="Z114" s="52"/>
      <c r="AA114" s="51"/>
      <c r="AB114" s="51"/>
      <c r="AC114" s="1"/>
      <c r="AD114" s="1"/>
      <c r="AE114" s="1"/>
      <c r="AF114" s="1"/>
      <c r="AG114" s="1"/>
      <c r="AH114" s="1"/>
      <c r="AI114" s="1"/>
      <c r="AJ114" s="1"/>
      <c r="AK114" s="1"/>
      <c r="AL114" s="1"/>
      <c r="AM114" s="6"/>
      <c r="AN114" s="51"/>
      <c r="AO114" s="51"/>
      <c r="AP114" s="51"/>
      <c r="AQ114" s="51"/>
      <c r="AR114" s="51"/>
      <c r="AS114" s="51"/>
      <c r="AT114" s="51"/>
      <c r="AU114" s="51"/>
      <c r="AV114" s="51"/>
      <c r="AW114" s="51"/>
      <c r="AX114" s="51"/>
      <c r="AY114" s="51"/>
      <c r="AZ114" s="51"/>
      <c r="BA114" s="51"/>
      <c r="BB114" s="51"/>
      <c r="BC114" s="51"/>
      <c r="EW114" s="427"/>
      <c r="EY114" s="421"/>
    </row>
    <row r="115" spans="2:155">
      <c r="B115" s="1"/>
      <c r="C115" s="9"/>
      <c r="F115" s="9"/>
      <c r="G115" s="1"/>
      <c r="I115" s="1"/>
      <c r="J115" s="1"/>
      <c r="R115" s="52"/>
      <c r="S115" s="52"/>
      <c r="T115" s="52"/>
      <c r="U115" s="52"/>
      <c r="V115" s="52"/>
      <c r="W115" s="52"/>
      <c r="X115" s="52"/>
      <c r="Y115" s="896"/>
      <c r="Z115" s="52"/>
      <c r="AA115" s="51"/>
      <c r="AB115" s="51"/>
      <c r="AC115" s="1"/>
      <c r="AD115" s="1"/>
      <c r="AE115" s="1"/>
      <c r="AF115" s="1"/>
      <c r="AG115" s="1"/>
      <c r="AH115" s="1"/>
      <c r="AI115" s="1"/>
      <c r="AJ115" s="1"/>
      <c r="AK115" s="1"/>
      <c r="AL115" s="1"/>
      <c r="AM115" s="6"/>
      <c r="AN115" s="51"/>
      <c r="AO115" s="51"/>
      <c r="AP115" s="51"/>
      <c r="AQ115" s="51"/>
      <c r="AR115" s="51"/>
      <c r="AS115" s="51"/>
      <c r="AT115" s="51"/>
      <c r="AU115" s="51"/>
      <c r="AV115" s="51"/>
      <c r="AW115" s="51"/>
      <c r="AX115" s="51"/>
      <c r="AY115" s="51"/>
      <c r="AZ115" s="51"/>
      <c r="BA115" s="51"/>
      <c r="BB115" s="51"/>
      <c r="BC115" s="51"/>
      <c r="EW115" s="427"/>
      <c r="EY115" s="421"/>
    </row>
    <row r="116" spans="2:155">
      <c r="B116" s="1"/>
      <c r="C116" s="9"/>
      <c r="F116" s="9"/>
      <c r="G116" s="1"/>
      <c r="I116" s="1"/>
      <c r="J116" s="1"/>
      <c r="R116" s="52"/>
      <c r="S116" s="52"/>
      <c r="T116" s="52"/>
      <c r="U116" s="52"/>
      <c r="V116" s="52"/>
      <c r="W116" s="52"/>
      <c r="X116" s="52"/>
      <c r="Y116" s="896"/>
      <c r="Z116" s="52"/>
      <c r="AA116" s="51"/>
      <c r="AB116" s="51"/>
      <c r="AC116" s="1"/>
      <c r="AD116" s="1"/>
      <c r="AE116" s="1"/>
      <c r="AF116" s="1"/>
      <c r="AG116" s="1"/>
      <c r="AH116" s="1"/>
      <c r="AI116" s="1"/>
      <c r="AJ116" s="1"/>
      <c r="AK116" s="1"/>
      <c r="AL116" s="1"/>
      <c r="AM116" s="6"/>
      <c r="AN116" s="51"/>
      <c r="AO116" s="51"/>
      <c r="AP116" s="51"/>
      <c r="AQ116" s="51"/>
      <c r="AR116" s="51"/>
      <c r="AS116" s="51"/>
      <c r="AT116" s="51"/>
      <c r="AU116" s="51"/>
      <c r="AV116" s="51"/>
      <c r="AW116" s="51"/>
      <c r="AX116" s="51"/>
      <c r="AY116" s="51"/>
      <c r="AZ116" s="51"/>
      <c r="BA116" s="51"/>
      <c r="BB116" s="51"/>
      <c r="BC116" s="51"/>
      <c r="EW116" s="427"/>
      <c r="EY116" s="421"/>
    </row>
    <row r="117" spans="2:155">
      <c r="B117" s="1"/>
      <c r="C117" s="9"/>
      <c r="F117" s="9"/>
      <c r="G117" s="1"/>
      <c r="I117" s="1"/>
      <c r="J117" s="1"/>
      <c r="R117" s="52"/>
      <c r="S117" s="52"/>
      <c r="T117" s="52"/>
      <c r="U117" s="52"/>
      <c r="V117" s="52"/>
      <c r="W117" s="52"/>
      <c r="X117" s="52"/>
      <c r="Y117" s="896"/>
      <c r="Z117" s="52"/>
      <c r="AA117" s="51"/>
      <c r="AB117" s="51"/>
      <c r="AC117"/>
      <c r="AD117" s="1"/>
      <c r="AE117" s="1"/>
      <c r="AF117" s="1"/>
      <c r="AG117" s="1"/>
    </row>
    <row r="118" spans="2:155">
      <c r="B118" s="1"/>
      <c r="C118" s="9"/>
      <c r="F118" s="9"/>
      <c r="G118" s="1"/>
      <c r="I118" s="1"/>
      <c r="J118" s="1"/>
      <c r="R118" s="52"/>
      <c r="S118" s="52"/>
      <c r="T118" s="52"/>
      <c r="U118" s="52"/>
      <c r="V118" s="52"/>
      <c r="W118" s="52"/>
      <c r="X118" s="52"/>
      <c r="Y118" s="896"/>
      <c r="Z118" s="52"/>
      <c r="AA118" s="51"/>
      <c r="AB118" s="51"/>
      <c r="AC118"/>
      <c r="AD118" s="1"/>
      <c r="AE118" s="1"/>
      <c r="AF118" s="1"/>
      <c r="AG118" s="1"/>
    </row>
    <row r="119" spans="2:155">
      <c r="B119" s="1"/>
      <c r="C119" s="9"/>
      <c r="F119" s="9"/>
      <c r="G119" s="1"/>
      <c r="I119" s="1"/>
      <c r="J119" s="1"/>
      <c r="R119" s="52"/>
      <c r="S119" s="52"/>
      <c r="T119" s="52"/>
      <c r="U119" s="52"/>
      <c r="V119" s="52"/>
      <c r="W119" s="52"/>
      <c r="X119" s="52"/>
      <c r="Y119" s="896"/>
      <c r="Z119" s="52"/>
      <c r="AA119" s="51"/>
      <c r="AB119" s="51"/>
      <c r="AC119"/>
      <c r="AD119" s="1"/>
      <c r="AE119" s="1"/>
      <c r="AF119" s="1"/>
      <c r="AG119" s="1"/>
    </row>
    <row r="120" spans="2:155">
      <c r="B120" s="1"/>
      <c r="C120" s="9"/>
      <c r="F120" s="9"/>
      <c r="G120" s="1"/>
      <c r="I120" s="1"/>
      <c r="J120" s="1"/>
      <c r="R120" s="52"/>
      <c r="S120" s="52"/>
      <c r="T120" s="52"/>
      <c r="U120" s="52"/>
      <c r="V120" s="52"/>
      <c r="W120" s="52"/>
      <c r="X120" s="52"/>
      <c r="Y120" s="896"/>
      <c r="Z120" s="52"/>
      <c r="AA120" s="51"/>
      <c r="AB120" s="51"/>
      <c r="AC120"/>
      <c r="AD120" s="1"/>
      <c r="AE120" s="1"/>
      <c r="AF120" s="1"/>
      <c r="AG120" s="1"/>
    </row>
    <row r="121" spans="2:155">
      <c r="B121" s="1"/>
      <c r="C121" s="9"/>
      <c r="F121" s="9"/>
      <c r="G121" s="1"/>
      <c r="I121" s="1"/>
      <c r="J121" s="1"/>
      <c r="R121" s="52"/>
      <c r="S121" s="52"/>
      <c r="T121" s="52"/>
      <c r="U121" s="52"/>
      <c r="V121" s="52"/>
      <c r="W121" s="52"/>
      <c r="X121" s="52"/>
      <c r="Y121" s="896"/>
      <c r="Z121" s="52"/>
      <c r="AA121" s="51"/>
      <c r="AB121" s="51"/>
      <c r="AD121" s="1"/>
      <c r="AE121" s="1"/>
      <c r="AF121" s="1"/>
      <c r="AG121" s="1"/>
    </row>
    <row r="122" spans="2:155">
      <c r="B122" s="1"/>
      <c r="C122" s="9"/>
      <c r="F122" s="9"/>
      <c r="G122" s="1"/>
      <c r="I122" s="1"/>
      <c r="J122" s="1"/>
      <c r="R122" s="52"/>
      <c r="S122" s="52"/>
      <c r="T122" s="52"/>
      <c r="U122" s="52"/>
      <c r="V122" s="52"/>
      <c r="W122" s="52"/>
      <c r="X122" s="52"/>
      <c r="Y122" s="896"/>
      <c r="Z122" s="52"/>
      <c r="AA122" s="51"/>
      <c r="AB122" s="51"/>
      <c r="AD122" s="1"/>
      <c r="AE122" s="1"/>
      <c r="AF122" s="1"/>
      <c r="AG122" s="1"/>
    </row>
    <row r="123" spans="2:155">
      <c r="B123" s="1"/>
      <c r="C123" s="9"/>
      <c r="F123" s="9"/>
      <c r="G123" s="1"/>
      <c r="I123" s="1"/>
      <c r="J123" s="1"/>
      <c r="R123" s="52"/>
      <c r="S123" s="52"/>
      <c r="T123" s="52"/>
      <c r="U123" s="52"/>
      <c r="V123" s="52"/>
      <c r="W123" s="52"/>
      <c r="X123" s="52"/>
      <c r="Y123" s="896"/>
      <c r="Z123" s="52"/>
      <c r="AA123" s="51"/>
      <c r="AB123" s="51"/>
      <c r="AD123" s="1"/>
      <c r="AE123" s="1"/>
      <c r="AF123" s="1"/>
      <c r="AG123" s="1"/>
    </row>
    <row r="124" spans="2:155">
      <c r="B124" s="1"/>
      <c r="C124" s="9"/>
      <c r="F124" s="9"/>
      <c r="G124" s="1"/>
      <c r="I124" s="1"/>
      <c r="J124" s="1"/>
      <c r="R124" s="52"/>
      <c r="S124" s="52"/>
      <c r="T124" s="52"/>
      <c r="U124" s="52"/>
      <c r="V124" s="52"/>
      <c r="W124" s="52"/>
      <c r="X124" s="52"/>
      <c r="Y124" s="896"/>
      <c r="Z124" s="52"/>
      <c r="AA124" s="51"/>
      <c r="AB124" s="51"/>
      <c r="AD124" s="1"/>
      <c r="AE124" s="1"/>
      <c r="AF124" s="1"/>
      <c r="AG124" s="1"/>
    </row>
    <row r="125" spans="2:155">
      <c r="B125" s="1"/>
      <c r="C125" s="9"/>
      <c r="F125" s="9"/>
      <c r="G125" s="1"/>
      <c r="I125" s="1"/>
      <c r="J125" s="1"/>
      <c r="R125" s="52"/>
      <c r="S125" s="52"/>
      <c r="T125" s="52"/>
      <c r="U125" s="52"/>
      <c r="V125" s="52"/>
      <c r="W125" s="52"/>
      <c r="X125" s="52"/>
      <c r="Y125" s="896"/>
      <c r="Z125" s="52"/>
      <c r="AA125" s="51"/>
      <c r="AB125" s="51"/>
      <c r="AD125" s="1"/>
      <c r="AE125" s="1"/>
      <c r="AF125" s="1"/>
      <c r="AG125" s="1"/>
    </row>
    <row r="126" spans="2:155">
      <c r="B126" s="1"/>
      <c r="C126" s="9"/>
      <c r="F126" s="9"/>
      <c r="G126" s="1"/>
      <c r="I126" s="1"/>
      <c r="J126" s="1"/>
      <c r="R126" s="52"/>
      <c r="S126" s="52"/>
      <c r="T126" s="52"/>
      <c r="U126" s="52"/>
      <c r="V126" s="52"/>
      <c r="W126" s="52"/>
      <c r="X126" s="52"/>
      <c r="Y126" s="896"/>
      <c r="Z126" s="52"/>
      <c r="AA126" s="51"/>
      <c r="AB126" s="51"/>
      <c r="AD126" s="1"/>
      <c r="AE126" s="1"/>
      <c r="AF126" s="1"/>
      <c r="AG126" s="1"/>
    </row>
    <row r="127" spans="2:155">
      <c r="B127" s="1"/>
      <c r="C127" s="9"/>
      <c r="F127" s="9"/>
      <c r="G127" s="1"/>
      <c r="I127" s="1"/>
      <c r="J127" s="1"/>
      <c r="R127" s="52"/>
      <c r="S127" s="52"/>
      <c r="T127" s="52"/>
      <c r="U127" s="52"/>
      <c r="V127" s="52"/>
      <c r="W127" s="52"/>
      <c r="X127" s="52"/>
      <c r="Y127" s="896"/>
      <c r="Z127" s="52"/>
      <c r="AA127" s="51"/>
      <c r="AB127" s="51"/>
      <c r="AD127" s="1"/>
      <c r="AE127" s="1"/>
      <c r="AF127" s="1"/>
      <c r="AG127" s="1"/>
    </row>
    <row r="128" spans="2:155">
      <c r="B128" s="1"/>
      <c r="C128" s="9"/>
      <c r="F128" s="9"/>
      <c r="G128" s="1"/>
      <c r="I128" s="1"/>
      <c r="J128" s="1"/>
      <c r="R128" s="52"/>
      <c r="S128" s="52"/>
      <c r="T128" s="52"/>
      <c r="U128" s="52"/>
      <c r="V128" s="52"/>
      <c r="W128" s="52"/>
      <c r="X128" s="52"/>
      <c r="Y128" s="896"/>
      <c r="Z128" s="52"/>
      <c r="AA128" s="51"/>
      <c r="AB128" s="51"/>
      <c r="AD128" s="1"/>
      <c r="AE128" s="1"/>
      <c r="AF128" s="1"/>
      <c r="AG128" s="1"/>
    </row>
    <row r="129" spans="2:33">
      <c r="B129" s="1"/>
      <c r="C129" s="9"/>
      <c r="F129" s="9"/>
      <c r="G129" s="1"/>
      <c r="I129" s="1"/>
      <c r="J129" s="1"/>
      <c r="R129" s="52"/>
      <c r="S129" s="52"/>
      <c r="T129" s="52"/>
      <c r="U129" s="52"/>
      <c r="V129" s="52"/>
      <c r="W129" s="52"/>
      <c r="X129" s="52"/>
      <c r="Y129" s="896"/>
      <c r="Z129" s="52"/>
      <c r="AA129" s="51"/>
      <c r="AB129" s="51"/>
      <c r="AD129" s="1"/>
      <c r="AE129" s="1"/>
      <c r="AF129" s="1"/>
      <c r="AG129" s="1"/>
    </row>
    <row r="130" spans="2:33">
      <c r="B130" s="1"/>
      <c r="C130" s="9"/>
      <c r="F130" s="9"/>
      <c r="G130" s="1"/>
      <c r="I130" s="1"/>
      <c r="J130" s="1"/>
      <c r="R130" s="52"/>
      <c r="S130" s="52"/>
      <c r="T130" s="52"/>
      <c r="U130" s="52"/>
      <c r="V130" s="52"/>
      <c r="W130" s="52"/>
      <c r="X130" s="52"/>
      <c r="Y130" s="896"/>
      <c r="Z130" s="52"/>
      <c r="AA130" s="51"/>
      <c r="AB130" s="51"/>
      <c r="AD130" s="1"/>
      <c r="AE130" s="1"/>
      <c r="AF130" s="1"/>
      <c r="AG130" s="1"/>
    </row>
    <row r="131" spans="2:33">
      <c r="B131" s="1"/>
      <c r="C131" s="9"/>
      <c r="F131" s="9"/>
      <c r="G131" s="1"/>
      <c r="I131" s="1"/>
      <c r="J131" s="1"/>
      <c r="R131" s="52"/>
      <c r="S131" s="52"/>
      <c r="T131" s="52"/>
      <c r="U131" s="52"/>
      <c r="V131" s="52"/>
      <c r="W131" s="52"/>
      <c r="X131" s="52"/>
      <c r="Y131" s="896"/>
      <c r="Z131" s="52"/>
      <c r="AA131" s="51"/>
      <c r="AB131" s="51"/>
      <c r="AD131" s="1"/>
      <c r="AE131" s="1"/>
      <c r="AF131" s="1"/>
      <c r="AG131" s="1"/>
    </row>
    <row r="132" spans="2:33">
      <c r="B132" s="1"/>
      <c r="C132" s="9"/>
      <c r="F132" s="9"/>
      <c r="G132" s="1"/>
      <c r="I132" s="1"/>
      <c r="J132" s="1"/>
      <c r="R132" s="52"/>
      <c r="S132" s="52"/>
      <c r="T132" s="52"/>
      <c r="U132" s="52"/>
      <c r="V132" s="52"/>
      <c r="W132" s="52"/>
      <c r="X132" s="52"/>
      <c r="Y132" s="896"/>
      <c r="Z132" s="52"/>
      <c r="AA132" s="51"/>
      <c r="AB132" s="51"/>
      <c r="AD132" s="1"/>
      <c r="AE132" s="1"/>
      <c r="AF132" s="1"/>
      <c r="AG132" s="1"/>
    </row>
    <row r="133" spans="2:33">
      <c r="B133" s="1"/>
      <c r="C133" s="9"/>
      <c r="F133" s="9"/>
      <c r="G133" s="1"/>
      <c r="I133" s="1"/>
      <c r="J133" s="1"/>
      <c r="R133" s="52"/>
      <c r="S133" s="52"/>
      <c r="T133" s="52"/>
      <c r="U133" s="52"/>
      <c r="V133" s="52"/>
      <c r="W133" s="52"/>
      <c r="X133" s="52"/>
      <c r="Y133" s="896"/>
      <c r="Z133" s="52"/>
      <c r="AA133" s="51"/>
      <c r="AB133" s="51"/>
      <c r="AD133" s="1"/>
      <c r="AE133" s="1"/>
      <c r="AF133" s="1"/>
      <c r="AG133" s="1"/>
    </row>
    <row r="134" spans="2:33">
      <c r="B134" s="1"/>
      <c r="C134" s="9"/>
      <c r="F134" s="9"/>
      <c r="G134" s="1"/>
      <c r="I134" s="1"/>
      <c r="J134" s="1"/>
      <c r="R134" s="52"/>
      <c r="S134" s="52"/>
      <c r="T134" s="52"/>
      <c r="U134" s="52"/>
      <c r="V134" s="52"/>
      <c r="W134" s="52"/>
      <c r="X134" s="52"/>
      <c r="Y134" s="896"/>
      <c r="Z134" s="52"/>
      <c r="AA134" s="51"/>
      <c r="AB134" s="51"/>
      <c r="AD134" s="1"/>
      <c r="AE134" s="1"/>
      <c r="AF134" s="1"/>
      <c r="AG134" s="1"/>
    </row>
    <row r="135" spans="2:33">
      <c r="B135" s="1"/>
      <c r="C135" s="9"/>
      <c r="F135" s="9"/>
      <c r="G135" s="1"/>
      <c r="I135" s="1"/>
      <c r="J135" s="1"/>
      <c r="R135" s="52"/>
      <c r="S135" s="52"/>
      <c r="T135" s="52"/>
      <c r="U135" s="52"/>
      <c r="V135" s="52"/>
      <c r="W135" s="52"/>
      <c r="X135" s="52"/>
      <c r="Y135" s="896"/>
      <c r="Z135" s="52"/>
      <c r="AA135" s="51"/>
      <c r="AB135" s="51"/>
      <c r="AD135" s="1"/>
      <c r="AE135" s="1"/>
      <c r="AF135" s="1"/>
      <c r="AG135" s="1"/>
    </row>
    <row r="136" spans="2:33">
      <c r="B136" s="1"/>
      <c r="C136" s="9"/>
      <c r="F136" s="9"/>
      <c r="G136" s="1"/>
      <c r="I136" s="1"/>
      <c r="J136" s="1"/>
      <c r="R136" s="52"/>
      <c r="S136" s="52"/>
      <c r="T136" s="52"/>
      <c r="U136" s="52"/>
      <c r="V136" s="52"/>
      <c r="W136" s="52"/>
      <c r="X136" s="52"/>
      <c r="Y136" s="896"/>
      <c r="Z136" s="52"/>
      <c r="AA136" s="51"/>
      <c r="AB136" s="51"/>
      <c r="AD136" s="1"/>
      <c r="AE136" s="1"/>
      <c r="AF136" s="1"/>
      <c r="AG136" s="1"/>
    </row>
    <row r="137" spans="2:33">
      <c r="B137" s="1"/>
      <c r="C137" s="9"/>
      <c r="F137" s="9"/>
      <c r="G137" s="1"/>
      <c r="I137" s="1"/>
      <c r="J137" s="1"/>
      <c r="R137" s="52"/>
      <c r="S137" s="52"/>
      <c r="T137" s="52"/>
      <c r="U137" s="52"/>
      <c r="V137" s="52"/>
      <c r="W137" s="52"/>
      <c r="X137" s="52"/>
      <c r="Y137" s="896"/>
      <c r="Z137" s="52"/>
      <c r="AA137" s="51"/>
      <c r="AB137" s="51"/>
      <c r="AD137" s="1"/>
      <c r="AE137" s="1"/>
      <c r="AF137" s="1"/>
      <c r="AG137" s="1"/>
    </row>
    <row r="138" spans="2:33">
      <c r="B138" s="1"/>
      <c r="C138" s="9"/>
      <c r="F138" s="9"/>
      <c r="G138" s="1"/>
      <c r="I138" s="1"/>
      <c r="J138" s="1"/>
      <c r="R138" s="52"/>
      <c r="S138" s="52"/>
      <c r="T138" s="52"/>
      <c r="U138" s="52"/>
      <c r="V138" s="52"/>
      <c r="W138" s="52"/>
      <c r="X138" s="52"/>
      <c r="Y138" s="896"/>
      <c r="Z138" s="52"/>
      <c r="AA138" s="51"/>
      <c r="AB138" s="51"/>
      <c r="AD138" s="1"/>
      <c r="AE138" s="1"/>
      <c r="AF138" s="1"/>
      <c r="AG138" s="1"/>
    </row>
    <row r="139" spans="2:33">
      <c r="B139" s="1"/>
      <c r="C139" s="9"/>
      <c r="F139" s="9"/>
      <c r="G139" s="1"/>
      <c r="I139" s="1"/>
      <c r="J139" s="1"/>
      <c r="R139" s="52"/>
      <c r="S139" s="52"/>
      <c r="T139" s="52"/>
      <c r="U139" s="52"/>
      <c r="V139" s="52"/>
      <c r="W139" s="52"/>
      <c r="X139" s="52"/>
      <c r="Y139" s="896"/>
      <c r="Z139" s="52"/>
      <c r="AA139" s="51"/>
      <c r="AB139" s="51"/>
      <c r="AD139" s="1"/>
      <c r="AE139" s="1"/>
      <c r="AF139" s="1"/>
      <c r="AG139" s="1"/>
    </row>
    <row r="140" spans="2:33">
      <c r="B140" s="1"/>
      <c r="C140" s="9"/>
      <c r="F140" s="9"/>
      <c r="G140" s="1"/>
      <c r="I140" s="1"/>
      <c r="J140" s="1"/>
      <c r="R140" s="52"/>
      <c r="S140" s="52"/>
      <c r="T140" s="52"/>
      <c r="U140" s="52"/>
      <c r="V140" s="52"/>
      <c r="W140" s="52"/>
      <c r="X140" s="52"/>
      <c r="Y140" s="896"/>
      <c r="Z140" s="52"/>
      <c r="AA140" s="51"/>
      <c r="AB140" s="51"/>
      <c r="AD140" s="1"/>
      <c r="AE140" s="1"/>
      <c r="AF140" s="1"/>
      <c r="AG140" s="1"/>
    </row>
    <row r="141" spans="2:33">
      <c r="B141" s="1"/>
      <c r="C141" s="9"/>
      <c r="F141" s="9"/>
      <c r="G141" s="1"/>
      <c r="I141" s="1"/>
      <c r="J141" s="1"/>
      <c r="R141" s="52"/>
      <c r="S141" s="52"/>
      <c r="T141" s="52"/>
      <c r="U141" s="52"/>
      <c r="V141" s="52"/>
      <c r="W141" s="52"/>
      <c r="X141" s="52"/>
      <c r="Y141" s="896"/>
      <c r="Z141" s="52"/>
      <c r="AA141" s="51"/>
      <c r="AB141" s="51"/>
      <c r="AD141" s="1"/>
      <c r="AE141" s="1"/>
    </row>
    <row r="142" spans="2:33">
      <c r="B142" s="1"/>
      <c r="C142" s="9"/>
      <c r="F142" s="9"/>
      <c r="G142" s="1"/>
      <c r="I142" s="1"/>
      <c r="J142" s="1"/>
      <c r="R142" s="52"/>
      <c r="S142" s="52"/>
      <c r="T142" s="52"/>
      <c r="U142" s="52"/>
      <c r="V142" s="52"/>
      <c r="W142" s="52"/>
      <c r="X142" s="52"/>
      <c r="Y142" s="896"/>
      <c r="Z142" s="52"/>
      <c r="AA142" s="51"/>
      <c r="AB142" s="51"/>
      <c r="AD142" s="1"/>
      <c r="AE142" s="1"/>
    </row>
    <row r="143" spans="2:33">
      <c r="B143" s="1"/>
      <c r="C143" s="9"/>
      <c r="F143" s="9"/>
      <c r="G143" s="1"/>
      <c r="I143" s="1"/>
      <c r="J143" s="1"/>
      <c r="R143" s="52"/>
      <c r="S143" s="52"/>
      <c r="T143" s="52"/>
      <c r="U143" s="52"/>
      <c r="V143" s="52"/>
      <c r="W143" s="52"/>
      <c r="X143" s="52"/>
      <c r="Y143" s="896"/>
      <c r="Z143" s="52"/>
      <c r="AA143" s="51"/>
      <c r="AB143" s="51"/>
      <c r="AD143" s="1"/>
      <c r="AE143" s="1"/>
    </row>
    <row r="144" spans="2:33">
      <c r="B144" s="1"/>
      <c r="C144" s="9"/>
      <c r="F144" s="9"/>
      <c r="G144" s="1"/>
      <c r="I144" s="1"/>
      <c r="J144" s="1"/>
      <c r="R144" s="52"/>
      <c r="S144" s="52"/>
      <c r="T144" s="52"/>
      <c r="U144" s="52"/>
      <c r="V144" s="52"/>
      <c r="W144" s="52"/>
      <c r="X144" s="52"/>
      <c r="Y144" s="896"/>
      <c r="Z144" s="52"/>
      <c r="AA144" s="51"/>
      <c r="AB144" s="51"/>
      <c r="AD144" s="1"/>
      <c r="AE144" s="1"/>
    </row>
    <row r="145" spans="2:33">
      <c r="B145" s="1"/>
      <c r="C145" s="9"/>
      <c r="F145" s="9"/>
      <c r="G145" s="1"/>
      <c r="I145" s="1"/>
      <c r="J145" s="1"/>
      <c r="R145" s="52"/>
      <c r="S145" s="52"/>
      <c r="T145" s="52"/>
      <c r="U145" s="52"/>
      <c r="V145" s="52"/>
      <c r="W145" s="52"/>
      <c r="X145" s="52"/>
      <c r="Y145" s="896"/>
      <c r="Z145" s="52"/>
      <c r="AA145" s="51"/>
      <c r="AB145" s="51"/>
      <c r="AD145" s="1"/>
      <c r="AE145" s="1"/>
    </row>
    <row r="146" spans="2:33">
      <c r="B146" s="1"/>
      <c r="C146" s="9"/>
      <c r="F146" s="9"/>
      <c r="G146" s="1"/>
      <c r="I146" s="1"/>
      <c r="J146" s="1"/>
      <c r="R146" s="52"/>
      <c r="S146" s="52"/>
      <c r="T146" s="52"/>
      <c r="U146" s="52"/>
      <c r="V146" s="52"/>
      <c r="W146" s="52"/>
      <c r="X146" s="52"/>
      <c r="Y146" s="896"/>
      <c r="Z146" s="52"/>
      <c r="AA146" s="51"/>
      <c r="AB146" s="51"/>
      <c r="AD146" s="1"/>
      <c r="AE146" s="1"/>
    </row>
    <row r="147" spans="2:33">
      <c r="B147" s="1"/>
      <c r="C147" s="9"/>
      <c r="F147" s="9"/>
      <c r="G147" s="1"/>
      <c r="I147" s="1"/>
      <c r="J147" s="1"/>
      <c r="R147" s="52"/>
      <c r="S147" s="52"/>
      <c r="T147" s="52"/>
      <c r="U147" s="52"/>
      <c r="V147" s="52"/>
      <c r="W147" s="52"/>
      <c r="X147" s="52"/>
      <c r="Y147" s="896"/>
      <c r="Z147" s="52"/>
      <c r="AA147" s="51"/>
      <c r="AB147" s="51"/>
      <c r="AD147" s="1"/>
      <c r="AE147" s="1"/>
    </row>
    <row r="148" spans="2:33">
      <c r="B148" s="1"/>
      <c r="C148" s="9"/>
      <c r="F148" s="9"/>
      <c r="G148" s="1"/>
      <c r="I148" s="1"/>
      <c r="J148" s="1"/>
      <c r="R148" s="52"/>
      <c r="S148" s="52"/>
      <c r="T148" s="52"/>
      <c r="U148" s="52"/>
      <c r="V148" s="52"/>
      <c r="W148" s="52"/>
      <c r="X148" s="52"/>
      <c r="Y148" s="896"/>
      <c r="Z148" s="52"/>
      <c r="AA148" s="51"/>
      <c r="AB148" s="51"/>
      <c r="AD148" s="1"/>
      <c r="AE148" s="1"/>
    </row>
    <row r="149" spans="2:33">
      <c r="B149" s="1"/>
      <c r="C149" s="9"/>
      <c r="F149" s="9"/>
      <c r="G149" s="1"/>
      <c r="I149" s="1"/>
      <c r="J149" s="1"/>
      <c r="R149" s="52"/>
      <c r="S149" s="52"/>
      <c r="T149" s="52"/>
      <c r="U149" s="52"/>
      <c r="V149" s="52"/>
      <c r="W149" s="52"/>
      <c r="X149" s="52"/>
      <c r="Y149" s="896"/>
      <c r="Z149" s="52"/>
      <c r="AA149" s="51"/>
      <c r="AB149" s="51"/>
      <c r="AD149" s="1"/>
      <c r="AE149" s="1"/>
    </row>
    <row r="150" spans="2:33">
      <c r="B150" s="1"/>
      <c r="C150" s="9"/>
      <c r="F150" s="9"/>
      <c r="G150" s="1"/>
      <c r="I150" s="1"/>
      <c r="J150" s="1"/>
      <c r="R150" s="52"/>
      <c r="S150" s="52"/>
      <c r="T150" s="52"/>
      <c r="U150" s="52"/>
      <c r="V150" s="52"/>
      <c r="W150" s="52"/>
      <c r="X150" s="52"/>
      <c r="Y150" s="896"/>
      <c r="Z150" s="52"/>
      <c r="AA150" s="51"/>
      <c r="AB150" s="51"/>
      <c r="AD150" s="1"/>
      <c r="AE150" s="1"/>
    </row>
    <row r="151" spans="2:33">
      <c r="B151" s="1"/>
      <c r="C151" s="9"/>
      <c r="F151" s="9"/>
      <c r="G151" s="1"/>
      <c r="I151" s="1"/>
      <c r="J151" s="1"/>
      <c r="R151" s="52"/>
      <c r="S151" s="52"/>
      <c r="T151" s="52"/>
      <c r="U151" s="52"/>
      <c r="V151" s="52"/>
      <c r="W151" s="52"/>
      <c r="X151" s="52"/>
      <c r="Y151" s="896"/>
      <c r="Z151" s="52"/>
      <c r="AA151" s="51"/>
      <c r="AB151" s="51"/>
      <c r="AD151" s="1"/>
      <c r="AE151" s="1"/>
    </row>
    <row r="152" spans="2:33">
      <c r="B152" s="1"/>
      <c r="C152" s="9"/>
      <c r="F152" s="9"/>
      <c r="G152" s="1"/>
      <c r="I152" s="1"/>
      <c r="J152" s="1"/>
      <c r="R152" s="52"/>
      <c r="S152" s="52"/>
      <c r="T152" s="52"/>
      <c r="U152" s="52"/>
      <c r="V152" s="52"/>
      <c r="W152" s="52"/>
      <c r="X152" s="52"/>
      <c r="Y152" s="896"/>
      <c r="Z152" s="52"/>
      <c r="AA152" s="51"/>
      <c r="AB152" s="51"/>
      <c r="AD152" s="1"/>
      <c r="AE152" s="1"/>
    </row>
    <row r="153" spans="2:33">
      <c r="B153" s="1"/>
      <c r="C153" s="9"/>
      <c r="F153" s="9"/>
      <c r="G153" s="1"/>
      <c r="I153" s="1"/>
      <c r="J153" s="1"/>
      <c r="R153" s="52"/>
      <c r="S153" s="52"/>
      <c r="T153" s="52"/>
      <c r="U153" s="52"/>
      <c r="V153" s="52"/>
      <c r="W153" s="52"/>
      <c r="X153" s="52"/>
      <c r="Y153" s="896"/>
      <c r="Z153" s="52"/>
      <c r="AA153" s="51"/>
      <c r="AB153" s="51"/>
      <c r="AD153" s="1"/>
      <c r="AE153" s="1"/>
    </row>
    <row r="154" spans="2:33">
      <c r="B154" s="1"/>
      <c r="C154" s="9"/>
      <c r="F154" s="9"/>
      <c r="G154" s="1"/>
      <c r="I154" s="1"/>
      <c r="J154" s="1"/>
      <c r="R154" s="52"/>
      <c r="S154" s="52"/>
      <c r="T154" s="52"/>
      <c r="U154" s="52"/>
      <c r="V154" s="52"/>
      <c r="W154" s="52"/>
      <c r="X154" s="52"/>
      <c r="Y154" s="896"/>
      <c r="Z154" s="52"/>
      <c r="AA154" s="51"/>
      <c r="AB154" s="51"/>
      <c r="AD154" s="1"/>
      <c r="AE154" s="1"/>
    </row>
    <row r="155" spans="2:33">
      <c r="B155" s="1"/>
      <c r="C155" s="9"/>
      <c r="F155" s="9"/>
      <c r="G155" s="1"/>
      <c r="I155" s="1"/>
      <c r="J155" s="1"/>
      <c r="R155" s="52"/>
      <c r="S155" s="52"/>
      <c r="T155" s="52"/>
      <c r="U155" s="52"/>
      <c r="V155" s="52"/>
      <c r="W155" s="52"/>
      <c r="X155" s="52"/>
      <c r="Y155" s="896"/>
      <c r="Z155" s="52"/>
      <c r="AA155" s="51"/>
      <c r="AB155" s="51"/>
      <c r="AD155" s="1"/>
      <c r="AE155" s="1"/>
      <c r="AF155" s="653"/>
      <c r="AG155" s="653"/>
    </row>
    <row r="156" spans="2:33">
      <c r="B156" s="1"/>
      <c r="C156" s="9"/>
      <c r="F156" s="9"/>
      <c r="G156" s="1"/>
      <c r="I156" s="1"/>
      <c r="J156" s="1"/>
      <c r="R156" s="52"/>
      <c r="S156" s="52"/>
      <c r="T156" s="52"/>
      <c r="U156" s="52"/>
      <c r="V156" s="52"/>
      <c r="W156" s="52"/>
      <c r="X156" s="52"/>
      <c r="Y156" s="896"/>
      <c r="Z156" s="52"/>
      <c r="AA156" s="51"/>
      <c r="AB156" s="51"/>
      <c r="AD156" s="1"/>
      <c r="AE156" s="1"/>
    </row>
    <row r="157" spans="2:33">
      <c r="B157" s="1"/>
      <c r="C157" s="9"/>
      <c r="F157" s="9"/>
      <c r="G157" s="1"/>
      <c r="I157" s="1"/>
      <c r="J157" s="1"/>
      <c r="R157" s="52"/>
      <c r="S157" s="52"/>
      <c r="T157" s="52"/>
      <c r="U157" s="52"/>
      <c r="V157" s="52"/>
      <c r="W157" s="52"/>
      <c r="X157" s="52"/>
      <c r="Y157" s="896"/>
      <c r="Z157" s="52"/>
      <c r="AA157" s="51"/>
      <c r="AB157" s="51"/>
      <c r="AD157" s="1"/>
      <c r="AE157" s="1"/>
    </row>
    <row r="158" spans="2:33">
      <c r="B158" s="1"/>
      <c r="C158" s="9"/>
      <c r="F158" s="9"/>
      <c r="G158" s="1"/>
      <c r="I158" s="1"/>
      <c r="J158" s="1"/>
      <c r="R158" s="52"/>
      <c r="S158" s="52"/>
      <c r="T158" s="52"/>
      <c r="U158" s="52"/>
      <c r="V158" s="52"/>
      <c r="W158" s="52"/>
      <c r="X158" s="52"/>
      <c r="Y158" s="896"/>
      <c r="Z158" s="52"/>
      <c r="AA158" s="51"/>
      <c r="AB158" s="51"/>
      <c r="AD158" s="1"/>
      <c r="AE158" s="1"/>
    </row>
    <row r="159" spans="2:33">
      <c r="B159" s="1"/>
      <c r="C159" s="9"/>
      <c r="F159" s="9"/>
      <c r="G159" s="1"/>
      <c r="I159" s="1"/>
      <c r="J159" s="1"/>
      <c r="R159" s="52"/>
      <c r="S159" s="52"/>
      <c r="T159" s="52"/>
      <c r="U159" s="52"/>
      <c r="V159" s="52"/>
      <c r="W159" s="52"/>
      <c r="X159" s="52"/>
      <c r="Y159" s="896"/>
      <c r="Z159" s="52"/>
      <c r="AA159" s="51"/>
      <c r="AB159" s="51"/>
      <c r="AD159" s="1"/>
      <c r="AE159" s="1"/>
    </row>
    <row r="160" spans="2:33">
      <c r="B160" s="1"/>
      <c r="C160" s="9"/>
      <c r="F160" s="9"/>
      <c r="G160" s="1"/>
      <c r="I160" s="1"/>
      <c r="J160" s="1"/>
      <c r="R160" s="52"/>
      <c r="S160" s="52"/>
      <c r="T160" s="52"/>
      <c r="U160" s="52"/>
      <c r="V160" s="52"/>
      <c r="W160" s="52"/>
      <c r="X160" s="52"/>
      <c r="Y160" s="896"/>
      <c r="Z160" s="52"/>
      <c r="AA160" s="51"/>
      <c r="AB160" s="51"/>
      <c r="AD160" s="1"/>
      <c r="AE160" s="1"/>
    </row>
    <row r="161" spans="2:33">
      <c r="B161" s="1"/>
      <c r="C161" s="9"/>
      <c r="F161" s="9"/>
      <c r="G161" s="1"/>
      <c r="I161" s="1"/>
      <c r="J161" s="1"/>
      <c r="R161" s="52"/>
      <c r="S161" s="52"/>
      <c r="T161" s="52"/>
      <c r="U161" s="52"/>
      <c r="V161" s="52"/>
      <c r="W161" s="52"/>
      <c r="X161" s="52"/>
      <c r="Y161" s="896"/>
      <c r="Z161" s="52"/>
      <c r="AA161" s="51"/>
      <c r="AB161" s="51"/>
      <c r="AD161" s="1"/>
      <c r="AE161" s="1"/>
    </row>
    <row r="162" spans="2:33">
      <c r="B162" s="1"/>
      <c r="C162" s="9"/>
      <c r="F162" s="9"/>
      <c r="G162" s="1"/>
      <c r="I162" s="1"/>
      <c r="J162" s="1"/>
      <c r="R162" s="52"/>
      <c r="S162" s="52"/>
      <c r="T162" s="52"/>
      <c r="U162" s="52"/>
      <c r="V162" s="52"/>
      <c r="W162" s="52"/>
      <c r="X162" s="52"/>
      <c r="Y162" s="896"/>
      <c r="Z162" s="52"/>
      <c r="AA162" s="51"/>
      <c r="AB162" s="51"/>
      <c r="AD162" s="1"/>
      <c r="AE162" s="1"/>
    </row>
    <row r="163" spans="2:33">
      <c r="B163" s="1"/>
      <c r="C163" s="9"/>
      <c r="F163" s="9"/>
      <c r="G163" s="1"/>
      <c r="I163" s="1"/>
      <c r="J163" s="1"/>
      <c r="R163" s="52"/>
      <c r="S163" s="52"/>
      <c r="T163" s="52"/>
      <c r="U163" s="52"/>
      <c r="V163" s="52"/>
      <c r="W163" s="52"/>
      <c r="X163" s="52"/>
      <c r="Y163" s="896"/>
      <c r="Z163" s="52"/>
      <c r="AA163" s="51"/>
      <c r="AB163" s="51"/>
      <c r="AD163" s="1"/>
      <c r="AE163" s="1"/>
    </row>
    <row r="164" spans="2:33">
      <c r="B164" s="1"/>
      <c r="C164" s="9"/>
      <c r="F164" s="9"/>
      <c r="G164" s="1"/>
      <c r="I164" s="1"/>
      <c r="J164" s="1"/>
      <c r="R164" s="52"/>
      <c r="S164" s="52"/>
      <c r="T164" s="52"/>
      <c r="U164" s="52"/>
      <c r="V164" s="52"/>
      <c r="W164" s="52"/>
      <c r="X164" s="52"/>
      <c r="Y164" s="896"/>
      <c r="Z164" s="52"/>
      <c r="AA164" s="51"/>
      <c r="AB164" s="51"/>
      <c r="AD164" s="1"/>
      <c r="AE164" s="1"/>
    </row>
    <row r="165" spans="2:33">
      <c r="B165" s="1"/>
      <c r="C165" s="9"/>
      <c r="F165" s="9"/>
      <c r="G165" s="1"/>
      <c r="I165" s="1"/>
      <c r="J165" s="1"/>
      <c r="R165" s="52"/>
      <c r="S165" s="52"/>
      <c r="T165" s="52"/>
      <c r="U165" s="52"/>
      <c r="V165" s="52"/>
      <c r="W165" s="52"/>
      <c r="X165" s="52"/>
      <c r="Y165" s="896"/>
      <c r="Z165" s="52"/>
      <c r="AA165" s="51"/>
      <c r="AB165" s="51"/>
      <c r="AD165" s="1"/>
      <c r="AE165" s="1"/>
      <c r="AF165" s="456"/>
      <c r="AG165" s="456"/>
    </row>
    <row r="166" spans="2:33">
      <c r="B166" s="1"/>
      <c r="C166" s="9"/>
      <c r="F166" s="9"/>
      <c r="G166" s="1"/>
      <c r="I166" s="1"/>
      <c r="J166" s="1"/>
      <c r="R166" s="52"/>
      <c r="S166" s="52"/>
      <c r="T166" s="52"/>
      <c r="U166" s="52"/>
      <c r="V166" s="52"/>
      <c r="W166" s="52"/>
      <c r="X166" s="52"/>
      <c r="Y166" s="896"/>
      <c r="Z166" s="52"/>
      <c r="AA166" s="51"/>
      <c r="AB166" s="51"/>
      <c r="AD166" s="1"/>
      <c r="AE166" s="1"/>
    </row>
    <row r="167" spans="2:33">
      <c r="B167" s="1"/>
      <c r="C167" s="9"/>
      <c r="F167" s="9"/>
      <c r="G167" s="1"/>
      <c r="I167" s="1"/>
      <c r="J167" s="1"/>
      <c r="R167" s="52"/>
      <c r="S167" s="52"/>
      <c r="T167" s="52"/>
      <c r="U167" s="52"/>
      <c r="V167" s="52"/>
      <c r="W167" s="52"/>
      <c r="X167" s="52"/>
      <c r="Y167" s="896"/>
      <c r="Z167" s="52"/>
      <c r="AA167" s="51"/>
      <c r="AB167" s="51"/>
      <c r="AD167" s="1"/>
      <c r="AE167" s="1"/>
    </row>
    <row r="168" spans="2:33">
      <c r="B168" s="1"/>
      <c r="C168" s="9"/>
      <c r="F168" s="9"/>
      <c r="G168" s="1"/>
      <c r="I168" s="1"/>
      <c r="J168" s="1"/>
      <c r="R168" s="52"/>
      <c r="S168" s="52"/>
      <c r="T168" s="52"/>
      <c r="U168" s="52"/>
      <c r="V168" s="52"/>
      <c r="W168" s="52"/>
      <c r="X168" s="52"/>
      <c r="Y168" s="896"/>
      <c r="Z168" s="52"/>
      <c r="AA168" s="51"/>
      <c r="AB168" s="51"/>
      <c r="AD168" s="1"/>
      <c r="AE168" s="1"/>
    </row>
    <row r="169" spans="2:33">
      <c r="B169" s="1"/>
      <c r="C169" s="9"/>
      <c r="F169" s="9"/>
      <c r="G169" s="1"/>
      <c r="I169" s="1"/>
      <c r="J169" s="1"/>
      <c r="R169" s="52"/>
      <c r="S169" s="52"/>
      <c r="T169" s="52"/>
      <c r="U169" s="52"/>
      <c r="V169" s="52"/>
      <c r="W169" s="52"/>
      <c r="X169" s="52"/>
      <c r="Y169" s="896"/>
      <c r="Z169" s="52"/>
      <c r="AA169" s="51"/>
      <c r="AB169" s="51"/>
      <c r="AD169" s="1"/>
      <c r="AE169" s="1"/>
      <c r="AF169" s="1"/>
      <c r="AG169" s="1"/>
    </row>
    <row r="170" spans="2:33">
      <c r="B170" s="1"/>
      <c r="C170" s="9"/>
      <c r="F170" s="9"/>
      <c r="G170" s="1"/>
      <c r="I170" s="1"/>
      <c r="J170" s="1"/>
      <c r="R170" s="52"/>
      <c r="S170" s="52"/>
      <c r="T170" s="52"/>
      <c r="U170" s="52"/>
      <c r="V170" s="52"/>
      <c r="W170" s="52"/>
      <c r="X170" s="52"/>
      <c r="Y170" s="896"/>
      <c r="Z170" s="52"/>
      <c r="AA170" s="51"/>
      <c r="AB170" s="51"/>
      <c r="AD170" s="1"/>
      <c r="AE170" s="1"/>
      <c r="AF170" s="1"/>
      <c r="AG170" s="1"/>
    </row>
    <row r="171" spans="2:33">
      <c r="B171" s="1"/>
      <c r="C171" s="9"/>
      <c r="F171" s="9"/>
      <c r="G171" s="1"/>
      <c r="I171" s="1"/>
      <c r="J171" s="1"/>
      <c r="R171" s="52"/>
      <c r="S171" s="52"/>
      <c r="T171" s="52"/>
      <c r="U171" s="52"/>
      <c r="V171" s="52"/>
      <c r="W171" s="52"/>
      <c r="X171" s="52"/>
      <c r="Y171" s="896"/>
      <c r="Z171" s="52"/>
      <c r="AA171" s="51"/>
      <c r="AB171" s="51"/>
      <c r="AD171" s="1"/>
      <c r="AE171" s="1"/>
      <c r="AF171" s="1"/>
      <c r="AG171" s="1"/>
    </row>
    <row r="172" spans="2:33">
      <c r="B172" s="1"/>
      <c r="C172" s="9"/>
      <c r="F172" s="9"/>
      <c r="G172" s="1"/>
      <c r="I172" s="1"/>
      <c r="J172" s="1"/>
      <c r="R172" s="52"/>
      <c r="S172" s="52"/>
      <c r="T172" s="52"/>
      <c r="U172" s="52"/>
      <c r="V172" s="52"/>
      <c r="W172" s="52"/>
      <c r="X172" s="52"/>
      <c r="Y172" s="896"/>
      <c r="Z172" s="52"/>
      <c r="AA172" s="51"/>
      <c r="AB172" s="51"/>
      <c r="AD172" s="1"/>
      <c r="AE172" s="1"/>
      <c r="AF172" s="1"/>
      <c r="AG172" s="1"/>
    </row>
    <row r="173" spans="2:33">
      <c r="B173" s="1"/>
      <c r="C173" s="9"/>
      <c r="F173" s="9"/>
      <c r="G173" s="1"/>
      <c r="I173" s="1"/>
      <c r="J173" s="1"/>
      <c r="R173" s="52"/>
      <c r="S173" s="52"/>
      <c r="T173" s="52"/>
      <c r="U173" s="52"/>
      <c r="V173" s="52"/>
      <c r="W173" s="52"/>
      <c r="X173" s="52"/>
      <c r="Y173" s="896"/>
      <c r="Z173" s="52"/>
      <c r="AA173" s="51"/>
      <c r="AB173" s="51"/>
      <c r="AD173" s="1"/>
      <c r="AE173" s="1"/>
      <c r="AF173" s="1"/>
      <c r="AG173" s="1"/>
    </row>
    <row r="174" spans="2:33">
      <c r="B174" s="1"/>
      <c r="C174" s="9"/>
      <c r="F174" s="9"/>
      <c r="G174" s="1"/>
      <c r="I174" s="1"/>
      <c r="J174" s="1"/>
      <c r="R174" s="52"/>
      <c r="S174" s="52"/>
      <c r="T174" s="52"/>
      <c r="U174" s="52"/>
      <c r="V174" s="52"/>
      <c r="W174" s="52"/>
      <c r="X174" s="52"/>
      <c r="Y174" s="896"/>
      <c r="Z174" s="52"/>
      <c r="AA174" s="51"/>
      <c r="AB174" s="51"/>
      <c r="AD174" s="1"/>
      <c r="AE174" s="1"/>
      <c r="AF174" s="1"/>
      <c r="AG174" s="1"/>
    </row>
    <row r="175" spans="2:33">
      <c r="B175" s="1"/>
      <c r="C175" s="9"/>
      <c r="F175" s="9"/>
      <c r="G175" s="1"/>
      <c r="I175" s="1"/>
      <c r="J175" s="1"/>
      <c r="R175" s="52"/>
      <c r="S175" s="52"/>
      <c r="T175" s="52"/>
      <c r="U175" s="52"/>
      <c r="V175" s="52"/>
      <c r="W175" s="52"/>
      <c r="X175" s="52"/>
      <c r="Y175" s="896"/>
      <c r="Z175" s="52"/>
      <c r="AA175" s="51"/>
      <c r="AB175" s="51"/>
      <c r="AD175" s="1"/>
      <c r="AE175" s="1"/>
      <c r="AF175" s="1"/>
      <c r="AG175" s="1"/>
    </row>
    <row r="176" spans="2:33">
      <c r="B176" s="1"/>
      <c r="C176" s="9"/>
      <c r="F176" s="9"/>
      <c r="G176" s="1"/>
      <c r="I176" s="1"/>
      <c r="J176" s="1"/>
      <c r="R176" s="52"/>
      <c r="S176" s="52"/>
      <c r="T176" s="52"/>
      <c r="U176" s="52"/>
      <c r="V176" s="52"/>
      <c r="W176" s="52"/>
      <c r="X176" s="52"/>
      <c r="Y176" s="896"/>
      <c r="Z176" s="52"/>
      <c r="AA176" s="51"/>
      <c r="AB176" s="51"/>
      <c r="AD176" s="1"/>
      <c r="AE176" s="1"/>
      <c r="AF176" s="1"/>
      <c r="AG176" s="1"/>
    </row>
    <row r="177" spans="2:33">
      <c r="B177" s="1"/>
      <c r="C177" s="9"/>
      <c r="F177" s="9"/>
      <c r="G177" s="1"/>
      <c r="I177" s="1"/>
      <c r="J177" s="1"/>
      <c r="R177" s="52"/>
      <c r="S177" s="52"/>
      <c r="T177" s="52"/>
      <c r="U177" s="52"/>
      <c r="V177" s="52"/>
      <c r="W177" s="52"/>
      <c r="X177" s="52"/>
      <c r="Y177" s="896"/>
      <c r="Z177" s="52"/>
      <c r="AA177" s="51"/>
      <c r="AB177" s="51"/>
      <c r="AD177" s="1"/>
      <c r="AE177" s="1"/>
      <c r="AF177" s="1"/>
      <c r="AG177" s="1"/>
    </row>
    <row r="178" spans="2:33">
      <c r="B178" s="1"/>
      <c r="C178" s="9"/>
      <c r="F178" s="9"/>
      <c r="G178" s="1"/>
      <c r="I178" s="1"/>
      <c r="J178" s="1"/>
      <c r="R178" s="52"/>
      <c r="S178" s="52"/>
      <c r="T178" s="52"/>
      <c r="U178" s="52"/>
      <c r="V178" s="52"/>
      <c r="W178" s="52"/>
      <c r="X178" s="52"/>
      <c r="Y178" s="896"/>
      <c r="Z178" s="52"/>
      <c r="AA178" s="51"/>
      <c r="AB178" s="51"/>
      <c r="AD178" s="1"/>
      <c r="AE178" s="1"/>
      <c r="AF178" s="1"/>
      <c r="AG178" s="1"/>
    </row>
    <row r="179" spans="2:33">
      <c r="B179" s="1"/>
      <c r="C179" s="9"/>
      <c r="F179" s="9"/>
      <c r="G179" s="1"/>
      <c r="I179" s="1"/>
      <c r="J179" s="1"/>
      <c r="R179" s="52"/>
      <c r="S179" s="52"/>
      <c r="T179" s="52"/>
      <c r="U179" s="52"/>
      <c r="V179" s="52"/>
      <c r="W179" s="52"/>
      <c r="X179" s="52"/>
      <c r="Y179" s="896"/>
      <c r="Z179" s="52"/>
      <c r="AA179" s="51"/>
      <c r="AB179" s="51"/>
      <c r="AD179" s="1"/>
      <c r="AE179" s="1"/>
      <c r="AF179" s="1"/>
      <c r="AG179" s="1"/>
    </row>
    <row r="180" spans="2:33">
      <c r="B180" s="1"/>
      <c r="C180" s="9"/>
      <c r="F180" s="9"/>
      <c r="G180" s="1"/>
      <c r="I180" s="1"/>
      <c r="J180" s="1"/>
      <c r="R180" s="52"/>
      <c r="S180" s="52"/>
      <c r="T180" s="52"/>
      <c r="U180" s="52"/>
      <c r="V180" s="52"/>
      <c r="W180" s="52"/>
      <c r="X180" s="52"/>
      <c r="Y180" s="896"/>
      <c r="Z180" s="52"/>
      <c r="AA180" s="51"/>
      <c r="AB180" s="51"/>
      <c r="AD180" s="1"/>
      <c r="AE180" s="1"/>
      <c r="AF180" s="1"/>
      <c r="AG180" s="1"/>
    </row>
    <row r="181" spans="2:33">
      <c r="B181" s="1"/>
      <c r="C181" s="9"/>
      <c r="F181" s="9"/>
      <c r="G181" s="1"/>
      <c r="I181" s="1"/>
      <c r="J181" s="1"/>
      <c r="R181" s="52"/>
      <c r="S181" s="52"/>
      <c r="T181" s="52"/>
      <c r="U181" s="52"/>
      <c r="V181" s="52"/>
      <c r="W181" s="52"/>
      <c r="X181" s="52"/>
      <c r="Y181" s="896"/>
      <c r="Z181" s="52"/>
      <c r="AA181" s="51"/>
      <c r="AB181" s="51"/>
      <c r="AD181" s="1"/>
      <c r="AE181" s="1"/>
      <c r="AF181" s="1"/>
      <c r="AG181" s="1"/>
    </row>
    <row r="182" spans="2:33">
      <c r="B182" s="1"/>
      <c r="C182" s="9"/>
      <c r="F182" s="9"/>
      <c r="G182" s="1"/>
      <c r="I182" s="1"/>
      <c r="J182" s="1"/>
      <c r="R182" s="52"/>
      <c r="S182" s="52"/>
      <c r="T182" s="52"/>
      <c r="U182" s="52"/>
      <c r="V182" s="52"/>
      <c r="W182" s="52"/>
      <c r="X182" s="52"/>
      <c r="Y182" s="896"/>
      <c r="Z182" s="52"/>
      <c r="AA182" s="51"/>
      <c r="AB182" s="51"/>
      <c r="AD182" s="1"/>
      <c r="AE182" s="1"/>
      <c r="AF182" s="1"/>
      <c r="AG182" s="1"/>
    </row>
    <row r="183" spans="2:33">
      <c r="B183" s="1"/>
      <c r="C183" s="9"/>
      <c r="F183" s="9"/>
      <c r="G183" s="1"/>
      <c r="I183" s="1"/>
      <c r="J183" s="1"/>
      <c r="R183" s="52"/>
      <c r="S183" s="52"/>
      <c r="T183" s="52"/>
      <c r="U183" s="52"/>
      <c r="V183" s="52"/>
      <c r="W183" s="52"/>
      <c r="X183" s="52"/>
      <c r="Y183" s="896"/>
      <c r="Z183" s="52"/>
      <c r="AA183" s="51"/>
      <c r="AB183" s="51"/>
      <c r="AD183" s="1"/>
      <c r="AE183" s="1"/>
      <c r="AF183" s="1"/>
      <c r="AG183" s="1"/>
    </row>
    <row r="184" spans="2:33">
      <c r="B184" s="1"/>
      <c r="C184" s="9"/>
      <c r="F184" s="9"/>
      <c r="G184" s="1"/>
      <c r="I184" s="1"/>
      <c r="J184" s="1"/>
      <c r="R184" s="52"/>
      <c r="S184" s="52"/>
      <c r="T184" s="52"/>
      <c r="U184" s="52"/>
      <c r="V184" s="52"/>
      <c r="W184" s="52"/>
      <c r="X184" s="52"/>
      <c r="Y184" s="896"/>
      <c r="Z184" s="52"/>
      <c r="AA184" s="51"/>
      <c r="AB184" s="51"/>
      <c r="AD184" s="1"/>
      <c r="AE184" s="1"/>
      <c r="AF184" s="1"/>
      <c r="AG184" s="1"/>
    </row>
    <row r="185" spans="2:33">
      <c r="B185" s="1"/>
      <c r="C185" s="9"/>
      <c r="F185" s="9"/>
      <c r="G185" s="1"/>
      <c r="I185" s="1"/>
      <c r="J185" s="1"/>
      <c r="R185" s="52"/>
      <c r="S185" s="52"/>
      <c r="T185" s="52"/>
      <c r="U185" s="52"/>
      <c r="V185" s="52"/>
      <c r="W185" s="52"/>
      <c r="X185" s="52"/>
      <c r="Y185" s="896"/>
      <c r="Z185" s="52"/>
      <c r="AA185" s="51"/>
      <c r="AB185" s="51"/>
      <c r="AD185" s="1"/>
      <c r="AE185" s="1"/>
      <c r="AF185" s="1"/>
      <c r="AG185" s="1"/>
    </row>
    <row r="186" spans="2:33">
      <c r="B186" s="1"/>
      <c r="C186" s="9"/>
      <c r="F186" s="9"/>
      <c r="G186" s="1"/>
      <c r="I186" s="1"/>
      <c r="J186" s="1"/>
      <c r="R186" s="52"/>
      <c r="S186" s="52"/>
      <c r="T186" s="52"/>
      <c r="U186" s="52"/>
      <c r="V186" s="52"/>
      <c r="W186" s="52"/>
      <c r="X186" s="52"/>
      <c r="Y186" s="896"/>
      <c r="Z186" s="52"/>
      <c r="AA186" s="51"/>
      <c r="AB186" s="51"/>
      <c r="AD186" s="1"/>
      <c r="AE186" s="1"/>
      <c r="AF186" s="1"/>
      <c r="AG186" s="1"/>
    </row>
    <row r="187" spans="2:33">
      <c r="B187" s="1"/>
      <c r="C187" s="9"/>
      <c r="F187" s="9"/>
      <c r="G187" s="1"/>
      <c r="I187" s="1"/>
      <c r="J187" s="1"/>
      <c r="R187" s="52"/>
      <c r="S187" s="52"/>
      <c r="T187" s="52"/>
      <c r="U187" s="52"/>
      <c r="V187" s="52"/>
      <c r="W187" s="52"/>
      <c r="X187" s="52"/>
      <c r="Y187" s="896"/>
      <c r="Z187" s="52"/>
      <c r="AA187" s="51"/>
      <c r="AB187" s="51"/>
      <c r="AD187" s="1"/>
      <c r="AE187" s="1"/>
      <c r="AF187" s="1"/>
      <c r="AG187" s="1"/>
    </row>
    <row r="188" spans="2:33">
      <c r="B188" s="1"/>
      <c r="C188" s="9"/>
      <c r="F188" s="9"/>
      <c r="G188" s="1"/>
      <c r="I188" s="1"/>
      <c r="J188" s="1"/>
      <c r="R188" s="52"/>
      <c r="S188" s="52"/>
      <c r="T188" s="52"/>
      <c r="U188" s="52"/>
      <c r="V188" s="52"/>
      <c r="W188" s="52"/>
      <c r="X188" s="52"/>
      <c r="Y188" s="896"/>
      <c r="Z188" s="52"/>
      <c r="AA188" s="51"/>
      <c r="AB188" s="51"/>
      <c r="AD188" s="1"/>
      <c r="AE188" s="1"/>
      <c r="AF188" s="1"/>
      <c r="AG188" s="1"/>
    </row>
    <row r="189" spans="2:33">
      <c r="B189" s="1"/>
      <c r="C189" s="9"/>
      <c r="F189" s="9"/>
      <c r="G189" s="1"/>
      <c r="I189" s="1"/>
      <c r="J189" s="1"/>
      <c r="R189" s="52"/>
      <c r="S189" s="52"/>
      <c r="T189" s="52"/>
      <c r="U189" s="52"/>
      <c r="V189" s="52"/>
      <c r="W189" s="52"/>
      <c r="X189" s="52"/>
      <c r="Y189" s="896"/>
      <c r="Z189" s="52"/>
      <c r="AA189" s="51"/>
      <c r="AB189" s="51"/>
      <c r="AD189" s="1"/>
      <c r="AE189" s="1"/>
      <c r="AF189" s="1"/>
      <c r="AG189" s="1"/>
    </row>
    <row r="190" spans="2:33">
      <c r="B190" s="1"/>
      <c r="C190" s="9"/>
      <c r="F190" s="9"/>
      <c r="G190" s="1"/>
      <c r="I190" s="1"/>
      <c r="J190" s="1"/>
      <c r="R190" s="52"/>
      <c r="S190" s="52"/>
      <c r="T190" s="52"/>
      <c r="U190" s="52"/>
      <c r="V190" s="52"/>
      <c r="W190" s="52"/>
      <c r="X190" s="52"/>
      <c r="Y190" s="896"/>
      <c r="Z190" s="52"/>
      <c r="AA190" s="51"/>
      <c r="AB190" s="51"/>
      <c r="AD190" s="1"/>
      <c r="AE190" s="1"/>
      <c r="AF190" s="1"/>
      <c r="AG190" s="1"/>
    </row>
    <row r="191" spans="2:33">
      <c r="B191" s="1"/>
      <c r="C191" s="9"/>
      <c r="F191" s="9"/>
      <c r="G191" s="1"/>
      <c r="I191" s="1"/>
      <c r="J191" s="1"/>
      <c r="R191" s="52"/>
      <c r="S191" s="52"/>
      <c r="T191" s="52"/>
      <c r="U191" s="52"/>
      <c r="V191" s="52"/>
      <c r="W191" s="52"/>
      <c r="X191" s="52"/>
      <c r="Y191" s="896"/>
      <c r="Z191" s="52"/>
      <c r="AA191" s="51"/>
      <c r="AB191" s="51"/>
      <c r="AD191" s="1"/>
      <c r="AE191" s="1"/>
      <c r="AF191" s="1"/>
      <c r="AG191" s="1"/>
    </row>
    <row r="192" spans="2:33">
      <c r="B192" s="1"/>
      <c r="C192" s="9"/>
      <c r="F192" s="9"/>
      <c r="G192" s="1"/>
      <c r="I192" s="1"/>
      <c r="J192" s="1"/>
      <c r="R192" s="52"/>
      <c r="S192" s="52"/>
      <c r="T192" s="52"/>
      <c r="U192" s="52"/>
      <c r="V192" s="52"/>
      <c r="W192" s="52"/>
      <c r="X192" s="52"/>
      <c r="Y192" s="896"/>
      <c r="Z192" s="52"/>
      <c r="AA192" s="51"/>
      <c r="AB192" s="51"/>
      <c r="AD192" s="1"/>
      <c r="AE192" s="1"/>
      <c r="AF192" s="1"/>
      <c r="AG192" s="1"/>
    </row>
    <row r="193" spans="2:33">
      <c r="B193" s="1"/>
      <c r="C193" s="9"/>
      <c r="F193" s="9"/>
      <c r="G193" s="1"/>
      <c r="I193" s="1"/>
      <c r="J193" s="1"/>
      <c r="R193" s="52"/>
      <c r="S193" s="52"/>
      <c r="T193" s="52"/>
      <c r="U193" s="52"/>
      <c r="V193" s="52"/>
      <c r="W193" s="52"/>
      <c r="X193" s="52"/>
      <c r="Y193" s="896"/>
      <c r="Z193" s="52"/>
      <c r="AA193" s="51"/>
      <c r="AB193" s="51"/>
      <c r="AD193" s="1"/>
      <c r="AE193" s="1"/>
      <c r="AF193" s="1"/>
      <c r="AG193" s="1"/>
    </row>
    <row r="194" spans="2:33">
      <c r="B194" s="1"/>
      <c r="C194" s="9"/>
      <c r="F194" s="9"/>
      <c r="G194" s="1"/>
      <c r="I194" s="1"/>
      <c r="J194" s="1"/>
      <c r="R194" s="52"/>
      <c r="S194" s="52"/>
      <c r="T194" s="52"/>
      <c r="U194" s="52"/>
      <c r="V194" s="52"/>
      <c r="W194" s="52"/>
      <c r="X194" s="52"/>
      <c r="Y194" s="896"/>
      <c r="Z194" s="52"/>
      <c r="AA194" s="51"/>
      <c r="AB194" s="51"/>
      <c r="AD194" s="1"/>
      <c r="AE194" s="1"/>
      <c r="AF194" s="1"/>
      <c r="AG194" s="1"/>
    </row>
    <row r="195" spans="2:33">
      <c r="B195" s="1"/>
      <c r="C195" s="9"/>
      <c r="F195" s="9"/>
      <c r="G195" s="1"/>
      <c r="I195" s="1"/>
      <c r="J195" s="1"/>
      <c r="R195" s="52"/>
      <c r="S195" s="52"/>
      <c r="T195" s="52"/>
      <c r="U195" s="52"/>
      <c r="V195" s="52"/>
      <c r="W195" s="52"/>
      <c r="X195" s="52"/>
      <c r="Y195" s="896"/>
      <c r="Z195" s="52"/>
      <c r="AA195" s="51"/>
      <c r="AB195" s="51"/>
      <c r="AD195" s="1"/>
      <c r="AE195" s="1"/>
      <c r="AF195" s="1"/>
      <c r="AG195" s="1"/>
    </row>
    <row r="196" spans="2:33">
      <c r="B196" s="1"/>
      <c r="C196" s="9"/>
      <c r="F196" s="9"/>
      <c r="G196" s="1"/>
      <c r="I196" s="1"/>
      <c r="J196" s="1"/>
      <c r="R196" s="52"/>
      <c r="S196" s="52"/>
      <c r="T196" s="52"/>
      <c r="U196" s="52"/>
      <c r="V196" s="52"/>
      <c r="W196" s="52"/>
      <c r="X196" s="52"/>
      <c r="Y196" s="896"/>
      <c r="Z196" s="52"/>
      <c r="AA196" s="51"/>
      <c r="AB196" s="51"/>
      <c r="AD196" s="1"/>
      <c r="AE196" s="1"/>
      <c r="AF196" s="1"/>
      <c r="AG196" s="1"/>
    </row>
    <row r="197" spans="2:33">
      <c r="B197" s="1"/>
      <c r="C197" s="9"/>
      <c r="F197" s="9"/>
      <c r="G197" s="1"/>
      <c r="I197" s="1"/>
      <c r="J197" s="1"/>
      <c r="R197" s="52"/>
      <c r="S197" s="52"/>
      <c r="T197" s="52"/>
      <c r="U197" s="52"/>
      <c r="V197" s="52"/>
      <c r="W197" s="52"/>
      <c r="X197" s="52"/>
      <c r="Y197" s="896"/>
      <c r="Z197" s="52"/>
      <c r="AA197" s="51"/>
      <c r="AB197" s="51"/>
      <c r="AD197" s="1"/>
      <c r="AE197" s="1"/>
      <c r="AF197" s="1"/>
      <c r="AG197" s="1"/>
    </row>
    <row r="198" spans="2:33">
      <c r="B198" s="1"/>
      <c r="C198" s="9"/>
      <c r="F198" s="9"/>
      <c r="G198" s="1"/>
      <c r="I198" s="1"/>
      <c r="J198" s="1"/>
      <c r="R198" s="52"/>
      <c r="S198" s="52"/>
      <c r="T198" s="52"/>
      <c r="U198" s="52"/>
      <c r="V198" s="52"/>
      <c r="W198" s="52"/>
      <c r="X198" s="52"/>
      <c r="Y198" s="896"/>
      <c r="Z198" s="52"/>
      <c r="AA198" s="51"/>
      <c r="AB198" s="51"/>
      <c r="AD198" s="1"/>
      <c r="AE198" s="1"/>
      <c r="AF198" s="1"/>
      <c r="AG198" s="1"/>
    </row>
    <row r="199" spans="2:33">
      <c r="B199" s="1"/>
      <c r="C199" s="9"/>
      <c r="F199" s="9"/>
      <c r="G199" s="1"/>
      <c r="I199" s="1"/>
      <c r="J199" s="1"/>
      <c r="R199" s="52"/>
      <c r="S199" s="52"/>
      <c r="T199" s="52"/>
      <c r="U199" s="52"/>
      <c r="V199" s="52"/>
      <c r="W199" s="52"/>
      <c r="X199" s="52"/>
      <c r="Y199" s="896"/>
      <c r="Z199" s="52"/>
      <c r="AA199" s="51"/>
      <c r="AB199" s="51"/>
      <c r="AD199" s="1"/>
      <c r="AE199" s="1"/>
      <c r="AF199" s="1"/>
      <c r="AG199" s="1"/>
    </row>
    <row r="200" spans="2:33">
      <c r="B200" s="1"/>
      <c r="C200" s="9"/>
      <c r="F200" s="9"/>
      <c r="G200" s="1"/>
      <c r="I200" s="1"/>
      <c r="J200" s="1"/>
      <c r="R200" s="52"/>
      <c r="S200" s="52"/>
      <c r="T200" s="52"/>
      <c r="U200" s="52"/>
      <c r="V200" s="52"/>
      <c r="W200" s="52"/>
      <c r="X200" s="52"/>
      <c r="Y200" s="896"/>
      <c r="Z200" s="52"/>
      <c r="AA200" s="51"/>
      <c r="AB200" s="51"/>
      <c r="AD200" s="1"/>
      <c r="AE200" s="1"/>
      <c r="AF200" s="1"/>
      <c r="AG200" s="1"/>
    </row>
    <row r="201" spans="2:33">
      <c r="B201" s="1"/>
      <c r="C201" s="9"/>
      <c r="F201" s="9"/>
      <c r="G201" s="1"/>
      <c r="I201" s="1"/>
      <c r="J201" s="1"/>
      <c r="R201" s="52"/>
      <c r="S201" s="52"/>
      <c r="T201" s="52"/>
      <c r="U201" s="52"/>
      <c r="V201" s="52"/>
      <c r="W201" s="52"/>
      <c r="X201" s="52"/>
      <c r="Y201" s="896"/>
      <c r="Z201" s="52"/>
      <c r="AA201" s="51"/>
      <c r="AB201" s="51"/>
      <c r="AD201" s="1"/>
      <c r="AE201" s="1"/>
      <c r="AF201" s="1"/>
      <c r="AG201" s="1"/>
    </row>
    <row r="202" spans="2:33">
      <c r="B202" s="1"/>
      <c r="C202" s="9"/>
      <c r="F202" s="9"/>
      <c r="G202" s="1"/>
      <c r="I202" s="1"/>
      <c r="J202" s="1"/>
      <c r="R202" s="52"/>
      <c r="S202" s="52"/>
      <c r="T202" s="52"/>
      <c r="U202" s="52"/>
      <c r="V202" s="52"/>
      <c r="W202" s="52"/>
      <c r="X202" s="52"/>
      <c r="Y202" s="896"/>
      <c r="Z202" s="52"/>
      <c r="AA202" s="51"/>
      <c r="AB202" s="51"/>
      <c r="AD202" s="1"/>
      <c r="AE202" s="1"/>
      <c r="AF202" s="1"/>
      <c r="AG202" s="1"/>
    </row>
    <row r="203" spans="2:33">
      <c r="B203" s="1"/>
      <c r="C203" s="9"/>
      <c r="F203" s="9"/>
      <c r="G203" s="1"/>
      <c r="I203" s="1"/>
      <c r="J203" s="1"/>
      <c r="R203" s="52"/>
      <c r="S203" s="52"/>
      <c r="T203" s="52"/>
      <c r="U203" s="52"/>
      <c r="V203" s="52"/>
      <c r="W203" s="52"/>
      <c r="X203" s="52"/>
      <c r="Y203" s="896"/>
      <c r="Z203" s="52"/>
      <c r="AA203" s="51"/>
      <c r="AB203" s="51"/>
      <c r="AD203" s="1"/>
      <c r="AE203" s="1"/>
      <c r="AF203" s="1"/>
      <c r="AG203" s="1"/>
    </row>
    <row r="204" spans="2:33">
      <c r="B204" s="1"/>
      <c r="C204" s="9"/>
      <c r="F204" s="9"/>
      <c r="G204" s="1"/>
      <c r="I204" s="1"/>
      <c r="J204" s="1"/>
      <c r="R204" s="52"/>
      <c r="S204" s="52"/>
      <c r="T204" s="52"/>
      <c r="U204" s="52"/>
      <c r="V204" s="52"/>
      <c r="W204" s="52"/>
      <c r="X204" s="52"/>
      <c r="Y204" s="896"/>
      <c r="Z204" s="52"/>
      <c r="AA204" s="51"/>
      <c r="AB204" s="51"/>
      <c r="AD204" s="1"/>
      <c r="AE204" s="1"/>
      <c r="AF204" s="1"/>
      <c r="AG204" s="1"/>
    </row>
    <row r="205" spans="2:33">
      <c r="B205" s="1"/>
      <c r="C205" s="9"/>
      <c r="F205" s="9"/>
      <c r="G205" s="1"/>
      <c r="I205" s="1"/>
      <c r="J205" s="1"/>
      <c r="R205" s="52"/>
      <c r="S205" s="52"/>
      <c r="T205" s="52"/>
      <c r="U205" s="52"/>
      <c r="V205" s="52"/>
      <c r="W205" s="52"/>
      <c r="X205" s="52"/>
      <c r="Y205" s="896"/>
      <c r="Z205" s="52"/>
      <c r="AA205" s="51"/>
      <c r="AB205" s="51"/>
      <c r="AD205" s="1"/>
      <c r="AE205" s="1"/>
      <c r="AF205" s="1"/>
      <c r="AG205" s="1"/>
    </row>
    <row r="206" spans="2:33">
      <c r="B206" s="1"/>
      <c r="C206" s="9"/>
      <c r="F206" s="9"/>
      <c r="G206" s="1"/>
      <c r="I206" s="1"/>
      <c r="J206" s="1"/>
      <c r="R206" s="52"/>
      <c r="S206" s="52"/>
      <c r="T206" s="52"/>
      <c r="U206" s="52"/>
      <c r="V206" s="52"/>
      <c r="W206" s="52"/>
      <c r="X206" s="52"/>
      <c r="Y206" s="896"/>
      <c r="Z206" s="52"/>
      <c r="AA206" s="51"/>
      <c r="AB206" s="51"/>
      <c r="AD206" s="1"/>
      <c r="AE206" s="1"/>
      <c r="AF206" s="1"/>
      <c r="AG206" s="1"/>
    </row>
    <row r="207" spans="2:33">
      <c r="B207" s="1"/>
      <c r="C207" s="9"/>
      <c r="F207" s="9"/>
      <c r="G207" s="1"/>
      <c r="I207" s="1"/>
      <c r="J207" s="1"/>
      <c r="R207" s="52"/>
      <c r="S207" s="52"/>
      <c r="T207" s="52"/>
      <c r="U207" s="52"/>
      <c r="V207" s="52"/>
      <c r="W207" s="52"/>
      <c r="X207" s="52"/>
      <c r="Y207" s="896"/>
      <c r="Z207" s="52"/>
      <c r="AA207" s="51"/>
      <c r="AB207" s="51"/>
      <c r="AD207" s="1"/>
      <c r="AE207" s="1"/>
      <c r="AF207" s="1"/>
      <c r="AG207" s="1"/>
    </row>
    <row r="208" spans="2:33">
      <c r="B208" s="1"/>
      <c r="C208" s="9"/>
      <c r="F208" s="9"/>
      <c r="G208" s="1"/>
      <c r="I208" s="1"/>
      <c r="J208" s="1"/>
      <c r="R208" s="52"/>
      <c r="S208" s="52"/>
      <c r="T208" s="52"/>
      <c r="U208" s="52"/>
      <c r="V208" s="52"/>
      <c r="W208" s="52"/>
      <c r="X208" s="52"/>
      <c r="Y208" s="896"/>
      <c r="Z208" s="52"/>
      <c r="AA208" s="51"/>
      <c r="AB208" s="51"/>
      <c r="AD208" s="1"/>
      <c r="AE208" s="1"/>
      <c r="AF208" s="1"/>
      <c r="AG208" s="1"/>
    </row>
    <row r="209" spans="2:33">
      <c r="B209" s="1"/>
      <c r="C209" s="9"/>
      <c r="F209" s="9"/>
      <c r="G209" s="1"/>
      <c r="I209" s="1"/>
      <c r="J209" s="1"/>
      <c r="R209" s="52"/>
      <c r="S209" s="52"/>
      <c r="T209" s="52"/>
      <c r="U209" s="52"/>
      <c r="V209" s="52"/>
      <c r="W209" s="52"/>
      <c r="X209" s="52"/>
      <c r="Y209" s="896"/>
      <c r="Z209" s="52"/>
      <c r="AA209" s="51"/>
      <c r="AB209" s="51"/>
      <c r="AD209" s="1"/>
      <c r="AE209" s="1"/>
      <c r="AF209" s="1"/>
      <c r="AG209" s="1"/>
    </row>
    <row r="210" spans="2:33">
      <c r="B210" s="1"/>
      <c r="C210" s="9"/>
      <c r="F210" s="9"/>
      <c r="G210" s="1"/>
      <c r="I210" s="1"/>
      <c r="J210" s="1"/>
      <c r="R210" s="52"/>
      <c r="S210" s="52"/>
      <c r="T210" s="52"/>
      <c r="U210" s="52"/>
      <c r="V210" s="52"/>
      <c r="W210" s="52"/>
      <c r="X210" s="52"/>
      <c r="Y210" s="896"/>
      <c r="Z210" s="52"/>
      <c r="AA210" s="51"/>
      <c r="AB210" s="51"/>
      <c r="AD210" s="1"/>
      <c r="AE210" s="1"/>
      <c r="AF210" s="1"/>
      <c r="AG210" s="1"/>
    </row>
    <row r="211" spans="2:33">
      <c r="B211" s="1"/>
      <c r="C211" s="9"/>
      <c r="F211" s="9"/>
      <c r="G211" s="1"/>
      <c r="I211" s="1"/>
      <c r="J211" s="1"/>
      <c r="R211" s="52"/>
      <c r="S211" s="52"/>
      <c r="T211" s="52"/>
      <c r="U211" s="52"/>
      <c r="V211" s="52"/>
      <c r="W211" s="52"/>
      <c r="X211" s="52"/>
      <c r="Y211" s="896"/>
      <c r="Z211" s="52"/>
      <c r="AA211" s="51"/>
      <c r="AB211" s="51"/>
      <c r="AD211" s="1"/>
      <c r="AE211" s="1"/>
      <c r="AF211" s="1"/>
      <c r="AG211" s="1"/>
    </row>
    <row r="212" spans="2:33">
      <c r="B212" s="1"/>
      <c r="C212" s="9"/>
      <c r="F212" s="9"/>
      <c r="G212" s="1"/>
      <c r="I212" s="1"/>
      <c r="J212" s="1"/>
      <c r="R212" s="52"/>
      <c r="S212" s="52"/>
      <c r="T212" s="52"/>
      <c r="U212" s="52"/>
      <c r="V212" s="52"/>
      <c r="W212" s="52"/>
      <c r="X212" s="52"/>
      <c r="Y212" s="896"/>
      <c r="Z212" s="52"/>
      <c r="AA212" s="51"/>
      <c r="AB212" s="51"/>
      <c r="AD212" s="1"/>
      <c r="AE212" s="1"/>
      <c r="AF212" s="1"/>
      <c r="AG212" s="1"/>
    </row>
    <row r="213" spans="2:33">
      <c r="B213" s="1"/>
      <c r="C213" s="9"/>
      <c r="F213" s="9"/>
      <c r="G213" s="1"/>
      <c r="I213" s="1"/>
      <c r="J213" s="1"/>
      <c r="R213" s="52"/>
      <c r="S213" s="52"/>
      <c r="T213" s="52"/>
      <c r="U213" s="52"/>
      <c r="V213" s="52"/>
      <c r="W213" s="52"/>
      <c r="X213" s="52"/>
      <c r="Y213" s="896"/>
      <c r="Z213" s="52"/>
      <c r="AA213" s="51"/>
      <c r="AB213" s="51"/>
      <c r="AD213"/>
      <c r="AE213"/>
    </row>
    <row r="214" spans="2:33">
      <c r="B214" s="1"/>
      <c r="C214" s="9"/>
      <c r="F214" s="9"/>
      <c r="G214" s="1"/>
      <c r="I214" s="1"/>
      <c r="J214" s="1"/>
      <c r="R214" s="52"/>
      <c r="S214" s="52"/>
      <c r="T214" s="52"/>
      <c r="U214" s="52"/>
      <c r="V214" s="52"/>
      <c r="W214" s="52"/>
      <c r="X214" s="52"/>
      <c r="Y214" s="896"/>
      <c r="Z214" s="52"/>
      <c r="AA214" s="51"/>
      <c r="AB214" s="51"/>
      <c r="AD214"/>
      <c r="AE214"/>
    </row>
    <row r="215" spans="2:33">
      <c r="B215" s="1"/>
      <c r="C215" s="9"/>
      <c r="F215" s="9"/>
      <c r="G215" s="1"/>
      <c r="I215" s="1"/>
      <c r="J215" s="1"/>
      <c r="R215" s="52"/>
      <c r="S215" s="52"/>
      <c r="T215" s="52"/>
      <c r="U215" s="52"/>
      <c r="V215" s="52"/>
      <c r="W215" s="52"/>
      <c r="X215" s="52"/>
      <c r="Y215" s="896"/>
      <c r="Z215" s="52"/>
      <c r="AA215" s="51"/>
      <c r="AB215" s="51"/>
      <c r="AD215"/>
      <c r="AE215"/>
    </row>
    <row r="216" spans="2:33">
      <c r="B216" s="1"/>
      <c r="C216" s="9"/>
      <c r="F216" s="9"/>
      <c r="G216" s="1"/>
      <c r="I216" s="1"/>
      <c r="J216" s="1"/>
      <c r="R216" s="52"/>
      <c r="S216" s="52"/>
      <c r="T216" s="52"/>
      <c r="U216" s="52"/>
      <c r="V216" s="52"/>
      <c r="W216" s="52"/>
      <c r="X216" s="52"/>
      <c r="Y216" s="896"/>
      <c r="Z216" s="52"/>
      <c r="AA216" s="51"/>
      <c r="AB216" s="51"/>
      <c r="AD216"/>
      <c r="AE216"/>
    </row>
  </sheetData>
  <sheetProtection algorithmName="SHA-512" hashValue="jBV6Kzn+BsJK7EDRiFFSt3b3V8Fn1diFGR6475BVX58RskhMMthOQvuaop+IS/Gp46htCOGOl/dVFIDz5QK45Q==" saltValue="MKBvoWeIajU1621C2Y0WiQ==" spinCount="100000" sheet="1" objects="1" formatRows="0"/>
  <mergeCells count="141">
    <mergeCell ref="AO1:AT1"/>
    <mergeCell ref="AJ6:AL7"/>
    <mergeCell ref="AM6:AR7"/>
    <mergeCell ref="AK45:AK47"/>
    <mergeCell ref="AL45:AL47"/>
    <mergeCell ref="AF4:AG4"/>
    <mergeCell ref="L89:M89"/>
    <mergeCell ref="N89:O89"/>
    <mergeCell ref="AM45:AM47"/>
    <mergeCell ref="AK18:AK20"/>
    <mergeCell ref="N1:O1"/>
    <mergeCell ref="Q6:Q7"/>
    <mergeCell ref="AD1:AG1"/>
    <mergeCell ref="AD2:AE2"/>
    <mergeCell ref="T6:T7"/>
    <mergeCell ref="AF2:AG2"/>
    <mergeCell ref="AD6:AE6"/>
    <mergeCell ref="AF6:AG6"/>
    <mergeCell ref="AD7:AE7"/>
    <mergeCell ref="AF7:AG7"/>
    <mergeCell ref="AD4:AE4"/>
    <mergeCell ref="AN45:AN47"/>
    <mergeCell ref="AQ45:AQ47"/>
    <mergeCell ref="AO45:AO47"/>
    <mergeCell ref="L1:M1"/>
    <mergeCell ref="B31:C31"/>
    <mergeCell ref="B37:C37"/>
    <mergeCell ref="B13:C13"/>
    <mergeCell ref="B79:C79"/>
    <mergeCell ref="E80:K80"/>
    <mergeCell ref="B5:H5"/>
    <mergeCell ref="B19:C19"/>
    <mergeCell ref="B25:C25"/>
    <mergeCell ref="G6:G7"/>
    <mergeCell ref="H6:H7"/>
    <mergeCell ref="L91:M91"/>
    <mergeCell ref="N91:O91"/>
    <mergeCell ref="L92:M92"/>
    <mergeCell ref="N92:O92"/>
    <mergeCell ref="I90:K90"/>
    <mergeCell ref="I92:K92"/>
    <mergeCell ref="H81:I81"/>
    <mergeCell ref="I86:K86"/>
    <mergeCell ref="B85:F85"/>
    <mergeCell ref="I82:K82"/>
    <mergeCell ref="J81:K81"/>
    <mergeCell ref="H87:K87"/>
    <mergeCell ref="L83:M83"/>
    <mergeCell ref="N83:O83"/>
    <mergeCell ref="L86:O86"/>
    <mergeCell ref="B82:H82"/>
    <mergeCell ref="F81:G81"/>
    <mergeCell ref="B81:C81"/>
    <mergeCell ref="L87:M87"/>
    <mergeCell ref="N87:O87"/>
    <mergeCell ref="BE5:BF5"/>
    <mergeCell ref="J6:J7"/>
    <mergeCell ref="I3:J3"/>
    <mergeCell ref="B4:C4"/>
    <mergeCell ref="K6:K7"/>
    <mergeCell ref="D3:F3"/>
    <mergeCell ref="BV6:BW7"/>
    <mergeCell ref="BG7:BH7"/>
    <mergeCell ref="B2:H2"/>
    <mergeCell ref="I2:J2"/>
    <mergeCell ref="B3:C3"/>
    <mergeCell ref="AB6:AB7"/>
    <mergeCell ref="G3:H3"/>
    <mergeCell ref="D4:H4"/>
    <mergeCell ref="I4:K4"/>
    <mergeCell ref="I5:K5"/>
    <mergeCell ref="L6:M6"/>
    <mergeCell ref="N6:O6"/>
    <mergeCell ref="B6:B7"/>
    <mergeCell ref="C6:C7"/>
    <mergeCell ref="D6:D7"/>
    <mergeCell ref="F6:F7"/>
    <mergeCell ref="BE73:BH74"/>
    <mergeCell ref="BE59:BG59"/>
    <mergeCell ref="BE61:BG61"/>
    <mergeCell ref="BE68:BH68"/>
    <mergeCell ref="BD29:BD37"/>
    <mergeCell ref="BE62:BG62"/>
    <mergeCell ref="BE66:BG66"/>
    <mergeCell ref="BE58:BG58"/>
    <mergeCell ref="BE57:BG57"/>
    <mergeCell ref="BE54:BH54"/>
    <mergeCell ref="DG6:DH6"/>
    <mergeCell ref="CN6:CN7"/>
    <mergeCell ref="CO6:CO7"/>
    <mergeCell ref="CU6:CV6"/>
    <mergeCell ref="CS6:CT6"/>
    <mergeCell ref="DC6:DC7"/>
    <mergeCell ref="DF6:DF7"/>
    <mergeCell ref="BE70:BH70"/>
    <mergeCell ref="BE71:BH71"/>
    <mergeCell ref="CL6:CL7"/>
    <mergeCell ref="ER5:ES6"/>
    <mergeCell ref="EM5:EO5"/>
    <mergeCell ref="EG5:EL5"/>
    <mergeCell ref="DW6:DX6"/>
    <mergeCell ref="DU6:DV6"/>
    <mergeCell ref="DI6:DJ6"/>
    <mergeCell ref="DT6:DT7"/>
    <mergeCell ref="EP6:EP7"/>
    <mergeCell ref="EO6:EO7"/>
    <mergeCell ref="EN6:EN7"/>
    <mergeCell ref="AO9:AO11"/>
    <mergeCell ref="AK13:AK16"/>
    <mergeCell ref="AJ12:AJ20"/>
    <mergeCell ref="AT6:AT7"/>
    <mergeCell ref="AZ45:AZ47"/>
    <mergeCell ref="BF9:BH9"/>
    <mergeCell ref="BF10:BH10"/>
    <mergeCell ref="BD19:BD27"/>
    <mergeCell ref="BF6:BF7"/>
    <mergeCell ref="AS45:AS47"/>
    <mergeCell ref="BY2:CG2"/>
    <mergeCell ref="U6:U7"/>
    <mergeCell ref="AR8:AR11"/>
    <mergeCell ref="A42:A80"/>
    <mergeCell ref="B43:C43"/>
    <mergeCell ref="B67:C67"/>
    <mergeCell ref="B80:D80"/>
    <mergeCell ref="B61:C61"/>
    <mergeCell ref="B73:C73"/>
    <mergeCell ref="B55:C55"/>
    <mergeCell ref="B49:C49"/>
    <mergeCell ref="AR45:AR47"/>
    <mergeCell ref="E6:E7"/>
    <mergeCell ref="BE4:BF4"/>
    <mergeCell ref="BD12:BD17"/>
    <mergeCell ref="BD9:BD11"/>
    <mergeCell ref="AJ8:AJ11"/>
    <mergeCell ref="AK8:AK11"/>
    <mergeCell ref="AL8:AL11"/>
    <mergeCell ref="AM8:AO8"/>
    <mergeCell ref="AQ8:AQ11"/>
    <mergeCell ref="AT8:AT11"/>
    <mergeCell ref="AM9:AM11"/>
    <mergeCell ref="AN9:AN11"/>
  </mergeCells>
  <phoneticPr fontId="15" type="noConversion"/>
  <conditionalFormatting sqref="AN18:AP20 L14:O18 M13 L20:O24 M19 L26:O30 M25 L32:O36 M31 L38:O42 M37 L44:O48 M43 L50:O54 M49 L56:O60 M55 L62:O66 M61 M67 O13 O19 O67 O61 O55 O49 O43 O37 O31 O25 M73 O73 M79 O79 AN13:AP16 L8:O12 O81 M81 L68:O72 L74:O78">
    <cfRule type="expression" dxfId="833" priority="763" stopIfTrue="1">
      <formula>$BE$3=2</formula>
    </cfRule>
  </conditionalFormatting>
  <conditionalFormatting sqref="B83">
    <cfRule type="expression" dxfId="832" priority="725" stopIfTrue="1">
      <formula>$Q$97=0</formula>
    </cfRule>
  </conditionalFormatting>
  <conditionalFormatting sqref="B13">
    <cfRule type="expression" dxfId="831" priority="723" stopIfTrue="1">
      <formula>$B8=$B14</formula>
    </cfRule>
  </conditionalFormatting>
  <conditionalFormatting sqref="M13 O13">
    <cfRule type="expression" dxfId="830" priority="710" stopIfTrue="1">
      <formula>$B8=$B14</formula>
    </cfRule>
  </conditionalFormatting>
  <conditionalFormatting sqref="M19 O19">
    <cfRule type="expression" dxfId="829" priority="709" stopIfTrue="1">
      <formula>$B14=$B20</formula>
    </cfRule>
  </conditionalFormatting>
  <conditionalFormatting sqref="M25 O25">
    <cfRule type="expression" dxfId="828" priority="708" stopIfTrue="1">
      <formula>$B20=$B26</formula>
    </cfRule>
  </conditionalFormatting>
  <conditionalFormatting sqref="M31 O31">
    <cfRule type="expression" dxfId="827" priority="707" stopIfTrue="1">
      <formula>$B26=$B32</formula>
    </cfRule>
  </conditionalFormatting>
  <conditionalFormatting sqref="M37 O37">
    <cfRule type="expression" dxfId="826" priority="706" stopIfTrue="1">
      <formula>$B32=$B38</formula>
    </cfRule>
  </conditionalFormatting>
  <conditionalFormatting sqref="M43 O43">
    <cfRule type="expression" dxfId="825" priority="705" stopIfTrue="1">
      <formula>$B38=$B44</formula>
    </cfRule>
  </conditionalFormatting>
  <conditionalFormatting sqref="M49 O49">
    <cfRule type="expression" dxfId="824" priority="704" stopIfTrue="1">
      <formula>$B44=$B50</formula>
    </cfRule>
  </conditionalFormatting>
  <conditionalFormatting sqref="M55 O55">
    <cfRule type="expression" dxfId="823" priority="703" stopIfTrue="1">
      <formula>$B50=$B56</formula>
    </cfRule>
  </conditionalFormatting>
  <conditionalFormatting sqref="M61 O61">
    <cfRule type="expression" dxfId="822" priority="702" stopIfTrue="1">
      <formula>$B56=$B62</formula>
    </cfRule>
  </conditionalFormatting>
  <conditionalFormatting sqref="J13">
    <cfRule type="expression" dxfId="821" priority="615" stopIfTrue="1">
      <formula>$B8=$B14</formula>
    </cfRule>
  </conditionalFormatting>
  <conditionalFormatting sqref="J13">
    <cfRule type="expression" dxfId="820" priority="695" stopIfTrue="1">
      <formula>$M13=0</formula>
    </cfRule>
  </conditionalFormatting>
  <conditionalFormatting sqref="J19">
    <cfRule type="expression" dxfId="819" priority="599" stopIfTrue="1">
      <formula>$B14=$B20</formula>
    </cfRule>
  </conditionalFormatting>
  <conditionalFormatting sqref="J19">
    <cfRule type="expression" dxfId="818" priority="600" stopIfTrue="1">
      <formula>$M19=0</formula>
    </cfRule>
  </conditionalFormatting>
  <conditionalFormatting sqref="J25">
    <cfRule type="expression" dxfId="817" priority="597" stopIfTrue="1">
      <formula>$B20=$B26</formula>
    </cfRule>
  </conditionalFormatting>
  <conditionalFormatting sqref="J25">
    <cfRule type="expression" dxfId="816" priority="598" stopIfTrue="1">
      <formula>$M25=0</formula>
    </cfRule>
  </conditionalFormatting>
  <conditionalFormatting sqref="J31">
    <cfRule type="expression" dxfId="815" priority="595" stopIfTrue="1">
      <formula>$B26=$B32</formula>
    </cfRule>
  </conditionalFormatting>
  <conditionalFormatting sqref="J31">
    <cfRule type="expression" dxfId="814" priority="596" stopIfTrue="1">
      <formula>$M31=0</formula>
    </cfRule>
  </conditionalFormatting>
  <conditionalFormatting sqref="J37">
    <cfRule type="expression" dxfId="813" priority="593" stopIfTrue="1">
      <formula>$B32=$B38</formula>
    </cfRule>
  </conditionalFormatting>
  <conditionalFormatting sqref="J37">
    <cfRule type="expression" dxfId="812" priority="594" stopIfTrue="1">
      <formula>$M37=0</formula>
    </cfRule>
  </conditionalFormatting>
  <conditionalFormatting sqref="J43">
    <cfRule type="expression" dxfId="811" priority="591" stopIfTrue="1">
      <formula>$B38=$B44</formula>
    </cfRule>
  </conditionalFormatting>
  <conditionalFormatting sqref="J43">
    <cfRule type="expression" dxfId="810" priority="592" stopIfTrue="1">
      <formula>$M43=0</formula>
    </cfRule>
  </conditionalFormatting>
  <conditionalFormatting sqref="J49">
    <cfRule type="expression" dxfId="809" priority="589" stopIfTrue="1">
      <formula>$B44=$B50</formula>
    </cfRule>
  </conditionalFormatting>
  <conditionalFormatting sqref="J49">
    <cfRule type="expression" dxfId="808" priority="590" stopIfTrue="1">
      <formula>$M49=0</formula>
    </cfRule>
  </conditionalFormatting>
  <conditionalFormatting sqref="J55">
    <cfRule type="expression" dxfId="807" priority="587" stopIfTrue="1">
      <formula>$B50=$B56</formula>
    </cfRule>
  </conditionalFormatting>
  <conditionalFormatting sqref="J55">
    <cfRule type="expression" dxfId="806" priority="588" stopIfTrue="1">
      <formula>$M55=0</formula>
    </cfRule>
  </conditionalFormatting>
  <conditionalFormatting sqref="J61">
    <cfRule type="expression" dxfId="805" priority="585" stopIfTrue="1">
      <formula>$B56=$B62</formula>
    </cfRule>
  </conditionalFormatting>
  <conditionalFormatting sqref="J61">
    <cfRule type="expression" dxfId="804" priority="586" stopIfTrue="1">
      <formula>$M61=0</formula>
    </cfRule>
  </conditionalFormatting>
  <conditionalFormatting sqref="J67">
    <cfRule type="expression" dxfId="803" priority="583" stopIfTrue="1">
      <formula>$B62=$B68</formula>
    </cfRule>
  </conditionalFormatting>
  <conditionalFormatting sqref="J67">
    <cfRule type="expression" dxfId="802" priority="584" stopIfTrue="1">
      <formula>$M67=0</formula>
    </cfRule>
  </conditionalFormatting>
  <conditionalFormatting sqref="J73">
    <cfRule type="expression" dxfId="801" priority="581" stopIfTrue="1">
      <formula>$B68=$B74</formula>
    </cfRule>
  </conditionalFormatting>
  <conditionalFormatting sqref="J73">
    <cfRule type="expression" dxfId="800" priority="582" stopIfTrue="1">
      <formula>$M73=0</formula>
    </cfRule>
  </conditionalFormatting>
  <conditionalFormatting sqref="J79">
    <cfRule type="expression" dxfId="799" priority="579" stopIfTrue="1">
      <formula>$B74=$B80</formula>
    </cfRule>
  </conditionalFormatting>
  <conditionalFormatting sqref="J79">
    <cfRule type="expression" dxfId="798" priority="580" stopIfTrue="1">
      <formula>$M79=0</formula>
    </cfRule>
  </conditionalFormatting>
  <conditionalFormatting sqref="L88">
    <cfRule type="expression" dxfId="797" priority="566" stopIfTrue="1">
      <formula>$L$90&lt;$L$92</formula>
    </cfRule>
  </conditionalFormatting>
  <conditionalFormatting sqref="N88">
    <cfRule type="expression" dxfId="796" priority="565" stopIfTrue="1">
      <formula>$N$90&lt;$N$92</formula>
    </cfRule>
  </conditionalFormatting>
  <conditionalFormatting sqref="L90">
    <cfRule type="expression" dxfId="795" priority="564" stopIfTrue="1">
      <formula>$L$90&lt;$L$92</formula>
    </cfRule>
  </conditionalFormatting>
  <conditionalFormatting sqref="N90">
    <cfRule type="expression" dxfId="794" priority="563" stopIfTrue="1">
      <formula>$N$90&lt;$N$92</formula>
    </cfRule>
  </conditionalFormatting>
  <conditionalFormatting sqref="M90">
    <cfRule type="expression" dxfId="793" priority="567" stopIfTrue="1">
      <formula>$M$90&lt;$L$92</formula>
    </cfRule>
  </conditionalFormatting>
  <conditionalFormatting sqref="O90">
    <cfRule type="expression" dxfId="792" priority="568" stopIfTrue="1">
      <formula>$O$90&lt;$N$92</formula>
    </cfRule>
  </conditionalFormatting>
  <conditionalFormatting sqref="O88">
    <cfRule type="expression" dxfId="791" priority="569" stopIfTrue="1">
      <formula>$O$90&lt;$N$92</formula>
    </cfRule>
  </conditionalFormatting>
  <conditionalFormatting sqref="M88">
    <cfRule type="expression" dxfId="790" priority="570" stopIfTrue="1">
      <formula>$M$90&lt;$L$92</formula>
    </cfRule>
  </conditionalFormatting>
  <conditionalFormatting sqref="I90:K90">
    <cfRule type="expression" dxfId="789" priority="562" stopIfTrue="1">
      <formula>$I$90="External Line Totals Not Reached"</formula>
    </cfRule>
  </conditionalFormatting>
  <conditionalFormatting sqref="AD3">
    <cfRule type="expression" dxfId="788" priority="557" stopIfTrue="1">
      <formula>$AD$5&lt;$AD$7</formula>
    </cfRule>
  </conditionalFormatting>
  <conditionalFormatting sqref="AF3">
    <cfRule type="expression" dxfId="787" priority="556" stopIfTrue="1">
      <formula>$AF$5&lt;$AF$7</formula>
    </cfRule>
  </conditionalFormatting>
  <conditionalFormatting sqref="AG3">
    <cfRule type="expression" dxfId="786" priority="560" stopIfTrue="1">
      <formula>$AG$5&lt;$AF$7</formula>
    </cfRule>
  </conditionalFormatting>
  <conditionalFormatting sqref="AE3">
    <cfRule type="expression" dxfId="785" priority="561" stopIfTrue="1">
      <formula>$AE$5&lt;$AD$7</formula>
    </cfRule>
  </conditionalFormatting>
  <conditionalFormatting sqref="B19">
    <cfRule type="expression" dxfId="784" priority="553" stopIfTrue="1">
      <formula>$B14=$B20</formula>
    </cfRule>
  </conditionalFormatting>
  <conditionalFormatting sqref="B25">
    <cfRule type="expression" dxfId="783" priority="552" stopIfTrue="1">
      <formula>$B20=$B26</formula>
    </cfRule>
  </conditionalFormatting>
  <conditionalFormatting sqref="B31">
    <cfRule type="expression" dxfId="782" priority="551" stopIfTrue="1">
      <formula>$B26=$B32</formula>
    </cfRule>
  </conditionalFormatting>
  <conditionalFormatting sqref="B37">
    <cfRule type="expression" dxfId="781" priority="550" stopIfTrue="1">
      <formula>$B32=$B38</formula>
    </cfRule>
  </conditionalFormatting>
  <conditionalFormatting sqref="B43">
    <cfRule type="expression" dxfId="780" priority="549" stopIfTrue="1">
      <formula>$B38=$B44</formula>
    </cfRule>
  </conditionalFormatting>
  <conditionalFormatting sqref="B49">
    <cfRule type="expression" dxfId="779" priority="548" stopIfTrue="1">
      <formula>$B44=$B50</formula>
    </cfRule>
  </conditionalFormatting>
  <conditionalFormatting sqref="B55">
    <cfRule type="expression" dxfId="778" priority="547" stopIfTrue="1">
      <formula>$B50=$B56</formula>
    </cfRule>
  </conditionalFormatting>
  <conditionalFormatting sqref="B61">
    <cfRule type="expression" dxfId="777" priority="546" stopIfTrue="1">
      <formula>$B56=$B62</formula>
    </cfRule>
  </conditionalFormatting>
  <conditionalFormatting sqref="B67">
    <cfRule type="expression" dxfId="776" priority="545" stopIfTrue="1">
      <formula>$B62=$B68</formula>
    </cfRule>
  </conditionalFormatting>
  <conditionalFormatting sqref="B73">
    <cfRule type="expression" dxfId="775" priority="544" stopIfTrue="1">
      <formula>$B68=$B74</formula>
    </cfRule>
  </conditionalFormatting>
  <conditionalFormatting sqref="B79">
    <cfRule type="expression" dxfId="774" priority="543" stopIfTrue="1">
      <formula>$B74=$B80</formula>
    </cfRule>
  </conditionalFormatting>
  <conditionalFormatting sqref="AT67">
    <cfRule type="expression" dxfId="773" priority="542">
      <formula>$AK67="E"</formula>
    </cfRule>
  </conditionalFormatting>
  <conditionalFormatting sqref="AT57">
    <cfRule type="expression" dxfId="772" priority="532">
      <formula>$AK57="E"</formula>
    </cfRule>
  </conditionalFormatting>
  <conditionalFormatting sqref="AT58">
    <cfRule type="expression" dxfId="771" priority="531">
      <formula>$AK58="E"</formula>
    </cfRule>
  </conditionalFormatting>
  <conditionalFormatting sqref="AT59">
    <cfRule type="expression" dxfId="770" priority="530">
      <formula>$AK59="E"</formula>
    </cfRule>
  </conditionalFormatting>
  <conditionalFormatting sqref="AT60">
    <cfRule type="expression" dxfId="769" priority="529">
      <formula>$AK60="E"</formula>
    </cfRule>
  </conditionalFormatting>
  <conditionalFormatting sqref="AT61">
    <cfRule type="expression" dxfId="768" priority="528">
      <formula>$AK61="E"</formula>
    </cfRule>
  </conditionalFormatting>
  <conditionalFormatting sqref="AT62">
    <cfRule type="expression" dxfId="767" priority="527">
      <formula>$AK62="E"</formula>
    </cfRule>
  </conditionalFormatting>
  <conditionalFormatting sqref="AT63">
    <cfRule type="expression" dxfId="766" priority="526">
      <formula>$AK63="E"</formula>
    </cfRule>
  </conditionalFormatting>
  <conditionalFormatting sqref="AT64">
    <cfRule type="expression" dxfId="765" priority="525">
      <formula>$AK64="E"</formula>
    </cfRule>
  </conditionalFormatting>
  <conditionalFormatting sqref="AT65">
    <cfRule type="expression" dxfId="764" priority="524">
      <formula>$AK65="E"</formula>
    </cfRule>
  </conditionalFormatting>
  <conditionalFormatting sqref="AT66">
    <cfRule type="expression" dxfId="763" priority="523">
      <formula>$AK66="E"</formula>
    </cfRule>
  </conditionalFormatting>
  <conditionalFormatting sqref="AN48:AO67">
    <cfRule type="expression" dxfId="762" priority="1003" stopIfTrue="1">
      <formula>$BF$3=2</formula>
    </cfRule>
  </conditionalFormatting>
  <conditionalFormatting sqref="H18">
    <cfRule type="expression" dxfId="761" priority="512" stopIfTrue="1">
      <formula>$ES18="Changed"</formula>
    </cfRule>
  </conditionalFormatting>
  <conditionalFormatting sqref="H20">
    <cfRule type="expression" dxfId="760" priority="511" stopIfTrue="1">
      <formula>$ES20="Changed"</formula>
    </cfRule>
  </conditionalFormatting>
  <conditionalFormatting sqref="H21">
    <cfRule type="expression" dxfId="759" priority="510" stopIfTrue="1">
      <formula>$ES21="Changed"</formula>
    </cfRule>
  </conditionalFormatting>
  <conditionalFormatting sqref="H14">
    <cfRule type="expression" dxfId="758" priority="516" stopIfTrue="1">
      <formula>$ES14="Changed"</formula>
    </cfRule>
  </conditionalFormatting>
  <conditionalFormatting sqref="H15">
    <cfRule type="expression" dxfId="757" priority="515" stopIfTrue="1">
      <formula>$ES15="Changed"</formula>
    </cfRule>
  </conditionalFormatting>
  <conditionalFormatting sqref="H16">
    <cfRule type="expression" dxfId="756" priority="514" stopIfTrue="1">
      <formula>$ES16="Changed"</formula>
    </cfRule>
  </conditionalFormatting>
  <conditionalFormatting sqref="H17">
    <cfRule type="expression" dxfId="755" priority="513" stopIfTrue="1">
      <formula>$ES17="Changed"</formula>
    </cfRule>
  </conditionalFormatting>
  <conditionalFormatting sqref="H22">
    <cfRule type="expression" dxfId="754" priority="509" stopIfTrue="1">
      <formula>$ES22="Changed"</formula>
    </cfRule>
  </conditionalFormatting>
  <conditionalFormatting sqref="H23">
    <cfRule type="expression" dxfId="753" priority="508" stopIfTrue="1">
      <formula>$ES23="Changed"</formula>
    </cfRule>
  </conditionalFormatting>
  <conditionalFormatting sqref="H24">
    <cfRule type="expression" dxfId="752" priority="507" stopIfTrue="1">
      <formula>$ES24="Changed"</formula>
    </cfRule>
  </conditionalFormatting>
  <conditionalFormatting sqref="H26">
    <cfRule type="expression" dxfId="751" priority="506" stopIfTrue="1">
      <formula>$ES26="Changed"</formula>
    </cfRule>
  </conditionalFormatting>
  <conditionalFormatting sqref="H27">
    <cfRule type="expression" dxfId="750" priority="505" stopIfTrue="1">
      <formula>$ES27="Changed"</formula>
    </cfRule>
  </conditionalFormatting>
  <conditionalFormatting sqref="H28">
    <cfRule type="expression" dxfId="749" priority="504" stopIfTrue="1">
      <formula>$ES28="Changed"</formula>
    </cfRule>
  </conditionalFormatting>
  <conditionalFormatting sqref="H29">
    <cfRule type="expression" dxfId="748" priority="503" stopIfTrue="1">
      <formula>$ES29="Changed"</formula>
    </cfRule>
  </conditionalFormatting>
  <conditionalFormatting sqref="H30">
    <cfRule type="expression" dxfId="747" priority="502" stopIfTrue="1">
      <formula>$ES30="Changed"</formula>
    </cfRule>
  </conditionalFormatting>
  <conditionalFormatting sqref="H32">
    <cfRule type="expression" dxfId="746" priority="501" stopIfTrue="1">
      <formula>$ES32="Changed"</formula>
    </cfRule>
  </conditionalFormatting>
  <conditionalFormatting sqref="H33">
    <cfRule type="expression" dxfId="745" priority="500" stopIfTrue="1">
      <formula>$ES33="Changed"</formula>
    </cfRule>
  </conditionalFormatting>
  <conditionalFormatting sqref="H34">
    <cfRule type="expression" dxfId="744" priority="499" stopIfTrue="1">
      <formula>$ES34="Changed"</formula>
    </cfRule>
  </conditionalFormatting>
  <conditionalFormatting sqref="H35">
    <cfRule type="expression" dxfId="743" priority="498" stopIfTrue="1">
      <formula>$ES35="Changed"</formula>
    </cfRule>
  </conditionalFormatting>
  <conditionalFormatting sqref="H36">
    <cfRule type="expression" dxfId="742" priority="497" stopIfTrue="1">
      <formula>$ES36="Changed"</formula>
    </cfRule>
  </conditionalFormatting>
  <conditionalFormatting sqref="H38">
    <cfRule type="expression" dxfId="741" priority="496" stopIfTrue="1">
      <formula>$ES38="Changed"</formula>
    </cfRule>
  </conditionalFormatting>
  <conditionalFormatting sqref="H39">
    <cfRule type="expression" dxfId="740" priority="495" stopIfTrue="1">
      <formula>$ES39="Changed"</formula>
    </cfRule>
  </conditionalFormatting>
  <conditionalFormatting sqref="H40">
    <cfRule type="expression" dxfId="739" priority="494" stopIfTrue="1">
      <formula>$ES40="Changed"</formula>
    </cfRule>
  </conditionalFormatting>
  <conditionalFormatting sqref="H41">
    <cfRule type="expression" dxfId="738" priority="493" stopIfTrue="1">
      <formula>$ES41="Changed"</formula>
    </cfRule>
  </conditionalFormatting>
  <conditionalFormatting sqref="H42">
    <cfRule type="expression" dxfId="737" priority="492" stopIfTrue="1">
      <formula>$ES42="Changed"</formula>
    </cfRule>
  </conditionalFormatting>
  <conditionalFormatting sqref="H44">
    <cfRule type="expression" dxfId="736" priority="491" stopIfTrue="1">
      <formula>$ES44="Changed"</formula>
    </cfRule>
  </conditionalFormatting>
  <conditionalFormatting sqref="H45">
    <cfRule type="expression" dxfId="735" priority="490" stopIfTrue="1">
      <formula>$ES45="Changed"</formula>
    </cfRule>
  </conditionalFormatting>
  <conditionalFormatting sqref="H46">
    <cfRule type="expression" dxfId="734" priority="489" stopIfTrue="1">
      <formula>$ES46="Changed"</formula>
    </cfRule>
  </conditionalFormatting>
  <conditionalFormatting sqref="H47">
    <cfRule type="expression" dxfId="733" priority="488" stopIfTrue="1">
      <formula>$ES47="Changed"</formula>
    </cfRule>
  </conditionalFormatting>
  <conditionalFormatting sqref="H48">
    <cfRule type="expression" dxfId="732" priority="487" stopIfTrue="1">
      <formula>$ES48="Changed"</formula>
    </cfRule>
  </conditionalFormatting>
  <conditionalFormatting sqref="H50">
    <cfRule type="expression" dxfId="731" priority="486" stopIfTrue="1">
      <formula>$ES50="Changed"</formula>
    </cfRule>
  </conditionalFormatting>
  <conditionalFormatting sqref="H51">
    <cfRule type="expression" dxfId="730" priority="485" stopIfTrue="1">
      <formula>$ES51="Changed"</formula>
    </cfRule>
  </conditionalFormatting>
  <conditionalFormatting sqref="H52">
    <cfRule type="expression" dxfId="729" priority="484" stopIfTrue="1">
      <formula>$ES52="Changed"</formula>
    </cfRule>
  </conditionalFormatting>
  <conditionalFormatting sqref="H53">
    <cfRule type="expression" dxfId="728" priority="483" stopIfTrue="1">
      <formula>$ES53="Changed"</formula>
    </cfRule>
  </conditionalFormatting>
  <conditionalFormatting sqref="H54">
    <cfRule type="expression" dxfId="727" priority="482" stopIfTrue="1">
      <formula>$ES54="Changed"</formula>
    </cfRule>
  </conditionalFormatting>
  <conditionalFormatting sqref="H56">
    <cfRule type="expression" dxfId="726" priority="481" stopIfTrue="1">
      <formula>$ES56="Changed"</formula>
    </cfRule>
  </conditionalFormatting>
  <conditionalFormatting sqref="H57">
    <cfRule type="expression" dxfId="725" priority="480" stopIfTrue="1">
      <formula>$ES57="Changed"</formula>
    </cfRule>
  </conditionalFormatting>
  <conditionalFormatting sqref="H58">
    <cfRule type="expression" dxfId="724" priority="479" stopIfTrue="1">
      <formula>$ES58="Changed"</formula>
    </cfRule>
  </conditionalFormatting>
  <conditionalFormatting sqref="H59">
    <cfRule type="expression" dxfId="723" priority="478" stopIfTrue="1">
      <formula>$ES59="Changed"</formula>
    </cfRule>
  </conditionalFormatting>
  <conditionalFormatting sqref="H60">
    <cfRule type="expression" dxfId="722" priority="477" stopIfTrue="1">
      <formula>$ES60="Changed"</formula>
    </cfRule>
  </conditionalFormatting>
  <conditionalFormatting sqref="H62">
    <cfRule type="expression" dxfId="721" priority="476" stopIfTrue="1">
      <formula>$ES62="Changed"</formula>
    </cfRule>
  </conditionalFormatting>
  <conditionalFormatting sqref="H63">
    <cfRule type="expression" dxfId="720" priority="475" stopIfTrue="1">
      <formula>$ES63="Changed"</formula>
    </cfRule>
  </conditionalFormatting>
  <conditionalFormatting sqref="H64">
    <cfRule type="expression" dxfId="719" priority="474" stopIfTrue="1">
      <formula>$ES64="Changed"</formula>
    </cfRule>
  </conditionalFormatting>
  <conditionalFormatting sqref="H65">
    <cfRule type="expression" dxfId="718" priority="473" stopIfTrue="1">
      <formula>$ES65="Changed"</formula>
    </cfRule>
  </conditionalFormatting>
  <conditionalFormatting sqref="H66">
    <cfRule type="expression" dxfId="717" priority="472" stopIfTrue="1">
      <formula>$ES66="Changed"</formula>
    </cfRule>
  </conditionalFormatting>
  <conditionalFormatting sqref="H68">
    <cfRule type="expression" dxfId="716" priority="471" stopIfTrue="1">
      <formula>$ES68="Changed"</formula>
    </cfRule>
  </conditionalFormatting>
  <conditionalFormatting sqref="H69">
    <cfRule type="expression" dxfId="715" priority="470" stopIfTrue="1">
      <formula>$ES69="Changed"</formula>
    </cfRule>
  </conditionalFormatting>
  <conditionalFormatting sqref="H70">
    <cfRule type="expression" dxfId="714" priority="469" stopIfTrue="1">
      <formula>$ES70="Changed"</formula>
    </cfRule>
  </conditionalFormatting>
  <conditionalFormatting sqref="H71">
    <cfRule type="expression" dxfId="713" priority="468" stopIfTrue="1">
      <formula>$ES71="Changed"</formula>
    </cfRule>
  </conditionalFormatting>
  <conditionalFormatting sqref="H72">
    <cfRule type="expression" dxfId="712" priority="467" stopIfTrue="1">
      <formula>$ES72="Changed"</formula>
    </cfRule>
  </conditionalFormatting>
  <conditionalFormatting sqref="H74">
    <cfRule type="expression" dxfId="711" priority="466" stopIfTrue="1">
      <formula>$ES74="Changed"</formula>
    </cfRule>
  </conditionalFormatting>
  <conditionalFormatting sqref="H75">
    <cfRule type="expression" dxfId="710" priority="465" stopIfTrue="1">
      <formula>$ES75="Changed"</formula>
    </cfRule>
  </conditionalFormatting>
  <conditionalFormatting sqref="H76">
    <cfRule type="expression" dxfId="709" priority="464" stopIfTrue="1">
      <formula>$ES76="Changed"</formula>
    </cfRule>
  </conditionalFormatting>
  <conditionalFormatting sqref="H77">
    <cfRule type="expression" dxfId="708" priority="463" stopIfTrue="1">
      <formula>$ES77="Changed"</formula>
    </cfRule>
  </conditionalFormatting>
  <conditionalFormatting sqref="H78">
    <cfRule type="expression" dxfId="707" priority="462" stopIfTrue="1">
      <formula>$ES78="Changed"</formula>
    </cfRule>
  </conditionalFormatting>
  <conditionalFormatting sqref="K19">
    <cfRule type="expression" dxfId="706" priority="343" stopIfTrue="1">
      <formula>$B14=$B20</formula>
    </cfRule>
  </conditionalFormatting>
  <conditionalFormatting sqref="K13">
    <cfRule type="expression" dxfId="705" priority="342" stopIfTrue="1">
      <formula>$B8=$B14</formula>
    </cfRule>
  </conditionalFormatting>
  <conditionalFormatting sqref="K14">
    <cfRule type="expression" dxfId="704" priority="336" stopIfTrue="1">
      <formula>$EM14="Error"</formula>
    </cfRule>
  </conditionalFormatting>
  <conditionalFormatting sqref="K15">
    <cfRule type="expression" dxfId="703" priority="335" stopIfTrue="1">
      <formula>$EM15="Error"</formula>
    </cfRule>
  </conditionalFormatting>
  <conditionalFormatting sqref="K21">
    <cfRule type="expression" dxfId="702" priority="330" stopIfTrue="1">
      <formula>$EM21="Error"</formula>
    </cfRule>
  </conditionalFormatting>
  <conditionalFormatting sqref="K20">
    <cfRule type="expression" dxfId="701" priority="331" stopIfTrue="1">
      <formula>$EM20="Error"</formula>
    </cfRule>
  </conditionalFormatting>
  <conditionalFormatting sqref="K22">
    <cfRule type="expression" dxfId="700" priority="329" stopIfTrue="1">
      <formula>$EM22="Error"</formula>
    </cfRule>
  </conditionalFormatting>
  <conditionalFormatting sqref="K23">
    <cfRule type="expression" dxfId="699" priority="328" stopIfTrue="1">
      <formula>$EM23="Error"</formula>
    </cfRule>
  </conditionalFormatting>
  <conditionalFormatting sqref="K24">
    <cfRule type="expression" dxfId="698" priority="327" stopIfTrue="1">
      <formula>$EM24="Error"</formula>
    </cfRule>
  </conditionalFormatting>
  <conditionalFormatting sqref="K26">
    <cfRule type="expression" dxfId="697" priority="326" stopIfTrue="1">
      <formula>$EM26="Error"</formula>
    </cfRule>
  </conditionalFormatting>
  <conditionalFormatting sqref="K27">
    <cfRule type="expression" dxfId="696" priority="325" stopIfTrue="1">
      <formula>$EM27="Error"</formula>
    </cfRule>
  </conditionalFormatting>
  <conditionalFormatting sqref="K28">
    <cfRule type="expression" dxfId="695" priority="324" stopIfTrue="1">
      <formula>$EM28="Error"</formula>
    </cfRule>
  </conditionalFormatting>
  <conditionalFormatting sqref="K29">
    <cfRule type="expression" dxfId="694" priority="323" stopIfTrue="1">
      <formula>$EM29="Error"</formula>
    </cfRule>
  </conditionalFormatting>
  <conditionalFormatting sqref="K30">
    <cfRule type="expression" dxfId="693" priority="322" stopIfTrue="1">
      <formula>$EM30="Error"</formula>
    </cfRule>
  </conditionalFormatting>
  <conditionalFormatting sqref="K32">
    <cfRule type="expression" dxfId="692" priority="321" stopIfTrue="1">
      <formula>$EM32="Error"</formula>
    </cfRule>
  </conditionalFormatting>
  <conditionalFormatting sqref="K33">
    <cfRule type="expression" dxfId="691" priority="320" stopIfTrue="1">
      <formula>$EM33="Error"</formula>
    </cfRule>
  </conditionalFormatting>
  <conditionalFormatting sqref="K34">
    <cfRule type="expression" dxfId="690" priority="319" stopIfTrue="1">
      <formula>$EM34="Error"</formula>
    </cfRule>
  </conditionalFormatting>
  <conditionalFormatting sqref="K35">
    <cfRule type="expression" dxfId="689" priority="318" stopIfTrue="1">
      <formula>$EM35="Error"</formula>
    </cfRule>
  </conditionalFormatting>
  <conditionalFormatting sqref="K36">
    <cfRule type="expression" dxfId="688" priority="317" stopIfTrue="1">
      <formula>$EM36="Error"</formula>
    </cfRule>
  </conditionalFormatting>
  <conditionalFormatting sqref="K38">
    <cfRule type="expression" dxfId="687" priority="316" stopIfTrue="1">
      <formula>$EM38="Error"</formula>
    </cfRule>
  </conditionalFormatting>
  <conditionalFormatting sqref="K39">
    <cfRule type="expression" dxfId="686" priority="315" stopIfTrue="1">
      <formula>$EM39="Error"</formula>
    </cfRule>
  </conditionalFormatting>
  <conditionalFormatting sqref="K40">
    <cfRule type="expression" dxfId="685" priority="314" stopIfTrue="1">
      <formula>$EM40="Error"</formula>
    </cfRule>
  </conditionalFormatting>
  <conditionalFormatting sqref="K41">
    <cfRule type="expression" dxfId="684" priority="313" stopIfTrue="1">
      <formula>$EM41="Error"</formula>
    </cfRule>
  </conditionalFormatting>
  <conditionalFormatting sqref="K42">
    <cfRule type="expression" dxfId="683" priority="312" stopIfTrue="1">
      <formula>$EM42="Error"</formula>
    </cfRule>
  </conditionalFormatting>
  <conditionalFormatting sqref="K44">
    <cfRule type="expression" dxfId="682" priority="311" stopIfTrue="1">
      <formula>$EM44="Error"</formula>
    </cfRule>
  </conditionalFormatting>
  <conditionalFormatting sqref="K45">
    <cfRule type="expression" dxfId="681" priority="310" stopIfTrue="1">
      <formula>$EM45="Error"</formula>
    </cfRule>
  </conditionalFormatting>
  <conditionalFormatting sqref="K46">
    <cfRule type="expression" dxfId="680" priority="309" stopIfTrue="1">
      <formula>$EM46="Error"</formula>
    </cfRule>
  </conditionalFormatting>
  <conditionalFormatting sqref="K47">
    <cfRule type="expression" dxfId="679" priority="308" stopIfTrue="1">
      <formula>$EM47="Error"</formula>
    </cfRule>
  </conditionalFormatting>
  <conditionalFormatting sqref="K48">
    <cfRule type="expression" dxfId="678" priority="307" stopIfTrue="1">
      <formula>$EM48="Error"</formula>
    </cfRule>
  </conditionalFormatting>
  <conditionalFormatting sqref="K50">
    <cfRule type="expression" dxfId="677" priority="306" stopIfTrue="1">
      <formula>$EM50="Error"</formula>
    </cfRule>
  </conditionalFormatting>
  <conditionalFormatting sqref="K51">
    <cfRule type="expression" dxfId="676" priority="305" stopIfTrue="1">
      <formula>$EM51="Error"</formula>
    </cfRule>
  </conditionalFormatting>
  <conditionalFormatting sqref="K52">
    <cfRule type="expression" dxfId="675" priority="304" stopIfTrue="1">
      <formula>$EM52="Error"</formula>
    </cfRule>
  </conditionalFormatting>
  <conditionalFormatting sqref="K53">
    <cfRule type="expression" dxfId="674" priority="303" stopIfTrue="1">
      <formula>$EM53="Error"</formula>
    </cfRule>
  </conditionalFormatting>
  <conditionalFormatting sqref="K54">
    <cfRule type="expression" dxfId="673" priority="302" stopIfTrue="1">
      <formula>$EM54="Error"</formula>
    </cfRule>
  </conditionalFormatting>
  <conditionalFormatting sqref="K56">
    <cfRule type="expression" dxfId="672" priority="301" stopIfTrue="1">
      <formula>$EM56="Error"</formula>
    </cfRule>
  </conditionalFormatting>
  <conditionalFormatting sqref="K57">
    <cfRule type="expression" dxfId="671" priority="300" stopIfTrue="1">
      <formula>$EM57="Error"</formula>
    </cfRule>
  </conditionalFormatting>
  <conditionalFormatting sqref="K58">
    <cfRule type="expression" dxfId="670" priority="299" stopIfTrue="1">
      <formula>$EM58="Error"</formula>
    </cfRule>
  </conditionalFormatting>
  <conditionalFormatting sqref="K59">
    <cfRule type="expression" dxfId="669" priority="298" stopIfTrue="1">
      <formula>$EM59="Error"</formula>
    </cfRule>
  </conditionalFormatting>
  <conditionalFormatting sqref="K60">
    <cfRule type="expression" dxfId="668" priority="297" stopIfTrue="1">
      <formula>$EM60="Error"</formula>
    </cfRule>
  </conditionalFormatting>
  <conditionalFormatting sqref="K62">
    <cfRule type="expression" dxfId="667" priority="296" stopIfTrue="1">
      <formula>$EM62="Error"</formula>
    </cfRule>
  </conditionalFormatting>
  <conditionalFormatting sqref="K63">
    <cfRule type="expression" dxfId="666" priority="295" stopIfTrue="1">
      <formula>$EM63="Error"</formula>
    </cfRule>
  </conditionalFormatting>
  <conditionalFormatting sqref="K64">
    <cfRule type="expression" dxfId="665" priority="294" stopIfTrue="1">
      <formula>$EM64="Error"</formula>
    </cfRule>
  </conditionalFormatting>
  <conditionalFormatting sqref="K65">
    <cfRule type="expression" dxfId="664" priority="293" stopIfTrue="1">
      <formula>$EM65="Error"</formula>
    </cfRule>
  </conditionalFormatting>
  <conditionalFormatting sqref="K66">
    <cfRule type="expression" dxfId="663" priority="292" stopIfTrue="1">
      <formula>$EM66="Error"</formula>
    </cfRule>
  </conditionalFormatting>
  <conditionalFormatting sqref="K68">
    <cfRule type="expression" dxfId="662" priority="291" stopIfTrue="1">
      <formula>$EM68="Error"</formula>
    </cfRule>
  </conditionalFormatting>
  <conditionalFormatting sqref="K69">
    <cfRule type="expression" dxfId="661" priority="290" stopIfTrue="1">
      <formula>$EM69="Error"</formula>
    </cfRule>
  </conditionalFormatting>
  <conditionalFormatting sqref="K70">
    <cfRule type="expression" dxfId="660" priority="289" stopIfTrue="1">
      <formula>$EM70="Error"</formula>
    </cfRule>
  </conditionalFormatting>
  <conditionalFormatting sqref="K71">
    <cfRule type="expression" dxfId="659" priority="288" stopIfTrue="1">
      <formula>$EM71="Error"</formula>
    </cfRule>
  </conditionalFormatting>
  <conditionalFormatting sqref="K72">
    <cfRule type="expression" dxfId="658" priority="287" stopIfTrue="1">
      <formula>$EM72="Error"</formula>
    </cfRule>
  </conditionalFormatting>
  <conditionalFormatting sqref="K74">
    <cfRule type="expression" dxfId="657" priority="286" stopIfTrue="1">
      <formula>$EM74="Error"</formula>
    </cfRule>
  </conditionalFormatting>
  <conditionalFormatting sqref="K75">
    <cfRule type="expression" dxfId="656" priority="285" stopIfTrue="1">
      <formula>$EM75="Error"</formula>
    </cfRule>
  </conditionalFormatting>
  <conditionalFormatting sqref="K76">
    <cfRule type="expression" dxfId="655" priority="284" stopIfTrue="1">
      <formula>$EM76="Error"</formula>
    </cfRule>
  </conditionalFormatting>
  <conditionalFormatting sqref="K77">
    <cfRule type="expression" dxfId="654" priority="283" stopIfTrue="1">
      <formula>$EM77="Error"</formula>
    </cfRule>
  </conditionalFormatting>
  <conditionalFormatting sqref="K78">
    <cfRule type="expression" dxfId="653" priority="282" stopIfTrue="1">
      <formula>$EM78="Error"</formula>
    </cfRule>
  </conditionalFormatting>
  <conditionalFormatting sqref="K16">
    <cfRule type="expression" dxfId="652" priority="281" stopIfTrue="1">
      <formula>$EM16="Error"</formula>
    </cfRule>
  </conditionalFormatting>
  <conditionalFormatting sqref="Q59">
    <cfRule type="expression" dxfId="651" priority="162" stopIfTrue="1">
      <formula>$DE59&lt;&gt;""</formula>
    </cfRule>
    <cfRule type="expression" dxfId="650" priority="163" stopIfTrue="1">
      <formula>$EU59=1</formula>
    </cfRule>
  </conditionalFormatting>
  <conditionalFormatting sqref="Q57">
    <cfRule type="expression" dxfId="649" priority="158" stopIfTrue="1">
      <formula>$DE57&lt;&gt;""</formula>
    </cfRule>
    <cfRule type="expression" dxfId="648" priority="159" stopIfTrue="1">
      <formula>$EU57=1</formula>
    </cfRule>
  </conditionalFormatting>
  <conditionalFormatting sqref="Q66">
    <cfRule type="expression" dxfId="647" priority="154" stopIfTrue="1">
      <formula>$DE66&lt;&gt;""</formula>
    </cfRule>
    <cfRule type="expression" dxfId="646" priority="155" stopIfTrue="1">
      <formula>$EU66=1</formula>
    </cfRule>
  </conditionalFormatting>
  <conditionalFormatting sqref="Q64">
    <cfRule type="expression" dxfId="645" priority="150" stopIfTrue="1">
      <formula>$DE64&lt;&gt;""</formula>
    </cfRule>
    <cfRule type="expression" dxfId="644" priority="151" stopIfTrue="1">
      <formula>$EU64=1</formula>
    </cfRule>
  </conditionalFormatting>
  <conditionalFormatting sqref="Q12">
    <cfRule type="expression" dxfId="643" priority="271" stopIfTrue="1">
      <formula>$DE12&lt;&gt;""</formula>
    </cfRule>
    <cfRule type="expression" dxfId="642" priority="272" stopIfTrue="1">
      <formula>$EU12=1</formula>
    </cfRule>
  </conditionalFormatting>
  <conditionalFormatting sqref="Q8">
    <cfRule type="expression" dxfId="641" priority="241" stopIfTrue="1">
      <formula>$DE8&lt;&gt;""</formula>
    </cfRule>
    <cfRule type="expression" dxfId="640" priority="242" stopIfTrue="1">
      <formula>$EU8=1</formula>
    </cfRule>
  </conditionalFormatting>
  <conditionalFormatting sqref="H12">
    <cfRule type="expression" dxfId="639" priority="250" stopIfTrue="1">
      <formula>$ES12="Changed"</formula>
    </cfRule>
  </conditionalFormatting>
  <conditionalFormatting sqref="Q11">
    <cfRule type="expression" dxfId="638" priority="247" stopIfTrue="1">
      <formula>$DE11&lt;&gt;""</formula>
    </cfRule>
    <cfRule type="expression" dxfId="637" priority="248" stopIfTrue="1">
      <formula>$EU11=1</formula>
    </cfRule>
  </conditionalFormatting>
  <conditionalFormatting sqref="Q10">
    <cfRule type="expression" dxfId="636" priority="245" stopIfTrue="1">
      <formula>$DE10&lt;&gt;""</formula>
    </cfRule>
    <cfRule type="expression" dxfId="635" priority="246" stopIfTrue="1">
      <formula>$EU10=1</formula>
    </cfRule>
  </conditionalFormatting>
  <conditionalFormatting sqref="Q9">
    <cfRule type="expression" dxfId="634" priority="243" stopIfTrue="1">
      <formula>$DE9&lt;&gt;""</formula>
    </cfRule>
    <cfRule type="expression" dxfId="633" priority="244" stopIfTrue="1">
      <formula>$EU9=1</formula>
    </cfRule>
  </conditionalFormatting>
  <conditionalFormatting sqref="K12">
    <cfRule type="expression" dxfId="632" priority="240" stopIfTrue="1">
      <formula>$EM12="Error"</formula>
    </cfRule>
  </conditionalFormatting>
  <conditionalFormatting sqref="K11">
    <cfRule type="expression" dxfId="631" priority="239" stopIfTrue="1">
      <formula>$EM11="Error"</formula>
    </cfRule>
  </conditionalFormatting>
  <conditionalFormatting sqref="K10">
    <cfRule type="expression" dxfId="630" priority="238" stopIfTrue="1">
      <formula>$EM10="Error"</formula>
    </cfRule>
  </conditionalFormatting>
  <conditionalFormatting sqref="K9">
    <cfRule type="expression" dxfId="629" priority="237" stopIfTrue="1">
      <formula>$EM9="Error"</formula>
    </cfRule>
  </conditionalFormatting>
  <conditionalFormatting sqref="K8">
    <cfRule type="expression" dxfId="628" priority="236" stopIfTrue="1">
      <formula>$EM8="Error"</formula>
    </cfRule>
  </conditionalFormatting>
  <conditionalFormatting sqref="Q18">
    <cfRule type="expression" dxfId="627" priority="234" stopIfTrue="1">
      <formula>$DE18&lt;&gt;""</formula>
    </cfRule>
    <cfRule type="expression" dxfId="626" priority="235" stopIfTrue="1">
      <formula>$EU18=1</formula>
    </cfRule>
  </conditionalFormatting>
  <conditionalFormatting sqref="Q17">
    <cfRule type="expression" dxfId="625" priority="232" stopIfTrue="1">
      <formula>$DE17&lt;&gt;""</formula>
    </cfRule>
    <cfRule type="expression" dxfId="624" priority="233" stopIfTrue="1">
      <formula>$EU17=1</formula>
    </cfRule>
  </conditionalFormatting>
  <conditionalFormatting sqref="Q16">
    <cfRule type="expression" dxfId="623" priority="230" stopIfTrue="1">
      <formula>$DE16&lt;&gt;""</formula>
    </cfRule>
    <cfRule type="expression" dxfId="622" priority="231" stopIfTrue="1">
      <formula>$EU16=1</formula>
    </cfRule>
  </conditionalFormatting>
  <conditionalFormatting sqref="Q15">
    <cfRule type="expression" dxfId="621" priority="228" stopIfTrue="1">
      <formula>$DE15&lt;&gt;""</formula>
    </cfRule>
    <cfRule type="expression" dxfId="620" priority="229" stopIfTrue="1">
      <formula>$EU15=1</formula>
    </cfRule>
  </conditionalFormatting>
  <conditionalFormatting sqref="Q14">
    <cfRule type="expression" dxfId="619" priority="226" stopIfTrue="1">
      <formula>$DE14&lt;&gt;""</formula>
    </cfRule>
    <cfRule type="expression" dxfId="618" priority="227" stopIfTrue="1">
      <formula>$EU14=1</formula>
    </cfRule>
  </conditionalFormatting>
  <conditionalFormatting sqref="Q24">
    <cfRule type="expression" dxfId="617" priority="224" stopIfTrue="1">
      <formula>$DE24&lt;&gt;""</formula>
    </cfRule>
    <cfRule type="expression" dxfId="616" priority="225" stopIfTrue="1">
      <formula>$EU24=1</formula>
    </cfRule>
  </conditionalFormatting>
  <conditionalFormatting sqref="Q23">
    <cfRule type="expression" dxfId="615" priority="222" stopIfTrue="1">
      <formula>$DE23&lt;&gt;""</formula>
    </cfRule>
    <cfRule type="expression" dxfId="614" priority="223" stopIfTrue="1">
      <formula>$EU23=1</formula>
    </cfRule>
  </conditionalFormatting>
  <conditionalFormatting sqref="Q22">
    <cfRule type="expression" dxfId="613" priority="220" stopIfTrue="1">
      <formula>$DE22&lt;&gt;""</formula>
    </cfRule>
    <cfRule type="expression" dxfId="612" priority="221" stopIfTrue="1">
      <formula>$EU22=1</formula>
    </cfRule>
  </conditionalFormatting>
  <conditionalFormatting sqref="Q21">
    <cfRule type="expression" dxfId="611" priority="218" stopIfTrue="1">
      <formula>$DE21&lt;&gt;""</formula>
    </cfRule>
    <cfRule type="expression" dxfId="610" priority="219" stopIfTrue="1">
      <formula>$EU21=1</formula>
    </cfRule>
  </conditionalFormatting>
  <conditionalFormatting sqref="Q20">
    <cfRule type="expression" dxfId="609" priority="216" stopIfTrue="1">
      <formula>$DE20&lt;&gt;""</formula>
    </cfRule>
    <cfRule type="expression" dxfId="608" priority="217" stopIfTrue="1">
      <formula>$EU20=1</formula>
    </cfRule>
  </conditionalFormatting>
  <conditionalFormatting sqref="Q30">
    <cfRule type="expression" dxfId="607" priority="214" stopIfTrue="1">
      <formula>$DE30&lt;&gt;""</formula>
    </cfRule>
    <cfRule type="expression" dxfId="606" priority="215" stopIfTrue="1">
      <formula>$EU30=1</formula>
    </cfRule>
  </conditionalFormatting>
  <conditionalFormatting sqref="Q29">
    <cfRule type="expression" dxfId="605" priority="212" stopIfTrue="1">
      <formula>$DE29&lt;&gt;""</formula>
    </cfRule>
    <cfRule type="expression" dxfId="604" priority="213" stopIfTrue="1">
      <formula>$EU29=1</formula>
    </cfRule>
  </conditionalFormatting>
  <conditionalFormatting sqref="Q28">
    <cfRule type="expression" dxfId="603" priority="210" stopIfTrue="1">
      <formula>$DE28&lt;&gt;""</formula>
    </cfRule>
    <cfRule type="expression" dxfId="602" priority="211" stopIfTrue="1">
      <formula>$EU28=1</formula>
    </cfRule>
  </conditionalFormatting>
  <conditionalFormatting sqref="Q27">
    <cfRule type="expression" dxfId="601" priority="208" stopIfTrue="1">
      <formula>$DE27&lt;&gt;""</formula>
    </cfRule>
    <cfRule type="expression" dxfId="600" priority="209" stopIfTrue="1">
      <formula>$EU27=1</formula>
    </cfRule>
  </conditionalFormatting>
  <conditionalFormatting sqref="Q26">
    <cfRule type="expression" dxfId="599" priority="206" stopIfTrue="1">
      <formula>$DE26&lt;&gt;""</formula>
    </cfRule>
    <cfRule type="expression" dxfId="598" priority="207" stopIfTrue="1">
      <formula>$EU26=1</formula>
    </cfRule>
  </conditionalFormatting>
  <conditionalFormatting sqref="Q36">
    <cfRule type="expression" dxfId="597" priority="204" stopIfTrue="1">
      <formula>$DE36&lt;&gt;""</formula>
    </cfRule>
    <cfRule type="expression" dxfId="596" priority="205" stopIfTrue="1">
      <formula>$EU36=1</formula>
    </cfRule>
  </conditionalFormatting>
  <conditionalFormatting sqref="Q35">
    <cfRule type="expression" dxfId="595" priority="202" stopIfTrue="1">
      <formula>$DE35&lt;&gt;""</formula>
    </cfRule>
    <cfRule type="expression" dxfId="594" priority="203" stopIfTrue="1">
      <formula>$EU35=1</formula>
    </cfRule>
  </conditionalFormatting>
  <conditionalFormatting sqref="Q34">
    <cfRule type="expression" dxfId="593" priority="200" stopIfTrue="1">
      <formula>$DE34&lt;&gt;""</formula>
    </cfRule>
    <cfRule type="expression" dxfId="592" priority="201" stopIfTrue="1">
      <formula>$EU34=1</formula>
    </cfRule>
  </conditionalFormatting>
  <conditionalFormatting sqref="Q33">
    <cfRule type="expression" dxfId="591" priority="198" stopIfTrue="1">
      <formula>$DE33&lt;&gt;""</formula>
    </cfRule>
    <cfRule type="expression" dxfId="590" priority="199" stopIfTrue="1">
      <formula>$EU33=1</formula>
    </cfRule>
  </conditionalFormatting>
  <conditionalFormatting sqref="Q32">
    <cfRule type="expression" dxfId="589" priority="196" stopIfTrue="1">
      <formula>$DE32&lt;&gt;""</formula>
    </cfRule>
    <cfRule type="expression" dxfId="588" priority="197" stopIfTrue="1">
      <formula>$EU32=1</formula>
    </cfRule>
  </conditionalFormatting>
  <conditionalFormatting sqref="Q42">
    <cfRule type="expression" dxfId="587" priority="194" stopIfTrue="1">
      <formula>$DE42&lt;&gt;""</formula>
    </cfRule>
    <cfRule type="expression" dxfId="586" priority="195" stopIfTrue="1">
      <formula>$EU42=1</formula>
    </cfRule>
  </conditionalFormatting>
  <conditionalFormatting sqref="Q41">
    <cfRule type="expression" dxfId="585" priority="192" stopIfTrue="1">
      <formula>$DE41&lt;&gt;""</formula>
    </cfRule>
    <cfRule type="expression" dxfId="584" priority="193" stopIfTrue="1">
      <formula>$EU41=1</formula>
    </cfRule>
  </conditionalFormatting>
  <conditionalFormatting sqref="Q40">
    <cfRule type="expression" dxfId="583" priority="190" stopIfTrue="1">
      <formula>$DE40&lt;&gt;""</formula>
    </cfRule>
    <cfRule type="expression" dxfId="582" priority="191" stopIfTrue="1">
      <formula>$EU40=1</formula>
    </cfRule>
  </conditionalFormatting>
  <conditionalFormatting sqref="Q39">
    <cfRule type="expression" dxfId="581" priority="188" stopIfTrue="1">
      <formula>$DE39&lt;&gt;""</formula>
    </cfRule>
    <cfRule type="expression" dxfId="580" priority="189" stopIfTrue="1">
      <formula>$EU39=1</formula>
    </cfRule>
  </conditionalFormatting>
  <conditionalFormatting sqref="Q38">
    <cfRule type="expression" dxfId="579" priority="186" stopIfTrue="1">
      <formula>$DE38&lt;&gt;""</formula>
    </cfRule>
    <cfRule type="expression" dxfId="578" priority="187" stopIfTrue="1">
      <formula>$EU38=1</formula>
    </cfRule>
  </conditionalFormatting>
  <conditionalFormatting sqref="Q48">
    <cfRule type="expression" dxfId="577" priority="184" stopIfTrue="1">
      <formula>$DE48&lt;&gt;""</formula>
    </cfRule>
    <cfRule type="expression" dxfId="576" priority="185" stopIfTrue="1">
      <formula>$EU48=1</formula>
    </cfRule>
  </conditionalFormatting>
  <conditionalFormatting sqref="Q47">
    <cfRule type="expression" dxfId="575" priority="182" stopIfTrue="1">
      <formula>$DE47&lt;&gt;""</formula>
    </cfRule>
    <cfRule type="expression" dxfId="574" priority="183" stopIfTrue="1">
      <formula>$EU47=1</formula>
    </cfRule>
  </conditionalFormatting>
  <conditionalFormatting sqref="Q46">
    <cfRule type="expression" dxfId="573" priority="180" stopIfTrue="1">
      <formula>$DE46&lt;&gt;""</formula>
    </cfRule>
    <cfRule type="expression" dxfId="572" priority="181" stopIfTrue="1">
      <formula>$EU46=1</formula>
    </cfRule>
  </conditionalFormatting>
  <conditionalFormatting sqref="Q45">
    <cfRule type="expression" dxfId="571" priority="178" stopIfTrue="1">
      <formula>$DE45&lt;&gt;""</formula>
    </cfRule>
    <cfRule type="expression" dxfId="570" priority="179" stopIfTrue="1">
      <formula>$EU45=1</formula>
    </cfRule>
  </conditionalFormatting>
  <conditionalFormatting sqref="Q44">
    <cfRule type="expression" dxfId="569" priority="176" stopIfTrue="1">
      <formula>$DE44&lt;&gt;""</formula>
    </cfRule>
    <cfRule type="expression" dxfId="568" priority="177" stopIfTrue="1">
      <formula>$EU44=1</formula>
    </cfRule>
  </conditionalFormatting>
  <conditionalFormatting sqref="Q54">
    <cfRule type="expression" dxfId="567" priority="174" stopIfTrue="1">
      <formula>$DE54&lt;&gt;""</formula>
    </cfRule>
    <cfRule type="expression" dxfId="566" priority="175" stopIfTrue="1">
      <formula>$EU54=1</formula>
    </cfRule>
  </conditionalFormatting>
  <conditionalFormatting sqref="Q53">
    <cfRule type="expression" dxfId="565" priority="172" stopIfTrue="1">
      <formula>$DE53&lt;&gt;""</formula>
    </cfRule>
    <cfRule type="expression" dxfId="564" priority="173" stopIfTrue="1">
      <formula>$EU53=1</formula>
    </cfRule>
  </conditionalFormatting>
  <conditionalFormatting sqref="Q52">
    <cfRule type="expression" dxfId="563" priority="170" stopIfTrue="1">
      <formula>$DE52&lt;&gt;""</formula>
    </cfRule>
    <cfRule type="expression" dxfId="562" priority="171" stopIfTrue="1">
      <formula>$EU52=1</formula>
    </cfRule>
  </conditionalFormatting>
  <conditionalFormatting sqref="Q51">
    <cfRule type="expression" dxfId="561" priority="168" stopIfTrue="1">
      <formula>$DE51&lt;&gt;""</formula>
    </cfRule>
    <cfRule type="expression" dxfId="560" priority="169" stopIfTrue="1">
      <formula>$EU51=1</formula>
    </cfRule>
  </conditionalFormatting>
  <conditionalFormatting sqref="Q50">
    <cfRule type="expression" dxfId="559" priority="166" stopIfTrue="1">
      <formula>$DE50&lt;&gt;""</formula>
    </cfRule>
    <cfRule type="expression" dxfId="558" priority="167" stopIfTrue="1">
      <formula>$EU50=1</formula>
    </cfRule>
  </conditionalFormatting>
  <conditionalFormatting sqref="Q60">
    <cfRule type="expression" dxfId="557" priority="164" stopIfTrue="1">
      <formula>$DE60&lt;&gt;""</formula>
    </cfRule>
    <cfRule type="expression" dxfId="556" priority="165" stopIfTrue="1">
      <formula>$EU60=1</formula>
    </cfRule>
  </conditionalFormatting>
  <conditionalFormatting sqref="Q58">
    <cfRule type="expression" dxfId="555" priority="160" stopIfTrue="1">
      <formula>$DE58&lt;&gt;""</formula>
    </cfRule>
    <cfRule type="expression" dxfId="554" priority="161" stopIfTrue="1">
      <formula>$EU58=1</formula>
    </cfRule>
  </conditionalFormatting>
  <conditionalFormatting sqref="Q56">
    <cfRule type="expression" dxfId="553" priority="156" stopIfTrue="1">
      <formula>$DE56&lt;&gt;""</formula>
    </cfRule>
    <cfRule type="expression" dxfId="552" priority="157" stopIfTrue="1">
      <formula>$EU56=1</formula>
    </cfRule>
  </conditionalFormatting>
  <conditionalFormatting sqref="Q65">
    <cfRule type="expression" dxfId="551" priority="152" stopIfTrue="1">
      <formula>$DE65&lt;&gt;""</formula>
    </cfRule>
    <cfRule type="expression" dxfId="550" priority="153" stopIfTrue="1">
      <formula>$EU65=1</formula>
    </cfRule>
  </conditionalFormatting>
  <conditionalFormatting sqref="Q63">
    <cfRule type="expression" dxfId="549" priority="148" stopIfTrue="1">
      <formula>$DE63&lt;&gt;""</formula>
    </cfRule>
    <cfRule type="expression" dxfId="548" priority="149" stopIfTrue="1">
      <formula>$EU63=1</formula>
    </cfRule>
  </conditionalFormatting>
  <conditionalFormatting sqref="Q62">
    <cfRule type="expression" dxfId="547" priority="146" stopIfTrue="1">
      <formula>$DE62&lt;&gt;""</formula>
    </cfRule>
    <cfRule type="expression" dxfId="546" priority="147" stopIfTrue="1">
      <formula>$EU62=1</formula>
    </cfRule>
  </conditionalFormatting>
  <conditionalFormatting sqref="Q72">
    <cfRule type="expression" dxfId="545" priority="144" stopIfTrue="1">
      <formula>$DE72&lt;&gt;""</formula>
    </cfRule>
    <cfRule type="expression" dxfId="544" priority="145" stopIfTrue="1">
      <formula>$EU72=1</formula>
    </cfRule>
  </conditionalFormatting>
  <conditionalFormatting sqref="Q71">
    <cfRule type="expression" dxfId="543" priority="142" stopIfTrue="1">
      <formula>$DE71&lt;&gt;""</formula>
    </cfRule>
    <cfRule type="expression" dxfId="542" priority="143" stopIfTrue="1">
      <formula>$EU71=1</formula>
    </cfRule>
  </conditionalFormatting>
  <conditionalFormatting sqref="Q70">
    <cfRule type="expression" dxfId="541" priority="140" stopIfTrue="1">
      <formula>$DE70&lt;&gt;""</formula>
    </cfRule>
    <cfRule type="expression" dxfId="540" priority="141" stopIfTrue="1">
      <formula>$EU70=1</formula>
    </cfRule>
  </conditionalFormatting>
  <conditionalFormatting sqref="Q69">
    <cfRule type="expression" dxfId="539" priority="138" stopIfTrue="1">
      <formula>$DE69&lt;&gt;""</formula>
    </cfRule>
    <cfRule type="expression" dxfId="538" priority="139" stopIfTrue="1">
      <formula>$EU69=1</formula>
    </cfRule>
  </conditionalFormatting>
  <conditionalFormatting sqref="Q68">
    <cfRule type="expression" dxfId="537" priority="136" stopIfTrue="1">
      <formula>$DE68&lt;&gt;""</formula>
    </cfRule>
    <cfRule type="expression" dxfId="536" priority="137" stopIfTrue="1">
      <formula>$EU68=1</formula>
    </cfRule>
  </conditionalFormatting>
  <conditionalFormatting sqref="Q78">
    <cfRule type="expression" dxfId="535" priority="134" stopIfTrue="1">
      <formula>$DE78&lt;&gt;""</formula>
    </cfRule>
    <cfRule type="expression" dxfId="534" priority="135" stopIfTrue="1">
      <formula>$EU78=1</formula>
    </cfRule>
  </conditionalFormatting>
  <conditionalFormatting sqref="Q77">
    <cfRule type="expression" dxfId="533" priority="132" stopIfTrue="1">
      <formula>$DE77&lt;&gt;""</formula>
    </cfRule>
    <cfRule type="expression" dxfId="532" priority="133" stopIfTrue="1">
      <formula>$EU77=1</formula>
    </cfRule>
  </conditionalFormatting>
  <conditionalFormatting sqref="Q76">
    <cfRule type="expression" dxfId="531" priority="130" stopIfTrue="1">
      <formula>$DE76&lt;&gt;""</formula>
    </cfRule>
    <cfRule type="expression" dxfId="530" priority="131" stopIfTrue="1">
      <formula>$EU76=1</formula>
    </cfRule>
  </conditionalFormatting>
  <conditionalFormatting sqref="Q75">
    <cfRule type="expression" dxfId="529" priority="128" stopIfTrue="1">
      <formula>$DE75&lt;&gt;""</formula>
    </cfRule>
    <cfRule type="expression" dxfId="528" priority="129" stopIfTrue="1">
      <formula>$EU75=1</formula>
    </cfRule>
  </conditionalFormatting>
  <conditionalFormatting sqref="Q74">
    <cfRule type="expression" dxfId="527" priority="126" stopIfTrue="1">
      <formula>$DE74&lt;&gt;""</formula>
    </cfRule>
    <cfRule type="expression" dxfId="526" priority="127" stopIfTrue="1">
      <formula>$EU74=1</formula>
    </cfRule>
  </conditionalFormatting>
  <conditionalFormatting sqref="K18">
    <cfRule type="expression" dxfId="525" priority="125" stopIfTrue="1">
      <formula>$EM18="Error"</formula>
    </cfRule>
  </conditionalFormatting>
  <conditionalFormatting sqref="K17">
    <cfRule type="expression" dxfId="524" priority="124" stopIfTrue="1">
      <formula>$EM17="Error"</formula>
    </cfRule>
  </conditionalFormatting>
  <conditionalFormatting sqref="AP48:AP67">
    <cfRule type="expression" dxfId="523" priority="121" stopIfTrue="1">
      <formula>$BF$3=2</formula>
    </cfRule>
  </conditionalFormatting>
  <conditionalFormatting sqref="I3:J3">
    <cfRule type="expression" dxfId="522" priority="120" stopIfTrue="1">
      <formula>$BG$5="Yes"</formula>
    </cfRule>
  </conditionalFormatting>
  <conditionalFormatting sqref="L4:L5 N4:N5 O2:O3 M2:M3">
    <cfRule type="expression" dxfId="521" priority="119" stopIfTrue="1">
      <formula>$BE$3=1</formula>
    </cfRule>
  </conditionalFormatting>
  <conditionalFormatting sqref="O82">
    <cfRule type="expression" dxfId="520" priority="117" stopIfTrue="1">
      <formula>$BE$3=2</formula>
    </cfRule>
  </conditionalFormatting>
  <conditionalFormatting sqref="M82">
    <cfRule type="expression" dxfId="519" priority="118" stopIfTrue="1">
      <formula>$BE$3=2</formula>
    </cfRule>
  </conditionalFormatting>
  <conditionalFormatting sqref="AD5">
    <cfRule type="expression" dxfId="518" priority="114" stopIfTrue="1">
      <formula>$AD$5&lt;$AD$7</formula>
    </cfRule>
  </conditionalFormatting>
  <conditionalFormatting sqref="AF5">
    <cfRule type="expression" dxfId="517" priority="113" stopIfTrue="1">
      <formula>$AF$5&lt;$AF$7</formula>
    </cfRule>
  </conditionalFormatting>
  <conditionalFormatting sqref="AE5">
    <cfRule type="expression" dxfId="516" priority="115" stopIfTrue="1">
      <formula>$AE$5&lt;$AD$7</formula>
    </cfRule>
  </conditionalFormatting>
  <conditionalFormatting sqref="AG5">
    <cfRule type="expression" dxfId="515" priority="116" stopIfTrue="1">
      <formula>$AG$5&lt;$AF$7</formula>
    </cfRule>
  </conditionalFormatting>
  <conditionalFormatting sqref="H11">
    <cfRule type="expression" dxfId="514" priority="108" stopIfTrue="1">
      <formula>$ES11="Changed"</formula>
    </cfRule>
  </conditionalFormatting>
  <conditionalFormatting sqref="H10">
    <cfRule type="expression" dxfId="513" priority="107" stopIfTrue="1">
      <formula>$ES10="Changed"</formula>
    </cfRule>
  </conditionalFormatting>
  <conditionalFormatting sqref="H9">
    <cfRule type="expression" dxfId="512" priority="106" stopIfTrue="1">
      <formula>$ES9="Changed"</formula>
    </cfRule>
  </conditionalFormatting>
  <conditionalFormatting sqref="H8">
    <cfRule type="expression" dxfId="511" priority="105" stopIfTrue="1">
      <formula>$ES8="Changed"</formula>
    </cfRule>
  </conditionalFormatting>
  <conditionalFormatting sqref="L13">
    <cfRule type="expression" dxfId="510" priority="93" stopIfTrue="1">
      <formula>$B8=$B14</formula>
    </cfRule>
    <cfRule type="expression" dxfId="509" priority="94" stopIfTrue="1">
      <formula>M13=0</formula>
    </cfRule>
    <cfRule type="expression" dxfId="508" priority="95" stopIfTrue="1">
      <formula>L13=0</formula>
    </cfRule>
    <cfRule type="expression" dxfId="507" priority="96" stopIfTrue="1">
      <formula>$BE$3=1</formula>
    </cfRule>
  </conditionalFormatting>
  <conditionalFormatting sqref="L19">
    <cfRule type="expression" dxfId="506" priority="89" stopIfTrue="1">
      <formula>$B14=$B20</formula>
    </cfRule>
    <cfRule type="expression" dxfId="505" priority="90" stopIfTrue="1">
      <formula>M19=0</formula>
    </cfRule>
    <cfRule type="expression" dxfId="504" priority="91" stopIfTrue="1">
      <formula>L19=0</formula>
    </cfRule>
    <cfRule type="expression" dxfId="503" priority="92" stopIfTrue="1">
      <formula>$BE$3=1</formula>
    </cfRule>
  </conditionalFormatting>
  <conditionalFormatting sqref="L25">
    <cfRule type="expression" dxfId="502" priority="85" stopIfTrue="1">
      <formula>$B20=$B26</formula>
    </cfRule>
    <cfRule type="expression" dxfId="501" priority="86" stopIfTrue="1">
      <formula>M25=0</formula>
    </cfRule>
    <cfRule type="expression" dxfId="500" priority="87" stopIfTrue="1">
      <formula>L25=0</formula>
    </cfRule>
    <cfRule type="expression" dxfId="499" priority="88" stopIfTrue="1">
      <formula>$BE$3=1</formula>
    </cfRule>
  </conditionalFormatting>
  <conditionalFormatting sqref="L31">
    <cfRule type="expression" dxfId="498" priority="81" stopIfTrue="1">
      <formula>$B26=$B32</formula>
    </cfRule>
    <cfRule type="expression" dxfId="497" priority="82" stopIfTrue="1">
      <formula>M31=0</formula>
    </cfRule>
    <cfRule type="expression" dxfId="496" priority="83" stopIfTrue="1">
      <formula>L31=0</formula>
    </cfRule>
    <cfRule type="expression" dxfId="495" priority="84" stopIfTrue="1">
      <formula>$BE$3=1</formula>
    </cfRule>
  </conditionalFormatting>
  <conditionalFormatting sqref="L37">
    <cfRule type="expression" dxfId="494" priority="77" stopIfTrue="1">
      <formula>$B32=$B38</formula>
    </cfRule>
    <cfRule type="expression" dxfId="493" priority="78" stopIfTrue="1">
      <formula>M37=0</formula>
    </cfRule>
    <cfRule type="expression" dxfId="492" priority="79" stopIfTrue="1">
      <formula>L37=0</formula>
    </cfRule>
    <cfRule type="expression" dxfId="491" priority="80" stopIfTrue="1">
      <formula>$BE$3=1</formula>
    </cfRule>
  </conditionalFormatting>
  <conditionalFormatting sqref="L43">
    <cfRule type="expression" dxfId="490" priority="73" stopIfTrue="1">
      <formula>$B38=$B44</formula>
    </cfRule>
    <cfRule type="expression" dxfId="489" priority="74" stopIfTrue="1">
      <formula>M43=0</formula>
    </cfRule>
    <cfRule type="expression" dxfId="488" priority="75" stopIfTrue="1">
      <formula>L43=0</formula>
    </cfRule>
    <cfRule type="expression" dxfId="487" priority="76" stopIfTrue="1">
      <formula>$BE$3=1</formula>
    </cfRule>
  </conditionalFormatting>
  <conditionalFormatting sqref="L49">
    <cfRule type="expression" dxfId="486" priority="69" stopIfTrue="1">
      <formula>$B44=$B50</formula>
    </cfRule>
    <cfRule type="expression" dxfId="485" priority="70" stopIfTrue="1">
      <formula>M49=0</formula>
    </cfRule>
    <cfRule type="expression" dxfId="484" priority="71" stopIfTrue="1">
      <formula>L49=0</formula>
    </cfRule>
    <cfRule type="expression" dxfId="483" priority="72" stopIfTrue="1">
      <formula>$BE$3=1</formula>
    </cfRule>
  </conditionalFormatting>
  <conditionalFormatting sqref="L55">
    <cfRule type="expression" dxfId="482" priority="65" stopIfTrue="1">
      <formula>$B50=$B56</formula>
    </cfRule>
    <cfRule type="expression" dxfId="481" priority="66" stopIfTrue="1">
      <formula>M55=0</formula>
    </cfRule>
    <cfRule type="expression" dxfId="480" priority="67" stopIfTrue="1">
      <formula>L55=0</formula>
    </cfRule>
    <cfRule type="expression" dxfId="479" priority="68" stopIfTrue="1">
      <formula>$BE$3=1</formula>
    </cfRule>
  </conditionalFormatting>
  <conditionalFormatting sqref="L61">
    <cfRule type="expression" dxfId="478" priority="61" stopIfTrue="1">
      <formula>$B56=$B62</formula>
    </cfRule>
    <cfRule type="expression" dxfId="477" priority="62" stopIfTrue="1">
      <formula>M61=0</formula>
    </cfRule>
    <cfRule type="expression" dxfId="476" priority="63" stopIfTrue="1">
      <formula>L61=0</formula>
    </cfRule>
    <cfRule type="expression" dxfId="475" priority="64" stopIfTrue="1">
      <formula>$BE$3=1</formula>
    </cfRule>
  </conditionalFormatting>
  <conditionalFormatting sqref="L67">
    <cfRule type="expression" dxfId="474" priority="57" stopIfTrue="1">
      <formula>$B62=$B68</formula>
    </cfRule>
    <cfRule type="expression" dxfId="473" priority="58" stopIfTrue="1">
      <formula>M67=0</formula>
    </cfRule>
    <cfRule type="expression" dxfId="472" priority="59" stopIfTrue="1">
      <formula>L67=0</formula>
    </cfRule>
    <cfRule type="expression" dxfId="471" priority="60" stopIfTrue="1">
      <formula>$BE$3=1</formula>
    </cfRule>
  </conditionalFormatting>
  <conditionalFormatting sqref="L73">
    <cfRule type="expression" dxfId="470" priority="53" stopIfTrue="1">
      <formula>$B68=$B74</formula>
    </cfRule>
    <cfRule type="expression" dxfId="469" priority="54" stopIfTrue="1">
      <formula>M73=0</formula>
    </cfRule>
    <cfRule type="expression" dxfId="468" priority="55" stopIfTrue="1">
      <formula>L73=0</formula>
    </cfRule>
    <cfRule type="expression" dxfId="467" priority="56" stopIfTrue="1">
      <formula>$BE$3=1</formula>
    </cfRule>
  </conditionalFormatting>
  <conditionalFormatting sqref="L79">
    <cfRule type="expression" dxfId="466" priority="49" stopIfTrue="1">
      <formula>$B74=$B80</formula>
    </cfRule>
    <cfRule type="expression" dxfId="465" priority="50" stopIfTrue="1">
      <formula>M79=0</formula>
    </cfRule>
    <cfRule type="expression" dxfId="464" priority="51" stopIfTrue="1">
      <formula>L79=0</formula>
    </cfRule>
    <cfRule type="expression" dxfId="463" priority="52" stopIfTrue="1">
      <formula>$BE$3=1</formula>
    </cfRule>
  </conditionalFormatting>
  <conditionalFormatting sqref="N13">
    <cfRule type="expression" dxfId="462" priority="45" stopIfTrue="1">
      <formula>$B8=$B14</formula>
    </cfRule>
    <cfRule type="expression" dxfId="461" priority="46" stopIfTrue="1">
      <formula>O13=0</formula>
    </cfRule>
    <cfRule type="expression" dxfId="460" priority="47" stopIfTrue="1">
      <formula>N13=0</formula>
    </cfRule>
    <cfRule type="expression" dxfId="459" priority="48" stopIfTrue="1">
      <formula>$BE$3=1</formula>
    </cfRule>
  </conditionalFormatting>
  <conditionalFormatting sqref="N19">
    <cfRule type="expression" dxfId="458" priority="41" stopIfTrue="1">
      <formula>$B14=$B20</formula>
    </cfRule>
    <cfRule type="expression" dxfId="457" priority="42" stopIfTrue="1">
      <formula>O19=0</formula>
    </cfRule>
    <cfRule type="expression" dxfId="456" priority="43" stopIfTrue="1">
      <formula>N19=0</formula>
    </cfRule>
    <cfRule type="expression" dxfId="455" priority="44" stopIfTrue="1">
      <formula>$BE$3=1</formula>
    </cfRule>
  </conditionalFormatting>
  <conditionalFormatting sqref="N25">
    <cfRule type="expression" dxfId="454" priority="37" stopIfTrue="1">
      <formula>$B20=$B26</formula>
    </cfRule>
    <cfRule type="expression" dxfId="453" priority="38" stopIfTrue="1">
      <formula>O25=0</formula>
    </cfRule>
    <cfRule type="expression" dxfId="452" priority="39" stopIfTrue="1">
      <formula>N25=0</formula>
    </cfRule>
    <cfRule type="expression" dxfId="451" priority="40" stopIfTrue="1">
      <formula>$BE$3=1</formula>
    </cfRule>
  </conditionalFormatting>
  <conditionalFormatting sqref="N31">
    <cfRule type="expression" dxfId="450" priority="33" stopIfTrue="1">
      <formula>$B26=$B32</formula>
    </cfRule>
    <cfRule type="expression" dxfId="449" priority="34" stopIfTrue="1">
      <formula>O31=0</formula>
    </cfRule>
    <cfRule type="expression" dxfId="448" priority="35" stopIfTrue="1">
      <formula>N31=0</formula>
    </cfRule>
    <cfRule type="expression" dxfId="447" priority="36" stopIfTrue="1">
      <formula>$BE$3=1</formula>
    </cfRule>
  </conditionalFormatting>
  <conditionalFormatting sqref="N37">
    <cfRule type="expression" dxfId="446" priority="29" stopIfTrue="1">
      <formula>$B32=$B38</formula>
    </cfRule>
    <cfRule type="expression" dxfId="445" priority="30" stopIfTrue="1">
      <formula>O37=0</formula>
    </cfRule>
    <cfRule type="expression" dxfId="444" priority="31" stopIfTrue="1">
      <formula>N37=0</formula>
    </cfRule>
    <cfRule type="expression" dxfId="443" priority="32" stopIfTrue="1">
      <formula>$BE$3=1</formula>
    </cfRule>
  </conditionalFormatting>
  <conditionalFormatting sqref="N43">
    <cfRule type="expression" dxfId="442" priority="25" stopIfTrue="1">
      <formula>$B38=$B44</formula>
    </cfRule>
    <cfRule type="expression" dxfId="441" priority="26" stopIfTrue="1">
      <formula>O43=0</formula>
    </cfRule>
    <cfRule type="expression" dxfId="440" priority="27" stopIfTrue="1">
      <formula>N43=0</formula>
    </cfRule>
    <cfRule type="expression" dxfId="439" priority="28" stopIfTrue="1">
      <formula>$BE$3=1</formula>
    </cfRule>
  </conditionalFormatting>
  <conditionalFormatting sqref="N49">
    <cfRule type="expression" dxfId="438" priority="21" stopIfTrue="1">
      <formula>$B44=$B50</formula>
    </cfRule>
    <cfRule type="expression" dxfId="437" priority="22" stopIfTrue="1">
      <formula>O49=0</formula>
    </cfRule>
    <cfRule type="expression" dxfId="436" priority="23" stopIfTrue="1">
      <formula>N49=0</formula>
    </cfRule>
    <cfRule type="expression" dxfId="435" priority="24" stopIfTrue="1">
      <formula>$BE$3=1</formula>
    </cfRule>
  </conditionalFormatting>
  <conditionalFormatting sqref="N55">
    <cfRule type="expression" dxfId="434" priority="17" stopIfTrue="1">
      <formula>$B50=$B56</formula>
    </cfRule>
    <cfRule type="expression" dxfId="433" priority="18" stopIfTrue="1">
      <formula>O55=0</formula>
    </cfRule>
    <cfRule type="expression" dxfId="432" priority="19" stopIfTrue="1">
      <formula>N55=0</formula>
    </cfRule>
    <cfRule type="expression" dxfId="431" priority="20" stopIfTrue="1">
      <formula>$BE$3=1</formula>
    </cfRule>
  </conditionalFormatting>
  <conditionalFormatting sqref="N61">
    <cfRule type="expression" dxfId="430" priority="13" stopIfTrue="1">
      <formula>$B56=$B62</formula>
    </cfRule>
    <cfRule type="expression" dxfId="429" priority="14" stopIfTrue="1">
      <formula>O61=0</formula>
    </cfRule>
    <cfRule type="expression" dxfId="428" priority="15" stopIfTrue="1">
      <formula>N61=0</formula>
    </cfRule>
    <cfRule type="expression" dxfId="427" priority="16" stopIfTrue="1">
      <formula>$BE$3=1</formula>
    </cfRule>
  </conditionalFormatting>
  <conditionalFormatting sqref="N67">
    <cfRule type="expression" dxfId="426" priority="9" stopIfTrue="1">
      <formula>$B62=$B68</formula>
    </cfRule>
    <cfRule type="expression" dxfId="425" priority="10" stopIfTrue="1">
      <formula>O67=0</formula>
    </cfRule>
    <cfRule type="expression" dxfId="424" priority="11" stopIfTrue="1">
      <formula>N67=0</formula>
    </cfRule>
    <cfRule type="expression" dxfId="423" priority="12" stopIfTrue="1">
      <formula>$BE$3=1</formula>
    </cfRule>
  </conditionalFormatting>
  <conditionalFormatting sqref="N73">
    <cfRule type="expression" dxfId="422" priority="5" stopIfTrue="1">
      <formula>$B68=$B74</formula>
    </cfRule>
    <cfRule type="expression" dxfId="421" priority="6" stopIfTrue="1">
      <formula>O73=0</formula>
    </cfRule>
    <cfRule type="expression" dxfId="420" priority="7" stopIfTrue="1">
      <formula>N73=0</formula>
    </cfRule>
    <cfRule type="expression" dxfId="419" priority="8" stopIfTrue="1">
      <formula>$BE$3=1</formula>
    </cfRule>
  </conditionalFormatting>
  <conditionalFormatting sqref="N79">
    <cfRule type="expression" dxfId="418" priority="1" stopIfTrue="1">
      <formula>$B74=$B80</formula>
    </cfRule>
    <cfRule type="expression" dxfId="417" priority="2" stopIfTrue="1">
      <formula>O79=0</formula>
    </cfRule>
    <cfRule type="expression" dxfId="416" priority="3" stopIfTrue="1">
      <formula>N79=0</formula>
    </cfRule>
    <cfRule type="expression" dxfId="415" priority="4" stopIfTrue="1">
      <formula>$BE$3=1</formula>
    </cfRule>
  </conditionalFormatting>
  <dataValidations count="10">
    <dataValidation type="decimal" allowBlank="1" showInputMessage="1" showErrorMessage="1" sqref="H44:H48 H62:H66 H56:H60 H50:H54 H38:H42 H32:H36 H26:H30 H20:H24 H14:H18 H74:H78 H68:H72 H8:H12" xr:uid="{00000000-0002-0000-0D00-000000000000}">
      <formula1>0</formula1>
      <formula2>6</formula2>
    </dataValidation>
    <dataValidation type="decimal" allowBlank="1" showInputMessage="1" showErrorMessage="1" sqref="F62:F66 F26:F30 F68:F72 F14:F18 F32:F36 F20:F24 F50:F54 F56:F60 F38:F42 F44:F48 F74:F78 F8:F12" xr:uid="{00000000-0002-0000-0D00-000001000000}">
      <formula1>0</formula1>
      <formula2>200</formula2>
    </dataValidation>
    <dataValidation type="list" allowBlank="1" showInputMessage="1" showErrorMessage="1" sqref="D26:D30 D14:D18 D68:D72 D62:D66 D56:D60 D50:D54 D44:D48 D38:D42 D74:D78 D32:D36 D20:D24 D8:D12" xr:uid="{00000000-0002-0000-0D00-000002000000}">
      <formula1>$BG$11:$BG$14</formula1>
    </dataValidation>
    <dataValidation type="list" allowBlank="1" showInputMessage="1" showErrorMessage="1" sqref="E14:E18 E8:E12 E68:E72 E62:E66 E56:E60 E50:E54 E44:E48 E38:E42 E32:E36 E74:E78 E26:E30 E20:E24" xr:uid="{00000000-0002-0000-0D00-000003000000}">
      <formula1>$BG$15:$BG$17</formula1>
    </dataValidation>
    <dataValidation type="list" allowBlank="1" showInputMessage="1" showErrorMessage="1" sqref="B5" xr:uid="{00000000-0002-0000-0D00-000004000000}">
      <formula1>$BF$9:$BF$10</formula1>
    </dataValidation>
    <dataValidation type="list" allowBlank="1" showInputMessage="1" showErrorMessage="1" sqref="I44:I48 I26:I30 I68:I72 I20:I24 I74:I78 I14:I18 I32:I36 I38:I42 I62:I66 I50:I54 I56:I60 I8:I12" xr:uid="{00000000-0002-0000-0D00-000005000000}">
      <formula1>$BF$11:$BF$45</formula1>
    </dataValidation>
    <dataValidation type="list" allowBlank="1" showInputMessage="1" showErrorMessage="1" sqref="K68:K72 K14:K18 K62:K66 K56:K60 K50:K54 K44:K48 K38:K42 K32:K36 K26:K30 K20:K24 K74:K78 K8:K12" xr:uid="{00000000-0002-0000-0D00-000006000000}">
      <formula1>$BH$11:$BH$14</formula1>
    </dataValidation>
    <dataValidation type="decimal" allowBlank="1" showInputMessage="1" showErrorMessage="1" sqref="G14:G18 G74:G78 G68:G72 G62:G66 G56:G60 G50:G54 G44:G48 G38:G42 G32:G36 G26:G30 G20:G24 G8:G12" xr:uid="{00000000-0002-0000-0D00-000007000000}">
      <formula1>0</formula1>
      <formula2>90</formula2>
    </dataValidation>
    <dataValidation type="list" allowBlank="1" showInputMessage="1" showErrorMessage="1" sqref="I6" xr:uid="{00000000-0002-0000-0D00-000008000000}">
      <formula1>$BG$8:$BH$8</formula1>
    </dataValidation>
    <dataValidation type="decimal" allowBlank="1" showInputMessage="1" showErrorMessage="1" sqref="L13 L19 L25 L31 L37 L43 L49 L55 L61 L67 L73 L79 N13 N19 N25 N31 N37 N43 N49 N55 N61 N67 N73 N79" xr:uid="{00000000-0002-0000-0D00-000009000000}">
      <formula1>0</formula1>
      <formula2>100000</formula2>
    </dataValidation>
  </dataValidations>
  <printOptions horizontalCentered="1"/>
  <pageMargins left="0.31496062992125984" right="0.31496062992125984" top="0.51181102362204722" bottom="0.47244094488188981" header="0.23622047244094491" footer="0.23622047244094491"/>
  <pageSetup paperSize="9" scale="55" orientation="portrait" r:id="rId1"/>
  <headerFooter>
    <oddHeader>&amp;L&amp;D&amp;C&amp;F
&amp;A&amp;RPage &amp;P of &amp;N</oddHeader>
    <oddFooter>&amp;LPage &amp;P of &amp;N&amp;C&amp;F
&amp;A&amp;R&amp;D</oddFooter>
  </headerFooter>
  <colBreaks count="1" manualBreakCount="1">
    <brk id="21" min="1" max="62"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indexed="11"/>
    <pageSetUpPr fitToPage="1"/>
  </sheetPr>
  <dimension ref="A1:FD216"/>
  <sheetViews>
    <sheetView showGridLines="0" zoomScale="85" zoomScaleNormal="85" workbookViewId="0">
      <pane xSplit="1" ySplit="7" topLeftCell="B8" activePane="bottomRight" state="frozen"/>
      <selection activeCell="G27" sqref="G27"/>
      <selection pane="topRight" activeCell="G27" sqref="G27"/>
      <selection pane="bottomLeft" activeCell="G27" sqref="G27"/>
      <selection pane="bottomRight" activeCell="F8" sqref="F8"/>
    </sheetView>
  </sheetViews>
  <sheetFormatPr defaultRowHeight="12.75"/>
  <cols>
    <col min="1" max="1" width="3.7109375" style="1" customWidth="1"/>
    <col min="2" max="2" width="6.28515625" customWidth="1"/>
    <col min="3" max="3" width="8.140625" style="3" customWidth="1"/>
    <col min="4" max="4" width="12.28515625" style="9" customWidth="1"/>
    <col min="5" max="5" width="12.7109375" style="9" customWidth="1"/>
    <col min="6" max="6" width="8.7109375" style="5" customWidth="1"/>
    <col min="7" max="7" width="8.5703125" customWidth="1"/>
    <col min="8" max="8" width="8.42578125" style="1" customWidth="1"/>
    <col min="9" max="9" width="14.7109375" customWidth="1"/>
    <col min="10" max="10" width="11.7109375" customWidth="1"/>
    <col min="11" max="11" width="15.7109375" style="1" customWidth="1"/>
    <col min="12" max="12" width="9.42578125" style="9" customWidth="1"/>
    <col min="13" max="13" width="9.42578125" style="1" customWidth="1"/>
    <col min="14" max="14" width="9.42578125" style="9" customWidth="1"/>
    <col min="15" max="15" width="9.42578125" style="1" customWidth="1"/>
    <col min="16" max="16" width="1.7109375" style="1" customWidth="1"/>
    <col min="17" max="17" width="38" style="9" customWidth="1"/>
    <col min="18" max="18" width="7.5703125" style="451" hidden="1" customWidth="1"/>
    <col min="19" max="19" width="4.7109375" style="451" hidden="1" customWidth="1"/>
    <col min="20" max="20" width="8" style="451" hidden="1" customWidth="1"/>
    <col min="21" max="21" width="6.5703125" style="451" hidden="1" customWidth="1"/>
    <col min="22" max="22" width="7.5703125" style="451" hidden="1" customWidth="1"/>
    <col min="23" max="24" width="8.7109375" style="451" hidden="1" customWidth="1"/>
    <col min="25" max="25" width="6.140625" style="509" hidden="1" customWidth="1"/>
    <col min="26" max="26" width="8.7109375" style="451" hidden="1" customWidth="1"/>
    <col min="27" max="27" width="8.7109375" style="426" hidden="1" customWidth="1"/>
    <col min="28" max="28" width="11.28515625" style="426" hidden="1" customWidth="1"/>
    <col min="29" max="29" width="2.7109375" style="2" customWidth="1"/>
    <col min="30" max="31" width="8.7109375" style="2" customWidth="1"/>
    <col min="32" max="33" width="8.7109375" style="4" customWidth="1"/>
    <col min="34" max="34" width="8.7109375" style="4" hidden="1" customWidth="1"/>
    <col min="35" max="35" width="3.7109375" style="4" customWidth="1"/>
    <col min="36" max="37" width="8.7109375" style="4" hidden="1" customWidth="1"/>
    <col min="38" max="38" width="13.7109375" style="4" hidden="1" customWidth="1"/>
    <col min="39" max="39" width="8.7109375" style="10" hidden="1" customWidth="1"/>
    <col min="40" max="41" width="8.7109375" style="430" hidden="1" customWidth="1"/>
    <col min="42" max="42" width="2.140625" style="430" hidden="1" customWidth="1"/>
    <col min="43" max="44" width="10.7109375" style="430" hidden="1" customWidth="1"/>
    <col min="45" max="45" width="10.140625" style="430" hidden="1" customWidth="1"/>
    <col min="46" max="46" width="37.7109375" style="430" hidden="1" customWidth="1"/>
    <col min="47" max="47" width="8.7109375" style="430" customWidth="1"/>
    <col min="48" max="51" width="8.7109375" style="4" customWidth="1"/>
    <col min="52" max="52" width="8.7109375" style="4" hidden="1" customWidth="1"/>
    <col min="53" max="55" width="8.7109375" style="4" customWidth="1"/>
    <col min="56" max="56" width="2.7109375" style="430" hidden="1" customWidth="1"/>
    <col min="57" max="57" width="6.7109375" style="4" hidden="1" customWidth="1"/>
    <col min="58" max="58" width="11.85546875" style="430" hidden="1" customWidth="1"/>
    <col min="59" max="59" width="15.140625" style="430" hidden="1" customWidth="1"/>
    <col min="60" max="60" width="13.7109375" style="51" hidden="1" customWidth="1"/>
    <col min="61" max="61" width="5.140625" style="51" hidden="1" customWidth="1"/>
    <col min="62" max="62" width="7.28515625" style="51" hidden="1" customWidth="1"/>
    <col min="63" max="63" width="10.5703125" style="426" hidden="1" customWidth="1"/>
    <col min="64" max="64" width="12" style="430" hidden="1" customWidth="1"/>
    <col min="65" max="65" width="8" style="52" hidden="1" customWidth="1"/>
    <col min="66" max="66" width="8.5703125" style="52" hidden="1" customWidth="1"/>
    <col min="67" max="67" width="9.42578125" style="52" hidden="1" customWidth="1"/>
    <col min="68" max="68" width="8.7109375" style="52" hidden="1" customWidth="1"/>
    <col min="69" max="69" width="3" style="51" hidden="1" customWidth="1"/>
    <col min="70" max="70" width="9.7109375" style="52" hidden="1" customWidth="1"/>
    <col min="71" max="71" width="9.140625" style="52" hidden="1" customWidth="1"/>
    <col min="72" max="72" width="6.7109375" style="52" hidden="1" customWidth="1"/>
    <col min="73" max="73" width="7.5703125" style="52" hidden="1" customWidth="1"/>
    <col min="74" max="74" width="10.7109375" style="51" hidden="1" customWidth="1"/>
    <col min="75" max="85" width="6.7109375" style="51" hidden="1" customWidth="1"/>
    <col min="86" max="86" width="6.7109375" style="52" hidden="1" customWidth="1"/>
    <col min="87" max="87" width="9.140625" style="52" hidden="1" customWidth="1"/>
    <col min="88" max="88" width="7.5703125" style="51" hidden="1" customWidth="1"/>
    <col min="89" max="89" width="6.42578125" style="51" hidden="1" customWidth="1"/>
    <col min="90" max="90" width="16.7109375" style="779" hidden="1" customWidth="1"/>
    <col min="91" max="91" width="4.42578125" style="188" hidden="1" customWidth="1"/>
    <col min="92" max="92" width="15.5703125" style="779" hidden="1" customWidth="1"/>
    <col min="93" max="93" width="10.28515625" style="779" hidden="1" customWidth="1"/>
    <col min="94" max="104" width="9.140625" style="188" hidden="1" customWidth="1"/>
    <col min="105" max="106" width="9.140625" style="51" hidden="1" customWidth="1"/>
    <col min="107" max="107" width="10.85546875" style="993" hidden="1" customWidth="1"/>
    <col min="108" max="108" width="9.140625" style="51" hidden="1" customWidth="1"/>
    <col min="109" max="109" width="19.85546875" style="51" hidden="1" customWidth="1"/>
    <col min="110" max="110" width="17.140625" style="51" hidden="1" customWidth="1"/>
    <col min="111" max="122" width="9.140625" style="426" hidden="1" customWidth="1"/>
    <col min="123" max="123" width="13.140625" style="426" hidden="1" customWidth="1"/>
    <col min="124" max="124" width="14.42578125" style="426" hidden="1" customWidth="1"/>
    <col min="125" max="136" width="9.140625" style="426" hidden="1" customWidth="1"/>
    <col min="137" max="137" width="11.42578125" style="426" hidden="1" customWidth="1"/>
    <col min="138" max="138" width="10.42578125" style="426" hidden="1" customWidth="1"/>
    <col min="139" max="142" width="9.140625" style="426" hidden="1" customWidth="1"/>
    <col min="143" max="143" width="8.42578125" style="426" hidden="1" customWidth="1"/>
    <col min="144" max="145" width="9.140625" style="426" hidden="1" customWidth="1"/>
    <col min="146" max="147" width="9.140625" style="430" hidden="1" customWidth="1"/>
    <col min="148" max="153" width="9.140625" style="426" hidden="1" customWidth="1"/>
    <col min="154" max="160" width="9.140625" style="426"/>
  </cols>
  <sheetData>
    <row r="1" spans="1:153" ht="24" customHeight="1" thickBot="1">
      <c r="L1" s="2638" t="s">
        <v>1</v>
      </c>
      <c r="M1" s="2639"/>
      <c r="N1" s="2638" t="s">
        <v>17</v>
      </c>
      <c r="O1" s="2788"/>
      <c r="AD1" s="2763" t="s">
        <v>1089</v>
      </c>
      <c r="AE1" s="2764"/>
      <c r="AF1" s="2764"/>
      <c r="AG1" s="2765"/>
      <c r="AH1" s="2"/>
      <c r="AN1" s="1412"/>
      <c r="AO1" s="2891"/>
      <c r="AP1" s="2891"/>
      <c r="AQ1" s="2891"/>
      <c r="AR1" s="2891"/>
      <c r="AS1" s="2891"/>
      <c r="AT1" s="2891"/>
      <c r="AU1" s="51"/>
      <c r="AV1" s="1"/>
      <c r="AW1" s="1"/>
      <c r="AX1" s="1"/>
      <c r="AY1" s="1"/>
      <c r="AZ1" s="1"/>
      <c r="BA1" s="1"/>
      <c r="BB1" s="1"/>
      <c r="BC1" s="1"/>
      <c r="BD1" s="641"/>
      <c r="BE1" s="641"/>
      <c r="BF1" s="652"/>
      <c r="BG1" s="652"/>
      <c r="BH1" s="652"/>
      <c r="BI1" s="759"/>
      <c r="BJ1" s="759"/>
      <c r="BK1" s="931"/>
      <c r="BL1" s="759"/>
      <c r="BM1" s="760"/>
      <c r="BN1" s="760"/>
      <c r="BO1" s="760"/>
      <c r="BP1" s="760"/>
      <c r="BQ1" s="759"/>
      <c r="BR1" s="760"/>
      <c r="BS1" s="760"/>
      <c r="BT1" s="760"/>
      <c r="BU1" s="760"/>
      <c r="BV1" s="759"/>
      <c r="BW1" s="759"/>
      <c r="BX1" s="759"/>
      <c r="BY1" s="759"/>
      <c r="BZ1" s="759"/>
      <c r="CA1" s="759"/>
      <c r="CB1" s="759"/>
      <c r="CC1" s="759"/>
      <c r="CD1" s="759"/>
      <c r="CE1" s="759"/>
      <c r="CF1" s="759"/>
      <c r="CG1" s="759"/>
      <c r="CH1" s="760"/>
      <c r="CI1" s="760"/>
      <c r="CJ1" s="759"/>
      <c r="CK1" s="188"/>
    </row>
    <row r="2" spans="1:153" ht="24" customHeight="1" thickBot="1">
      <c r="B2" s="2690" t="str">
        <f>FP</f>
        <v>Elephant QuickBrace™ September 2018  V.1.0</v>
      </c>
      <c r="C2" s="2691"/>
      <c r="D2" s="2691"/>
      <c r="E2" s="2691"/>
      <c r="F2" s="2691"/>
      <c r="G2" s="2691"/>
      <c r="H2" s="2692"/>
      <c r="I2" s="2693" t="s">
        <v>358</v>
      </c>
      <c r="J2" s="2694"/>
      <c r="K2" s="123" t="s">
        <v>341</v>
      </c>
      <c r="L2" s="124">
        <f ca="1">M2/M3</f>
        <v>0</v>
      </c>
      <c r="M2" s="1544">
        <f ca="1">(SUM(M8:M12)+SUM(M14:M18)+SUM(M20:M24)+SUM(M26:M30)+SUM(M32:M36)+SUM(M38:M42)+SUM(M44:M48)+SUM(M50:M54)+SUM(M56:M60)+SUM(M62:M66)+SUM(M68:M72)+SUM(M74:M78))</f>
        <v>0</v>
      </c>
      <c r="N2" s="124">
        <f ca="1">O2/O3</f>
        <v>0</v>
      </c>
      <c r="O2" s="1545">
        <f ca="1">(SUM(O8:O12)+SUM(O14:O18)+SUM(O20:O24)+SUM(O26:O30)+SUM(O32:O36)+SUM(O38:O42)+SUM(O44:O48)+SUM(O50:O54)+SUM(O56:O60)+SUM(O62:O66)+SUM(O68:O72)+SUM(O74:O78))</f>
        <v>0</v>
      </c>
      <c r="P2" s="133"/>
      <c r="Q2" s="77" t="s">
        <v>370</v>
      </c>
      <c r="R2" s="982"/>
      <c r="S2" s="982"/>
      <c r="T2" s="982"/>
      <c r="U2" s="982"/>
      <c r="V2" s="982"/>
      <c r="W2" s="982"/>
      <c r="X2" s="982"/>
      <c r="Y2" s="1001"/>
      <c r="Z2" s="428"/>
      <c r="AA2" s="427"/>
      <c r="AB2" s="1779"/>
      <c r="AD2" s="2621" t="s">
        <v>1</v>
      </c>
      <c r="AE2" s="2622"/>
      <c r="AF2" s="2623" t="s">
        <v>17</v>
      </c>
      <c r="AG2" s="2624"/>
      <c r="AH2" s="2"/>
      <c r="AJ2" s="14"/>
      <c r="AK2" s="14"/>
      <c r="AL2" s="14"/>
      <c r="AM2" s="6"/>
      <c r="AN2" s="476"/>
      <c r="AO2" s="476"/>
      <c r="AP2" s="476"/>
      <c r="AQ2" s="476"/>
      <c r="AR2" s="476"/>
      <c r="AS2" s="476"/>
      <c r="AT2" s="476"/>
      <c r="AU2" s="476"/>
      <c r="AV2" s="14"/>
      <c r="AW2" s="14"/>
      <c r="AX2" s="14"/>
      <c r="AY2" s="14"/>
      <c r="AZ2" s="14"/>
      <c r="BA2" s="14"/>
      <c r="BB2" s="14"/>
      <c r="BC2" s="14"/>
      <c r="BD2" s="650"/>
      <c r="BE2" s="697" t="s">
        <v>816</v>
      </c>
      <c r="BF2" s="698" t="s">
        <v>817</v>
      </c>
      <c r="BG2" s="698" t="s">
        <v>818</v>
      </c>
      <c r="BH2" s="699"/>
      <c r="BI2" s="759"/>
      <c r="BJ2" s="188"/>
      <c r="BK2" s="506"/>
      <c r="BL2" s="188"/>
      <c r="BM2" s="779"/>
      <c r="BN2" s="779"/>
      <c r="BO2" s="779"/>
      <c r="BP2" s="972"/>
      <c r="BX2" s="2843"/>
      <c r="BY2" s="2844"/>
      <c r="BZ2" s="2844"/>
      <c r="CA2" s="2844"/>
      <c r="CB2" s="2844"/>
      <c r="CC2" s="2844"/>
      <c r="CD2" s="2844"/>
      <c r="CE2" s="2844"/>
      <c r="CF2" s="2844"/>
      <c r="CG2" s="2845"/>
      <c r="CJ2" s="759"/>
      <c r="CL2" s="906" t="s">
        <v>821</v>
      </c>
      <c r="CM2" s="711" t="s">
        <v>822</v>
      </c>
      <c r="CN2" s="974"/>
      <c r="CO2" s="713" t="s">
        <v>823</v>
      </c>
      <c r="CP2" s="714" t="s">
        <v>824</v>
      </c>
      <c r="CQ2" s="712"/>
      <c r="CR2" s="714" t="s">
        <v>1123</v>
      </c>
      <c r="CS2" s="704"/>
      <c r="CT2" s="712"/>
      <c r="CU2" s="714" t="s">
        <v>777</v>
      </c>
      <c r="CV2" s="715"/>
      <c r="CW2" s="712"/>
      <c r="CX2" s="481" t="s">
        <v>784</v>
      </c>
      <c r="CY2" s="714" t="s">
        <v>825</v>
      </c>
      <c r="CZ2" s="712"/>
      <c r="DA2" s="714" t="s">
        <v>371</v>
      </c>
      <c r="DB2" s="712"/>
      <c r="DC2" s="994"/>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31"/>
      <c r="EQ2" s="431"/>
      <c r="ER2" s="427"/>
      <c r="ES2" s="427"/>
      <c r="ET2" s="427"/>
      <c r="EU2" s="427"/>
      <c r="EV2" s="427"/>
      <c r="EW2" s="427"/>
    </row>
    <row r="3" spans="1:153" s="21" customFormat="1" ht="24" customHeight="1" thickBot="1">
      <c r="A3" s="18"/>
      <c r="B3" s="2688" t="s">
        <v>48</v>
      </c>
      <c r="C3" s="2639"/>
      <c r="D3" s="2695" t="str">
        <f>'Project Demand'!E8</f>
        <v xml:space="preserve"> </v>
      </c>
      <c r="E3" s="2696"/>
      <c r="F3" s="2697"/>
      <c r="G3" s="2698" t="str">
        <f>'Project Demand'!E9</f>
        <v xml:space="preserve"> </v>
      </c>
      <c r="H3" s="2699"/>
      <c r="I3" s="2700" t="str">
        <f>IF('Project Demand'!AQ72=1,'Terms and Conditions'!B22,'Project Demand'!L54)</f>
        <v>QuickBrace©                        First Principles</v>
      </c>
      <c r="J3" s="2701"/>
      <c r="K3" s="1791" t="str">
        <f>IF('Project Demand'!AQ72=1,"Total Demand =","Alternative Demand =")</f>
        <v>Total Demand =</v>
      </c>
      <c r="L3" s="1792" t="str">
        <f>$BH$3</f>
        <v>Bu's</v>
      </c>
      <c r="M3" s="1793">
        <f>IF('Project Demand'!AQ72=2,IF('Project Demand'!AQ9=1,"N/A",'Project Demand'!M58),'FP Calcs'!I68)</f>
        <v>770</v>
      </c>
      <c r="N3" s="1792" t="str">
        <f>$BH$3</f>
        <v>Bu's</v>
      </c>
      <c r="O3" s="1794">
        <f>IF('Project Demand'!AQ72=2,IF('Project Demand'!AQ9=1,"N/A",'Project Demand'!M59),'FP Calcs'!I71)</f>
        <v>1206</v>
      </c>
      <c r="P3" s="134"/>
      <c r="Q3" s="676" t="str">
        <f ca="1">IF(OR(M2&lt;M3,O2&lt;O3),"Total Achieved &lt; Total Demand","")</f>
        <v>Total Achieved &lt; Total Demand</v>
      </c>
      <c r="R3" s="923"/>
      <c r="S3" s="923"/>
      <c r="T3" s="923"/>
      <c r="U3" s="923"/>
      <c r="V3" s="923"/>
      <c r="W3" s="923"/>
      <c r="X3" s="923"/>
      <c r="Y3" s="1002"/>
      <c r="Z3" s="452"/>
      <c r="AC3" s="22"/>
      <c r="AD3" s="1357" t="str">
        <f>IF($BG$4=1,$BG$42,$BH$42)</f>
        <v>Left    Line</v>
      </c>
      <c r="AE3" s="1434" t="str">
        <f>IF($BG$4=1,$BG$43,$BH$43)</f>
        <v>Right  Line</v>
      </c>
      <c r="AF3" s="1449" t="str">
        <f>IF($BG$4=1,$BG$42,$BH$42)</f>
        <v>Left    Line</v>
      </c>
      <c r="AG3" s="1358" t="str">
        <f>IF($BG$4=1,$BG$43,$BH$43)</f>
        <v>Right  Line</v>
      </c>
      <c r="AM3" s="20"/>
      <c r="AN3" s="18"/>
      <c r="AO3" s="18"/>
      <c r="AP3" s="18"/>
      <c r="AQ3" s="18"/>
      <c r="AR3" s="18"/>
      <c r="AS3" s="18"/>
      <c r="AT3" s="18"/>
      <c r="AU3" s="18"/>
      <c r="AV3" s="19"/>
      <c r="AW3" s="19"/>
      <c r="AX3" s="19"/>
      <c r="AY3" s="19"/>
      <c r="AZ3" s="19"/>
      <c r="BA3" s="19"/>
      <c r="BB3" s="19"/>
      <c r="BC3" s="19"/>
      <c r="BD3" s="639"/>
      <c r="BE3" s="700">
        <f>'Project Demand'!AX5</f>
        <v>1</v>
      </c>
      <c r="BF3" s="701">
        <f>IF($BE$3=1,100,5)</f>
        <v>100</v>
      </c>
      <c r="BG3" s="702">
        <f>IF($BE$3=1,15,0.75)</f>
        <v>15</v>
      </c>
      <c r="BH3" s="763" t="str">
        <f>IF($BE$3=1,CX2,CX3)</f>
        <v>Bu's</v>
      </c>
      <c r="BI3" s="931"/>
      <c r="BJ3" s="18"/>
      <c r="BM3" s="923"/>
      <c r="BP3" s="449"/>
      <c r="BT3" s="923"/>
      <c r="BU3" s="923"/>
      <c r="CH3" s="923"/>
      <c r="CI3" s="923"/>
      <c r="CJ3" s="927"/>
      <c r="CL3" s="907" t="s">
        <v>826</v>
      </c>
      <c r="CM3" s="716" t="s">
        <v>827</v>
      </c>
      <c r="CN3" s="975"/>
      <c r="CO3" s="717" t="s">
        <v>828</v>
      </c>
      <c r="CP3" s="705" t="s">
        <v>829</v>
      </c>
      <c r="CQ3" s="718"/>
      <c r="CR3" s="705" t="s">
        <v>830</v>
      </c>
      <c r="CS3" s="719"/>
      <c r="CT3" s="718"/>
      <c r="CU3" s="705" t="s">
        <v>831</v>
      </c>
      <c r="CV3" s="720"/>
      <c r="CW3" s="721"/>
      <c r="CX3" s="482" t="s">
        <v>786</v>
      </c>
      <c r="CY3" s="705" t="s">
        <v>832</v>
      </c>
      <c r="CZ3" s="718"/>
      <c r="DA3" s="705" t="s">
        <v>833</v>
      </c>
      <c r="DB3" s="718"/>
      <c r="DU3" s="651"/>
      <c r="EP3" s="432"/>
      <c r="EQ3" s="432"/>
      <c r="EW3" s="651"/>
    </row>
    <row r="4" spans="1:153" ht="24" customHeight="1" thickBot="1">
      <c r="B4" s="2688" t="s">
        <v>65</v>
      </c>
      <c r="C4" s="2689"/>
      <c r="D4" s="2618" t="str">
        <f>'Project Demand'!E10</f>
        <v xml:space="preserve"> </v>
      </c>
      <c r="E4" s="2619"/>
      <c r="F4" s="2619"/>
      <c r="G4" s="2619"/>
      <c r="H4" s="2620"/>
      <c r="I4" s="2702" t="str">
        <f>CU4</f>
        <v>Min. Bu's per either External side of Project=</v>
      </c>
      <c r="J4" s="2703"/>
      <c r="K4" s="2704"/>
      <c r="L4" s="1785">
        <f ca="1">(IF(L5&gt;'Project Demand'!$E57*$BG$3,L5,IF('Project Demand'!$E57*$BG$3&gt;$BF$3,'Project Demand'!$E57*$BG$3,$BF$3)))</f>
        <v>150</v>
      </c>
      <c r="M4" s="1786"/>
      <c r="N4" s="1785">
        <f ca="1">(IF(N5&gt;'Project Demand'!$E57*$BG$3,N5,IF('Project Demand'!$E57*$BG$3&gt;$BF$3,'Project Demand'!$E57*$BG$3,$BF$3)))</f>
        <v>150</v>
      </c>
      <c r="O4" s="1787"/>
      <c r="P4" s="135"/>
      <c r="Q4" s="1018" t="str">
        <f ca="1">IF(OR(L4&gt;EI81,N4&gt;EJ81,L4&gt;EK81,N4&gt;EL81),"Min. Req. on Ext Lines not reached,  See Table below or at right ===&gt;","")</f>
        <v>Min. Req. on Ext Lines not reached,  See Table below or at right ===&gt;</v>
      </c>
      <c r="T4" s="3"/>
      <c r="Z4" s="452"/>
      <c r="AD4" s="2636" t="str">
        <f ca="1">IF(AND(AD5&gt;=AD7,AE5&gt;=AD7),"Achieved","Not reached")</f>
        <v>Not reached</v>
      </c>
      <c r="AE4" s="2637"/>
      <c r="AF4" s="2626" t="str">
        <f ca="1">IF(AND(AF5&gt;=AF7,AG5&gt;=AF7),"Achieved","Not reached")</f>
        <v>Not reached</v>
      </c>
      <c r="AG4" s="2627"/>
      <c r="AL4" s="479"/>
      <c r="AM4" s="1"/>
      <c r="AN4" s="479"/>
      <c r="AO4" s="479"/>
      <c r="AP4" s="479"/>
      <c r="AQ4" s="479"/>
      <c r="AR4" s="479"/>
      <c r="AS4" s="479"/>
      <c r="AT4" s="479"/>
      <c r="AU4" s="479"/>
      <c r="AV4" s="479"/>
      <c r="AW4" s="479"/>
      <c r="AX4" s="479"/>
      <c r="AY4" s="479"/>
      <c r="AZ4" s="479"/>
      <c r="BA4" s="479"/>
      <c r="BB4" s="479"/>
      <c r="BC4" s="479"/>
      <c r="BD4" s="640"/>
      <c r="BE4" s="2673" t="s">
        <v>925</v>
      </c>
      <c r="BF4" s="2674"/>
      <c r="BG4" s="450">
        <f>'Project Demand'!AX21</f>
        <v>1</v>
      </c>
      <c r="BH4" s="703"/>
      <c r="BI4" s="932"/>
      <c r="CJ4" s="759"/>
      <c r="CL4" s="950" t="s">
        <v>834</v>
      </c>
      <c r="CM4" s="951" t="str">
        <f>IF($BE$3=1,CM2,CM3)</f>
        <v>"Min Bu's entered &lt; 100"</v>
      </c>
      <c r="CN4" s="976"/>
      <c r="CO4" s="953" t="str">
        <f>IF($BE$3=1,CO2,CO3)</f>
        <v>Bu/m</v>
      </c>
      <c r="CP4" s="951" t="str">
        <f>IF($BE$3=1,CP2,CP3)</f>
        <v>Achieved Bu's</v>
      </c>
      <c r="CQ4" s="952"/>
      <c r="CR4" s="951" t="str">
        <f>IF($BE$3=1,CR2,CR3)</f>
        <v>Element Resistance Limitations</v>
      </c>
      <c r="CS4" s="930"/>
      <c r="CT4" s="952"/>
      <c r="CU4" s="951" t="str">
        <f>IF($BE$3=1,CU2,CU3)</f>
        <v>Min. Bu's per either External side of Project=</v>
      </c>
      <c r="CV4" s="954"/>
      <c r="CW4" s="952"/>
      <c r="CY4" s="951" t="str">
        <f>IF($BE$3=1,CY2,CY3)</f>
        <v>Minimum Bu's Req. on each Bracing Line =</v>
      </c>
      <c r="CZ4" s="952"/>
      <c r="DA4" s="951" t="str">
        <f>IF($BE$3=1,DA2,DA3)</f>
        <v>Achieved BU's =</v>
      </c>
      <c r="DB4" s="952"/>
      <c r="DU4" s="1007"/>
      <c r="EM4" s="427" t="s">
        <v>948</v>
      </c>
      <c r="EP4" s="428" t="s">
        <v>950</v>
      </c>
      <c r="EQ4" s="497">
        <f>BH30</f>
        <v>1</v>
      </c>
      <c r="EW4" s="427"/>
    </row>
    <row r="5" spans="1:153" ht="24" customHeight="1" thickBot="1">
      <c r="A5" s="36"/>
      <c r="B5" s="2643" t="s">
        <v>1084</v>
      </c>
      <c r="C5" s="2644"/>
      <c r="D5" s="2644"/>
      <c r="E5" s="2644"/>
      <c r="F5" s="2644"/>
      <c r="G5" s="2644"/>
      <c r="H5" s="2645"/>
      <c r="I5" s="2711" t="str">
        <f>CY4</f>
        <v>Minimum Bu's Req. on each Bracing Line =</v>
      </c>
      <c r="J5" s="2712"/>
      <c r="K5" s="2713"/>
      <c r="L5" s="1788">
        <f ca="1">M105</f>
        <v>0</v>
      </c>
      <c r="M5" s="1789"/>
      <c r="N5" s="1788">
        <f ca="1">O105</f>
        <v>0</v>
      </c>
      <c r="O5" s="1790"/>
      <c r="P5" s="135"/>
      <c r="Q5" s="76" t="str">
        <f ca="1">IF(ISERROR(FIND("&lt;Min BU/",Q13&amp;Q19&amp;Q25&amp;Q31&amp;Q37&amp;Q43&amp;Q49&amp;Q55&amp;Q61&amp;Q67&amp;Q73&amp;Q79,1)),"","Min. Req. on each Bracing Line not reached")</f>
        <v/>
      </c>
      <c r="T5" s="1373" t="s">
        <v>8</v>
      </c>
      <c r="AC5"/>
      <c r="AD5" s="1780">
        <f ca="1">$EI$81</f>
        <v>0</v>
      </c>
      <c r="AE5" s="1781">
        <f>$EK$81</f>
        <v>0</v>
      </c>
      <c r="AF5" s="1782">
        <f ca="1">$EJ$81</f>
        <v>0</v>
      </c>
      <c r="AG5" s="1783">
        <f>$EL$81</f>
        <v>0</v>
      </c>
      <c r="AJ5" s="1"/>
      <c r="AK5" s="1"/>
      <c r="AL5" s="1"/>
      <c r="AM5" s="6"/>
      <c r="AN5" s="51"/>
      <c r="AO5" s="51"/>
      <c r="AP5" s="51"/>
      <c r="AQ5" s="51"/>
      <c r="AR5" s="51"/>
      <c r="AS5" s="51"/>
      <c r="AT5" s="51"/>
      <c r="AU5" s="51"/>
      <c r="AV5" s="1"/>
      <c r="AW5" s="1"/>
      <c r="AX5" s="1"/>
      <c r="AY5" s="1"/>
      <c r="AZ5" s="1"/>
      <c r="BA5" s="1"/>
      <c r="BB5" s="1"/>
      <c r="BC5" s="1"/>
      <c r="BD5" s="641"/>
      <c r="BE5" s="2677" t="s">
        <v>815</v>
      </c>
      <c r="BF5" s="2678"/>
      <c r="BG5" s="959" t="str">
        <f>IF('Project Demand'!AQ72&lt;&gt;1,"Yes","No")</f>
        <v>No</v>
      </c>
      <c r="BI5" s="759"/>
      <c r="CJ5" s="759"/>
      <c r="CK5" s="188"/>
      <c r="CL5" s="977"/>
      <c r="CM5" s="777"/>
      <c r="CN5" s="778"/>
      <c r="CO5" s="778"/>
      <c r="CP5" s="777"/>
      <c r="CQ5" s="777"/>
      <c r="CR5" s="777"/>
      <c r="CS5" s="777"/>
      <c r="CT5" s="777"/>
      <c r="CU5" s="777"/>
      <c r="CV5" s="777"/>
      <c r="CW5" s="777"/>
      <c r="CX5" s="777"/>
      <c r="CY5" s="777"/>
      <c r="CZ5" s="777"/>
      <c r="DA5" s="920"/>
      <c r="DB5" s="920"/>
      <c r="DC5" s="997"/>
      <c r="DD5" s="920"/>
      <c r="DE5" s="920"/>
      <c r="DF5" s="920"/>
      <c r="DG5" s="955"/>
      <c r="DH5" s="955" t="s">
        <v>261</v>
      </c>
      <c r="DI5" s="955"/>
      <c r="DJ5" s="955"/>
      <c r="DK5" s="955"/>
      <c r="DL5" s="955"/>
      <c r="DM5" s="955"/>
      <c r="DN5" s="955"/>
      <c r="DO5" s="920" t="s">
        <v>250</v>
      </c>
      <c r="DP5" s="955"/>
      <c r="DQ5" s="955"/>
      <c r="DR5" s="955"/>
      <c r="DS5" s="955" t="s">
        <v>262</v>
      </c>
      <c r="DT5" s="955" t="s">
        <v>265</v>
      </c>
      <c r="DU5" s="955" t="s">
        <v>261</v>
      </c>
      <c r="DV5" s="955"/>
      <c r="DW5" s="955"/>
      <c r="DX5" s="955"/>
      <c r="DY5" s="955"/>
      <c r="DZ5" s="955"/>
      <c r="EA5" s="955"/>
      <c r="EB5" s="955"/>
      <c r="EC5" s="920" t="s">
        <v>250</v>
      </c>
      <c r="ED5" s="955"/>
      <c r="EE5" s="955"/>
      <c r="EF5" s="955"/>
      <c r="EG5" s="2738" t="s">
        <v>617</v>
      </c>
      <c r="EH5" s="2739"/>
      <c r="EI5" s="2739"/>
      <c r="EJ5" s="2739"/>
      <c r="EK5" s="2739"/>
      <c r="EL5" s="2740"/>
      <c r="EM5" s="2873" t="s">
        <v>588</v>
      </c>
      <c r="EN5" s="2874"/>
      <c r="EO5" s="2875"/>
      <c r="EP5" s="497">
        <f>BG28</f>
        <v>2</v>
      </c>
      <c r="EQ5" s="497">
        <f>BH28</f>
        <v>2</v>
      </c>
      <c r="ER5" s="2871" t="s">
        <v>932</v>
      </c>
      <c r="ES5" s="2872"/>
      <c r="EU5" s="426" t="s">
        <v>835</v>
      </c>
      <c r="EW5" s="427"/>
    </row>
    <row r="6" spans="1:153" ht="24" customHeight="1" thickBot="1">
      <c r="A6" s="37"/>
      <c r="B6" s="2705" t="s">
        <v>32</v>
      </c>
      <c r="C6" s="2646" t="s">
        <v>1051</v>
      </c>
      <c r="D6" s="2846" t="str">
        <f>IF($BG$4=1,BG39,BG40)</f>
        <v>Left ,Right OR Internal</v>
      </c>
      <c r="E6" s="2846" t="s">
        <v>1047</v>
      </c>
      <c r="F6" s="2846" t="s">
        <v>1046</v>
      </c>
      <c r="G6" s="2847" t="s">
        <v>483</v>
      </c>
      <c r="H6" s="2846" t="s">
        <v>36</v>
      </c>
      <c r="I6" s="1692" t="s">
        <v>1107</v>
      </c>
      <c r="J6" s="2791" t="s">
        <v>49</v>
      </c>
      <c r="K6" s="2789" t="str">
        <f>CR4</f>
        <v>Element Resistance Limitations</v>
      </c>
      <c r="L6" s="2638" t="s">
        <v>1</v>
      </c>
      <c r="M6" s="2639"/>
      <c r="N6" s="2638" t="s">
        <v>17</v>
      </c>
      <c r="O6" s="2788"/>
      <c r="P6" s="136"/>
      <c r="Q6" s="2641" t="str">
        <f ca="1">IF(Q98&lt;&gt;0,"Check Warnings below and at bottom of this page","")</f>
        <v>Check Warnings below and at bottom of this page</v>
      </c>
      <c r="T6" s="2640" t="s">
        <v>1070</v>
      </c>
      <c r="U6" s="2640" t="s">
        <v>1071</v>
      </c>
      <c r="W6" s="3"/>
      <c r="X6" s="3"/>
      <c r="AB6" s="2625" t="s">
        <v>1050</v>
      </c>
      <c r="AC6"/>
      <c r="AD6" s="2630" t="s">
        <v>1092</v>
      </c>
      <c r="AE6" s="2631"/>
      <c r="AF6" s="2632" t="s">
        <v>1090</v>
      </c>
      <c r="AG6" s="2633"/>
      <c r="AJ6" s="2892" t="s">
        <v>908</v>
      </c>
      <c r="AK6" s="2893"/>
      <c r="AL6" s="2893"/>
      <c r="AM6" s="2896" t="s">
        <v>484</v>
      </c>
      <c r="AN6" s="2897"/>
      <c r="AO6" s="2897"/>
      <c r="AP6" s="2897"/>
      <c r="AQ6" s="2897"/>
      <c r="AR6" s="2898"/>
      <c r="AS6" s="1642"/>
      <c r="AT6" s="2869"/>
      <c r="AU6" s="25"/>
      <c r="AV6" s="25"/>
      <c r="AW6" s="25"/>
      <c r="AX6" s="25"/>
      <c r="AY6" s="25"/>
      <c r="AZ6" s="25"/>
      <c r="BA6" s="25"/>
      <c r="BB6" s="25"/>
      <c r="BC6" s="25"/>
      <c r="BD6" s="642"/>
      <c r="BE6" s="25"/>
      <c r="BF6" s="2670" t="s">
        <v>586</v>
      </c>
      <c r="BG6" s="918" t="s">
        <v>610</v>
      </c>
      <c r="BH6" s="919">
        <f>'Regular and QuickBrace Systems'!W2</f>
        <v>1</v>
      </c>
      <c r="BI6" s="933"/>
      <c r="BJ6" s="898"/>
      <c r="BL6" s="119"/>
      <c r="BR6" s="450" t="s">
        <v>248</v>
      </c>
      <c r="BS6" s="450" t="s">
        <v>248</v>
      </c>
      <c r="BT6" s="450" t="s">
        <v>323</v>
      </c>
      <c r="BU6" s="450" t="s">
        <v>267</v>
      </c>
      <c r="BV6" s="2730" t="s">
        <v>676</v>
      </c>
      <c r="BW6" s="2731"/>
      <c r="CH6" s="52" t="s">
        <v>235</v>
      </c>
      <c r="CI6" s="52" t="s">
        <v>235</v>
      </c>
      <c r="CJ6" s="759"/>
      <c r="CK6" s="188"/>
      <c r="CL6" s="2675" t="s">
        <v>670</v>
      </c>
      <c r="CN6" s="2721" t="s">
        <v>670</v>
      </c>
      <c r="CO6" s="2723"/>
      <c r="CR6" s="930" t="s">
        <v>851</v>
      </c>
      <c r="CS6" s="2672" t="s">
        <v>1</v>
      </c>
      <c r="CT6" s="2672"/>
      <c r="CU6" s="2672" t="s">
        <v>229</v>
      </c>
      <c r="CV6" s="2672"/>
      <c r="CW6" s="51"/>
      <c r="CX6" s="51"/>
      <c r="CY6" s="51"/>
      <c r="CZ6" s="51"/>
      <c r="DC6" s="2734" t="s">
        <v>924</v>
      </c>
      <c r="DD6" s="603" t="s">
        <v>323</v>
      </c>
      <c r="DE6" s="51" t="s">
        <v>1049</v>
      </c>
      <c r="DF6" s="2743" t="s">
        <v>1048</v>
      </c>
      <c r="DG6" s="2672" t="s">
        <v>1</v>
      </c>
      <c r="DH6" s="2672"/>
      <c r="DI6" s="2672" t="s">
        <v>229</v>
      </c>
      <c r="DJ6" s="2672"/>
      <c r="DK6" s="51"/>
      <c r="DL6" s="51"/>
      <c r="DM6" s="51"/>
      <c r="DN6" s="51"/>
      <c r="DO6" s="426" t="s">
        <v>1</v>
      </c>
      <c r="DQ6" s="426" t="s">
        <v>230</v>
      </c>
      <c r="DT6" s="2741"/>
      <c r="DU6" s="2672" t="s">
        <v>1</v>
      </c>
      <c r="DV6" s="2672"/>
      <c r="DW6" s="2672" t="s">
        <v>229</v>
      </c>
      <c r="DX6" s="2672"/>
      <c r="DY6" s="51"/>
      <c r="DZ6" s="51"/>
      <c r="EA6" s="51"/>
      <c r="EB6" s="51"/>
      <c r="EC6" s="426" t="s">
        <v>1</v>
      </c>
      <c r="EE6" s="426" t="s">
        <v>230</v>
      </c>
      <c r="EG6" s="601"/>
      <c r="EH6" s="465"/>
      <c r="EI6" s="604" t="s">
        <v>642</v>
      </c>
      <c r="EJ6" s="605"/>
      <c r="EK6" s="606" t="s">
        <v>644</v>
      </c>
      <c r="EL6" s="607"/>
      <c r="EM6" s="426" t="s">
        <v>368</v>
      </c>
      <c r="EN6" s="2876" t="s">
        <v>945</v>
      </c>
      <c r="EO6" s="2878" t="s">
        <v>946</v>
      </c>
      <c r="EP6" s="2876" t="s">
        <v>949</v>
      </c>
      <c r="ER6" s="2728"/>
      <c r="ES6" s="2729"/>
      <c r="EW6" s="427"/>
    </row>
    <row r="7" spans="1:153" ht="24" customHeight="1" thickBot="1">
      <c r="B7" s="2706"/>
      <c r="C7" s="2647"/>
      <c r="D7" s="2708"/>
      <c r="E7" s="2708"/>
      <c r="F7" s="2708"/>
      <c r="G7" s="2710"/>
      <c r="H7" s="2708"/>
      <c r="I7" s="1685" t="str">
        <f>IF(I6=BG8,"Suggested Systems","Select Systems")</f>
        <v>Suggested Systems</v>
      </c>
      <c r="J7" s="2792"/>
      <c r="K7" s="2790"/>
      <c r="L7" s="722" t="str">
        <f>CO4</f>
        <v>Bu/m</v>
      </c>
      <c r="M7" s="690" t="str">
        <f>CP4</f>
        <v>Achieved Bu's</v>
      </c>
      <c r="N7" s="722" t="str">
        <f>CO4</f>
        <v>Bu/m</v>
      </c>
      <c r="O7" s="723" t="str">
        <f>CP4</f>
        <v>Achieved Bu's</v>
      </c>
      <c r="P7" s="137"/>
      <c r="Q7" s="2642"/>
      <c r="R7" s="451">
        <v>1</v>
      </c>
      <c r="T7" s="2640"/>
      <c r="U7" s="2640"/>
      <c r="W7" s="451">
        <v>0</v>
      </c>
      <c r="Z7" s="429" t="s">
        <v>269</v>
      </c>
      <c r="AB7" s="2625"/>
      <c r="AD7" s="2634">
        <f ca="1">$L$4</f>
        <v>150</v>
      </c>
      <c r="AE7" s="2635"/>
      <c r="AF7" s="2628">
        <f ca="1">$N$4</f>
        <v>150</v>
      </c>
      <c r="AG7" s="2629"/>
      <c r="AJ7" s="2894"/>
      <c r="AK7" s="2895"/>
      <c r="AL7" s="2895"/>
      <c r="AM7" s="2899"/>
      <c r="AN7" s="2900"/>
      <c r="AO7" s="2900"/>
      <c r="AP7" s="2900"/>
      <c r="AQ7" s="2900"/>
      <c r="AR7" s="2901"/>
      <c r="AS7" s="1642"/>
      <c r="AT7" s="2870"/>
      <c r="AU7" s="426"/>
      <c r="AV7"/>
      <c r="AW7"/>
      <c r="AX7"/>
      <c r="AY7"/>
      <c r="AZ7"/>
      <c r="BA7"/>
      <c r="BB7"/>
      <c r="BC7"/>
      <c r="BD7" s="643"/>
      <c r="BF7" s="2842"/>
      <c r="BG7" s="2724"/>
      <c r="BH7" s="2725"/>
      <c r="BI7" s="759"/>
      <c r="BJ7" s="915" t="s">
        <v>863</v>
      </c>
      <c r="BK7" s="119"/>
      <c r="BL7" s="916"/>
      <c r="BM7" s="52" t="s">
        <v>41</v>
      </c>
      <c r="BN7" s="52" t="s">
        <v>40</v>
      </c>
      <c r="BO7" s="52" t="s">
        <v>42</v>
      </c>
      <c r="BP7" s="52" t="s">
        <v>43</v>
      </c>
      <c r="BR7" s="450" t="s">
        <v>263</v>
      </c>
      <c r="BS7" s="450" t="s">
        <v>264</v>
      </c>
      <c r="BT7" s="450" t="s">
        <v>324</v>
      </c>
      <c r="BU7" s="450" t="s">
        <v>268</v>
      </c>
      <c r="BV7" s="2732"/>
      <c r="BW7" s="2733"/>
      <c r="CH7" s="52" t="s">
        <v>1</v>
      </c>
      <c r="CI7" s="52" t="s">
        <v>236</v>
      </c>
      <c r="CJ7" s="759"/>
      <c r="CK7" s="188"/>
      <c r="CL7" s="2676"/>
      <c r="CN7" s="2722"/>
      <c r="CO7" s="2723" t="s">
        <v>249</v>
      </c>
      <c r="CR7" s="52" t="s">
        <v>226</v>
      </c>
      <c r="CS7" s="956" t="s">
        <v>227</v>
      </c>
      <c r="CT7" s="52" t="s">
        <v>228</v>
      </c>
      <c r="CU7" s="956" t="s">
        <v>227</v>
      </c>
      <c r="CV7" s="52" t="s">
        <v>228</v>
      </c>
      <c r="CW7" s="52" t="s">
        <v>253</v>
      </c>
      <c r="CX7" s="52" t="s">
        <v>1</v>
      </c>
      <c r="CY7" s="52" t="s">
        <v>254</v>
      </c>
      <c r="CZ7" s="52" t="s">
        <v>230</v>
      </c>
      <c r="DA7" s="52" t="s">
        <v>255</v>
      </c>
      <c r="DB7" s="52" t="s">
        <v>256</v>
      </c>
      <c r="DC7" s="2734"/>
      <c r="DD7" s="602" t="s">
        <v>324</v>
      </c>
      <c r="DF7" s="2743"/>
      <c r="DG7" s="956" t="s">
        <v>227</v>
      </c>
      <c r="DH7" s="52" t="s">
        <v>228</v>
      </c>
      <c r="DI7" s="956" t="s">
        <v>227</v>
      </c>
      <c r="DJ7" s="52" t="s">
        <v>228</v>
      </c>
      <c r="DK7" s="51"/>
      <c r="DL7" s="51" t="s">
        <v>1</v>
      </c>
      <c r="DM7" s="51"/>
      <c r="DN7" s="51" t="s">
        <v>230</v>
      </c>
      <c r="DO7" s="51" t="s">
        <v>251</v>
      </c>
      <c r="DP7" s="51" t="s">
        <v>252</v>
      </c>
      <c r="DQ7" s="51" t="s">
        <v>251</v>
      </c>
      <c r="DR7" s="51" t="s">
        <v>252</v>
      </c>
      <c r="DT7" s="2742"/>
      <c r="DU7" s="956" t="s">
        <v>227</v>
      </c>
      <c r="DV7" s="52" t="s">
        <v>228</v>
      </c>
      <c r="DW7" s="956" t="s">
        <v>227</v>
      </c>
      <c r="DX7" s="52" t="s">
        <v>228</v>
      </c>
      <c r="DY7" s="51"/>
      <c r="DZ7" s="51" t="s">
        <v>1</v>
      </c>
      <c r="EA7" s="51"/>
      <c r="EB7" s="51" t="s">
        <v>230</v>
      </c>
      <c r="EC7" s="51" t="s">
        <v>251</v>
      </c>
      <c r="ED7" s="51" t="s">
        <v>252</v>
      </c>
      <c r="EE7" s="51" t="s">
        <v>251</v>
      </c>
      <c r="EF7" s="51" t="s">
        <v>252</v>
      </c>
      <c r="EG7" s="433"/>
      <c r="EH7" s="602"/>
      <c r="EI7" s="608" t="s">
        <v>1</v>
      </c>
      <c r="EJ7" s="609" t="s">
        <v>643</v>
      </c>
      <c r="EK7" s="610" t="s">
        <v>1</v>
      </c>
      <c r="EL7" s="609" t="s">
        <v>230</v>
      </c>
      <c r="EM7" s="51" t="s">
        <v>369</v>
      </c>
      <c r="EN7" s="2877"/>
      <c r="EO7" s="2879"/>
      <c r="EP7" s="2877"/>
      <c r="EQ7" s="1017" t="s">
        <v>947</v>
      </c>
      <c r="ER7" s="548">
        <f>'Project Demand'!E55</f>
        <v>0.2</v>
      </c>
      <c r="ES7" s="434"/>
      <c r="EW7" s="427"/>
    </row>
    <row r="8" spans="1:153" ht="17.100000000000001" customHeight="1" thickBot="1">
      <c r="B8" s="689" t="s">
        <v>7</v>
      </c>
      <c r="C8" s="684" t="str">
        <f>IF(OR(F8=0,I8="",I8=" ")," ",$V8)</f>
        <v xml:space="preserve"> </v>
      </c>
      <c r="D8" s="1413" t="str">
        <f>BG$12</f>
        <v>Left External</v>
      </c>
      <c r="E8" s="1360"/>
      <c r="F8" s="202"/>
      <c r="G8" s="1416"/>
      <c r="H8" s="1417" t="str">
        <f ca="1">IF(OR(F8=0,Z8="E",Z8="f")," ",'Project Demand'!E$55)</f>
        <v xml:space="preserve"> </v>
      </c>
      <c r="I8" s="631" t="str">
        <f>IF($I$6&lt;&gt;$BG$8," ",AB8)</f>
        <v xml:space="preserve"> </v>
      </c>
      <c r="J8" s="43" t="str">
        <f ca="1">IF(OR(I8=" ",I8="")," ",OFFSET($BO$9,CL8-1,0-4,1,1))</f>
        <v xml:space="preserve"> </v>
      </c>
      <c r="K8" s="55" t="str">
        <f>IF(OR(I8=" ",I8="")," ",IF(OR(Z8="e",Z8="h"),"SD",IF(BG$24=BH$11,BH$13,BG$24)))</f>
        <v xml:space="preserve"> </v>
      </c>
      <c r="L8" s="725">
        <f ca="1">CW8</f>
        <v>0</v>
      </c>
      <c r="M8" s="446">
        <f ca="1">CY8</f>
        <v>0</v>
      </c>
      <c r="N8" s="445">
        <f t="shared" ref="N8:O12" ca="1" si="0">DA8</f>
        <v>0</v>
      </c>
      <c r="O8" s="728">
        <f t="shared" ca="1" si="0"/>
        <v>0</v>
      </c>
      <c r="P8" s="138"/>
      <c r="Q8" s="752" t="str">
        <f ca="1">IF(AND(OR(Z8="t",Z8="f"),K8=$BH$11),"No Floor!  Change Floor Type",IF(OR(I8=" ",I8="")," ",IF(F8&lt;OFFSET($BM$9,CL8-1,0,1,1),"check L(m)",DE8&amp;IF(AND(DP8&gt;=CY8,DR8&gt;=DB8),IF(AND(ED8&gt;=DP8,EF8&gt;=DR8),CONCATENATE(DS8," will provide same result"),CONCATENATE(CO8," will provide same result")),IF((DP8&gt;=CY8),CONCATENATE(CO8," provides same result in WIND"),IF((DR8&gt;=DB8),CONCATENATE(CO8," provides same result in EQ"),""))))))&amp;IF(ISERROR(FIND("pile",I8,1)),"",IF(INT(F8)&lt;&gt;F8,"Pile!  Use Whole Numbers Only",""))</f>
        <v xml:space="preserve"> </v>
      </c>
      <c r="R8" s="52">
        <f ca="1">COLUMN(INDIRECT(B8&amp;1))</f>
        <v>13</v>
      </c>
      <c r="S8" s="1372" t="str">
        <f ca="1">SUBSTITUTE(ADDRESS(1,R8,4),"1","")</f>
        <v>M</v>
      </c>
      <c r="T8" s="451">
        <f>IF(AND(ISTEXT(B8),SUBSTITUTE(SUBSTITUTE(SUBSTITUTE(SUBSTITUTE(SUBSTITUTE(SUBSTITUTE(SUBSTITUTE(SUBSTITUTE(SUBSTITUTE(SUBSTITUTE(SUBSTITUTE(SUBSTITUTE(SUBSTITUTE(SUBSTITUTE(SUBSTITUTE(SUBSTITUTE(SUBSTITUTE(SUBSTITUTE(SUBSTITUTE(SUBSTITUTE(SUBSTITUTE(SUBSTITUTE(SUBSTITUTE(SUBSTITUTE(SUBSTITUTE(SUBSTITUTE(LOWER(B8),"a",),"b",),"c",),"d",),"e",),"f",),"g",),"h",),"i",),"j",),"k",),"l",),"m",),"n",),"o",),"p",),"q",),"r",),"s",),"t",),"u",),"v",),"w",),"x",),"y",),"z",)=""),1,2)</f>
        <v>1</v>
      </c>
      <c r="U8" s="1377">
        <v>13</v>
      </c>
      <c r="V8" s="52" t="str">
        <f>IF(AND(B$5=$BF$9,OR(I8=BH$16,I8=BH$17))," ",IF(ISNUMBER(B$8),(CONCATENATE(B$8,".",W8)),(CONCATENATE(B$8,W8))))</f>
        <v>M0</v>
      </c>
      <c r="W8" s="9">
        <f>W7+X8</f>
        <v>0</v>
      </c>
      <c r="X8" s="9">
        <f>IF(AND(B$5=$BF$9,OR($I8=$BH$16,$I8=$BH$17,$I8=" ",$I8="",$F8=0)),0,IF(OR($I8=" ",$I8="",$F8=0),0,1))</f>
        <v>0</v>
      </c>
      <c r="Y8" s="896">
        <f ca="1">IF(AND(M13&gt;0,B8&lt;&gt;B14),1,0)</f>
        <v>0</v>
      </c>
      <c r="Z8" s="52" t="str">
        <f ca="1">IF(I8=" "," ",OFFSET($BM$9,$CL8-1,8,1,1))</f>
        <v xml:space="preserve"> </v>
      </c>
      <c r="AA8" s="51" t="str">
        <f>IF(G8&gt;=45,"WA","")</f>
        <v/>
      </c>
      <c r="AB8" s="1364" t="str">
        <f>IF(OR(E8=" ",E8="")," ",(IF(F8&lt;&gt;"",IF(OR(D8=$BG$12,D8=$BG$13),IF(E8&lt;&gt;$BG$17,$BF$20,$BF$21),IF(E8&lt;&gt;$BG$17,$BF$20,$BF$21))," ")))</f>
        <v xml:space="preserve"> </v>
      </c>
      <c r="AC8" s="1"/>
      <c r="AJ8" s="2184" t="str">
        <f>'Custom Elements'!O6</f>
        <v>Supplier</v>
      </c>
      <c r="AK8" s="2186" t="str">
        <f>'Regular and QuickBrace Systems'!D5</f>
        <v>Internal or External Usage</v>
      </c>
      <c r="AL8" s="2823" t="str">
        <f>'Custom Elements'!P6</f>
        <v>System</v>
      </c>
      <c r="AM8" s="2858" t="str">
        <f>'Regular and QuickBrace Systems'!F5</f>
        <v xml:space="preserve"> Performance</v>
      </c>
      <c r="AN8" s="2859"/>
      <c r="AO8" s="2860"/>
      <c r="AP8" s="1353"/>
      <c r="AQ8" s="2823" t="str">
        <f>'Custom Elements'!V6</f>
        <v>Height Dependant</v>
      </c>
      <c r="AR8" s="2232" t="str">
        <f>'Custom Elements'!W6</f>
        <v>Foundation Dependant</v>
      </c>
      <c r="AS8" s="1639"/>
      <c r="AT8" s="2861" t="str">
        <f>'Custom Elements'!AH6</f>
        <v>NZS3604:2011  Systems</v>
      </c>
      <c r="AU8" s="51"/>
      <c r="AV8" s="1"/>
      <c r="AW8" s="1"/>
      <c r="AX8" s="1"/>
      <c r="AY8" s="1"/>
      <c r="AZ8" s="1"/>
      <c r="BA8" s="1"/>
      <c r="BB8" s="1"/>
      <c r="BC8" s="1"/>
      <c r="BD8" s="641"/>
      <c r="BE8" s="457" t="s">
        <v>1069</v>
      </c>
      <c r="BF8" s="1379"/>
      <c r="BG8" s="430" t="s">
        <v>1107</v>
      </c>
      <c r="BH8" s="51" t="s">
        <v>1109</v>
      </c>
      <c r="BI8" s="759"/>
      <c r="BJ8" s="896"/>
      <c r="BK8" s="51"/>
      <c r="BL8" s="51"/>
      <c r="BM8" s="966" t="s">
        <v>8</v>
      </c>
      <c r="CJ8" s="759"/>
      <c r="CK8" s="188"/>
      <c r="CL8" s="978">
        <f>VLOOKUP(I8,Prodlink,2,0)</f>
        <v>0</v>
      </c>
      <c r="CN8" s="497">
        <f ca="1">VLOOKUP(CO8,Prodlink,2,0)</f>
        <v>0</v>
      </c>
      <c r="CO8" s="497">
        <f ca="1">OFFSET($CH$9,CL8-1,-15,1,1)</f>
        <v>0</v>
      </c>
      <c r="CQ8" s="51">
        <v>0</v>
      </c>
      <c r="CR8" s="51">
        <f ca="1">IF(AND(Z8&lt;&gt;"t",Z8&lt;&gt;"f"),10000,IF(K8=$BH$11,0,IF(K8=$BH$12,$BH$23,IF(K8=$BH$13,$BH$24,10000))))</f>
        <v>10000</v>
      </c>
      <c r="CS8" s="51">
        <f ca="1">IF(F8&lt;OFFSET($BM$9,CL8-1,0,1,1),0,IF(F8&lt;OFFSET($BN$9,CL8-1,0,1,1),((F8-OFFSET($BM$9,CL8-1,0,1,1))*OFFSET($CH$9,CL8-1,0,1,1))+OFFSET($BO$9,CL8-1,CQ8,1,1),IF(F8&lt;OFFSET($BN$9,CL8+0,0,1,1),((F8-OFFSET($BM$9,CL8+0,0,1,1))*OFFSET($CH$9,CL8+0,0,1,1))+OFFSET($BO$9,CL8+0,CQ8,1,1),IF(F8&lt;OFFSET($BN$9,CL8+1,0,1,1),((F8-OFFSET($BM$9,CL8+1,0,1,1))*OFFSET($CH$9,CL8+1,0,1,1))+OFFSET($BO$9,CL8+1,CQ8,1,1),IF(F8&lt;OFFSET($BN$9,CL8+2,0,1,1),((F8-OFFSET($BM$9,CL8+2,0,1,1))*OFFSET($CH$9,CL8+2,0,1,1))+OFFSET($BO$9,CL8+2,CQ8,1,1),IF(F8&lt;OFFSET($BN$9,CL8+3,0,1,1),((F8-OFFSET($BM$9,CL8+3,0,1,1))*OFFSET($CH$9,CL8+3,0,1,1))+OFFSET($BO$9,CL8+3,CQ8,1,1),0))))))</f>
        <v>0</v>
      </c>
      <c r="CT8" s="51">
        <f ca="1">IF($F8&lt;OFFSET($BM$9,$CL8-1,0,1,1),0,IF($F8&lt;OFFSET($BN$9,$CL8-1,0,1,1),IF(AND($H8&gt;2.4,Z8&lt;&gt;"e",Z8&lt;&gt;"f"),CX8*2.4/$H8,CX8),IF($F8&lt;OFFSET($BN$9,$CL8+0,0,1,1),IF(AND($H8&gt;2.4,Z8&lt;&gt;"e",Z8&lt;&gt;"f"),CX8*2.4/$H8,CX8),IF($F8&lt;OFFSET($BN$9,$CL8+1,0,1,1),IF(AND($H8&gt;2.4,Z8&lt;&gt;"e",Z8&lt;&gt;"f"),CX8*2.4/$H8,CX8),IF($F8&lt;OFFSET($BN$9,CL8+2,0,1,1),IF(AND($H8&gt;2.4,Z8&lt;&gt;"e",Z8&lt;&gt;"f"),CX8*2.4/$H8,CX8),IF($F8&lt;OFFSET($BN$9,CL8+3,0,1,1),IF(AND($H8&gt;2.4,Z8&lt;&gt;"e",Z8&lt;&gt;"f"),CX8*2.4/$H8,CX8),0)))))*COS(RADIANS($G8)))</f>
        <v>0</v>
      </c>
      <c r="CU8" s="51">
        <f ca="1">IF(F8&lt;OFFSET($BM$9,CL8-1,0,1,1),0,IF(F8&lt;OFFSET($BN$9,CL8-1,0,1,1),((F8-OFFSET($BM$9,CL8-1,0,1,1))*OFFSET($CI$9,CL8-1,0,1,1))+OFFSET($BP$9,CL8-1,CQ8,1,1),IF(F8&lt;OFFSET($BN$9,CL8+0,0,1,1),((F8-OFFSET($BM$9,CL8+0,0,1,1))*OFFSET($CI$9,CL8+0,0,1,1))+OFFSET($BP$9,CL8+0,CQ8,1,1),IF(F8&lt;OFFSET($BN$9,CL8+1,0,1,1),((F8-OFFSET($BM$9,CL8+1,0,1,1))*OFFSET($CI$9,CL8+1,0,1,1))+OFFSET($BP$9,CL8+1,CQ8,1,1),IF(F8&lt;OFFSET($BN$9,CL8+2,0,1,1),((F8-OFFSET($BM$9,CL8+2,0,1,1))*OFFSET($CI$9,CL8+2,0,1,1))+OFFSET($BP$9,CL8+2,CQ8,1,1),IF(F8&lt;OFFSET($BN$9,CL8+3,0,1,1),((F8-OFFSET($BM$9,CL8+3,0,1,1))*OFFSET($CI$9,CL8+3,0,1,1))+OFFSET($BP$9,CL8+3,CQ8,1,1),0))))))</f>
        <v>0</v>
      </c>
      <c r="CV8" s="51">
        <f ca="1">IF($F8&lt;OFFSET($BM$9,$CL8-1,0,1,1),0,IF($F8&lt;OFFSET($BN$9,$CL8-1,0,1,1),IF(AND($H8&gt;2.4,Z8&lt;&gt;"e",Z8&lt;&gt;"f"),CZ8*2.4/$H8,CZ8),IF($F8&lt;OFFSET($BN$9,$CL8+0,0,1,1),IF(AND($H8&gt;2.4,Z8&lt;&gt;"e",Z8&lt;&gt;"f"),CZ8*2.4/$H8,CZ8),IF($F8&lt;OFFSET($BN$9,$CL8+1,0,1,1),IF(AND($H8&gt;2.4,Z8&lt;&gt;"e",Z8&lt;&gt;"f"),CZ8*2.4/$H8,CZ8),IF($F8&lt;OFFSET($BN$9,$CL8+2,0,1,1),IF(AND($H8&gt;2.4,Z8&lt;&gt;"e",Z8&lt;&gt;"f"),CZ8*2.4/$H8,CZ8),IF($F8&lt;OFFSET($BN$9,$CL8+3,0,1,1),IF(AND($H8&gt;2.4,Z8&lt;&gt;"e",Z8&lt;&gt;"f"),CZ8*2.4/$H8,CZ8),0)))))*COS(RADIANS($G8)))</f>
        <v>0</v>
      </c>
      <c r="CW8" s="51">
        <f ca="1">IF(CT8&gt;CR8,CR8,CT8)</f>
        <v>0</v>
      </c>
      <c r="CX8" s="51">
        <f ca="1">IF(CS8&gt;$CR8,$CR8,CS8)</f>
        <v>0</v>
      </c>
      <c r="CY8" s="51">
        <f ca="1">CW8*F8</f>
        <v>0</v>
      </c>
      <c r="CZ8" s="51">
        <f ca="1">IF($CU8&gt;$CR8,$CR8,$CU8)</f>
        <v>0</v>
      </c>
      <c r="DA8" s="51">
        <f ca="1">IF(CV8&gt;CR8,CR8,CV8)</f>
        <v>0</v>
      </c>
      <c r="DB8" s="51">
        <f ca="1">DA8*F8</f>
        <v>0</v>
      </c>
      <c r="DC8" s="993">
        <v>2</v>
      </c>
      <c r="DD8" s="758" t="str">
        <f>IF(OR(D8=BG$12,D8=BG$13),"External",IF(D8=BG$14,"Internal"," "))</f>
        <v>External</v>
      </c>
      <c r="DE8" s="51" t="str">
        <f ca="1">IF(AND(OFFSET($CH$9,CL8-1,-14,1,1)="I",DD8="External"),BE$66,IF(AND(OFFSET($CH$9,CL8-1,-14,1,1)="M",DD8="Internal"),BE$65,IF(AND(OFFSET($CH$9,CL8-1,-14,1,1)="M",DD8=" "),BE$64,IF(AND(OFFSET($CH$9,CL8-1,-14,1,1)="E",DD8="Internal"),BE$62,IF(AND(OFFSET($CH$9,CL8-1,-14,1,1)="E",DD8=" "),BE$61,IF(AND(DF8="Double",E8=$BG$16),BE$67,""))))))</f>
        <v/>
      </c>
      <c r="DF8" s="52" t="str">
        <f ca="1">IF(I8=" "," ",OFFSET($BM$9,$CL8-1,11,1,1))</f>
        <v xml:space="preserve"> </v>
      </c>
      <c r="DG8" s="51">
        <f ca="1">IF(F8&lt;OFFSET($BM$9,CN8-1,0,1,1),0,IF(F8&lt;OFFSET($BN$9,CN8-1,0,1,1),((F8-OFFSET($BM$9,CN8-1,0,1,1))*OFFSET($CH$9,CN8-1,0,1,1))+OFFSET($BO$9,CN8-1,CQ8,1,1),IF(F8&lt;OFFSET($BN$9,CN8+0,0,1,1),((F8-OFFSET($BM$9,CN8+0,0,1,1))*OFFSET($CH$9,CN8+0,0,1,1))+OFFSET($BO$9,CN8+0,CQ8,1,1),IF(F8&lt;OFFSET($BN$9,CN8+1,0,1,1),((F8-OFFSET($BM$9,CN8+1,0,1,1))*OFFSET($CH$9,CN8+1,0,1,1))+OFFSET($BO$9,CN8+1,CQ8,1,1),IF(F8&lt;OFFSET($BN$9,CN8+2,0,1,1),((F8-OFFSET($BM$9,CN8+2,0,1,1))*OFFSET($CH$9,CN8+2,0,1,1))+OFFSET($BO$9,CN8+2,CQ8,1,1),IF(F8&lt;OFFSET($BN$9,CN8+3,0,1,1),((F8-OFFSET($BM$9,CN8+3,0,1,1))*OFFSET($CH$9,CN8+3,0,1,1))+OFFSET($BO$9,CN8+3,CQ8,1,1),0))))))</f>
        <v>0</v>
      </c>
      <c r="DH8" s="51">
        <f ca="1">IF($F8&lt;OFFSET($BM$9,$CN8-1,0,1,1),0,IF($F8&lt;OFFSET($BN$9,$CN8-1,0,1,1),IF(AND($H8&gt;2.4,Z8&lt;&gt;"e",Z8&lt;&gt;"f"),DL8*2.4/$H8,DL8),IF($F8&lt;OFFSET($BN$9,$CN8+0,0,1,1),IF(AND($H8&gt;2.4,Z8&lt;&gt;"e",Z8&lt;&gt;"f"),DL8*2.4/$H8,DL8),IF($F8&lt;OFFSET($BN$9,$CN8+1,0,1,1),IF(AND($H8&gt;2.4,Z8&lt;&gt;"e",Z8&lt;&gt;"f"),DL8*2.4/$H8,DL8),IF($F8&lt;OFFSET($BN$9,$CN8+2,0,1,1),IF(AND($H8&gt;2.4,Z8&lt;&gt;"e",Z8&lt;&gt;"f"),DL8*2.4/$H8,DL8),IF($F8&lt;OFFSET($BN$9,$CN8+3,0,1,1),IF(AND($H8&gt;2.4,Z8&lt;&gt;"e",Z8&lt;&gt;"f"),DL8*2.4/$H8,DL8),0)))))*COS(RADIANS($G8)))</f>
        <v>0</v>
      </c>
      <c r="DI8" s="51">
        <f ca="1">IF(F8&lt;OFFSET($BM$9,CN8-1,0,1,1),0,IF(F8&lt;OFFSET($BN$9,CN8-1,0,1,1),((F8-OFFSET($BM$9,CN8-1,0,1,1))*OFFSET($CI$9,CN8-1,0,1,1))+OFFSET($BP$9,CN8-1,CQ8,1,1),IF(F8&lt;OFFSET($BN$9,CN8+0,0,1,1),((F8-OFFSET($BM$9,CN8+0,0,1,1))*OFFSET($CI$9,CN8+0,0,1,1))+OFFSET($BP$9,CN8+0,CQ8,1,1),IF(F8&lt;OFFSET($BN$9,CN8+1,0,1,1),((F8-OFFSET($BM$9,CN8+1,0,1,1))*OFFSET($CI$9,CN8+1,0,1,1))+OFFSET($BP$9,CN8+1,CQ8,1,1),IF(F8&lt;OFFSET($BN$9,CN8+2,0,1,1),((F8-OFFSET($BM$9,CN8+2,0,1,1))*OFFSET($CI$9,CN8+2,0,1,1))+OFFSET($BP$9,CN8+2,CQ8,1,1),IF(F8&lt;OFFSET($BN$9,CN8+3,0,1,1),((F8-OFFSET($BM$9,CN8+3,0,1,1))*OFFSET($CI$9,CN8+3,0,1,1))+OFFSET($BP$9,CN8+3,CQ8,1,1),0))))))</f>
        <v>0</v>
      </c>
      <c r="DJ8" s="51">
        <f ca="1">IF($F8&lt;OFFSET($BM$9,$CN8-1,0,1,1),0,IF($F8&lt;OFFSET($BN$9,$CN8-1,0,1,1),IF(AND($H8&gt;2.4,Z8&lt;&gt;"e",Z8&lt;&gt;"f"),DN8*2.4/$H8,DN8),IF($F8&lt;OFFSET($BN$9,$CN8+0,0,1,1),IF(AND($H8&gt;2.4,Z8&lt;&gt;"e",Z8&lt;&gt;"f"),DN8*2.4/$H8,DN8),IF($F8&lt;OFFSET($BN$9,$CN8+1,0,1,1),IF(AND($H8&gt;2.4,Z8&lt;&gt;"e",Z8&lt;&gt;"f"),DN8*2.4/$H8,DN8),IF($F8&lt;OFFSET($BN$9,$CN8+2,0,1,1),IF(AND($H8&gt;2.4,Z8&lt;&gt;"e",Z8&lt;&gt;"f"),DN8*2.4/$H8,DN8),IF($F8&lt;OFFSET($BN$9,$CN8+3,0,1,1),IF(AND($H8&gt;2.4,Z8&lt;&gt;"e",Z8&lt;&gt;"f"),DN8*2.4/$H8,DN8),0)))))*COS(RADIANS($G8)))</f>
        <v>0</v>
      </c>
      <c r="DK8" s="51"/>
      <c r="DL8" s="51">
        <f ca="1">IF(DG8&gt;$CR8,$CR8,DG8)</f>
        <v>0</v>
      </c>
      <c r="DM8" s="51"/>
      <c r="DN8" s="51">
        <f ca="1">IF(DI8&gt;$CR8,$CR8,DI8)</f>
        <v>0</v>
      </c>
      <c r="DO8" s="435">
        <f ca="1">IF(DH8&gt;$CR8,$CR8,DH8)</f>
        <v>0</v>
      </c>
      <c r="DP8" s="435">
        <f ca="1">DO8*F8</f>
        <v>0</v>
      </c>
      <c r="DQ8" s="436">
        <f ca="1">IF(DJ8&gt;$CR8,$CR8,DJ8)</f>
        <v>0</v>
      </c>
      <c r="DR8" s="437">
        <f ca="1">DQ8*F8</f>
        <v>0</v>
      </c>
      <c r="DS8" s="426">
        <f ca="1">OFFSET($CH$9,CL8-1,-15,1,1)</f>
        <v>0</v>
      </c>
      <c r="DT8" s="426">
        <f t="shared" ref="DT8:DT39" ca="1" si="1">VLOOKUP(DS8,Prodlink,2,0)</f>
        <v>0</v>
      </c>
      <c r="DU8" s="188">
        <f ca="1">IF(F8&lt;OFFSET($BM$9,DT8-1,0,1,1),0,IF(F8&lt;OFFSET($BN$9,DT8-1,0,1,1),((F8-OFFSET($BM$9,DT8-1,0,1,1))*OFFSET($CH$9,DT8-1,0,1,1))+OFFSET($BO$9,DT8-1,CQ8,1,1),IF(F8&lt;OFFSET($BN$9,DT8+0,0,1,1),((F8-OFFSET($BM$9,DT8+0,0,1,1))*OFFSET($CH$9,DT8+0,0,1,1))+OFFSET($BO$9,DT8+0,CQ8,1,1),IF(F8&lt;OFFSET($BN$9,DT8+1,0,1,1),((F8-OFFSET($BM$9,DT8+1,0,1,1))*OFFSET($CH$9,DT8+1,0,1,1))+OFFSET($BO$9,DT8+1,CQ8,1,1),IF(F8&lt;OFFSET($BN$9,DT8+2,0,1,1),((F8-OFFSET($BM$9,DT8+2,0,1,1))*OFFSET($CH$9,DT8+2,0,1,1))+OFFSET($BO$9,DT8+2,CQ8,1,1),IF(F8&lt;OFFSET($BN$9,DT8+3,0,1,1),((F8-OFFSET($BM$9,DT8+3,0,1,1))*OFFSET($CH$9,DT8+3,0,1,1))+OFFSET($BO$9,DT8+3,CQ8,1,1),0))))))</f>
        <v>0</v>
      </c>
      <c r="DV8" s="51">
        <f ca="1">IF($F8&lt;OFFSET($BM$9,$DT8-1,0,1,1),0,IF($F8&lt;OFFSET($BN$9,$DT8-1,0,1,1),IF(AND($H8&gt;2.4,Z8&lt;&gt;"e",Z8&lt;&gt;"f"),DZ8*2.4/$H8,DZ8),IF($F8&lt;OFFSET($BN$9,$DT8+0,0,1,1),IF(AND($H8&gt;2.4,Z8&lt;&gt;"e",Z8&lt;&gt;"f"),DZ8*2.4/$H8,DZ8),IF($F8&lt;OFFSET($BN$9,$DT8+1,0,1,1),IF(AND($H8&gt;2.4,Z8&lt;&gt;"e",Z8&lt;&gt;"f"),DZ8*2.4/$H8,DZ8),IF($F8&lt;OFFSET($BN$9,$DT8+2,0,1,1),IF(AND($H8&gt;2.4,Z8&lt;&gt;"e",Z8&lt;&gt;"f"),DZ8*2.4/$H8,DZ8),IF($F8&lt;OFFSET($BN$9,$DT8+3,0,1,1),IF(AND($H8&gt;2.4,Z8&lt;&gt;"e",Z8&lt;&gt;"f"),DZ8*2.4/$H8,DZ8),0)))))*COS(RADIANS($G8)))</f>
        <v>0</v>
      </c>
      <c r="DW8" s="188">
        <f ca="1">IF(F8&lt;OFFSET($BM$9,DT8-1,0,1,1),0,IF(F8&lt;OFFSET($BN$9,DT8-1,0,1,1),((F8-OFFSET($BM$9,DT8-1,0,1,1))*OFFSET($CI$9,DT8-1,0,1,1))+OFFSET($BP$9,DT8-1,CQ8,1,1),IF(F8&lt;OFFSET($BN$9,DT8+0,0,1,1),((F8-OFFSET($BM$9,DT8+0,0,1,1))*OFFSET($CI$9,DT8+0,0,1,1))+OFFSET($BP$9,DT8+0,CQ8,1,1),IF(F8&lt;OFFSET($BN$9,DT8+1,0,1,1),((F8-OFFSET($BM$9,DT8+1,0,1,1))*OFFSET($CI$9,DT8+1,0,1,1))+OFFSET($BP$9,DT8+1,CQ8,1,1),IF(F8&lt;OFFSET($BN$9,DT8+2,0,1,1),((F8-OFFSET($BM$9,DT8+2,0,1,1))*OFFSET($CI$9,DT8+2,0,1,1))+OFFSET($BP$9,DT8+2,CQ8,1,1),IF(F8&lt;OFFSET($BN$9,DT8+3,0,1,1),((F8-OFFSET($BM$9,DT8+3,0,1,1))*OFFSET($CI$9,DT8+3,0,1,1))+OFFSET($BP$9,DT8+3,CQ8,1,1),0))))))</f>
        <v>0</v>
      </c>
      <c r="DX8" s="51">
        <f ca="1">IF($F8&lt;OFFSET($BM$9,$DT8-1,0,1,1),0,IF($F8&lt;OFFSET($BN$9,$DT8-1,0,1,1),IF(AND($H8&gt;2.4,Z8&lt;&gt;"e",Z8&lt;&gt;"f"),EB8*2.4/$H8,EB8),IF($F8&lt;OFFSET($BN$9,$DT8+0,0,1,1),IF(AND($H8&gt;2.4,Z8&lt;&gt;"e",Z8&lt;&gt;"f"),EB8*2.4/$H8,EB8),IF($F8&lt;OFFSET($BN$9,$DT8+1,0,1,1),IF(AND($H8&gt;2.4,Z8&lt;&gt;"e",Z8&lt;&gt;"f"),EB8*2.4/$H8,EB8),IF($F8&lt;OFFSET($BN$9,$DT8+2,0,1,1),IF(AND($H8&gt;2.4,Z8&lt;&gt;"e",Z8&lt;&gt;"f"),EB8*2.4/$H8,EB8),IF($F8&lt;OFFSET($BN$9,$DT8+3,0,1,1),IF(AND($H8&gt;2.4,Z8&lt;&gt;"e",Z8&lt;&gt;"f"),EB8*2.4/$H8,EB8),0)))))*COS(RADIANS($G8)))</f>
        <v>0</v>
      </c>
      <c r="DY8" s="188"/>
      <c r="DZ8" s="188">
        <f ca="1">IF(DU8&gt;$CR8,$CR8,DU8)</f>
        <v>0</v>
      </c>
      <c r="EA8" s="188"/>
      <c r="EB8" s="188">
        <f ca="1">IF(DW8&gt;$CR8,$CR8,DW8)</f>
        <v>0</v>
      </c>
      <c r="EC8" s="435">
        <f ca="1">IF(DV8&gt;$CR8,$CR8,DV8)</f>
        <v>0</v>
      </c>
      <c r="ED8" s="435">
        <f ca="1">EC8*F8</f>
        <v>0</v>
      </c>
      <c r="EE8" s="436">
        <f ca="1">IF(DX8&gt;$CR8,$CR8,DX8)</f>
        <v>0</v>
      </c>
      <c r="EF8" s="437">
        <f ca="1">EE8*F8</f>
        <v>0</v>
      </c>
      <c r="EG8" s="613" t="str">
        <f>IF(D8=BG$12,BG$12,"")</f>
        <v>Left External</v>
      </c>
      <c r="EH8" s="614" t="str">
        <f>IF(D8=BG$13,BG$13,"")</f>
        <v/>
      </c>
      <c r="EI8" s="611">
        <f ca="1">IF(EG8=BG$12,M8,0)</f>
        <v>0</v>
      </c>
      <c r="EJ8" s="451">
        <f ca="1">IF(EG8=BG$12,O8,0)</f>
        <v>0</v>
      </c>
      <c r="EK8" s="451">
        <f>IF(EH8=BG$13,M8,0)</f>
        <v>0</v>
      </c>
      <c r="EL8" s="612">
        <f>IF(EH8=BG$13,O8,0)</f>
        <v>0</v>
      </c>
      <c r="EM8" s="426" t="str">
        <f ca="1">IF(AND(Z8&lt;&gt;"t",Z8&lt;&gt;"f"),"",IF(AND(EN8=$BH$11,K8&lt;&gt;EN8),EM$4,IF(AND(EN8=$BH$12,K8=$BH$13),EM$4,IF(AND(EN8=$BH$12,K8=$BH$14),EM$4,IF(AND(EN8=$BH$13,K8=$BH$14),$EM$4,IF(EN8=$BH$14,$EM$4,""))))))</f>
        <v/>
      </c>
      <c r="EN8" s="489" t="str">
        <f>BG$24</f>
        <v>Earth</v>
      </c>
      <c r="EO8" s="426" t="str">
        <f>K8</f>
        <v xml:space="preserve"> </v>
      </c>
      <c r="EP8" s="497" t="str">
        <f ca="1">IF(AND(Z8&lt;&gt;"t",Z8&lt;&gt;"f"),"",IF(AND(EN8=$BH$14,K8&lt;&gt;EN8),EP$4,IF(AND(EN8=$BH$13,K8=$BH$12),EP$4,IF(AND(EN8=$BH$13,K8=$BH$11),EP$4,IF(AND(EN8=$BH$12,K8=$BH$11),$EP$4,IF(EN8=$BH$11,"Earth",""))))))</f>
        <v/>
      </c>
      <c r="EQ8" s="430" t="str">
        <f ca="1">IF(Z8&lt;&gt;"t","",IF(EQ$5=2,IF(K8&lt;&gt;BH$11,EQ$7," ")))</f>
        <v/>
      </c>
      <c r="ER8" s="439" t="str">
        <f ca="1">IF(H8=0," ",H8)</f>
        <v xml:space="preserve"> </v>
      </c>
      <c r="ES8" s="440" t="str">
        <f ca="1">IF(ER8&lt;&gt;" ",IF(ER8&lt;&gt;ER$7,"Changed",""),"")</f>
        <v/>
      </c>
      <c r="ET8" s="440">
        <f ca="1">IF(ER8&lt;&gt;" ",IF(ER8&lt;&gt;ER$7,1,0),0)</f>
        <v>0</v>
      </c>
      <c r="EU8" s="426" t="str">
        <f ca="1">IF(I8=" "," ",IF(F8&lt;OFFSET($BM$9,CL8-1,0,1,1),1,""))</f>
        <v xml:space="preserve"> </v>
      </c>
      <c r="EW8" s="427"/>
    </row>
    <row r="9" spans="1:153" ht="17.100000000000001" customHeight="1" thickBot="1">
      <c r="B9" s="689" t="s">
        <v>246</v>
      </c>
      <c r="C9" s="684" t="str">
        <f>IF(OR(F9=0,I9="",I9=" ")," ",$V9)</f>
        <v xml:space="preserve"> </v>
      </c>
      <c r="D9" s="1033"/>
      <c r="E9" s="1360"/>
      <c r="F9" s="202"/>
      <c r="G9" s="1416"/>
      <c r="H9" s="1417" t="str">
        <f ca="1">IF(OR(F9=0,Z9="E",Z9="f")," ",'Project Demand'!E$55)</f>
        <v xml:space="preserve"> </v>
      </c>
      <c r="I9" s="631" t="str">
        <f>IF($I$6&lt;&gt;$BG$8," ",AB9)</f>
        <v xml:space="preserve"> </v>
      </c>
      <c r="J9" s="44" t="str">
        <f ca="1">IF(OR(I9=" ",I9="")," ",OFFSET($BO$9,CL9-1,0-4,1,1))</f>
        <v xml:space="preserve"> </v>
      </c>
      <c r="K9" s="55" t="str">
        <f>IF(OR(I9=" ",I9="")," ",IF(OR(Z9="e",Z9="h"),"SD",IF(BG$24=BH$11,BH$13,BG$24)))</f>
        <v xml:space="preserve"> </v>
      </c>
      <c r="L9" s="725">
        <f ca="1">CW9</f>
        <v>0</v>
      </c>
      <c r="M9" s="726">
        <f ca="1">CY9</f>
        <v>0</v>
      </c>
      <c r="N9" s="445">
        <f t="shared" ca="1" si="0"/>
        <v>0</v>
      </c>
      <c r="O9" s="728">
        <f t="shared" ca="1" si="0"/>
        <v>0</v>
      </c>
      <c r="P9" s="138"/>
      <c r="Q9" s="752" t="str">
        <f ca="1">IF(AND(OR(Z9="t",Z9="f"),K9=$BH$11),"No Floor!  Change Floor Type",IF(OR(I9=" ",I9="")," ",IF(F9&lt;OFFSET($BM$9,CL9-1,0,1,1),"check L(m)",DE9&amp;IF(AND(DP9&gt;=CY9,DR9&gt;=DB9),IF(AND(ED9&gt;=DP9,EF9&gt;=DR9),CONCATENATE(DS9," will provide same result"),CONCATENATE(CO9," will provide same result")),IF((DP9&gt;=CY9),CONCATENATE(CO9," provides same result in WIND"),IF((DR9&gt;=DB9),CONCATENATE(CO9," provides same result in EQ"),""))))))&amp;IF(ISERROR(FIND("pile",I9,1)),"",IF(INT(F9)&lt;&gt;F9,"Pile!  Use Whole Numbers Only",""))</f>
        <v xml:space="preserve"> </v>
      </c>
      <c r="R9" s="52"/>
      <c r="S9" s="1372"/>
      <c r="T9" s="52"/>
      <c r="U9" s="1377"/>
      <c r="V9" s="52" t="str">
        <f>IF(AND(B$5=$BF$9,OR(I9=BH$16,I9=BH$17))," ",IF(ISNUMBER(B$8),(CONCATENATE(B$8,".",W9)),(CONCATENATE(B$8,W9))))</f>
        <v>M0</v>
      </c>
      <c r="W9" s="9">
        <f>W8+X9</f>
        <v>0</v>
      </c>
      <c r="X9" s="9">
        <f>IF(AND(B$5=$BF$9,OR($I9=$BH$16,$I9=$BH$17,$I9=" ",$I9="",$F9=0)),0,IF(OR($I9=" ",$I9="",$F9=0),0,1))</f>
        <v>0</v>
      </c>
      <c r="Y9" s="896"/>
      <c r="Z9" s="52" t="str">
        <f ca="1">IF(I9=" "," ",OFFSET($BM$9,$CL9-1,8,1,1))</f>
        <v xml:space="preserve"> </v>
      </c>
      <c r="AA9" s="51" t="str">
        <f>IF(G9&gt;=45,"WA","")</f>
        <v/>
      </c>
      <c r="AB9" s="1364" t="str">
        <f>IF(OR(E9=" ",E9="")," ",(IF(F9&lt;&gt;"",IF(OR(D9=$BG$12,D9=$BG$13),IF(E9&lt;&gt;$BG$17,$BF$20,$BF$21),IF(E9&lt;&gt;$BG$17,$BF$20,$BF$21))," ")))</f>
        <v xml:space="preserve"> </v>
      </c>
      <c r="AC9" s="1"/>
      <c r="AJ9" s="2185"/>
      <c r="AK9" s="2187"/>
      <c r="AL9" s="2246"/>
      <c r="AM9" s="2246" t="str">
        <f>'Regular and QuickBrace Systems'!F6</f>
        <v>Min Length (m)</v>
      </c>
      <c r="AN9" s="2863" t="str">
        <f>'Regular and QuickBrace Systems'!G6</f>
        <v>BU's/m   Wind</v>
      </c>
      <c r="AO9" s="2601" t="str">
        <f>'Regular and QuickBrace Systems'!H6</f>
        <v>BU's/m   EQ</v>
      </c>
      <c r="AP9" s="1244"/>
      <c r="AQ9" s="2246"/>
      <c r="AR9" s="2233"/>
      <c r="AS9" s="1639"/>
      <c r="AT9" s="2862"/>
      <c r="AU9" s="120"/>
      <c r="AV9" s="480"/>
      <c r="AW9" s="480"/>
      <c r="AX9" s="480"/>
      <c r="AY9" s="480"/>
      <c r="AZ9" s="480"/>
      <c r="BA9" s="480"/>
      <c r="BB9" s="480"/>
      <c r="BC9" s="480"/>
      <c r="BD9" s="2649"/>
      <c r="BE9" s="1380"/>
      <c r="BF9" s="2679" t="s">
        <v>1084</v>
      </c>
      <c r="BG9" s="2679"/>
      <c r="BH9" s="2679"/>
      <c r="BI9" s="759"/>
      <c r="BJ9" s="896">
        <v>1</v>
      </c>
      <c r="BK9" s="119" t="s">
        <v>49</v>
      </c>
      <c r="BL9" s="916" t="s">
        <v>39</v>
      </c>
      <c r="BM9" s="967">
        <v>0</v>
      </c>
      <c r="BN9" s="966"/>
      <c r="BO9" s="966">
        <v>0</v>
      </c>
      <c r="BP9" s="966"/>
      <c r="BR9" s="450"/>
      <c r="BS9" s="450"/>
      <c r="BT9" s="450"/>
      <c r="BU9" s="450"/>
      <c r="BV9" s="51" t="s">
        <v>8</v>
      </c>
      <c r="CH9" s="966"/>
      <c r="CI9" s="966"/>
      <c r="CJ9" s="928"/>
      <c r="CK9" s="937"/>
      <c r="CL9" s="979">
        <f>VLOOKUP(I9,Prodlink,2,0)</f>
        <v>0</v>
      </c>
      <c r="CN9" s="497">
        <f t="shared" ref="CN9:CN39" ca="1" si="2">VLOOKUP(CO9,Prodlink,2,0)</f>
        <v>0</v>
      </c>
      <c r="CO9" s="497">
        <f ca="1">OFFSET($CH$9,CL9-1,-15,1,1)</f>
        <v>0</v>
      </c>
      <c r="CQ9" s="51">
        <v>0</v>
      </c>
      <c r="CR9" s="51">
        <f t="shared" ref="CR9:CR12" ca="1" si="3">IF(AND(Z9&lt;&gt;"t",Z9&lt;&gt;"f"),10000,IF(K9=$BH$11,0,IF(K9=$BH$12,$BH$23,IF(K9=$BH$13,$BH$24,10000))))</f>
        <v>10000</v>
      </c>
      <c r="CS9" s="51">
        <f ca="1">IF(F9&lt;OFFSET($BM$9,CL9-1,0,1,1),0,IF(F9&lt;OFFSET($BN$9,CL9-1,0,1,1),((F9-OFFSET($BM$9,CL9-1,0,1,1))*OFFSET($CH$9,CL9-1,0,1,1))+OFFSET($BO$9,CL9-1,CQ9,1,1),IF(F9&lt;OFFSET($BN$9,CL9+0,0,1,1),((F9-OFFSET($BM$9,CL9+0,0,1,1))*OFFSET($CH$9,CL9+0,0,1,1))+OFFSET($BO$9,CL9+0,CQ9,1,1),IF(F9&lt;OFFSET($BN$9,CL9+1,0,1,1),((F9-OFFSET($BM$9,CL9+1,0,1,1))*OFFSET($CH$9,CL9+1,0,1,1))+OFFSET($BO$9,CL9+1,CQ9,1,1),IF(F9&lt;OFFSET($BN$9,CL9+2,0,1,1),((F9-OFFSET($BM$9,CL9+2,0,1,1))*OFFSET($CH$9,CL9+2,0,1,1))+OFFSET($BO$9,CL9+2,CQ9,1,1),IF(F9&lt;OFFSET($BN$9,CL9+3,0,1,1),((F9-OFFSET($BM$9,CL9+3,0,1,1))*OFFSET($CH$9,CL9+3,0,1,1))+OFFSET($BO$9,CL9+3,CQ9,1,1),0))))))</f>
        <v>0</v>
      </c>
      <c r="CT9" s="51">
        <f ca="1">IF($F9&lt;OFFSET($BM$9,$CL9-1,0,1,1),0,IF($F9&lt;OFFSET($BN$9,$CL9-1,0,1,1),IF(AND($H9&gt;2.4,Z9&lt;&gt;"e",Z9&lt;&gt;"f"),CX9*2.4/$H9,CX9),IF($F9&lt;OFFSET($BN$9,$CL9+0,0,1,1),IF(AND($H9&gt;2.4,Z9&lt;&gt;"e",Z9&lt;&gt;"f"),CX9*2.4/$H9,CX9),IF($F9&lt;OFFSET($BN$9,$CL9+1,0,1,1),IF(AND($H9&gt;2.4,Z9&lt;&gt;"e",Z9&lt;&gt;"f"),CX9*2.4/$H9,CX9),IF($F9&lt;OFFSET($BN$9,CL9+2,0,1,1),IF(AND($H9&gt;2.4,Z9&lt;&gt;"e",Z9&lt;&gt;"f"),CX9*2.4/$H9,CX9),IF($F9&lt;OFFSET($BN$9,CL9+3,0,1,1),IF(AND($H9&gt;2.4,Z9&lt;&gt;"e",Z9&lt;&gt;"f"),CX9*2.4/$H9,CX9),0)))))*COS(RADIANS($G9)))</f>
        <v>0</v>
      </c>
      <c r="CU9" s="51">
        <f ca="1">IF(F9&lt;OFFSET($BM$9,CL9-1,0,1,1),0,IF(F9&lt;OFFSET($BN$9,CL9-1,0,1,1),((F9-OFFSET($BM$9,CL9-1,0,1,1))*OFFSET($CI$9,CL9-1,0,1,1))+OFFSET($BP$9,CL9-1,CQ9,1,1),IF(F9&lt;OFFSET($BN$9,CL9+0,0,1,1),((F9-OFFSET($BM$9,CL9+0,0,1,1))*OFFSET($CI$9,CL9+0,0,1,1))+OFFSET($BP$9,CL9+0,CQ9,1,1),IF(F9&lt;OFFSET($BN$9,CL9+1,0,1,1),((F9-OFFSET($BM$9,CL9+1,0,1,1))*OFFSET($CI$9,CL9+1,0,1,1))+OFFSET($BP$9,CL9+1,CQ9,1,1),IF(F9&lt;OFFSET($BN$9,CL9+2,0,1,1),((F9-OFFSET($BM$9,CL9+2,0,1,1))*OFFSET($CI$9,CL9+2,0,1,1))+OFFSET($BP$9,CL9+2,CQ9,1,1),IF(F9&lt;OFFSET($BN$9,CL9+3,0,1,1),((F9-OFFSET($BM$9,CL9+3,0,1,1))*OFFSET($CI$9,CL9+3,0,1,1))+OFFSET($BP$9,CL9+3,CQ9,1,1),0))))))</f>
        <v>0</v>
      </c>
      <c r="CV9" s="51">
        <f ca="1">IF($F9&lt;OFFSET($BM$9,$CL9-1,0,1,1),0,IF($F9&lt;OFFSET($BN$9,$CL9-1,0,1,1),IF(AND($H9&gt;2.4,Z9&lt;&gt;"e",Z9&lt;&gt;"f"),CZ9*2.4/$H9,CZ9),IF($F9&lt;OFFSET($BN$9,$CL9+0,0,1,1),IF(AND($H9&gt;2.4,Z9&lt;&gt;"e",Z9&lt;&gt;"f"),CZ9*2.4/$H9,CZ9),IF($F9&lt;OFFSET($BN$9,$CL9+1,0,1,1),IF(AND($H9&gt;2.4,Z9&lt;&gt;"e",Z9&lt;&gt;"f"),CZ9*2.4/$H9,CZ9),IF($F9&lt;OFFSET($BN$9,$CL9+2,0,1,1),IF(AND($H9&gt;2.4,Z9&lt;&gt;"e",Z9&lt;&gt;"f"),CZ9*2.4/$H9,CZ9),IF($F9&lt;OFFSET($BN$9,$CL9+3,0,1,1),IF(AND($H9&gt;2.4,Z9&lt;&gt;"e",Z9&lt;&gt;"f"),CZ9*2.4/$H9,CZ9),0)))))*COS(RADIANS($G9)))</f>
        <v>0</v>
      </c>
      <c r="CW9" s="51">
        <f ca="1">IF(CT9&gt;CR9,CR9,CT9)</f>
        <v>0</v>
      </c>
      <c r="CX9" s="51">
        <f ca="1">IF(CS9&gt;$CR9,$CR9,CS9)</f>
        <v>0</v>
      </c>
      <c r="CY9" s="51">
        <f ca="1">CW9*F9</f>
        <v>0</v>
      </c>
      <c r="CZ9" s="51">
        <f ca="1">IF($CU9&gt;$CR9,$CR9,$CU9)</f>
        <v>0</v>
      </c>
      <c r="DA9" s="51">
        <f ca="1">IF(CV9&gt;CR9,CR9,CV9)</f>
        <v>0</v>
      </c>
      <c r="DB9" s="51">
        <f ca="1">DA9*F9</f>
        <v>0</v>
      </c>
      <c r="DC9" s="993">
        <v>1</v>
      </c>
      <c r="DD9" s="758" t="str">
        <f>IF(OR(D9=BG$12,D9=BG$13),"External",IF(D9=BG$14,"Internal"," "))</f>
        <v xml:space="preserve"> </v>
      </c>
      <c r="DE9" s="51" t="str">
        <f t="shared" ref="DE9:DE72" ca="1" si="4">IF(AND(OFFSET($CH$9,CL9-1,-14,1,1)="I",DD9="External"),BE$66,IF(AND(OFFSET($CH$9,CL9-1,-14,1,1)="M",DD9="Internal"),BE$65,IF(AND(OFFSET($CH$9,CL9-1,-14,1,1)="M",DD9=" "),BE$64,IF(AND(OFFSET($CH$9,CL9-1,-14,1,1)="E",DD9="Internal"),BE$62,IF(AND(OFFSET($CH$9,CL9-1,-14,1,1)="E",DD9=" "),BE$61,IF(AND(DF9="Double",E9=$BG$16),BE$67,""))))))</f>
        <v/>
      </c>
      <c r="DF9" s="52" t="str">
        <f ca="1">IF(I9=" "," ",OFFSET($BM$9,$CL9-1,11,1,1))</f>
        <v xml:space="preserve"> </v>
      </c>
      <c r="DG9" s="51">
        <f ca="1">IF(F9&lt;OFFSET($BM$9,CN9-1,0,1,1),0,IF(F9&lt;OFFSET($BN$9,CN9-1,0,1,1),((F9-OFFSET($BM$9,CN9-1,0,1,1))*OFFSET($CH$9,CN9-1,0,1,1))+OFFSET($BO$9,CN9-1,CQ9,1,1),IF(F9&lt;OFFSET($BN$9,CN9+0,0,1,1),((F9-OFFSET($BM$9,CN9+0,0,1,1))*OFFSET($CH$9,CN9+0,0,1,1))+OFFSET($BO$9,CN9+0,CQ9,1,1),IF(F9&lt;OFFSET($BN$9,CN9+1,0,1,1),((F9-OFFSET($BM$9,CN9+1,0,1,1))*OFFSET($CH$9,CN9+1,0,1,1))+OFFSET($BO$9,CN9+1,CQ9,1,1),IF(F9&lt;OFFSET($BN$9,CN9+2,0,1,1),((F9-OFFSET($BM$9,CN9+2,0,1,1))*OFFSET($CH$9,CN9+2,0,1,1))+OFFSET($BO$9,CN9+2,CQ9,1,1),IF(F9&lt;OFFSET($BN$9,CN9+3,0,1,1),((F9-OFFSET($BM$9,CN9+3,0,1,1))*OFFSET($CH$9,CN9+3,0,1,1))+OFFSET($BO$9,CN9+3,CQ9,1,1),0))))))</f>
        <v>0</v>
      </c>
      <c r="DH9" s="51">
        <f ca="1">IF($F9&lt;OFFSET($BM$9,$CN9-1,0,1,1),0,IF($F9&lt;OFFSET($BN$9,$CN9-1,0,1,1),IF(AND($H9&gt;2.4,Z9&lt;&gt;"e",Z9&lt;&gt;"f"),DL9*2.4/$H9,DL9),IF($F9&lt;OFFSET($BN$9,$CN9+0,0,1,1),IF(AND($H9&gt;2.4,Z9&lt;&gt;"e",Z9&lt;&gt;"f"),DL9*2.4/$H9,DL9),IF($F9&lt;OFFSET($BN$9,$CN9+1,0,1,1),IF(AND($H9&gt;2.4,Z9&lt;&gt;"e",Z9&lt;&gt;"f"),DL9*2.4/$H9,DL9),IF($F9&lt;OFFSET($BN$9,$CN9+2,0,1,1),IF(AND($H9&gt;2.4,Z9&lt;&gt;"e",Z9&lt;&gt;"f"),DL9*2.4/$H9,DL9),IF($F9&lt;OFFSET($BN$9,$CN9+3,0,1,1),IF(AND($H9&gt;2.4,Z9&lt;&gt;"e",Z9&lt;&gt;"f"),DL9*2.4/$H9,DL9),0)))))*COS(RADIANS($G9)))</f>
        <v>0</v>
      </c>
      <c r="DI9" s="51">
        <f ca="1">IF(F9&lt;OFFSET($BM$9,CN9-1,0,1,1),0,IF(F9&lt;OFFSET($BN$9,CN9-1,0,1,1),((F9-OFFSET($BM$9,CN9-1,0,1,1))*OFFSET($CI$9,CN9-1,0,1,1))+OFFSET($BP$9,CN9-1,CQ9,1,1),IF(F9&lt;OFFSET($BN$9,CN9+0,0,1,1),((F9-OFFSET($BM$9,CN9+0,0,1,1))*OFFSET($CI$9,CN9+0,0,1,1))+OFFSET($BP$9,CN9+0,CQ9,1,1),IF(F9&lt;OFFSET($BN$9,CN9+1,0,1,1),((F9-OFFSET($BM$9,CN9+1,0,1,1))*OFFSET($CI$9,CN9+1,0,1,1))+OFFSET($BP$9,CN9+1,CQ9,1,1),IF(F9&lt;OFFSET($BN$9,CN9+2,0,1,1),((F9-OFFSET($BM$9,CN9+2,0,1,1))*OFFSET($CI$9,CN9+2,0,1,1))+OFFSET($BP$9,CN9+2,CQ9,1,1),IF(F9&lt;OFFSET($BN$9,CN9+3,0,1,1),((F9-OFFSET($BM$9,CN9+3,0,1,1))*OFFSET($CI$9,CN9+3,0,1,1))+OFFSET($BP$9,CN9+3,CQ9,1,1),0))))))</f>
        <v>0</v>
      </c>
      <c r="DJ9" s="51">
        <f ca="1">IF($F9&lt;OFFSET($BM$9,$CN9-1,0,1,1),0,IF($F9&lt;OFFSET($BN$9,$CN9-1,0,1,1),IF(AND($H9&gt;2.4,Z9&lt;&gt;"e",Z9&lt;&gt;"f"),DN9*2.4/$H9,DN9),IF($F9&lt;OFFSET($BN$9,$CN9+0,0,1,1),IF(AND($H9&gt;2.4,Z9&lt;&gt;"e",Z9&lt;&gt;"f"),DN9*2.4/$H9,DN9),IF($F9&lt;OFFSET($BN$9,$CN9+1,0,1,1),IF(AND($H9&gt;2.4,Z9&lt;&gt;"e",Z9&lt;&gt;"f"),DN9*2.4/$H9,DN9),IF($F9&lt;OFFSET($BN$9,$CN9+2,0,1,1),IF(AND($H9&gt;2.4,Z9&lt;&gt;"e",Z9&lt;&gt;"f"),DN9*2.4/$H9,DN9),IF($F9&lt;OFFSET($BN$9,$CN9+3,0,1,1),IF(AND($H9&gt;2.4,Z9&lt;&gt;"e",Z9&lt;&gt;"f"),DN9*2.4/$H9,DN9),0)))))*COS(RADIANS($G9)))</f>
        <v>0</v>
      </c>
      <c r="DK9" s="51"/>
      <c r="DL9" s="51">
        <f ca="1">IF(DG9&gt;$CR9,$CR9,DG9)</f>
        <v>0</v>
      </c>
      <c r="DM9" s="51"/>
      <c r="DN9" s="51">
        <f ca="1">IF(DI9&gt;$CR9,$CR9,DI9)</f>
        <v>0</v>
      </c>
      <c r="DO9" s="435">
        <f ca="1">IF(DH9&gt;$CR9,$CR9,DH9)</f>
        <v>0</v>
      </c>
      <c r="DP9" s="435">
        <f ca="1">DO9*F9</f>
        <v>0</v>
      </c>
      <c r="DQ9" s="436">
        <f ca="1">IF(DJ9&gt;$CR9,$CR9,DJ9)</f>
        <v>0</v>
      </c>
      <c r="DR9" s="437">
        <f ca="1">DQ9*F9</f>
        <v>0</v>
      </c>
      <c r="DS9" s="426">
        <f ca="1">OFFSET($CH$9,CL9-1,-15,1,1)</f>
        <v>0</v>
      </c>
      <c r="DT9" s="426">
        <f t="shared" ca="1" si="1"/>
        <v>0</v>
      </c>
      <c r="DU9" s="188">
        <f ca="1">IF(F9&lt;OFFSET($BM$9,DT9-1,0,1,1),0,IF(F9&lt;OFFSET($BN$9,DT9-1,0,1,1),((F9-OFFSET($BM$9,DT9-1,0,1,1))*OFFSET($CH$9,DT9-1,0,1,1))+OFFSET($BO$9,DT9-1,CQ9,1,1),IF(F9&lt;OFFSET($BN$9,DT9+0,0,1,1),((F9-OFFSET($BM$9,DT9+0,0,1,1))*OFFSET($CH$9,DT9+0,0,1,1))+OFFSET($BO$9,DT9+0,CQ9,1,1),IF(F9&lt;OFFSET($BN$9,DT9+1,0,1,1),((F9-OFFSET($BM$9,DT9+1,0,1,1))*OFFSET($CH$9,DT9+1,0,1,1))+OFFSET($BO$9,DT9+1,CQ9,1,1),IF(F9&lt;OFFSET($BN$9,DT9+2,0,1,1),((F9-OFFSET($BM$9,DT9+2,0,1,1))*OFFSET($CH$9,DT9+2,0,1,1))+OFFSET($BO$9,DT9+2,CQ9,1,1),IF(F9&lt;OFFSET($BN$9,DT9+3,0,1,1),((F9-OFFSET($BM$9,DT9+3,0,1,1))*OFFSET($CH$9,DT9+3,0,1,1))+OFFSET($BO$9,DT9+3,CQ9,1,1),0))))))</f>
        <v>0</v>
      </c>
      <c r="DV9" s="51">
        <f ca="1">IF($F9&lt;OFFSET($BM$9,$DT9-1,0,1,1),0,IF($F9&lt;OFFSET($BN$9,$DT9-1,0,1,1),IF(AND($H9&gt;2.4,Z9&lt;&gt;"e",Z9&lt;&gt;"f"),DZ9*2.4/$H9,DZ9),IF($F9&lt;OFFSET($BN$9,$DT9+0,0,1,1),IF(AND($H9&gt;2.4,Z9&lt;&gt;"e",Z9&lt;&gt;"f"),DZ9*2.4/$H9,DZ9),IF($F9&lt;OFFSET($BN$9,$DT9+1,0,1,1),IF(AND($H9&gt;2.4,Z9&lt;&gt;"e",Z9&lt;&gt;"f"),DZ9*2.4/$H9,DZ9),IF($F9&lt;OFFSET($BN$9,$DT9+2,0,1,1),IF(AND($H9&gt;2.4,Z9&lt;&gt;"e",Z9&lt;&gt;"f"),DZ9*2.4/$H9,DZ9),IF($F9&lt;OFFSET($BN$9,$DT9+3,0,1,1),IF(AND($H9&gt;2.4,Z9&lt;&gt;"e",Z9&lt;&gt;"f"),DZ9*2.4/$H9,DZ9),0)))))*COS(RADIANS($G9)))</f>
        <v>0</v>
      </c>
      <c r="DW9" s="188">
        <f ca="1">IF(F9&lt;OFFSET($BM$9,DT9-1,0,1,1),0,IF(F9&lt;OFFSET($BN$9,DT9-1,0,1,1),((F9-OFFSET($BM$9,DT9-1,0,1,1))*OFFSET($CI$9,DT9-1,0,1,1))+OFFSET($BP$9,DT9-1,CQ9,1,1),IF(F9&lt;OFFSET($BN$9,DT9+0,0,1,1),((F9-OFFSET($BM$9,DT9+0,0,1,1))*OFFSET($CI$9,DT9+0,0,1,1))+OFFSET($BP$9,DT9+0,CQ9,1,1),IF(F9&lt;OFFSET($BN$9,DT9+1,0,1,1),((F9-OFFSET($BM$9,DT9+1,0,1,1))*OFFSET($CI$9,DT9+1,0,1,1))+OFFSET($BP$9,DT9+1,CQ9,1,1),IF(F9&lt;OFFSET($BN$9,DT9+2,0,1,1),((F9-OFFSET($BM$9,DT9+2,0,1,1))*OFFSET($CI$9,DT9+2,0,1,1))+OFFSET($BP$9,DT9+2,CQ9,1,1),IF(F9&lt;OFFSET($BN$9,DT9+3,0,1,1),((F9-OFFSET($BM$9,DT9+3,0,1,1))*OFFSET($CI$9,DT9+3,0,1,1))+OFFSET($BP$9,DT9+3,CQ9,1,1),0))))))</f>
        <v>0</v>
      </c>
      <c r="DX9" s="51">
        <f ca="1">IF($F9&lt;OFFSET($BM$9,$DT9-1,0,1,1),0,IF($F9&lt;OFFSET($BN$9,$DT9-1,0,1,1),IF(AND($H9&gt;2.4,Z9&lt;&gt;"e",Z9&lt;&gt;"f"),EB9*2.4/$H9,EB9),IF($F9&lt;OFFSET($BN$9,$DT9+0,0,1,1),IF(AND($H9&gt;2.4,Z9&lt;&gt;"e",Z9&lt;&gt;"f"),EB9*2.4/$H9,EB9),IF($F9&lt;OFFSET($BN$9,$DT9+1,0,1,1),IF(AND($H9&gt;2.4,Z9&lt;&gt;"e",Z9&lt;&gt;"f"),EB9*2.4/$H9,EB9),IF($F9&lt;OFFSET($BN$9,$DT9+2,0,1,1),IF(AND($H9&gt;2.4,Z9&lt;&gt;"e",Z9&lt;&gt;"f"),EB9*2.4/$H9,EB9),IF($F9&lt;OFFSET($BN$9,$DT9+3,0,1,1),IF(AND($H9&gt;2.4,Z9&lt;&gt;"e",Z9&lt;&gt;"f"),EB9*2.4/$H9,EB9),0)))))*COS(RADIANS($G9)))</f>
        <v>0</v>
      </c>
      <c r="DY9" s="188"/>
      <c r="DZ9" s="188">
        <f ca="1">IF(DU9&gt;$CR9,$CR9,DU9)</f>
        <v>0</v>
      </c>
      <c r="EA9" s="188"/>
      <c r="EB9" s="188">
        <f ca="1">IF(DW9&gt;$CR9,$CR9,DW9)</f>
        <v>0</v>
      </c>
      <c r="EC9" s="435">
        <f ca="1">IF(DV9&gt;$CR9,$CR9,DV9)</f>
        <v>0</v>
      </c>
      <c r="ED9" s="435">
        <f ca="1">EC9*F9</f>
        <v>0</v>
      </c>
      <c r="EE9" s="436">
        <f ca="1">IF(DX9&gt;$CR9,$CR9,DX9)</f>
        <v>0</v>
      </c>
      <c r="EF9" s="437">
        <f ca="1">EE9*F9</f>
        <v>0</v>
      </c>
      <c r="EG9" s="613" t="str">
        <f>IF(D9=BG$12,BG$12,"")</f>
        <v/>
      </c>
      <c r="EH9" s="614" t="str">
        <f>IF(D9=BG$13,BG$13,"")</f>
        <v/>
      </c>
      <c r="EI9" s="611">
        <f>IF(EG9=BG$12,M9,0)</f>
        <v>0</v>
      </c>
      <c r="EJ9" s="451">
        <f>IF(EG9=BG$12,O9,0)</f>
        <v>0</v>
      </c>
      <c r="EK9" s="451">
        <f>IF(EH9=BG$13,M9,0)</f>
        <v>0</v>
      </c>
      <c r="EL9" s="612">
        <f>IF(EH9=BG$13,O9,0)</f>
        <v>0</v>
      </c>
      <c r="EM9" s="426" t="str">
        <f ca="1">IF(AND(Z9&lt;&gt;"t",Z9&lt;&gt;"f"),"",IF(AND(EN9=$BH$11,K9&lt;&gt;EN9),EM$4,IF(AND(EN9=$BH$12,K9=$BH$13),EM$4,IF(AND(EN9=$BH$12,K9=$BH$14),EM$4,IF(AND(EN9=$BH$13,K9=$BH$14),$EM$4,IF(EN9=$BH$14,$EM$4,""))))))</f>
        <v/>
      </c>
      <c r="EN9" s="489" t="str">
        <f>BG$24</f>
        <v>Earth</v>
      </c>
      <c r="EO9" s="426" t="str">
        <f>K9</f>
        <v xml:space="preserve"> </v>
      </c>
      <c r="EP9" s="497" t="str">
        <f ca="1">IF(AND(Z9&lt;&gt;"t",Z9&lt;&gt;"f"),"",IF(AND(EN9=$BH$14,K9&lt;&gt;EN9),EP$4,IF(AND(EN9=$BH$13,K9=$BH$12),EP$4,IF(AND(EN9=$BH$13,K9=$BH$11),EP$4,IF(AND(EN9=$BH$12,K9=$BH$11),$EP$4,IF(EN9=$BH$11,"Earth",""))))))</f>
        <v/>
      </c>
      <c r="EQ9" s="430" t="str">
        <f ca="1">IF(Z9&lt;&gt;"t","",IF(EQ$5=2,IF(K9&lt;&gt;BH$11,EQ$7," ")))</f>
        <v/>
      </c>
      <c r="ER9" s="439" t="str">
        <f ca="1">IF(H9=0," ",H9)</f>
        <v xml:space="preserve"> </v>
      </c>
      <c r="ES9" s="440" t="str">
        <f ca="1">IF(ER9&lt;&gt;" ",IF(ER9&lt;&gt;ER$7,"Changed",""),"")</f>
        <v/>
      </c>
      <c r="ET9" s="440">
        <f ca="1">IF(ER9&lt;&gt;" ",IF(ER9&lt;&gt;ER$7,1,0),0)</f>
        <v>0</v>
      </c>
      <c r="EU9" s="426" t="str">
        <f ca="1">IF(I9=" "," ",IF(F9&lt;OFFSET($BM$9,CL9-1,0,1,1),1,""))</f>
        <v xml:space="preserve"> </v>
      </c>
      <c r="EW9" s="427"/>
    </row>
    <row r="10" spans="1:153" ht="17.100000000000001" customHeight="1" thickBot="1">
      <c r="B10" s="689" t="s">
        <v>246</v>
      </c>
      <c r="C10" s="684" t="str">
        <f>IF(OR(F10=0,I10="",I10=" ")," ",$V10)</f>
        <v xml:space="preserve"> </v>
      </c>
      <c r="D10" s="1033"/>
      <c r="E10" s="1360"/>
      <c r="F10" s="202"/>
      <c r="G10" s="1416"/>
      <c r="H10" s="1417" t="str">
        <f ca="1">IF(OR(F10=0,Z10="E",Z10="f")," ",'Project Demand'!E$55)</f>
        <v xml:space="preserve"> </v>
      </c>
      <c r="I10" s="631" t="str">
        <f>IF($I$6&lt;&gt;$BG$8," ",AB10)</f>
        <v xml:space="preserve"> </v>
      </c>
      <c r="J10" s="44" t="str">
        <f ca="1">IF(OR(I10=" ",I10="")," ",OFFSET($BO$9,CL10-1,0-4,1,1))</f>
        <v xml:space="preserve"> </v>
      </c>
      <c r="K10" s="55" t="str">
        <f>IF(OR(I10=" ",I10="")," ",IF(OR(Z10="e",Z10="h"),"SD",IF(BG$24=BH$11,BH$13,BG$24)))</f>
        <v xml:space="preserve"> </v>
      </c>
      <c r="L10" s="725">
        <f ca="1">CW10</f>
        <v>0</v>
      </c>
      <c r="M10" s="726">
        <f ca="1">CY10</f>
        <v>0</v>
      </c>
      <c r="N10" s="445">
        <f t="shared" ca="1" si="0"/>
        <v>0</v>
      </c>
      <c r="O10" s="728">
        <f t="shared" ca="1" si="0"/>
        <v>0</v>
      </c>
      <c r="P10" s="138"/>
      <c r="Q10" s="752" t="str">
        <f ca="1">IF(AND(OR(Z10="t",Z10="f"),K10=$BH$11),"No Floor!  Change Floor Type",IF(OR(I10=" ",I10="")," ",IF(F10&lt;OFFSET($BM$9,CL10-1,0,1,1),"check L(m)",DE10&amp;IF(AND(DP10&gt;=CY10,DR10&gt;=DB10),IF(AND(ED10&gt;=DP10,EF10&gt;=DR10),CONCATENATE(DS10," will provide same result"),CONCATENATE(CO10," will provide same result")),IF((DP10&gt;=CY10),CONCATENATE(CO10," provides same result in WIND"),IF((DR10&gt;=DB10),CONCATENATE(CO10," provides same result in EQ"),""))))))&amp;IF(ISERROR(FIND("pile",I10,1)),"",IF(INT(F10)&lt;&gt;F10,"Pile!  Use Whole Numbers Only",""))</f>
        <v xml:space="preserve"> </v>
      </c>
      <c r="R10" s="52"/>
      <c r="S10" s="1372"/>
      <c r="T10" s="52"/>
      <c r="U10" s="1377"/>
      <c r="V10" s="52" t="str">
        <f>IF(AND(B$5=$BF$9,OR(I10=BH$16,I10=BH$17))," ",IF(ISNUMBER(B$8),(CONCATENATE(B$8,".",W10)),(CONCATENATE(B$8,W10))))</f>
        <v>M0</v>
      </c>
      <c r="W10" s="9">
        <f>W9+X10</f>
        <v>0</v>
      </c>
      <c r="X10" s="9">
        <f>IF(AND(B$5=$BF$9,OR($I10=$BH$16,$I10=$BH$17,$I10=" ",$I10="",$F10=0)),0,IF(OR($I10=" ",$I10="",$F10=0),0,1))</f>
        <v>0</v>
      </c>
      <c r="Y10" s="896"/>
      <c r="Z10" s="52" t="str">
        <f ca="1">IF(I10=" "," ",OFFSET($BM$9,$CL10-1,8,1,1))</f>
        <v xml:space="preserve"> </v>
      </c>
      <c r="AA10" s="51" t="str">
        <f>IF(G10&gt;=45,"WA","")</f>
        <v/>
      </c>
      <c r="AB10" s="1364" t="str">
        <f>IF(OR(E10=" ",E10="")," ",(IF(F10&lt;&gt;"",IF(OR(D10=$BG$12,D10=$BG$13),IF(E10&lt;&gt;$BG$17,$BF$20,$BF$21),IF(E10&lt;&gt;$BG$17,$BF$20,$BF$21))," ")))</f>
        <v xml:space="preserve"> </v>
      </c>
      <c r="AC10" s="1"/>
      <c r="AJ10" s="2185"/>
      <c r="AK10" s="2187"/>
      <c r="AL10" s="2246"/>
      <c r="AM10" s="2246"/>
      <c r="AN10" s="2252"/>
      <c r="AO10" s="2601"/>
      <c r="AP10" s="1244"/>
      <c r="AQ10" s="2246"/>
      <c r="AR10" s="2233"/>
      <c r="AS10" s="1639"/>
      <c r="AT10" s="2862"/>
      <c r="AU10" s="120"/>
      <c r="AV10" s="480"/>
      <c r="AW10" s="480"/>
      <c r="AX10" s="480"/>
      <c r="AY10" s="480"/>
      <c r="AZ10" s="480"/>
      <c r="BA10" s="480"/>
      <c r="BB10" s="480"/>
      <c r="BC10" s="480"/>
      <c r="BD10" s="2649"/>
      <c r="BE10" s="1381"/>
      <c r="BF10" s="2679" t="s">
        <v>1085</v>
      </c>
      <c r="BG10" s="2679"/>
      <c r="BH10" s="2679"/>
      <c r="BI10" s="759"/>
      <c r="BJ10" s="896">
        <f>BJ9+1</f>
        <v>2</v>
      </c>
      <c r="BK10" s="917"/>
      <c r="BL10" s="898" t="s">
        <v>38</v>
      </c>
      <c r="BM10" s="968">
        <v>0</v>
      </c>
      <c r="BN10" s="52">
        <v>999</v>
      </c>
      <c r="BO10" s="52" t="str">
        <f>AO9</f>
        <v>BU's/m   EQ</v>
      </c>
      <c r="BP10" s="52">
        <v>0</v>
      </c>
      <c r="BV10" s="51" t="s">
        <v>8</v>
      </c>
      <c r="BW10" s="51" t="s">
        <v>8</v>
      </c>
      <c r="CJ10" s="759"/>
      <c r="CK10" s="188"/>
      <c r="CL10" s="979">
        <f>VLOOKUP(I10,Prodlink,2,0)</f>
        <v>0</v>
      </c>
      <c r="CN10" s="497">
        <f t="shared" ca="1" si="2"/>
        <v>0</v>
      </c>
      <c r="CO10" s="497">
        <f ca="1">OFFSET($CH$9,CL10-1,-15,1,1)</f>
        <v>0</v>
      </c>
      <c r="CQ10" s="51">
        <v>0</v>
      </c>
      <c r="CR10" s="51">
        <f t="shared" ca="1" si="3"/>
        <v>10000</v>
      </c>
      <c r="CS10" s="51">
        <f ca="1">IF(F10&lt;OFFSET($BM$9,CL10-1,0,1,1),0,IF(F10&lt;OFFSET($BN$9,CL10-1,0,1,1),((F10-OFFSET($BM$9,CL10-1,0,1,1))*OFFSET($CH$9,CL10-1,0,1,1))+OFFSET($BO$9,CL10-1,CQ10,1,1),IF(F10&lt;OFFSET($BN$9,CL10+0,0,1,1),((F10-OFFSET($BM$9,CL10+0,0,1,1))*OFFSET($CH$9,CL10+0,0,1,1))+OFFSET($BO$9,CL10+0,CQ10,1,1),IF(F10&lt;OFFSET($BN$9,CL10+1,0,1,1),((F10-OFFSET($BM$9,CL10+1,0,1,1))*OFFSET($CH$9,CL10+1,0,1,1))+OFFSET($BO$9,CL10+1,CQ10,1,1),IF(F10&lt;OFFSET($BN$9,CL10+2,0,1,1),((F10-OFFSET($BM$9,CL10+2,0,1,1))*OFFSET($CH$9,CL10+2,0,1,1))+OFFSET($BO$9,CL10+2,CQ10,1,1),IF(F10&lt;OFFSET($BN$9,CL10+3,0,1,1),((F10-OFFSET($BM$9,CL10+3,0,1,1))*OFFSET($CH$9,CL10+3,0,1,1))+OFFSET($BO$9,CL10+3,CQ10,1,1),0))))))</f>
        <v>0</v>
      </c>
      <c r="CT10" s="51">
        <f ca="1">IF($F10&lt;OFFSET($BM$9,$CL10-1,0,1,1),0,IF($F10&lt;OFFSET($BN$9,$CL10-1,0,1,1),IF(AND($H10&gt;2.4,Z10&lt;&gt;"e",Z10&lt;&gt;"f"),CX10*2.4/$H10,CX10),IF($F10&lt;OFFSET($BN$9,$CL10+0,0,1,1),IF(AND($H10&gt;2.4,Z10&lt;&gt;"e",Z10&lt;&gt;"f"),CX10*2.4/$H10,CX10),IF($F10&lt;OFFSET($BN$9,$CL10+1,0,1,1),IF(AND($H10&gt;2.4,Z10&lt;&gt;"e",Z10&lt;&gt;"f"),CX10*2.4/$H10,CX10),IF($F10&lt;OFFSET($BN$9,CL10+2,0,1,1),IF(AND($H10&gt;2.4,Z10&lt;&gt;"e",Z10&lt;&gt;"f"),CX10*2.4/$H10,CX10),IF($F10&lt;OFFSET($BN$9,CL10+3,0,1,1),IF(AND($H10&gt;2.4,Z10&lt;&gt;"e",Z10&lt;&gt;"f"),CX10*2.4/$H10,CX10),0)))))*COS(RADIANS($G10)))</f>
        <v>0</v>
      </c>
      <c r="CU10" s="51">
        <f ca="1">IF(F10&lt;OFFSET($BM$9,CL10-1,0,1,1),0,IF(F10&lt;OFFSET($BN$9,CL10-1,0,1,1),((F10-OFFSET($BM$9,CL10-1,0,1,1))*OFFSET($CI$9,CL10-1,0,1,1))+OFFSET($BP$9,CL10-1,CQ10,1,1),IF(F10&lt;OFFSET($BN$9,CL10+0,0,1,1),((F10-OFFSET($BM$9,CL10+0,0,1,1))*OFFSET($CI$9,CL10+0,0,1,1))+OFFSET($BP$9,CL10+0,CQ10,1,1),IF(F10&lt;OFFSET($BN$9,CL10+1,0,1,1),((F10-OFFSET($BM$9,CL10+1,0,1,1))*OFFSET($CI$9,CL10+1,0,1,1))+OFFSET($BP$9,CL10+1,CQ10,1,1),IF(F10&lt;OFFSET($BN$9,CL10+2,0,1,1),((F10-OFFSET($BM$9,CL10+2,0,1,1))*OFFSET($CI$9,CL10+2,0,1,1))+OFFSET($BP$9,CL10+2,CQ10,1,1),IF(F10&lt;OFFSET($BN$9,CL10+3,0,1,1),((F10-OFFSET($BM$9,CL10+3,0,1,1))*OFFSET($CI$9,CL10+3,0,1,1))+OFFSET($BP$9,CL10+3,CQ10,1,1),0))))))</f>
        <v>0</v>
      </c>
      <c r="CV10" s="51">
        <f ca="1">IF($F10&lt;OFFSET($BM$9,$CL10-1,0,1,1),0,IF($F10&lt;OFFSET($BN$9,$CL10-1,0,1,1),IF(AND($H10&gt;2.4,Z10&lt;&gt;"e",Z10&lt;&gt;"f"),CZ10*2.4/$H10,CZ10),IF($F10&lt;OFFSET($BN$9,$CL10+0,0,1,1),IF(AND($H10&gt;2.4,Z10&lt;&gt;"e",Z10&lt;&gt;"f"),CZ10*2.4/$H10,CZ10),IF($F10&lt;OFFSET($BN$9,$CL10+1,0,1,1),IF(AND($H10&gt;2.4,Z10&lt;&gt;"e",Z10&lt;&gt;"f"),CZ10*2.4/$H10,CZ10),IF($F10&lt;OFFSET($BN$9,$CL10+2,0,1,1),IF(AND($H10&gt;2.4,Z10&lt;&gt;"e",Z10&lt;&gt;"f"),CZ10*2.4/$H10,CZ10),IF($F10&lt;OFFSET($BN$9,$CL10+3,0,1,1),IF(AND($H10&gt;2.4,Z10&lt;&gt;"e",Z10&lt;&gt;"f"),CZ10*2.4/$H10,CZ10),0)))))*COS(RADIANS($G10)))</f>
        <v>0</v>
      </c>
      <c r="CW10" s="51">
        <f ca="1">IF(CT10&gt;CR10,CR10,CT10)</f>
        <v>0</v>
      </c>
      <c r="CX10" s="51">
        <f ca="1">IF(CS10&gt;$CR10,$CR10,CS10)</f>
        <v>0</v>
      </c>
      <c r="CY10" s="51">
        <f ca="1">CW10*F10</f>
        <v>0</v>
      </c>
      <c r="CZ10" s="51">
        <f ca="1">IF($CU10&gt;$CR10,$CR10,$CU10)</f>
        <v>0</v>
      </c>
      <c r="DA10" s="51">
        <f ca="1">IF(CV10&gt;CR10,CR10,CV10)</f>
        <v>0</v>
      </c>
      <c r="DB10" s="51">
        <f ca="1">DA10*F10</f>
        <v>0</v>
      </c>
      <c r="DC10" s="993">
        <v>1</v>
      </c>
      <c r="DD10" s="758" t="str">
        <f>IF(OR(D10=BG$12,D10=BG$13),"External",IF(D10=BG$14,"Internal"," "))</f>
        <v xml:space="preserve"> </v>
      </c>
      <c r="DE10" s="51" t="str">
        <f t="shared" ca="1" si="4"/>
        <v/>
      </c>
      <c r="DF10" s="52" t="str">
        <f t="shared" ref="DF10:DF72" ca="1" si="5">IF(I10=" "," ",OFFSET($BM$9,$CL10-1,11,1,1))</f>
        <v xml:space="preserve"> </v>
      </c>
      <c r="DG10" s="51">
        <f ca="1">IF(F10&lt;OFFSET($BM$9,CN10-1,0,1,1),0,IF(F10&lt;OFFSET($BN$9,CN10-1,0,1,1),((F10-OFFSET($BM$9,CN10-1,0,1,1))*OFFSET($CH$9,CN10-1,0,1,1))+OFFSET($BO$9,CN10-1,CQ10,1,1),IF(F10&lt;OFFSET($BN$9,CN10+0,0,1,1),((F10-OFFSET($BM$9,CN10+0,0,1,1))*OFFSET($CH$9,CN10+0,0,1,1))+OFFSET($BO$9,CN10+0,CQ10,1,1),IF(F10&lt;OFFSET($BN$9,CN10+1,0,1,1),((F10-OFFSET($BM$9,CN10+1,0,1,1))*OFFSET($CH$9,CN10+1,0,1,1))+OFFSET($BO$9,CN10+1,CQ10,1,1),IF(F10&lt;OFFSET($BN$9,CN10+2,0,1,1),((F10-OFFSET($BM$9,CN10+2,0,1,1))*OFFSET($CH$9,CN10+2,0,1,1))+OFFSET($BO$9,CN10+2,CQ10,1,1),IF(F10&lt;OFFSET($BN$9,CN10+3,0,1,1),((F10-OFFSET($BM$9,CN10+3,0,1,1))*OFFSET($CH$9,CN10+3,0,1,1))+OFFSET($BO$9,CN10+3,CQ10,1,1),0))))))</f>
        <v>0</v>
      </c>
      <c r="DH10" s="51">
        <f ca="1">IF($F10&lt;OFFSET($BM$9,$CN10-1,0,1,1),0,IF($F10&lt;OFFSET($BN$9,$CN10-1,0,1,1),IF(AND($H10&gt;2.4,Z10&lt;&gt;"e",Z10&lt;&gt;"f"),DL10*2.4/$H10,DL10),IF($F10&lt;OFFSET($BN$9,$CN10+0,0,1,1),IF(AND($H10&gt;2.4,Z10&lt;&gt;"e",Z10&lt;&gt;"f"),DL10*2.4/$H10,DL10),IF($F10&lt;OFFSET($BN$9,$CN10+1,0,1,1),IF(AND($H10&gt;2.4,Z10&lt;&gt;"e",Z10&lt;&gt;"f"),DL10*2.4/$H10,DL10),IF($F10&lt;OFFSET($BN$9,$CN10+2,0,1,1),IF(AND($H10&gt;2.4,Z10&lt;&gt;"e",Z10&lt;&gt;"f"),DL10*2.4/$H10,DL10),IF($F10&lt;OFFSET($BN$9,$CN10+3,0,1,1),IF(AND($H10&gt;2.4,Z10&lt;&gt;"e",Z10&lt;&gt;"f"),DL10*2.4/$H10,DL10),0)))))*COS(RADIANS($G10)))</f>
        <v>0</v>
      </c>
      <c r="DI10" s="51">
        <f ca="1">IF(F10&lt;OFFSET($BM$9,CN10-1,0,1,1),0,IF(F10&lt;OFFSET($BN$9,CN10-1,0,1,1),((F10-OFFSET($BM$9,CN10-1,0,1,1))*OFFSET($CI$9,CN10-1,0,1,1))+OFFSET($BP$9,CN10-1,CQ10,1,1),IF(F10&lt;OFFSET($BN$9,CN10+0,0,1,1),((F10-OFFSET($BM$9,CN10+0,0,1,1))*OFFSET($CI$9,CN10+0,0,1,1))+OFFSET($BP$9,CN10+0,CQ10,1,1),IF(F10&lt;OFFSET($BN$9,CN10+1,0,1,1),((F10-OFFSET($BM$9,CN10+1,0,1,1))*OFFSET($CI$9,CN10+1,0,1,1))+OFFSET($BP$9,CN10+1,CQ10,1,1),IF(F10&lt;OFFSET($BN$9,CN10+2,0,1,1),((F10-OFFSET($BM$9,CN10+2,0,1,1))*OFFSET($CI$9,CN10+2,0,1,1))+OFFSET($BP$9,CN10+2,CQ10,1,1),IF(F10&lt;OFFSET($BN$9,CN10+3,0,1,1),((F10-OFFSET($BM$9,CN10+3,0,1,1))*OFFSET($CI$9,CN10+3,0,1,1))+OFFSET($BP$9,CN10+3,CQ10,1,1),0))))))</f>
        <v>0</v>
      </c>
      <c r="DJ10" s="51">
        <f ca="1">IF($F10&lt;OFFSET($BM$9,$CN10-1,0,1,1),0,IF($F10&lt;OFFSET($BN$9,$CN10-1,0,1,1),IF(AND($H10&gt;2.4,Z10&lt;&gt;"e",Z10&lt;&gt;"f"),DN10*2.4/$H10,DN10),IF($F10&lt;OFFSET($BN$9,$CN10+0,0,1,1),IF(AND($H10&gt;2.4,Z10&lt;&gt;"e",Z10&lt;&gt;"f"),DN10*2.4/$H10,DN10),IF($F10&lt;OFFSET($BN$9,$CN10+1,0,1,1),IF(AND($H10&gt;2.4,Z10&lt;&gt;"e",Z10&lt;&gt;"f"),DN10*2.4/$H10,DN10),IF($F10&lt;OFFSET($BN$9,$CN10+2,0,1,1),IF(AND($H10&gt;2.4,Z10&lt;&gt;"e",Z10&lt;&gt;"f"),DN10*2.4/$H10,DN10),IF($F10&lt;OFFSET($BN$9,$CN10+3,0,1,1),IF(AND($H10&gt;2.4,Z10&lt;&gt;"e",Z10&lt;&gt;"f"),DN10*2.4/$H10,DN10),0)))))*COS(RADIANS($G10)))</f>
        <v>0</v>
      </c>
      <c r="DK10" s="51"/>
      <c r="DL10" s="51">
        <f ca="1">IF(DG10&gt;$CR10,$CR10,DG10)</f>
        <v>0</v>
      </c>
      <c r="DM10" s="51"/>
      <c r="DN10" s="51">
        <f ca="1">IF(DI10&gt;$CR10,$CR10,DI10)</f>
        <v>0</v>
      </c>
      <c r="DO10" s="435">
        <f ca="1">IF(DH10&gt;$CR10,$CR10,DH10)</f>
        <v>0</v>
      </c>
      <c r="DP10" s="435">
        <f ca="1">DO10*F10</f>
        <v>0</v>
      </c>
      <c r="DQ10" s="436">
        <f ca="1">IF(DJ10&gt;$CR10,$CR10,DJ10)</f>
        <v>0</v>
      </c>
      <c r="DR10" s="437">
        <f ca="1">DQ10*F10</f>
        <v>0</v>
      </c>
      <c r="DS10" s="426">
        <f ca="1">OFFSET($CH$9,CL10-1,-15,1,1)</f>
        <v>0</v>
      </c>
      <c r="DT10" s="426">
        <f t="shared" ca="1" si="1"/>
        <v>0</v>
      </c>
      <c r="DU10" s="188">
        <f ca="1">IF(F10&lt;OFFSET($BM$9,DT10-1,0,1,1),0,IF(F10&lt;OFFSET($BN$9,DT10-1,0,1,1),((F10-OFFSET($BM$9,DT10-1,0,1,1))*OFFSET($CH$9,DT10-1,0,1,1))+OFFSET($BO$9,DT10-1,CQ10,1,1),IF(F10&lt;OFFSET($BN$9,DT10+0,0,1,1),((F10-OFFSET($BM$9,DT10+0,0,1,1))*OFFSET($CH$9,DT10+0,0,1,1))+OFFSET($BO$9,DT10+0,CQ10,1,1),IF(F10&lt;OFFSET($BN$9,DT10+1,0,1,1),((F10-OFFSET($BM$9,DT10+1,0,1,1))*OFFSET($CH$9,DT10+1,0,1,1))+OFFSET($BO$9,DT10+1,CQ10,1,1),IF(F10&lt;OFFSET($BN$9,DT10+2,0,1,1),((F10-OFFSET($BM$9,DT10+2,0,1,1))*OFFSET($CH$9,DT10+2,0,1,1))+OFFSET($BO$9,DT10+2,CQ10,1,1),IF(F10&lt;OFFSET($BN$9,DT10+3,0,1,1),((F10-OFFSET($BM$9,DT10+3,0,1,1))*OFFSET($CH$9,DT10+3,0,1,1))+OFFSET($BO$9,DT10+3,CQ10,1,1),0))))))</f>
        <v>0</v>
      </c>
      <c r="DV10" s="51">
        <f ca="1">IF($F10&lt;OFFSET($BM$9,$DT10-1,0,1,1),0,IF($F10&lt;OFFSET($BN$9,$DT10-1,0,1,1),IF(AND($H10&gt;2.4,Z10&lt;&gt;"e",Z10&lt;&gt;"f"),DZ10*2.4/$H10,DZ10),IF($F10&lt;OFFSET($BN$9,$DT10+0,0,1,1),IF(AND($H10&gt;2.4,Z10&lt;&gt;"e",Z10&lt;&gt;"f"),DZ10*2.4/$H10,DZ10),IF($F10&lt;OFFSET($BN$9,$DT10+1,0,1,1),IF(AND($H10&gt;2.4,Z10&lt;&gt;"e",Z10&lt;&gt;"f"),DZ10*2.4/$H10,DZ10),IF($F10&lt;OFFSET($BN$9,$DT10+2,0,1,1),IF(AND($H10&gt;2.4,Z10&lt;&gt;"e",Z10&lt;&gt;"f"),DZ10*2.4/$H10,DZ10),IF($F10&lt;OFFSET($BN$9,$DT10+3,0,1,1),IF(AND($H10&gt;2.4,Z10&lt;&gt;"e",Z10&lt;&gt;"f"),DZ10*2.4/$H10,DZ10),0)))))*COS(RADIANS($G10)))</f>
        <v>0</v>
      </c>
      <c r="DW10" s="188">
        <f ca="1">IF(F10&lt;OFFSET($BM$9,DT10-1,0,1,1),0,IF(F10&lt;OFFSET($BN$9,DT10-1,0,1,1),((F10-OFFSET($BM$9,DT10-1,0,1,1))*OFFSET($CI$9,DT10-1,0,1,1))+OFFSET($BP$9,DT10-1,CQ10,1,1),IF(F10&lt;OFFSET($BN$9,DT10+0,0,1,1),((F10-OFFSET($BM$9,DT10+0,0,1,1))*OFFSET($CI$9,DT10+0,0,1,1))+OFFSET($BP$9,DT10+0,CQ10,1,1),IF(F10&lt;OFFSET($BN$9,DT10+1,0,1,1),((F10-OFFSET($BM$9,DT10+1,0,1,1))*OFFSET($CI$9,DT10+1,0,1,1))+OFFSET($BP$9,DT10+1,CQ10,1,1),IF(F10&lt;OFFSET($BN$9,DT10+2,0,1,1),((F10-OFFSET($BM$9,DT10+2,0,1,1))*OFFSET($CI$9,DT10+2,0,1,1))+OFFSET($BP$9,DT10+2,CQ10,1,1),IF(F10&lt;OFFSET($BN$9,DT10+3,0,1,1),((F10-OFFSET($BM$9,DT10+3,0,1,1))*OFFSET($CI$9,DT10+3,0,1,1))+OFFSET($BP$9,DT10+3,CQ10,1,1),0))))))</f>
        <v>0</v>
      </c>
      <c r="DX10" s="51">
        <f ca="1">IF($F10&lt;OFFSET($BM$9,$DT10-1,0,1,1),0,IF($F10&lt;OFFSET($BN$9,$DT10-1,0,1,1),IF(AND($H10&gt;2.4,Z10&lt;&gt;"e",Z10&lt;&gt;"f"),EB10*2.4/$H10,EB10),IF($F10&lt;OFFSET($BN$9,$DT10+0,0,1,1),IF(AND($H10&gt;2.4,Z10&lt;&gt;"e",Z10&lt;&gt;"f"),EB10*2.4/$H10,EB10),IF($F10&lt;OFFSET($BN$9,$DT10+1,0,1,1),IF(AND($H10&gt;2.4,Z10&lt;&gt;"e",Z10&lt;&gt;"f"),EB10*2.4/$H10,EB10),IF($F10&lt;OFFSET($BN$9,$DT10+2,0,1,1),IF(AND($H10&gt;2.4,Z10&lt;&gt;"e",Z10&lt;&gt;"f"),EB10*2.4/$H10,EB10),IF($F10&lt;OFFSET($BN$9,$DT10+3,0,1,1),IF(AND($H10&gt;2.4,Z10&lt;&gt;"e",Z10&lt;&gt;"f"),EB10*2.4/$H10,EB10),0)))))*COS(RADIANS($G10)))</f>
        <v>0</v>
      </c>
      <c r="DY10" s="188"/>
      <c r="DZ10" s="188">
        <f ca="1">IF(DU10&gt;$CR10,$CR10,DU10)</f>
        <v>0</v>
      </c>
      <c r="EA10" s="188"/>
      <c r="EB10" s="188">
        <f ca="1">IF(DW10&gt;$CR10,$CR10,DW10)</f>
        <v>0</v>
      </c>
      <c r="EC10" s="435">
        <f ca="1">IF(DV10&gt;$CR10,$CR10,DV10)</f>
        <v>0</v>
      </c>
      <c r="ED10" s="435">
        <f ca="1">EC10*F10</f>
        <v>0</v>
      </c>
      <c r="EE10" s="436">
        <f ca="1">IF(DX10&gt;$CR10,$CR10,DX10)</f>
        <v>0</v>
      </c>
      <c r="EF10" s="437">
        <f ca="1">EE10*F10</f>
        <v>0</v>
      </c>
      <c r="EG10" s="613" t="str">
        <f>IF(D10=BG$12,BG$12,"")</f>
        <v/>
      </c>
      <c r="EH10" s="614" t="str">
        <f>IF(D10=BG$13,BG$13,"")</f>
        <v/>
      </c>
      <c r="EI10" s="611">
        <f>IF(EG10=BG$12,M10,0)</f>
        <v>0</v>
      </c>
      <c r="EJ10" s="451">
        <f>IF(EG10=BG$12,O10,0)</f>
        <v>0</v>
      </c>
      <c r="EK10" s="451">
        <f>IF(EH10=BG$13,M10,0)</f>
        <v>0</v>
      </c>
      <c r="EL10" s="612">
        <f>IF(EH10=BG$13,O10,0)</f>
        <v>0</v>
      </c>
      <c r="EM10" s="426" t="str">
        <f ca="1">IF(AND(Z10&lt;&gt;"t",Z10&lt;&gt;"f"),"",IF(AND(EN10=$BH$11,K10&lt;&gt;EN10),EM$4,IF(AND(EN10=$BH$12,K10=$BH$13),EM$4,IF(AND(EN10=$BH$12,K10=$BH$14),EM$4,IF(AND(EN10=$BH$13,K10=$BH$14),$EM$4,IF(EN10=$BH$14,$EM$4,""))))))</f>
        <v/>
      </c>
      <c r="EN10" s="489" t="str">
        <f>BG$24</f>
        <v>Earth</v>
      </c>
      <c r="EO10" s="426" t="str">
        <f>K10</f>
        <v xml:space="preserve"> </v>
      </c>
      <c r="EP10" s="497" t="str">
        <f ca="1">IF(AND(Z10&lt;&gt;"t",Z10&lt;&gt;"f"),"",IF(AND(EN10=$BH$14,K10&lt;&gt;EN10),EP$4,IF(AND(EN10=$BH$13,K10=$BH$12),EP$4,IF(AND(EN10=$BH$13,K10=$BH$11),EP$4,IF(AND(EN10=$BH$12,K10=$BH$11),$EP$4,IF(EN10=$BH$11,"Earth",""))))))</f>
        <v/>
      </c>
      <c r="EQ10" s="430" t="str">
        <f ca="1">IF(Z10&lt;&gt;"t","",IF(EQ$5=2,IF(K10&lt;&gt;BH$11,EQ$7," ")))</f>
        <v/>
      </c>
      <c r="ER10" s="439" t="str">
        <f ca="1">IF(H10=0," ",H10)</f>
        <v xml:space="preserve"> </v>
      </c>
      <c r="ES10" s="440" t="str">
        <f ca="1">IF(ER10&lt;&gt;" ",IF(ER10&lt;&gt;ER$7,"Changed",""),"")</f>
        <v/>
      </c>
      <c r="ET10" s="440">
        <f ca="1">IF(ER10&lt;&gt;" ",IF(ER10&lt;&gt;ER$7,1,0),0)</f>
        <v>0</v>
      </c>
      <c r="EU10" s="426" t="str">
        <f ca="1">IF(I10=" "," ",IF(F10&lt;OFFSET($BM$9,CL10-1,0,1,1),1,""))</f>
        <v xml:space="preserve"> </v>
      </c>
      <c r="EW10" s="427"/>
    </row>
    <row r="11" spans="1:153" ht="17.100000000000001" customHeight="1" thickBot="1">
      <c r="B11" s="689" t="s">
        <v>246</v>
      </c>
      <c r="C11" s="684" t="str">
        <f>IF(OR(F11=0,I11="",I11=" ")," ",$V11)</f>
        <v xml:space="preserve"> </v>
      </c>
      <c r="D11" s="1033"/>
      <c r="E11" s="1360"/>
      <c r="F11" s="202"/>
      <c r="G11" s="1416"/>
      <c r="H11" s="1417" t="str">
        <f ca="1">IF(OR(F11=0,Z11="E",Z11="f")," ",'Project Demand'!E$55)</f>
        <v xml:space="preserve"> </v>
      </c>
      <c r="I11" s="631" t="str">
        <f>IF($I$6&lt;&gt;$BG$8," ",AB11)</f>
        <v xml:space="preserve"> </v>
      </c>
      <c r="J11" s="44" t="str">
        <f ca="1">IF(OR(I11=" ",I11="")," ",OFFSET($BO$9,CL11-1,0-4,1,1))</f>
        <v xml:space="preserve"> </v>
      </c>
      <c r="K11" s="55" t="str">
        <f>IF(OR(I11=" ",I11="")," ",IF(OR(Z11="e",Z11="h"),"SD",IF(BG$24=BH$11,BH$13,BG$24)))</f>
        <v xml:space="preserve"> </v>
      </c>
      <c r="L11" s="725">
        <f ca="1">CW11</f>
        <v>0</v>
      </c>
      <c r="M11" s="726">
        <f ca="1">CY11</f>
        <v>0</v>
      </c>
      <c r="N11" s="445">
        <f t="shared" ca="1" si="0"/>
        <v>0</v>
      </c>
      <c r="O11" s="728">
        <f t="shared" ca="1" si="0"/>
        <v>0</v>
      </c>
      <c r="P11" s="138"/>
      <c r="Q11" s="752" t="str">
        <f ca="1">IF(AND(OR(Z11="t",Z11="f"),K11=$BH$11),"No Floor!  Change Floor Type",IF(OR(I11=" ",I11="")," ",IF(F11&lt;OFFSET($BM$9,CL11-1,0,1,1),"check L(m)",DE11&amp;IF(AND(DP11&gt;=CY11,DR11&gt;=DB11),IF(AND(ED11&gt;=DP11,EF11&gt;=DR11),CONCATENATE(DS11," will provide same result"),CONCATENATE(CO11," will provide same result")),IF((DP11&gt;=CY11),CONCATENATE(CO11," provides same result in WIND"),IF((DR11&gt;=DB11),CONCATENATE(CO11," provides same result in EQ"),""))))))&amp;IF(ISERROR(FIND("pile",I11,1)),"",IF(INT(F11)&lt;&gt;F11,"Pile!  Use Whole Numbers Only",""))</f>
        <v xml:space="preserve"> </v>
      </c>
      <c r="R11" s="52"/>
      <c r="S11" s="1372"/>
      <c r="T11" s="52"/>
      <c r="U11" s="1377"/>
      <c r="V11" s="52" t="str">
        <f>IF(AND(B$5=$BF$9,OR(I11=BH$16,I11=BH$17))," ",IF(ISNUMBER(B$8),(CONCATENATE(B$8,".",W11)),(CONCATENATE(B$8,W11))))</f>
        <v>M0</v>
      </c>
      <c r="W11" s="9">
        <f>W10+X11</f>
        <v>0</v>
      </c>
      <c r="X11" s="9">
        <f>IF(AND(B$5=$BF$9,OR($I11=$BH$16,$I11=$BH$17,$I11=" ",$I11="",$F11=0)),0,IF(OR($I11=" ",$I11="",$F11=0),0,1))</f>
        <v>0</v>
      </c>
      <c r="Y11" s="896"/>
      <c r="Z11" s="52" t="str">
        <f ca="1">IF(I11=" "," ",OFFSET($BM$9,$CL11-1,8,1,1))</f>
        <v xml:space="preserve"> </v>
      </c>
      <c r="AA11" s="51" t="str">
        <f>IF(G11&gt;=45,"WA","")</f>
        <v/>
      </c>
      <c r="AB11" s="1364" t="str">
        <f>IF(OR(E11=" ",E11="")," ",(IF(F11&lt;&gt;"",IF(OR(D11=$BG$12,D11=$BG$13),IF(E11&lt;&gt;$BG$17,$BF$20,$BF$21),IF(E11&lt;&gt;$BG$17,$BF$20,$BF$21))," ")))</f>
        <v xml:space="preserve"> </v>
      </c>
      <c r="AC11" s="1"/>
      <c r="AJ11" s="2198"/>
      <c r="AK11" s="2187"/>
      <c r="AL11" s="2246"/>
      <c r="AM11" s="2246"/>
      <c r="AN11" s="2252"/>
      <c r="AO11" s="2601"/>
      <c r="AP11" s="1244"/>
      <c r="AQ11" s="2246"/>
      <c r="AR11" s="2234"/>
      <c r="AS11" s="1639"/>
      <c r="AT11" s="2862"/>
      <c r="AU11" s="120"/>
      <c r="AV11" s="480"/>
      <c r="AW11" s="480"/>
      <c r="AX11" s="480"/>
      <c r="AY11" s="480"/>
      <c r="AZ11" s="480"/>
      <c r="BA11" s="480"/>
      <c r="BB11" s="480"/>
      <c r="BC11" s="480"/>
      <c r="BD11" s="2649"/>
      <c r="BF11" s="444" t="s">
        <v>8</v>
      </c>
      <c r="BG11" s="1029" t="s">
        <v>8</v>
      </c>
      <c r="BH11" s="707" t="s">
        <v>236</v>
      </c>
      <c r="BI11" s="759"/>
      <c r="BJ11" s="922">
        <f>BJ10+1</f>
        <v>3</v>
      </c>
      <c r="BM11" s="52">
        <v>0</v>
      </c>
      <c r="BN11" s="52">
        <v>999</v>
      </c>
      <c r="BO11" s="52">
        <f>AR10</f>
        <v>0</v>
      </c>
      <c r="BP11" s="52">
        <v>0</v>
      </c>
      <c r="BR11" s="52">
        <f>Table!G4</f>
        <v>0</v>
      </c>
      <c r="BS11" s="52">
        <f>Table!G5</f>
        <v>0</v>
      </c>
      <c r="BT11" s="52" t="str">
        <f>Table!H4</f>
        <v>B</v>
      </c>
      <c r="BU11" s="52" t="s">
        <v>242</v>
      </c>
      <c r="BV11" s="909" t="s">
        <v>8</v>
      </c>
      <c r="BW11" s="921">
        <v>0</v>
      </c>
      <c r="CH11" s="768">
        <f>IF(BN11=999,0,(BO12-BO11)/(BN11-BM11))</f>
        <v>0</v>
      </c>
      <c r="CI11" s="924">
        <f>IF(BN11=999,0,(BP12-BP11)/(BN11-BM11))</f>
        <v>0</v>
      </c>
      <c r="CJ11" s="759"/>
      <c r="CK11" s="188"/>
      <c r="CL11" s="979">
        <f>VLOOKUP(I11,Prodlink,2,0)</f>
        <v>0</v>
      </c>
      <c r="CN11" s="497">
        <f t="shared" ca="1" si="2"/>
        <v>0</v>
      </c>
      <c r="CO11" s="497">
        <f ca="1">OFFSET($CH$9,CL11-1,-15,1,1)</f>
        <v>0</v>
      </c>
      <c r="CQ11" s="51">
        <v>0</v>
      </c>
      <c r="CR11" s="51">
        <f t="shared" ca="1" si="3"/>
        <v>10000</v>
      </c>
      <c r="CS11" s="51">
        <f ca="1">IF(F11&lt;OFFSET($BM$9,CL11-1,0,1,1),0,IF(F11&lt;OFFSET($BN$9,CL11-1,0,1,1),((F11-OFFSET($BM$9,CL11-1,0,1,1))*OFFSET($CH$9,CL11-1,0,1,1))+OFFSET($BO$9,CL11-1,CQ11,1,1),IF(F11&lt;OFFSET($BN$9,CL11+0,0,1,1),((F11-OFFSET($BM$9,CL11+0,0,1,1))*OFFSET($CH$9,CL11+0,0,1,1))+OFFSET($BO$9,CL11+0,CQ11,1,1),IF(F11&lt;OFFSET($BN$9,CL11+1,0,1,1),((F11-OFFSET($BM$9,CL11+1,0,1,1))*OFFSET($CH$9,CL11+1,0,1,1))+OFFSET($BO$9,CL11+1,CQ11,1,1),IF(F11&lt;OFFSET($BN$9,CL11+2,0,1,1),((F11-OFFSET($BM$9,CL11+2,0,1,1))*OFFSET($CH$9,CL11+2,0,1,1))+OFFSET($BO$9,CL11+2,CQ11,1,1),IF(F11&lt;OFFSET($BN$9,CL11+3,0,1,1),((F11-OFFSET($BM$9,CL11+3,0,1,1))*OFFSET($CH$9,CL11+3,0,1,1))+OFFSET($BO$9,CL11+3,CQ11,1,1),0))))))</f>
        <v>0</v>
      </c>
      <c r="CT11" s="51">
        <f ca="1">IF($F11&lt;OFFSET($BM$9,$CL11-1,0,1,1),0,IF($F11&lt;OFFSET($BN$9,$CL11-1,0,1,1),IF(AND($H11&gt;2.4,Z11&lt;&gt;"e",Z11&lt;&gt;"f"),CX11*2.4/$H11,CX11),IF($F11&lt;OFFSET($BN$9,$CL11+0,0,1,1),IF(AND($H11&gt;2.4,Z11&lt;&gt;"e",Z11&lt;&gt;"f"),CX11*2.4/$H11,CX11),IF($F11&lt;OFFSET($BN$9,$CL11+1,0,1,1),IF(AND($H11&gt;2.4,Z11&lt;&gt;"e",Z11&lt;&gt;"f"),CX11*2.4/$H11,CX11),IF($F11&lt;OFFSET($BN$9,CL11+2,0,1,1),IF(AND($H11&gt;2.4,Z11&lt;&gt;"e",Z11&lt;&gt;"f"),CX11*2.4/$H11,CX11),IF($F11&lt;OFFSET($BN$9,CL11+3,0,1,1),IF(AND($H11&gt;2.4,Z11&lt;&gt;"e",Z11&lt;&gt;"f"),CX11*2.4/$H11,CX11),0)))))*COS(RADIANS($G11)))</f>
        <v>0</v>
      </c>
      <c r="CU11" s="51">
        <f ca="1">IF(F11&lt;OFFSET($BM$9,CL11-1,0,1,1),0,IF(F11&lt;OFFSET($BN$9,CL11-1,0,1,1),((F11-OFFSET($BM$9,CL11-1,0,1,1))*OFFSET($CI$9,CL11-1,0,1,1))+OFFSET($BP$9,CL11-1,CQ11,1,1),IF(F11&lt;OFFSET($BN$9,CL11+0,0,1,1),((F11-OFFSET($BM$9,CL11+0,0,1,1))*OFFSET($CI$9,CL11+0,0,1,1))+OFFSET($BP$9,CL11+0,CQ11,1,1),IF(F11&lt;OFFSET($BN$9,CL11+1,0,1,1),((F11-OFFSET($BM$9,CL11+1,0,1,1))*OFFSET($CI$9,CL11+1,0,1,1))+OFFSET($BP$9,CL11+1,CQ11,1,1),IF(F11&lt;OFFSET($BN$9,CL11+2,0,1,1),((F11-OFFSET($BM$9,CL11+2,0,1,1))*OFFSET($CI$9,CL11+2,0,1,1))+OFFSET($BP$9,CL11+2,CQ11,1,1),IF(F11&lt;OFFSET($BN$9,CL11+3,0,1,1),((F11-OFFSET($BM$9,CL11+3,0,1,1))*OFFSET($CI$9,CL11+3,0,1,1))+OFFSET($BP$9,CL11+3,CQ11,1,1),0))))))</f>
        <v>0</v>
      </c>
      <c r="CV11" s="51">
        <f ca="1">IF($F11&lt;OFFSET($BM$9,$CL11-1,0,1,1),0,IF($F11&lt;OFFSET($BN$9,$CL11-1,0,1,1),IF(AND($H11&gt;2.4,Z11&lt;&gt;"e",Z11&lt;&gt;"f"),CZ11*2.4/$H11,CZ11),IF($F11&lt;OFFSET($BN$9,$CL11+0,0,1,1),IF(AND($H11&gt;2.4,Z11&lt;&gt;"e",Z11&lt;&gt;"f"),CZ11*2.4/$H11,CZ11),IF($F11&lt;OFFSET($BN$9,$CL11+1,0,1,1),IF(AND($H11&gt;2.4,Z11&lt;&gt;"e",Z11&lt;&gt;"f"),CZ11*2.4/$H11,CZ11),IF($F11&lt;OFFSET($BN$9,$CL11+2,0,1,1),IF(AND($H11&gt;2.4,Z11&lt;&gt;"e",Z11&lt;&gt;"f"),CZ11*2.4/$H11,CZ11),IF($F11&lt;OFFSET($BN$9,$CL11+3,0,1,1),IF(AND($H11&gt;2.4,Z11&lt;&gt;"e",Z11&lt;&gt;"f"),CZ11*2.4/$H11,CZ11),0)))))*COS(RADIANS($G11)))</f>
        <v>0</v>
      </c>
      <c r="CW11" s="51">
        <f ca="1">IF(CT11&gt;CR11,CR11,CT11)</f>
        <v>0</v>
      </c>
      <c r="CX11" s="51">
        <f ca="1">IF(CS11&gt;$CR11,$CR11,CS11)</f>
        <v>0</v>
      </c>
      <c r="CY11" s="51">
        <f ca="1">CW11*F11</f>
        <v>0</v>
      </c>
      <c r="CZ11" s="51">
        <f ca="1">IF($CU11&gt;$CR11,$CR11,$CU11)</f>
        <v>0</v>
      </c>
      <c r="DA11" s="51">
        <f ca="1">IF(CV11&gt;CR11,CR11,CV11)</f>
        <v>0</v>
      </c>
      <c r="DB11" s="51">
        <f ca="1">DA11*F11</f>
        <v>0</v>
      </c>
      <c r="DC11" s="993">
        <v>1</v>
      </c>
      <c r="DD11" s="758" t="str">
        <f>IF(OR(D11=BG$12,D11=BG$13),"External",IF(D11=BG$14,"Internal"," "))</f>
        <v xml:space="preserve"> </v>
      </c>
      <c r="DE11" s="51" t="str">
        <f t="shared" ca="1" si="4"/>
        <v/>
      </c>
      <c r="DF11" s="52" t="str">
        <f t="shared" ca="1" si="5"/>
        <v xml:space="preserve"> </v>
      </c>
      <c r="DG11" s="51">
        <f ca="1">IF(F11&lt;OFFSET($BM$9,CN11-1,0,1,1),0,IF(F11&lt;OFFSET($BN$9,CN11-1,0,1,1),((F11-OFFSET($BM$9,CN11-1,0,1,1))*OFFSET($CH$9,CN11-1,0,1,1))+OFFSET($BO$9,CN11-1,CQ11,1,1),IF(F11&lt;OFFSET($BN$9,CN11+0,0,1,1),((F11-OFFSET($BM$9,CN11+0,0,1,1))*OFFSET($CH$9,CN11+0,0,1,1))+OFFSET($BO$9,CN11+0,CQ11,1,1),IF(F11&lt;OFFSET($BN$9,CN11+1,0,1,1),((F11-OFFSET($BM$9,CN11+1,0,1,1))*OFFSET($CH$9,CN11+1,0,1,1))+OFFSET($BO$9,CN11+1,CQ11,1,1),IF(F11&lt;OFFSET($BN$9,CN11+2,0,1,1),((F11-OFFSET($BM$9,CN11+2,0,1,1))*OFFSET($CH$9,CN11+2,0,1,1))+OFFSET($BO$9,CN11+2,CQ11,1,1),IF(F11&lt;OFFSET($BN$9,CN11+3,0,1,1),((F11-OFFSET($BM$9,CN11+3,0,1,1))*OFFSET($CH$9,CN11+3,0,1,1))+OFFSET($BO$9,CN11+3,CQ11,1,1),0))))))</f>
        <v>0</v>
      </c>
      <c r="DH11" s="51">
        <f ca="1">IF($F11&lt;OFFSET($BM$9,$CN11-1,0,1,1),0,IF($F11&lt;OFFSET($BN$9,$CN11-1,0,1,1),IF(AND($H11&gt;2.4,Z11&lt;&gt;"e",Z11&lt;&gt;"f"),DL11*2.4/$H11,DL11),IF($F11&lt;OFFSET($BN$9,$CN11+0,0,1,1),IF(AND($H11&gt;2.4,Z11&lt;&gt;"e",Z11&lt;&gt;"f"),DL11*2.4/$H11,DL11),IF($F11&lt;OFFSET($BN$9,$CN11+1,0,1,1),IF(AND($H11&gt;2.4,Z11&lt;&gt;"e",Z11&lt;&gt;"f"),DL11*2.4/$H11,DL11),IF($F11&lt;OFFSET($BN$9,$CN11+2,0,1,1),IF(AND($H11&gt;2.4,Z11&lt;&gt;"e",Z11&lt;&gt;"f"),DL11*2.4/$H11,DL11),IF($F11&lt;OFFSET($BN$9,$CN11+3,0,1,1),IF(AND($H11&gt;2.4,Z11&lt;&gt;"e",Z11&lt;&gt;"f"),DL11*2.4/$H11,DL11),0)))))*COS(RADIANS($G11)))</f>
        <v>0</v>
      </c>
      <c r="DI11" s="51">
        <f ca="1">IF(F11&lt;OFFSET($BM$9,CN11-1,0,1,1),0,IF(F11&lt;OFFSET($BN$9,CN11-1,0,1,1),((F11-OFFSET($BM$9,CN11-1,0,1,1))*OFFSET($CI$9,CN11-1,0,1,1))+OFFSET($BP$9,CN11-1,CQ11,1,1),IF(F11&lt;OFFSET($BN$9,CN11+0,0,1,1),((F11-OFFSET($BM$9,CN11+0,0,1,1))*OFFSET($CI$9,CN11+0,0,1,1))+OFFSET($BP$9,CN11+0,CQ11,1,1),IF(F11&lt;OFFSET($BN$9,CN11+1,0,1,1),((F11-OFFSET($BM$9,CN11+1,0,1,1))*OFFSET($CI$9,CN11+1,0,1,1))+OFFSET($BP$9,CN11+1,CQ11,1,1),IF(F11&lt;OFFSET($BN$9,CN11+2,0,1,1),((F11-OFFSET($BM$9,CN11+2,0,1,1))*OFFSET($CI$9,CN11+2,0,1,1))+OFFSET($BP$9,CN11+2,CQ11,1,1),IF(F11&lt;OFFSET($BN$9,CN11+3,0,1,1),((F11-OFFSET($BM$9,CN11+3,0,1,1))*OFFSET($CI$9,CN11+3,0,1,1))+OFFSET($BP$9,CN11+3,CQ11,1,1),0))))))</f>
        <v>0</v>
      </c>
      <c r="DJ11" s="51">
        <f ca="1">IF($F11&lt;OFFSET($BM$9,$CN11-1,0,1,1),0,IF($F11&lt;OFFSET($BN$9,$CN11-1,0,1,1),IF(AND($H11&gt;2.4,Z11&lt;&gt;"e",Z11&lt;&gt;"f"),DN11*2.4/$H11,DN11),IF($F11&lt;OFFSET($BN$9,$CN11+0,0,1,1),IF(AND($H11&gt;2.4,Z11&lt;&gt;"e",Z11&lt;&gt;"f"),DN11*2.4/$H11,DN11),IF($F11&lt;OFFSET($BN$9,$CN11+1,0,1,1),IF(AND($H11&gt;2.4,Z11&lt;&gt;"e",Z11&lt;&gt;"f"),DN11*2.4/$H11,DN11),IF($F11&lt;OFFSET($BN$9,$CN11+2,0,1,1),IF(AND($H11&gt;2.4,Z11&lt;&gt;"e",Z11&lt;&gt;"f"),DN11*2.4/$H11,DN11),IF($F11&lt;OFFSET($BN$9,$CN11+3,0,1,1),IF(AND($H11&gt;2.4,Z11&lt;&gt;"e",Z11&lt;&gt;"f"),DN11*2.4/$H11,DN11),0)))))*COS(RADIANS($G11)))</f>
        <v>0</v>
      </c>
      <c r="DK11" s="51"/>
      <c r="DL11" s="51">
        <f ca="1">IF(DG11&gt;$CR11,$CR11,DG11)</f>
        <v>0</v>
      </c>
      <c r="DM11" s="51"/>
      <c r="DN11" s="51">
        <f ca="1">IF(DI11&gt;$CR11,$CR11,DI11)</f>
        <v>0</v>
      </c>
      <c r="DO11" s="435">
        <f ca="1">IF(DH11&gt;$CR11,$CR11,DH11)</f>
        <v>0</v>
      </c>
      <c r="DP11" s="435">
        <f ca="1">DO11*F11</f>
        <v>0</v>
      </c>
      <c r="DQ11" s="436">
        <f ca="1">IF(DJ11&gt;$CR11,$CR11,DJ11)</f>
        <v>0</v>
      </c>
      <c r="DR11" s="437">
        <f ca="1">DQ11*F11</f>
        <v>0</v>
      </c>
      <c r="DS11" s="426">
        <f ca="1">OFFSET($CH$9,CL11-1,-15,1,1)</f>
        <v>0</v>
      </c>
      <c r="DT11" s="426">
        <f t="shared" ca="1" si="1"/>
        <v>0</v>
      </c>
      <c r="DU11" s="188">
        <f ca="1">IF(F11&lt;OFFSET($BM$9,DT11-1,0,1,1),0,IF(F11&lt;OFFSET($BN$9,DT11-1,0,1,1),((F11-OFFSET($BM$9,DT11-1,0,1,1))*OFFSET($CH$9,DT11-1,0,1,1))+OFFSET($BO$9,DT11-1,CQ11,1,1),IF(F11&lt;OFFSET($BN$9,DT11+0,0,1,1),((F11-OFFSET($BM$9,DT11+0,0,1,1))*OFFSET($CH$9,DT11+0,0,1,1))+OFFSET($BO$9,DT11+0,CQ11,1,1),IF(F11&lt;OFFSET($BN$9,DT11+1,0,1,1),((F11-OFFSET($BM$9,DT11+1,0,1,1))*OFFSET($CH$9,DT11+1,0,1,1))+OFFSET($BO$9,DT11+1,CQ11,1,1),IF(F11&lt;OFFSET($BN$9,DT11+2,0,1,1),((F11-OFFSET($BM$9,DT11+2,0,1,1))*OFFSET($CH$9,DT11+2,0,1,1))+OFFSET($BO$9,DT11+2,CQ11,1,1),IF(F11&lt;OFFSET($BN$9,DT11+3,0,1,1),((F11-OFFSET($BM$9,DT11+3,0,1,1))*OFFSET($CH$9,DT11+3,0,1,1))+OFFSET($BO$9,DT11+3,CQ11,1,1),0))))))</f>
        <v>0</v>
      </c>
      <c r="DV11" s="51">
        <f ca="1">IF($F11&lt;OFFSET($BM$9,$DT11-1,0,1,1),0,IF($F11&lt;OFFSET($BN$9,$DT11-1,0,1,1),IF(AND($H11&gt;2.4,Z11&lt;&gt;"e",Z11&lt;&gt;"f"),DZ11*2.4/$H11,DZ11),IF($F11&lt;OFFSET($BN$9,$DT11+0,0,1,1),IF(AND($H11&gt;2.4,Z11&lt;&gt;"e",Z11&lt;&gt;"f"),DZ11*2.4/$H11,DZ11),IF($F11&lt;OFFSET($BN$9,$DT11+1,0,1,1),IF(AND($H11&gt;2.4,Z11&lt;&gt;"e",Z11&lt;&gt;"f"),DZ11*2.4/$H11,DZ11),IF($F11&lt;OFFSET($BN$9,$DT11+2,0,1,1),IF(AND($H11&gt;2.4,Z11&lt;&gt;"e",Z11&lt;&gt;"f"),DZ11*2.4/$H11,DZ11),IF($F11&lt;OFFSET($BN$9,$DT11+3,0,1,1),IF(AND($H11&gt;2.4,Z11&lt;&gt;"e",Z11&lt;&gt;"f"),DZ11*2.4/$H11,DZ11),0)))))*COS(RADIANS($G11)))</f>
        <v>0</v>
      </c>
      <c r="DW11" s="188">
        <f ca="1">IF(F11&lt;OFFSET($BM$9,DT11-1,0,1,1),0,IF(F11&lt;OFFSET($BN$9,DT11-1,0,1,1),((F11-OFFSET($BM$9,DT11-1,0,1,1))*OFFSET($CI$9,DT11-1,0,1,1))+OFFSET($BP$9,DT11-1,CQ11,1,1),IF(F11&lt;OFFSET($BN$9,DT11+0,0,1,1),((F11-OFFSET($BM$9,DT11+0,0,1,1))*OFFSET($CI$9,DT11+0,0,1,1))+OFFSET($BP$9,DT11+0,CQ11,1,1),IF(F11&lt;OFFSET($BN$9,DT11+1,0,1,1),((F11-OFFSET($BM$9,DT11+1,0,1,1))*OFFSET($CI$9,DT11+1,0,1,1))+OFFSET($BP$9,DT11+1,CQ11,1,1),IF(F11&lt;OFFSET($BN$9,DT11+2,0,1,1),((F11-OFFSET($BM$9,DT11+2,0,1,1))*OFFSET($CI$9,DT11+2,0,1,1))+OFFSET($BP$9,DT11+2,CQ11,1,1),IF(F11&lt;OFFSET($BN$9,DT11+3,0,1,1),((F11-OFFSET($BM$9,DT11+3,0,1,1))*OFFSET($CI$9,DT11+3,0,1,1))+OFFSET($BP$9,DT11+3,CQ11,1,1),0))))))</f>
        <v>0</v>
      </c>
      <c r="DX11" s="51">
        <f ca="1">IF($F11&lt;OFFSET($BM$9,$DT11-1,0,1,1),0,IF($F11&lt;OFFSET($BN$9,$DT11-1,0,1,1),IF(AND($H11&gt;2.4,Z11&lt;&gt;"e",Z11&lt;&gt;"f"),EB11*2.4/$H11,EB11),IF($F11&lt;OFFSET($BN$9,$DT11+0,0,1,1),IF(AND($H11&gt;2.4,Z11&lt;&gt;"e",Z11&lt;&gt;"f"),EB11*2.4/$H11,EB11),IF($F11&lt;OFFSET($BN$9,$DT11+1,0,1,1),IF(AND($H11&gt;2.4,Z11&lt;&gt;"e",Z11&lt;&gt;"f"),EB11*2.4/$H11,EB11),IF($F11&lt;OFFSET($BN$9,$DT11+2,0,1,1),IF(AND($H11&gt;2.4,Z11&lt;&gt;"e",Z11&lt;&gt;"f"),EB11*2.4/$H11,EB11),IF($F11&lt;OFFSET($BN$9,$DT11+3,0,1,1),IF(AND($H11&gt;2.4,Z11&lt;&gt;"e",Z11&lt;&gt;"f"),EB11*2.4/$H11,EB11),0)))))*COS(RADIANS($G11)))</f>
        <v>0</v>
      </c>
      <c r="DY11" s="188"/>
      <c r="DZ11" s="188">
        <f ca="1">IF(DU11&gt;$CR11,$CR11,DU11)</f>
        <v>0</v>
      </c>
      <c r="EA11" s="188"/>
      <c r="EB11" s="188">
        <f ca="1">IF(DW11&gt;$CR11,$CR11,DW11)</f>
        <v>0</v>
      </c>
      <c r="EC11" s="435">
        <f ca="1">IF(DV11&gt;$CR11,$CR11,DV11)</f>
        <v>0</v>
      </c>
      <c r="ED11" s="435">
        <f ca="1">EC11*F11</f>
        <v>0</v>
      </c>
      <c r="EE11" s="436">
        <f ca="1">IF(DX11&gt;$CR11,$CR11,DX11)</f>
        <v>0</v>
      </c>
      <c r="EF11" s="437">
        <f ca="1">EE11*F11</f>
        <v>0</v>
      </c>
      <c r="EG11" s="613" t="str">
        <f>IF(D11=BG$12,BG$12,"")</f>
        <v/>
      </c>
      <c r="EH11" s="614" t="str">
        <f>IF(D11=BG$13,BG$13,"")</f>
        <v/>
      </c>
      <c r="EI11" s="611">
        <f>IF(EG11=BG$12,M11,0)</f>
        <v>0</v>
      </c>
      <c r="EJ11" s="451">
        <f>IF(EG11=BG$12,O11,0)</f>
        <v>0</v>
      </c>
      <c r="EK11" s="451">
        <f>IF(EH11=BG$13,M11,0)</f>
        <v>0</v>
      </c>
      <c r="EL11" s="612">
        <f>IF(EH11=BG$13,O11,0)</f>
        <v>0</v>
      </c>
      <c r="EM11" s="426" t="str">
        <f ca="1">IF(AND(Z11&lt;&gt;"t",Z11&lt;&gt;"f"),"",IF(AND(EN11=$BH$11,K11&lt;&gt;EN11),EM$4,IF(AND(EN11=$BH$12,K11=$BH$13),EM$4,IF(AND(EN11=$BH$12,K11=$BH$14),EM$4,IF(AND(EN11=$BH$13,K11=$BH$14),$EM$4,IF(EN11=$BH$14,$EM$4,""))))))</f>
        <v/>
      </c>
      <c r="EN11" s="489" t="str">
        <f>BG$24</f>
        <v>Earth</v>
      </c>
      <c r="EO11" s="426" t="str">
        <f>K11</f>
        <v xml:space="preserve"> </v>
      </c>
      <c r="EP11" s="497" t="str">
        <f ca="1">IF(AND(Z11&lt;&gt;"t",Z11&lt;&gt;"f"),"",IF(AND(EN11=$BH$14,K11&lt;&gt;EN11),EP$4,IF(AND(EN11=$BH$13,K11=$BH$12),EP$4,IF(AND(EN11=$BH$13,K11=$BH$11),EP$4,IF(AND(EN11=$BH$12,K11=$BH$11),$EP$4,IF(EN11=$BH$11,"Earth",""))))))</f>
        <v/>
      </c>
      <c r="EQ11" s="430" t="str">
        <f ca="1">IF(Z11&lt;&gt;"t","",IF(EQ$5=2,IF(K11&lt;&gt;BH$11,EQ$7," ")))</f>
        <v/>
      </c>
      <c r="ER11" s="439" t="str">
        <f ca="1">IF(H11=0," ",H11)</f>
        <v xml:space="preserve"> </v>
      </c>
      <c r="ES11" s="440" t="str">
        <f ca="1">IF(ER11&lt;&gt;" ",IF(ER11&lt;&gt;ER$7,"Changed",""),"")</f>
        <v/>
      </c>
      <c r="ET11" s="440">
        <f ca="1">IF(ER11&lt;&gt;" ",IF(ER11&lt;&gt;ER$7,1,0),0)</f>
        <v>0</v>
      </c>
      <c r="EU11" s="426" t="str">
        <f ca="1">IF(I11=" "," ",IF(F11&lt;OFFSET($BM$9,CL11-1,0,1,1),1,""))</f>
        <v xml:space="preserve"> </v>
      </c>
      <c r="EW11" s="427"/>
    </row>
    <row r="12" spans="1:153" ht="17.100000000000001" customHeight="1" thickBot="1">
      <c r="B12" s="689" t="s">
        <v>246</v>
      </c>
      <c r="C12" s="684" t="str">
        <f>IF(OR(F12=0,I12="",I12=" ")," ",$V12)</f>
        <v xml:space="preserve"> </v>
      </c>
      <c r="D12" s="1033"/>
      <c r="E12" s="1034"/>
      <c r="F12" s="202"/>
      <c r="G12" s="1416"/>
      <c r="H12" s="1417" t="str">
        <f ca="1">IF(OR(F12=0,Z12="E",Z12="f")," ",'Project Demand'!E$55)</f>
        <v xml:space="preserve"> </v>
      </c>
      <c r="I12" s="631" t="str">
        <f>IF($I$6&lt;&gt;$BG$8," ",AB12)</f>
        <v xml:space="preserve"> </v>
      </c>
      <c r="J12" s="44" t="str">
        <f ca="1">IF(OR(I12=" ",I12="")," ",OFFSET($BO$9,CL12-1,0-4,1,1))</f>
        <v xml:space="preserve"> </v>
      </c>
      <c r="K12" s="55" t="str">
        <f>IF(OR(I12=" ",I12="")," ",IF(OR(Z12="e",Z12="h"),"SD",IF(BG$24=BH$11,BH$13,BG$24)))</f>
        <v xml:space="preserve"> </v>
      </c>
      <c r="L12" s="725">
        <f ca="1">CW12</f>
        <v>0</v>
      </c>
      <c r="M12" s="727">
        <f ca="1">CY12</f>
        <v>0</v>
      </c>
      <c r="N12" s="445">
        <f t="shared" ca="1" si="0"/>
        <v>0</v>
      </c>
      <c r="O12" s="728">
        <f t="shared" ca="1" si="0"/>
        <v>0</v>
      </c>
      <c r="P12" s="138"/>
      <c r="Q12" s="752" t="str">
        <f ca="1">IF(AND(OR(Z12="t",Z12="f"),K12=$BH$11),"No Floor!  Change Floor Type",IF(OR(I12=" ",I12="")," ",IF(F12&lt;OFFSET($BM$9,CL12-1,0,1,1),"check L(m)",DE12&amp;IF(AND(DP12&gt;=CY12,DR12&gt;=DB12),IF(AND(ED12&gt;=DP12,EF12&gt;=DR12),CONCATENATE(DS12," will provide same result"),CONCATENATE(CO12," will provide same result")),IF((DP12&gt;=CY12),CONCATENATE(CO12," provides same result in WIND"),IF((DR12&gt;=DB12),CONCATENATE(CO12," provides same result in EQ"),""))))))&amp;IF(ISERROR(FIND("pile",I12,1)),"",IF(INT(F12)&lt;&gt;F12,"Pile!  Use Whole Numbers Only",""))</f>
        <v xml:space="preserve"> </v>
      </c>
      <c r="T12" s="52"/>
      <c r="U12" s="1377"/>
      <c r="V12" s="52" t="str">
        <f>IF(AND(B$5=$BF$9,OR(I12=BH$16,I12=BH$17))," ",IF(ISNUMBER(B$8),(CONCATENATE(B$8,".",W12)),(CONCATENATE(B$8,W12))))</f>
        <v>M0</v>
      </c>
      <c r="W12" s="9">
        <f>W11+X12</f>
        <v>0</v>
      </c>
      <c r="X12" s="9">
        <f>IF(AND(B$5=$BF$9,OR($I12=$BH$16,$I12=$BH$17,$I12=" ",$I12="",$F12=0)),0,IF(OR($I12=" ",$I12="",$F12=0),0,1))</f>
        <v>0</v>
      </c>
      <c r="Y12" s="896"/>
      <c r="Z12" s="52" t="str">
        <f ca="1">IF(I12=" "," ",OFFSET($BM$9,$CL12-1,8,1,1))</f>
        <v xml:space="preserve"> </v>
      </c>
      <c r="AA12" s="51" t="str">
        <f>IF(G12&gt;=45,"WA","")</f>
        <v/>
      </c>
      <c r="AB12" s="1364" t="str">
        <f>IF(OR(E12=" ",E12="")," ",(IF(F12&lt;&gt;"",IF(OR(D12=$BG$12,D12=$BG$13),IF(E12&lt;&gt;$BG$17,$BF$20,$BF$21),IF(E12&lt;&gt;$BG$17,$BF$20,$BF$21))," ")))</f>
        <v xml:space="preserve"> </v>
      </c>
      <c r="AC12" s="1"/>
      <c r="AJ12" s="2866" t="str">
        <f>'Custom Elements'!O9</f>
        <v>NZS 3604</v>
      </c>
      <c r="AK12" s="1625" t="s">
        <v>931</v>
      </c>
      <c r="AL12" s="1626"/>
      <c r="AM12" s="1626"/>
      <c r="AN12" s="1626"/>
      <c r="AO12" s="1626"/>
      <c r="AP12" s="1626"/>
      <c r="AQ12" s="1626"/>
      <c r="AR12" s="1626"/>
      <c r="AS12" s="1641"/>
      <c r="AT12" s="1627"/>
      <c r="AU12" s="119"/>
      <c r="AV12" s="47"/>
      <c r="AW12" s="47"/>
      <c r="AX12" s="47"/>
      <c r="AY12" s="47"/>
      <c r="AZ12" s="47"/>
      <c r="BA12" s="47"/>
      <c r="BB12" s="47"/>
      <c r="BC12" s="47"/>
      <c r="BD12" s="2667"/>
      <c r="BF12" s="598" t="str">
        <f>'Custom Elements'!P9</f>
        <v>Masonry 0.75</v>
      </c>
      <c r="BG12" s="1026" t="str">
        <f>IF('Project Demand'!AX21=1,BG32,BG35)</f>
        <v>Left External</v>
      </c>
      <c r="BH12" s="709" t="str">
        <f>IF($BE$3=1,BH19,BG19)</f>
        <v>120 BU's</v>
      </c>
      <c r="BI12" s="759"/>
      <c r="BJ12" s="897">
        <f t="shared" ref="BJ12:BJ40" si="6">BJ11+1</f>
        <v>4</v>
      </c>
      <c r="BK12" s="769" t="str">
        <f t="shared" ref="BK12:BK31" si="7">AK48</f>
        <v xml:space="preserve">  </v>
      </c>
      <c r="BL12" s="770" t="str">
        <f t="shared" ref="BL12:BL31" si="8">AL48</f>
        <v>Custom1</v>
      </c>
      <c r="BM12" s="454">
        <f t="shared" ref="BM12:BM31" si="9">AM48</f>
        <v>9.9999999999999996E-76</v>
      </c>
      <c r="BN12" s="454">
        <v>999</v>
      </c>
      <c r="BO12" s="454">
        <f t="shared" ref="BO12:BO31" si="10">AN48</f>
        <v>0</v>
      </c>
      <c r="BP12" s="924">
        <f t="shared" ref="BP12:BP31" si="11">AO48</f>
        <v>0</v>
      </c>
      <c r="BR12" s="768"/>
      <c r="BS12" s="454"/>
      <c r="BT12" s="454" t="str">
        <f t="shared" ref="BT12:BT31" si="12">AP48</f>
        <v>B</v>
      </c>
      <c r="BU12" s="924" t="str">
        <f t="shared" ref="BU12:BU31" si="13">AZ48</f>
        <v>T</v>
      </c>
      <c r="BV12" s="483" t="str">
        <f t="shared" ref="BV12:BV31" si="14">AL48</f>
        <v>Custom1</v>
      </c>
      <c r="BW12" s="910">
        <f>BJ12</f>
        <v>4</v>
      </c>
      <c r="BX12" s="924" t="str">
        <f t="shared" ref="BX12:BX31" si="15">AQ48</f>
        <v>Single</v>
      </c>
      <c r="CH12" s="768">
        <f t="shared" ref="CH12:CH31" si="16">IF(BN12=999,0,(BO13-BO12)/(BN12-BM12))</f>
        <v>0</v>
      </c>
      <c r="CI12" s="924">
        <f t="shared" ref="CI12:CI31" si="17">IF(BN12=999,0,(BP13-BP12)/(BN12-BM12))</f>
        <v>0</v>
      </c>
      <c r="CJ12" s="759"/>
      <c r="CK12" s="188"/>
      <c r="CL12" s="979">
        <f>VLOOKUP(I12,Prodlink,2,0)</f>
        <v>0</v>
      </c>
      <c r="CN12" s="497">
        <f t="shared" ca="1" si="2"/>
        <v>0</v>
      </c>
      <c r="CO12" s="497">
        <f ca="1">OFFSET($CH$9,CL12-1,-15,1,1)</f>
        <v>0</v>
      </c>
      <c r="CQ12" s="51">
        <v>0</v>
      </c>
      <c r="CR12" s="51">
        <f t="shared" ca="1" si="3"/>
        <v>10000</v>
      </c>
      <c r="CS12" s="51">
        <f ca="1">IF(F12&lt;OFFSET($BM$9,CL12-1,0,1,1),0,IF(F12&lt;OFFSET($BN$9,CL12-1,0,1,1),((F12-OFFSET($BM$9,CL12-1,0,1,1))*OFFSET($CH$9,CL12-1,0,1,1))+OFFSET($BO$9,CL12-1,CQ12,1,1),IF(F12&lt;OFFSET($BN$9,CL12+0,0,1,1),((F12-OFFSET($BM$9,CL12+0,0,1,1))*OFFSET($CH$9,CL12+0,0,1,1))+OFFSET($BO$9,CL12+0,CQ12,1,1),IF(F12&lt;OFFSET($BN$9,CL12+1,0,1,1),((F12-OFFSET($BM$9,CL12+1,0,1,1))*OFFSET($CH$9,CL12+1,0,1,1))+OFFSET($BO$9,CL12+1,CQ12,1,1),IF(F12&lt;OFFSET($BN$9,CL12+2,0,1,1),((F12-OFFSET($BM$9,CL12+2,0,1,1))*OFFSET($CH$9,CL12+2,0,1,1))+OFFSET($BO$9,CL12+2,CQ12,1,1),IF(F12&lt;OFFSET($BN$9,CL12+3,0,1,1),((F12-OFFSET($BM$9,CL12+3,0,1,1))*OFFSET($CH$9,CL12+3,0,1,1))+OFFSET($BO$9,CL12+3,CQ12,1,1),0))))))</f>
        <v>0</v>
      </c>
      <c r="CT12" s="51">
        <f ca="1">IF($F12&lt;OFFSET($BM$9,$CL12-1,0,1,1),0,IF($F12&lt;OFFSET($BN$9,$CL12-1,0,1,1),IF(AND($H12&gt;2.4,Z12&lt;&gt;"e",Z12&lt;&gt;"f"),CX12*2.4/$H12,CX12),IF($F12&lt;OFFSET($BN$9,$CL12+0,0,1,1),IF(AND($H12&gt;2.4,Z12&lt;&gt;"e",Z12&lt;&gt;"f"),CX12*2.4/$H12,CX12),IF($F12&lt;OFFSET($BN$9,$CL12+1,0,1,1),IF(AND($H12&gt;2.4,Z12&lt;&gt;"e",Z12&lt;&gt;"f"),CX12*2.4/$H12,CX12),IF($F12&lt;OFFSET($BN$9,CL12+2,0,1,1),IF(AND($H12&gt;2.4,Z12&lt;&gt;"e",Z12&lt;&gt;"f"),CX12*2.4/$H12,CX12),IF($F12&lt;OFFSET($BN$9,CL12+3,0,1,1),IF(AND($H12&gt;2.4,Z12&lt;&gt;"e",Z12&lt;&gt;"f"),CX12*2.4/$H12,CX12),0)))))*COS(RADIANS($G12)))</f>
        <v>0</v>
      </c>
      <c r="CU12" s="51">
        <f ca="1">IF(F12&lt;OFFSET($BM$9,CL12-1,0,1,1),0,IF(F12&lt;OFFSET($BN$9,CL12-1,0,1,1),((F12-OFFSET($BM$9,CL12-1,0,1,1))*OFFSET($CI$9,CL12-1,0,1,1))+OFFSET($BP$9,CL12-1,CQ12,1,1),IF(F12&lt;OFFSET($BN$9,CL12+0,0,1,1),((F12-OFFSET($BM$9,CL12+0,0,1,1))*OFFSET($CI$9,CL12+0,0,1,1))+OFFSET($BP$9,CL12+0,CQ12,1,1),IF(F12&lt;OFFSET($BN$9,CL12+1,0,1,1),((F12-OFFSET($BM$9,CL12+1,0,1,1))*OFFSET($CI$9,CL12+1,0,1,1))+OFFSET($BP$9,CL12+1,CQ12,1,1),IF(F12&lt;OFFSET($BN$9,CL12+2,0,1,1),((F12-OFFSET($BM$9,CL12+2,0,1,1))*OFFSET($CI$9,CL12+2,0,1,1))+OFFSET($BP$9,CL12+2,CQ12,1,1),IF(F12&lt;OFFSET($BN$9,CL12+3,0,1,1),((F12-OFFSET($BM$9,CL12+3,0,1,1))*OFFSET($CI$9,CL12+3,0,1,1))+OFFSET($BP$9,CL12+3,CQ12,1,1),0))))))</f>
        <v>0</v>
      </c>
      <c r="CV12" s="51">
        <f ca="1">IF($F12&lt;OFFSET($BM$9,$CL12-1,0,1,1),0,IF($F12&lt;OFFSET($BN$9,$CL12-1,0,1,1),IF(AND($H12&gt;2.4,Z12&lt;&gt;"e",Z12&lt;&gt;"f"),CZ12*2.4/$H12,CZ12),IF($F12&lt;OFFSET($BN$9,$CL12+0,0,1,1),IF(AND($H12&gt;2.4,Z12&lt;&gt;"e",Z12&lt;&gt;"f"),CZ12*2.4/$H12,CZ12),IF($F12&lt;OFFSET($BN$9,$CL12+1,0,1,1),IF(AND($H12&gt;2.4,Z12&lt;&gt;"e",Z12&lt;&gt;"f"),CZ12*2.4/$H12,CZ12),IF($F12&lt;OFFSET($BN$9,$CL12+2,0,1,1),IF(AND($H12&gt;2.4,Z12&lt;&gt;"e",Z12&lt;&gt;"f"),CZ12*2.4/$H12,CZ12),IF($F12&lt;OFFSET($BN$9,$CL12+3,0,1,1),IF(AND($H12&gt;2.4,Z12&lt;&gt;"e",Z12&lt;&gt;"f"),CZ12*2.4/$H12,CZ12),0)))))*COS(RADIANS($G12)))</f>
        <v>0</v>
      </c>
      <c r="CW12" s="51">
        <f t="shared" ref="CW12:CW66" ca="1" si="18">IF(CT12&gt;CR12,CR12,CT12)</f>
        <v>0</v>
      </c>
      <c r="CX12" s="51">
        <f ca="1">IF(CS12&gt;$CR12,$CR12,CS12)</f>
        <v>0</v>
      </c>
      <c r="CY12" s="51">
        <f ca="1">CW12*F12</f>
        <v>0</v>
      </c>
      <c r="CZ12" s="51">
        <f ca="1">IF($CU12&gt;$CR12,$CR12,$CU12)</f>
        <v>0</v>
      </c>
      <c r="DA12" s="51">
        <f ca="1">IF(CV12&gt;CR12,CR12,CV12)</f>
        <v>0</v>
      </c>
      <c r="DB12" s="51">
        <f ca="1">DA12*F12</f>
        <v>0</v>
      </c>
      <c r="DC12" s="993">
        <v>1</v>
      </c>
      <c r="DD12" s="758" t="str">
        <f>IF(OR(D12=BG$12,D12=BG$13),"External",IF(D12=BG$14,"Internal"," "))</f>
        <v xml:space="preserve"> </v>
      </c>
      <c r="DE12" s="51" t="str">
        <f t="shared" ca="1" si="4"/>
        <v/>
      </c>
      <c r="DF12" s="52" t="str">
        <f t="shared" ca="1" si="5"/>
        <v xml:space="preserve"> </v>
      </c>
      <c r="DG12" s="51">
        <f ca="1">IF(F12&lt;OFFSET($BM$9,CN12-1,0,1,1),0,IF(F12&lt;OFFSET($BN$9,CN12-1,0,1,1),((F12-OFFSET($BM$9,CN12-1,0,1,1))*OFFSET($CH$9,CN12-1,0,1,1))+OFFSET($BO$9,CN12-1,CQ12,1,1),IF(F12&lt;OFFSET($BN$9,CN12+0,0,1,1),((F12-OFFSET($BM$9,CN12+0,0,1,1))*OFFSET($CH$9,CN12+0,0,1,1))+OFFSET($BO$9,CN12+0,CQ12,1,1),IF(F12&lt;OFFSET($BN$9,CN12+1,0,1,1),((F12-OFFSET($BM$9,CN12+1,0,1,1))*OFFSET($CH$9,CN12+1,0,1,1))+OFFSET($BO$9,CN12+1,CQ12,1,1),IF(F12&lt;OFFSET($BN$9,CN12+2,0,1,1),((F12-OFFSET($BM$9,CN12+2,0,1,1))*OFFSET($CH$9,CN12+2,0,1,1))+OFFSET($BO$9,CN12+2,CQ12,1,1),IF(F12&lt;OFFSET($BN$9,CN12+3,0,1,1),((F12-OFFSET($BM$9,CN12+3,0,1,1))*OFFSET($CH$9,CN12+3,0,1,1))+OFFSET($BO$9,CN12+3,CQ12,1,1),0))))))</f>
        <v>0</v>
      </c>
      <c r="DH12" s="51">
        <f ca="1">IF($F12&lt;OFFSET($BM$9,$CN12-1,0,1,1),0,IF($F12&lt;OFFSET($BN$9,$CN12-1,0,1,1),IF(AND($H12&gt;2.4,Z12&lt;&gt;"e",Z12&lt;&gt;"f"),DL12*2.4/$H12,DL12),IF($F12&lt;OFFSET($BN$9,$CN12+0,0,1,1),IF(AND($H12&gt;2.4,Z12&lt;&gt;"e",Z12&lt;&gt;"f"),DL12*2.4/$H12,DL12),IF($F12&lt;OFFSET($BN$9,$CN12+1,0,1,1),IF(AND($H12&gt;2.4,Z12&lt;&gt;"e",Z12&lt;&gt;"f"),DL12*2.4/$H12,DL12),IF($F12&lt;OFFSET($BN$9,$CN12+2,0,1,1),IF(AND($H12&gt;2.4,Z12&lt;&gt;"e",Z12&lt;&gt;"f"),DL12*2.4/$H12,DL12),IF($F12&lt;OFFSET($BN$9,$CN12+3,0,1,1),IF(AND($H12&gt;2.4,Z12&lt;&gt;"e",Z12&lt;&gt;"f"),DL12*2.4/$H12,DL12),0)))))*COS(RADIANS($G12)))</f>
        <v>0</v>
      </c>
      <c r="DI12" s="51">
        <f ca="1">IF(F12&lt;OFFSET($BM$9,CN12-1,0,1,1),0,IF(F12&lt;OFFSET($BN$9,CN12-1,0,1,1),((F12-OFFSET($BM$9,CN12-1,0,1,1))*OFFSET($CI$9,CN12-1,0,1,1))+OFFSET($BP$9,CN12-1,CQ12,1,1),IF(F12&lt;OFFSET($BN$9,CN12+0,0,1,1),((F12-OFFSET($BM$9,CN12+0,0,1,1))*OFFSET($CI$9,CN12+0,0,1,1))+OFFSET($BP$9,CN12+0,CQ12,1,1),IF(F12&lt;OFFSET($BN$9,CN12+1,0,1,1),((F12-OFFSET($BM$9,CN12+1,0,1,1))*OFFSET($CI$9,CN12+1,0,1,1))+OFFSET($BP$9,CN12+1,CQ12,1,1),IF(F12&lt;OFFSET($BN$9,CN12+2,0,1,1),((F12-OFFSET($BM$9,CN12+2,0,1,1))*OFFSET($CI$9,CN12+2,0,1,1))+OFFSET($BP$9,CN12+2,CQ12,1,1),IF(F12&lt;OFFSET($BN$9,CN12+3,0,1,1),((F12-OFFSET($BM$9,CN12+3,0,1,1))*OFFSET($CI$9,CN12+3,0,1,1))+OFFSET($BP$9,CN12+3,CQ12,1,1),0))))))</f>
        <v>0</v>
      </c>
      <c r="DJ12" s="51">
        <f ca="1">IF($F12&lt;OFFSET($BM$9,$CN12-1,0,1,1),0,IF($F12&lt;OFFSET($BN$9,$CN12-1,0,1,1),IF(AND($H12&gt;2.4,Z12&lt;&gt;"e",Z12&lt;&gt;"f"),DN12*2.4/$H12,DN12),IF($F12&lt;OFFSET($BN$9,$CN12+0,0,1,1),IF(AND($H12&gt;2.4,Z12&lt;&gt;"e",Z12&lt;&gt;"f"),DN12*2.4/$H12,DN12),IF($F12&lt;OFFSET($BN$9,$CN12+1,0,1,1),IF(AND($H12&gt;2.4,Z12&lt;&gt;"e",Z12&lt;&gt;"f"),DN12*2.4/$H12,DN12),IF($F12&lt;OFFSET($BN$9,$CN12+2,0,1,1),IF(AND($H12&gt;2.4,Z12&lt;&gt;"e",Z12&lt;&gt;"f"),DN12*2.4/$H12,DN12),IF($F12&lt;OFFSET($BN$9,$CN12+3,0,1,1),IF(AND($H12&gt;2.4,Z12&lt;&gt;"e",Z12&lt;&gt;"f"),DN12*2.4/$H12,DN12),0)))))*COS(RADIANS($G12)))</f>
        <v>0</v>
      </c>
      <c r="DK12" s="51"/>
      <c r="DL12" s="51">
        <f ca="1">IF(DG12&gt;$CR12,$CR12,DG12)</f>
        <v>0</v>
      </c>
      <c r="DM12" s="51"/>
      <c r="DN12" s="51">
        <f ca="1">IF(DI12&gt;$CR12,$CR12,DI12)</f>
        <v>0</v>
      </c>
      <c r="DO12" s="435">
        <f ca="1">IF(DH12&gt;$CR12,$CR12,DH12)</f>
        <v>0</v>
      </c>
      <c r="DP12" s="435">
        <f ca="1">DO12*F12</f>
        <v>0</v>
      </c>
      <c r="DQ12" s="436">
        <f ca="1">IF(DJ12&gt;$CR12,$CR12,DJ12)</f>
        <v>0</v>
      </c>
      <c r="DR12" s="437">
        <f ca="1">DQ12*F12</f>
        <v>0</v>
      </c>
      <c r="DS12" s="426">
        <f ca="1">OFFSET($CH$9,CL12-1,-15,1,1)</f>
        <v>0</v>
      </c>
      <c r="DT12" s="426">
        <f t="shared" ca="1" si="1"/>
        <v>0</v>
      </c>
      <c r="DU12" s="188">
        <f ca="1">IF(F12&lt;OFFSET($BM$9,DT12-1,0,1,1),0,IF(F12&lt;OFFSET($BN$9,DT12-1,0,1,1),((F12-OFFSET($BM$9,DT12-1,0,1,1))*OFFSET($CH$9,DT12-1,0,1,1))+OFFSET($BO$9,DT12-1,CQ12,1,1),IF(F12&lt;OFFSET($BN$9,DT12+0,0,1,1),((F12-OFFSET($BM$9,DT12+0,0,1,1))*OFFSET($CH$9,DT12+0,0,1,1))+OFFSET($BO$9,DT12+0,CQ12,1,1),IF(F12&lt;OFFSET($BN$9,DT12+1,0,1,1),((F12-OFFSET($BM$9,DT12+1,0,1,1))*OFFSET($CH$9,DT12+1,0,1,1))+OFFSET($BO$9,DT12+1,CQ12,1,1),IF(F12&lt;OFFSET($BN$9,DT12+2,0,1,1),((F12-OFFSET($BM$9,DT12+2,0,1,1))*OFFSET($CH$9,DT12+2,0,1,1))+OFFSET($BO$9,DT12+2,CQ12,1,1),IF(F12&lt;OFFSET($BN$9,DT12+3,0,1,1),((F12-OFFSET($BM$9,DT12+3,0,1,1))*OFFSET($CH$9,DT12+3,0,1,1))+OFFSET($BO$9,DT12+3,CQ12,1,1),0))))))</f>
        <v>0</v>
      </c>
      <c r="DV12" s="51">
        <f ca="1">IF($F12&lt;OFFSET($BM$9,$DT12-1,0,1,1),0,IF($F12&lt;OFFSET($BN$9,$DT12-1,0,1,1),IF(AND($H12&gt;2.4,Z12&lt;&gt;"e",Z12&lt;&gt;"f"),DZ12*2.4/$H12,DZ12),IF($F12&lt;OFFSET($BN$9,$DT12+0,0,1,1),IF(AND($H12&gt;2.4,Z12&lt;&gt;"e",Z12&lt;&gt;"f"),DZ12*2.4/$H12,DZ12),IF($F12&lt;OFFSET($BN$9,$DT12+1,0,1,1),IF(AND($H12&gt;2.4,Z12&lt;&gt;"e",Z12&lt;&gt;"f"),DZ12*2.4/$H12,DZ12),IF($F12&lt;OFFSET($BN$9,$DT12+2,0,1,1),IF(AND($H12&gt;2.4,Z12&lt;&gt;"e",Z12&lt;&gt;"f"),DZ12*2.4/$H12,DZ12),IF($F12&lt;OFFSET($BN$9,$DT12+3,0,1,1),IF(AND($H12&gt;2.4,Z12&lt;&gt;"e",Z12&lt;&gt;"f"),DZ12*2.4/$H12,DZ12),0)))))*COS(RADIANS($G12)))</f>
        <v>0</v>
      </c>
      <c r="DW12" s="188">
        <f ca="1">IF(F12&lt;OFFSET($BM$9,DT12-1,0,1,1),0,IF(F12&lt;OFFSET($BN$9,DT12-1,0,1,1),((F12-OFFSET($BM$9,DT12-1,0,1,1))*OFFSET($CI$9,DT12-1,0,1,1))+OFFSET($BP$9,DT12-1,CQ12,1,1),IF(F12&lt;OFFSET($BN$9,DT12+0,0,1,1),((F12-OFFSET($BM$9,DT12+0,0,1,1))*OFFSET($CI$9,DT12+0,0,1,1))+OFFSET($BP$9,DT12+0,CQ12,1,1),IF(F12&lt;OFFSET($BN$9,DT12+1,0,1,1),((F12-OFFSET($BM$9,DT12+1,0,1,1))*OFFSET($CI$9,DT12+1,0,1,1))+OFFSET($BP$9,DT12+1,CQ12,1,1),IF(F12&lt;OFFSET($BN$9,DT12+2,0,1,1),((F12-OFFSET($BM$9,DT12+2,0,1,1))*OFFSET($CI$9,DT12+2,0,1,1))+OFFSET($BP$9,DT12+2,CQ12,1,1),IF(F12&lt;OFFSET($BN$9,DT12+3,0,1,1),((F12-OFFSET($BM$9,DT12+3,0,1,1))*OFFSET($CI$9,DT12+3,0,1,1))+OFFSET($BP$9,DT12+3,CQ12,1,1),0))))))</f>
        <v>0</v>
      </c>
      <c r="DX12" s="51">
        <f ca="1">IF($F12&lt;OFFSET($BM$9,$DT12-1,0,1,1),0,IF($F12&lt;OFFSET($BN$9,$DT12-1,0,1,1),IF(AND($H12&gt;2.4,Z12&lt;&gt;"e",Z12&lt;&gt;"f"),EB12*2.4/$H12,EB12),IF($F12&lt;OFFSET($BN$9,$DT12+0,0,1,1),IF(AND($H12&gt;2.4,Z12&lt;&gt;"e",Z12&lt;&gt;"f"),EB12*2.4/$H12,EB12),IF($F12&lt;OFFSET($BN$9,$DT12+1,0,1,1),IF(AND($H12&gt;2.4,Z12&lt;&gt;"e",Z12&lt;&gt;"f"),EB12*2.4/$H12,EB12),IF($F12&lt;OFFSET($BN$9,$DT12+2,0,1,1),IF(AND($H12&gt;2.4,Z12&lt;&gt;"e",Z12&lt;&gt;"f"),EB12*2.4/$H12,EB12),IF($F12&lt;OFFSET($BN$9,$DT12+3,0,1,1),IF(AND($H12&gt;2.4,Z12&lt;&gt;"e",Z12&lt;&gt;"f"),EB12*2.4/$H12,EB12),0)))))*COS(RADIANS($G12)))</f>
        <v>0</v>
      </c>
      <c r="DY12" s="188"/>
      <c r="DZ12" s="188">
        <f ca="1">IF(DU12&gt;$CR12,$CR12,DU12)</f>
        <v>0</v>
      </c>
      <c r="EA12" s="188"/>
      <c r="EB12" s="188">
        <f ca="1">IF(DW12&gt;$CR12,$CR12,DW12)</f>
        <v>0</v>
      </c>
      <c r="EC12" s="435">
        <f ca="1">IF(DV12&gt;$CR12,$CR12,DV12)</f>
        <v>0</v>
      </c>
      <c r="ED12" s="435">
        <f ca="1">EC12*F12</f>
        <v>0</v>
      </c>
      <c r="EE12" s="436">
        <f ca="1">IF(DX12&gt;$CR12,$CR12,DX12)</f>
        <v>0</v>
      </c>
      <c r="EF12" s="437">
        <f ca="1">EE12*F12</f>
        <v>0</v>
      </c>
      <c r="EG12" s="613" t="str">
        <f>IF(D12=BG$12,BG$12,"")</f>
        <v/>
      </c>
      <c r="EH12" s="614" t="str">
        <f>IF(D12=BG$13,BG$13,"")</f>
        <v/>
      </c>
      <c r="EI12" s="611">
        <f>IF(EG12=BG$12,M12,0)</f>
        <v>0</v>
      </c>
      <c r="EJ12" s="451">
        <f>IF(EG12=BG$12,O12,0)</f>
        <v>0</v>
      </c>
      <c r="EK12" s="451">
        <f>IF(EH12=BG$13,M12,0)</f>
        <v>0</v>
      </c>
      <c r="EL12" s="612">
        <f>IF(EH12=BG$13,O12,0)</f>
        <v>0</v>
      </c>
      <c r="EM12" s="426" t="str">
        <f ca="1">IF(AND(Z12&lt;&gt;"t",Z12&lt;&gt;"f"),"",IF(AND(EN12=$BH$11,K12&lt;&gt;EN12),EM$4,IF(AND(EN12=$BH$12,K12=$BH$13),EM$4,IF(AND(EN12=$BH$12,K12=$BH$14),EM$4,IF(AND(EN12=$BH$13,K12=$BH$14),$EM$4,IF(EN12=$BH$14,$EM$4,""))))))</f>
        <v/>
      </c>
      <c r="EN12" s="489" t="str">
        <f>BG$24</f>
        <v>Earth</v>
      </c>
      <c r="EO12" s="426" t="str">
        <f>K12</f>
        <v xml:space="preserve"> </v>
      </c>
      <c r="EP12" s="497" t="str">
        <f ca="1">IF(AND(Z12&lt;&gt;"t",Z12&lt;&gt;"f"),"",IF(AND(EN12=$BH$14,K12&lt;&gt;EN12),EP$4,IF(AND(EN12=$BH$13,K12=$BH$12),EP$4,IF(AND(EN12=$BH$13,K12=$BH$11),EP$4,IF(AND(EN12=$BH$12,K12=$BH$11),$EP$4,IF(EN12=$BH$11,"Earth",""))))))</f>
        <v/>
      </c>
      <c r="EQ12" s="430" t="str">
        <f ca="1">IF(Z12&lt;&gt;"t","",IF(EQ$5=2,IF(K12&lt;&gt;BH$11,EQ$7," ")))</f>
        <v/>
      </c>
      <c r="ER12" s="439" t="str">
        <f ca="1">IF(H12=0," ",H12)</f>
        <v xml:space="preserve"> </v>
      </c>
      <c r="ES12" s="440" t="str">
        <f ca="1">IF(ER12&lt;&gt;" ",IF(ER12&lt;&gt;ER$7,"Changed",""),"")</f>
        <v/>
      </c>
      <c r="ET12" s="440">
        <f t="shared" ref="ET12:ET66" ca="1" si="19">IF(ER12&lt;&gt;" ",IF(ER12&lt;&gt;ER$7,1,0),0)</f>
        <v>0</v>
      </c>
      <c r="EU12" s="426" t="str">
        <f ca="1">IF(I12=" "," ",IF(F12&lt;OFFSET($BM$9,CL12-1,0,1,1),1,""))</f>
        <v xml:space="preserve"> </v>
      </c>
      <c r="EW12" s="427"/>
    </row>
    <row r="13" spans="1:153" ht="17.100000000000001" customHeight="1" thickBot="1">
      <c r="B13" s="2686" t="s">
        <v>8</v>
      </c>
      <c r="C13" s="2687"/>
      <c r="D13" s="1461" t="s">
        <v>8</v>
      </c>
      <c r="E13" s="659"/>
      <c r="F13" s="659"/>
      <c r="G13" s="659"/>
      <c r="H13" s="659"/>
      <c r="I13" s="1462"/>
      <c r="J13" s="1365" t="str">
        <f>(CONCATENATE(B8,$BE$54))</f>
        <v>M  Line:  Min. Requirement</v>
      </c>
      <c r="K13" s="865"/>
      <c r="L13" s="1019">
        <f ca="1">L$5</f>
        <v>0</v>
      </c>
      <c r="M13" s="48">
        <f ca="1">SUM(M8:M12)</f>
        <v>0</v>
      </c>
      <c r="N13" s="1019">
        <f ca="1">N$5</f>
        <v>0</v>
      </c>
      <c r="O13" s="866">
        <f ca="1">SUM(O8:O12)</f>
        <v>0</v>
      </c>
      <c r="P13" s="139"/>
      <c r="Q13" s="42" t="str">
        <f ca="1">IF(B8=B14,"",IF(AND(M13&gt;0,L13=L$5,OR(M13&lt;$M$105,M13&lt;$BF$3)),"Achieved &lt; Min Req per Line",IF(AND(O13&gt;0,N13=N$5,OR(O13&lt;$O$105,O13&lt;$BF$3)),"Achieved &lt; Min Req per Line",IF(AND(M13&gt;0,L13&gt;M13),"More Required on this line",IF(AND(O13&gt;0,N13&gt;O13),"More Required on this line",IF(AND(L13&gt;0,L13&lt;$BF$3),$BE$59,IF(AND(N13&gt;0,N13&lt;$BF$3),$BE$59,"")))))))</f>
        <v/>
      </c>
      <c r="R13" s="52"/>
      <c r="S13" s="52"/>
      <c r="T13" s="52"/>
      <c r="U13" s="1378"/>
      <c r="V13" s="52"/>
      <c r="W13" s="9"/>
      <c r="X13" s="9"/>
      <c r="Y13" s="896"/>
      <c r="Z13" s="52"/>
      <c r="AA13" s="51"/>
      <c r="AB13" s="1364"/>
      <c r="AC13" s="1"/>
      <c r="AJ13" s="2867"/>
      <c r="AK13" s="2864" t="s">
        <v>319</v>
      </c>
      <c r="AL13" s="1384" t="str">
        <f>'Custom Elements'!P9</f>
        <v>Masonry 0.75</v>
      </c>
      <c r="AM13" s="11">
        <f>'Custom Elements'!Q9</f>
        <v>1.5</v>
      </c>
      <c r="AN13" s="877">
        <f>'Custom Elements'!R9</f>
        <v>42</v>
      </c>
      <c r="AO13" s="877">
        <f>'Custom Elements'!S9</f>
        <v>42</v>
      </c>
      <c r="AP13" s="1245"/>
      <c r="AQ13" s="1643" t="str">
        <f>'Custom Elements'!V9</f>
        <v>No</v>
      </c>
      <c r="AR13" s="875" t="str">
        <f>'Custom Elements'!W9</f>
        <v>No</v>
      </c>
      <c r="AS13" s="1640"/>
      <c r="AT13" s="879" t="s">
        <v>910</v>
      </c>
      <c r="AU13" s="119"/>
      <c r="AV13" s="47"/>
      <c r="AW13" s="47"/>
      <c r="AX13" s="47"/>
      <c r="AY13" s="47"/>
      <c r="AZ13" s="47"/>
      <c r="BA13" s="47"/>
      <c r="BB13" s="47"/>
      <c r="BC13" s="47"/>
      <c r="BD13" s="2667"/>
      <c r="BF13" s="598" t="str">
        <f>'Custom Elements'!P10</f>
        <v>Masonry 1.5</v>
      </c>
      <c r="BG13" s="1026" t="str">
        <f>IF('Project Demand'!AX21=1,BG33,BG36)</f>
        <v>Right External</v>
      </c>
      <c r="BH13" s="482" t="str">
        <f>IF($BE$3=1,BH20,BG20)</f>
        <v>150 BU's</v>
      </c>
      <c r="BI13" s="759"/>
      <c r="BJ13" s="897">
        <f>BJ12+1</f>
        <v>5</v>
      </c>
      <c r="BK13" s="769" t="str">
        <f t="shared" si="7"/>
        <v xml:space="preserve">  </v>
      </c>
      <c r="BL13" s="771" t="str">
        <f t="shared" si="8"/>
        <v>Custom2</v>
      </c>
      <c r="BM13" s="455">
        <f t="shared" si="9"/>
        <v>9.9999999999999996E-76</v>
      </c>
      <c r="BN13" s="455">
        <v>999</v>
      </c>
      <c r="BO13" s="455">
        <f t="shared" si="10"/>
        <v>0</v>
      </c>
      <c r="BP13" s="925">
        <f t="shared" si="11"/>
        <v>0</v>
      </c>
      <c r="BR13" s="764"/>
      <c r="BS13" s="455"/>
      <c r="BT13" s="455" t="str">
        <f t="shared" si="12"/>
        <v>B</v>
      </c>
      <c r="BU13" s="925" t="str">
        <f t="shared" si="13"/>
        <v>T</v>
      </c>
      <c r="BV13" s="483" t="str">
        <f t="shared" si="14"/>
        <v>Custom2</v>
      </c>
      <c r="BW13" s="910">
        <f>BJ13</f>
        <v>5</v>
      </c>
      <c r="BX13" s="924" t="str">
        <f t="shared" si="15"/>
        <v>Single</v>
      </c>
      <c r="CH13" s="764">
        <f t="shared" si="16"/>
        <v>0</v>
      </c>
      <c r="CI13" s="925">
        <f t="shared" si="17"/>
        <v>0</v>
      </c>
      <c r="CJ13" s="759"/>
      <c r="CK13" s="188"/>
      <c r="CL13" s="979"/>
      <c r="CN13" s="497"/>
      <c r="CO13" s="497"/>
      <c r="CQ13" s="51"/>
      <c r="CR13" s="51"/>
      <c r="CS13" s="51"/>
      <c r="CT13" s="51" t="s">
        <v>8</v>
      </c>
      <c r="CU13" s="51"/>
      <c r="CV13" s="51" t="s">
        <v>8</v>
      </c>
      <c r="CW13" s="51"/>
      <c r="CX13" s="51"/>
      <c r="CY13" s="51"/>
      <c r="CZ13" s="51"/>
      <c r="DD13" s="758"/>
      <c r="DF13" s="52"/>
      <c r="DG13" s="51"/>
      <c r="DH13" s="51"/>
      <c r="DI13" s="51"/>
      <c r="DJ13" s="51"/>
      <c r="DK13" s="51"/>
      <c r="DL13" s="51"/>
      <c r="DM13" s="51"/>
      <c r="DN13" s="51"/>
      <c r="DO13" s="435"/>
      <c r="DP13" s="435"/>
      <c r="DQ13" s="868"/>
      <c r="DR13" s="868"/>
      <c r="DU13" s="188"/>
      <c r="DV13" s="188" t="s">
        <v>8</v>
      </c>
      <c r="DW13" s="188"/>
      <c r="DX13" s="188" t="s">
        <v>8</v>
      </c>
      <c r="DY13" s="188"/>
      <c r="DZ13" s="188"/>
      <c r="EA13" s="188"/>
      <c r="EB13" s="188"/>
      <c r="EC13" s="435"/>
      <c r="ED13" s="435"/>
      <c r="EE13" s="868"/>
      <c r="EF13" s="868"/>
      <c r="EG13" s="613"/>
      <c r="EH13" s="614"/>
      <c r="EI13" s="613"/>
      <c r="EJ13" s="435"/>
      <c r="EK13" s="451"/>
      <c r="EL13" s="612"/>
      <c r="EN13" s="438"/>
      <c r="EP13" s="497"/>
      <c r="ER13" s="441"/>
      <c r="ES13" s="440"/>
      <c r="ET13" s="440"/>
      <c r="EW13" s="427"/>
    </row>
    <row r="14" spans="1:153" ht="17.100000000000001" customHeight="1" thickBot="1">
      <c r="B14" s="1369" t="str">
        <f ca="1">S14</f>
        <v>N</v>
      </c>
      <c r="C14" s="1375" t="str">
        <f>IF(OR(F14=0,I14="",I14=" ")," ",$V14)</f>
        <v xml:space="preserve"> </v>
      </c>
      <c r="D14" s="1033"/>
      <c r="E14" s="1360"/>
      <c r="F14" s="1691"/>
      <c r="G14" s="1416"/>
      <c r="H14" s="1417" t="str">
        <f ca="1">IF(OR(F14=0,Z14="E",Z14="f")," ",'Project Demand'!E$55)</f>
        <v xml:space="preserve"> </v>
      </c>
      <c r="I14" s="631" t="str">
        <f>IF($I$6&lt;&gt;$BG$8," ",AB14)</f>
        <v xml:space="preserve"> </v>
      </c>
      <c r="J14" s="43" t="str">
        <f ca="1">IF(OR(I14=" ",I14="")," ",OFFSET($BO$9,CL14-1,0-4,1,1))</f>
        <v xml:space="preserve"> </v>
      </c>
      <c r="K14" s="55" t="str">
        <f>IF(OR(I14=" ",I14="")," ",IF(OR(Z14="e",Z14="h"),"SD",IF(BG$24=BH$11,BH$13,BG$24)))</f>
        <v xml:space="preserve"> </v>
      </c>
      <c r="L14" s="49">
        <f ca="1">CW14</f>
        <v>0</v>
      </c>
      <c r="M14" s="49">
        <f ca="1">CY14</f>
        <v>0</v>
      </c>
      <c r="N14" s="50">
        <f t="shared" ref="N14:O18" ca="1" si="20">DA14</f>
        <v>0</v>
      </c>
      <c r="O14" s="126">
        <f t="shared" ca="1" si="20"/>
        <v>0</v>
      </c>
      <c r="P14" s="140"/>
      <c r="Q14" s="752" t="str">
        <f ca="1">IF(AND(OR(Z14="t",Z14="f"),K14=$BH$11),"No Floor!  Change Floor Type",IF(OR(I14=" ",I14="")," ",IF(F14&lt;OFFSET($BM$9,CL14-1,0,1,1),"check L(m)",DE14&amp;IF(AND(DP14&gt;=CY14,DR14&gt;=DB14),IF(AND(ED14&gt;=DP14,EF14&gt;=DR14),CONCATENATE(DS14," will provide same result"),CONCATENATE(CO14," will provide same result")),IF((DP14&gt;=CY14),CONCATENATE(CO14," provides same result in WIND"),IF((DR14&gt;=DB14),CONCATENATE(CO14," provides same result in EQ"),""))))))&amp;IF(ISERROR(FIND("pile",I14,1)),"",IF(INT(F14)&lt;&gt;F14,"Pile!  Use Whole Numbers Only",""))</f>
        <v xml:space="preserve"> </v>
      </c>
      <c r="R14" s="52">
        <f ca="1">IF(T8&lt;&gt;2,(COLUMN(INDIRECT(B8&amp;1))+1),U14)</f>
        <v>14</v>
      </c>
      <c r="S14" s="1372" t="str">
        <f ca="1">SUBSTITUTE(ADDRESS(1,R14,4),"1","")</f>
        <v>N</v>
      </c>
      <c r="T14" s="451">
        <f ca="1">IF(AND(ISTEXT(B14),SUBSTITUTE(SUBSTITUTE(SUBSTITUTE(SUBSTITUTE(SUBSTITUTE(SUBSTITUTE(SUBSTITUTE(SUBSTITUTE(SUBSTITUTE(SUBSTITUTE(SUBSTITUTE(SUBSTITUTE(SUBSTITUTE(SUBSTITUTE(SUBSTITUTE(SUBSTITUTE(SUBSTITUTE(SUBSTITUTE(SUBSTITUTE(SUBSTITUTE(SUBSTITUTE(SUBSTITUTE(SUBSTITUTE(SUBSTITUTE(SUBSTITUTE(SUBSTITUTE(LOWER(B14),"a",),"b",),"c",),"d",),"e",),"f",),"g",),"h",),"i",),"j",),"k",),"l",),"m",),"n",),"o",),"p",),"q",),"r",),"s",),"t",),"u",),"v",),"w",),"x",),"y",),"z",)=""),1,2)</f>
        <v>1</v>
      </c>
      <c r="U14" s="1377">
        <v>14</v>
      </c>
      <c r="V14" s="52" t="str">
        <f ca="1">IF(AND(B$5=$BF$9,OR(I14=BH$16,I14=BH$17))," ",IF(ISNUMBER(B$14),(CONCATENATE(B$14,".",W14)),(CONCATENATE(B$14,W14))))</f>
        <v>N0</v>
      </c>
      <c r="W14" s="9">
        <f ca="1">IF(B8=B14,W12+X14,X14)</f>
        <v>0</v>
      </c>
      <c r="X14" s="9">
        <f>IF(AND(B$5=$BF$9,OR($I14=$BH$16,$I14=$BH$17,$I14=" ",$I14="",$F14=0)),0,IF(OR($I14=" ",$I14="",$F14=0),0,1))</f>
        <v>0</v>
      </c>
      <c r="Y14" s="896">
        <f ca="1">IF(AND(M19&gt;0,B14&lt;&gt;B20),1,0)</f>
        <v>0</v>
      </c>
      <c r="Z14" s="52" t="str">
        <f ca="1">IF(I14=" "," ",OFFSET($BM$9,$CL14-1,8,1,1))</f>
        <v xml:space="preserve"> </v>
      </c>
      <c r="AA14" s="51" t="str">
        <f>IF(G14&gt;=45,"WA","")</f>
        <v/>
      </c>
      <c r="AB14" s="1364" t="str">
        <f>IF(OR(E14=" ",E14="")," ",(IF(F14&lt;&gt;"",IF(OR(D14=$BG$12,D14=$BG$13),IF(E14&lt;&gt;$BG$17,$BF$20,$BF$21),IF(E14&lt;&gt;$BG$17,$BF$20,$BF$21))," ")))</f>
        <v xml:space="preserve"> </v>
      </c>
      <c r="AC14" s="1"/>
      <c r="AJ14" s="2867"/>
      <c r="AK14" s="2864"/>
      <c r="AL14" s="1384" t="str">
        <f>'Custom Elements'!P10</f>
        <v>Masonry 1.5</v>
      </c>
      <c r="AM14" s="11">
        <f>'Custom Elements'!Q10</f>
        <v>1.5</v>
      </c>
      <c r="AN14" s="877">
        <f>'Custom Elements'!R10</f>
        <v>100</v>
      </c>
      <c r="AO14" s="877">
        <f>'Custom Elements'!S10</f>
        <v>100</v>
      </c>
      <c r="AP14" s="1245"/>
      <c r="AQ14" s="1643" t="str">
        <f>'Custom Elements'!V10</f>
        <v>No</v>
      </c>
      <c r="AR14" s="875" t="str">
        <f>'Custom Elements'!W10</f>
        <v>No</v>
      </c>
      <c r="AS14" s="1640"/>
      <c r="AT14" s="879" t="s">
        <v>913</v>
      </c>
      <c r="AU14" s="119"/>
      <c r="AV14" s="47"/>
      <c r="AW14" s="47"/>
      <c r="AX14" s="47"/>
      <c r="AY14" s="47"/>
      <c r="AZ14" s="47"/>
      <c r="BA14" s="47"/>
      <c r="BB14" s="47"/>
      <c r="BC14" s="47"/>
      <c r="BD14" s="2667"/>
      <c r="BF14" s="598" t="str">
        <f>'Custom Elements'!P11</f>
        <v>Masonry 3.0</v>
      </c>
      <c r="BG14" s="949" t="s">
        <v>318</v>
      </c>
      <c r="BH14" s="949" t="s">
        <v>189</v>
      </c>
      <c r="BI14" s="759"/>
      <c r="BJ14" s="897">
        <f t="shared" si="6"/>
        <v>6</v>
      </c>
      <c r="BK14" s="769" t="str">
        <f t="shared" si="7"/>
        <v xml:space="preserve">  </v>
      </c>
      <c r="BL14" s="771" t="str">
        <f t="shared" si="8"/>
        <v>Custom3</v>
      </c>
      <c r="BM14" s="455">
        <f t="shared" si="9"/>
        <v>9.9999999999999996E-76</v>
      </c>
      <c r="BN14" s="455">
        <v>999</v>
      </c>
      <c r="BO14" s="455">
        <f t="shared" si="10"/>
        <v>0</v>
      </c>
      <c r="BP14" s="925">
        <f t="shared" si="11"/>
        <v>0</v>
      </c>
      <c r="BR14" s="764"/>
      <c r="BS14" s="455"/>
      <c r="BT14" s="455" t="str">
        <f t="shared" si="12"/>
        <v>B</v>
      </c>
      <c r="BU14" s="925" t="str">
        <f t="shared" si="13"/>
        <v>T</v>
      </c>
      <c r="BV14" s="483" t="str">
        <f t="shared" si="14"/>
        <v>Custom3</v>
      </c>
      <c r="BW14" s="910">
        <f t="shared" ref="BW14:BW31" si="21">BJ14</f>
        <v>6</v>
      </c>
      <c r="BX14" s="924" t="str">
        <f t="shared" si="15"/>
        <v>Single</v>
      </c>
      <c r="CH14" s="764">
        <f t="shared" si="16"/>
        <v>0</v>
      </c>
      <c r="CI14" s="925">
        <f t="shared" si="17"/>
        <v>0</v>
      </c>
      <c r="CJ14" s="759"/>
      <c r="CK14" s="188"/>
      <c r="CL14" s="979">
        <f>VLOOKUP(I14,Prodlink,2,0)</f>
        <v>0</v>
      </c>
      <c r="CN14" s="497">
        <f t="shared" ca="1" si="2"/>
        <v>0</v>
      </c>
      <c r="CO14" s="497">
        <f ca="1">OFFSET($CH$9,CL14-1,-15,1,1)</f>
        <v>0</v>
      </c>
      <c r="CQ14" s="51">
        <v>0</v>
      </c>
      <c r="CR14" s="51">
        <f ca="1">IF(AND(Z14&lt;&gt;"t",Z14&lt;&gt;"f"),10000,IF(K14=$BH$11,0,IF(K14=$BH$12,$BH$23,IF(K14=$BH$13,$BH$24,10000))))</f>
        <v>10000</v>
      </c>
      <c r="CS14" s="51">
        <f ca="1">IF(F14&lt;OFFSET($BM$9,CL14-1,0,1,1),0,IF(F14&lt;OFFSET($BN$9,CL14-1,0,1,1),((F14-OFFSET($BM$9,CL14-1,0,1,1))*OFFSET($CH$9,CL14-1,0,1,1))+OFFSET($BO$9,CL14-1,CQ14,1,1),IF(F14&lt;OFFSET($BN$9,CL14+0,0,1,1),((F14-OFFSET($BM$9,CL14+0,0,1,1))*OFFSET($CH$9,CL14+0,0,1,1))+OFFSET($BO$9,CL14+0,CQ14,1,1),IF(F14&lt;OFFSET($BN$9,CL14+1,0,1,1),((F14-OFFSET($BM$9,CL14+1,0,1,1))*OFFSET($CH$9,CL14+1,0,1,1))+OFFSET($BO$9,CL14+1,CQ14,1,1),IF(F14&lt;OFFSET($BN$9,CL14+2,0,1,1),((F14-OFFSET($BM$9,CL14+2,0,1,1))*OFFSET($CH$9,CL14+2,0,1,1))+OFFSET($BO$9,CL14+2,CQ14,1,1),IF(F14&lt;OFFSET($BN$9,CL14+3,0,1,1),((F14-OFFSET($BM$9,CL14+3,0,1,1))*OFFSET($CH$9,CL14+3,0,1,1))+OFFSET($BO$9,CL14+3,CQ14,1,1),0))))))</f>
        <v>0</v>
      </c>
      <c r="CT14" s="51">
        <f ca="1">IF($F14&lt;OFFSET($BM$9,$CL14-1,0,1,1),0,IF($F14&lt;OFFSET($BN$9,$CL14-1,0,1,1),IF(AND($H14&gt;2.4,Z14&lt;&gt;"e",Z14&lt;&gt;"f"),CX14*2.4/$H14,CX14),IF($F14&lt;OFFSET($BN$9,$CL14+0,0,1,1),IF(AND($H14&gt;2.4,Z14&lt;&gt;"e",Z14&lt;&gt;"f"),CX14*2.4/$H14,CX14),IF($F14&lt;OFFSET($BN$9,$CL14+1,0,1,1),IF(AND($H14&gt;2.4,Z14&lt;&gt;"e",Z14&lt;&gt;"f"),CX14*2.4/$H14,CX14),IF($F14&lt;OFFSET($BN$9,CL14+2,0,1,1),IF(AND($H14&gt;2.4,Z14&lt;&gt;"e",Z14&lt;&gt;"f"),CX14*2.4/$H14,CX14),IF($F14&lt;OFFSET($BN$9,CL14+3,0,1,1),IF(AND($H14&gt;2.4,Z14&lt;&gt;"e",Z14&lt;&gt;"f"),CX14*2.4/$H14,CX14),0)))))*COS(RADIANS($G14)))</f>
        <v>0</v>
      </c>
      <c r="CU14" s="51">
        <f ca="1">IF(F14&lt;OFFSET($BM$9,CL14-1,0,1,1),0,IF(F14&lt;OFFSET($BN$9,CL14-1,0,1,1),((F14-OFFSET($BM$9,CL14-1,0,1,1))*OFFSET($CI$9,CL14-1,0,1,1))+OFFSET($BP$9,CL14-1,CQ14,1,1),IF(F14&lt;OFFSET($BN$9,CL14+0,0,1,1),((F14-OFFSET($BM$9,CL14+0,0,1,1))*OFFSET($CI$9,CL14+0,0,1,1))+OFFSET($BP$9,CL14+0,CQ14,1,1),IF(F14&lt;OFFSET($BN$9,CL14+1,0,1,1),((F14-OFFSET($BM$9,CL14+1,0,1,1))*OFFSET($CI$9,CL14+1,0,1,1))+OFFSET($BP$9,CL14+1,CQ14,1,1),IF(F14&lt;OFFSET($BN$9,CL14+2,0,1,1),((F14-OFFSET($BM$9,CL14+2,0,1,1))*OFFSET($CI$9,CL14+2,0,1,1))+OFFSET($BP$9,CL14+2,CQ14,1,1),IF(F14&lt;OFFSET($BN$9,CL14+3,0,1,1),((F14-OFFSET($BM$9,CL14+3,0,1,1))*OFFSET($CI$9,CL14+3,0,1,1))+OFFSET($BP$9,CL14+3,CQ14,1,1),0))))))</f>
        <v>0</v>
      </c>
      <c r="CV14" s="51">
        <f ca="1">IF($F14&lt;OFFSET($BM$9,$CL14-1,0,1,1),0,IF($F14&lt;OFFSET($BN$9,$CL14-1,0,1,1),IF(AND($H14&gt;2.4,Z14&lt;&gt;"e",Z14&lt;&gt;"f"),CZ14*2.4/$H14,CZ14),IF($F14&lt;OFFSET($BN$9,$CL14+0,0,1,1),IF(AND($H14&gt;2.4,Z14&lt;&gt;"e",Z14&lt;&gt;"f"),CZ14*2.4/$H14,CZ14),IF($F14&lt;OFFSET($BN$9,$CL14+1,0,1,1),IF(AND($H14&gt;2.4,Z14&lt;&gt;"e",Z14&lt;&gt;"f"),CZ14*2.4/$H14,CZ14),IF($F14&lt;OFFSET($BN$9,$CL14+2,0,1,1),IF(AND($H14&gt;2.4,Z14&lt;&gt;"e",Z14&lt;&gt;"f"),CZ14*2.4/$H14,CZ14),IF($F14&lt;OFFSET($BN$9,$CL14+3,0,1,1),IF(AND($H14&gt;2.4,Z14&lt;&gt;"e",Z14&lt;&gt;"f"),CZ14*2.4/$H14,CZ14),0)))))*COS(RADIANS($G14)))</f>
        <v>0</v>
      </c>
      <c r="CW14" s="51">
        <f t="shared" ca="1" si="18"/>
        <v>0</v>
      </c>
      <c r="CX14" s="51">
        <f ca="1">IF(CS14&gt;$CR14,$CR14,CS14)</f>
        <v>0</v>
      </c>
      <c r="CY14" s="51">
        <f ca="1">CW14*F14</f>
        <v>0</v>
      </c>
      <c r="CZ14" s="51">
        <f ca="1">IF($CU14&gt;$CR14,$CR14,$CU14)</f>
        <v>0</v>
      </c>
      <c r="DA14" s="51">
        <f ca="1">IF(CV14&gt;CR14,CR14,CV14)</f>
        <v>0</v>
      </c>
      <c r="DB14" s="51">
        <f ca="1">DA14*F14</f>
        <v>0</v>
      </c>
      <c r="DC14" s="993">
        <v>3</v>
      </c>
      <c r="DD14" s="758" t="str">
        <f>IF(OR(D14=BG$12,D14=BG$13),"External",IF(D14=BG$14,"Internal"," "))</f>
        <v xml:space="preserve"> </v>
      </c>
      <c r="DE14" s="51" t="str">
        <f t="shared" ca="1" si="4"/>
        <v/>
      </c>
      <c r="DF14" s="52" t="str">
        <f t="shared" ca="1" si="5"/>
        <v xml:space="preserve"> </v>
      </c>
      <c r="DG14" s="51">
        <f ca="1">IF(F14&lt;OFFSET($BM$9,CN14-1,0,1,1),0,IF(F14&lt;OFFSET($BN$9,CN14-1,0,1,1),((F14-OFFSET($BM$9,CN14-1,0,1,1))*OFFSET($CH$9,CN14-1,0,1,1))+OFFSET($BO$9,CN14-1,CQ14,1,1),IF(F14&lt;OFFSET($BN$9,CN14+0,0,1,1),((F14-OFFSET($BM$9,CN14+0,0,1,1))*OFFSET($CH$9,CN14+0,0,1,1))+OFFSET($BO$9,CN14+0,CQ14,1,1),IF(F14&lt;OFFSET($BN$9,CN14+1,0,1,1),((F14-OFFSET($BM$9,CN14+1,0,1,1))*OFFSET($CH$9,CN14+1,0,1,1))+OFFSET($BO$9,CN14+1,CQ14,1,1),IF(F14&lt;OFFSET($BN$9,CN14+2,0,1,1),((F14-OFFSET($BM$9,CN14+2,0,1,1))*OFFSET($CH$9,CN14+2,0,1,1))+OFFSET($BO$9,CN14+2,CQ14,1,1),IF(F14&lt;OFFSET($BN$9,CN14+3,0,1,1),((F14-OFFSET($BM$9,CN14+3,0,1,1))*OFFSET($CH$9,CN14+3,0,1,1))+OFFSET($BO$9,CN14+3,CQ14,1,1),0))))))</f>
        <v>0</v>
      </c>
      <c r="DH14" s="51">
        <f ca="1">IF($F14&lt;OFFSET($BM$9,$CN14-1,0,1,1),0,IF($F14&lt;OFFSET($BN$9,$CN14-1,0,1,1),IF(AND($H14&gt;2.4,Z14&lt;&gt;"e",Z14&lt;&gt;"f"),DL14*2.4/$H14,DL14),IF($F14&lt;OFFSET($BN$9,$CN14+0,0,1,1),IF(AND($H14&gt;2.4,Z14&lt;&gt;"e",Z14&lt;&gt;"f"),DL14*2.4/$H14,DL14),IF($F14&lt;OFFSET($BN$9,$CN14+1,0,1,1),IF(AND($H14&gt;2.4,Z14&lt;&gt;"e",Z14&lt;&gt;"f"),DL14*2.4/$H14,DL14),IF($F14&lt;OFFSET($BN$9,$CN14+2,0,1,1),IF(AND($H14&gt;2.4,Z14&lt;&gt;"e",Z14&lt;&gt;"f"),DL14*2.4/$H14,DL14),IF($F14&lt;OFFSET($BN$9,$CN14+3,0,1,1),IF(AND($H14&gt;2.4,Z14&lt;&gt;"e",Z14&lt;&gt;"f"),DL14*2.4/$H14,DL14),0)))))*COS(RADIANS($G14)))</f>
        <v>0</v>
      </c>
      <c r="DI14" s="51">
        <f ca="1">IF(F14&lt;OFFSET($BM$9,CN14-1,0,1,1),0,IF(F14&lt;OFFSET($BN$9,CN14-1,0,1,1),((F14-OFFSET($BM$9,CN14-1,0,1,1))*OFFSET($CI$9,CN14-1,0,1,1))+OFFSET($BP$9,CN14-1,CQ14,1,1),IF(F14&lt;OFFSET($BN$9,CN14+0,0,1,1),((F14-OFFSET($BM$9,CN14+0,0,1,1))*OFFSET($CI$9,CN14+0,0,1,1))+OFFSET($BP$9,CN14+0,CQ14,1,1),IF(F14&lt;OFFSET($BN$9,CN14+1,0,1,1),((F14-OFFSET($BM$9,CN14+1,0,1,1))*OFFSET($CI$9,CN14+1,0,1,1))+OFFSET($BP$9,CN14+1,CQ14,1,1),IF(F14&lt;OFFSET($BN$9,CN14+2,0,1,1),((F14-OFFSET($BM$9,CN14+2,0,1,1))*OFFSET($CI$9,CN14+2,0,1,1))+OFFSET($BP$9,CN14+2,CQ14,1,1),IF(F14&lt;OFFSET($BN$9,CN14+3,0,1,1),((F14-OFFSET($BM$9,CN14+3,0,1,1))*OFFSET($CI$9,CN14+3,0,1,1))+OFFSET($BP$9,CN14+3,CQ14,1,1),0))))))</f>
        <v>0</v>
      </c>
      <c r="DJ14" s="51">
        <f ca="1">IF($F14&lt;OFFSET($BM$9,$CN14-1,0,1,1),0,IF($F14&lt;OFFSET($BN$9,$CN14-1,0,1,1),IF(AND($H14&gt;2.4,Z14&lt;&gt;"e",Z14&lt;&gt;"f"),DN14*2.4/$H14,DN14),IF($F14&lt;OFFSET($BN$9,$CN14+0,0,1,1),IF(AND($H14&gt;2.4,Z14&lt;&gt;"e",Z14&lt;&gt;"f"),DN14*2.4/$H14,DN14),IF($F14&lt;OFFSET($BN$9,$CN14+1,0,1,1),IF(AND($H14&gt;2.4,Z14&lt;&gt;"e",Z14&lt;&gt;"f"),DN14*2.4/$H14,DN14),IF($F14&lt;OFFSET($BN$9,$CN14+2,0,1,1),IF(AND($H14&gt;2.4,Z14&lt;&gt;"e",Z14&lt;&gt;"f"),DN14*2.4/$H14,DN14),IF($F14&lt;OFFSET($BN$9,$CN14+3,0,1,1),IF(AND($H14&gt;2.4,Z14&lt;&gt;"e",Z14&lt;&gt;"f"),DN14*2.4/$H14,DN14),0)))))*COS(RADIANS($G14)))</f>
        <v>0</v>
      </c>
      <c r="DK14" s="51"/>
      <c r="DL14" s="51">
        <f ca="1">IF(DG14&gt;$CR14,$CR14,DG14)</f>
        <v>0</v>
      </c>
      <c r="DM14" s="51"/>
      <c r="DN14" s="51">
        <f ca="1">IF(DI14&gt;$CR14,$CR14,DI14)</f>
        <v>0</v>
      </c>
      <c r="DO14" s="435">
        <f ca="1">IF(DH14&gt;$CR14,$CR14,DH14)</f>
        <v>0</v>
      </c>
      <c r="DP14" s="435">
        <f ca="1">DO14*F14</f>
        <v>0</v>
      </c>
      <c r="DQ14" s="436">
        <f ca="1">IF(DJ14&gt;$CR14,$CR14,DJ14)</f>
        <v>0</v>
      </c>
      <c r="DR14" s="437">
        <f ca="1">DQ14*F14</f>
        <v>0</v>
      </c>
      <c r="DS14" s="426">
        <f ca="1">OFFSET($CH$9,CL14-1,-15,1,1)</f>
        <v>0</v>
      </c>
      <c r="DT14" s="426">
        <f t="shared" ca="1" si="1"/>
        <v>0</v>
      </c>
      <c r="DU14" s="188">
        <f ca="1">IF(F14&lt;OFFSET($BM$9,DT14-1,0,1,1),0,IF(F14&lt;OFFSET($BN$9,DT14-1,0,1,1),((F14-OFFSET($BM$9,DT14-1,0,1,1))*OFFSET($CH$9,DT14-1,0,1,1))+OFFSET($BO$9,DT14-1,CQ14,1,1),IF(F14&lt;OFFSET($BN$9,DT14+0,0,1,1),((F14-OFFSET($BM$9,DT14+0,0,1,1))*OFFSET($CH$9,DT14+0,0,1,1))+OFFSET($BO$9,DT14+0,CQ14,1,1),IF(F14&lt;OFFSET($BN$9,DT14+1,0,1,1),((F14-OFFSET($BM$9,DT14+1,0,1,1))*OFFSET($CH$9,DT14+1,0,1,1))+OFFSET($BO$9,DT14+1,CQ14,1,1),IF(F14&lt;OFFSET($BN$9,DT14+2,0,1,1),((F14-OFFSET($BM$9,DT14+2,0,1,1))*OFFSET($CH$9,DT14+2,0,1,1))+OFFSET($BO$9,DT14+2,CQ14,1,1),IF(F14&lt;OFFSET($BN$9,DT14+3,0,1,1),((F14-OFFSET($BM$9,DT14+3,0,1,1))*OFFSET($CH$9,DT14+3,0,1,1))+OFFSET($BO$9,DT14+3,CQ14,1,1),0))))))</f>
        <v>0</v>
      </c>
      <c r="DV14" s="51">
        <f ca="1">IF($F14&lt;OFFSET($BM$9,$DT14-1,0,1,1),0,IF($F14&lt;OFFSET($BN$9,$DT14-1,0,1,1),IF(AND($H14&gt;2.4,Z14&lt;&gt;"e",Z14&lt;&gt;"f"),DZ14*2.4/$H14,DZ14),IF($F14&lt;OFFSET($BN$9,$DT14+0,0,1,1),IF(AND($H14&gt;2.4,Z14&lt;&gt;"e",Z14&lt;&gt;"f"),DZ14*2.4/$H14,DZ14),IF($F14&lt;OFFSET($BN$9,$DT14+1,0,1,1),IF(AND($H14&gt;2.4,Z14&lt;&gt;"e",Z14&lt;&gt;"f"),DZ14*2.4/$H14,DZ14),IF($F14&lt;OFFSET($BN$9,$DT14+2,0,1,1),IF(AND($H14&gt;2.4,Z14&lt;&gt;"e",Z14&lt;&gt;"f"),DZ14*2.4/$H14,DZ14),IF($F14&lt;OFFSET($BN$9,$DT14+3,0,1,1),IF(AND($H14&gt;2.4,Z14&lt;&gt;"e",Z14&lt;&gt;"f"),DZ14*2.4/$H14,DZ14),0)))))*COS(RADIANS($G14)))</f>
        <v>0</v>
      </c>
      <c r="DW14" s="188">
        <f ca="1">IF(F14&lt;OFFSET($BM$9,DT14-1,0,1,1),0,IF(F14&lt;OFFSET($BN$9,DT14-1,0,1,1),((F14-OFFSET($BM$9,DT14-1,0,1,1))*OFFSET($CI$9,DT14-1,0,1,1))+OFFSET($BP$9,DT14-1,CQ14,1,1),IF(F14&lt;OFFSET($BN$9,DT14+0,0,1,1),((F14-OFFSET($BM$9,DT14+0,0,1,1))*OFFSET($CI$9,DT14+0,0,1,1))+OFFSET($BP$9,DT14+0,CQ14,1,1),IF(F14&lt;OFFSET($BN$9,DT14+1,0,1,1),((F14-OFFSET($BM$9,DT14+1,0,1,1))*OFFSET($CI$9,DT14+1,0,1,1))+OFFSET($BP$9,DT14+1,CQ14,1,1),IF(F14&lt;OFFSET($BN$9,DT14+2,0,1,1),((F14-OFFSET($BM$9,DT14+2,0,1,1))*OFFSET($CI$9,DT14+2,0,1,1))+OFFSET($BP$9,DT14+2,CQ14,1,1),IF(F14&lt;OFFSET($BN$9,DT14+3,0,1,1),((F14-OFFSET($BM$9,DT14+3,0,1,1))*OFFSET($CI$9,DT14+3,0,1,1))+OFFSET($BP$9,DT14+3,CQ14,1,1),0))))))</f>
        <v>0</v>
      </c>
      <c r="DX14" s="51">
        <f ca="1">IF($F14&lt;OFFSET($BM$9,$DT14-1,0,1,1),0,IF($F14&lt;OFFSET($BN$9,$DT14-1,0,1,1),IF(AND($H14&gt;2.4,Z14&lt;&gt;"e",Z14&lt;&gt;"f"),EB14*2.4/$H14,EB14),IF($F14&lt;OFFSET($BN$9,$DT14+0,0,1,1),IF(AND($H14&gt;2.4,Z14&lt;&gt;"e",Z14&lt;&gt;"f"),EB14*2.4/$H14,EB14),IF($F14&lt;OFFSET($BN$9,$DT14+1,0,1,1),IF(AND($H14&gt;2.4,Z14&lt;&gt;"e",Z14&lt;&gt;"f"),EB14*2.4/$H14,EB14),IF($F14&lt;OFFSET($BN$9,$DT14+2,0,1,1),IF(AND($H14&gt;2.4,Z14&lt;&gt;"e",Z14&lt;&gt;"f"),EB14*2.4/$H14,EB14),IF($F14&lt;OFFSET($BN$9,$DT14+3,0,1,1),IF(AND($H14&gt;2.4,Z14&lt;&gt;"e",Z14&lt;&gt;"f"),EB14*2.4/$H14,EB14),0)))))*COS(RADIANS($G14)))</f>
        <v>0</v>
      </c>
      <c r="DY14" s="188"/>
      <c r="DZ14" s="188">
        <f ca="1">IF(DU14&gt;$CR14,$CR14,DU14)</f>
        <v>0</v>
      </c>
      <c r="EA14" s="188"/>
      <c r="EB14" s="188">
        <f ca="1">IF(DW14&gt;$CR14,$CR14,DW14)</f>
        <v>0</v>
      </c>
      <c r="EC14" s="435">
        <f ca="1">IF(DV14&gt;$CR14,$CR14,DV14)</f>
        <v>0</v>
      </c>
      <c r="ED14" s="435">
        <f ca="1">EC14*F14</f>
        <v>0</v>
      </c>
      <c r="EE14" s="436">
        <f ca="1">IF(DX14&gt;$CR14,$CR14,DX14)</f>
        <v>0</v>
      </c>
      <c r="EF14" s="437">
        <f ca="1">EE14*F14</f>
        <v>0</v>
      </c>
      <c r="EG14" s="613" t="str">
        <f>IF(D14=BG$12,BG$12,"")</f>
        <v/>
      </c>
      <c r="EH14" s="614" t="str">
        <f>IF(D14=BG$13,BG$13,"")</f>
        <v/>
      </c>
      <c r="EI14" s="611">
        <f>IF(EG14=BG$12,M14,0)</f>
        <v>0</v>
      </c>
      <c r="EJ14" s="451">
        <f>IF(EG14=BG$12,O14,0)</f>
        <v>0</v>
      </c>
      <c r="EK14" s="451">
        <f>IF(EH14=BG$13,M14,0)</f>
        <v>0</v>
      </c>
      <c r="EL14" s="612">
        <f>IF(EH14=BG$13,O14,0)</f>
        <v>0</v>
      </c>
      <c r="EM14" s="426" t="str">
        <f ca="1">IF(AND(Z14&lt;&gt;"t",Z14&lt;&gt;"f"),"",IF(AND(EN14=$BH$11,K14&lt;&gt;EN14),EM$4,IF(AND(EN14=$BH$12,K14=$BH$13),EM$4,IF(AND(EN14=$BH$12,K14=$BH$14),EM$4,IF(AND(EN14=$BH$13,K14=$BH$14),$EM$4,IF(EN14=$BH$14,$EM$4,""))))))</f>
        <v/>
      </c>
      <c r="EN14" s="489" t="str">
        <f>BG$24</f>
        <v>Earth</v>
      </c>
      <c r="EO14" s="426" t="str">
        <f>K14</f>
        <v xml:space="preserve"> </v>
      </c>
      <c r="EP14" s="497" t="str">
        <f ca="1">IF(AND(Z14&lt;&gt;"t",Z14&lt;&gt;"f"),"",IF(AND(EN14=$BH$14,K14&lt;&gt;EN14),EP$4,IF(AND(EN14=$BH$13,K14=$BH$12),EP$4,IF(AND(EN14=$BH$13,K14=$BH$11),EP$4,IF(AND(EN14=$BH$12,K14=$BH$11),$EP$4,IF(EN14=$BH$11,"Earth",""))))))</f>
        <v/>
      </c>
      <c r="EQ14" s="430" t="str">
        <f ca="1">IF(Z14&lt;&gt;"t","",IF(EQ$5=2,IF(K14&lt;&gt;BH$11,EQ$7," ")))</f>
        <v/>
      </c>
      <c r="ER14" s="439" t="str">
        <f ca="1">IF(H14=0," ",H14)</f>
        <v xml:space="preserve"> </v>
      </c>
      <c r="ES14" s="440" t="str">
        <f ca="1">IF(ER14&lt;&gt;" ",IF(ER14&lt;&gt;ER$7,"Changed",""),"")</f>
        <v/>
      </c>
      <c r="ET14" s="440">
        <f t="shared" ca="1" si="19"/>
        <v>0</v>
      </c>
      <c r="EU14" s="426" t="str">
        <f ca="1">IF(I14=" "," ",IF(F14&lt;OFFSET($BM$9,CL14-1,0,1,1),1,""))</f>
        <v xml:space="preserve"> </v>
      </c>
      <c r="EW14" s="427"/>
    </row>
    <row r="15" spans="1:153" ht="17.100000000000001" customHeight="1" thickBot="1">
      <c r="B15" s="689" t="s">
        <v>246</v>
      </c>
      <c r="C15" s="684" t="str">
        <f>IF(OR(F15=0,I15="",I15=" ")," ",$V15)</f>
        <v xml:space="preserve"> </v>
      </c>
      <c r="D15" s="1033"/>
      <c r="E15" s="1360"/>
      <c r="F15" s="1691"/>
      <c r="G15" s="1416"/>
      <c r="H15" s="1417" t="str">
        <f ca="1">IF(OR(F15=0,Z15="E",Z15="f")," ",'Project Demand'!E$55)</f>
        <v xml:space="preserve"> </v>
      </c>
      <c r="I15" s="631" t="str">
        <f>IF($I$6&lt;&gt;$BG$8," ",AB15)</f>
        <v xml:space="preserve"> </v>
      </c>
      <c r="J15" s="44" t="str">
        <f ca="1">IF(OR(I15=" ",I15="")," ",OFFSET($BO$9,CL15-1,0-4,1,1))</f>
        <v xml:space="preserve"> </v>
      </c>
      <c r="K15" s="55" t="str">
        <f>IF(OR(I15=" ",I15="")," ",IF(OR(Z15="e",Z15="h"),"SD",IF(BG$24=BH$11,BH$13,BG$24)))</f>
        <v xml:space="preserve"> </v>
      </c>
      <c r="L15" s="49">
        <f ca="1">CW15</f>
        <v>0</v>
      </c>
      <c r="M15" s="49">
        <f ca="1">CY15</f>
        <v>0</v>
      </c>
      <c r="N15" s="50">
        <f t="shared" ca="1" si="20"/>
        <v>0</v>
      </c>
      <c r="O15" s="126">
        <f t="shared" ca="1" si="20"/>
        <v>0</v>
      </c>
      <c r="P15" s="140"/>
      <c r="Q15" s="752" t="str">
        <f ca="1">IF(AND(OR(Z15="t",Z15="f"),K15=$BH$11),"No Floor!  Change Floor Type",IF(OR(I15=" ",I15="")," ",IF(F15&lt;OFFSET($BM$9,CL15-1,0,1,1),"check L(m)",DE15&amp;IF(AND(DP15&gt;=CY15,DR15&gt;=DB15),IF(AND(ED15&gt;=DP15,EF15&gt;=DR15),CONCATENATE(DS15," will provide same result"),CONCATENATE(CO15," will provide same result")),IF((DP15&gt;=CY15),CONCATENATE(CO15," provides same result in WIND"),IF((DR15&gt;=DB15),CONCATENATE(CO15," provides same result in EQ"),""))))))&amp;IF(ISERROR(FIND("pile",I15,1)),"",IF(INT(F15)&lt;&gt;F15,"Pile!  Use Whole Numbers Only",""))</f>
        <v xml:space="preserve"> </v>
      </c>
      <c r="R15" s="52"/>
      <c r="S15" s="1372"/>
      <c r="T15" s="52"/>
      <c r="U15" s="1377"/>
      <c r="V15" s="52" t="str">
        <f ca="1">IF(AND(B$5=$BF$9,OR(I15=BH$16,I15=BH$17))," ",IF(ISNUMBER(B$14),(CONCATENATE(B$14,".",W15)),(CONCATENATE(B$14,W15))))</f>
        <v>N0</v>
      </c>
      <c r="W15" s="9">
        <f ca="1">W14+X15</f>
        <v>0</v>
      </c>
      <c r="X15" s="9">
        <f>IF(AND(B$5=$BF$9,OR($I15=$BH$16,$I15=$BH$17,$I15=" ",$I15="",$F15=0)),0,IF(OR($I15=" ",$I15="",$F15=0),0,1))</f>
        <v>0</v>
      </c>
      <c r="Y15" s="896"/>
      <c r="Z15" s="52" t="str">
        <f ca="1">IF(I15=" "," ",OFFSET($BM$9,$CL15-1,8,1,1))</f>
        <v xml:space="preserve"> </v>
      </c>
      <c r="AA15" s="51" t="str">
        <f>IF(G15&gt;=45,"WA","")</f>
        <v/>
      </c>
      <c r="AB15" s="1364" t="str">
        <f>IF(OR(E15=" ",E15="")," ",(IF(F15&lt;&gt;"",IF(OR(D15=$BG$12,D15=$BG$13),IF(E15&lt;&gt;$BG$17,$BF$20,$BF$21),IF(E15&lt;&gt;$BG$17,$BF$20,$BF$21))," ")))</f>
        <v xml:space="preserve"> </v>
      </c>
      <c r="AC15" s="1"/>
      <c r="AJ15" s="2867"/>
      <c r="AK15" s="2864"/>
      <c r="AL15" s="1384" t="str">
        <f>'Custom Elements'!P11</f>
        <v>Masonry 3.0</v>
      </c>
      <c r="AM15" s="11">
        <f>'Custom Elements'!Q11</f>
        <v>1.5</v>
      </c>
      <c r="AN15" s="877">
        <f>'Custom Elements'!R11</f>
        <v>200</v>
      </c>
      <c r="AO15" s="877">
        <f>'Custom Elements'!S11</f>
        <v>200</v>
      </c>
      <c r="AP15" s="1245"/>
      <c r="AQ15" s="1643" t="str">
        <f>'Custom Elements'!V11</f>
        <v>No</v>
      </c>
      <c r="AR15" s="875" t="str">
        <f>'Custom Elements'!W11</f>
        <v>No</v>
      </c>
      <c r="AS15" s="1640"/>
      <c r="AT15" s="879" t="s">
        <v>912</v>
      </c>
      <c r="AU15" s="119"/>
      <c r="AV15" s="47"/>
      <c r="AW15" s="47"/>
      <c r="AX15" s="47"/>
      <c r="AY15" s="47"/>
      <c r="AZ15" s="47"/>
      <c r="BA15" s="47"/>
      <c r="BB15" s="47"/>
      <c r="BC15" s="47"/>
      <c r="BD15" s="2667"/>
      <c r="BF15" s="598" t="str">
        <f>'Custom Elements'!P12</f>
        <v>Masonry 4.5</v>
      </c>
      <c r="BG15" s="1029" t="s">
        <v>8</v>
      </c>
      <c r="BI15" s="759"/>
      <c r="BJ15" s="897">
        <f t="shared" si="6"/>
        <v>7</v>
      </c>
      <c r="BK15" s="769" t="str">
        <f t="shared" si="7"/>
        <v xml:space="preserve">  </v>
      </c>
      <c r="BL15" s="771" t="str">
        <f t="shared" si="8"/>
        <v>Custom4</v>
      </c>
      <c r="BM15" s="455">
        <f t="shared" si="9"/>
        <v>9.9999999999999996E-76</v>
      </c>
      <c r="BN15" s="455">
        <v>999</v>
      </c>
      <c r="BO15" s="455">
        <f t="shared" si="10"/>
        <v>0</v>
      </c>
      <c r="BP15" s="925">
        <f t="shared" si="11"/>
        <v>0</v>
      </c>
      <c r="BR15" s="764"/>
      <c r="BS15" s="455"/>
      <c r="BT15" s="455" t="str">
        <f t="shared" si="12"/>
        <v>B</v>
      </c>
      <c r="BU15" s="925" t="str">
        <f t="shared" si="13"/>
        <v>T</v>
      </c>
      <c r="BV15" s="483" t="str">
        <f t="shared" si="14"/>
        <v>Custom4</v>
      </c>
      <c r="BW15" s="910">
        <f t="shared" si="21"/>
        <v>7</v>
      </c>
      <c r="BX15" s="924" t="str">
        <f t="shared" si="15"/>
        <v>Single</v>
      </c>
      <c r="CH15" s="764">
        <f t="shared" si="16"/>
        <v>0</v>
      </c>
      <c r="CI15" s="925">
        <f t="shared" si="17"/>
        <v>0</v>
      </c>
      <c r="CJ15" s="759"/>
      <c r="CK15" s="188"/>
      <c r="CL15" s="979">
        <f>VLOOKUP(I15,Prodlink,2,0)</f>
        <v>0</v>
      </c>
      <c r="CN15" s="497">
        <f t="shared" ca="1" si="2"/>
        <v>0</v>
      </c>
      <c r="CO15" s="497">
        <f ca="1">OFFSET($CH$9,CL15-1,-15,1,1)</f>
        <v>0</v>
      </c>
      <c r="CQ15" s="51">
        <v>0</v>
      </c>
      <c r="CR15" s="51">
        <f t="shared" ref="CR15:CR18" ca="1" si="22">IF(AND(Z15&lt;&gt;"t",Z15&lt;&gt;"f"),10000,IF(K15=$BH$11,0,IF(K15=$BH$12,$BH$23,IF(K15=$BH$13,$BH$24,10000))))</f>
        <v>10000</v>
      </c>
      <c r="CS15" s="51">
        <f ca="1">IF(F15&lt;OFFSET($BM$9,CL15-1,0,1,1),0,IF(F15&lt;OFFSET($BN$9,CL15-1,0,1,1),((F15-OFFSET($BM$9,CL15-1,0,1,1))*OFFSET($CH$9,CL15-1,0,1,1))+OFFSET($BO$9,CL15-1,CQ15,1,1),IF(F15&lt;OFFSET($BN$9,CL15+0,0,1,1),((F15-OFFSET($BM$9,CL15+0,0,1,1))*OFFSET($CH$9,CL15+0,0,1,1))+OFFSET($BO$9,CL15+0,CQ15,1,1),IF(F15&lt;OFFSET($BN$9,CL15+1,0,1,1),((F15-OFFSET($BM$9,CL15+1,0,1,1))*OFFSET($CH$9,CL15+1,0,1,1))+OFFSET($BO$9,CL15+1,CQ15,1,1),IF(F15&lt;OFFSET($BN$9,CL15+2,0,1,1),((F15-OFFSET($BM$9,CL15+2,0,1,1))*OFFSET($CH$9,CL15+2,0,1,1))+OFFSET($BO$9,CL15+2,CQ15,1,1),IF(F15&lt;OFFSET($BN$9,CL15+3,0,1,1),((F15-OFFSET($BM$9,CL15+3,0,1,1))*OFFSET($CH$9,CL15+3,0,1,1))+OFFSET($BO$9,CL15+3,CQ15,1,1),0))))))</f>
        <v>0</v>
      </c>
      <c r="CT15" s="51">
        <f ca="1">IF($F15&lt;OFFSET($BM$9,$CL15-1,0,1,1),0,IF($F15&lt;OFFSET($BN$9,$CL15-1,0,1,1),IF(AND($H15&gt;2.4,Z15&lt;&gt;"e",Z15&lt;&gt;"f"),CX15*2.4/$H15,CX15),IF($F15&lt;OFFSET($BN$9,$CL15+0,0,1,1),IF(AND($H15&gt;2.4,Z15&lt;&gt;"e",Z15&lt;&gt;"f"),CX15*2.4/$H15,CX15),IF($F15&lt;OFFSET($BN$9,$CL15+1,0,1,1),IF(AND($H15&gt;2.4,Z15&lt;&gt;"e",Z15&lt;&gt;"f"),CX15*2.4/$H15,CX15),IF($F15&lt;OFFSET($BN$9,CL15+2,0,1,1),IF(AND($H15&gt;2.4,Z15&lt;&gt;"e",Z15&lt;&gt;"f"),CX15*2.4/$H15,CX15),IF($F15&lt;OFFSET($BN$9,CL15+3,0,1,1),IF(AND($H15&gt;2.4,Z15&lt;&gt;"e",Z15&lt;&gt;"f"),CX15*2.4/$H15,CX15),0)))))*COS(RADIANS($G15)))</f>
        <v>0</v>
      </c>
      <c r="CU15" s="51">
        <f ca="1">IF(F15&lt;OFFSET($BM$9,CL15-1,0,1,1),0,IF(F15&lt;OFFSET($BN$9,CL15-1,0,1,1),((F15-OFFSET($BM$9,CL15-1,0,1,1))*OFFSET($CI$9,CL15-1,0,1,1))+OFFSET($BP$9,CL15-1,CQ15,1,1),IF(F15&lt;OFFSET($BN$9,CL15+0,0,1,1),((F15-OFFSET($BM$9,CL15+0,0,1,1))*OFFSET($CI$9,CL15+0,0,1,1))+OFFSET($BP$9,CL15+0,CQ15,1,1),IF(F15&lt;OFFSET($BN$9,CL15+1,0,1,1),((F15-OFFSET($BM$9,CL15+1,0,1,1))*OFFSET($CI$9,CL15+1,0,1,1))+OFFSET($BP$9,CL15+1,CQ15,1,1),IF(F15&lt;OFFSET($BN$9,CL15+2,0,1,1),((F15-OFFSET($BM$9,CL15+2,0,1,1))*OFFSET($CI$9,CL15+2,0,1,1))+OFFSET($BP$9,CL15+2,CQ15,1,1),IF(F15&lt;OFFSET($BN$9,CL15+3,0,1,1),((F15-OFFSET($BM$9,CL15+3,0,1,1))*OFFSET($CI$9,CL15+3,0,1,1))+OFFSET($BP$9,CL15+3,CQ15,1,1),0))))))</f>
        <v>0</v>
      </c>
      <c r="CV15" s="51">
        <f ca="1">IF($F15&lt;OFFSET($BM$9,$CL15-1,0,1,1),0,IF($F15&lt;OFFSET($BN$9,$CL15-1,0,1,1),IF(AND($H15&gt;2.4,Z15&lt;&gt;"e",Z15&lt;&gt;"f"),CZ15*2.4/$H15,CZ15),IF($F15&lt;OFFSET($BN$9,$CL15+0,0,1,1),IF(AND($H15&gt;2.4,Z15&lt;&gt;"e",Z15&lt;&gt;"f"),CZ15*2.4/$H15,CZ15),IF($F15&lt;OFFSET($BN$9,$CL15+1,0,1,1),IF(AND($H15&gt;2.4,Z15&lt;&gt;"e",Z15&lt;&gt;"f"),CZ15*2.4/$H15,CZ15),IF($F15&lt;OFFSET($BN$9,$CL15+2,0,1,1),IF(AND($H15&gt;2.4,Z15&lt;&gt;"e",Z15&lt;&gt;"f"),CZ15*2.4/$H15,CZ15),IF($F15&lt;OFFSET($BN$9,$CL15+3,0,1,1),IF(AND($H15&gt;2.4,Z15&lt;&gt;"e",Z15&lt;&gt;"f"),CZ15*2.4/$H15,CZ15),0)))))*COS(RADIANS($G15)))</f>
        <v>0</v>
      </c>
      <c r="CW15" s="51">
        <f t="shared" ca="1" si="18"/>
        <v>0</v>
      </c>
      <c r="CX15" s="51">
        <f ca="1">IF(CS15&gt;$CR15,$CR15,CS15)</f>
        <v>0</v>
      </c>
      <c r="CY15" s="51">
        <f ca="1">CW15*F15</f>
        <v>0</v>
      </c>
      <c r="CZ15" s="51">
        <f ca="1">IF($CU15&gt;$CR15,$CR15,$CU15)</f>
        <v>0</v>
      </c>
      <c r="DA15" s="51">
        <f ca="1">IF(CV15&gt;CR15,CR15,CV15)</f>
        <v>0</v>
      </c>
      <c r="DB15" s="51">
        <f ca="1">DA15*F15</f>
        <v>0</v>
      </c>
      <c r="DC15" s="993">
        <v>1</v>
      </c>
      <c r="DD15" s="758" t="str">
        <f>IF(OR(D15=BG$12,D15=BG$13),"External",IF(D15=BG$14,"Internal"," "))</f>
        <v xml:space="preserve"> </v>
      </c>
      <c r="DE15" s="51" t="str">
        <f t="shared" ca="1" si="4"/>
        <v/>
      </c>
      <c r="DF15" s="52" t="str">
        <f t="shared" ca="1" si="5"/>
        <v xml:space="preserve"> </v>
      </c>
      <c r="DG15" s="51">
        <f ca="1">IF(F15&lt;OFFSET($BM$9,CN15-1,0,1,1),0,IF(F15&lt;OFFSET($BN$9,CN15-1,0,1,1),((F15-OFFSET($BM$9,CN15-1,0,1,1))*OFFSET($CH$9,CN15-1,0,1,1))+OFFSET($BO$9,CN15-1,CQ15,1,1),IF(F15&lt;OFFSET($BN$9,CN15+0,0,1,1),((F15-OFFSET($BM$9,CN15+0,0,1,1))*OFFSET($CH$9,CN15+0,0,1,1))+OFFSET($BO$9,CN15+0,CQ15,1,1),IF(F15&lt;OFFSET($BN$9,CN15+1,0,1,1),((F15-OFFSET($BM$9,CN15+1,0,1,1))*OFFSET($CH$9,CN15+1,0,1,1))+OFFSET($BO$9,CN15+1,CQ15,1,1),IF(F15&lt;OFFSET($BN$9,CN15+2,0,1,1),((F15-OFFSET($BM$9,CN15+2,0,1,1))*OFFSET($CH$9,CN15+2,0,1,1))+OFFSET($BO$9,CN15+2,CQ15,1,1),IF(F15&lt;OFFSET($BN$9,CN15+3,0,1,1),((F15-OFFSET($BM$9,CN15+3,0,1,1))*OFFSET($CH$9,CN15+3,0,1,1))+OFFSET($BO$9,CN15+3,CQ15,1,1),0))))))</f>
        <v>0</v>
      </c>
      <c r="DH15" s="51">
        <f ca="1">IF($F15&lt;OFFSET($BM$9,$CN15-1,0,1,1),0,IF($F15&lt;OFFSET($BN$9,$CN15-1,0,1,1),IF(AND($H15&gt;2.4,Z15&lt;&gt;"e",Z15&lt;&gt;"f"),DL15*2.4/$H15,DL15),IF($F15&lt;OFFSET($BN$9,$CN15+0,0,1,1),IF(AND($H15&gt;2.4,Z15&lt;&gt;"e",Z15&lt;&gt;"f"),DL15*2.4/$H15,DL15),IF($F15&lt;OFFSET($BN$9,$CN15+1,0,1,1),IF(AND($H15&gt;2.4,Z15&lt;&gt;"e",Z15&lt;&gt;"f"),DL15*2.4/$H15,DL15),IF($F15&lt;OFFSET($BN$9,$CN15+2,0,1,1),IF(AND($H15&gt;2.4,Z15&lt;&gt;"e",Z15&lt;&gt;"f"),DL15*2.4/$H15,DL15),IF($F15&lt;OFFSET($BN$9,$CN15+3,0,1,1),IF(AND($H15&gt;2.4,Z15&lt;&gt;"e",Z15&lt;&gt;"f"),DL15*2.4/$H15,DL15),0)))))*COS(RADIANS($G15)))</f>
        <v>0</v>
      </c>
      <c r="DI15" s="51">
        <f ca="1">IF(F15&lt;OFFSET($BM$9,CN15-1,0,1,1),0,IF(F15&lt;OFFSET($BN$9,CN15-1,0,1,1),((F15-OFFSET($BM$9,CN15-1,0,1,1))*OFFSET($CI$9,CN15-1,0,1,1))+OFFSET($BP$9,CN15-1,CQ15,1,1),IF(F15&lt;OFFSET($BN$9,CN15+0,0,1,1),((F15-OFFSET($BM$9,CN15+0,0,1,1))*OFFSET($CI$9,CN15+0,0,1,1))+OFFSET($BP$9,CN15+0,CQ15,1,1),IF(F15&lt;OFFSET($BN$9,CN15+1,0,1,1),((F15-OFFSET($BM$9,CN15+1,0,1,1))*OFFSET($CI$9,CN15+1,0,1,1))+OFFSET($BP$9,CN15+1,CQ15,1,1),IF(F15&lt;OFFSET($BN$9,CN15+2,0,1,1),((F15-OFFSET($BM$9,CN15+2,0,1,1))*OFFSET($CI$9,CN15+2,0,1,1))+OFFSET($BP$9,CN15+2,CQ15,1,1),IF(F15&lt;OFFSET($BN$9,CN15+3,0,1,1),((F15-OFFSET($BM$9,CN15+3,0,1,1))*OFFSET($CI$9,CN15+3,0,1,1))+OFFSET($BP$9,CN15+3,CQ15,1,1),0))))))</f>
        <v>0</v>
      </c>
      <c r="DJ15" s="51">
        <f ca="1">IF($F15&lt;OFFSET($BM$9,$CN15-1,0,1,1),0,IF($F15&lt;OFFSET($BN$9,$CN15-1,0,1,1),IF(AND($H15&gt;2.4,Z15&lt;&gt;"e",Z15&lt;&gt;"f"),DN15*2.4/$H15,DN15),IF($F15&lt;OFFSET($BN$9,$CN15+0,0,1,1),IF(AND($H15&gt;2.4,Z15&lt;&gt;"e",Z15&lt;&gt;"f"),DN15*2.4/$H15,DN15),IF($F15&lt;OFFSET($BN$9,$CN15+1,0,1,1),IF(AND($H15&gt;2.4,Z15&lt;&gt;"e",Z15&lt;&gt;"f"),DN15*2.4/$H15,DN15),IF($F15&lt;OFFSET($BN$9,$CN15+2,0,1,1),IF(AND($H15&gt;2.4,Z15&lt;&gt;"e",Z15&lt;&gt;"f"),DN15*2.4/$H15,DN15),IF($F15&lt;OFFSET($BN$9,$CN15+3,0,1,1),IF(AND($H15&gt;2.4,Z15&lt;&gt;"e",Z15&lt;&gt;"f"),DN15*2.4/$H15,DN15),0)))))*COS(RADIANS($G15)))</f>
        <v>0</v>
      </c>
      <c r="DK15" s="51"/>
      <c r="DL15" s="51">
        <f ca="1">IF(DG15&gt;$CR15,$CR15,DG15)</f>
        <v>0</v>
      </c>
      <c r="DM15" s="51"/>
      <c r="DN15" s="51">
        <f ca="1">IF(DI15&gt;$CR15,$CR15,DI15)</f>
        <v>0</v>
      </c>
      <c r="DO15" s="435">
        <f ca="1">IF(DH15&gt;$CR15,$CR15,DH15)</f>
        <v>0</v>
      </c>
      <c r="DP15" s="435">
        <f ca="1">DO15*F15</f>
        <v>0</v>
      </c>
      <c r="DQ15" s="436">
        <f ca="1">IF(DJ15&gt;$CR15,$CR15,DJ15)</f>
        <v>0</v>
      </c>
      <c r="DR15" s="437">
        <f ca="1">DQ15*F15</f>
        <v>0</v>
      </c>
      <c r="DS15" s="426">
        <f ca="1">OFFSET($CH$9,CL15-1,-15,1,1)</f>
        <v>0</v>
      </c>
      <c r="DT15" s="426">
        <f t="shared" ca="1" si="1"/>
        <v>0</v>
      </c>
      <c r="DU15" s="188">
        <f ca="1">IF(F15&lt;OFFSET($BM$9,DT15-1,0,1,1),0,IF(F15&lt;OFFSET($BN$9,DT15-1,0,1,1),((F15-OFFSET($BM$9,DT15-1,0,1,1))*OFFSET($CH$9,DT15-1,0,1,1))+OFFSET($BO$9,DT15-1,CQ15,1,1),IF(F15&lt;OFFSET($BN$9,DT15+0,0,1,1),((F15-OFFSET($BM$9,DT15+0,0,1,1))*OFFSET($CH$9,DT15+0,0,1,1))+OFFSET($BO$9,DT15+0,CQ15,1,1),IF(F15&lt;OFFSET($BN$9,DT15+1,0,1,1),((F15-OFFSET($BM$9,DT15+1,0,1,1))*OFFSET($CH$9,DT15+1,0,1,1))+OFFSET($BO$9,DT15+1,CQ15,1,1),IF(F15&lt;OFFSET($BN$9,DT15+2,0,1,1),((F15-OFFSET($BM$9,DT15+2,0,1,1))*OFFSET($CH$9,DT15+2,0,1,1))+OFFSET($BO$9,DT15+2,CQ15,1,1),IF(F15&lt;OFFSET($BN$9,DT15+3,0,1,1),((F15-OFFSET($BM$9,DT15+3,0,1,1))*OFFSET($CH$9,DT15+3,0,1,1))+OFFSET($BO$9,DT15+3,CQ15,1,1),0))))))</f>
        <v>0</v>
      </c>
      <c r="DV15" s="51">
        <f ca="1">IF($F15&lt;OFFSET($BM$9,$DT15-1,0,1,1),0,IF($F15&lt;OFFSET($BN$9,$DT15-1,0,1,1),IF(AND($H15&gt;2.4,Z15&lt;&gt;"e",Z15&lt;&gt;"f"),DZ15*2.4/$H15,DZ15),IF($F15&lt;OFFSET($BN$9,$DT15+0,0,1,1),IF(AND($H15&gt;2.4,Z15&lt;&gt;"e",Z15&lt;&gt;"f"),DZ15*2.4/$H15,DZ15),IF($F15&lt;OFFSET($BN$9,$DT15+1,0,1,1),IF(AND($H15&gt;2.4,Z15&lt;&gt;"e",Z15&lt;&gt;"f"),DZ15*2.4/$H15,DZ15),IF($F15&lt;OFFSET($BN$9,$DT15+2,0,1,1),IF(AND($H15&gt;2.4,Z15&lt;&gt;"e",Z15&lt;&gt;"f"),DZ15*2.4/$H15,DZ15),IF($F15&lt;OFFSET($BN$9,$DT15+3,0,1,1),IF(AND($H15&gt;2.4,Z15&lt;&gt;"e",Z15&lt;&gt;"f"),DZ15*2.4/$H15,DZ15),0)))))*COS(RADIANS($G15)))</f>
        <v>0</v>
      </c>
      <c r="DW15" s="188">
        <f ca="1">IF(F15&lt;OFFSET($BM$9,DT15-1,0,1,1),0,IF(F15&lt;OFFSET($BN$9,DT15-1,0,1,1),((F15-OFFSET($BM$9,DT15-1,0,1,1))*OFFSET($CI$9,DT15-1,0,1,1))+OFFSET($BP$9,DT15-1,CQ15,1,1),IF(F15&lt;OFFSET($BN$9,DT15+0,0,1,1),((F15-OFFSET($BM$9,DT15+0,0,1,1))*OFFSET($CI$9,DT15+0,0,1,1))+OFFSET($BP$9,DT15+0,CQ15,1,1),IF(F15&lt;OFFSET($BN$9,DT15+1,0,1,1),((F15-OFFSET($BM$9,DT15+1,0,1,1))*OFFSET($CI$9,DT15+1,0,1,1))+OFFSET($BP$9,DT15+1,CQ15,1,1),IF(F15&lt;OFFSET($BN$9,DT15+2,0,1,1),((F15-OFFSET($BM$9,DT15+2,0,1,1))*OFFSET($CI$9,DT15+2,0,1,1))+OFFSET($BP$9,DT15+2,CQ15,1,1),IF(F15&lt;OFFSET($BN$9,DT15+3,0,1,1),((F15-OFFSET($BM$9,DT15+3,0,1,1))*OFFSET($CI$9,DT15+3,0,1,1))+OFFSET($BP$9,DT15+3,CQ15,1,1),0))))))</f>
        <v>0</v>
      </c>
      <c r="DX15" s="51">
        <f ca="1">IF($F15&lt;OFFSET($BM$9,$DT15-1,0,1,1),0,IF($F15&lt;OFFSET($BN$9,$DT15-1,0,1,1),IF(AND($H15&gt;2.4,Z15&lt;&gt;"e",Z15&lt;&gt;"f"),EB15*2.4/$H15,EB15),IF($F15&lt;OFFSET($BN$9,$DT15+0,0,1,1),IF(AND($H15&gt;2.4,Z15&lt;&gt;"e",Z15&lt;&gt;"f"),EB15*2.4/$H15,EB15),IF($F15&lt;OFFSET($BN$9,$DT15+1,0,1,1),IF(AND($H15&gt;2.4,Z15&lt;&gt;"e",Z15&lt;&gt;"f"),EB15*2.4/$H15,EB15),IF($F15&lt;OFFSET($BN$9,$DT15+2,0,1,1),IF(AND($H15&gt;2.4,Z15&lt;&gt;"e",Z15&lt;&gt;"f"),EB15*2.4/$H15,EB15),IF($F15&lt;OFFSET($BN$9,$DT15+3,0,1,1),IF(AND($H15&gt;2.4,Z15&lt;&gt;"e",Z15&lt;&gt;"f"),EB15*2.4/$H15,EB15),0)))))*COS(RADIANS($G15)))</f>
        <v>0</v>
      </c>
      <c r="DY15" s="188"/>
      <c r="DZ15" s="188">
        <f ca="1">IF(DU15&gt;$CR15,$CR15,DU15)</f>
        <v>0</v>
      </c>
      <c r="EA15" s="188"/>
      <c r="EB15" s="188">
        <f ca="1">IF(DW15&gt;$CR15,$CR15,DW15)</f>
        <v>0</v>
      </c>
      <c r="EC15" s="435">
        <f ca="1">IF(DV15&gt;$CR15,$CR15,DV15)</f>
        <v>0</v>
      </c>
      <c r="ED15" s="435">
        <f ca="1">EC15*F15</f>
        <v>0</v>
      </c>
      <c r="EE15" s="436">
        <f ca="1">IF(DX15&gt;$CR15,$CR15,DX15)</f>
        <v>0</v>
      </c>
      <c r="EF15" s="437">
        <f ca="1">EE15*F15</f>
        <v>0</v>
      </c>
      <c r="EG15" s="613" t="str">
        <f>IF(D15=BG$12,BG$12,"")</f>
        <v/>
      </c>
      <c r="EH15" s="614" t="str">
        <f>IF(D15=BG$13,BG$13,"")</f>
        <v/>
      </c>
      <c r="EI15" s="611">
        <f>IF(EG15=BG$12,M15,0)</f>
        <v>0</v>
      </c>
      <c r="EJ15" s="451">
        <f>IF(EG15=BG$12,O15,0)</f>
        <v>0</v>
      </c>
      <c r="EK15" s="451">
        <f>IF(EH15=BG$13,M15,0)</f>
        <v>0</v>
      </c>
      <c r="EL15" s="612">
        <f>IF(EH15=BG$13,O15,0)</f>
        <v>0</v>
      </c>
      <c r="EM15" s="426" t="str">
        <f ca="1">IF(AND(Z15&lt;&gt;"t",Z15&lt;&gt;"f"),"",IF(AND(EN15=$BH$11,K15&lt;&gt;EN15),EM$4,IF(AND(EN15=$BH$12,K15=$BH$13),EM$4,IF(AND(EN15=$BH$12,K15=$BH$14),EM$4,IF(AND(EN15=$BH$13,K15=$BH$14),$EM$4,IF(EN15=$BH$14,$EM$4,""))))))</f>
        <v/>
      </c>
      <c r="EN15" s="489" t="str">
        <f>BG$24</f>
        <v>Earth</v>
      </c>
      <c r="EO15" s="426" t="str">
        <f>K15</f>
        <v xml:space="preserve"> </v>
      </c>
      <c r="EP15" s="497" t="str">
        <f ca="1">IF(AND(Z15&lt;&gt;"t",Z15&lt;&gt;"f"),"",IF(AND(EN15=$BH$14,K15&lt;&gt;EN15),EP$4,IF(AND(EN15=$BH$13,K15=$BH$12),EP$4,IF(AND(EN15=$BH$13,K15=$BH$11),EP$4,IF(AND(EN15=$BH$12,K15=$BH$11),$EP$4,IF(EN15=$BH$11,"Earth",""))))))</f>
        <v/>
      </c>
      <c r="EQ15" s="430" t="str">
        <f ca="1">IF(Z15&lt;&gt;"t","",IF(EQ$5=2,IF(K15&lt;&gt;BH$11,EQ$7," ")))</f>
        <v/>
      </c>
      <c r="ER15" s="439" t="str">
        <f ca="1">IF(H15=0," ",H15)</f>
        <v xml:space="preserve"> </v>
      </c>
      <c r="ES15" s="440" t="str">
        <f ca="1">IF(ER15&lt;&gt;" ",IF(ER15&lt;&gt;ER$7,"Changed",""),"")</f>
        <v/>
      </c>
      <c r="ET15" s="440">
        <f t="shared" ca="1" si="19"/>
        <v>0</v>
      </c>
      <c r="EU15" s="426" t="str">
        <f ca="1">IF(I15=" "," ",IF(F15&lt;OFFSET($BM$9,CL15-1,0,1,1),1,""))</f>
        <v xml:space="preserve"> </v>
      </c>
      <c r="EW15" s="427"/>
    </row>
    <row r="16" spans="1:153" ht="17.100000000000001" customHeight="1" thickBot="1">
      <c r="B16" s="689" t="s">
        <v>246</v>
      </c>
      <c r="C16" s="684" t="str">
        <f>IF(OR(F16=0,I16="",I16=" ")," ",$V16)</f>
        <v xml:space="preserve"> </v>
      </c>
      <c r="D16" s="1033"/>
      <c r="E16" s="1360"/>
      <c r="F16" s="1691"/>
      <c r="G16" s="1416"/>
      <c r="H16" s="1417" t="str">
        <f ca="1">IF(OR(F16=0,Z16="E",Z16="f")," ",'Project Demand'!E$55)</f>
        <v xml:space="preserve"> </v>
      </c>
      <c r="I16" s="631" t="str">
        <f>IF($I$6&lt;&gt;$BG$8," ",AB16)</f>
        <v xml:space="preserve"> </v>
      </c>
      <c r="J16" s="44" t="str">
        <f ca="1">IF(OR(I16=" ",I16="")," ",OFFSET($BO$9,CL16-1,0-4,1,1))</f>
        <v xml:space="preserve"> </v>
      </c>
      <c r="K16" s="55" t="str">
        <f>IF(OR(I16=" ",I16="")," ",IF(OR(Z16="e",Z16="h"),"SD",IF(BG$24=BH$11,BH$13,BG$24)))</f>
        <v xml:space="preserve"> </v>
      </c>
      <c r="L16" s="49">
        <f ca="1">CW16</f>
        <v>0</v>
      </c>
      <c r="M16" s="49">
        <f ca="1">CY16</f>
        <v>0</v>
      </c>
      <c r="N16" s="50">
        <f t="shared" ca="1" si="20"/>
        <v>0</v>
      </c>
      <c r="O16" s="126">
        <f t="shared" ca="1" si="20"/>
        <v>0</v>
      </c>
      <c r="P16" s="140"/>
      <c r="Q16" s="752" t="str">
        <f ca="1">IF(AND(OR(Z16="t",Z16="f"),K16=$BH$11),"No Floor!  Change Floor Type",IF(OR(I16=" ",I16="")," ",IF(F16&lt;OFFSET($BM$9,CL16-1,0,1,1),"check L(m)",DE16&amp;IF(AND(DP16&gt;=CY16,DR16&gt;=DB16),IF(AND(ED16&gt;=DP16,EF16&gt;=DR16),CONCATENATE(DS16," will provide same result"),CONCATENATE(CO16," will provide same result")),IF((DP16&gt;=CY16),CONCATENATE(CO16," provides same result in WIND"),IF((DR16&gt;=DB16),CONCATENATE(CO16," provides same result in EQ"),""))))))&amp;IF(ISERROR(FIND("pile",I16,1)),"",IF(INT(F16)&lt;&gt;F16,"Pile!  Use Whole Numbers Only",""))</f>
        <v xml:space="preserve"> </v>
      </c>
      <c r="R16" s="52"/>
      <c r="S16" s="1372"/>
      <c r="T16" s="52"/>
      <c r="U16" s="1377"/>
      <c r="V16" s="52" t="str">
        <f ca="1">IF(AND(B$5=$BF$9,OR(I16=BH$16,I16=BH$17))," ",IF(ISNUMBER(B$14),(CONCATENATE(B$14,".",W16)),(CONCATENATE(B$14,W16))))</f>
        <v>N0</v>
      </c>
      <c r="W16" s="9">
        <f ca="1">W15+X16</f>
        <v>0</v>
      </c>
      <c r="X16" s="9">
        <f>IF(AND(B$5=$BF$9,OR($I16=$BH$16,$I16=$BH$17,$I16=" ",$I16="",$F16=0)),0,IF(OR($I16=" ",$I16="",$F16=0),0,1))</f>
        <v>0</v>
      </c>
      <c r="Y16" s="896"/>
      <c r="Z16" s="52" t="str">
        <f ca="1">IF(I16=" "," ",OFFSET($BM$9,$CL16-1,8,1,1))</f>
        <v xml:space="preserve"> </v>
      </c>
      <c r="AA16" s="51" t="str">
        <f>IF(G16&gt;=45,"WA","")</f>
        <v/>
      </c>
      <c r="AB16" s="1364" t="str">
        <f>IF(OR(E16=" ",E16="")," ",(IF(F16&lt;&gt;"",IF(OR(D16=$BG$12,D16=$BG$13),IF(E16&lt;&gt;$BG$17,$BF$20,$BF$21),IF(E16&lt;&gt;$BG$17,$BF$20,$BF$21))," ")))</f>
        <v xml:space="preserve"> </v>
      </c>
      <c r="AC16" s="1"/>
      <c r="AJ16" s="2867"/>
      <c r="AK16" s="2865"/>
      <c r="AL16" s="1385" t="str">
        <f>'Custom Elements'!P12</f>
        <v>Masonry 4.5</v>
      </c>
      <c r="AM16" s="117">
        <f>'Custom Elements'!Q12</f>
        <v>1.5</v>
      </c>
      <c r="AN16" s="878">
        <f>'Custom Elements'!R12</f>
        <v>300</v>
      </c>
      <c r="AO16" s="878">
        <f>'Custom Elements'!S12</f>
        <v>300</v>
      </c>
      <c r="AP16" s="1246"/>
      <c r="AQ16" s="1644" t="str">
        <f>'Custom Elements'!V12</f>
        <v>No</v>
      </c>
      <c r="AR16" s="876" t="str">
        <f>'Custom Elements'!W12</f>
        <v>No</v>
      </c>
      <c r="AS16" s="1640"/>
      <c r="AT16" s="880" t="s">
        <v>911</v>
      </c>
      <c r="AU16" s="119"/>
      <c r="AV16" s="47"/>
      <c r="AW16" s="47"/>
      <c r="AX16" s="47"/>
      <c r="AY16" s="47"/>
      <c r="AZ16" s="47"/>
      <c r="BA16" s="47"/>
      <c r="BB16" s="47"/>
      <c r="BC16" s="47"/>
      <c r="BD16" s="2667"/>
      <c r="BF16" s="598" t="str">
        <f>'Custom Elements'!P13</f>
        <v>Braced pile</v>
      </c>
      <c r="BG16" s="1026" t="s">
        <v>1044</v>
      </c>
      <c r="BH16" s="1394" t="str">
        <f>Table!AI72</f>
        <v>ER1</v>
      </c>
      <c r="BI16" s="759"/>
      <c r="BJ16" s="897">
        <f t="shared" si="6"/>
        <v>8</v>
      </c>
      <c r="BK16" s="769" t="str">
        <f t="shared" si="7"/>
        <v xml:space="preserve">  </v>
      </c>
      <c r="BL16" s="771" t="str">
        <f t="shared" si="8"/>
        <v>Custom5</v>
      </c>
      <c r="BM16" s="455">
        <f t="shared" si="9"/>
        <v>9.9999999999999996E-76</v>
      </c>
      <c r="BN16" s="455">
        <v>999</v>
      </c>
      <c r="BO16" s="455">
        <f t="shared" si="10"/>
        <v>0</v>
      </c>
      <c r="BP16" s="925">
        <f t="shared" si="11"/>
        <v>0</v>
      </c>
      <c r="BR16" s="764"/>
      <c r="BS16" s="455"/>
      <c r="BT16" s="455" t="str">
        <f t="shared" si="12"/>
        <v>B</v>
      </c>
      <c r="BU16" s="925" t="str">
        <f t="shared" si="13"/>
        <v>T</v>
      </c>
      <c r="BV16" s="483" t="str">
        <f t="shared" si="14"/>
        <v>Custom5</v>
      </c>
      <c r="BW16" s="910">
        <f t="shared" si="21"/>
        <v>8</v>
      </c>
      <c r="BX16" s="924" t="str">
        <f t="shared" si="15"/>
        <v>Single</v>
      </c>
      <c r="CH16" s="764">
        <f t="shared" si="16"/>
        <v>0</v>
      </c>
      <c r="CI16" s="925">
        <f t="shared" si="17"/>
        <v>0</v>
      </c>
      <c r="CJ16" s="759"/>
      <c r="CK16" s="188"/>
      <c r="CL16" s="979">
        <f>VLOOKUP(I16,Prodlink,2,0)</f>
        <v>0</v>
      </c>
      <c r="CN16" s="497">
        <f t="shared" ca="1" si="2"/>
        <v>0</v>
      </c>
      <c r="CO16" s="497">
        <f ca="1">OFFSET($CH$9,CL16-1,-15,1,1)</f>
        <v>0</v>
      </c>
      <c r="CQ16" s="51">
        <v>0</v>
      </c>
      <c r="CR16" s="51">
        <f t="shared" ca="1" si="22"/>
        <v>10000</v>
      </c>
      <c r="CS16" s="51">
        <f ca="1">IF(F16&lt;OFFSET($BM$9,CL16-1,0,1,1),0,IF(F16&lt;OFFSET($BN$9,CL16-1,0,1,1),((F16-OFFSET($BM$9,CL16-1,0,1,1))*OFFSET($CH$9,CL16-1,0,1,1))+OFFSET($BO$9,CL16-1,CQ16,1,1),IF(F16&lt;OFFSET($BN$9,CL16+0,0,1,1),((F16-OFFSET($BM$9,CL16+0,0,1,1))*OFFSET($CH$9,CL16+0,0,1,1))+OFFSET($BO$9,CL16+0,CQ16,1,1),IF(F16&lt;OFFSET($BN$9,CL16+1,0,1,1),((F16-OFFSET($BM$9,CL16+1,0,1,1))*OFFSET($CH$9,CL16+1,0,1,1))+OFFSET($BO$9,CL16+1,CQ16,1,1),IF(F16&lt;OFFSET($BN$9,CL16+2,0,1,1),((F16-OFFSET($BM$9,CL16+2,0,1,1))*OFFSET($CH$9,CL16+2,0,1,1))+OFFSET($BO$9,CL16+2,CQ16,1,1),IF(F16&lt;OFFSET($BN$9,CL16+3,0,1,1),((F16-OFFSET($BM$9,CL16+3,0,1,1))*OFFSET($CH$9,CL16+3,0,1,1))+OFFSET($BO$9,CL16+3,CQ16,1,1),0))))))</f>
        <v>0</v>
      </c>
      <c r="CT16" s="51">
        <f ca="1">IF($F16&lt;OFFSET($BM$9,$CL16-1,0,1,1),0,IF($F16&lt;OFFSET($BN$9,$CL16-1,0,1,1),IF(AND($H16&gt;2.4,Z16&lt;&gt;"e",Z16&lt;&gt;"f"),CX16*2.4/$H16,CX16),IF($F16&lt;OFFSET($BN$9,$CL16+0,0,1,1),IF(AND($H16&gt;2.4,Z16&lt;&gt;"e",Z16&lt;&gt;"f"),CX16*2.4/$H16,CX16),IF($F16&lt;OFFSET($BN$9,$CL16+1,0,1,1),IF(AND($H16&gt;2.4,Z16&lt;&gt;"e",Z16&lt;&gt;"f"),CX16*2.4/$H16,CX16),IF($F16&lt;OFFSET($BN$9,CL16+2,0,1,1),IF(AND($H16&gt;2.4,Z16&lt;&gt;"e",Z16&lt;&gt;"f"),CX16*2.4/$H16,CX16),IF($F16&lt;OFFSET($BN$9,CL16+3,0,1,1),IF(AND($H16&gt;2.4,Z16&lt;&gt;"e",Z16&lt;&gt;"f"),CX16*2.4/$H16,CX16),0)))))*COS(RADIANS($G16)))</f>
        <v>0</v>
      </c>
      <c r="CU16" s="51">
        <f ca="1">IF(F16&lt;OFFSET($BM$9,CL16-1,0,1,1),0,IF(F16&lt;OFFSET($BN$9,CL16-1,0,1,1),((F16-OFFSET($BM$9,CL16-1,0,1,1))*OFFSET($CI$9,CL16-1,0,1,1))+OFFSET($BP$9,CL16-1,CQ16,1,1),IF(F16&lt;OFFSET($BN$9,CL16+0,0,1,1),((F16-OFFSET($BM$9,CL16+0,0,1,1))*OFFSET($CI$9,CL16+0,0,1,1))+OFFSET($BP$9,CL16+0,CQ16,1,1),IF(F16&lt;OFFSET($BN$9,CL16+1,0,1,1),((F16-OFFSET($BM$9,CL16+1,0,1,1))*OFFSET($CI$9,CL16+1,0,1,1))+OFFSET($BP$9,CL16+1,CQ16,1,1),IF(F16&lt;OFFSET($BN$9,CL16+2,0,1,1),((F16-OFFSET($BM$9,CL16+2,0,1,1))*OFFSET($CI$9,CL16+2,0,1,1))+OFFSET($BP$9,CL16+2,CQ16,1,1),IF(F16&lt;OFFSET($BN$9,CL16+3,0,1,1),((F16-OFFSET($BM$9,CL16+3,0,1,1))*OFFSET($CI$9,CL16+3,0,1,1))+OFFSET($BP$9,CL16+3,CQ16,1,1),0))))))</f>
        <v>0</v>
      </c>
      <c r="CV16" s="51">
        <f ca="1">IF($F16&lt;OFFSET($BM$9,$CL16-1,0,1,1),0,IF($F16&lt;OFFSET($BN$9,$CL16-1,0,1,1),IF(AND($H16&gt;2.4,Z16&lt;&gt;"e",Z16&lt;&gt;"f"),CZ16*2.4/$H16,CZ16),IF($F16&lt;OFFSET($BN$9,$CL16+0,0,1,1),IF(AND($H16&gt;2.4,Z16&lt;&gt;"e",Z16&lt;&gt;"f"),CZ16*2.4/$H16,CZ16),IF($F16&lt;OFFSET($BN$9,$CL16+1,0,1,1),IF(AND($H16&gt;2.4,Z16&lt;&gt;"e",Z16&lt;&gt;"f"),CZ16*2.4/$H16,CZ16),IF($F16&lt;OFFSET($BN$9,$CL16+2,0,1,1),IF(AND($H16&gt;2.4,Z16&lt;&gt;"e",Z16&lt;&gt;"f"),CZ16*2.4/$H16,CZ16),IF($F16&lt;OFFSET($BN$9,$CL16+3,0,1,1),IF(AND($H16&gt;2.4,Z16&lt;&gt;"e",Z16&lt;&gt;"f"),CZ16*2.4/$H16,CZ16),0)))))*COS(RADIANS($G16)))</f>
        <v>0</v>
      </c>
      <c r="CW16" s="51">
        <f t="shared" ca="1" si="18"/>
        <v>0</v>
      </c>
      <c r="CX16" s="51">
        <f ca="1">IF(CS16&gt;$CR16,$CR16,CS16)</f>
        <v>0</v>
      </c>
      <c r="CY16" s="51">
        <f ca="1">CW16*F16</f>
        <v>0</v>
      </c>
      <c r="CZ16" s="51">
        <f ca="1">IF($CU16&gt;$CR16,$CR16,$CU16)</f>
        <v>0</v>
      </c>
      <c r="DA16" s="51">
        <f ca="1">IF(CV16&gt;CR16,CR16,CV16)</f>
        <v>0</v>
      </c>
      <c r="DB16" s="51">
        <f ca="1">DA16*F16</f>
        <v>0</v>
      </c>
      <c r="DC16" s="993">
        <v>1</v>
      </c>
      <c r="DD16" s="758" t="str">
        <f>IF(OR(D16=BG$12,D16=BG$13),"External",IF(D16=BG$14,"Internal"," "))</f>
        <v xml:space="preserve"> </v>
      </c>
      <c r="DE16" s="51" t="str">
        <f t="shared" ca="1" si="4"/>
        <v/>
      </c>
      <c r="DF16" s="52" t="str">
        <f t="shared" ca="1" si="5"/>
        <v xml:space="preserve"> </v>
      </c>
      <c r="DG16" s="51">
        <f ca="1">IF(F16&lt;OFFSET($BM$9,CN16-1,0,1,1),0,IF(F16&lt;OFFSET($BN$9,CN16-1,0,1,1),((F16-OFFSET($BM$9,CN16-1,0,1,1))*OFFSET($CH$9,CN16-1,0,1,1))+OFFSET($BO$9,CN16-1,CQ16,1,1),IF(F16&lt;OFFSET($BN$9,CN16+0,0,1,1),((F16-OFFSET($BM$9,CN16+0,0,1,1))*OFFSET($CH$9,CN16+0,0,1,1))+OFFSET($BO$9,CN16+0,CQ16,1,1),IF(F16&lt;OFFSET($BN$9,CN16+1,0,1,1),((F16-OFFSET($BM$9,CN16+1,0,1,1))*OFFSET($CH$9,CN16+1,0,1,1))+OFFSET($BO$9,CN16+1,CQ16,1,1),IF(F16&lt;OFFSET($BN$9,CN16+2,0,1,1),((F16-OFFSET($BM$9,CN16+2,0,1,1))*OFFSET($CH$9,CN16+2,0,1,1))+OFFSET($BO$9,CN16+2,CQ16,1,1),IF(F16&lt;OFFSET($BN$9,CN16+3,0,1,1),((F16-OFFSET($BM$9,CN16+3,0,1,1))*OFFSET($CH$9,CN16+3,0,1,1))+OFFSET($BO$9,CN16+3,CQ16,1,1),0))))))</f>
        <v>0</v>
      </c>
      <c r="DH16" s="51">
        <f ca="1">IF($F16&lt;OFFSET($BM$9,$CN16-1,0,1,1),0,IF($F16&lt;OFFSET($BN$9,$CN16-1,0,1,1),IF(AND($H16&gt;2.4,Z16&lt;&gt;"e",Z16&lt;&gt;"f"),DL16*2.4/$H16,DL16),IF($F16&lt;OFFSET($BN$9,$CN16+0,0,1,1),IF(AND($H16&gt;2.4,Z16&lt;&gt;"e",Z16&lt;&gt;"f"),DL16*2.4/$H16,DL16),IF($F16&lt;OFFSET($BN$9,$CN16+1,0,1,1),IF(AND($H16&gt;2.4,Z16&lt;&gt;"e",Z16&lt;&gt;"f"),DL16*2.4/$H16,DL16),IF($F16&lt;OFFSET($BN$9,$CN16+2,0,1,1),IF(AND($H16&gt;2.4,Z16&lt;&gt;"e",Z16&lt;&gt;"f"),DL16*2.4/$H16,DL16),IF($F16&lt;OFFSET($BN$9,$CN16+3,0,1,1),IF(AND($H16&gt;2.4,Z16&lt;&gt;"e",Z16&lt;&gt;"f"),DL16*2.4/$H16,DL16),0)))))*COS(RADIANS($G16)))</f>
        <v>0</v>
      </c>
      <c r="DI16" s="51">
        <f ca="1">IF(F16&lt;OFFSET($BM$9,CN16-1,0,1,1),0,IF(F16&lt;OFFSET($BN$9,CN16-1,0,1,1),((F16-OFFSET($BM$9,CN16-1,0,1,1))*OFFSET($CI$9,CN16-1,0,1,1))+OFFSET($BP$9,CN16-1,CQ16,1,1),IF(F16&lt;OFFSET($BN$9,CN16+0,0,1,1),((F16-OFFSET($BM$9,CN16+0,0,1,1))*OFFSET($CI$9,CN16+0,0,1,1))+OFFSET($BP$9,CN16+0,CQ16,1,1),IF(F16&lt;OFFSET($BN$9,CN16+1,0,1,1),((F16-OFFSET($BM$9,CN16+1,0,1,1))*OFFSET($CI$9,CN16+1,0,1,1))+OFFSET($BP$9,CN16+1,CQ16,1,1),IF(F16&lt;OFFSET($BN$9,CN16+2,0,1,1),((F16-OFFSET($BM$9,CN16+2,0,1,1))*OFFSET($CI$9,CN16+2,0,1,1))+OFFSET($BP$9,CN16+2,CQ16,1,1),IF(F16&lt;OFFSET($BN$9,CN16+3,0,1,1),((F16-OFFSET($BM$9,CN16+3,0,1,1))*OFFSET($CI$9,CN16+3,0,1,1))+OFFSET($BP$9,CN16+3,CQ16,1,1),0))))))</f>
        <v>0</v>
      </c>
      <c r="DJ16" s="51">
        <f ca="1">IF($F16&lt;OFFSET($BM$9,$CN16-1,0,1,1),0,IF($F16&lt;OFFSET($BN$9,$CN16-1,0,1,1),IF(AND($H16&gt;2.4,Z16&lt;&gt;"e",Z16&lt;&gt;"f"),DN16*2.4/$H16,DN16),IF($F16&lt;OFFSET($BN$9,$CN16+0,0,1,1),IF(AND($H16&gt;2.4,Z16&lt;&gt;"e",Z16&lt;&gt;"f"),DN16*2.4/$H16,DN16),IF($F16&lt;OFFSET($BN$9,$CN16+1,0,1,1),IF(AND($H16&gt;2.4,Z16&lt;&gt;"e",Z16&lt;&gt;"f"),DN16*2.4/$H16,DN16),IF($F16&lt;OFFSET($BN$9,$CN16+2,0,1,1),IF(AND($H16&gt;2.4,Z16&lt;&gt;"e",Z16&lt;&gt;"f"),DN16*2.4/$H16,DN16),IF($F16&lt;OFFSET($BN$9,$CN16+3,0,1,1),IF(AND($H16&gt;2.4,Z16&lt;&gt;"e",Z16&lt;&gt;"f"),DN16*2.4/$H16,DN16),0)))))*COS(RADIANS($G16)))</f>
        <v>0</v>
      </c>
      <c r="DK16" s="51"/>
      <c r="DL16" s="51">
        <f ca="1">IF(DG16&gt;$CR16,$CR16,DG16)</f>
        <v>0</v>
      </c>
      <c r="DM16" s="51"/>
      <c r="DN16" s="51">
        <f ca="1">IF(DI16&gt;$CR16,$CR16,DI16)</f>
        <v>0</v>
      </c>
      <c r="DO16" s="435">
        <f ca="1">IF(DH16&gt;$CR16,$CR16,DH16)</f>
        <v>0</v>
      </c>
      <c r="DP16" s="435">
        <f ca="1">DO16*F16</f>
        <v>0</v>
      </c>
      <c r="DQ16" s="436">
        <f ca="1">IF(DJ16&gt;$CR16,$CR16,DJ16)</f>
        <v>0</v>
      </c>
      <c r="DR16" s="437">
        <f ca="1">DQ16*F16</f>
        <v>0</v>
      </c>
      <c r="DS16" s="426">
        <f ca="1">OFFSET($CH$9,CL16-1,-15,1,1)</f>
        <v>0</v>
      </c>
      <c r="DT16" s="426">
        <f t="shared" ca="1" si="1"/>
        <v>0</v>
      </c>
      <c r="DU16" s="188">
        <f ca="1">IF(F16&lt;OFFSET($BM$9,DT16-1,0,1,1),0,IF(F16&lt;OFFSET($BN$9,DT16-1,0,1,1),((F16-OFFSET($BM$9,DT16-1,0,1,1))*OFFSET($CH$9,DT16-1,0,1,1))+OFFSET($BO$9,DT16-1,CQ16,1,1),IF(F16&lt;OFFSET($BN$9,DT16+0,0,1,1),((F16-OFFSET($BM$9,DT16+0,0,1,1))*OFFSET($CH$9,DT16+0,0,1,1))+OFFSET($BO$9,DT16+0,CQ16,1,1),IF(F16&lt;OFFSET($BN$9,DT16+1,0,1,1),((F16-OFFSET($BM$9,DT16+1,0,1,1))*OFFSET($CH$9,DT16+1,0,1,1))+OFFSET($BO$9,DT16+1,CQ16,1,1),IF(F16&lt;OFFSET($BN$9,DT16+2,0,1,1),((F16-OFFSET($BM$9,DT16+2,0,1,1))*OFFSET($CH$9,DT16+2,0,1,1))+OFFSET($BO$9,DT16+2,CQ16,1,1),IF(F16&lt;OFFSET($BN$9,DT16+3,0,1,1),((F16-OFFSET($BM$9,DT16+3,0,1,1))*OFFSET($CH$9,DT16+3,0,1,1))+OFFSET($BO$9,DT16+3,CQ16,1,1),0))))))</f>
        <v>0</v>
      </c>
      <c r="DV16" s="51">
        <f ca="1">IF($F16&lt;OFFSET($BM$9,$DT16-1,0,1,1),0,IF($F16&lt;OFFSET($BN$9,$DT16-1,0,1,1),IF(AND($H16&gt;2.4,Z16&lt;&gt;"e",Z16&lt;&gt;"f"),DZ16*2.4/$H16,DZ16),IF($F16&lt;OFFSET($BN$9,$DT16+0,0,1,1),IF(AND($H16&gt;2.4,Z16&lt;&gt;"e",Z16&lt;&gt;"f"),DZ16*2.4/$H16,DZ16),IF($F16&lt;OFFSET($BN$9,$DT16+1,0,1,1),IF(AND($H16&gt;2.4,Z16&lt;&gt;"e",Z16&lt;&gt;"f"),DZ16*2.4/$H16,DZ16),IF($F16&lt;OFFSET($BN$9,$DT16+2,0,1,1),IF(AND($H16&gt;2.4,Z16&lt;&gt;"e",Z16&lt;&gt;"f"),DZ16*2.4/$H16,DZ16),IF($F16&lt;OFFSET($BN$9,$DT16+3,0,1,1),IF(AND($H16&gt;2.4,Z16&lt;&gt;"e",Z16&lt;&gt;"f"),DZ16*2.4/$H16,DZ16),0)))))*COS(RADIANS($G16)))</f>
        <v>0</v>
      </c>
      <c r="DW16" s="188">
        <f ca="1">IF(F16&lt;OFFSET($BM$9,DT16-1,0,1,1),0,IF(F16&lt;OFFSET($BN$9,DT16-1,0,1,1),((F16-OFFSET($BM$9,DT16-1,0,1,1))*OFFSET($CI$9,DT16-1,0,1,1))+OFFSET($BP$9,DT16-1,CQ16,1,1),IF(F16&lt;OFFSET($BN$9,DT16+0,0,1,1),((F16-OFFSET($BM$9,DT16+0,0,1,1))*OFFSET($CI$9,DT16+0,0,1,1))+OFFSET($BP$9,DT16+0,CQ16,1,1),IF(F16&lt;OFFSET($BN$9,DT16+1,0,1,1),((F16-OFFSET($BM$9,DT16+1,0,1,1))*OFFSET($CI$9,DT16+1,0,1,1))+OFFSET($BP$9,DT16+1,CQ16,1,1),IF(F16&lt;OFFSET($BN$9,DT16+2,0,1,1),((F16-OFFSET($BM$9,DT16+2,0,1,1))*OFFSET($CI$9,DT16+2,0,1,1))+OFFSET($BP$9,DT16+2,CQ16,1,1),IF(F16&lt;OFFSET($BN$9,DT16+3,0,1,1),((F16-OFFSET($BM$9,DT16+3,0,1,1))*OFFSET($CI$9,DT16+3,0,1,1))+OFFSET($BP$9,DT16+3,CQ16,1,1),0))))))</f>
        <v>0</v>
      </c>
      <c r="DX16" s="51">
        <f ca="1">IF($F16&lt;OFFSET($BM$9,$DT16-1,0,1,1),0,IF($F16&lt;OFFSET($BN$9,$DT16-1,0,1,1),IF(AND($H16&gt;2.4,Z16&lt;&gt;"e",Z16&lt;&gt;"f"),EB16*2.4/$H16,EB16),IF($F16&lt;OFFSET($BN$9,$DT16+0,0,1,1),IF(AND($H16&gt;2.4,Z16&lt;&gt;"e",Z16&lt;&gt;"f"),EB16*2.4/$H16,EB16),IF($F16&lt;OFFSET($BN$9,$DT16+1,0,1,1),IF(AND($H16&gt;2.4,Z16&lt;&gt;"e",Z16&lt;&gt;"f"),EB16*2.4/$H16,EB16),IF($F16&lt;OFFSET($BN$9,$DT16+2,0,1,1),IF(AND($H16&gt;2.4,Z16&lt;&gt;"e",Z16&lt;&gt;"f"),EB16*2.4/$H16,EB16),IF($F16&lt;OFFSET($BN$9,$DT16+3,0,1,1),IF(AND($H16&gt;2.4,Z16&lt;&gt;"e",Z16&lt;&gt;"f"),EB16*2.4/$H16,EB16),0)))))*COS(RADIANS($G16)))</f>
        <v>0</v>
      </c>
      <c r="DY16" s="188"/>
      <c r="DZ16" s="188">
        <f ca="1">IF(DU16&gt;$CR16,$CR16,DU16)</f>
        <v>0</v>
      </c>
      <c r="EA16" s="188"/>
      <c r="EB16" s="188">
        <f ca="1">IF(DW16&gt;$CR16,$CR16,DW16)</f>
        <v>0</v>
      </c>
      <c r="EC16" s="435">
        <f ca="1">IF(DV16&gt;$CR16,$CR16,DV16)</f>
        <v>0</v>
      </c>
      <c r="ED16" s="435">
        <f ca="1">EC16*F16</f>
        <v>0</v>
      </c>
      <c r="EE16" s="436">
        <f ca="1">IF(DX16&gt;$CR16,$CR16,DX16)</f>
        <v>0</v>
      </c>
      <c r="EF16" s="437">
        <f ca="1">EE16*F16</f>
        <v>0</v>
      </c>
      <c r="EG16" s="613" t="str">
        <f>IF(D16=BG$12,BG$12,"")</f>
        <v/>
      </c>
      <c r="EH16" s="614" t="str">
        <f>IF(D16=BG$13,BG$13,"")</f>
        <v/>
      </c>
      <c r="EI16" s="611">
        <f>IF(EG16=BG$12,M16,0)</f>
        <v>0</v>
      </c>
      <c r="EJ16" s="451">
        <f>IF(EG16=BG$12,O16,0)</f>
        <v>0</v>
      </c>
      <c r="EK16" s="451">
        <f>IF(EH16=BG$13,M16,0)</f>
        <v>0</v>
      </c>
      <c r="EL16" s="612">
        <f>IF(EH16=BG$13,O16,0)</f>
        <v>0</v>
      </c>
      <c r="EM16" s="426" t="str">
        <f ca="1">IF(AND(Z16&lt;&gt;"t",Z16&lt;&gt;"f"),"",IF(AND(EN16=$BH$11,K16&lt;&gt;EN16),EM$4,IF(AND(EN16=$BH$12,K16=$BH$13),EM$4,IF(AND(EN16=$BH$12,K16=$BH$14),EM$4,IF(AND(EN16=$BH$13,K16=$BH$14),$EM$4,IF(EN16=$BH$14,$EM$4,""))))))</f>
        <v/>
      </c>
      <c r="EN16" s="489" t="str">
        <f>BG$24</f>
        <v>Earth</v>
      </c>
      <c r="EO16" s="426" t="str">
        <f>K16</f>
        <v xml:space="preserve"> </v>
      </c>
      <c r="EP16" s="497" t="str">
        <f ca="1">IF(AND(Z16&lt;&gt;"t",Z16&lt;&gt;"f"),"",IF(AND(EN16=$BH$14,K16&lt;&gt;EN16),EP$4,IF(AND(EN16=$BH$13,K16=$BH$12),EP$4,IF(AND(EN16=$BH$13,K16=$BH$11),EP$4,IF(AND(EN16=$BH$12,K16=$BH$11),$EP$4,IF(EN16=$BH$11,"Earth",""))))))</f>
        <v/>
      </c>
      <c r="EQ16" s="430" t="str">
        <f ca="1">IF(Z16&lt;&gt;"t","",IF(EQ$5=2,IF(K16&lt;&gt;BH$11,EQ$7," ")))</f>
        <v/>
      </c>
      <c r="ER16" s="439" t="str">
        <f ca="1">IF(H16=0," ",H16)</f>
        <v xml:space="preserve"> </v>
      </c>
      <c r="ES16" s="440" t="str">
        <f ca="1">IF(ER16&lt;&gt;" ",IF(ER16&lt;&gt;ER$7,"Changed",""),"")</f>
        <v/>
      </c>
      <c r="ET16" s="440">
        <f t="shared" ca="1" si="19"/>
        <v>0</v>
      </c>
      <c r="EU16" s="426" t="str">
        <f ca="1">IF(I16=" "," ",IF(F16&lt;OFFSET($BM$9,CL16-1,0,1,1),1,""))</f>
        <v xml:space="preserve"> </v>
      </c>
      <c r="EW16" s="427"/>
    </row>
    <row r="17" spans="2:153" ht="17.100000000000001" customHeight="1" thickBot="1">
      <c r="B17" s="689" t="s">
        <v>246</v>
      </c>
      <c r="C17" s="684" t="str">
        <f>IF(OR(F17=0,I17="",I17=" ")," ",$V17)</f>
        <v xml:space="preserve"> </v>
      </c>
      <c r="D17" s="1033"/>
      <c r="E17" s="1360"/>
      <c r="F17" s="1691"/>
      <c r="G17" s="1416"/>
      <c r="H17" s="1417" t="str">
        <f ca="1">IF(OR(F17=0,Z17="E",Z17="f")," ",'Project Demand'!E$55)</f>
        <v xml:space="preserve"> </v>
      </c>
      <c r="I17" s="631" t="str">
        <f>IF($I$6&lt;&gt;$BG$8," ",AB17)</f>
        <v xml:space="preserve"> </v>
      </c>
      <c r="J17" s="44" t="str">
        <f ca="1">IF(OR(I17=" ",I17="")," ",OFFSET($BO$9,CL17-1,0-4,1,1))</f>
        <v xml:space="preserve"> </v>
      </c>
      <c r="K17" s="55" t="str">
        <f>IF(OR(I17=" ",I17="")," ",IF(OR(Z17="e",Z17="h"),"SD",IF(BG$24=BH$11,BH$13,BG$24)))</f>
        <v xml:space="preserve"> </v>
      </c>
      <c r="L17" s="49">
        <f ca="1">CW17</f>
        <v>0</v>
      </c>
      <c r="M17" s="49">
        <f ca="1">CY17</f>
        <v>0</v>
      </c>
      <c r="N17" s="50">
        <f t="shared" ca="1" si="20"/>
        <v>0</v>
      </c>
      <c r="O17" s="126">
        <f t="shared" ca="1" si="20"/>
        <v>0</v>
      </c>
      <c r="P17" s="140"/>
      <c r="Q17" s="752" t="str">
        <f ca="1">IF(AND(OR(Z17="t",Z17="f"),K17=$BH$11),"No Floor!  Change Floor Type",IF(OR(I17=" ",I17="")," ",IF(F17&lt;OFFSET($BM$9,CL17-1,0,1,1),"check L(m)",DE17&amp;IF(AND(DP17&gt;=CY17,DR17&gt;=DB17),IF(AND(ED17&gt;=DP17,EF17&gt;=DR17),CONCATENATE(DS17," will provide same result"),CONCATENATE(CO17," will provide same result")),IF((DP17&gt;=CY17),CONCATENATE(CO17," provides same result in WIND"),IF((DR17&gt;=DB17),CONCATENATE(CO17," provides same result in EQ"),""))))))&amp;IF(ISERROR(FIND("pile",I17,1)),"",IF(INT(F17)&lt;&gt;F17,"Pile!  Use Whole Numbers Only",""))</f>
        <v xml:space="preserve"> </v>
      </c>
      <c r="R17" s="52"/>
      <c r="S17" s="1372"/>
      <c r="T17" s="52"/>
      <c r="U17" s="1377"/>
      <c r="V17" s="52" t="str">
        <f ca="1">IF(AND(B$5=$BF$9,OR(I17=BH$16,I17=BH$17))," ",IF(ISNUMBER(B$14),(CONCATENATE(B$14,".",W17)),(CONCATENATE(B$14,W17))))</f>
        <v>N0</v>
      </c>
      <c r="W17" s="9">
        <f ca="1">W16+X17</f>
        <v>0</v>
      </c>
      <c r="X17" s="9">
        <f>IF(AND(B$5=$BF$9,OR($I17=$BH$16,$I17=$BH$17,$I17=" ",$I17="",$F17=0)),0,IF(OR($I17=" ",$I17="",$F17=0),0,1))</f>
        <v>0</v>
      </c>
      <c r="Y17" s="896"/>
      <c r="Z17" s="52" t="str">
        <f ca="1">IF(I17=" "," ",OFFSET($BM$9,$CL17-1,8,1,1))</f>
        <v xml:space="preserve"> </v>
      </c>
      <c r="AA17" s="51" t="str">
        <f>IF(G17&gt;=45,"WA","")</f>
        <v/>
      </c>
      <c r="AB17" s="1364" t="str">
        <f>IF(OR(E17=" ",E17="")," ",(IF(F17&lt;&gt;"",IF(OR(D17=$BG$12,D17=$BG$13),IF(E17&lt;&gt;$BG$17,$BF$20,$BF$21),IF(E17&lt;&gt;$BG$17,$BF$20,$BF$21))," ")))</f>
        <v xml:space="preserve"> </v>
      </c>
      <c r="AC17" s="1"/>
      <c r="AJ17" s="2867"/>
      <c r="AK17" s="1625" t="s">
        <v>914</v>
      </c>
      <c r="AL17" s="1626"/>
      <c r="AM17" s="1626"/>
      <c r="AN17" s="1626"/>
      <c r="AO17" s="1626"/>
      <c r="AP17" s="1626"/>
      <c r="AQ17" s="1626"/>
      <c r="AR17" s="1626"/>
      <c r="AS17" s="1641"/>
      <c r="AT17" s="1627"/>
      <c r="AU17" s="119"/>
      <c r="AV17" s="47"/>
      <c r="AW17" s="47"/>
      <c r="AX17" s="47"/>
      <c r="AY17" s="47"/>
      <c r="AZ17" s="47"/>
      <c r="BA17" s="47"/>
      <c r="BB17" s="47"/>
      <c r="BC17" s="47"/>
      <c r="BD17" s="2667"/>
      <c r="BF17" s="598" t="str">
        <f>'Custom Elements'!P14</f>
        <v>Cantilever pile</v>
      </c>
      <c r="BG17" s="1026" t="s">
        <v>1045</v>
      </c>
      <c r="BH17" s="1394" t="str">
        <f>Table!AI77</f>
        <v>ER2</v>
      </c>
      <c r="BI17" s="759"/>
      <c r="BJ17" s="897">
        <f t="shared" si="6"/>
        <v>9</v>
      </c>
      <c r="BK17" s="769" t="str">
        <f t="shared" si="7"/>
        <v xml:space="preserve">  </v>
      </c>
      <c r="BL17" s="771" t="str">
        <f t="shared" si="8"/>
        <v>Custom6</v>
      </c>
      <c r="BM17" s="455">
        <f t="shared" si="9"/>
        <v>9.9999999999999996E-76</v>
      </c>
      <c r="BN17" s="455">
        <v>999</v>
      </c>
      <c r="BO17" s="455">
        <f t="shared" si="10"/>
        <v>0</v>
      </c>
      <c r="BP17" s="925">
        <f t="shared" si="11"/>
        <v>0</v>
      </c>
      <c r="BR17" s="764"/>
      <c r="BS17" s="455"/>
      <c r="BT17" s="455" t="str">
        <f t="shared" si="12"/>
        <v>B</v>
      </c>
      <c r="BU17" s="925" t="str">
        <f t="shared" si="13"/>
        <v>T</v>
      </c>
      <c r="BV17" s="483" t="str">
        <f t="shared" si="14"/>
        <v>Custom6</v>
      </c>
      <c r="BW17" s="910">
        <f t="shared" si="21"/>
        <v>9</v>
      </c>
      <c r="BX17" s="924" t="str">
        <f t="shared" si="15"/>
        <v>Single</v>
      </c>
      <c r="CH17" s="764">
        <f t="shared" si="16"/>
        <v>0</v>
      </c>
      <c r="CI17" s="925">
        <f t="shared" si="17"/>
        <v>0</v>
      </c>
      <c r="CJ17" s="759"/>
      <c r="CK17" s="188"/>
      <c r="CL17" s="979">
        <f>VLOOKUP(I17,Prodlink,2,0)</f>
        <v>0</v>
      </c>
      <c r="CN17" s="497">
        <f t="shared" ca="1" si="2"/>
        <v>0</v>
      </c>
      <c r="CO17" s="497">
        <f ca="1">OFFSET($CH$9,CL17-1,-15,1,1)</f>
        <v>0</v>
      </c>
      <c r="CQ17" s="51">
        <v>0</v>
      </c>
      <c r="CR17" s="51">
        <f t="shared" ca="1" si="22"/>
        <v>10000</v>
      </c>
      <c r="CS17" s="51">
        <f ca="1">IF(F17&lt;OFFSET($BM$9,CL17-1,0,1,1),0,IF(F17&lt;OFFSET($BN$9,CL17-1,0,1,1),((F17-OFFSET($BM$9,CL17-1,0,1,1))*OFFSET($CH$9,CL17-1,0,1,1))+OFFSET($BO$9,CL17-1,CQ17,1,1),IF(F17&lt;OFFSET($BN$9,CL17+0,0,1,1),((F17-OFFSET($BM$9,CL17+0,0,1,1))*OFFSET($CH$9,CL17+0,0,1,1))+OFFSET($BO$9,CL17+0,CQ17,1,1),IF(F17&lt;OFFSET($BN$9,CL17+1,0,1,1),((F17-OFFSET($BM$9,CL17+1,0,1,1))*OFFSET($CH$9,CL17+1,0,1,1))+OFFSET($BO$9,CL17+1,CQ17,1,1),IF(F17&lt;OFFSET($BN$9,CL17+2,0,1,1),((F17-OFFSET($BM$9,CL17+2,0,1,1))*OFFSET($CH$9,CL17+2,0,1,1))+OFFSET($BO$9,CL17+2,CQ17,1,1),IF(F17&lt;OFFSET($BN$9,CL17+3,0,1,1),((F17-OFFSET($BM$9,CL17+3,0,1,1))*OFFSET($CH$9,CL17+3,0,1,1))+OFFSET($BO$9,CL17+3,CQ17,1,1),0))))))</f>
        <v>0</v>
      </c>
      <c r="CT17" s="51">
        <f ca="1">IF($F17&lt;OFFSET($BM$9,$CL17-1,0,1,1),0,IF($F17&lt;OFFSET($BN$9,$CL17-1,0,1,1),IF(AND($H17&gt;2.4,Z17&lt;&gt;"e",Z17&lt;&gt;"f"),CX17*2.4/$H17,CX17),IF($F17&lt;OFFSET($BN$9,$CL17+0,0,1,1),IF(AND($H17&gt;2.4,Z17&lt;&gt;"e",Z17&lt;&gt;"f"),CX17*2.4/$H17,CX17),IF($F17&lt;OFFSET($BN$9,$CL17+1,0,1,1),IF(AND($H17&gt;2.4,Z17&lt;&gt;"e",Z17&lt;&gt;"f"),CX17*2.4/$H17,CX17),IF($F17&lt;OFFSET($BN$9,CL17+2,0,1,1),IF(AND($H17&gt;2.4,Z17&lt;&gt;"e",Z17&lt;&gt;"f"),CX17*2.4/$H17,CX17),IF($F17&lt;OFFSET($BN$9,CL17+3,0,1,1),IF(AND($H17&gt;2.4,Z17&lt;&gt;"e",Z17&lt;&gt;"f"),CX17*2.4/$H17,CX17),0)))))*COS(RADIANS($G17)))</f>
        <v>0</v>
      </c>
      <c r="CU17" s="51">
        <f ca="1">IF(F17&lt;OFFSET($BM$9,CL17-1,0,1,1),0,IF(F17&lt;OFFSET($BN$9,CL17-1,0,1,1),((F17-OFFSET($BM$9,CL17-1,0,1,1))*OFFSET($CI$9,CL17-1,0,1,1))+OFFSET($BP$9,CL17-1,CQ17,1,1),IF(F17&lt;OFFSET($BN$9,CL17+0,0,1,1),((F17-OFFSET($BM$9,CL17+0,0,1,1))*OFFSET($CI$9,CL17+0,0,1,1))+OFFSET($BP$9,CL17+0,CQ17,1,1),IF(F17&lt;OFFSET($BN$9,CL17+1,0,1,1),((F17-OFFSET($BM$9,CL17+1,0,1,1))*OFFSET($CI$9,CL17+1,0,1,1))+OFFSET($BP$9,CL17+1,CQ17,1,1),IF(F17&lt;OFFSET($BN$9,CL17+2,0,1,1),((F17-OFFSET($BM$9,CL17+2,0,1,1))*OFFSET($CI$9,CL17+2,0,1,1))+OFFSET($BP$9,CL17+2,CQ17,1,1),IF(F17&lt;OFFSET($BN$9,CL17+3,0,1,1),((F17-OFFSET($BM$9,CL17+3,0,1,1))*OFFSET($CI$9,CL17+3,0,1,1))+OFFSET($BP$9,CL17+3,CQ17,1,1),0))))))</f>
        <v>0</v>
      </c>
      <c r="CV17" s="51">
        <f ca="1">IF($F17&lt;OFFSET($BM$9,$CL17-1,0,1,1),0,IF($F17&lt;OFFSET($BN$9,$CL17-1,0,1,1),IF(AND($H17&gt;2.4,Z17&lt;&gt;"e",Z17&lt;&gt;"f"),CZ17*2.4/$H17,CZ17),IF($F17&lt;OFFSET($BN$9,$CL17+0,0,1,1),IF(AND($H17&gt;2.4,Z17&lt;&gt;"e",Z17&lt;&gt;"f"),CZ17*2.4/$H17,CZ17),IF($F17&lt;OFFSET($BN$9,$CL17+1,0,1,1),IF(AND($H17&gt;2.4,Z17&lt;&gt;"e",Z17&lt;&gt;"f"),CZ17*2.4/$H17,CZ17),IF($F17&lt;OFFSET($BN$9,$CL17+2,0,1,1),IF(AND($H17&gt;2.4,Z17&lt;&gt;"e",Z17&lt;&gt;"f"),CZ17*2.4/$H17,CZ17),IF($F17&lt;OFFSET($BN$9,$CL17+3,0,1,1),IF(AND($H17&gt;2.4,Z17&lt;&gt;"e",Z17&lt;&gt;"f"),CZ17*2.4/$H17,CZ17),0)))))*COS(RADIANS($G17)))</f>
        <v>0</v>
      </c>
      <c r="CW17" s="51">
        <f t="shared" ca="1" si="18"/>
        <v>0</v>
      </c>
      <c r="CX17" s="51">
        <f ca="1">IF(CS17&gt;$CR17,$CR17,CS17)</f>
        <v>0</v>
      </c>
      <c r="CY17" s="51">
        <f ca="1">CW17*F17</f>
        <v>0</v>
      </c>
      <c r="CZ17" s="51">
        <f ca="1">IF($CU17&gt;$CR17,$CR17,$CU17)</f>
        <v>0</v>
      </c>
      <c r="DA17" s="51">
        <f ca="1">IF(CV17&gt;CR17,CR17,CV17)</f>
        <v>0</v>
      </c>
      <c r="DB17" s="51">
        <f ca="1">DA17*F17</f>
        <v>0</v>
      </c>
      <c r="DC17" s="993">
        <v>1</v>
      </c>
      <c r="DD17" s="758" t="str">
        <f>IF(OR(D17=BG$12,D17=BG$13),"External",IF(D17=BG$14,"Internal"," "))</f>
        <v xml:space="preserve"> </v>
      </c>
      <c r="DE17" s="51" t="str">
        <f t="shared" ca="1" si="4"/>
        <v/>
      </c>
      <c r="DF17" s="52" t="str">
        <f t="shared" ca="1" si="5"/>
        <v xml:space="preserve"> </v>
      </c>
      <c r="DG17" s="51">
        <f ca="1">IF(F17&lt;OFFSET($BM$9,CN17-1,0,1,1),0,IF(F17&lt;OFFSET($BN$9,CN17-1,0,1,1),((F17-OFFSET($BM$9,CN17-1,0,1,1))*OFFSET($CH$9,CN17-1,0,1,1))+OFFSET($BO$9,CN17-1,CQ17,1,1),IF(F17&lt;OFFSET($BN$9,CN17+0,0,1,1),((F17-OFFSET($BM$9,CN17+0,0,1,1))*OFFSET($CH$9,CN17+0,0,1,1))+OFFSET($BO$9,CN17+0,CQ17,1,1),IF(F17&lt;OFFSET($BN$9,CN17+1,0,1,1),((F17-OFFSET($BM$9,CN17+1,0,1,1))*OFFSET($CH$9,CN17+1,0,1,1))+OFFSET($BO$9,CN17+1,CQ17,1,1),IF(F17&lt;OFFSET($BN$9,CN17+2,0,1,1),((F17-OFFSET($BM$9,CN17+2,0,1,1))*OFFSET($CH$9,CN17+2,0,1,1))+OFFSET($BO$9,CN17+2,CQ17,1,1),IF(F17&lt;OFFSET($BN$9,CN17+3,0,1,1),((F17-OFFSET($BM$9,CN17+3,0,1,1))*OFFSET($CH$9,CN17+3,0,1,1))+OFFSET($BO$9,CN17+3,CQ17,1,1),0))))))</f>
        <v>0</v>
      </c>
      <c r="DH17" s="51">
        <f ca="1">IF($F17&lt;OFFSET($BM$9,$CN17-1,0,1,1),0,IF($F17&lt;OFFSET($BN$9,$CN17-1,0,1,1),IF(AND($H17&gt;2.4,Z17&lt;&gt;"e",Z17&lt;&gt;"f"),DL17*2.4/$H17,DL17),IF($F17&lt;OFFSET($BN$9,$CN17+0,0,1,1),IF(AND($H17&gt;2.4,Z17&lt;&gt;"e",Z17&lt;&gt;"f"),DL17*2.4/$H17,DL17),IF($F17&lt;OFFSET($BN$9,$CN17+1,0,1,1),IF(AND($H17&gt;2.4,Z17&lt;&gt;"e",Z17&lt;&gt;"f"),DL17*2.4/$H17,DL17),IF($F17&lt;OFFSET($BN$9,$CN17+2,0,1,1),IF(AND($H17&gt;2.4,Z17&lt;&gt;"e",Z17&lt;&gt;"f"),DL17*2.4/$H17,DL17),IF($F17&lt;OFFSET($BN$9,$CN17+3,0,1,1),IF(AND($H17&gt;2.4,Z17&lt;&gt;"e",Z17&lt;&gt;"f"),DL17*2.4/$H17,DL17),0)))))*COS(RADIANS($G17)))</f>
        <v>0</v>
      </c>
      <c r="DI17" s="51">
        <f ca="1">IF(F17&lt;OFFSET($BM$9,CN17-1,0,1,1),0,IF(F17&lt;OFFSET($BN$9,CN17-1,0,1,1),((F17-OFFSET($BM$9,CN17-1,0,1,1))*OFFSET($CI$9,CN17-1,0,1,1))+OFFSET($BP$9,CN17-1,CQ17,1,1),IF(F17&lt;OFFSET($BN$9,CN17+0,0,1,1),((F17-OFFSET($BM$9,CN17+0,0,1,1))*OFFSET($CI$9,CN17+0,0,1,1))+OFFSET($BP$9,CN17+0,CQ17,1,1),IF(F17&lt;OFFSET($BN$9,CN17+1,0,1,1),((F17-OFFSET($BM$9,CN17+1,0,1,1))*OFFSET($CI$9,CN17+1,0,1,1))+OFFSET($BP$9,CN17+1,CQ17,1,1),IF(F17&lt;OFFSET($BN$9,CN17+2,0,1,1),((F17-OFFSET($BM$9,CN17+2,0,1,1))*OFFSET($CI$9,CN17+2,0,1,1))+OFFSET($BP$9,CN17+2,CQ17,1,1),IF(F17&lt;OFFSET($BN$9,CN17+3,0,1,1),((F17-OFFSET($BM$9,CN17+3,0,1,1))*OFFSET($CI$9,CN17+3,0,1,1))+OFFSET($BP$9,CN17+3,CQ17,1,1),0))))))</f>
        <v>0</v>
      </c>
      <c r="DJ17" s="51">
        <f ca="1">IF($F17&lt;OFFSET($BM$9,$CN17-1,0,1,1),0,IF($F17&lt;OFFSET($BN$9,$CN17-1,0,1,1),IF(AND($H17&gt;2.4,Z17&lt;&gt;"e",Z17&lt;&gt;"f"),DN17*2.4/$H17,DN17),IF($F17&lt;OFFSET($BN$9,$CN17+0,0,1,1),IF(AND($H17&gt;2.4,Z17&lt;&gt;"e",Z17&lt;&gt;"f"),DN17*2.4/$H17,DN17),IF($F17&lt;OFFSET($BN$9,$CN17+1,0,1,1),IF(AND($H17&gt;2.4,Z17&lt;&gt;"e",Z17&lt;&gt;"f"),DN17*2.4/$H17,DN17),IF($F17&lt;OFFSET($BN$9,$CN17+2,0,1,1),IF(AND($H17&gt;2.4,Z17&lt;&gt;"e",Z17&lt;&gt;"f"),DN17*2.4/$H17,DN17),IF($F17&lt;OFFSET($BN$9,$CN17+3,0,1,1),IF(AND($H17&gt;2.4,Z17&lt;&gt;"e",Z17&lt;&gt;"f"),DN17*2.4/$H17,DN17),0)))))*COS(RADIANS($G17)))</f>
        <v>0</v>
      </c>
      <c r="DK17" s="51"/>
      <c r="DL17" s="51">
        <f ca="1">IF(DG17&gt;$CR17,$CR17,DG17)</f>
        <v>0</v>
      </c>
      <c r="DM17" s="51"/>
      <c r="DN17" s="51">
        <f ca="1">IF(DI17&gt;$CR17,$CR17,DI17)</f>
        <v>0</v>
      </c>
      <c r="DO17" s="435">
        <f ca="1">IF(DH17&gt;$CR17,$CR17,DH17)</f>
        <v>0</v>
      </c>
      <c r="DP17" s="435">
        <f ca="1">DO17*F17</f>
        <v>0</v>
      </c>
      <c r="DQ17" s="436">
        <f ca="1">IF(DJ17&gt;$CR17,$CR17,DJ17)</f>
        <v>0</v>
      </c>
      <c r="DR17" s="437">
        <f ca="1">DQ17*F17</f>
        <v>0</v>
      </c>
      <c r="DS17" s="426">
        <f ca="1">OFFSET($CH$9,CL17-1,-15,1,1)</f>
        <v>0</v>
      </c>
      <c r="DT17" s="426">
        <f t="shared" ca="1" si="1"/>
        <v>0</v>
      </c>
      <c r="DU17" s="188">
        <f ca="1">IF(F17&lt;OFFSET($BM$9,DT17-1,0,1,1),0,IF(F17&lt;OFFSET($BN$9,DT17-1,0,1,1),((F17-OFFSET($BM$9,DT17-1,0,1,1))*OFFSET($CH$9,DT17-1,0,1,1))+OFFSET($BO$9,DT17-1,CQ17,1,1),IF(F17&lt;OFFSET($BN$9,DT17+0,0,1,1),((F17-OFFSET($BM$9,DT17+0,0,1,1))*OFFSET($CH$9,DT17+0,0,1,1))+OFFSET($BO$9,DT17+0,CQ17,1,1),IF(F17&lt;OFFSET($BN$9,DT17+1,0,1,1),((F17-OFFSET($BM$9,DT17+1,0,1,1))*OFFSET($CH$9,DT17+1,0,1,1))+OFFSET($BO$9,DT17+1,CQ17,1,1),IF(F17&lt;OFFSET($BN$9,DT17+2,0,1,1),((F17-OFFSET($BM$9,DT17+2,0,1,1))*OFFSET($CH$9,DT17+2,0,1,1))+OFFSET($BO$9,DT17+2,CQ17,1,1),IF(F17&lt;OFFSET($BN$9,DT17+3,0,1,1),((F17-OFFSET($BM$9,DT17+3,0,1,1))*OFFSET($CH$9,DT17+3,0,1,1))+OFFSET($BO$9,DT17+3,CQ17,1,1),0))))))</f>
        <v>0</v>
      </c>
      <c r="DV17" s="51">
        <f ca="1">IF($F17&lt;OFFSET($BM$9,$DT17-1,0,1,1),0,IF($F17&lt;OFFSET($BN$9,$DT17-1,0,1,1),IF(AND($H17&gt;2.4,Z17&lt;&gt;"e",Z17&lt;&gt;"f"),DZ17*2.4/$H17,DZ17),IF($F17&lt;OFFSET($BN$9,$DT17+0,0,1,1),IF(AND($H17&gt;2.4,Z17&lt;&gt;"e",Z17&lt;&gt;"f"),DZ17*2.4/$H17,DZ17),IF($F17&lt;OFFSET($BN$9,$DT17+1,0,1,1),IF(AND($H17&gt;2.4,Z17&lt;&gt;"e",Z17&lt;&gt;"f"),DZ17*2.4/$H17,DZ17),IF($F17&lt;OFFSET($BN$9,$DT17+2,0,1,1),IF(AND($H17&gt;2.4,Z17&lt;&gt;"e",Z17&lt;&gt;"f"),DZ17*2.4/$H17,DZ17),IF($F17&lt;OFFSET($BN$9,$DT17+3,0,1,1),IF(AND($H17&gt;2.4,Z17&lt;&gt;"e",Z17&lt;&gt;"f"),DZ17*2.4/$H17,DZ17),0)))))*COS(RADIANS($G17)))</f>
        <v>0</v>
      </c>
      <c r="DW17" s="188">
        <f ca="1">IF(F17&lt;OFFSET($BM$9,DT17-1,0,1,1),0,IF(F17&lt;OFFSET($BN$9,DT17-1,0,1,1),((F17-OFFSET($BM$9,DT17-1,0,1,1))*OFFSET($CI$9,DT17-1,0,1,1))+OFFSET($BP$9,DT17-1,CQ17,1,1),IF(F17&lt;OFFSET($BN$9,DT17+0,0,1,1),((F17-OFFSET($BM$9,DT17+0,0,1,1))*OFFSET($CI$9,DT17+0,0,1,1))+OFFSET($BP$9,DT17+0,CQ17,1,1),IF(F17&lt;OFFSET($BN$9,DT17+1,0,1,1),((F17-OFFSET($BM$9,DT17+1,0,1,1))*OFFSET($CI$9,DT17+1,0,1,1))+OFFSET($BP$9,DT17+1,CQ17,1,1),IF(F17&lt;OFFSET($BN$9,DT17+2,0,1,1),((F17-OFFSET($BM$9,DT17+2,0,1,1))*OFFSET($CI$9,DT17+2,0,1,1))+OFFSET($BP$9,DT17+2,CQ17,1,1),IF(F17&lt;OFFSET($BN$9,DT17+3,0,1,1),((F17-OFFSET($BM$9,DT17+3,0,1,1))*OFFSET($CI$9,DT17+3,0,1,1))+OFFSET($BP$9,DT17+3,CQ17,1,1),0))))))</f>
        <v>0</v>
      </c>
      <c r="DX17" s="51">
        <f ca="1">IF($F17&lt;OFFSET($BM$9,$DT17-1,0,1,1),0,IF($F17&lt;OFFSET($BN$9,$DT17-1,0,1,1),IF(AND($H17&gt;2.4,Z17&lt;&gt;"e",Z17&lt;&gt;"f"),EB17*2.4/$H17,EB17),IF($F17&lt;OFFSET($BN$9,$DT17+0,0,1,1),IF(AND($H17&gt;2.4,Z17&lt;&gt;"e",Z17&lt;&gt;"f"),EB17*2.4/$H17,EB17),IF($F17&lt;OFFSET($BN$9,$DT17+1,0,1,1),IF(AND($H17&gt;2.4,Z17&lt;&gt;"e",Z17&lt;&gt;"f"),EB17*2.4/$H17,EB17),IF($F17&lt;OFFSET($BN$9,$DT17+2,0,1,1),IF(AND($H17&gt;2.4,Z17&lt;&gt;"e",Z17&lt;&gt;"f"),EB17*2.4/$H17,EB17),IF($F17&lt;OFFSET($BN$9,$DT17+3,0,1,1),IF(AND($H17&gt;2.4,Z17&lt;&gt;"e",Z17&lt;&gt;"f"),EB17*2.4/$H17,EB17),0)))))*COS(RADIANS($G17)))</f>
        <v>0</v>
      </c>
      <c r="DY17" s="188"/>
      <c r="DZ17" s="188">
        <f ca="1">IF(DU17&gt;$CR17,$CR17,DU17)</f>
        <v>0</v>
      </c>
      <c r="EA17" s="188"/>
      <c r="EB17" s="188">
        <f ca="1">IF(DW17&gt;$CR17,$CR17,DW17)</f>
        <v>0</v>
      </c>
      <c r="EC17" s="435">
        <f ca="1">IF(DV17&gt;$CR17,$CR17,DV17)</f>
        <v>0</v>
      </c>
      <c r="ED17" s="435">
        <f ca="1">EC17*F17</f>
        <v>0</v>
      </c>
      <c r="EE17" s="436">
        <f ca="1">IF(DX17&gt;$CR17,$CR17,DX17)</f>
        <v>0</v>
      </c>
      <c r="EF17" s="437">
        <f ca="1">EE17*F17</f>
        <v>0</v>
      </c>
      <c r="EG17" s="613" t="str">
        <f>IF(D17=BG$12,BG$12,"")</f>
        <v/>
      </c>
      <c r="EH17" s="614" t="str">
        <f>IF(D17=BG$13,BG$13,"")</f>
        <v/>
      </c>
      <c r="EI17" s="611">
        <f>IF(EG17=BG$12,M17,0)</f>
        <v>0</v>
      </c>
      <c r="EJ17" s="451">
        <f>IF(EG17=BG$12,O17,0)</f>
        <v>0</v>
      </c>
      <c r="EK17" s="451">
        <f>IF(EH17=BG$13,M17,0)</f>
        <v>0</v>
      </c>
      <c r="EL17" s="612">
        <f>IF(EH17=BG$13,O17,0)</f>
        <v>0</v>
      </c>
      <c r="EM17" s="426" t="str">
        <f ca="1">IF(AND(Z17&lt;&gt;"t",Z17&lt;&gt;"f"),"",IF(AND(EN17=$BH$11,K17&lt;&gt;EN17),EM$4,IF(AND(EN17=$BH$12,K17=$BH$13),EM$4,IF(AND(EN17=$BH$12,K17=$BH$14),EM$4,IF(AND(EN17=$BH$13,K17=$BH$14),$EM$4,IF(EN17=$BH$14,$EM$4,""))))))</f>
        <v/>
      </c>
      <c r="EN17" s="489" t="str">
        <f>BG$24</f>
        <v>Earth</v>
      </c>
      <c r="EO17" s="426" t="str">
        <f>K17</f>
        <v xml:space="preserve"> </v>
      </c>
      <c r="EP17" s="497" t="str">
        <f ca="1">IF(AND(Z17&lt;&gt;"t",Z17&lt;&gt;"f"),"",IF(AND(EN17=$BH$14,K17&lt;&gt;EN17),EP$4,IF(AND(EN17=$BH$13,K17=$BH$12),EP$4,IF(AND(EN17=$BH$13,K17=$BH$11),EP$4,IF(AND(EN17=$BH$12,K17=$BH$11),$EP$4,IF(EN17=$BH$11,"Earth",""))))))</f>
        <v/>
      </c>
      <c r="EQ17" s="430" t="str">
        <f ca="1">IF(Z17&lt;&gt;"t","",IF(EQ$5=2,IF(K17&lt;&gt;BH$11,EQ$7," ")))</f>
        <v/>
      </c>
      <c r="ER17" s="439" t="str">
        <f ca="1">IF(H17=0," ",H17)</f>
        <v xml:space="preserve"> </v>
      </c>
      <c r="ES17" s="440" t="str">
        <f ca="1">IF(ER17&lt;&gt;" ",IF(ER17&lt;&gt;ER$7,"Changed",""),"")</f>
        <v/>
      </c>
      <c r="ET17" s="440">
        <f t="shared" ca="1" si="19"/>
        <v>0</v>
      </c>
      <c r="EU17" s="426" t="str">
        <f ca="1">IF(I17=" "," ",IF(F17&lt;OFFSET($BM$9,CL17-1,0,1,1),1,""))</f>
        <v xml:space="preserve"> </v>
      </c>
      <c r="EW17" s="427"/>
    </row>
    <row r="18" spans="2:153" ht="17.100000000000001" customHeight="1" thickBot="1">
      <c r="B18" s="689" t="s">
        <v>246</v>
      </c>
      <c r="C18" s="684" t="str">
        <f>IF(OR(F18=0,I18="",I18=" ")," ",$V18)</f>
        <v xml:space="preserve"> </v>
      </c>
      <c r="D18" s="1033"/>
      <c r="E18" s="1034"/>
      <c r="F18" s="1691"/>
      <c r="G18" s="1416"/>
      <c r="H18" s="1417" t="str">
        <f ca="1">IF(OR(F18=0,Z18="E",Z18="f")," ",'Project Demand'!E$55)</f>
        <v xml:space="preserve"> </v>
      </c>
      <c r="I18" s="631" t="str">
        <f>IF($I$6&lt;&gt;$BG$8," ",AB18)</f>
        <v xml:space="preserve"> </v>
      </c>
      <c r="J18" s="44" t="str">
        <f ca="1">IF(OR(I18=" ",I18="")," ",OFFSET($BO$9,CL18-1,0-4,1,1))</f>
        <v xml:space="preserve"> </v>
      </c>
      <c r="K18" s="55" t="str">
        <f>IF(OR(I18=" ",I18="")," ",IF(OR(Z18="e",Z18="h"),"SD",IF(BG$24=BH$11,BH$13,BG$24)))</f>
        <v xml:space="preserve"> </v>
      </c>
      <c r="L18" s="49">
        <f ca="1">CW18</f>
        <v>0</v>
      </c>
      <c r="M18" s="49">
        <f ca="1">CY18</f>
        <v>0</v>
      </c>
      <c r="N18" s="50">
        <f t="shared" ca="1" si="20"/>
        <v>0</v>
      </c>
      <c r="O18" s="126">
        <f t="shared" ca="1" si="20"/>
        <v>0</v>
      </c>
      <c r="P18" s="140"/>
      <c r="Q18" s="752" t="str">
        <f ca="1">IF(AND(OR(Z18="t",Z18="f"),K18=$BH$11),"No Floor!  Change Floor Type",IF(OR(I18=" ",I18="")," ",IF(F18&lt;OFFSET($BM$9,CL18-1,0,1,1),"check L(m)",DE18&amp;IF(AND(DP18&gt;=CY18,DR18&gt;=DB18),IF(AND(ED18&gt;=DP18,EF18&gt;=DR18),CONCATENATE(DS18," will provide same result"),CONCATENATE(CO18," will provide same result")),IF((DP18&gt;=CY18),CONCATENATE(CO18," provides same result in WIND"),IF((DR18&gt;=DB18),CONCATENATE(CO18," provides same result in EQ"),""))))))&amp;IF(ISERROR(FIND("pile",I18,1)),"",IF(INT(F18)&lt;&gt;F18,"Pile!  Use Whole Numbers Only",""))</f>
        <v xml:space="preserve"> </v>
      </c>
      <c r="T18" s="52"/>
      <c r="U18" s="1377"/>
      <c r="V18" s="52" t="str">
        <f ca="1">IF(AND(B$5=$BF$9,OR(I18=BH$16,I18=BH$17))," ",IF(ISNUMBER(B$14),(CONCATENATE(B$14,".",W18)),(CONCATENATE(B$14,W18))))</f>
        <v>N0</v>
      </c>
      <c r="W18" s="9">
        <f ca="1">W17+X18</f>
        <v>0</v>
      </c>
      <c r="X18" s="9">
        <f>IF(AND(B$5=$BF$9,OR($I18=$BH$16,$I18=$BH$17,$I18=" ",$I18="",$F18=0)),0,IF(OR($I18=" ",$I18="",$F18=0),0,1))</f>
        <v>0</v>
      </c>
      <c r="Y18" s="896"/>
      <c r="Z18" s="52" t="str">
        <f ca="1">IF(I18=" "," ",OFFSET($BM$9,$CL18-1,8,1,1))</f>
        <v xml:space="preserve"> </v>
      </c>
      <c r="AA18" s="51" t="str">
        <f>IF(G18&gt;=45,"WA","")</f>
        <v/>
      </c>
      <c r="AB18" s="1364" t="str">
        <f>IF(OR(E18=" ",E18="")," ",(IF(F18&lt;&gt;"",IF(OR(D18=$BG$12,D18=$BG$13),IF(E18&lt;&gt;$BG$17,$BF$20,$BF$21),IF(E18&lt;&gt;$BG$17,$BF$20,$BF$21))," ")))</f>
        <v xml:space="preserve"> </v>
      </c>
      <c r="AC18" s="1"/>
      <c r="AJ18" s="2867"/>
      <c r="AK18" s="2094" t="s">
        <v>909</v>
      </c>
      <c r="AL18" s="1384" t="str">
        <f>'Custom Elements'!P13</f>
        <v>Braced pile</v>
      </c>
      <c r="AM18" s="26">
        <f>'Custom Elements'!Q13</f>
        <v>1</v>
      </c>
      <c r="AN18" s="877">
        <f>'Custom Elements'!R13</f>
        <v>160</v>
      </c>
      <c r="AO18" s="877">
        <f>'Custom Elements'!S13</f>
        <v>120</v>
      </c>
      <c r="AP18" s="1245"/>
      <c r="AQ18" s="1643" t="str">
        <f>'Custom Elements'!V13</f>
        <v>No</v>
      </c>
      <c r="AR18" s="875" t="str">
        <f>'Custom Elements'!W13</f>
        <v>No</v>
      </c>
      <c r="AS18" s="1640"/>
      <c r="AT18" s="879" t="s">
        <v>915</v>
      </c>
      <c r="AU18" s="119"/>
      <c r="AV18" s="47"/>
      <c r="AW18" s="47"/>
      <c r="AX18" s="47"/>
      <c r="AY18" s="47"/>
      <c r="AZ18" s="47"/>
      <c r="BA18" s="47"/>
      <c r="BB18" s="47"/>
      <c r="BC18" s="47"/>
      <c r="BD18" s="638"/>
      <c r="BF18" s="598" t="str">
        <f>'Custom Elements'!P15</f>
        <v>Anchor pile</v>
      </c>
      <c r="BG18" s="949"/>
      <c r="BI18" s="759"/>
      <c r="BJ18" s="897">
        <f t="shared" si="6"/>
        <v>10</v>
      </c>
      <c r="BK18" s="769" t="str">
        <f t="shared" si="7"/>
        <v xml:space="preserve">  </v>
      </c>
      <c r="BL18" s="771" t="str">
        <f t="shared" si="8"/>
        <v>Custom7</v>
      </c>
      <c r="BM18" s="455">
        <f t="shared" si="9"/>
        <v>9.9999999999999996E-76</v>
      </c>
      <c r="BN18" s="455">
        <v>999</v>
      </c>
      <c r="BO18" s="455">
        <f t="shared" si="10"/>
        <v>0</v>
      </c>
      <c r="BP18" s="925">
        <f t="shared" si="11"/>
        <v>0</v>
      </c>
      <c r="BR18" s="764"/>
      <c r="BS18" s="455"/>
      <c r="BT18" s="455" t="str">
        <f t="shared" si="12"/>
        <v>B</v>
      </c>
      <c r="BU18" s="925" t="str">
        <f t="shared" si="13"/>
        <v>T</v>
      </c>
      <c r="BV18" s="483" t="str">
        <f t="shared" si="14"/>
        <v>Custom7</v>
      </c>
      <c r="BW18" s="910">
        <f t="shared" si="21"/>
        <v>10</v>
      </c>
      <c r="BX18" s="924" t="str">
        <f t="shared" si="15"/>
        <v>Single</v>
      </c>
      <c r="CH18" s="764">
        <f t="shared" si="16"/>
        <v>0</v>
      </c>
      <c r="CI18" s="925">
        <f t="shared" si="17"/>
        <v>0</v>
      </c>
      <c r="CJ18" s="759"/>
      <c r="CK18" s="188"/>
      <c r="CL18" s="979">
        <f>VLOOKUP(I18,Prodlink,2,0)</f>
        <v>0</v>
      </c>
      <c r="CN18" s="497">
        <f t="shared" ca="1" si="2"/>
        <v>0</v>
      </c>
      <c r="CO18" s="497">
        <f ca="1">OFFSET($CH$9,CL18-1,-15,1,1)</f>
        <v>0</v>
      </c>
      <c r="CQ18" s="51">
        <v>0</v>
      </c>
      <c r="CR18" s="51">
        <f t="shared" ca="1" si="22"/>
        <v>10000</v>
      </c>
      <c r="CS18" s="51">
        <f ca="1">IF(F18&lt;OFFSET($BM$9,CL18-1,0,1,1),0,IF(F18&lt;OFFSET($BN$9,CL18-1,0,1,1),((F18-OFFSET($BM$9,CL18-1,0,1,1))*OFFSET($CH$9,CL18-1,0,1,1))+OFFSET($BO$9,CL18-1,CQ18,1,1),IF(F18&lt;OFFSET($BN$9,CL18+0,0,1,1),((F18-OFFSET($BM$9,CL18+0,0,1,1))*OFFSET($CH$9,CL18+0,0,1,1))+OFFSET($BO$9,CL18+0,CQ18,1,1),IF(F18&lt;OFFSET($BN$9,CL18+1,0,1,1),((F18-OFFSET($BM$9,CL18+1,0,1,1))*OFFSET($CH$9,CL18+1,0,1,1))+OFFSET($BO$9,CL18+1,CQ18,1,1),IF(F18&lt;OFFSET($BN$9,CL18+2,0,1,1),((F18-OFFSET($BM$9,CL18+2,0,1,1))*OFFSET($CH$9,CL18+2,0,1,1))+OFFSET($BO$9,CL18+2,CQ18,1,1),IF(F18&lt;OFFSET($BN$9,CL18+3,0,1,1),((F18-OFFSET($BM$9,CL18+3,0,1,1))*OFFSET($CH$9,CL18+3,0,1,1))+OFFSET($BO$9,CL18+3,CQ18,1,1),0))))))</f>
        <v>0</v>
      </c>
      <c r="CT18" s="51">
        <f ca="1">IF($F18&lt;OFFSET($BM$9,$CL18-1,0,1,1),0,IF($F18&lt;OFFSET($BN$9,$CL18-1,0,1,1),IF(AND($H18&gt;2.4,Z18&lt;&gt;"e",Z18&lt;&gt;"f"),CX18*2.4/$H18,CX18),IF($F18&lt;OFFSET($BN$9,$CL18+0,0,1,1),IF(AND($H18&gt;2.4,Z18&lt;&gt;"e",Z18&lt;&gt;"f"),CX18*2.4/$H18,CX18),IF($F18&lt;OFFSET($BN$9,$CL18+1,0,1,1),IF(AND($H18&gt;2.4,Z18&lt;&gt;"e",Z18&lt;&gt;"f"),CX18*2.4/$H18,CX18),IF($F18&lt;OFFSET($BN$9,CL18+2,0,1,1),IF(AND($H18&gt;2.4,Z18&lt;&gt;"e",Z18&lt;&gt;"f"),CX18*2.4/$H18,CX18),IF($F18&lt;OFFSET($BN$9,CL18+3,0,1,1),IF(AND($H18&gt;2.4,Z18&lt;&gt;"e",Z18&lt;&gt;"f"),CX18*2.4/$H18,CX18),0)))))*COS(RADIANS($G18)))</f>
        <v>0</v>
      </c>
      <c r="CU18" s="51">
        <f ca="1">IF(F18&lt;OFFSET($BM$9,CL18-1,0,1,1),0,IF(F18&lt;OFFSET($BN$9,CL18-1,0,1,1),((F18-OFFSET($BM$9,CL18-1,0,1,1))*OFFSET($CI$9,CL18-1,0,1,1))+OFFSET($BP$9,CL18-1,CQ18,1,1),IF(F18&lt;OFFSET($BN$9,CL18+0,0,1,1),((F18-OFFSET($BM$9,CL18+0,0,1,1))*OFFSET($CI$9,CL18+0,0,1,1))+OFFSET($BP$9,CL18+0,CQ18,1,1),IF(F18&lt;OFFSET($BN$9,CL18+1,0,1,1),((F18-OFFSET($BM$9,CL18+1,0,1,1))*OFFSET($CI$9,CL18+1,0,1,1))+OFFSET($BP$9,CL18+1,CQ18,1,1),IF(F18&lt;OFFSET($BN$9,CL18+2,0,1,1),((F18-OFFSET($BM$9,CL18+2,0,1,1))*OFFSET($CI$9,CL18+2,0,1,1))+OFFSET($BP$9,CL18+2,CQ18,1,1),IF(F18&lt;OFFSET($BN$9,CL18+3,0,1,1),((F18-OFFSET($BM$9,CL18+3,0,1,1))*OFFSET($CI$9,CL18+3,0,1,1))+OFFSET($BP$9,CL18+3,CQ18,1,1),0))))))</f>
        <v>0</v>
      </c>
      <c r="CV18" s="51">
        <f ca="1">IF($F18&lt;OFFSET($BM$9,$CL18-1,0,1,1),0,IF($F18&lt;OFFSET($BN$9,$CL18-1,0,1,1),IF(AND($H18&gt;2.4,Z18&lt;&gt;"e",Z18&lt;&gt;"f"),CZ18*2.4/$H18,CZ18),IF($F18&lt;OFFSET($BN$9,$CL18+0,0,1,1),IF(AND($H18&gt;2.4,Z18&lt;&gt;"e",Z18&lt;&gt;"f"),CZ18*2.4/$H18,CZ18),IF($F18&lt;OFFSET($BN$9,$CL18+1,0,1,1),IF(AND($H18&gt;2.4,Z18&lt;&gt;"e",Z18&lt;&gt;"f"),CZ18*2.4/$H18,CZ18),IF($F18&lt;OFFSET($BN$9,$CL18+2,0,1,1),IF(AND($H18&gt;2.4,Z18&lt;&gt;"e",Z18&lt;&gt;"f"),CZ18*2.4/$H18,CZ18),IF($F18&lt;OFFSET($BN$9,$CL18+3,0,1,1),IF(AND($H18&gt;2.4,Z18&lt;&gt;"e",Z18&lt;&gt;"f"),CZ18*2.4/$H18,CZ18),0)))))*COS(RADIANS($G18)))</f>
        <v>0</v>
      </c>
      <c r="CW18" s="51">
        <f t="shared" ca="1" si="18"/>
        <v>0</v>
      </c>
      <c r="CX18" s="51">
        <f ca="1">IF(CS18&gt;$CR18,$CR18,CS18)</f>
        <v>0</v>
      </c>
      <c r="CY18" s="51">
        <f ca="1">CW18*F18</f>
        <v>0</v>
      </c>
      <c r="CZ18" s="51">
        <f ca="1">IF($CU18&gt;$CR18,$CR18,$CU18)</f>
        <v>0</v>
      </c>
      <c r="DA18" s="51">
        <f ca="1">IF(CV18&gt;CR18,CR18,CV18)</f>
        <v>0</v>
      </c>
      <c r="DB18" s="51">
        <f ca="1">DA18*F18</f>
        <v>0</v>
      </c>
      <c r="DC18" s="993">
        <v>1</v>
      </c>
      <c r="DD18" s="758" t="str">
        <f>IF(OR(D18=BG$12,D18=BG$13),"External",IF(D18=BG$14,"Internal"," "))</f>
        <v xml:space="preserve"> </v>
      </c>
      <c r="DE18" s="51" t="str">
        <f t="shared" ca="1" si="4"/>
        <v/>
      </c>
      <c r="DF18" s="52" t="str">
        <f t="shared" ca="1" si="5"/>
        <v xml:space="preserve"> </v>
      </c>
      <c r="DG18" s="51">
        <f ca="1">IF(F18&lt;OFFSET($BM$9,CN18-1,0,1,1),0,IF(F18&lt;OFFSET($BN$9,CN18-1,0,1,1),((F18-OFFSET($BM$9,CN18-1,0,1,1))*OFFSET($CH$9,CN18-1,0,1,1))+OFFSET($BO$9,CN18-1,CQ18,1,1),IF(F18&lt;OFFSET($BN$9,CN18+0,0,1,1),((F18-OFFSET($BM$9,CN18+0,0,1,1))*OFFSET($CH$9,CN18+0,0,1,1))+OFFSET($BO$9,CN18+0,CQ18,1,1),IF(F18&lt;OFFSET($BN$9,CN18+1,0,1,1),((F18-OFFSET($BM$9,CN18+1,0,1,1))*OFFSET($CH$9,CN18+1,0,1,1))+OFFSET($BO$9,CN18+1,CQ18,1,1),IF(F18&lt;OFFSET($BN$9,CN18+2,0,1,1),((F18-OFFSET($BM$9,CN18+2,0,1,1))*OFFSET($CH$9,CN18+2,0,1,1))+OFFSET($BO$9,CN18+2,CQ18,1,1),IF(F18&lt;OFFSET($BN$9,CN18+3,0,1,1),((F18-OFFSET($BM$9,CN18+3,0,1,1))*OFFSET($CH$9,CN18+3,0,1,1))+OFFSET($BO$9,CN18+3,CQ18,1,1),0))))))</f>
        <v>0</v>
      </c>
      <c r="DH18" s="51">
        <f ca="1">IF($F18&lt;OFFSET($BM$9,$CN18-1,0,1,1),0,IF($F18&lt;OFFSET($BN$9,$CN18-1,0,1,1),IF(AND($H18&gt;2.4,Z18&lt;&gt;"e",Z18&lt;&gt;"f"),DL18*2.4/$H18,DL18),IF($F18&lt;OFFSET($BN$9,$CN18+0,0,1,1),IF(AND($H18&gt;2.4,Z18&lt;&gt;"e",Z18&lt;&gt;"f"),DL18*2.4/$H18,DL18),IF($F18&lt;OFFSET($BN$9,$CN18+1,0,1,1),IF(AND($H18&gt;2.4,Z18&lt;&gt;"e",Z18&lt;&gt;"f"),DL18*2.4/$H18,DL18),IF($F18&lt;OFFSET($BN$9,$CN18+2,0,1,1),IF(AND($H18&gt;2.4,Z18&lt;&gt;"e",Z18&lt;&gt;"f"),DL18*2.4/$H18,DL18),IF($F18&lt;OFFSET($BN$9,$CN18+3,0,1,1),IF(AND($H18&gt;2.4,Z18&lt;&gt;"e",Z18&lt;&gt;"f"),DL18*2.4/$H18,DL18),0)))))*COS(RADIANS($G18)))</f>
        <v>0</v>
      </c>
      <c r="DI18" s="51">
        <f ca="1">IF(F18&lt;OFFSET($BM$9,CN18-1,0,1,1),0,IF(F18&lt;OFFSET($BN$9,CN18-1,0,1,1),((F18-OFFSET($BM$9,CN18-1,0,1,1))*OFFSET($CI$9,CN18-1,0,1,1))+OFFSET($BP$9,CN18-1,CQ18,1,1),IF(F18&lt;OFFSET($BN$9,CN18+0,0,1,1),((F18-OFFSET($BM$9,CN18+0,0,1,1))*OFFSET($CI$9,CN18+0,0,1,1))+OFFSET($BP$9,CN18+0,CQ18,1,1),IF(F18&lt;OFFSET($BN$9,CN18+1,0,1,1),((F18-OFFSET($BM$9,CN18+1,0,1,1))*OFFSET($CI$9,CN18+1,0,1,1))+OFFSET($BP$9,CN18+1,CQ18,1,1),IF(F18&lt;OFFSET($BN$9,CN18+2,0,1,1),((F18-OFFSET($BM$9,CN18+2,0,1,1))*OFFSET($CI$9,CN18+2,0,1,1))+OFFSET($BP$9,CN18+2,CQ18,1,1),IF(F18&lt;OFFSET($BN$9,CN18+3,0,1,1),((F18-OFFSET($BM$9,CN18+3,0,1,1))*OFFSET($CI$9,CN18+3,0,1,1))+OFFSET($BP$9,CN18+3,CQ18,1,1),0))))))</f>
        <v>0</v>
      </c>
      <c r="DJ18" s="51">
        <f ca="1">IF($F18&lt;OFFSET($BM$9,$CN18-1,0,1,1),0,IF($F18&lt;OFFSET($BN$9,$CN18-1,0,1,1),IF(AND($H18&gt;2.4,Z18&lt;&gt;"e",Z18&lt;&gt;"f"),DN18*2.4/$H18,DN18),IF($F18&lt;OFFSET($BN$9,$CN18+0,0,1,1),IF(AND($H18&gt;2.4,Z18&lt;&gt;"e",Z18&lt;&gt;"f"),DN18*2.4/$H18,DN18),IF($F18&lt;OFFSET($BN$9,$CN18+1,0,1,1),IF(AND($H18&gt;2.4,Z18&lt;&gt;"e",Z18&lt;&gt;"f"),DN18*2.4/$H18,DN18),IF($F18&lt;OFFSET($BN$9,$CN18+2,0,1,1),IF(AND($H18&gt;2.4,Z18&lt;&gt;"e",Z18&lt;&gt;"f"),DN18*2.4/$H18,DN18),IF($F18&lt;OFFSET($BN$9,$CN18+3,0,1,1),IF(AND($H18&gt;2.4,Z18&lt;&gt;"e",Z18&lt;&gt;"f"),DN18*2.4/$H18,DN18),0)))))*COS(RADIANS($G18)))</f>
        <v>0</v>
      </c>
      <c r="DK18" s="51"/>
      <c r="DL18" s="51">
        <f ca="1">IF(DG18&gt;$CR18,$CR18,DG18)</f>
        <v>0</v>
      </c>
      <c r="DM18" s="51"/>
      <c r="DN18" s="51">
        <f ca="1">IF(DI18&gt;$CR18,$CR18,DI18)</f>
        <v>0</v>
      </c>
      <c r="DO18" s="435">
        <f ca="1">IF(DH18&gt;$CR18,$CR18,DH18)</f>
        <v>0</v>
      </c>
      <c r="DP18" s="435">
        <f ca="1">DO18*F18</f>
        <v>0</v>
      </c>
      <c r="DQ18" s="436">
        <f ca="1">IF(DJ18&gt;$CR18,$CR18,DJ18)</f>
        <v>0</v>
      </c>
      <c r="DR18" s="437">
        <f ca="1">DQ18*F18</f>
        <v>0</v>
      </c>
      <c r="DS18" s="426">
        <f ca="1">OFFSET($CH$9,CL18-1,-15,1,1)</f>
        <v>0</v>
      </c>
      <c r="DT18" s="426">
        <f t="shared" ca="1" si="1"/>
        <v>0</v>
      </c>
      <c r="DU18" s="188">
        <f ca="1">IF(F18&lt;OFFSET($BM$9,DT18-1,0,1,1),0,IF(F18&lt;OFFSET($BN$9,DT18-1,0,1,1),((F18-OFFSET($BM$9,DT18-1,0,1,1))*OFFSET($CH$9,DT18-1,0,1,1))+OFFSET($BO$9,DT18-1,CQ18,1,1),IF(F18&lt;OFFSET($BN$9,DT18+0,0,1,1),((F18-OFFSET($BM$9,DT18+0,0,1,1))*OFFSET($CH$9,DT18+0,0,1,1))+OFFSET($BO$9,DT18+0,CQ18,1,1),IF(F18&lt;OFFSET($BN$9,DT18+1,0,1,1),((F18-OFFSET($BM$9,DT18+1,0,1,1))*OFFSET($CH$9,DT18+1,0,1,1))+OFFSET($BO$9,DT18+1,CQ18,1,1),IF(F18&lt;OFFSET($BN$9,DT18+2,0,1,1),((F18-OFFSET($BM$9,DT18+2,0,1,1))*OFFSET($CH$9,DT18+2,0,1,1))+OFFSET($BO$9,DT18+2,CQ18,1,1),IF(F18&lt;OFFSET($BN$9,DT18+3,0,1,1),((F18-OFFSET($BM$9,DT18+3,0,1,1))*OFFSET($CH$9,DT18+3,0,1,1))+OFFSET($BO$9,DT18+3,CQ18,1,1),0))))))</f>
        <v>0</v>
      </c>
      <c r="DV18" s="51">
        <f ca="1">IF($F18&lt;OFFSET($BM$9,$DT18-1,0,1,1),0,IF($F18&lt;OFFSET($BN$9,$DT18-1,0,1,1),IF(AND($H18&gt;2.4,Z18&lt;&gt;"e",Z18&lt;&gt;"f"),DZ18*2.4/$H18,DZ18),IF($F18&lt;OFFSET($BN$9,$DT18+0,0,1,1),IF(AND($H18&gt;2.4,Z18&lt;&gt;"e",Z18&lt;&gt;"f"),DZ18*2.4/$H18,DZ18),IF($F18&lt;OFFSET($BN$9,$DT18+1,0,1,1),IF(AND($H18&gt;2.4,Z18&lt;&gt;"e",Z18&lt;&gt;"f"),DZ18*2.4/$H18,DZ18),IF($F18&lt;OFFSET($BN$9,$DT18+2,0,1,1),IF(AND($H18&gt;2.4,Z18&lt;&gt;"e",Z18&lt;&gt;"f"),DZ18*2.4/$H18,DZ18),IF($F18&lt;OFFSET($BN$9,$DT18+3,0,1,1),IF(AND($H18&gt;2.4,Z18&lt;&gt;"e",Z18&lt;&gt;"f"),DZ18*2.4/$H18,DZ18),0)))))*COS(RADIANS($G18)))</f>
        <v>0</v>
      </c>
      <c r="DW18" s="188">
        <f ca="1">IF(F18&lt;OFFSET($BM$9,DT18-1,0,1,1),0,IF(F18&lt;OFFSET($BN$9,DT18-1,0,1,1),((F18-OFFSET($BM$9,DT18-1,0,1,1))*OFFSET($CI$9,DT18-1,0,1,1))+OFFSET($BP$9,DT18-1,CQ18,1,1),IF(F18&lt;OFFSET($BN$9,DT18+0,0,1,1),((F18-OFFSET($BM$9,DT18+0,0,1,1))*OFFSET($CI$9,DT18+0,0,1,1))+OFFSET($BP$9,DT18+0,CQ18,1,1),IF(F18&lt;OFFSET($BN$9,DT18+1,0,1,1),((F18-OFFSET($BM$9,DT18+1,0,1,1))*OFFSET($CI$9,DT18+1,0,1,1))+OFFSET($BP$9,DT18+1,CQ18,1,1),IF(F18&lt;OFFSET($BN$9,DT18+2,0,1,1),((F18-OFFSET($BM$9,DT18+2,0,1,1))*OFFSET($CI$9,DT18+2,0,1,1))+OFFSET($BP$9,DT18+2,CQ18,1,1),IF(F18&lt;OFFSET($BN$9,DT18+3,0,1,1),((F18-OFFSET($BM$9,DT18+3,0,1,1))*OFFSET($CI$9,DT18+3,0,1,1))+OFFSET($BP$9,DT18+3,CQ18,1,1),0))))))</f>
        <v>0</v>
      </c>
      <c r="DX18" s="51">
        <f ca="1">IF($F18&lt;OFFSET($BM$9,$DT18-1,0,1,1),0,IF($F18&lt;OFFSET($BN$9,$DT18-1,0,1,1),IF(AND($H18&gt;2.4,Z18&lt;&gt;"e",Z18&lt;&gt;"f"),EB18*2.4/$H18,EB18),IF($F18&lt;OFFSET($BN$9,$DT18+0,0,1,1),IF(AND($H18&gt;2.4,Z18&lt;&gt;"e",Z18&lt;&gt;"f"),EB18*2.4/$H18,EB18),IF($F18&lt;OFFSET($BN$9,$DT18+1,0,1,1),IF(AND($H18&gt;2.4,Z18&lt;&gt;"e",Z18&lt;&gt;"f"),EB18*2.4/$H18,EB18),IF($F18&lt;OFFSET($BN$9,$DT18+2,0,1,1),IF(AND($H18&gt;2.4,Z18&lt;&gt;"e",Z18&lt;&gt;"f"),EB18*2.4/$H18,EB18),IF($F18&lt;OFFSET($BN$9,$DT18+3,0,1,1),IF(AND($H18&gt;2.4,Z18&lt;&gt;"e",Z18&lt;&gt;"f"),EB18*2.4/$H18,EB18),0)))))*COS(RADIANS($G18)))</f>
        <v>0</v>
      </c>
      <c r="DY18" s="188"/>
      <c r="DZ18" s="188">
        <f ca="1">IF(DU18&gt;$CR18,$CR18,DU18)</f>
        <v>0</v>
      </c>
      <c r="EA18" s="188"/>
      <c r="EB18" s="188">
        <f ca="1">IF(DW18&gt;$CR18,$CR18,DW18)</f>
        <v>0</v>
      </c>
      <c r="EC18" s="435">
        <f ca="1">IF(DV18&gt;$CR18,$CR18,DV18)</f>
        <v>0</v>
      </c>
      <c r="ED18" s="435">
        <f ca="1">EC18*F18</f>
        <v>0</v>
      </c>
      <c r="EE18" s="436">
        <f ca="1">IF(DX18&gt;$CR18,$CR18,DX18)</f>
        <v>0</v>
      </c>
      <c r="EF18" s="437">
        <f ca="1">EE18*F18</f>
        <v>0</v>
      </c>
      <c r="EG18" s="613" t="str">
        <f>IF(D18=BG$12,BG$12,"")</f>
        <v/>
      </c>
      <c r="EH18" s="614" t="str">
        <f>IF(D18=BG$13,BG$13,"")</f>
        <v/>
      </c>
      <c r="EI18" s="611">
        <f>IF(EG18=BG$12,M18,0)</f>
        <v>0</v>
      </c>
      <c r="EJ18" s="451">
        <f>IF(EG18=BG$12,O18,0)</f>
        <v>0</v>
      </c>
      <c r="EK18" s="451">
        <f>IF(EH18=BG$13,M18,0)</f>
        <v>0</v>
      </c>
      <c r="EL18" s="612">
        <f>IF(EH18=BG$13,O18,0)</f>
        <v>0</v>
      </c>
      <c r="EM18" s="426" t="str">
        <f ca="1">IF(AND(Z18&lt;&gt;"t",Z18&lt;&gt;"f"),"",IF(AND(EN18=$BH$11,K18&lt;&gt;EN18),EM$4,IF(AND(EN18=$BH$12,K18=$BH$13),EM$4,IF(AND(EN18=$BH$12,K18=$BH$14),EM$4,IF(AND(EN18=$BH$13,K18=$BH$14),$EM$4,IF(EN18=$BH$14,$EM$4,""))))))</f>
        <v/>
      </c>
      <c r="EN18" s="489" t="str">
        <f>BG$24</f>
        <v>Earth</v>
      </c>
      <c r="EO18" s="426" t="str">
        <f>K18</f>
        <v xml:space="preserve"> </v>
      </c>
      <c r="EP18" s="497" t="str">
        <f ca="1">IF(AND(Z18&lt;&gt;"t",Z18&lt;&gt;"f"),"",IF(AND(EN18=$BH$14,K18&lt;&gt;EN18),EP$4,IF(AND(EN18=$BH$13,K18=$BH$12),EP$4,IF(AND(EN18=$BH$13,K18=$BH$11),EP$4,IF(AND(EN18=$BH$12,K18=$BH$11),$EP$4,IF(EN18=$BH$11,"Earth",""))))))</f>
        <v/>
      </c>
      <c r="EQ18" s="430" t="str">
        <f ca="1">IF(Z18&lt;&gt;"t","",IF(EQ$5=2,IF(K18&lt;&gt;BH$11,EQ$7," ")))</f>
        <v/>
      </c>
      <c r="ER18" s="439" t="str">
        <f ca="1">IF(H18=0," ",H18)</f>
        <v xml:space="preserve"> </v>
      </c>
      <c r="ES18" s="440" t="str">
        <f ca="1">IF(ER18&lt;&gt;" ",IF(ER18&lt;&gt;ER$7,"Changed",""),"")</f>
        <v/>
      </c>
      <c r="ET18" s="440">
        <f t="shared" ca="1" si="19"/>
        <v>0</v>
      </c>
      <c r="EU18" s="426" t="str">
        <f ca="1">IF(I18=" "," ",IF(F18&lt;OFFSET($BM$9,CL18-1,0,1,1),1,""))</f>
        <v xml:space="preserve"> </v>
      </c>
      <c r="EW18" s="427"/>
    </row>
    <row r="19" spans="2:153" ht="17.100000000000001" customHeight="1" thickBot="1">
      <c r="B19" s="2686" t="s">
        <v>8</v>
      </c>
      <c r="C19" s="2687"/>
      <c r="D19" s="1461" t="s">
        <v>8</v>
      </c>
      <c r="E19" s="659"/>
      <c r="F19" s="659"/>
      <c r="G19" s="659"/>
      <c r="H19" s="659"/>
      <c r="I19" s="1462"/>
      <c r="J19" s="1365" t="str">
        <f ca="1">(CONCATENATE(B14,$BE$54))</f>
        <v>N  Line:  Min. Requirement</v>
      </c>
      <c r="K19" s="23"/>
      <c r="L19" s="1019">
        <f ca="1">L$5</f>
        <v>0</v>
      </c>
      <c r="M19" s="48">
        <f ca="1">IF(B14=B8,SUM(M14:M18)+M13,SUM(M14:M18))</f>
        <v>0</v>
      </c>
      <c r="N19" s="1019">
        <f ca="1">N$5</f>
        <v>0</v>
      </c>
      <c r="O19" s="125">
        <f ca="1">IF(B14=B8,SUM(O14:O18)+O13,SUM(O14:O18))</f>
        <v>0</v>
      </c>
      <c r="P19" s="139"/>
      <c r="Q19" s="42" t="str">
        <f ca="1">IF(B14=B20,"",IF(AND(M19&gt;0,L19=L$5,OR(M19&lt;$M$105,M19&lt;$BF$3)),"Achieved &lt; Min Req per Line",IF(AND(O19&gt;0,N19=N$5,OR(O19&lt;$O$105,O19&lt;$BF$3)),"Achieved &lt; Min Req per Line",IF(AND(M19&gt;0,L19&gt;M19),"More Required on this line",IF(AND(O19&gt;0,N19&gt;O19),"More Required on this line",IF(AND(L19&gt;0,L19&lt;$BF$3),$BE$59,IF(AND(N19&gt;0,N19&lt;$BF$3),$BE$59,"")))))))</f>
        <v/>
      </c>
      <c r="R19" s="52"/>
      <c r="S19" s="52"/>
      <c r="T19" s="52"/>
      <c r="U19" s="1378"/>
      <c r="V19" s="52"/>
      <c r="W19" s="9"/>
      <c r="X19" s="9"/>
      <c r="Y19" s="896"/>
      <c r="Z19" s="52"/>
      <c r="AA19" s="51"/>
      <c r="AB19" s="1364"/>
      <c r="AC19" s="1"/>
      <c r="AJ19" s="2867"/>
      <c r="AK19" s="2094"/>
      <c r="AL19" s="1384" t="str">
        <f>'Custom Elements'!P14</f>
        <v>Cantilever pile</v>
      </c>
      <c r="AM19" s="26">
        <f>'Custom Elements'!Q14</f>
        <v>1</v>
      </c>
      <c r="AN19" s="877">
        <f>'Custom Elements'!R14</f>
        <v>70</v>
      </c>
      <c r="AO19" s="877">
        <f>'Custom Elements'!S14</f>
        <v>30</v>
      </c>
      <c r="AP19" s="1245"/>
      <c r="AQ19" s="1643" t="str">
        <f>'Custom Elements'!V14</f>
        <v>No</v>
      </c>
      <c r="AR19" s="875" t="str">
        <f>'Custom Elements'!W14</f>
        <v>No</v>
      </c>
      <c r="AS19" s="1640"/>
      <c r="AT19" s="879" t="s">
        <v>1019</v>
      </c>
      <c r="AU19" s="477"/>
      <c r="AV19" s="40"/>
      <c r="AW19" s="40"/>
      <c r="AX19" s="40"/>
      <c r="AY19" s="40"/>
      <c r="AZ19" s="40"/>
      <c r="BA19" s="40"/>
      <c r="BB19" s="40"/>
      <c r="BC19" s="40"/>
      <c r="BD19" s="2648"/>
      <c r="BF19" s="598" t="s">
        <v>8</v>
      </c>
      <c r="BG19" s="706" t="s">
        <v>819</v>
      </c>
      <c r="BH19" s="961" t="s">
        <v>221</v>
      </c>
      <c r="BI19" s="759"/>
      <c r="BJ19" s="897">
        <f t="shared" si="6"/>
        <v>11</v>
      </c>
      <c r="BK19" s="769" t="str">
        <f t="shared" si="7"/>
        <v xml:space="preserve">  </v>
      </c>
      <c r="BL19" s="771" t="str">
        <f t="shared" si="8"/>
        <v>Custom8</v>
      </c>
      <c r="BM19" s="455">
        <f t="shared" si="9"/>
        <v>9.9999999999999996E-76</v>
      </c>
      <c r="BN19" s="455">
        <v>999</v>
      </c>
      <c r="BO19" s="455">
        <f t="shared" si="10"/>
        <v>0</v>
      </c>
      <c r="BP19" s="925">
        <f t="shared" si="11"/>
        <v>0</v>
      </c>
      <c r="BR19" s="764"/>
      <c r="BS19" s="455"/>
      <c r="BT19" s="455" t="str">
        <f t="shared" si="12"/>
        <v>B</v>
      </c>
      <c r="BU19" s="925" t="str">
        <f t="shared" si="13"/>
        <v>T</v>
      </c>
      <c r="BV19" s="483" t="str">
        <f t="shared" si="14"/>
        <v>Custom8</v>
      </c>
      <c r="BW19" s="910">
        <f t="shared" si="21"/>
        <v>11</v>
      </c>
      <c r="BX19" s="924" t="str">
        <f t="shared" si="15"/>
        <v>Single</v>
      </c>
      <c r="CH19" s="764">
        <f t="shared" si="16"/>
        <v>0</v>
      </c>
      <c r="CI19" s="925">
        <f t="shared" si="17"/>
        <v>0</v>
      </c>
      <c r="CJ19" s="759"/>
      <c r="CK19" s="188"/>
      <c r="CL19" s="979"/>
      <c r="CN19" s="497"/>
      <c r="CO19" s="497"/>
      <c r="CQ19" s="51"/>
      <c r="CR19" s="51"/>
      <c r="CS19" s="51"/>
      <c r="CT19" s="51" t="s">
        <v>8</v>
      </c>
      <c r="CU19" s="51"/>
      <c r="CV19" s="51" t="s">
        <v>8</v>
      </c>
      <c r="CW19" s="51"/>
      <c r="CX19" s="51"/>
      <c r="CY19" s="51"/>
      <c r="CZ19" s="51"/>
      <c r="DD19" s="758"/>
      <c r="DF19" s="52"/>
      <c r="DG19" s="51"/>
      <c r="DH19" s="51"/>
      <c r="DI19" s="51"/>
      <c r="DJ19" s="51"/>
      <c r="DK19" s="51"/>
      <c r="DL19" s="51"/>
      <c r="DM19" s="51"/>
      <c r="DN19" s="51"/>
      <c r="DO19" s="435"/>
      <c r="DP19" s="435"/>
      <c r="DQ19" s="868"/>
      <c r="DR19" s="868"/>
      <c r="DU19" s="188"/>
      <c r="DV19" s="188" t="s">
        <v>8</v>
      </c>
      <c r="DW19" s="188"/>
      <c r="DX19" s="188" t="s">
        <v>8</v>
      </c>
      <c r="DY19" s="188"/>
      <c r="DZ19" s="188"/>
      <c r="EA19" s="188"/>
      <c r="EB19" s="188"/>
      <c r="EC19" s="435"/>
      <c r="ED19" s="435"/>
      <c r="EE19" s="868"/>
      <c r="EF19" s="868"/>
      <c r="EG19" s="613"/>
      <c r="EH19" s="614"/>
      <c r="EI19" s="613"/>
      <c r="EJ19" s="435"/>
      <c r="EK19" s="451"/>
      <c r="EL19" s="612"/>
      <c r="EN19" s="438"/>
      <c r="EP19" s="497"/>
      <c r="ER19" s="441"/>
      <c r="ES19" s="440"/>
      <c r="ET19" s="440"/>
      <c r="EW19" s="427"/>
    </row>
    <row r="20" spans="2:153" ht="17.100000000000001" customHeight="1" thickBot="1">
      <c r="B20" s="1369" t="str">
        <f ca="1">S20</f>
        <v>O</v>
      </c>
      <c r="C20" s="684" t="str">
        <f>IF(OR(F20=0,I20="",I20=" ")," ",$V20)</f>
        <v xml:space="preserve"> </v>
      </c>
      <c r="D20" s="1033"/>
      <c r="E20" s="1360"/>
      <c r="F20" s="202"/>
      <c r="G20" s="1416"/>
      <c r="H20" s="1417" t="str">
        <f ca="1">IF(OR(F20=0,Z20="E",Z20="f")," ",'Project Demand'!E$55)</f>
        <v xml:space="preserve"> </v>
      </c>
      <c r="I20" s="631" t="str">
        <f>IF($I$6&lt;&gt;$BG$8," ",AB20)</f>
        <v xml:space="preserve"> </v>
      </c>
      <c r="J20" s="43" t="str">
        <f ca="1">IF(OR(I20=" ",I20="")," ",OFFSET($BO$9,CL20-1,0-4,1,1))</f>
        <v xml:space="preserve"> </v>
      </c>
      <c r="K20" s="55" t="str">
        <f>IF(OR(I20=" ",I20="")," ",IF(OR(Z20="e",Z20="h"),"SD",IF(BG$24=BH$11,BH$13,BG$24)))</f>
        <v xml:space="preserve"> </v>
      </c>
      <c r="L20" s="49">
        <f ca="1">CW20</f>
        <v>0</v>
      </c>
      <c r="M20" s="49">
        <f ca="1">CY20</f>
        <v>0</v>
      </c>
      <c r="N20" s="50">
        <f t="shared" ref="N20:O24" ca="1" si="23">DA20</f>
        <v>0</v>
      </c>
      <c r="O20" s="126">
        <f t="shared" ca="1" si="23"/>
        <v>0</v>
      </c>
      <c r="P20" s="140"/>
      <c r="Q20" s="752" t="str">
        <f ca="1">IF(AND(OR(Z20="t",Z20="f"),K20=$BH$11),"No Floor!  Change Floor Type",IF(OR(I20=" ",I20="")," ",IF(F20&lt;OFFSET($BM$9,CL20-1,0,1,1),"check L(m)",DE20&amp;IF(AND(DP20&gt;=CY20,DR20&gt;=DB20),IF(AND(ED20&gt;=DP20,EF20&gt;=DR20),CONCATENATE(DS20," will provide same result"),CONCATENATE(CO20," will provide same result")),IF((DP20&gt;=CY20),CONCATENATE(CO20," provides same result in WIND"),IF((DR20&gt;=DB20),CONCATENATE(CO20," provides same result in EQ"),""))))))&amp;IF(ISERROR(FIND("pile",I20,1)),"",IF(INT(F20)&lt;&gt;F20,"Pile!  Use Whole Numbers Only",""))</f>
        <v xml:space="preserve"> </v>
      </c>
      <c r="R20" s="52">
        <f ca="1">IF(T14&lt;&gt;2,(COLUMN(INDIRECT(B14&amp;1))+1),U20)</f>
        <v>15</v>
      </c>
      <c r="S20" s="1372" t="str">
        <f ca="1">SUBSTITUTE(ADDRESS(1,R20,4),"1","")</f>
        <v>O</v>
      </c>
      <c r="T20" s="451">
        <f ca="1">IF(AND(ISTEXT(B20),SUBSTITUTE(SUBSTITUTE(SUBSTITUTE(SUBSTITUTE(SUBSTITUTE(SUBSTITUTE(SUBSTITUTE(SUBSTITUTE(SUBSTITUTE(SUBSTITUTE(SUBSTITUTE(SUBSTITUTE(SUBSTITUTE(SUBSTITUTE(SUBSTITUTE(SUBSTITUTE(SUBSTITUTE(SUBSTITUTE(SUBSTITUTE(SUBSTITUTE(SUBSTITUTE(SUBSTITUTE(SUBSTITUTE(SUBSTITUTE(SUBSTITUTE(SUBSTITUTE(LOWER(B20),"a",),"b",),"c",),"d",),"e",),"f",),"g",),"h",),"i",),"j",),"k",),"l",),"m",),"n",),"o",),"p",),"q",),"r",),"s",),"t",),"u",),"v",),"w",),"x",),"y",),"z",)=""),1,2)</f>
        <v>1</v>
      </c>
      <c r="U20" s="1377">
        <v>15</v>
      </c>
      <c r="V20" s="52" t="str">
        <f ca="1">IF(AND(B$5=$BF$9,OR(I20=BH$16,I20=BH$17))," ",IF(ISNUMBER(B$20),(CONCATENATE(B$20,".",W20)),(CONCATENATE(B$20,W20))))</f>
        <v>O0</v>
      </c>
      <c r="W20" s="9">
        <f ca="1">IF(B14=B20,W18+X20,X20)</f>
        <v>0</v>
      </c>
      <c r="X20" s="9">
        <f>IF(AND(B$5=$BF$9,OR($I20=$BH$16,$I20=$BH$17,$I20=" ",$I20="",$F20=0)),0,IF(OR($I20=" ",$I20="",$F20=0),0,1))</f>
        <v>0</v>
      </c>
      <c r="Y20" s="896">
        <f ca="1">IF(AND(M25&gt;0,B20&lt;&gt;B26),1,0)</f>
        <v>0</v>
      </c>
      <c r="Z20" s="52" t="str">
        <f ca="1">IF(I20=" "," ",OFFSET($BM$9,$CL20-1,8,1,1))</f>
        <v xml:space="preserve"> </v>
      </c>
      <c r="AA20" s="51" t="str">
        <f>IF(G20&gt;=45,"WA","")</f>
        <v/>
      </c>
      <c r="AB20" s="1364" t="str">
        <f>IF(OR(E20=" ",E20="")," ",(IF(F20&lt;&gt;"",IF(OR(D20=$BG$12,D20=$BG$13),IF(E20&lt;&gt;$BG$17,$BF$20,$BF$21),IF(E20&lt;&gt;$BG$17,$BF$20,$BF$21))," ")))</f>
        <v xml:space="preserve"> </v>
      </c>
      <c r="AC20" s="1"/>
      <c r="AJ20" s="2868"/>
      <c r="AK20" s="2095"/>
      <c r="AL20" s="1385" t="str">
        <f>'Custom Elements'!P15</f>
        <v>Anchor pile</v>
      </c>
      <c r="AM20" s="61">
        <f>'Custom Elements'!Q15</f>
        <v>1</v>
      </c>
      <c r="AN20" s="878">
        <f>'Custom Elements'!R15</f>
        <v>160</v>
      </c>
      <c r="AO20" s="878">
        <f>'Custom Elements'!S15</f>
        <v>120</v>
      </c>
      <c r="AP20" s="1246"/>
      <c r="AQ20" s="1644" t="str">
        <f>'Custom Elements'!V15</f>
        <v>No</v>
      </c>
      <c r="AR20" s="876" t="str">
        <f>'Custom Elements'!W15</f>
        <v>No</v>
      </c>
      <c r="AS20" s="1640"/>
      <c r="AT20" s="880" t="s">
        <v>1019</v>
      </c>
      <c r="AU20" s="477"/>
      <c r="AV20" s="41"/>
      <c r="AW20" s="41"/>
      <c r="AX20" s="41"/>
      <c r="AY20" s="41"/>
      <c r="AZ20" s="41"/>
      <c r="BA20" s="41"/>
      <c r="BB20" s="41"/>
      <c r="BC20" s="41"/>
      <c r="BD20" s="2648"/>
      <c r="BF20" s="598" t="str">
        <f>Table!AI72</f>
        <v>ER1</v>
      </c>
      <c r="BG20" s="708" t="s">
        <v>820</v>
      </c>
      <c r="BH20" s="961" t="s">
        <v>222</v>
      </c>
      <c r="BI20" s="759"/>
      <c r="BJ20" s="897">
        <f t="shared" si="6"/>
        <v>12</v>
      </c>
      <c r="BK20" s="769" t="str">
        <f t="shared" si="7"/>
        <v xml:space="preserve">  </v>
      </c>
      <c r="BL20" s="771" t="str">
        <f t="shared" si="8"/>
        <v>Custom9</v>
      </c>
      <c r="BM20" s="455">
        <f t="shared" si="9"/>
        <v>9.9999999999999996E-76</v>
      </c>
      <c r="BN20" s="455">
        <v>999</v>
      </c>
      <c r="BO20" s="455">
        <f t="shared" si="10"/>
        <v>0</v>
      </c>
      <c r="BP20" s="925">
        <f t="shared" si="11"/>
        <v>0</v>
      </c>
      <c r="BR20" s="764"/>
      <c r="BS20" s="455"/>
      <c r="BT20" s="455" t="str">
        <f t="shared" si="12"/>
        <v>B</v>
      </c>
      <c r="BU20" s="925" t="str">
        <f t="shared" si="13"/>
        <v>T</v>
      </c>
      <c r="BV20" s="483" t="str">
        <f t="shared" si="14"/>
        <v>Custom9</v>
      </c>
      <c r="BW20" s="910">
        <f t="shared" si="21"/>
        <v>12</v>
      </c>
      <c r="BX20" s="924" t="str">
        <f t="shared" si="15"/>
        <v>Single</v>
      </c>
      <c r="CH20" s="764">
        <f t="shared" si="16"/>
        <v>0</v>
      </c>
      <c r="CI20" s="925">
        <f t="shared" si="17"/>
        <v>0</v>
      </c>
      <c r="CJ20" s="759"/>
      <c r="CK20" s="188"/>
      <c r="CL20" s="979">
        <f>VLOOKUP(I20,Prodlink,2,0)</f>
        <v>0</v>
      </c>
      <c r="CN20" s="497">
        <f t="shared" ca="1" si="2"/>
        <v>0</v>
      </c>
      <c r="CO20" s="497">
        <f ca="1">OFFSET($CH$9,CL20-1,-15,1,1)</f>
        <v>0</v>
      </c>
      <c r="CQ20" s="51">
        <v>0</v>
      </c>
      <c r="CR20" s="51">
        <f ca="1">IF(AND(Z20&lt;&gt;"t",Z20&lt;&gt;"f"),10000,IF(K20=$BH$11,0,IF(K20=$BH$12,$BH$23,IF(K20=$BH$13,$BH$24,10000))))</f>
        <v>10000</v>
      </c>
      <c r="CS20" s="51">
        <f ca="1">IF(F20&lt;OFFSET($BM$9,CL20-1,0,1,1),0,IF(F20&lt;OFFSET($BN$9,CL20-1,0,1,1),((F20-OFFSET($BM$9,CL20-1,0,1,1))*OFFSET($CH$9,CL20-1,0,1,1))+OFFSET($BO$9,CL20-1,CQ20,1,1),IF(F20&lt;OFFSET($BN$9,CL20+0,0,1,1),((F20-OFFSET($BM$9,CL20+0,0,1,1))*OFFSET($CH$9,CL20+0,0,1,1))+OFFSET($BO$9,CL20+0,CQ20,1,1),IF(F20&lt;OFFSET($BN$9,CL20+1,0,1,1),((F20-OFFSET($BM$9,CL20+1,0,1,1))*OFFSET($CH$9,CL20+1,0,1,1))+OFFSET($BO$9,CL20+1,CQ20,1,1),IF(F20&lt;OFFSET($BN$9,CL20+2,0,1,1),((F20-OFFSET($BM$9,CL20+2,0,1,1))*OFFSET($CH$9,CL20+2,0,1,1))+OFFSET($BO$9,CL20+2,CQ20,1,1),IF(F20&lt;OFFSET($BN$9,CL20+3,0,1,1),((F20-OFFSET($BM$9,CL20+3,0,1,1))*OFFSET($CH$9,CL20+3,0,1,1))+OFFSET($BO$9,CL20+3,CQ20,1,1),0))))))</f>
        <v>0</v>
      </c>
      <c r="CT20" s="51">
        <f ca="1">IF($F20&lt;OFFSET($BM$9,$CL20-1,0,1,1),0,IF($F20&lt;OFFSET($BN$9,$CL20-1,0,1,1),IF(AND($H20&gt;2.4,Z20&lt;&gt;"e",Z20&lt;&gt;"f"),CX20*2.4/$H20,CX20),IF($F20&lt;OFFSET($BN$9,$CL20+0,0,1,1),IF(AND($H20&gt;2.4,Z20&lt;&gt;"e",Z20&lt;&gt;"f"),CX20*2.4/$H20,CX20),IF($F20&lt;OFFSET($BN$9,$CL20+1,0,1,1),IF(AND($H20&gt;2.4,Z20&lt;&gt;"e",Z20&lt;&gt;"f"),CX20*2.4/$H20,CX20),IF($F20&lt;OFFSET($BN$9,CL20+2,0,1,1),IF(AND($H20&gt;2.4,Z20&lt;&gt;"e",Z20&lt;&gt;"f"),CX20*2.4/$H20,CX20),IF($F20&lt;OFFSET($BN$9,CL20+3,0,1,1),IF(AND($H20&gt;2.4,Z20&lt;&gt;"e",Z20&lt;&gt;"f"),CX20*2.4/$H20,CX20),0)))))*COS(RADIANS($G20)))</f>
        <v>0</v>
      </c>
      <c r="CU20" s="51">
        <f ca="1">IF(F20&lt;OFFSET($BM$9,CL20-1,0,1,1),0,IF(F20&lt;OFFSET($BN$9,CL20-1,0,1,1),((F20-OFFSET($BM$9,CL20-1,0,1,1))*OFFSET($CI$9,CL20-1,0,1,1))+OFFSET($BP$9,CL20-1,CQ20,1,1),IF(F20&lt;OFFSET($BN$9,CL20+0,0,1,1),((F20-OFFSET($BM$9,CL20+0,0,1,1))*OFFSET($CI$9,CL20+0,0,1,1))+OFFSET($BP$9,CL20+0,CQ20,1,1),IF(F20&lt;OFFSET($BN$9,CL20+1,0,1,1),((F20-OFFSET($BM$9,CL20+1,0,1,1))*OFFSET($CI$9,CL20+1,0,1,1))+OFFSET($BP$9,CL20+1,CQ20,1,1),IF(F20&lt;OFFSET($BN$9,CL20+2,0,1,1),((F20-OFFSET($BM$9,CL20+2,0,1,1))*OFFSET($CI$9,CL20+2,0,1,1))+OFFSET($BP$9,CL20+2,CQ20,1,1),IF(F20&lt;OFFSET($BN$9,CL20+3,0,1,1),((F20-OFFSET($BM$9,CL20+3,0,1,1))*OFFSET($CI$9,CL20+3,0,1,1))+OFFSET($BP$9,CL20+3,CQ20,1,1),0))))))</f>
        <v>0</v>
      </c>
      <c r="CV20" s="51">
        <f ca="1">IF($F20&lt;OFFSET($BM$9,$CL20-1,0,1,1),0,IF($F20&lt;OFFSET($BN$9,$CL20-1,0,1,1),IF(AND($H20&gt;2.4,Z20&lt;&gt;"e",Z20&lt;&gt;"f"),CZ20*2.4/$H20,CZ20),IF($F20&lt;OFFSET($BN$9,$CL20+0,0,1,1),IF(AND($H20&gt;2.4,Z20&lt;&gt;"e",Z20&lt;&gt;"f"),CZ20*2.4/$H20,CZ20),IF($F20&lt;OFFSET($BN$9,$CL20+1,0,1,1),IF(AND($H20&gt;2.4,Z20&lt;&gt;"e",Z20&lt;&gt;"f"),CZ20*2.4/$H20,CZ20),IF($F20&lt;OFFSET($BN$9,$CL20+2,0,1,1),IF(AND($H20&gt;2.4,Z20&lt;&gt;"e",Z20&lt;&gt;"f"),CZ20*2.4/$H20,CZ20),IF($F20&lt;OFFSET($BN$9,$CL20+3,0,1,1),IF(AND($H20&gt;2.4,Z20&lt;&gt;"e",Z20&lt;&gt;"f"),CZ20*2.4/$H20,CZ20),0)))))*COS(RADIANS($G20)))</f>
        <v>0</v>
      </c>
      <c r="CW20" s="51">
        <f t="shared" ca="1" si="18"/>
        <v>0</v>
      </c>
      <c r="CX20" s="51">
        <f ca="1">IF(CS20&gt;$CR20,$CR20,CS20)</f>
        <v>0</v>
      </c>
      <c r="CY20" s="51">
        <f ca="1">CW20*F20</f>
        <v>0</v>
      </c>
      <c r="CZ20" s="51">
        <f ca="1">IF($CU20&gt;$CR20,$CR20,$CU20)</f>
        <v>0</v>
      </c>
      <c r="DA20" s="51">
        <f ca="1">IF(CV20&gt;CR20,CR20,CV20)</f>
        <v>0</v>
      </c>
      <c r="DB20" s="51">
        <f ca="1">DA20*F20</f>
        <v>0</v>
      </c>
      <c r="DC20" s="993">
        <v>1</v>
      </c>
      <c r="DD20" s="758" t="str">
        <f>IF(OR(D20=BG$12,D20=BG$13),"External",IF(D20=BG$14,"Internal"," "))</f>
        <v xml:space="preserve"> </v>
      </c>
      <c r="DE20" s="51" t="str">
        <f t="shared" ca="1" si="4"/>
        <v/>
      </c>
      <c r="DF20" s="52" t="str">
        <f t="shared" ca="1" si="5"/>
        <v xml:space="preserve"> </v>
      </c>
      <c r="DG20" s="51">
        <f ca="1">IF(F20&lt;OFFSET($BM$9,CN20-1,0,1,1),0,IF(F20&lt;OFFSET($BN$9,CN20-1,0,1,1),((F20-OFFSET($BM$9,CN20-1,0,1,1))*OFFSET($CH$9,CN20-1,0,1,1))+OFFSET($BO$9,CN20-1,CQ20,1,1),IF(F20&lt;OFFSET($BN$9,CN20+0,0,1,1),((F20-OFFSET($BM$9,CN20+0,0,1,1))*OFFSET($CH$9,CN20+0,0,1,1))+OFFSET($BO$9,CN20+0,CQ20,1,1),IF(F20&lt;OFFSET($BN$9,CN20+1,0,1,1),((F20-OFFSET($BM$9,CN20+1,0,1,1))*OFFSET($CH$9,CN20+1,0,1,1))+OFFSET($BO$9,CN20+1,CQ20,1,1),IF(F20&lt;OFFSET($BN$9,CN20+2,0,1,1),((F20-OFFSET($BM$9,CN20+2,0,1,1))*OFFSET($CH$9,CN20+2,0,1,1))+OFFSET($BO$9,CN20+2,CQ20,1,1),IF(F20&lt;OFFSET($BN$9,CN20+3,0,1,1),((F20-OFFSET($BM$9,CN20+3,0,1,1))*OFFSET($CH$9,CN20+3,0,1,1))+OFFSET($BO$9,CN20+3,CQ20,1,1),0))))))</f>
        <v>0</v>
      </c>
      <c r="DH20" s="51">
        <f ca="1">IF($F20&lt;OFFSET($BM$9,$CN20-1,0,1,1),0,IF($F20&lt;OFFSET($BN$9,$CN20-1,0,1,1),IF(AND($H20&gt;2.4,Z20&lt;&gt;"e",Z20&lt;&gt;"f"),DL20*2.4/$H20,DL20),IF($F20&lt;OFFSET($BN$9,$CN20+0,0,1,1),IF(AND($H20&gt;2.4,Z20&lt;&gt;"e",Z20&lt;&gt;"f"),DL20*2.4/$H20,DL20),IF($F20&lt;OFFSET($BN$9,$CN20+1,0,1,1),IF(AND($H20&gt;2.4,Z20&lt;&gt;"e",Z20&lt;&gt;"f"),DL20*2.4/$H20,DL20),IF($F20&lt;OFFSET($BN$9,$CN20+2,0,1,1),IF(AND($H20&gt;2.4,Z20&lt;&gt;"e",Z20&lt;&gt;"f"),DL20*2.4/$H20,DL20),IF($F20&lt;OFFSET($BN$9,$CN20+3,0,1,1),IF(AND($H20&gt;2.4,Z20&lt;&gt;"e",Z20&lt;&gt;"f"),DL20*2.4/$H20,DL20),0)))))*COS(RADIANS($G20)))</f>
        <v>0</v>
      </c>
      <c r="DI20" s="51">
        <f ca="1">IF(F20&lt;OFFSET($BM$9,CN20-1,0,1,1),0,IF(F20&lt;OFFSET($BN$9,CN20-1,0,1,1),((F20-OFFSET($BM$9,CN20-1,0,1,1))*OFFSET($CI$9,CN20-1,0,1,1))+OFFSET($BP$9,CN20-1,CQ20,1,1),IF(F20&lt;OFFSET($BN$9,CN20+0,0,1,1),((F20-OFFSET($BM$9,CN20+0,0,1,1))*OFFSET($CI$9,CN20+0,0,1,1))+OFFSET($BP$9,CN20+0,CQ20,1,1),IF(F20&lt;OFFSET($BN$9,CN20+1,0,1,1),((F20-OFFSET($BM$9,CN20+1,0,1,1))*OFFSET($CI$9,CN20+1,0,1,1))+OFFSET($BP$9,CN20+1,CQ20,1,1),IF(F20&lt;OFFSET($BN$9,CN20+2,0,1,1),((F20-OFFSET($BM$9,CN20+2,0,1,1))*OFFSET($CI$9,CN20+2,0,1,1))+OFFSET($BP$9,CN20+2,CQ20,1,1),IF(F20&lt;OFFSET($BN$9,CN20+3,0,1,1),((F20-OFFSET($BM$9,CN20+3,0,1,1))*OFFSET($CI$9,CN20+3,0,1,1))+OFFSET($BP$9,CN20+3,CQ20,1,1),0))))))</f>
        <v>0</v>
      </c>
      <c r="DJ20" s="51">
        <f ca="1">IF($F20&lt;OFFSET($BM$9,$CN20-1,0,1,1),0,IF($F20&lt;OFFSET($BN$9,$CN20-1,0,1,1),IF(AND($H20&gt;2.4,Z20&lt;&gt;"e",Z20&lt;&gt;"f"),DN20*2.4/$H20,DN20),IF($F20&lt;OFFSET($BN$9,$CN20+0,0,1,1),IF(AND($H20&gt;2.4,Z20&lt;&gt;"e",Z20&lt;&gt;"f"),DN20*2.4/$H20,DN20),IF($F20&lt;OFFSET($BN$9,$CN20+1,0,1,1),IF(AND($H20&gt;2.4,Z20&lt;&gt;"e",Z20&lt;&gt;"f"),DN20*2.4/$H20,DN20),IF($F20&lt;OFFSET($BN$9,$CN20+2,0,1,1),IF(AND($H20&gt;2.4,Z20&lt;&gt;"e",Z20&lt;&gt;"f"),DN20*2.4/$H20,DN20),IF($F20&lt;OFFSET($BN$9,$CN20+3,0,1,1),IF(AND($H20&gt;2.4,Z20&lt;&gt;"e",Z20&lt;&gt;"f"),DN20*2.4/$H20,DN20),0)))))*COS(RADIANS($G20)))</f>
        <v>0</v>
      </c>
      <c r="DK20" s="51"/>
      <c r="DL20" s="51">
        <f ca="1">IF(DG20&gt;$CR20,$CR20,DG20)</f>
        <v>0</v>
      </c>
      <c r="DM20" s="51"/>
      <c r="DN20" s="51">
        <f ca="1">IF(DI20&gt;$CR20,$CR20,DI20)</f>
        <v>0</v>
      </c>
      <c r="DO20" s="435">
        <f ca="1">IF(DH20&gt;$CR20,$CR20,DH20)</f>
        <v>0</v>
      </c>
      <c r="DP20" s="435">
        <f ca="1">DO20*F20</f>
        <v>0</v>
      </c>
      <c r="DQ20" s="436">
        <f ca="1">IF(DJ20&gt;$CR20,$CR20,DJ20)</f>
        <v>0</v>
      </c>
      <c r="DR20" s="437">
        <f ca="1">DQ20*F20</f>
        <v>0</v>
      </c>
      <c r="DS20" s="426">
        <f ca="1">OFFSET($CH$9,CL20-1,-15,1,1)</f>
        <v>0</v>
      </c>
      <c r="DT20" s="426">
        <f t="shared" ca="1" si="1"/>
        <v>0</v>
      </c>
      <c r="DU20" s="188">
        <f ca="1">IF(F20&lt;OFFSET($BM$9,DT20-1,0,1,1),0,IF(F20&lt;OFFSET($BN$9,DT20-1,0,1,1),((F20-OFFSET($BM$9,DT20-1,0,1,1))*OFFSET($CH$9,DT20-1,0,1,1))+OFFSET($BO$9,DT20-1,CQ20,1,1),IF(F20&lt;OFFSET($BN$9,DT20+0,0,1,1),((F20-OFFSET($BM$9,DT20+0,0,1,1))*OFFSET($CH$9,DT20+0,0,1,1))+OFFSET($BO$9,DT20+0,CQ20,1,1),IF(F20&lt;OFFSET($BN$9,DT20+1,0,1,1),((F20-OFFSET($BM$9,DT20+1,0,1,1))*OFFSET($CH$9,DT20+1,0,1,1))+OFFSET($BO$9,DT20+1,CQ20,1,1),IF(F20&lt;OFFSET($BN$9,DT20+2,0,1,1),((F20-OFFSET($BM$9,DT20+2,0,1,1))*OFFSET($CH$9,DT20+2,0,1,1))+OFFSET($BO$9,DT20+2,CQ20,1,1),IF(F20&lt;OFFSET($BN$9,DT20+3,0,1,1),((F20-OFFSET($BM$9,DT20+3,0,1,1))*OFFSET($CH$9,DT20+3,0,1,1))+OFFSET($BO$9,DT20+3,CQ20,1,1),0))))))</f>
        <v>0</v>
      </c>
      <c r="DV20" s="51">
        <f ca="1">IF($F20&lt;OFFSET($BM$9,$DT20-1,0,1,1),0,IF($F20&lt;OFFSET($BN$9,$DT20-1,0,1,1),IF(AND($H20&gt;2.4,Z20&lt;&gt;"e",Z20&lt;&gt;"f"),DZ20*2.4/$H20,DZ20),IF($F20&lt;OFFSET($BN$9,$DT20+0,0,1,1),IF(AND($H20&gt;2.4,Z20&lt;&gt;"e",Z20&lt;&gt;"f"),DZ20*2.4/$H20,DZ20),IF($F20&lt;OFFSET($BN$9,$DT20+1,0,1,1),IF(AND($H20&gt;2.4,Z20&lt;&gt;"e",Z20&lt;&gt;"f"),DZ20*2.4/$H20,DZ20),IF($F20&lt;OFFSET($BN$9,$DT20+2,0,1,1),IF(AND($H20&gt;2.4,Z20&lt;&gt;"e",Z20&lt;&gt;"f"),DZ20*2.4/$H20,DZ20),IF($F20&lt;OFFSET($BN$9,$DT20+3,0,1,1),IF(AND($H20&gt;2.4,Z20&lt;&gt;"e",Z20&lt;&gt;"f"),DZ20*2.4/$H20,DZ20),0)))))*COS(RADIANS($G20)))</f>
        <v>0</v>
      </c>
      <c r="DW20" s="188">
        <f ca="1">IF(F20&lt;OFFSET($BM$9,DT20-1,0,1,1),0,IF(F20&lt;OFFSET($BN$9,DT20-1,0,1,1),((F20-OFFSET($BM$9,DT20-1,0,1,1))*OFFSET($CI$9,DT20-1,0,1,1))+OFFSET($BP$9,DT20-1,CQ20,1,1),IF(F20&lt;OFFSET($BN$9,DT20+0,0,1,1),((F20-OFFSET($BM$9,DT20+0,0,1,1))*OFFSET($CI$9,DT20+0,0,1,1))+OFFSET($BP$9,DT20+0,CQ20,1,1),IF(F20&lt;OFFSET($BN$9,DT20+1,0,1,1),((F20-OFFSET($BM$9,DT20+1,0,1,1))*OFFSET($CI$9,DT20+1,0,1,1))+OFFSET($BP$9,DT20+1,CQ20,1,1),IF(F20&lt;OFFSET($BN$9,DT20+2,0,1,1),((F20-OFFSET($BM$9,DT20+2,0,1,1))*OFFSET($CI$9,DT20+2,0,1,1))+OFFSET($BP$9,DT20+2,CQ20,1,1),IF(F20&lt;OFFSET($BN$9,DT20+3,0,1,1),((F20-OFFSET($BM$9,DT20+3,0,1,1))*OFFSET($CI$9,DT20+3,0,1,1))+OFFSET($BP$9,DT20+3,CQ20,1,1),0))))))</f>
        <v>0</v>
      </c>
      <c r="DX20" s="51">
        <f ca="1">IF($F20&lt;OFFSET($BM$9,$DT20-1,0,1,1),0,IF($F20&lt;OFFSET($BN$9,$DT20-1,0,1,1),IF(AND($H20&gt;2.4,Z20&lt;&gt;"e",Z20&lt;&gt;"f"),EB20*2.4/$H20,EB20),IF($F20&lt;OFFSET($BN$9,$DT20+0,0,1,1),IF(AND($H20&gt;2.4,Z20&lt;&gt;"e",Z20&lt;&gt;"f"),EB20*2.4/$H20,EB20),IF($F20&lt;OFFSET($BN$9,$DT20+1,0,1,1),IF(AND($H20&gt;2.4,Z20&lt;&gt;"e",Z20&lt;&gt;"f"),EB20*2.4/$H20,EB20),IF($F20&lt;OFFSET($BN$9,$DT20+2,0,1,1),IF(AND($H20&gt;2.4,Z20&lt;&gt;"e",Z20&lt;&gt;"f"),EB20*2.4/$H20,EB20),IF($F20&lt;OFFSET($BN$9,$DT20+3,0,1,1),IF(AND($H20&gt;2.4,Z20&lt;&gt;"e",Z20&lt;&gt;"f"),EB20*2.4/$H20,EB20),0)))))*COS(RADIANS($G20)))</f>
        <v>0</v>
      </c>
      <c r="DY20" s="188"/>
      <c r="DZ20" s="188">
        <f ca="1">IF(DU20&gt;$CR20,$CR20,DU20)</f>
        <v>0</v>
      </c>
      <c r="EA20" s="188"/>
      <c r="EB20" s="188">
        <f ca="1">IF(DW20&gt;$CR20,$CR20,DW20)</f>
        <v>0</v>
      </c>
      <c r="EC20" s="435">
        <f ca="1">IF(DV20&gt;$CR20,$CR20,DV20)</f>
        <v>0</v>
      </c>
      <c r="ED20" s="435">
        <f ca="1">EC20*F20</f>
        <v>0</v>
      </c>
      <c r="EE20" s="436">
        <f ca="1">IF(DX20&gt;$CR20,$CR20,DX20)</f>
        <v>0</v>
      </c>
      <c r="EF20" s="437">
        <f ca="1">EE20*F20</f>
        <v>0</v>
      </c>
      <c r="EG20" s="613" t="str">
        <f>IF(D20=BG$12,BG$12,"")</f>
        <v/>
      </c>
      <c r="EH20" s="614" t="str">
        <f>IF(D20=BG$13,BG$13,"")</f>
        <v/>
      </c>
      <c r="EI20" s="611">
        <f>IF(EG20=BG$12,M20,0)</f>
        <v>0</v>
      </c>
      <c r="EJ20" s="451">
        <f>IF(EG20=BG$12,O20,0)</f>
        <v>0</v>
      </c>
      <c r="EK20" s="451">
        <f>IF(EH20=BG$13,M20,0)</f>
        <v>0</v>
      </c>
      <c r="EL20" s="612">
        <f>IF(EH20=BG$13,O20,0)</f>
        <v>0</v>
      </c>
      <c r="EM20" s="426" t="str">
        <f ca="1">IF(AND(Z20&lt;&gt;"t",Z20&lt;&gt;"f"),"",IF(AND(EN20=$BH$11,K20&lt;&gt;EN20),EM$4,IF(AND(EN20=$BH$12,K20=$BH$13),EM$4,IF(AND(EN20=$BH$12,K20=$BH$14),EM$4,IF(AND(EN20=$BH$13,K20=$BH$14),$EM$4,IF(EN20=$BH$14,$EM$4,""))))))</f>
        <v/>
      </c>
      <c r="EN20" s="489" t="str">
        <f>BG$24</f>
        <v>Earth</v>
      </c>
      <c r="EO20" s="426" t="str">
        <f>K20</f>
        <v xml:space="preserve"> </v>
      </c>
      <c r="EP20" s="497" t="str">
        <f ca="1">IF(AND(Z20&lt;&gt;"t",Z20&lt;&gt;"f"),"",IF(AND(EN20=$BH$14,K20&lt;&gt;EN20),EP$4,IF(AND(EN20=$BH$13,K20=$BH$12),EP$4,IF(AND(EN20=$BH$13,K20=$BH$11),EP$4,IF(AND(EN20=$BH$12,K20=$BH$11),$EP$4,IF(EN20=$BH$11,"Earth",""))))))</f>
        <v/>
      </c>
      <c r="EQ20" s="430" t="str">
        <f ca="1">IF(Z20&lt;&gt;"t","",IF(EQ$5=2,IF(K20&lt;&gt;BH$11,EQ$7," ")))</f>
        <v/>
      </c>
      <c r="ER20" s="439" t="str">
        <f ca="1">IF(H20=0," ",H20)</f>
        <v xml:space="preserve"> </v>
      </c>
      <c r="ES20" s="440" t="str">
        <f ca="1">IF(ER20&lt;&gt;" ",IF(ER20&lt;&gt;ER$7,"Changed",""),"")</f>
        <v/>
      </c>
      <c r="ET20" s="440">
        <f t="shared" ca="1" si="19"/>
        <v>0</v>
      </c>
      <c r="EU20" s="426" t="str">
        <f ca="1">IF(I20=" "," ",IF(F20&lt;OFFSET($BM$9,CL20-1,0,1,1),1,""))</f>
        <v xml:space="preserve"> </v>
      </c>
      <c r="EW20" s="427"/>
    </row>
    <row r="21" spans="2:153" ht="17.100000000000001" customHeight="1" thickBot="1">
      <c r="B21" s="689" t="s">
        <v>246</v>
      </c>
      <c r="C21" s="684" t="str">
        <f>IF(OR(F21=0,I21="",I21=" ")," ",$V21)</f>
        <v xml:space="preserve"> </v>
      </c>
      <c r="D21" s="1033"/>
      <c r="E21" s="1360"/>
      <c r="F21" s="202"/>
      <c r="G21" s="1416"/>
      <c r="H21" s="1417" t="str">
        <f ca="1">IF(OR(F21=0,Z21="E",Z21="f")," ",'Project Demand'!E$55)</f>
        <v xml:space="preserve"> </v>
      </c>
      <c r="I21" s="631" t="str">
        <f>IF($I$6&lt;&gt;$BG$8," ",AB21)</f>
        <v xml:space="preserve"> </v>
      </c>
      <c r="J21" s="44" t="str">
        <f ca="1">IF(OR(I21=" ",I21="")," ",OFFSET($BO$9,CL21-1,0-4,1,1))</f>
        <v xml:space="preserve"> </v>
      </c>
      <c r="K21" s="55" t="str">
        <f>IF(OR(I21=" ",I21="")," ",IF(OR(Z21="e",Z21="h"),"SD",IF(BG$24=BH$11,BH$13,BG$24)))</f>
        <v xml:space="preserve"> </v>
      </c>
      <c r="L21" s="49">
        <f ca="1">CW21</f>
        <v>0</v>
      </c>
      <c r="M21" s="49">
        <f ca="1">CY21</f>
        <v>0</v>
      </c>
      <c r="N21" s="50">
        <f t="shared" ca="1" si="23"/>
        <v>0</v>
      </c>
      <c r="O21" s="126">
        <f t="shared" ca="1" si="23"/>
        <v>0</v>
      </c>
      <c r="P21" s="140"/>
      <c r="Q21" s="752" t="str">
        <f ca="1">IF(AND(OR(Z21="t",Z21="f"),K21=$BH$11),"No Floor!  Change Floor Type",IF(OR(I21=" ",I21="")," ",IF(F21&lt;OFFSET($BM$9,CL21-1,0,1,1),"check L(m)",DE21&amp;IF(AND(DP21&gt;=CY21,DR21&gt;=DB21),IF(AND(ED21&gt;=DP21,EF21&gt;=DR21),CONCATENATE(DS21," will provide same result"),CONCATENATE(CO21," will provide same result")),IF((DP21&gt;=CY21),CONCATENATE(CO21," provides same result in WIND"),IF((DR21&gt;=DB21),CONCATENATE(CO21," provides same result in EQ"),""))))))&amp;IF(ISERROR(FIND("pile",I21,1)),"",IF(INT(F21)&lt;&gt;F21,"Pile!  Use Whole Numbers Only",""))</f>
        <v xml:space="preserve"> </v>
      </c>
      <c r="R21" s="52"/>
      <c r="S21" s="1372"/>
      <c r="T21" s="52"/>
      <c r="U21" s="1377"/>
      <c r="V21" s="52" t="str">
        <f ca="1">IF(AND(B$5=$BF$9,OR(I21=BH$16,I21=BH$17))," ",IF(ISNUMBER(B$20),(CONCATENATE(B$20,".",W21)),(CONCATENATE(B$20,W21))))</f>
        <v>O0</v>
      </c>
      <c r="W21" s="9">
        <f ca="1">W20+X21</f>
        <v>0</v>
      </c>
      <c r="X21" s="9">
        <f>IF(AND(B$5=$BF$9,OR($I21=$BH$16,$I21=$BH$17,$I21=" ",$I21="",$F21=0)),0,IF(OR($I21=" ",$I21="",$F21=0),0,1))</f>
        <v>0</v>
      </c>
      <c r="Y21" s="896"/>
      <c r="Z21" s="52" t="str">
        <f ca="1">IF(I21=" "," ",OFFSET($BM$9,$CL21-1,8,1,1))</f>
        <v xml:space="preserve"> </v>
      </c>
      <c r="AA21" s="51" t="str">
        <f>IF(G21&gt;=45,"WA","")</f>
        <v/>
      </c>
      <c r="AB21" s="1364" t="str">
        <f>IF(OR(E21=" ",E21="")," ",(IF(F21&lt;&gt;"",IF(OR(D21=$BG$12,D21=$BG$13),IF(E21&lt;&gt;$BG$17,$BF$20,$BF$21),IF(E21&lt;&gt;$BG$17,$BF$20,$BF$21))," ")))</f>
        <v xml:space="preserve"> </v>
      </c>
      <c r="AC21" s="1"/>
      <c r="AJ21" s="29"/>
      <c r="AK21" s="30"/>
      <c r="AL21" s="30"/>
      <c r="AM21" s="32"/>
      <c r="AN21" s="32"/>
      <c r="AO21" s="32"/>
      <c r="AP21" s="32"/>
      <c r="AQ21" s="32"/>
      <c r="AR21" s="32"/>
      <c r="AS21" s="32"/>
      <c r="AT21" s="40"/>
      <c r="AU21" s="477"/>
      <c r="AV21" s="40"/>
      <c r="AW21" s="40"/>
      <c r="AX21" s="40"/>
      <c r="AY21" s="40"/>
      <c r="AZ21" s="40"/>
      <c r="BA21" s="40"/>
      <c r="BB21" s="40"/>
      <c r="BC21" s="40"/>
      <c r="BD21" s="2648"/>
      <c r="BF21" s="598" t="str">
        <f>Table!AI77</f>
        <v>ER2</v>
      </c>
      <c r="BI21" s="759"/>
      <c r="BJ21" s="897">
        <f t="shared" si="6"/>
        <v>13</v>
      </c>
      <c r="BK21" s="769" t="str">
        <f t="shared" si="7"/>
        <v xml:space="preserve">  </v>
      </c>
      <c r="BL21" s="771" t="str">
        <f t="shared" si="8"/>
        <v>Custom10</v>
      </c>
      <c r="BM21" s="455">
        <f t="shared" si="9"/>
        <v>9.9999999999999996E-76</v>
      </c>
      <c r="BN21" s="455">
        <v>999</v>
      </c>
      <c r="BO21" s="455">
        <f t="shared" si="10"/>
        <v>0</v>
      </c>
      <c r="BP21" s="925">
        <f t="shared" si="11"/>
        <v>0</v>
      </c>
      <c r="BR21" s="764"/>
      <c r="BS21" s="455"/>
      <c r="BT21" s="455" t="str">
        <f t="shared" si="12"/>
        <v>B</v>
      </c>
      <c r="BU21" s="925" t="str">
        <f t="shared" si="13"/>
        <v>T</v>
      </c>
      <c r="BV21" s="483" t="str">
        <f t="shared" si="14"/>
        <v>Custom10</v>
      </c>
      <c r="BW21" s="910">
        <f t="shared" si="21"/>
        <v>13</v>
      </c>
      <c r="BX21" s="924" t="str">
        <f t="shared" si="15"/>
        <v>Single</v>
      </c>
      <c r="CH21" s="764">
        <f t="shared" si="16"/>
        <v>0</v>
      </c>
      <c r="CI21" s="925">
        <f t="shared" si="17"/>
        <v>0</v>
      </c>
      <c r="CJ21" s="759"/>
      <c r="CK21" s="188"/>
      <c r="CL21" s="979">
        <f>VLOOKUP(I21,Prodlink,2,0)</f>
        <v>0</v>
      </c>
      <c r="CN21" s="497">
        <f t="shared" ca="1" si="2"/>
        <v>0</v>
      </c>
      <c r="CO21" s="497">
        <f ca="1">OFFSET($CH$9,CL21-1,-15,1,1)</f>
        <v>0</v>
      </c>
      <c r="CQ21" s="51">
        <v>0</v>
      </c>
      <c r="CR21" s="51">
        <f t="shared" ref="CR21:CR24" ca="1" si="24">IF(AND(Z21&lt;&gt;"t",Z21&lt;&gt;"f"),10000,IF(K21=$BH$11,0,IF(K21=$BH$12,$BH$23,IF(K21=$BH$13,$BH$24,10000))))</f>
        <v>10000</v>
      </c>
      <c r="CS21" s="51">
        <f ca="1">IF(F21&lt;OFFSET($BM$9,CL21-1,0,1,1),0,IF(F21&lt;OFFSET($BN$9,CL21-1,0,1,1),((F21-OFFSET($BM$9,CL21-1,0,1,1))*OFFSET($CH$9,CL21-1,0,1,1))+OFFSET($BO$9,CL21-1,CQ21,1,1),IF(F21&lt;OFFSET($BN$9,CL21+0,0,1,1),((F21-OFFSET($BM$9,CL21+0,0,1,1))*OFFSET($CH$9,CL21+0,0,1,1))+OFFSET($BO$9,CL21+0,CQ21,1,1),IF(F21&lt;OFFSET($BN$9,CL21+1,0,1,1),((F21-OFFSET($BM$9,CL21+1,0,1,1))*OFFSET($CH$9,CL21+1,0,1,1))+OFFSET($BO$9,CL21+1,CQ21,1,1),IF(F21&lt;OFFSET($BN$9,CL21+2,0,1,1),((F21-OFFSET($BM$9,CL21+2,0,1,1))*OFFSET($CH$9,CL21+2,0,1,1))+OFFSET($BO$9,CL21+2,CQ21,1,1),IF(F21&lt;OFFSET($BN$9,CL21+3,0,1,1),((F21-OFFSET($BM$9,CL21+3,0,1,1))*OFFSET($CH$9,CL21+3,0,1,1))+OFFSET($BO$9,CL21+3,CQ21,1,1),0))))))</f>
        <v>0</v>
      </c>
      <c r="CT21" s="51">
        <f ca="1">IF($F21&lt;OFFSET($BM$9,$CL21-1,0,1,1),0,IF($F21&lt;OFFSET($BN$9,$CL21-1,0,1,1),IF(AND($H21&gt;2.4,Z21&lt;&gt;"e",Z21&lt;&gt;"f"),CX21*2.4/$H21,CX21),IF($F21&lt;OFFSET($BN$9,$CL21+0,0,1,1),IF(AND($H21&gt;2.4,Z21&lt;&gt;"e",Z21&lt;&gt;"f"),CX21*2.4/$H21,CX21),IF($F21&lt;OFFSET($BN$9,$CL21+1,0,1,1),IF(AND($H21&gt;2.4,Z21&lt;&gt;"e",Z21&lt;&gt;"f"),CX21*2.4/$H21,CX21),IF($F21&lt;OFFSET($BN$9,CL21+2,0,1,1),IF(AND($H21&gt;2.4,Z21&lt;&gt;"e",Z21&lt;&gt;"f"),CX21*2.4/$H21,CX21),IF($F21&lt;OFFSET($BN$9,CL21+3,0,1,1),IF(AND($H21&gt;2.4,Z21&lt;&gt;"e",Z21&lt;&gt;"f"),CX21*2.4/$H21,CX21),0)))))*COS(RADIANS($G21)))</f>
        <v>0</v>
      </c>
      <c r="CU21" s="51">
        <f ca="1">IF(F21&lt;OFFSET($BM$9,CL21-1,0,1,1),0,IF(F21&lt;OFFSET($BN$9,CL21-1,0,1,1),((F21-OFFSET($BM$9,CL21-1,0,1,1))*OFFSET($CI$9,CL21-1,0,1,1))+OFFSET($BP$9,CL21-1,CQ21,1,1),IF(F21&lt;OFFSET($BN$9,CL21+0,0,1,1),((F21-OFFSET($BM$9,CL21+0,0,1,1))*OFFSET($CI$9,CL21+0,0,1,1))+OFFSET($BP$9,CL21+0,CQ21,1,1),IF(F21&lt;OFFSET($BN$9,CL21+1,0,1,1),((F21-OFFSET($BM$9,CL21+1,0,1,1))*OFFSET($CI$9,CL21+1,0,1,1))+OFFSET($BP$9,CL21+1,CQ21,1,1),IF(F21&lt;OFFSET($BN$9,CL21+2,0,1,1),((F21-OFFSET($BM$9,CL21+2,0,1,1))*OFFSET($CI$9,CL21+2,0,1,1))+OFFSET($BP$9,CL21+2,CQ21,1,1),IF(F21&lt;OFFSET($BN$9,CL21+3,0,1,1),((F21-OFFSET($BM$9,CL21+3,0,1,1))*OFFSET($CI$9,CL21+3,0,1,1))+OFFSET($BP$9,CL21+3,CQ21,1,1),0))))))</f>
        <v>0</v>
      </c>
      <c r="CV21" s="51">
        <f ca="1">IF($F21&lt;OFFSET($BM$9,$CL21-1,0,1,1),0,IF($F21&lt;OFFSET($BN$9,$CL21-1,0,1,1),IF(AND($H21&gt;2.4,Z21&lt;&gt;"e",Z21&lt;&gt;"f"),CZ21*2.4/$H21,CZ21),IF($F21&lt;OFFSET($BN$9,$CL21+0,0,1,1),IF(AND($H21&gt;2.4,Z21&lt;&gt;"e",Z21&lt;&gt;"f"),CZ21*2.4/$H21,CZ21),IF($F21&lt;OFFSET($BN$9,$CL21+1,0,1,1),IF(AND($H21&gt;2.4,Z21&lt;&gt;"e",Z21&lt;&gt;"f"),CZ21*2.4/$H21,CZ21),IF($F21&lt;OFFSET($BN$9,$CL21+2,0,1,1),IF(AND($H21&gt;2.4,Z21&lt;&gt;"e",Z21&lt;&gt;"f"),CZ21*2.4/$H21,CZ21),IF($F21&lt;OFFSET($BN$9,$CL21+3,0,1,1),IF(AND($H21&gt;2.4,Z21&lt;&gt;"e",Z21&lt;&gt;"f"),CZ21*2.4/$H21,CZ21),0)))))*COS(RADIANS($G21)))</f>
        <v>0</v>
      </c>
      <c r="CW21" s="51">
        <f t="shared" ca="1" si="18"/>
        <v>0</v>
      </c>
      <c r="CX21" s="51">
        <f ca="1">IF(CS21&gt;$CR21,$CR21,CS21)</f>
        <v>0</v>
      </c>
      <c r="CY21" s="51">
        <f ca="1">CW21*F21</f>
        <v>0</v>
      </c>
      <c r="CZ21" s="51">
        <f ca="1">IF($CU21&gt;$CR21,$CR21,$CU21)</f>
        <v>0</v>
      </c>
      <c r="DA21" s="51">
        <f ca="1">IF(CV21&gt;CR21,CR21,CV21)</f>
        <v>0</v>
      </c>
      <c r="DB21" s="51">
        <f ca="1">DA21*F21</f>
        <v>0</v>
      </c>
      <c r="DC21" s="993">
        <v>2</v>
      </c>
      <c r="DD21" s="758" t="str">
        <f>IF(OR(D21=BG$12,D21=BG$13),"External",IF(D21=BG$14,"Internal"," "))</f>
        <v xml:space="preserve"> </v>
      </c>
      <c r="DE21" s="51" t="str">
        <f t="shared" ca="1" si="4"/>
        <v/>
      </c>
      <c r="DF21" s="52" t="str">
        <f t="shared" ca="1" si="5"/>
        <v xml:space="preserve"> </v>
      </c>
      <c r="DG21" s="51">
        <f ca="1">IF(F21&lt;OFFSET($BM$9,CN21-1,0,1,1),0,IF(F21&lt;OFFSET($BN$9,CN21-1,0,1,1),((F21-OFFSET($BM$9,CN21-1,0,1,1))*OFFSET($CH$9,CN21-1,0,1,1))+OFFSET($BO$9,CN21-1,CQ21,1,1),IF(F21&lt;OFFSET($BN$9,CN21+0,0,1,1),((F21-OFFSET($BM$9,CN21+0,0,1,1))*OFFSET($CH$9,CN21+0,0,1,1))+OFFSET($BO$9,CN21+0,CQ21,1,1),IF(F21&lt;OFFSET($BN$9,CN21+1,0,1,1),((F21-OFFSET($BM$9,CN21+1,0,1,1))*OFFSET($CH$9,CN21+1,0,1,1))+OFFSET($BO$9,CN21+1,CQ21,1,1),IF(F21&lt;OFFSET($BN$9,CN21+2,0,1,1),((F21-OFFSET($BM$9,CN21+2,0,1,1))*OFFSET($CH$9,CN21+2,0,1,1))+OFFSET($BO$9,CN21+2,CQ21,1,1),IF(F21&lt;OFFSET($BN$9,CN21+3,0,1,1),((F21-OFFSET($BM$9,CN21+3,0,1,1))*OFFSET($CH$9,CN21+3,0,1,1))+OFFSET($BO$9,CN21+3,CQ21,1,1),0))))))</f>
        <v>0</v>
      </c>
      <c r="DH21" s="51">
        <f ca="1">IF($F21&lt;OFFSET($BM$9,$CN21-1,0,1,1),0,IF($F21&lt;OFFSET($BN$9,$CN21-1,0,1,1),IF(AND($H21&gt;2.4,Z21&lt;&gt;"e",Z21&lt;&gt;"f"),DL21*2.4/$H21,DL21),IF($F21&lt;OFFSET($BN$9,$CN21+0,0,1,1),IF(AND($H21&gt;2.4,Z21&lt;&gt;"e",Z21&lt;&gt;"f"),DL21*2.4/$H21,DL21),IF($F21&lt;OFFSET($BN$9,$CN21+1,0,1,1),IF(AND($H21&gt;2.4,Z21&lt;&gt;"e",Z21&lt;&gt;"f"),DL21*2.4/$H21,DL21),IF($F21&lt;OFFSET($BN$9,$CN21+2,0,1,1),IF(AND($H21&gt;2.4,Z21&lt;&gt;"e",Z21&lt;&gt;"f"),DL21*2.4/$H21,DL21),IF($F21&lt;OFFSET($BN$9,$CN21+3,0,1,1),IF(AND($H21&gt;2.4,Z21&lt;&gt;"e",Z21&lt;&gt;"f"),DL21*2.4/$H21,DL21),0)))))*COS(RADIANS($G21)))</f>
        <v>0</v>
      </c>
      <c r="DI21" s="51">
        <f ca="1">IF(F21&lt;OFFSET($BM$9,CN21-1,0,1,1),0,IF(F21&lt;OFFSET($BN$9,CN21-1,0,1,1),((F21-OFFSET($BM$9,CN21-1,0,1,1))*OFFSET($CI$9,CN21-1,0,1,1))+OFFSET($BP$9,CN21-1,CQ21,1,1),IF(F21&lt;OFFSET($BN$9,CN21+0,0,1,1),((F21-OFFSET($BM$9,CN21+0,0,1,1))*OFFSET($CI$9,CN21+0,0,1,1))+OFFSET($BP$9,CN21+0,CQ21,1,1),IF(F21&lt;OFFSET($BN$9,CN21+1,0,1,1),((F21-OFFSET($BM$9,CN21+1,0,1,1))*OFFSET($CI$9,CN21+1,0,1,1))+OFFSET($BP$9,CN21+1,CQ21,1,1),IF(F21&lt;OFFSET($BN$9,CN21+2,0,1,1),((F21-OFFSET($BM$9,CN21+2,0,1,1))*OFFSET($CI$9,CN21+2,0,1,1))+OFFSET($BP$9,CN21+2,CQ21,1,1),IF(F21&lt;OFFSET($BN$9,CN21+3,0,1,1),((F21-OFFSET($BM$9,CN21+3,0,1,1))*OFFSET($CI$9,CN21+3,0,1,1))+OFFSET($BP$9,CN21+3,CQ21,1,1),0))))))</f>
        <v>0</v>
      </c>
      <c r="DJ21" s="51">
        <f ca="1">IF($F21&lt;OFFSET($BM$9,$CN21-1,0,1,1),0,IF($F21&lt;OFFSET($BN$9,$CN21-1,0,1,1),IF(AND($H21&gt;2.4,Z21&lt;&gt;"e",Z21&lt;&gt;"f"),DN21*2.4/$H21,DN21),IF($F21&lt;OFFSET($BN$9,$CN21+0,0,1,1),IF(AND($H21&gt;2.4,Z21&lt;&gt;"e",Z21&lt;&gt;"f"),DN21*2.4/$H21,DN21),IF($F21&lt;OFFSET($BN$9,$CN21+1,0,1,1),IF(AND($H21&gt;2.4,Z21&lt;&gt;"e",Z21&lt;&gt;"f"),DN21*2.4/$H21,DN21),IF($F21&lt;OFFSET($BN$9,$CN21+2,0,1,1),IF(AND($H21&gt;2.4,Z21&lt;&gt;"e",Z21&lt;&gt;"f"),DN21*2.4/$H21,DN21),IF($F21&lt;OFFSET($BN$9,$CN21+3,0,1,1),IF(AND($H21&gt;2.4,Z21&lt;&gt;"e",Z21&lt;&gt;"f"),DN21*2.4/$H21,DN21),0)))))*COS(RADIANS($G21)))</f>
        <v>0</v>
      </c>
      <c r="DK21" s="51"/>
      <c r="DL21" s="51">
        <f ca="1">IF(DG21&gt;$CR21,$CR21,DG21)</f>
        <v>0</v>
      </c>
      <c r="DM21" s="51"/>
      <c r="DN21" s="51">
        <f ca="1">IF(DI21&gt;$CR21,$CR21,DI21)</f>
        <v>0</v>
      </c>
      <c r="DO21" s="435">
        <f ca="1">IF(DH21&gt;$CR21,$CR21,DH21)</f>
        <v>0</v>
      </c>
      <c r="DP21" s="435">
        <f ca="1">DO21*F21</f>
        <v>0</v>
      </c>
      <c r="DQ21" s="436">
        <f ca="1">IF(DJ21&gt;$CR21,$CR21,DJ21)</f>
        <v>0</v>
      </c>
      <c r="DR21" s="437">
        <f ca="1">DQ21*F21</f>
        <v>0</v>
      </c>
      <c r="DS21" s="426">
        <f ca="1">OFFSET($CH$9,CL21-1,-15,1,1)</f>
        <v>0</v>
      </c>
      <c r="DT21" s="426">
        <f t="shared" ca="1" si="1"/>
        <v>0</v>
      </c>
      <c r="DU21" s="188">
        <f ca="1">IF(F21&lt;OFFSET($BM$9,DT21-1,0,1,1),0,IF(F21&lt;OFFSET($BN$9,DT21-1,0,1,1),((F21-OFFSET($BM$9,DT21-1,0,1,1))*OFFSET($CH$9,DT21-1,0,1,1))+OFFSET($BO$9,DT21-1,CQ21,1,1),IF(F21&lt;OFFSET($BN$9,DT21+0,0,1,1),((F21-OFFSET($BM$9,DT21+0,0,1,1))*OFFSET($CH$9,DT21+0,0,1,1))+OFFSET($BO$9,DT21+0,CQ21,1,1),IF(F21&lt;OFFSET($BN$9,DT21+1,0,1,1),((F21-OFFSET($BM$9,DT21+1,0,1,1))*OFFSET($CH$9,DT21+1,0,1,1))+OFFSET($BO$9,DT21+1,CQ21,1,1),IF(F21&lt;OFFSET($BN$9,DT21+2,0,1,1),((F21-OFFSET($BM$9,DT21+2,0,1,1))*OFFSET($CH$9,DT21+2,0,1,1))+OFFSET($BO$9,DT21+2,CQ21,1,1),IF(F21&lt;OFFSET($BN$9,DT21+3,0,1,1),((F21-OFFSET($BM$9,DT21+3,0,1,1))*OFFSET($CH$9,DT21+3,0,1,1))+OFFSET($BO$9,DT21+3,CQ21,1,1),0))))))</f>
        <v>0</v>
      </c>
      <c r="DV21" s="51">
        <f ca="1">IF($F21&lt;OFFSET($BM$9,$DT21-1,0,1,1),0,IF($F21&lt;OFFSET($BN$9,$DT21-1,0,1,1),IF(AND($H21&gt;2.4,Z21&lt;&gt;"e",Z21&lt;&gt;"f"),DZ21*2.4/$H21,DZ21),IF($F21&lt;OFFSET($BN$9,$DT21+0,0,1,1),IF(AND($H21&gt;2.4,Z21&lt;&gt;"e",Z21&lt;&gt;"f"),DZ21*2.4/$H21,DZ21),IF($F21&lt;OFFSET($BN$9,$DT21+1,0,1,1),IF(AND($H21&gt;2.4,Z21&lt;&gt;"e",Z21&lt;&gt;"f"),DZ21*2.4/$H21,DZ21),IF($F21&lt;OFFSET($BN$9,$DT21+2,0,1,1),IF(AND($H21&gt;2.4,Z21&lt;&gt;"e",Z21&lt;&gt;"f"),DZ21*2.4/$H21,DZ21),IF($F21&lt;OFFSET($BN$9,$DT21+3,0,1,1),IF(AND($H21&gt;2.4,Z21&lt;&gt;"e",Z21&lt;&gt;"f"),DZ21*2.4/$H21,DZ21),0)))))*COS(RADIANS($G21)))</f>
        <v>0</v>
      </c>
      <c r="DW21" s="188">
        <f ca="1">IF(F21&lt;OFFSET($BM$9,DT21-1,0,1,1),0,IF(F21&lt;OFFSET($BN$9,DT21-1,0,1,1),((F21-OFFSET($BM$9,DT21-1,0,1,1))*OFFSET($CI$9,DT21-1,0,1,1))+OFFSET($BP$9,DT21-1,CQ21,1,1),IF(F21&lt;OFFSET($BN$9,DT21+0,0,1,1),((F21-OFFSET($BM$9,DT21+0,0,1,1))*OFFSET($CI$9,DT21+0,0,1,1))+OFFSET($BP$9,DT21+0,CQ21,1,1),IF(F21&lt;OFFSET($BN$9,DT21+1,0,1,1),((F21-OFFSET($BM$9,DT21+1,0,1,1))*OFFSET($CI$9,DT21+1,0,1,1))+OFFSET($BP$9,DT21+1,CQ21,1,1),IF(F21&lt;OFFSET($BN$9,DT21+2,0,1,1),((F21-OFFSET($BM$9,DT21+2,0,1,1))*OFFSET($CI$9,DT21+2,0,1,1))+OFFSET($BP$9,DT21+2,CQ21,1,1),IF(F21&lt;OFFSET($BN$9,DT21+3,0,1,1),((F21-OFFSET($BM$9,DT21+3,0,1,1))*OFFSET($CI$9,DT21+3,0,1,1))+OFFSET($BP$9,DT21+3,CQ21,1,1),0))))))</f>
        <v>0</v>
      </c>
      <c r="DX21" s="51">
        <f ca="1">IF($F21&lt;OFFSET($BM$9,$DT21-1,0,1,1),0,IF($F21&lt;OFFSET($BN$9,$DT21-1,0,1,1),IF(AND($H21&gt;2.4,Z21&lt;&gt;"e",Z21&lt;&gt;"f"),EB21*2.4/$H21,EB21),IF($F21&lt;OFFSET($BN$9,$DT21+0,0,1,1),IF(AND($H21&gt;2.4,Z21&lt;&gt;"e",Z21&lt;&gt;"f"),EB21*2.4/$H21,EB21),IF($F21&lt;OFFSET($BN$9,$DT21+1,0,1,1),IF(AND($H21&gt;2.4,Z21&lt;&gt;"e",Z21&lt;&gt;"f"),EB21*2.4/$H21,EB21),IF($F21&lt;OFFSET($BN$9,$DT21+2,0,1,1),IF(AND($H21&gt;2.4,Z21&lt;&gt;"e",Z21&lt;&gt;"f"),EB21*2.4/$H21,EB21),IF($F21&lt;OFFSET($BN$9,$DT21+3,0,1,1),IF(AND($H21&gt;2.4,Z21&lt;&gt;"e",Z21&lt;&gt;"f"),EB21*2.4/$H21,EB21),0)))))*COS(RADIANS($G21)))</f>
        <v>0</v>
      </c>
      <c r="DY21" s="188"/>
      <c r="DZ21" s="188">
        <f ca="1">IF(DU21&gt;$CR21,$CR21,DU21)</f>
        <v>0</v>
      </c>
      <c r="EA21" s="188"/>
      <c r="EB21" s="188">
        <f ca="1">IF(DW21&gt;$CR21,$CR21,DW21)</f>
        <v>0</v>
      </c>
      <c r="EC21" s="435">
        <f ca="1">IF(DV21&gt;$CR21,$CR21,DV21)</f>
        <v>0</v>
      </c>
      <c r="ED21" s="435">
        <f ca="1">EC21*F21</f>
        <v>0</v>
      </c>
      <c r="EE21" s="436">
        <f ca="1">IF(DX21&gt;$CR21,$CR21,DX21)</f>
        <v>0</v>
      </c>
      <c r="EF21" s="437">
        <f ca="1">EE21*F21</f>
        <v>0</v>
      </c>
      <c r="EG21" s="613" t="str">
        <f>IF(D21=BG$12,BG$12,"")</f>
        <v/>
      </c>
      <c r="EH21" s="614" t="str">
        <f>IF(D21=BG$13,BG$13,"")</f>
        <v/>
      </c>
      <c r="EI21" s="611">
        <f>IF(EG21=BG$12,M21,0)</f>
        <v>0</v>
      </c>
      <c r="EJ21" s="451">
        <f>IF(EG21=BG$12,O21,0)</f>
        <v>0</v>
      </c>
      <c r="EK21" s="451">
        <f>IF(EH21=BG$13,M21,0)</f>
        <v>0</v>
      </c>
      <c r="EL21" s="612">
        <f>IF(EH21=BG$13,O21,0)</f>
        <v>0</v>
      </c>
      <c r="EM21" s="426" t="str">
        <f ca="1">IF(AND(Z21&lt;&gt;"t",Z21&lt;&gt;"f"),"",IF(AND(EN21=$BH$11,K21&lt;&gt;EN21),EM$4,IF(AND(EN21=$BH$12,K21=$BH$13),EM$4,IF(AND(EN21=$BH$12,K21=$BH$14),EM$4,IF(AND(EN21=$BH$13,K21=$BH$14),$EM$4,IF(EN21=$BH$14,$EM$4,""))))))</f>
        <v/>
      </c>
      <c r="EN21" s="489" t="str">
        <f>BG$24</f>
        <v>Earth</v>
      </c>
      <c r="EO21" s="426" t="str">
        <f>K21</f>
        <v xml:space="preserve"> </v>
      </c>
      <c r="EP21" s="497" t="str">
        <f ca="1">IF(AND(Z21&lt;&gt;"t",Z21&lt;&gt;"f"),"",IF(AND(EN21=$BH$14,K21&lt;&gt;EN21),EP$4,IF(AND(EN21=$BH$13,K21=$BH$12),EP$4,IF(AND(EN21=$BH$13,K21=$BH$11),EP$4,IF(AND(EN21=$BH$12,K21=$BH$11),$EP$4,IF(EN21=$BH$11,"Earth",""))))))</f>
        <v/>
      </c>
      <c r="EQ21" s="430" t="str">
        <f ca="1">IF(Z21&lt;&gt;"t","",IF(EQ$5=2,IF(K21&lt;&gt;BH$11,EQ$7," ")))</f>
        <v/>
      </c>
      <c r="ER21" s="439" t="str">
        <f ca="1">IF(H21=0," ",H21)</f>
        <v xml:space="preserve"> </v>
      </c>
      <c r="ES21" s="440" t="str">
        <f ca="1">IF(ER21&lt;&gt;" ",IF(ER21&lt;&gt;ER$7,"Changed",""),"")</f>
        <v/>
      </c>
      <c r="ET21" s="440">
        <f t="shared" ca="1" si="19"/>
        <v>0</v>
      </c>
      <c r="EU21" s="426" t="str">
        <f ca="1">IF(I21=" "," ",IF(F21&lt;OFFSET($BM$9,CL21-1,0,1,1),1,""))</f>
        <v xml:space="preserve"> </v>
      </c>
      <c r="EW21" s="427"/>
    </row>
    <row r="22" spans="2:153" ht="17.100000000000001" customHeight="1" thickBot="1">
      <c r="B22" s="689" t="s">
        <v>246</v>
      </c>
      <c r="C22" s="684" t="str">
        <f>IF(OR(F22=0,I22="",I22=" ")," ",$V22)</f>
        <v xml:space="preserve"> </v>
      </c>
      <c r="D22" s="1033"/>
      <c r="E22" s="1360"/>
      <c r="F22" s="202"/>
      <c r="G22" s="1416"/>
      <c r="H22" s="1417" t="str">
        <f ca="1">IF(OR(F22=0,Z22="E",Z22="f")," ",'Project Demand'!E$55)</f>
        <v xml:space="preserve"> </v>
      </c>
      <c r="I22" s="631" t="str">
        <f>IF($I$6&lt;&gt;$BG$8," ",AB22)</f>
        <v xml:space="preserve"> </v>
      </c>
      <c r="J22" s="44" t="str">
        <f ca="1">IF(OR(I22=" ",I22="")," ",OFFSET($BO$9,CL22-1,0-4,1,1))</f>
        <v xml:space="preserve"> </v>
      </c>
      <c r="K22" s="55" t="str">
        <f>IF(OR(I22=" ",I22="")," ",IF(OR(Z22="e",Z22="h"),"SD",IF(BG$24=BH$11,BH$13,BG$24)))</f>
        <v xml:space="preserve"> </v>
      </c>
      <c r="L22" s="49">
        <f ca="1">CW22</f>
        <v>0</v>
      </c>
      <c r="M22" s="49">
        <f ca="1">CY22</f>
        <v>0</v>
      </c>
      <c r="N22" s="50">
        <f t="shared" ca="1" si="23"/>
        <v>0</v>
      </c>
      <c r="O22" s="126">
        <f t="shared" ca="1" si="23"/>
        <v>0</v>
      </c>
      <c r="P22" s="140"/>
      <c r="Q22" s="752" t="str">
        <f ca="1">IF(AND(OR(Z22="t",Z22="f"),K22=$BH$11),"No Floor!  Change Floor Type",IF(OR(I22=" ",I22="")," ",IF(F22&lt;OFFSET($BM$9,CL22-1,0,1,1),"check L(m)",DE22&amp;IF(AND(DP22&gt;=CY22,DR22&gt;=DB22),IF(AND(ED22&gt;=DP22,EF22&gt;=DR22),CONCATENATE(DS22," will provide same result"),CONCATENATE(CO22," will provide same result")),IF((DP22&gt;=CY22),CONCATENATE(CO22," provides same result in WIND"),IF((DR22&gt;=DB22),CONCATENATE(CO22," provides same result in EQ"),""))))))&amp;IF(ISERROR(FIND("pile",I22,1)),"",IF(INT(F22)&lt;&gt;F22,"Pile!  Use Whole Numbers Only",""))</f>
        <v xml:space="preserve"> </v>
      </c>
      <c r="R22" s="52"/>
      <c r="S22" s="1372"/>
      <c r="T22" s="52"/>
      <c r="U22" s="1377"/>
      <c r="V22" s="52" t="str">
        <f ca="1">IF(AND(B$5=$BF$9,OR(I22=BH$16,I22=BH$17))," ",IF(ISNUMBER(B$20),(CONCATENATE(B$20,".",W22)),(CONCATENATE(B$20,W22))))</f>
        <v>O0</v>
      </c>
      <c r="W22" s="9">
        <f ca="1">W21+X22</f>
        <v>0</v>
      </c>
      <c r="X22" s="9">
        <f>IF(AND(B$5=$BF$9,OR($I22=$BH$16,$I22=$BH$17,$I22=" ",$I22="",$F22=0)),0,IF(OR($I22=" ",$I22="",$F22=0),0,1))</f>
        <v>0</v>
      </c>
      <c r="Y22" s="896"/>
      <c r="Z22" s="52" t="str">
        <f ca="1">IF(I22=" "," ",OFFSET($BM$9,$CL22-1,8,1,1))</f>
        <v xml:space="preserve"> </v>
      </c>
      <c r="AA22" s="51" t="str">
        <f>IF(G22&gt;=45,"WA","")</f>
        <v/>
      </c>
      <c r="AB22" s="1364" t="str">
        <f>IF(OR(E22=" ",E22="")," ",(IF(F22&lt;&gt;"",IF(OR(D22=$BG$12,D22=$BG$13),IF(E22&lt;&gt;$BG$17,$BF$20,$BF$21),IF(E22&lt;&gt;$BG$17,$BF$20,$BF$21))," ")))</f>
        <v xml:space="preserve"> </v>
      </c>
      <c r="AC22" s="1"/>
      <c r="AJ22" s="29"/>
      <c r="AK22" s="30"/>
      <c r="AL22" s="30"/>
      <c r="AM22" s="32"/>
      <c r="AN22" s="32"/>
      <c r="AO22" s="32"/>
      <c r="AP22" s="32"/>
      <c r="AQ22" s="32"/>
      <c r="AR22" s="32"/>
      <c r="AS22" s="32"/>
      <c r="AT22" s="41"/>
      <c r="AU22" s="477"/>
      <c r="AV22" s="41"/>
      <c r="AW22" s="41"/>
      <c r="AX22" s="41"/>
      <c r="AY22" s="41"/>
      <c r="AZ22" s="41"/>
      <c r="BA22" s="41"/>
      <c r="BB22" s="41"/>
      <c r="BC22" s="41"/>
      <c r="BD22" s="2648"/>
      <c r="BF22" s="1363" t="s">
        <v>8</v>
      </c>
      <c r="BG22" s="1003" t="s">
        <v>674</v>
      </c>
      <c r="BH22" s="1004"/>
      <c r="BI22" s="759"/>
      <c r="BJ22" s="897">
        <f t="shared" si="6"/>
        <v>14</v>
      </c>
      <c r="BK22" s="769" t="str">
        <f t="shared" si="7"/>
        <v xml:space="preserve">  </v>
      </c>
      <c r="BL22" s="771" t="str">
        <f t="shared" si="8"/>
        <v>Custom11</v>
      </c>
      <c r="BM22" s="455">
        <f t="shared" si="9"/>
        <v>9.9999999999999996E-76</v>
      </c>
      <c r="BN22" s="455">
        <v>999</v>
      </c>
      <c r="BO22" s="455">
        <f t="shared" si="10"/>
        <v>0</v>
      </c>
      <c r="BP22" s="925">
        <f t="shared" si="11"/>
        <v>0</v>
      </c>
      <c r="BR22" s="764"/>
      <c r="BS22" s="455"/>
      <c r="BT22" s="455" t="str">
        <f t="shared" si="12"/>
        <v>B</v>
      </c>
      <c r="BU22" s="925" t="str">
        <f t="shared" si="13"/>
        <v>T</v>
      </c>
      <c r="BV22" s="483" t="str">
        <f t="shared" si="14"/>
        <v>Custom11</v>
      </c>
      <c r="BW22" s="910">
        <f t="shared" si="21"/>
        <v>14</v>
      </c>
      <c r="BX22" s="924" t="str">
        <f t="shared" si="15"/>
        <v>Single</v>
      </c>
      <c r="CH22" s="764">
        <f t="shared" si="16"/>
        <v>0</v>
      </c>
      <c r="CI22" s="925">
        <f t="shared" si="17"/>
        <v>0</v>
      </c>
      <c r="CJ22" s="759"/>
      <c r="CK22" s="188"/>
      <c r="CL22" s="979">
        <f>VLOOKUP(I22,Prodlink,2,0)</f>
        <v>0</v>
      </c>
      <c r="CN22" s="497">
        <f t="shared" ca="1" si="2"/>
        <v>0</v>
      </c>
      <c r="CO22" s="497">
        <f ca="1">OFFSET($CH$9,CL22-1,-15,1,1)</f>
        <v>0</v>
      </c>
      <c r="CQ22" s="51">
        <v>0</v>
      </c>
      <c r="CR22" s="51">
        <f t="shared" ca="1" si="24"/>
        <v>10000</v>
      </c>
      <c r="CS22" s="51">
        <f ca="1">IF(F22&lt;OFFSET($BM$9,CL22-1,0,1,1),0,IF(F22&lt;OFFSET($BN$9,CL22-1,0,1,1),((F22-OFFSET($BM$9,CL22-1,0,1,1))*OFFSET($CH$9,CL22-1,0,1,1))+OFFSET($BO$9,CL22-1,CQ22,1,1),IF(F22&lt;OFFSET($BN$9,CL22+0,0,1,1),((F22-OFFSET($BM$9,CL22+0,0,1,1))*OFFSET($CH$9,CL22+0,0,1,1))+OFFSET($BO$9,CL22+0,CQ22,1,1),IF(F22&lt;OFFSET($BN$9,CL22+1,0,1,1),((F22-OFFSET($BM$9,CL22+1,0,1,1))*OFFSET($CH$9,CL22+1,0,1,1))+OFFSET($BO$9,CL22+1,CQ22,1,1),IF(F22&lt;OFFSET($BN$9,CL22+2,0,1,1),((F22-OFFSET($BM$9,CL22+2,0,1,1))*OFFSET($CH$9,CL22+2,0,1,1))+OFFSET($BO$9,CL22+2,CQ22,1,1),IF(F22&lt;OFFSET($BN$9,CL22+3,0,1,1),((F22-OFFSET($BM$9,CL22+3,0,1,1))*OFFSET($CH$9,CL22+3,0,1,1))+OFFSET($BO$9,CL22+3,CQ22,1,1),0))))))</f>
        <v>0</v>
      </c>
      <c r="CT22" s="51">
        <f ca="1">IF($F22&lt;OFFSET($BM$9,$CL22-1,0,1,1),0,IF($F22&lt;OFFSET($BN$9,$CL22-1,0,1,1),IF(AND($H22&gt;2.4,Z22&lt;&gt;"e",Z22&lt;&gt;"f"),CX22*2.4/$H22,CX22),IF($F22&lt;OFFSET($BN$9,$CL22+0,0,1,1),IF(AND($H22&gt;2.4,Z22&lt;&gt;"e",Z22&lt;&gt;"f"),CX22*2.4/$H22,CX22),IF($F22&lt;OFFSET($BN$9,$CL22+1,0,1,1),IF(AND($H22&gt;2.4,Z22&lt;&gt;"e",Z22&lt;&gt;"f"),CX22*2.4/$H22,CX22),IF($F22&lt;OFFSET($BN$9,CL22+2,0,1,1),IF(AND($H22&gt;2.4,Z22&lt;&gt;"e",Z22&lt;&gt;"f"),CX22*2.4/$H22,CX22),IF($F22&lt;OFFSET($BN$9,CL22+3,0,1,1),IF(AND($H22&gt;2.4,Z22&lt;&gt;"e",Z22&lt;&gt;"f"),CX22*2.4/$H22,CX22),0)))))*COS(RADIANS($G22)))</f>
        <v>0</v>
      </c>
      <c r="CU22" s="51">
        <f ca="1">IF(F22&lt;OFFSET($BM$9,CL22-1,0,1,1),0,IF(F22&lt;OFFSET($BN$9,CL22-1,0,1,1),((F22-OFFSET($BM$9,CL22-1,0,1,1))*OFFSET($CI$9,CL22-1,0,1,1))+OFFSET($BP$9,CL22-1,CQ22,1,1),IF(F22&lt;OFFSET($BN$9,CL22+0,0,1,1),((F22-OFFSET($BM$9,CL22+0,0,1,1))*OFFSET($CI$9,CL22+0,0,1,1))+OFFSET($BP$9,CL22+0,CQ22,1,1),IF(F22&lt;OFFSET($BN$9,CL22+1,0,1,1),((F22-OFFSET($BM$9,CL22+1,0,1,1))*OFFSET($CI$9,CL22+1,0,1,1))+OFFSET($BP$9,CL22+1,CQ22,1,1),IF(F22&lt;OFFSET($BN$9,CL22+2,0,1,1),((F22-OFFSET($BM$9,CL22+2,0,1,1))*OFFSET($CI$9,CL22+2,0,1,1))+OFFSET($BP$9,CL22+2,CQ22,1,1),IF(F22&lt;OFFSET($BN$9,CL22+3,0,1,1),((F22-OFFSET($BM$9,CL22+3,0,1,1))*OFFSET($CI$9,CL22+3,0,1,1))+OFFSET($BP$9,CL22+3,CQ22,1,1),0))))))</f>
        <v>0</v>
      </c>
      <c r="CV22" s="51">
        <f ca="1">IF($F22&lt;OFFSET($BM$9,$CL22-1,0,1,1),0,IF($F22&lt;OFFSET($BN$9,$CL22-1,0,1,1),IF(AND($H22&gt;2.4,Z22&lt;&gt;"e",Z22&lt;&gt;"f"),CZ22*2.4/$H22,CZ22),IF($F22&lt;OFFSET($BN$9,$CL22+0,0,1,1),IF(AND($H22&gt;2.4,Z22&lt;&gt;"e",Z22&lt;&gt;"f"),CZ22*2.4/$H22,CZ22),IF($F22&lt;OFFSET($BN$9,$CL22+1,0,1,1),IF(AND($H22&gt;2.4,Z22&lt;&gt;"e",Z22&lt;&gt;"f"),CZ22*2.4/$H22,CZ22),IF($F22&lt;OFFSET($BN$9,$CL22+2,0,1,1),IF(AND($H22&gt;2.4,Z22&lt;&gt;"e",Z22&lt;&gt;"f"),CZ22*2.4/$H22,CZ22),IF($F22&lt;OFFSET($BN$9,$CL22+3,0,1,1),IF(AND($H22&gt;2.4,Z22&lt;&gt;"e",Z22&lt;&gt;"f"),CZ22*2.4/$H22,CZ22),0)))))*COS(RADIANS($G22)))</f>
        <v>0</v>
      </c>
      <c r="CW22" s="51">
        <f t="shared" ca="1" si="18"/>
        <v>0</v>
      </c>
      <c r="CX22" s="51">
        <f ca="1">IF(CS22&gt;$CR22,$CR22,CS22)</f>
        <v>0</v>
      </c>
      <c r="CY22" s="51">
        <f ca="1">CW22*F22</f>
        <v>0</v>
      </c>
      <c r="CZ22" s="51">
        <f ca="1">IF($CU22&gt;$CR22,$CR22,$CU22)</f>
        <v>0</v>
      </c>
      <c r="DA22" s="51">
        <f ca="1">IF(CV22&gt;CR22,CR22,CV22)</f>
        <v>0</v>
      </c>
      <c r="DB22" s="51">
        <f ca="1">DA22*F22</f>
        <v>0</v>
      </c>
      <c r="DC22" s="993">
        <v>3</v>
      </c>
      <c r="DD22" s="758" t="str">
        <f>IF(OR(D22=BG$12,D22=BG$13),"External",IF(D22=BG$14,"Internal"," "))</f>
        <v xml:space="preserve"> </v>
      </c>
      <c r="DE22" s="51" t="str">
        <f t="shared" ca="1" si="4"/>
        <v/>
      </c>
      <c r="DF22" s="52" t="str">
        <f t="shared" ca="1" si="5"/>
        <v xml:space="preserve"> </v>
      </c>
      <c r="DG22" s="51">
        <f ca="1">IF(F22&lt;OFFSET($BM$9,CN22-1,0,1,1),0,IF(F22&lt;OFFSET($BN$9,CN22-1,0,1,1),((F22-OFFSET($BM$9,CN22-1,0,1,1))*OFFSET($CH$9,CN22-1,0,1,1))+OFFSET($BO$9,CN22-1,CQ22,1,1),IF(F22&lt;OFFSET($BN$9,CN22+0,0,1,1),((F22-OFFSET($BM$9,CN22+0,0,1,1))*OFFSET($CH$9,CN22+0,0,1,1))+OFFSET($BO$9,CN22+0,CQ22,1,1),IF(F22&lt;OFFSET($BN$9,CN22+1,0,1,1),((F22-OFFSET($BM$9,CN22+1,0,1,1))*OFFSET($CH$9,CN22+1,0,1,1))+OFFSET($BO$9,CN22+1,CQ22,1,1),IF(F22&lt;OFFSET($BN$9,CN22+2,0,1,1),((F22-OFFSET($BM$9,CN22+2,0,1,1))*OFFSET($CH$9,CN22+2,0,1,1))+OFFSET($BO$9,CN22+2,CQ22,1,1),IF(F22&lt;OFFSET($BN$9,CN22+3,0,1,1),((F22-OFFSET($BM$9,CN22+3,0,1,1))*OFFSET($CH$9,CN22+3,0,1,1))+OFFSET($BO$9,CN22+3,CQ22,1,1),0))))))</f>
        <v>0</v>
      </c>
      <c r="DH22" s="51">
        <f ca="1">IF($F22&lt;OFFSET($BM$9,$CN22-1,0,1,1),0,IF($F22&lt;OFFSET($BN$9,$CN22-1,0,1,1),IF(AND($H22&gt;2.4,Z22&lt;&gt;"e",Z22&lt;&gt;"f"),DL22*2.4/$H22,DL22),IF($F22&lt;OFFSET($BN$9,$CN22+0,0,1,1),IF(AND($H22&gt;2.4,Z22&lt;&gt;"e",Z22&lt;&gt;"f"),DL22*2.4/$H22,DL22),IF($F22&lt;OFFSET($BN$9,$CN22+1,0,1,1),IF(AND($H22&gt;2.4,Z22&lt;&gt;"e",Z22&lt;&gt;"f"),DL22*2.4/$H22,DL22),IF($F22&lt;OFFSET($BN$9,$CN22+2,0,1,1),IF(AND($H22&gt;2.4,Z22&lt;&gt;"e",Z22&lt;&gt;"f"),DL22*2.4/$H22,DL22),IF($F22&lt;OFFSET($BN$9,$CN22+3,0,1,1),IF(AND($H22&gt;2.4,Z22&lt;&gt;"e",Z22&lt;&gt;"f"),DL22*2.4/$H22,DL22),0)))))*COS(RADIANS($G22)))</f>
        <v>0</v>
      </c>
      <c r="DI22" s="51">
        <f ca="1">IF(F22&lt;OFFSET($BM$9,CN22-1,0,1,1),0,IF(F22&lt;OFFSET($BN$9,CN22-1,0,1,1),((F22-OFFSET($BM$9,CN22-1,0,1,1))*OFFSET($CI$9,CN22-1,0,1,1))+OFFSET($BP$9,CN22-1,CQ22,1,1),IF(F22&lt;OFFSET($BN$9,CN22+0,0,1,1),((F22-OFFSET($BM$9,CN22+0,0,1,1))*OFFSET($CI$9,CN22+0,0,1,1))+OFFSET($BP$9,CN22+0,CQ22,1,1),IF(F22&lt;OFFSET($BN$9,CN22+1,0,1,1),((F22-OFFSET($BM$9,CN22+1,0,1,1))*OFFSET($CI$9,CN22+1,0,1,1))+OFFSET($BP$9,CN22+1,CQ22,1,1),IF(F22&lt;OFFSET($BN$9,CN22+2,0,1,1),((F22-OFFSET($BM$9,CN22+2,0,1,1))*OFFSET($CI$9,CN22+2,0,1,1))+OFFSET($BP$9,CN22+2,CQ22,1,1),IF(F22&lt;OFFSET($BN$9,CN22+3,0,1,1),((F22-OFFSET($BM$9,CN22+3,0,1,1))*OFFSET($CI$9,CN22+3,0,1,1))+OFFSET($BP$9,CN22+3,CQ22,1,1),0))))))</f>
        <v>0</v>
      </c>
      <c r="DJ22" s="51">
        <f ca="1">IF($F22&lt;OFFSET($BM$9,$CN22-1,0,1,1),0,IF($F22&lt;OFFSET($BN$9,$CN22-1,0,1,1),IF(AND($H22&gt;2.4,Z22&lt;&gt;"e",Z22&lt;&gt;"f"),DN22*2.4/$H22,DN22),IF($F22&lt;OFFSET($BN$9,$CN22+0,0,1,1),IF(AND($H22&gt;2.4,Z22&lt;&gt;"e",Z22&lt;&gt;"f"),DN22*2.4/$H22,DN22),IF($F22&lt;OFFSET($BN$9,$CN22+1,0,1,1),IF(AND($H22&gt;2.4,Z22&lt;&gt;"e",Z22&lt;&gt;"f"),DN22*2.4/$H22,DN22),IF($F22&lt;OFFSET($BN$9,$CN22+2,0,1,1),IF(AND($H22&gt;2.4,Z22&lt;&gt;"e",Z22&lt;&gt;"f"),DN22*2.4/$H22,DN22),IF($F22&lt;OFFSET($BN$9,$CN22+3,0,1,1),IF(AND($H22&gt;2.4,Z22&lt;&gt;"e",Z22&lt;&gt;"f"),DN22*2.4/$H22,DN22),0)))))*COS(RADIANS($G22)))</f>
        <v>0</v>
      </c>
      <c r="DK22" s="51"/>
      <c r="DL22" s="51">
        <f ca="1">IF(DG22&gt;$CR22,$CR22,DG22)</f>
        <v>0</v>
      </c>
      <c r="DM22" s="51"/>
      <c r="DN22" s="51">
        <f ca="1">IF(DI22&gt;$CR22,$CR22,DI22)</f>
        <v>0</v>
      </c>
      <c r="DO22" s="435">
        <f ca="1">IF(DH22&gt;$CR22,$CR22,DH22)</f>
        <v>0</v>
      </c>
      <c r="DP22" s="435">
        <f ca="1">DO22*F22</f>
        <v>0</v>
      </c>
      <c r="DQ22" s="436">
        <f ca="1">IF(DJ22&gt;$CR22,$CR22,DJ22)</f>
        <v>0</v>
      </c>
      <c r="DR22" s="437">
        <f ca="1">DQ22*F22</f>
        <v>0</v>
      </c>
      <c r="DS22" s="426">
        <f ca="1">OFFSET($CH$9,CL22-1,-15,1,1)</f>
        <v>0</v>
      </c>
      <c r="DT22" s="426">
        <f t="shared" ca="1" si="1"/>
        <v>0</v>
      </c>
      <c r="DU22" s="188">
        <f ca="1">IF(F22&lt;OFFSET($BM$9,DT22-1,0,1,1),0,IF(F22&lt;OFFSET($BN$9,DT22-1,0,1,1),((F22-OFFSET($BM$9,DT22-1,0,1,1))*OFFSET($CH$9,DT22-1,0,1,1))+OFFSET($BO$9,DT22-1,CQ22,1,1),IF(F22&lt;OFFSET($BN$9,DT22+0,0,1,1),((F22-OFFSET($BM$9,DT22+0,0,1,1))*OFFSET($CH$9,DT22+0,0,1,1))+OFFSET($BO$9,DT22+0,CQ22,1,1),IF(F22&lt;OFFSET($BN$9,DT22+1,0,1,1),((F22-OFFSET($BM$9,DT22+1,0,1,1))*OFFSET($CH$9,DT22+1,0,1,1))+OFFSET($BO$9,DT22+1,CQ22,1,1),IF(F22&lt;OFFSET($BN$9,DT22+2,0,1,1),((F22-OFFSET($BM$9,DT22+2,0,1,1))*OFFSET($CH$9,DT22+2,0,1,1))+OFFSET($BO$9,DT22+2,CQ22,1,1),IF(F22&lt;OFFSET($BN$9,DT22+3,0,1,1),((F22-OFFSET($BM$9,DT22+3,0,1,1))*OFFSET($CH$9,DT22+3,0,1,1))+OFFSET($BO$9,DT22+3,CQ22,1,1),0))))))</f>
        <v>0</v>
      </c>
      <c r="DV22" s="51">
        <f ca="1">IF($F22&lt;OFFSET($BM$9,$DT22-1,0,1,1),0,IF($F22&lt;OFFSET($BN$9,$DT22-1,0,1,1),IF(AND($H22&gt;2.4,Z22&lt;&gt;"e",Z22&lt;&gt;"f"),DZ22*2.4/$H22,DZ22),IF($F22&lt;OFFSET($BN$9,$DT22+0,0,1,1),IF(AND($H22&gt;2.4,Z22&lt;&gt;"e",Z22&lt;&gt;"f"),DZ22*2.4/$H22,DZ22),IF($F22&lt;OFFSET($BN$9,$DT22+1,0,1,1),IF(AND($H22&gt;2.4,Z22&lt;&gt;"e",Z22&lt;&gt;"f"),DZ22*2.4/$H22,DZ22),IF($F22&lt;OFFSET($BN$9,$DT22+2,0,1,1),IF(AND($H22&gt;2.4,Z22&lt;&gt;"e",Z22&lt;&gt;"f"),DZ22*2.4/$H22,DZ22),IF($F22&lt;OFFSET($BN$9,$DT22+3,0,1,1),IF(AND($H22&gt;2.4,Z22&lt;&gt;"e",Z22&lt;&gt;"f"),DZ22*2.4/$H22,DZ22),0)))))*COS(RADIANS($G22)))</f>
        <v>0</v>
      </c>
      <c r="DW22" s="188">
        <f ca="1">IF(F22&lt;OFFSET($BM$9,DT22-1,0,1,1),0,IF(F22&lt;OFFSET($BN$9,DT22-1,0,1,1),((F22-OFFSET($BM$9,DT22-1,0,1,1))*OFFSET($CI$9,DT22-1,0,1,1))+OFFSET($BP$9,DT22-1,CQ22,1,1),IF(F22&lt;OFFSET($BN$9,DT22+0,0,1,1),((F22-OFFSET($BM$9,DT22+0,0,1,1))*OFFSET($CI$9,DT22+0,0,1,1))+OFFSET($BP$9,DT22+0,CQ22,1,1),IF(F22&lt;OFFSET($BN$9,DT22+1,0,1,1),((F22-OFFSET($BM$9,DT22+1,0,1,1))*OFFSET($CI$9,DT22+1,0,1,1))+OFFSET($BP$9,DT22+1,CQ22,1,1),IF(F22&lt;OFFSET($BN$9,DT22+2,0,1,1),((F22-OFFSET($BM$9,DT22+2,0,1,1))*OFFSET($CI$9,DT22+2,0,1,1))+OFFSET($BP$9,DT22+2,CQ22,1,1),IF(F22&lt;OFFSET($BN$9,DT22+3,0,1,1),((F22-OFFSET($BM$9,DT22+3,0,1,1))*OFFSET($CI$9,DT22+3,0,1,1))+OFFSET($BP$9,DT22+3,CQ22,1,1),0))))))</f>
        <v>0</v>
      </c>
      <c r="DX22" s="51">
        <f ca="1">IF($F22&lt;OFFSET($BM$9,$DT22-1,0,1,1),0,IF($F22&lt;OFFSET($BN$9,$DT22-1,0,1,1),IF(AND($H22&gt;2.4,Z22&lt;&gt;"e",Z22&lt;&gt;"f"),EB22*2.4/$H22,EB22),IF($F22&lt;OFFSET($BN$9,$DT22+0,0,1,1),IF(AND($H22&gt;2.4,Z22&lt;&gt;"e",Z22&lt;&gt;"f"),EB22*2.4/$H22,EB22),IF($F22&lt;OFFSET($BN$9,$DT22+1,0,1,1),IF(AND($H22&gt;2.4,Z22&lt;&gt;"e",Z22&lt;&gt;"f"),EB22*2.4/$H22,EB22),IF($F22&lt;OFFSET($BN$9,$DT22+2,0,1,1),IF(AND($H22&gt;2.4,Z22&lt;&gt;"e",Z22&lt;&gt;"f"),EB22*2.4/$H22,EB22),IF($F22&lt;OFFSET($BN$9,$DT22+3,0,1,1),IF(AND($H22&gt;2.4,Z22&lt;&gt;"e",Z22&lt;&gt;"f"),EB22*2.4/$H22,EB22),0)))))*COS(RADIANS($G22)))</f>
        <v>0</v>
      </c>
      <c r="DY22" s="188"/>
      <c r="DZ22" s="188">
        <f ca="1">IF(DU22&gt;$CR22,$CR22,DU22)</f>
        <v>0</v>
      </c>
      <c r="EA22" s="188"/>
      <c r="EB22" s="188">
        <f ca="1">IF(DW22&gt;$CR22,$CR22,DW22)</f>
        <v>0</v>
      </c>
      <c r="EC22" s="435">
        <f ca="1">IF(DV22&gt;$CR22,$CR22,DV22)</f>
        <v>0</v>
      </c>
      <c r="ED22" s="435">
        <f ca="1">EC22*F22</f>
        <v>0</v>
      </c>
      <c r="EE22" s="436">
        <f ca="1">IF(DX22&gt;$CR22,$CR22,DX22)</f>
        <v>0</v>
      </c>
      <c r="EF22" s="437">
        <f ca="1">EE22*F22</f>
        <v>0</v>
      </c>
      <c r="EG22" s="613" t="str">
        <f>IF(D22=BG$12,BG$12,"")</f>
        <v/>
      </c>
      <c r="EH22" s="614" t="str">
        <f>IF(D22=BG$13,BG$13,"")</f>
        <v/>
      </c>
      <c r="EI22" s="611">
        <f>IF(EG22=BG$12,M22,0)</f>
        <v>0</v>
      </c>
      <c r="EJ22" s="451">
        <f>IF(EG22=BG$12,O22,0)</f>
        <v>0</v>
      </c>
      <c r="EK22" s="451">
        <f>IF(EH22=BG$13,M22,0)</f>
        <v>0</v>
      </c>
      <c r="EL22" s="612">
        <f>IF(EH22=BG$13,O22,0)</f>
        <v>0</v>
      </c>
      <c r="EM22" s="426" t="str">
        <f ca="1">IF(AND(Z22&lt;&gt;"t",Z22&lt;&gt;"f"),"",IF(AND(EN22=$BH$11,K22&lt;&gt;EN22),EM$4,IF(AND(EN22=$BH$12,K22=$BH$13),EM$4,IF(AND(EN22=$BH$12,K22=$BH$14),EM$4,IF(AND(EN22=$BH$13,K22=$BH$14),$EM$4,IF(EN22=$BH$14,$EM$4,""))))))</f>
        <v/>
      </c>
      <c r="EN22" s="489" t="str">
        <f>BG$24</f>
        <v>Earth</v>
      </c>
      <c r="EO22" s="426" t="str">
        <f>K22</f>
        <v xml:space="preserve"> </v>
      </c>
      <c r="EP22" s="497" t="str">
        <f ca="1">IF(AND(Z22&lt;&gt;"t",Z22&lt;&gt;"f"),"",IF(AND(EN22=$BH$14,K22&lt;&gt;EN22),EP$4,IF(AND(EN22=$BH$13,K22=$BH$12),EP$4,IF(AND(EN22=$BH$13,K22=$BH$11),EP$4,IF(AND(EN22=$BH$12,K22=$BH$11),$EP$4,IF(EN22=$BH$11,"Earth",""))))))</f>
        <v/>
      </c>
      <c r="EQ22" s="430" t="str">
        <f ca="1">IF(Z22&lt;&gt;"t","",IF(EQ$5=2,IF(K22&lt;&gt;BH$11,EQ$7," ")))</f>
        <v/>
      </c>
      <c r="ER22" s="439" t="str">
        <f ca="1">IF(H22=0," ",H22)</f>
        <v xml:space="preserve"> </v>
      </c>
      <c r="ES22" s="440" t="str">
        <f ca="1">IF(ER22&lt;&gt;" ",IF(ER22&lt;&gt;ER$7,"Changed",""),"")</f>
        <v/>
      </c>
      <c r="ET22" s="440">
        <f t="shared" ca="1" si="19"/>
        <v>0</v>
      </c>
      <c r="EU22" s="426" t="str">
        <f ca="1">IF(I22=" "," ",IF(F22&lt;OFFSET($BM$9,CL22-1,0,1,1),1,""))</f>
        <v xml:space="preserve"> </v>
      </c>
      <c r="EW22" s="427"/>
    </row>
    <row r="23" spans="2:153" ht="17.100000000000001" customHeight="1" thickBot="1">
      <c r="B23" s="689" t="s">
        <v>246</v>
      </c>
      <c r="C23" s="684" t="str">
        <f>IF(OR(F23=0,I23="",I23=" ")," ",$V23)</f>
        <v xml:space="preserve"> </v>
      </c>
      <c r="D23" s="1033"/>
      <c r="E23" s="1360"/>
      <c r="F23" s="202"/>
      <c r="G23" s="1416"/>
      <c r="H23" s="1417" t="str">
        <f ca="1">IF(OR(F23=0,Z23="E",Z23="f")," ",'Project Demand'!E$55)</f>
        <v xml:space="preserve"> </v>
      </c>
      <c r="I23" s="631" t="str">
        <f>IF($I$6&lt;&gt;$BG$8," ",AB23)</f>
        <v xml:space="preserve"> </v>
      </c>
      <c r="J23" s="44" t="str">
        <f ca="1">IF(OR(I23=" ",I23="")," ",OFFSET($BO$9,CL23-1,0-4,1,1))</f>
        <v xml:space="preserve"> </v>
      </c>
      <c r="K23" s="55" t="str">
        <f>IF(OR(I23=" ",I23="")," ",IF(OR(Z23="e",Z23="h"),"SD",IF(BG$24=BH$11,BH$13,BG$24)))</f>
        <v xml:space="preserve"> </v>
      </c>
      <c r="L23" s="49">
        <f ca="1">CW23</f>
        <v>0</v>
      </c>
      <c r="M23" s="49">
        <f ca="1">CY23</f>
        <v>0</v>
      </c>
      <c r="N23" s="50">
        <f t="shared" ca="1" si="23"/>
        <v>0</v>
      </c>
      <c r="O23" s="126">
        <f t="shared" ca="1" si="23"/>
        <v>0</v>
      </c>
      <c r="P23" s="140"/>
      <c r="Q23" s="752" t="str">
        <f ca="1">IF(AND(OR(Z23="t",Z23="f"),K23=$BH$11),"No Floor!  Change Floor Type",IF(OR(I23=" ",I23="")," ",IF(F23&lt;OFFSET($BM$9,CL23-1,0,1,1),"check L(m)",DE23&amp;IF(AND(DP23&gt;=CY23,DR23&gt;=DB23),IF(AND(ED23&gt;=DP23,EF23&gt;=DR23),CONCATENATE(DS23," will provide same result"),CONCATENATE(CO23," will provide same result")),IF((DP23&gt;=CY23),CONCATENATE(CO23," provides same result in WIND"),IF((DR23&gt;=DB23),CONCATENATE(CO23," provides same result in EQ"),""))))))&amp;IF(ISERROR(FIND("pile",I23,1)),"",IF(INT(F23)&lt;&gt;F23,"Pile!  Use Whole Numbers Only",""))</f>
        <v xml:space="preserve"> </v>
      </c>
      <c r="R23" s="52"/>
      <c r="S23" s="1372"/>
      <c r="T23" s="52"/>
      <c r="U23" s="1377"/>
      <c r="V23" s="52" t="str">
        <f ca="1">IF(AND(B$5=$BF$9,OR(I23=BH$16,I23=BH$17))," ",IF(ISNUMBER(B$20),(CONCATENATE(B$20,".",W23)),(CONCATENATE(B$20,W23))))</f>
        <v>O0</v>
      </c>
      <c r="W23" s="9">
        <f ca="1">W22+X23</f>
        <v>0</v>
      </c>
      <c r="X23" s="9">
        <f>IF(AND(B$5=$BF$9,OR($I23=$BH$16,$I23=$BH$17,$I23=" ",$I23="",$F23=0)),0,IF(OR($I23=" ",$I23="",$F23=0),0,1))</f>
        <v>0</v>
      </c>
      <c r="Y23" s="896"/>
      <c r="Z23" s="52" t="str">
        <f ca="1">IF(I23=" "," ",OFFSET($BM$9,$CL23-1,8,1,1))</f>
        <v xml:space="preserve"> </v>
      </c>
      <c r="AA23" s="51" t="str">
        <f>IF(G23&gt;=45,"WA","")</f>
        <v/>
      </c>
      <c r="AB23" s="1364" t="str">
        <f>IF(OR(E23=" ",E23="")," ",(IF(F23&lt;&gt;"",IF(OR(D23=$BG$12,D23=$BG$13),IF(E23&lt;&gt;$BG$17,$BF$20,$BF$21),IF(E23&lt;&gt;$BG$17,$BF$20,$BF$21))," ")))</f>
        <v xml:space="preserve"> </v>
      </c>
      <c r="AC23" s="1"/>
      <c r="AJ23" s="29"/>
      <c r="AK23" s="30"/>
      <c r="AL23" s="30"/>
      <c r="AM23" s="32"/>
      <c r="AN23" s="32"/>
      <c r="AO23" s="32"/>
      <c r="AP23" s="32"/>
      <c r="AQ23" s="32"/>
      <c r="AR23" s="32"/>
      <c r="AS23" s="32"/>
      <c r="AT23" s="39"/>
      <c r="AU23" s="39"/>
      <c r="AV23" s="39"/>
      <c r="AW23" s="39"/>
      <c r="AX23" s="39"/>
      <c r="AY23" s="39"/>
      <c r="AZ23" s="39"/>
      <c r="BA23" s="39"/>
      <c r="BB23" s="39"/>
      <c r="BC23" s="39"/>
      <c r="BD23" s="2648"/>
      <c r="BF23" s="598" t="str">
        <f>Table!AI73</f>
        <v>ES-N</v>
      </c>
      <c r="BG23" s="1010">
        <f>'Project Demand'!AX78</f>
        <v>1</v>
      </c>
      <c r="BH23" s="655">
        <f>IF(BE$3=1,120,6)</f>
        <v>120</v>
      </c>
      <c r="BI23" s="759"/>
      <c r="BJ23" s="897">
        <f t="shared" si="6"/>
        <v>15</v>
      </c>
      <c r="BK23" s="769" t="str">
        <f t="shared" si="7"/>
        <v xml:space="preserve">  </v>
      </c>
      <c r="BL23" s="771" t="str">
        <f t="shared" si="8"/>
        <v>Custom12</v>
      </c>
      <c r="BM23" s="455">
        <f t="shared" si="9"/>
        <v>9.9999999999999996E-76</v>
      </c>
      <c r="BN23" s="455">
        <v>999</v>
      </c>
      <c r="BO23" s="455">
        <f t="shared" si="10"/>
        <v>0</v>
      </c>
      <c r="BP23" s="925">
        <f t="shared" si="11"/>
        <v>0</v>
      </c>
      <c r="BR23" s="764"/>
      <c r="BS23" s="455"/>
      <c r="BT23" s="455" t="str">
        <f t="shared" si="12"/>
        <v>B</v>
      </c>
      <c r="BU23" s="925" t="str">
        <f t="shared" si="13"/>
        <v>T</v>
      </c>
      <c r="BV23" s="483" t="str">
        <f t="shared" si="14"/>
        <v>Custom12</v>
      </c>
      <c r="BW23" s="910">
        <f t="shared" si="21"/>
        <v>15</v>
      </c>
      <c r="BX23" s="924" t="str">
        <f t="shared" si="15"/>
        <v>Single</v>
      </c>
      <c r="CH23" s="764">
        <f t="shared" si="16"/>
        <v>0</v>
      </c>
      <c r="CI23" s="925">
        <f t="shared" si="17"/>
        <v>0</v>
      </c>
      <c r="CJ23" s="759"/>
      <c r="CK23" s="188"/>
      <c r="CL23" s="979">
        <f>VLOOKUP(I23,Prodlink,2,0)</f>
        <v>0</v>
      </c>
      <c r="CN23" s="497">
        <f t="shared" ca="1" si="2"/>
        <v>0</v>
      </c>
      <c r="CO23" s="497">
        <f ca="1">OFFSET($CH$9,CL23-1,-15,1,1)</f>
        <v>0</v>
      </c>
      <c r="CQ23" s="51">
        <v>0</v>
      </c>
      <c r="CR23" s="51">
        <f t="shared" ca="1" si="24"/>
        <v>10000</v>
      </c>
      <c r="CS23" s="51">
        <f ca="1">IF(F23&lt;OFFSET($BM$9,CL23-1,0,1,1),0,IF(F23&lt;OFFSET($BN$9,CL23-1,0,1,1),((F23-OFFSET($BM$9,CL23-1,0,1,1))*OFFSET($CH$9,CL23-1,0,1,1))+OFFSET($BO$9,CL23-1,CQ23,1,1),IF(F23&lt;OFFSET($BN$9,CL23+0,0,1,1),((F23-OFFSET($BM$9,CL23+0,0,1,1))*OFFSET($CH$9,CL23+0,0,1,1))+OFFSET($BO$9,CL23+0,CQ23,1,1),IF(F23&lt;OFFSET($BN$9,CL23+1,0,1,1),((F23-OFFSET($BM$9,CL23+1,0,1,1))*OFFSET($CH$9,CL23+1,0,1,1))+OFFSET($BO$9,CL23+1,CQ23,1,1),IF(F23&lt;OFFSET($BN$9,CL23+2,0,1,1),((F23-OFFSET($BM$9,CL23+2,0,1,1))*OFFSET($CH$9,CL23+2,0,1,1))+OFFSET($BO$9,CL23+2,CQ23,1,1),IF(F23&lt;OFFSET($BN$9,CL23+3,0,1,1),((F23-OFFSET($BM$9,CL23+3,0,1,1))*OFFSET($CH$9,CL23+3,0,1,1))+OFFSET($BO$9,CL23+3,CQ23,1,1),0))))))</f>
        <v>0</v>
      </c>
      <c r="CT23" s="51">
        <f ca="1">IF($F23&lt;OFFSET($BM$9,$CL23-1,0,1,1),0,IF($F23&lt;OFFSET($BN$9,$CL23-1,0,1,1),IF(AND($H23&gt;2.4,Z23&lt;&gt;"e",Z23&lt;&gt;"f"),CX23*2.4/$H23,CX23),IF($F23&lt;OFFSET($BN$9,$CL23+0,0,1,1),IF(AND($H23&gt;2.4,Z23&lt;&gt;"e",Z23&lt;&gt;"f"),CX23*2.4/$H23,CX23),IF($F23&lt;OFFSET($BN$9,$CL23+1,0,1,1),IF(AND($H23&gt;2.4,Z23&lt;&gt;"e",Z23&lt;&gt;"f"),CX23*2.4/$H23,CX23),IF($F23&lt;OFFSET($BN$9,CL23+2,0,1,1),IF(AND($H23&gt;2.4,Z23&lt;&gt;"e",Z23&lt;&gt;"f"),CX23*2.4/$H23,CX23),IF($F23&lt;OFFSET($BN$9,CL23+3,0,1,1),IF(AND($H23&gt;2.4,Z23&lt;&gt;"e",Z23&lt;&gt;"f"),CX23*2.4/$H23,CX23),0)))))*COS(RADIANS($G23)))</f>
        <v>0</v>
      </c>
      <c r="CU23" s="51">
        <f ca="1">IF(F23&lt;OFFSET($BM$9,CL23-1,0,1,1),0,IF(F23&lt;OFFSET($BN$9,CL23-1,0,1,1),((F23-OFFSET($BM$9,CL23-1,0,1,1))*OFFSET($CI$9,CL23-1,0,1,1))+OFFSET($BP$9,CL23-1,CQ23,1,1),IF(F23&lt;OFFSET($BN$9,CL23+0,0,1,1),((F23-OFFSET($BM$9,CL23+0,0,1,1))*OFFSET($CI$9,CL23+0,0,1,1))+OFFSET($BP$9,CL23+0,CQ23,1,1),IF(F23&lt;OFFSET($BN$9,CL23+1,0,1,1),((F23-OFFSET($BM$9,CL23+1,0,1,1))*OFFSET($CI$9,CL23+1,0,1,1))+OFFSET($BP$9,CL23+1,CQ23,1,1),IF(F23&lt;OFFSET($BN$9,CL23+2,0,1,1),((F23-OFFSET($BM$9,CL23+2,0,1,1))*OFFSET($CI$9,CL23+2,0,1,1))+OFFSET($BP$9,CL23+2,CQ23,1,1),IF(F23&lt;OFFSET($BN$9,CL23+3,0,1,1),((F23-OFFSET($BM$9,CL23+3,0,1,1))*OFFSET($CI$9,CL23+3,0,1,1))+OFFSET($BP$9,CL23+3,CQ23,1,1),0))))))</f>
        <v>0</v>
      </c>
      <c r="CV23" s="51">
        <f ca="1">IF($F23&lt;OFFSET($BM$9,$CL23-1,0,1,1),0,IF($F23&lt;OFFSET($BN$9,$CL23-1,0,1,1),IF(AND($H23&gt;2.4,Z23&lt;&gt;"e",Z23&lt;&gt;"f"),CZ23*2.4/$H23,CZ23),IF($F23&lt;OFFSET($BN$9,$CL23+0,0,1,1),IF(AND($H23&gt;2.4,Z23&lt;&gt;"e",Z23&lt;&gt;"f"),CZ23*2.4/$H23,CZ23),IF($F23&lt;OFFSET($BN$9,$CL23+1,0,1,1),IF(AND($H23&gt;2.4,Z23&lt;&gt;"e",Z23&lt;&gt;"f"),CZ23*2.4/$H23,CZ23),IF($F23&lt;OFFSET($BN$9,$CL23+2,0,1,1),IF(AND($H23&gt;2.4,Z23&lt;&gt;"e",Z23&lt;&gt;"f"),CZ23*2.4/$H23,CZ23),IF($F23&lt;OFFSET($BN$9,$CL23+3,0,1,1),IF(AND($H23&gt;2.4,Z23&lt;&gt;"e",Z23&lt;&gt;"f"),CZ23*2.4/$H23,CZ23),0)))))*COS(RADIANS($G23)))</f>
        <v>0</v>
      </c>
      <c r="CW23" s="51">
        <f t="shared" ca="1" si="18"/>
        <v>0</v>
      </c>
      <c r="CX23" s="51">
        <f ca="1">IF(CS23&gt;$CR23,$CR23,CS23)</f>
        <v>0</v>
      </c>
      <c r="CY23" s="51">
        <f ca="1">CW23*F23</f>
        <v>0</v>
      </c>
      <c r="CZ23" s="51">
        <f ca="1">IF($CU23&gt;$CR23,$CR23,$CU23)</f>
        <v>0</v>
      </c>
      <c r="DA23" s="51">
        <f ca="1">IF(CV23&gt;CR23,CR23,CV23)</f>
        <v>0</v>
      </c>
      <c r="DB23" s="51">
        <f ca="1">DA23*F23</f>
        <v>0</v>
      </c>
      <c r="DC23" s="993">
        <v>1</v>
      </c>
      <c r="DD23" s="758" t="str">
        <f>IF(OR(D23=BG$12,D23=BG$13),"External",IF(D23=BG$14,"Internal"," "))</f>
        <v xml:space="preserve"> </v>
      </c>
      <c r="DE23" s="51" t="str">
        <f t="shared" ca="1" si="4"/>
        <v/>
      </c>
      <c r="DF23" s="52" t="str">
        <f t="shared" ca="1" si="5"/>
        <v xml:space="preserve"> </v>
      </c>
      <c r="DG23" s="51">
        <f ca="1">IF(F23&lt;OFFSET($BM$9,CN23-1,0,1,1),0,IF(F23&lt;OFFSET($BN$9,CN23-1,0,1,1),((F23-OFFSET($BM$9,CN23-1,0,1,1))*OFFSET($CH$9,CN23-1,0,1,1))+OFFSET($BO$9,CN23-1,CQ23,1,1),IF(F23&lt;OFFSET($BN$9,CN23+0,0,1,1),((F23-OFFSET($BM$9,CN23+0,0,1,1))*OFFSET($CH$9,CN23+0,0,1,1))+OFFSET($BO$9,CN23+0,CQ23,1,1),IF(F23&lt;OFFSET($BN$9,CN23+1,0,1,1),((F23-OFFSET($BM$9,CN23+1,0,1,1))*OFFSET($CH$9,CN23+1,0,1,1))+OFFSET($BO$9,CN23+1,CQ23,1,1),IF(F23&lt;OFFSET($BN$9,CN23+2,0,1,1),((F23-OFFSET($BM$9,CN23+2,0,1,1))*OFFSET($CH$9,CN23+2,0,1,1))+OFFSET($BO$9,CN23+2,CQ23,1,1),IF(F23&lt;OFFSET($BN$9,CN23+3,0,1,1),((F23-OFFSET($BM$9,CN23+3,0,1,1))*OFFSET($CH$9,CN23+3,0,1,1))+OFFSET($BO$9,CN23+3,CQ23,1,1),0))))))</f>
        <v>0</v>
      </c>
      <c r="DH23" s="51">
        <f ca="1">IF($F23&lt;OFFSET($BM$9,$CN23-1,0,1,1),0,IF($F23&lt;OFFSET($BN$9,$CN23-1,0,1,1),IF(AND($H23&gt;2.4,Z23&lt;&gt;"e",Z23&lt;&gt;"f"),DL23*2.4/$H23,DL23),IF($F23&lt;OFFSET($BN$9,$CN23+0,0,1,1),IF(AND($H23&gt;2.4,Z23&lt;&gt;"e",Z23&lt;&gt;"f"),DL23*2.4/$H23,DL23),IF($F23&lt;OFFSET($BN$9,$CN23+1,0,1,1),IF(AND($H23&gt;2.4,Z23&lt;&gt;"e",Z23&lt;&gt;"f"),DL23*2.4/$H23,DL23),IF($F23&lt;OFFSET($BN$9,$CN23+2,0,1,1),IF(AND($H23&gt;2.4,Z23&lt;&gt;"e",Z23&lt;&gt;"f"),DL23*2.4/$H23,DL23),IF($F23&lt;OFFSET($BN$9,$CN23+3,0,1,1),IF(AND($H23&gt;2.4,Z23&lt;&gt;"e",Z23&lt;&gt;"f"),DL23*2.4/$H23,DL23),0)))))*COS(RADIANS($G23)))</f>
        <v>0</v>
      </c>
      <c r="DI23" s="51">
        <f ca="1">IF(F23&lt;OFFSET($BM$9,CN23-1,0,1,1),0,IF(F23&lt;OFFSET($BN$9,CN23-1,0,1,1),((F23-OFFSET($BM$9,CN23-1,0,1,1))*OFFSET($CI$9,CN23-1,0,1,1))+OFFSET($BP$9,CN23-1,CQ23,1,1),IF(F23&lt;OFFSET($BN$9,CN23+0,0,1,1),((F23-OFFSET($BM$9,CN23+0,0,1,1))*OFFSET($CI$9,CN23+0,0,1,1))+OFFSET($BP$9,CN23+0,CQ23,1,1),IF(F23&lt;OFFSET($BN$9,CN23+1,0,1,1),((F23-OFFSET($BM$9,CN23+1,0,1,1))*OFFSET($CI$9,CN23+1,0,1,1))+OFFSET($BP$9,CN23+1,CQ23,1,1),IF(F23&lt;OFFSET($BN$9,CN23+2,0,1,1),((F23-OFFSET($BM$9,CN23+2,0,1,1))*OFFSET($CI$9,CN23+2,0,1,1))+OFFSET($BP$9,CN23+2,CQ23,1,1),IF(F23&lt;OFFSET($BN$9,CN23+3,0,1,1),((F23-OFFSET($BM$9,CN23+3,0,1,1))*OFFSET($CI$9,CN23+3,0,1,1))+OFFSET($BP$9,CN23+3,CQ23,1,1),0))))))</f>
        <v>0</v>
      </c>
      <c r="DJ23" s="51">
        <f ca="1">IF($F23&lt;OFFSET($BM$9,$CN23-1,0,1,1),0,IF($F23&lt;OFFSET($BN$9,$CN23-1,0,1,1),IF(AND($H23&gt;2.4,Z23&lt;&gt;"e",Z23&lt;&gt;"f"),DN23*2.4/$H23,DN23),IF($F23&lt;OFFSET($BN$9,$CN23+0,0,1,1),IF(AND($H23&gt;2.4,Z23&lt;&gt;"e",Z23&lt;&gt;"f"),DN23*2.4/$H23,DN23),IF($F23&lt;OFFSET($BN$9,$CN23+1,0,1,1),IF(AND($H23&gt;2.4,Z23&lt;&gt;"e",Z23&lt;&gt;"f"),DN23*2.4/$H23,DN23),IF($F23&lt;OFFSET($BN$9,$CN23+2,0,1,1),IF(AND($H23&gt;2.4,Z23&lt;&gt;"e",Z23&lt;&gt;"f"),DN23*2.4/$H23,DN23),IF($F23&lt;OFFSET($BN$9,$CN23+3,0,1,1),IF(AND($H23&gt;2.4,Z23&lt;&gt;"e",Z23&lt;&gt;"f"),DN23*2.4/$H23,DN23),0)))))*COS(RADIANS($G23)))</f>
        <v>0</v>
      </c>
      <c r="DK23" s="51"/>
      <c r="DL23" s="51">
        <f ca="1">IF(DG23&gt;$CR23,$CR23,DG23)</f>
        <v>0</v>
      </c>
      <c r="DM23" s="51"/>
      <c r="DN23" s="51">
        <f ca="1">IF(DI23&gt;$CR23,$CR23,DI23)</f>
        <v>0</v>
      </c>
      <c r="DO23" s="435">
        <f ca="1">IF(DH23&gt;$CR23,$CR23,DH23)</f>
        <v>0</v>
      </c>
      <c r="DP23" s="435">
        <f ca="1">DO23*F23</f>
        <v>0</v>
      </c>
      <c r="DQ23" s="436">
        <f ca="1">IF(DJ23&gt;$CR23,$CR23,DJ23)</f>
        <v>0</v>
      </c>
      <c r="DR23" s="437">
        <f ca="1">DQ23*F23</f>
        <v>0</v>
      </c>
      <c r="DS23" s="426">
        <f ca="1">OFFSET($CH$9,CL23-1,-15,1,1)</f>
        <v>0</v>
      </c>
      <c r="DT23" s="426">
        <f t="shared" ca="1" si="1"/>
        <v>0</v>
      </c>
      <c r="DU23" s="188">
        <f ca="1">IF(F23&lt;OFFSET($BM$9,DT23-1,0,1,1),0,IF(F23&lt;OFFSET($BN$9,DT23-1,0,1,1),((F23-OFFSET($BM$9,DT23-1,0,1,1))*OFFSET($CH$9,DT23-1,0,1,1))+OFFSET($BO$9,DT23-1,CQ23,1,1),IF(F23&lt;OFFSET($BN$9,DT23+0,0,1,1),((F23-OFFSET($BM$9,DT23+0,0,1,1))*OFFSET($CH$9,DT23+0,0,1,1))+OFFSET($BO$9,DT23+0,CQ23,1,1),IF(F23&lt;OFFSET($BN$9,DT23+1,0,1,1),((F23-OFFSET($BM$9,DT23+1,0,1,1))*OFFSET($CH$9,DT23+1,0,1,1))+OFFSET($BO$9,DT23+1,CQ23,1,1),IF(F23&lt;OFFSET($BN$9,DT23+2,0,1,1),((F23-OFFSET($BM$9,DT23+2,0,1,1))*OFFSET($CH$9,DT23+2,0,1,1))+OFFSET($BO$9,DT23+2,CQ23,1,1),IF(F23&lt;OFFSET($BN$9,DT23+3,0,1,1),((F23-OFFSET($BM$9,DT23+3,0,1,1))*OFFSET($CH$9,DT23+3,0,1,1))+OFFSET($BO$9,DT23+3,CQ23,1,1),0))))))</f>
        <v>0</v>
      </c>
      <c r="DV23" s="51">
        <f ca="1">IF($F23&lt;OFFSET($BM$9,$DT23-1,0,1,1),0,IF($F23&lt;OFFSET($BN$9,$DT23-1,0,1,1),IF(AND($H23&gt;2.4,Z23&lt;&gt;"e",Z23&lt;&gt;"f"),DZ23*2.4/$H23,DZ23),IF($F23&lt;OFFSET($BN$9,$DT23+0,0,1,1),IF(AND($H23&gt;2.4,Z23&lt;&gt;"e",Z23&lt;&gt;"f"),DZ23*2.4/$H23,DZ23),IF($F23&lt;OFFSET($BN$9,$DT23+1,0,1,1),IF(AND($H23&gt;2.4,Z23&lt;&gt;"e",Z23&lt;&gt;"f"),DZ23*2.4/$H23,DZ23),IF($F23&lt;OFFSET($BN$9,$DT23+2,0,1,1),IF(AND($H23&gt;2.4,Z23&lt;&gt;"e",Z23&lt;&gt;"f"),DZ23*2.4/$H23,DZ23),IF($F23&lt;OFFSET($BN$9,$DT23+3,0,1,1),IF(AND($H23&gt;2.4,Z23&lt;&gt;"e",Z23&lt;&gt;"f"),DZ23*2.4/$H23,DZ23),0)))))*COS(RADIANS($G23)))</f>
        <v>0</v>
      </c>
      <c r="DW23" s="188">
        <f ca="1">IF(F23&lt;OFFSET($BM$9,DT23-1,0,1,1),0,IF(F23&lt;OFFSET($BN$9,DT23-1,0,1,1),((F23-OFFSET($BM$9,DT23-1,0,1,1))*OFFSET($CI$9,DT23-1,0,1,1))+OFFSET($BP$9,DT23-1,CQ23,1,1),IF(F23&lt;OFFSET($BN$9,DT23+0,0,1,1),((F23-OFFSET($BM$9,DT23+0,0,1,1))*OFFSET($CI$9,DT23+0,0,1,1))+OFFSET($BP$9,DT23+0,CQ23,1,1),IF(F23&lt;OFFSET($BN$9,DT23+1,0,1,1),((F23-OFFSET($BM$9,DT23+1,0,1,1))*OFFSET($CI$9,DT23+1,0,1,1))+OFFSET($BP$9,DT23+1,CQ23,1,1),IF(F23&lt;OFFSET($BN$9,DT23+2,0,1,1),((F23-OFFSET($BM$9,DT23+2,0,1,1))*OFFSET($CI$9,DT23+2,0,1,1))+OFFSET($BP$9,DT23+2,CQ23,1,1),IF(F23&lt;OFFSET($BN$9,DT23+3,0,1,1),((F23-OFFSET($BM$9,DT23+3,0,1,1))*OFFSET($CI$9,DT23+3,0,1,1))+OFFSET($BP$9,DT23+3,CQ23,1,1),0))))))</f>
        <v>0</v>
      </c>
      <c r="DX23" s="51">
        <f ca="1">IF($F23&lt;OFFSET($BM$9,$DT23-1,0,1,1),0,IF($F23&lt;OFFSET($BN$9,$DT23-1,0,1,1),IF(AND($H23&gt;2.4,Z23&lt;&gt;"e",Z23&lt;&gt;"f"),EB23*2.4/$H23,EB23),IF($F23&lt;OFFSET($BN$9,$DT23+0,0,1,1),IF(AND($H23&gt;2.4,Z23&lt;&gt;"e",Z23&lt;&gt;"f"),EB23*2.4/$H23,EB23),IF($F23&lt;OFFSET($BN$9,$DT23+1,0,1,1),IF(AND($H23&gt;2.4,Z23&lt;&gt;"e",Z23&lt;&gt;"f"),EB23*2.4/$H23,EB23),IF($F23&lt;OFFSET($BN$9,$DT23+2,0,1,1),IF(AND($H23&gt;2.4,Z23&lt;&gt;"e",Z23&lt;&gt;"f"),EB23*2.4/$H23,EB23),IF($F23&lt;OFFSET($BN$9,$DT23+3,0,1,1),IF(AND($H23&gt;2.4,Z23&lt;&gt;"e",Z23&lt;&gt;"f"),EB23*2.4/$H23,EB23),0)))))*COS(RADIANS($G23)))</f>
        <v>0</v>
      </c>
      <c r="DY23" s="188"/>
      <c r="DZ23" s="188">
        <f ca="1">IF(DU23&gt;$CR23,$CR23,DU23)</f>
        <v>0</v>
      </c>
      <c r="EA23" s="188"/>
      <c r="EB23" s="188">
        <f ca="1">IF(DW23&gt;$CR23,$CR23,DW23)</f>
        <v>0</v>
      </c>
      <c r="EC23" s="435">
        <f ca="1">IF(DV23&gt;$CR23,$CR23,DV23)</f>
        <v>0</v>
      </c>
      <c r="ED23" s="435">
        <f ca="1">EC23*F23</f>
        <v>0</v>
      </c>
      <c r="EE23" s="436">
        <f ca="1">IF(DX23&gt;$CR23,$CR23,DX23)</f>
        <v>0</v>
      </c>
      <c r="EF23" s="437">
        <f ca="1">EE23*F23</f>
        <v>0</v>
      </c>
      <c r="EG23" s="613" t="str">
        <f>IF(D23=BG$12,BG$12,"")</f>
        <v/>
      </c>
      <c r="EH23" s="614" t="str">
        <f>IF(D23=BG$13,BG$13,"")</f>
        <v/>
      </c>
      <c r="EI23" s="611">
        <f>IF(EG23=BG$12,M23,0)</f>
        <v>0</v>
      </c>
      <c r="EJ23" s="451">
        <f>IF(EG23=BG$12,O23,0)</f>
        <v>0</v>
      </c>
      <c r="EK23" s="451">
        <f>IF(EH23=BG$13,M23,0)</f>
        <v>0</v>
      </c>
      <c r="EL23" s="612">
        <f>IF(EH23=BG$13,O23,0)</f>
        <v>0</v>
      </c>
      <c r="EM23" s="426" t="str">
        <f ca="1">IF(AND(Z23&lt;&gt;"t",Z23&lt;&gt;"f"),"",IF(AND(EN23=$BH$11,K23&lt;&gt;EN23),EM$4,IF(AND(EN23=$BH$12,K23=$BH$13),EM$4,IF(AND(EN23=$BH$12,K23=$BH$14),EM$4,IF(AND(EN23=$BH$13,K23=$BH$14),$EM$4,IF(EN23=$BH$14,$EM$4,""))))))</f>
        <v/>
      </c>
      <c r="EN23" s="489" t="str">
        <f>BG$24</f>
        <v>Earth</v>
      </c>
      <c r="EO23" s="426" t="str">
        <f>K23</f>
        <v xml:space="preserve"> </v>
      </c>
      <c r="EP23" s="497" t="str">
        <f ca="1">IF(AND(Z23&lt;&gt;"t",Z23&lt;&gt;"f"),"",IF(AND(EN23=$BH$14,K23&lt;&gt;EN23),EP$4,IF(AND(EN23=$BH$13,K23=$BH$12),EP$4,IF(AND(EN23=$BH$13,K23=$BH$11),EP$4,IF(AND(EN23=$BH$12,K23=$BH$11),$EP$4,IF(EN23=$BH$11,"Earth",""))))))</f>
        <v/>
      </c>
      <c r="EQ23" s="430" t="str">
        <f ca="1">IF(Z23&lt;&gt;"t","",IF(EQ$5=2,IF(K23&lt;&gt;BH$11,EQ$7," ")))</f>
        <v/>
      </c>
      <c r="ER23" s="439" t="str">
        <f ca="1">IF(H23=0," ",H23)</f>
        <v xml:space="preserve"> </v>
      </c>
      <c r="ES23" s="440" t="str">
        <f ca="1">IF(ER23&lt;&gt;" ",IF(ER23&lt;&gt;ER$7,"Changed",""),"")</f>
        <v/>
      </c>
      <c r="ET23" s="440">
        <f t="shared" ca="1" si="19"/>
        <v>0</v>
      </c>
      <c r="EU23" s="426" t="str">
        <f ca="1">IF(I23=" "," ",IF(F23&lt;OFFSET($BM$9,CL23-1,0,1,1),1,""))</f>
        <v xml:space="preserve"> </v>
      </c>
      <c r="EW23" s="427"/>
    </row>
    <row r="24" spans="2:153" ht="17.100000000000001" customHeight="1" thickBot="1">
      <c r="B24" s="689" t="s">
        <v>246</v>
      </c>
      <c r="C24" s="684" t="str">
        <f>IF(OR(F24=0,I24="",I24=" ")," ",$V24)</f>
        <v xml:space="preserve"> </v>
      </c>
      <c r="D24" s="1033"/>
      <c r="E24" s="1034"/>
      <c r="F24" s="202"/>
      <c r="G24" s="1416"/>
      <c r="H24" s="1417" t="str">
        <f ca="1">IF(OR(F24=0,Z24="E",Z24="f")," ",'Project Demand'!E$55)</f>
        <v xml:space="preserve"> </v>
      </c>
      <c r="I24" s="631" t="str">
        <f>IF($I$6&lt;&gt;$BG$8," ",AB24)</f>
        <v xml:space="preserve"> </v>
      </c>
      <c r="J24" s="44" t="str">
        <f ca="1">IF(OR(I24=" ",I24="")," ",OFFSET($BO$9,CL24-1,0-4,1,1))</f>
        <v xml:space="preserve"> </v>
      </c>
      <c r="K24" s="55" t="str">
        <f>IF(OR(I24=" ",I24="")," ",IF(OR(Z24="e",Z24="h"),"SD",IF(BG$24=BH$11,BH$13,BG$24)))</f>
        <v xml:space="preserve"> </v>
      </c>
      <c r="L24" s="49">
        <f ca="1">CW24</f>
        <v>0</v>
      </c>
      <c r="M24" s="49">
        <f ca="1">CY24</f>
        <v>0</v>
      </c>
      <c r="N24" s="50">
        <f t="shared" ca="1" si="23"/>
        <v>0</v>
      </c>
      <c r="O24" s="126">
        <f t="shared" ca="1" si="23"/>
        <v>0</v>
      </c>
      <c r="P24" s="140"/>
      <c r="Q24" s="752" t="str">
        <f ca="1">IF(AND(OR(Z24="t",Z24="f"),K24=$BH$11),"No Floor!  Change Floor Type",IF(OR(I24=" ",I24="")," ",IF(F24&lt;OFFSET($BM$9,CL24-1,0,1,1),"check L(m)",DE24&amp;IF(AND(DP24&gt;=CY24,DR24&gt;=DB24),IF(AND(ED24&gt;=DP24,EF24&gt;=DR24),CONCATENATE(DS24," will provide same result"),CONCATENATE(CO24," will provide same result")),IF((DP24&gt;=CY24),CONCATENATE(CO24," provides same result in WIND"),IF((DR24&gt;=DB24),CONCATENATE(CO24," provides same result in EQ"),""))))))&amp;IF(ISERROR(FIND("pile",I24,1)),"",IF(INT(F24)&lt;&gt;F24,"Pile!  Use Whole Numbers Only",""))</f>
        <v xml:space="preserve"> </v>
      </c>
      <c r="T24" s="52"/>
      <c r="U24" s="1377"/>
      <c r="V24" s="52" t="str">
        <f ca="1">IF(AND(B$5=$BF$9,OR(I24=BH$16,I24=BH$17))," ",IF(ISNUMBER(B$20),(CONCATENATE(B$20,".",W24)),(CONCATENATE(B$20,W24))))</f>
        <v>O0</v>
      </c>
      <c r="W24" s="9">
        <f ca="1">W23+X24</f>
        <v>0</v>
      </c>
      <c r="X24" s="9">
        <f>IF(AND(B$5=$BF$9,OR($I24=$BH$16,$I24=$BH$17,$I24=" ",$I24="",$F24=0)),0,IF(OR($I24=" ",$I24="",$F24=0),0,1))</f>
        <v>0</v>
      </c>
      <c r="Y24" s="896"/>
      <c r="Z24" s="52" t="str">
        <f ca="1">IF(I24=" "," ",OFFSET($BM$9,$CL24-1,8,1,1))</f>
        <v xml:space="preserve"> </v>
      </c>
      <c r="AA24" s="51" t="str">
        <f>IF(G24&gt;=45,"WA","")</f>
        <v/>
      </c>
      <c r="AB24" s="1364" t="str">
        <f>IF(OR(E24=" ",E24="")," ",(IF(F24&lt;&gt;"",IF(OR(D24=$BG$12,D24=$BG$13),IF(E24&lt;&gt;$BG$17,$BF$20,$BF$21),IF(E24&lt;&gt;$BG$17,$BF$20,$BF$21))," ")))</f>
        <v xml:space="preserve"> </v>
      </c>
      <c r="AC24" s="1"/>
      <c r="AJ24" s="29"/>
      <c r="AK24" s="30"/>
      <c r="AL24" s="30"/>
      <c r="AM24" s="32"/>
      <c r="AN24" s="32"/>
      <c r="AO24" s="32"/>
      <c r="AP24" s="32"/>
      <c r="AQ24" s="32"/>
      <c r="AR24" s="32"/>
      <c r="AS24" s="32"/>
      <c r="AT24" s="39"/>
      <c r="AU24" s="39"/>
      <c r="AV24" s="39"/>
      <c r="AW24" s="39"/>
      <c r="AX24" s="39"/>
      <c r="AY24" s="39"/>
      <c r="AZ24" s="39"/>
      <c r="BA24" s="39"/>
      <c r="BB24" s="39"/>
      <c r="BC24" s="39"/>
      <c r="BD24" s="2648"/>
      <c r="BF24" s="598" t="str">
        <f>Table!AI74</f>
        <v>ES-H</v>
      </c>
      <c r="BG24" s="655" t="str">
        <f>IF(BG$23=1,BH11,IF(BG$23=2,BH12,IF(BG$23=3,BH13," ")))</f>
        <v>Earth</v>
      </c>
      <c r="BH24" s="710">
        <f>IF($BE$3=1,150,7.5)</f>
        <v>150</v>
      </c>
      <c r="BI24" s="759"/>
      <c r="BJ24" s="897">
        <f t="shared" si="6"/>
        <v>16</v>
      </c>
      <c r="BK24" s="769" t="str">
        <f t="shared" si="7"/>
        <v xml:space="preserve">  </v>
      </c>
      <c r="BL24" s="771" t="str">
        <f t="shared" si="8"/>
        <v>Custom13</v>
      </c>
      <c r="BM24" s="455">
        <f t="shared" si="9"/>
        <v>9.9999999999999996E-76</v>
      </c>
      <c r="BN24" s="455">
        <v>999</v>
      </c>
      <c r="BO24" s="455">
        <f t="shared" si="10"/>
        <v>0</v>
      </c>
      <c r="BP24" s="925">
        <f t="shared" si="11"/>
        <v>0</v>
      </c>
      <c r="BR24" s="764"/>
      <c r="BS24" s="455"/>
      <c r="BT24" s="455" t="str">
        <f t="shared" si="12"/>
        <v>B</v>
      </c>
      <c r="BU24" s="925" t="str">
        <f t="shared" si="13"/>
        <v>T</v>
      </c>
      <c r="BV24" s="483" t="str">
        <f t="shared" si="14"/>
        <v>Custom13</v>
      </c>
      <c r="BW24" s="910">
        <f t="shared" si="21"/>
        <v>16</v>
      </c>
      <c r="BX24" s="924" t="str">
        <f t="shared" si="15"/>
        <v>Single</v>
      </c>
      <c r="CH24" s="764">
        <f t="shared" si="16"/>
        <v>0</v>
      </c>
      <c r="CI24" s="925">
        <f t="shared" si="17"/>
        <v>0</v>
      </c>
      <c r="CJ24" s="759"/>
      <c r="CK24" s="188"/>
      <c r="CL24" s="979">
        <f>VLOOKUP(I24,Prodlink,2,0)</f>
        <v>0</v>
      </c>
      <c r="CN24" s="497">
        <f t="shared" ca="1" si="2"/>
        <v>0</v>
      </c>
      <c r="CO24" s="497">
        <f ca="1">OFFSET($CH$9,CL24-1,-15,1,1)</f>
        <v>0</v>
      </c>
      <c r="CQ24" s="51">
        <v>0</v>
      </c>
      <c r="CR24" s="51">
        <f t="shared" ca="1" si="24"/>
        <v>10000</v>
      </c>
      <c r="CS24" s="51">
        <f ca="1">IF(F24&lt;OFFSET($BM$9,CL24-1,0,1,1),0,IF(F24&lt;OFFSET($BN$9,CL24-1,0,1,1),((F24-OFFSET($BM$9,CL24-1,0,1,1))*OFFSET($CH$9,CL24-1,0,1,1))+OFFSET($BO$9,CL24-1,CQ24,1,1),IF(F24&lt;OFFSET($BN$9,CL24+0,0,1,1),((F24-OFFSET($BM$9,CL24+0,0,1,1))*OFFSET($CH$9,CL24+0,0,1,1))+OFFSET($BO$9,CL24+0,CQ24,1,1),IF(F24&lt;OFFSET($BN$9,CL24+1,0,1,1),((F24-OFFSET($BM$9,CL24+1,0,1,1))*OFFSET($CH$9,CL24+1,0,1,1))+OFFSET($BO$9,CL24+1,CQ24,1,1),IF(F24&lt;OFFSET($BN$9,CL24+2,0,1,1),((F24-OFFSET($BM$9,CL24+2,0,1,1))*OFFSET($CH$9,CL24+2,0,1,1))+OFFSET($BO$9,CL24+2,CQ24,1,1),IF(F24&lt;OFFSET($BN$9,CL24+3,0,1,1),((F24-OFFSET($BM$9,CL24+3,0,1,1))*OFFSET($CH$9,CL24+3,0,1,1))+OFFSET($BO$9,CL24+3,CQ24,1,1),0))))))</f>
        <v>0</v>
      </c>
      <c r="CT24" s="51">
        <f ca="1">IF($F24&lt;OFFSET($BM$9,$CL24-1,0,1,1),0,IF($F24&lt;OFFSET($BN$9,$CL24-1,0,1,1),IF(AND($H24&gt;2.4,Z24&lt;&gt;"e",Z24&lt;&gt;"f"),CX24*2.4/$H24,CX24),IF($F24&lt;OFFSET($BN$9,$CL24+0,0,1,1),IF(AND($H24&gt;2.4,Z24&lt;&gt;"e",Z24&lt;&gt;"f"),CX24*2.4/$H24,CX24),IF($F24&lt;OFFSET($BN$9,$CL24+1,0,1,1),IF(AND($H24&gt;2.4,Z24&lt;&gt;"e",Z24&lt;&gt;"f"),CX24*2.4/$H24,CX24),IF($F24&lt;OFFSET($BN$9,CL24+2,0,1,1),IF(AND($H24&gt;2.4,Z24&lt;&gt;"e",Z24&lt;&gt;"f"),CX24*2.4/$H24,CX24),IF($F24&lt;OFFSET($BN$9,CL24+3,0,1,1),IF(AND($H24&gt;2.4,Z24&lt;&gt;"e",Z24&lt;&gt;"f"),CX24*2.4/$H24,CX24),0)))))*COS(RADIANS($G24)))</f>
        <v>0</v>
      </c>
      <c r="CU24" s="51">
        <f ca="1">IF(F24&lt;OFFSET($BM$9,CL24-1,0,1,1),0,IF(F24&lt;OFFSET($BN$9,CL24-1,0,1,1),((F24-OFFSET($BM$9,CL24-1,0,1,1))*OFFSET($CI$9,CL24-1,0,1,1))+OFFSET($BP$9,CL24-1,CQ24,1,1),IF(F24&lt;OFFSET($BN$9,CL24+0,0,1,1),((F24-OFFSET($BM$9,CL24+0,0,1,1))*OFFSET($CI$9,CL24+0,0,1,1))+OFFSET($BP$9,CL24+0,CQ24,1,1),IF(F24&lt;OFFSET($BN$9,CL24+1,0,1,1),((F24-OFFSET($BM$9,CL24+1,0,1,1))*OFFSET($CI$9,CL24+1,0,1,1))+OFFSET($BP$9,CL24+1,CQ24,1,1),IF(F24&lt;OFFSET($BN$9,CL24+2,0,1,1),((F24-OFFSET($BM$9,CL24+2,0,1,1))*OFFSET($CI$9,CL24+2,0,1,1))+OFFSET($BP$9,CL24+2,CQ24,1,1),IF(F24&lt;OFFSET($BN$9,CL24+3,0,1,1),((F24-OFFSET($BM$9,CL24+3,0,1,1))*OFFSET($CI$9,CL24+3,0,1,1))+OFFSET($BP$9,CL24+3,CQ24,1,1),0))))))</f>
        <v>0</v>
      </c>
      <c r="CV24" s="51">
        <f ca="1">IF($F24&lt;OFFSET($BM$9,$CL24-1,0,1,1),0,IF($F24&lt;OFFSET($BN$9,$CL24-1,0,1,1),IF(AND($H24&gt;2.4,Z24&lt;&gt;"e",Z24&lt;&gt;"f"),CZ24*2.4/$H24,CZ24),IF($F24&lt;OFFSET($BN$9,$CL24+0,0,1,1),IF(AND($H24&gt;2.4,Z24&lt;&gt;"e",Z24&lt;&gt;"f"),CZ24*2.4/$H24,CZ24),IF($F24&lt;OFFSET($BN$9,$CL24+1,0,1,1),IF(AND($H24&gt;2.4,Z24&lt;&gt;"e",Z24&lt;&gt;"f"),CZ24*2.4/$H24,CZ24),IF($F24&lt;OFFSET($BN$9,$CL24+2,0,1,1),IF(AND($H24&gt;2.4,Z24&lt;&gt;"e",Z24&lt;&gt;"f"),CZ24*2.4/$H24,CZ24),IF($F24&lt;OFFSET($BN$9,$CL24+3,0,1,1),IF(AND($H24&gt;2.4,Z24&lt;&gt;"e",Z24&lt;&gt;"f"),CZ24*2.4/$H24,CZ24),0)))))*COS(RADIANS($G24)))</f>
        <v>0</v>
      </c>
      <c r="CW24" s="51">
        <f t="shared" ca="1" si="18"/>
        <v>0</v>
      </c>
      <c r="CX24" s="51">
        <f ca="1">IF(CS24&gt;$CR24,$CR24,CS24)</f>
        <v>0</v>
      </c>
      <c r="CY24" s="51">
        <f ca="1">CW24*F24</f>
        <v>0</v>
      </c>
      <c r="CZ24" s="51">
        <f ca="1">IF($CU24&gt;$CR24,$CR24,$CU24)</f>
        <v>0</v>
      </c>
      <c r="DA24" s="51">
        <f ca="1">IF(CV24&gt;CR24,CR24,CV24)</f>
        <v>0</v>
      </c>
      <c r="DB24" s="51">
        <f ca="1">DA24*F24</f>
        <v>0</v>
      </c>
      <c r="DC24" s="993">
        <v>1</v>
      </c>
      <c r="DD24" s="758" t="str">
        <f>IF(OR(D24=BG$12,D24=BG$13),"External",IF(D24=BG$14,"Internal"," "))</f>
        <v xml:space="preserve"> </v>
      </c>
      <c r="DE24" s="51" t="str">
        <f t="shared" ca="1" si="4"/>
        <v/>
      </c>
      <c r="DF24" s="52" t="str">
        <f t="shared" ca="1" si="5"/>
        <v xml:space="preserve"> </v>
      </c>
      <c r="DG24" s="51">
        <f ca="1">IF(F24&lt;OFFSET($BM$9,CN24-1,0,1,1),0,IF(F24&lt;OFFSET($BN$9,CN24-1,0,1,1),((F24-OFFSET($BM$9,CN24-1,0,1,1))*OFFSET($CH$9,CN24-1,0,1,1))+OFFSET($BO$9,CN24-1,CQ24,1,1),IF(F24&lt;OFFSET($BN$9,CN24+0,0,1,1),((F24-OFFSET($BM$9,CN24+0,0,1,1))*OFFSET($CH$9,CN24+0,0,1,1))+OFFSET($BO$9,CN24+0,CQ24,1,1),IF(F24&lt;OFFSET($BN$9,CN24+1,0,1,1),((F24-OFFSET($BM$9,CN24+1,0,1,1))*OFFSET($CH$9,CN24+1,0,1,1))+OFFSET($BO$9,CN24+1,CQ24,1,1),IF(F24&lt;OFFSET($BN$9,CN24+2,0,1,1),((F24-OFFSET($BM$9,CN24+2,0,1,1))*OFFSET($CH$9,CN24+2,0,1,1))+OFFSET($BO$9,CN24+2,CQ24,1,1),IF(F24&lt;OFFSET($BN$9,CN24+3,0,1,1),((F24-OFFSET($BM$9,CN24+3,0,1,1))*OFFSET($CH$9,CN24+3,0,1,1))+OFFSET($BO$9,CN24+3,CQ24,1,1),0))))))</f>
        <v>0</v>
      </c>
      <c r="DH24" s="51">
        <f ca="1">IF($F24&lt;OFFSET($BM$9,$CN24-1,0,1,1),0,IF($F24&lt;OFFSET($BN$9,$CN24-1,0,1,1),IF(AND($H24&gt;2.4,Z24&lt;&gt;"e",Z24&lt;&gt;"f"),DL24*2.4/$H24,DL24),IF($F24&lt;OFFSET($BN$9,$CN24+0,0,1,1),IF(AND($H24&gt;2.4,Z24&lt;&gt;"e",Z24&lt;&gt;"f"),DL24*2.4/$H24,DL24),IF($F24&lt;OFFSET($BN$9,$CN24+1,0,1,1),IF(AND($H24&gt;2.4,Z24&lt;&gt;"e",Z24&lt;&gt;"f"),DL24*2.4/$H24,DL24),IF($F24&lt;OFFSET($BN$9,$CN24+2,0,1,1),IF(AND($H24&gt;2.4,Z24&lt;&gt;"e",Z24&lt;&gt;"f"),DL24*2.4/$H24,DL24),IF($F24&lt;OFFSET($BN$9,$CN24+3,0,1,1),IF(AND($H24&gt;2.4,Z24&lt;&gt;"e",Z24&lt;&gt;"f"),DL24*2.4/$H24,DL24),0)))))*COS(RADIANS($G24)))</f>
        <v>0</v>
      </c>
      <c r="DI24" s="51">
        <f ca="1">IF(F24&lt;OFFSET($BM$9,CN24-1,0,1,1),0,IF(F24&lt;OFFSET($BN$9,CN24-1,0,1,1),((F24-OFFSET($BM$9,CN24-1,0,1,1))*OFFSET($CI$9,CN24-1,0,1,1))+OFFSET($BP$9,CN24-1,CQ24,1,1),IF(F24&lt;OFFSET($BN$9,CN24+0,0,1,1),((F24-OFFSET($BM$9,CN24+0,0,1,1))*OFFSET($CI$9,CN24+0,0,1,1))+OFFSET($BP$9,CN24+0,CQ24,1,1),IF(F24&lt;OFFSET($BN$9,CN24+1,0,1,1),((F24-OFFSET($BM$9,CN24+1,0,1,1))*OFFSET($CI$9,CN24+1,0,1,1))+OFFSET($BP$9,CN24+1,CQ24,1,1),IF(F24&lt;OFFSET($BN$9,CN24+2,0,1,1),((F24-OFFSET($BM$9,CN24+2,0,1,1))*OFFSET($CI$9,CN24+2,0,1,1))+OFFSET($BP$9,CN24+2,CQ24,1,1),IF(F24&lt;OFFSET($BN$9,CN24+3,0,1,1),((F24-OFFSET($BM$9,CN24+3,0,1,1))*OFFSET($CI$9,CN24+3,0,1,1))+OFFSET($BP$9,CN24+3,CQ24,1,1),0))))))</f>
        <v>0</v>
      </c>
      <c r="DJ24" s="51">
        <f ca="1">IF($F24&lt;OFFSET($BM$9,$CN24-1,0,1,1),0,IF($F24&lt;OFFSET($BN$9,$CN24-1,0,1,1),IF(AND($H24&gt;2.4,Z24&lt;&gt;"e",Z24&lt;&gt;"f"),DN24*2.4/$H24,DN24),IF($F24&lt;OFFSET($BN$9,$CN24+0,0,1,1),IF(AND($H24&gt;2.4,Z24&lt;&gt;"e",Z24&lt;&gt;"f"),DN24*2.4/$H24,DN24),IF($F24&lt;OFFSET($BN$9,$CN24+1,0,1,1),IF(AND($H24&gt;2.4,Z24&lt;&gt;"e",Z24&lt;&gt;"f"),DN24*2.4/$H24,DN24),IF($F24&lt;OFFSET($BN$9,$CN24+2,0,1,1),IF(AND($H24&gt;2.4,Z24&lt;&gt;"e",Z24&lt;&gt;"f"),DN24*2.4/$H24,DN24),IF($F24&lt;OFFSET($BN$9,$CN24+3,0,1,1),IF(AND($H24&gt;2.4,Z24&lt;&gt;"e",Z24&lt;&gt;"f"),DN24*2.4/$H24,DN24),0)))))*COS(RADIANS($G24)))</f>
        <v>0</v>
      </c>
      <c r="DK24" s="51"/>
      <c r="DL24" s="51">
        <f ca="1">IF(DG24&gt;$CR24,$CR24,DG24)</f>
        <v>0</v>
      </c>
      <c r="DM24" s="51"/>
      <c r="DN24" s="51">
        <f ca="1">IF(DI24&gt;$CR24,$CR24,DI24)</f>
        <v>0</v>
      </c>
      <c r="DO24" s="435">
        <f ca="1">IF(DH24&gt;$CR24,$CR24,DH24)</f>
        <v>0</v>
      </c>
      <c r="DP24" s="435">
        <f ca="1">DO24*F24</f>
        <v>0</v>
      </c>
      <c r="DQ24" s="436">
        <f ca="1">IF(DJ24&gt;$CR24,$CR24,DJ24)</f>
        <v>0</v>
      </c>
      <c r="DR24" s="437">
        <f ca="1">DQ24*F24</f>
        <v>0</v>
      </c>
      <c r="DS24" s="426">
        <f ca="1">OFFSET($CH$9,CL24-1,-15,1,1)</f>
        <v>0</v>
      </c>
      <c r="DT24" s="426">
        <f t="shared" ca="1" si="1"/>
        <v>0</v>
      </c>
      <c r="DU24" s="188">
        <f ca="1">IF(F24&lt;OFFSET($BM$9,DT24-1,0,1,1),0,IF(F24&lt;OFFSET($BN$9,DT24-1,0,1,1),((F24-OFFSET($BM$9,DT24-1,0,1,1))*OFFSET($CH$9,DT24-1,0,1,1))+OFFSET($BO$9,DT24-1,CQ24,1,1),IF(F24&lt;OFFSET($BN$9,DT24+0,0,1,1),((F24-OFFSET($BM$9,DT24+0,0,1,1))*OFFSET($CH$9,DT24+0,0,1,1))+OFFSET($BO$9,DT24+0,CQ24,1,1),IF(F24&lt;OFFSET($BN$9,DT24+1,0,1,1),((F24-OFFSET($BM$9,DT24+1,0,1,1))*OFFSET($CH$9,DT24+1,0,1,1))+OFFSET($BO$9,DT24+1,CQ24,1,1),IF(F24&lt;OFFSET($BN$9,DT24+2,0,1,1),((F24-OFFSET($BM$9,DT24+2,0,1,1))*OFFSET($CH$9,DT24+2,0,1,1))+OFFSET($BO$9,DT24+2,CQ24,1,1),IF(F24&lt;OFFSET($BN$9,DT24+3,0,1,1),((F24-OFFSET($BM$9,DT24+3,0,1,1))*OFFSET($CH$9,DT24+3,0,1,1))+OFFSET($BO$9,DT24+3,CQ24,1,1),0))))))</f>
        <v>0</v>
      </c>
      <c r="DV24" s="51">
        <f ca="1">IF($F24&lt;OFFSET($BM$9,$DT24-1,0,1,1),0,IF($F24&lt;OFFSET($BN$9,$DT24-1,0,1,1),IF(AND($H24&gt;2.4,Z24&lt;&gt;"e",Z24&lt;&gt;"f"),DZ24*2.4/$H24,DZ24),IF($F24&lt;OFFSET($BN$9,$DT24+0,0,1,1),IF(AND($H24&gt;2.4,Z24&lt;&gt;"e",Z24&lt;&gt;"f"),DZ24*2.4/$H24,DZ24),IF($F24&lt;OFFSET($BN$9,$DT24+1,0,1,1),IF(AND($H24&gt;2.4,Z24&lt;&gt;"e",Z24&lt;&gt;"f"),DZ24*2.4/$H24,DZ24),IF($F24&lt;OFFSET($BN$9,$DT24+2,0,1,1),IF(AND($H24&gt;2.4,Z24&lt;&gt;"e",Z24&lt;&gt;"f"),DZ24*2.4/$H24,DZ24),IF($F24&lt;OFFSET($BN$9,$DT24+3,0,1,1),IF(AND($H24&gt;2.4,Z24&lt;&gt;"e",Z24&lt;&gt;"f"),DZ24*2.4/$H24,DZ24),0)))))*COS(RADIANS($G24)))</f>
        <v>0</v>
      </c>
      <c r="DW24" s="188">
        <f ca="1">IF(F24&lt;OFFSET($BM$9,DT24-1,0,1,1),0,IF(F24&lt;OFFSET($BN$9,DT24-1,0,1,1),((F24-OFFSET($BM$9,DT24-1,0,1,1))*OFFSET($CI$9,DT24-1,0,1,1))+OFFSET($BP$9,DT24-1,CQ24,1,1),IF(F24&lt;OFFSET($BN$9,DT24+0,0,1,1),((F24-OFFSET($BM$9,DT24+0,0,1,1))*OFFSET($CI$9,DT24+0,0,1,1))+OFFSET($BP$9,DT24+0,CQ24,1,1),IF(F24&lt;OFFSET($BN$9,DT24+1,0,1,1),((F24-OFFSET($BM$9,DT24+1,0,1,1))*OFFSET($CI$9,DT24+1,0,1,1))+OFFSET($BP$9,DT24+1,CQ24,1,1),IF(F24&lt;OFFSET($BN$9,DT24+2,0,1,1),((F24-OFFSET($BM$9,DT24+2,0,1,1))*OFFSET($CI$9,DT24+2,0,1,1))+OFFSET($BP$9,DT24+2,CQ24,1,1),IF(F24&lt;OFFSET($BN$9,DT24+3,0,1,1),((F24-OFFSET($BM$9,DT24+3,0,1,1))*OFFSET($CI$9,DT24+3,0,1,1))+OFFSET($BP$9,DT24+3,CQ24,1,1),0))))))</f>
        <v>0</v>
      </c>
      <c r="DX24" s="51">
        <f ca="1">IF($F24&lt;OFFSET($BM$9,$DT24-1,0,1,1),0,IF($F24&lt;OFFSET($BN$9,$DT24-1,0,1,1),IF(AND($H24&gt;2.4,Z24&lt;&gt;"e",Z24&lt;&gt;"f"),EB24*2.4/$H24,EB24),IF($F24&lt;OFFSET($BN$9,$DT24+0,0,1,1),IF(AND($H24&gt;2.4,Z24&lt;&gt;"e",Z24&lt;&gt;"f"),EB24*2.4/$H24,EB24),IF($F24&lt;OFFSET($BN$9,$DT24+1,0,1,1),IF(AND($H24&gt;2.4,Z24&lt;&gt;"e",Z24&lt;&gt;"f"),EB24*2.4/$H24,EB24),IF($F24&lt;OFFSET($BN$9,$DT24+2,0,1,1),IF(AND($H24&gt;2.4,Z24&lt;&gt;"e",Z24&lt;&gt;"f"),EB24*2.4/$H24,EB24),IF($F24&lt;OFFSET($BN$9,$DT24+3,0,1,1),IF(AND($H24&gt;2.4,Z24&lt;&gt;"e",Z24&lt;&gt;"f"),EB24*2.4/$H24,EB24),0)))))*COS(RADIANS($G24)))</f>
        <v>0</v>
      </c>
      <c r="DY24" s="188"/>
      <c r="DZ24" s="188">
        <f ca="1">IF(DU24&gt;$CR24,$CR24,DU24)</f>
        <v>0</v>
      </c>
      <c r="EA24" s="188"/>
      <c r="EB24" s="188">
        <f ca="1">IF(DW24&gt;$CR24,$CR24,DW24)</f>
        <v>0</v>
      </c>
      <c r="EC24" s="435">
        <f ca="1">IF(DV24&gt;$CR24,$CR24,DV24)</f>
        <v>0</v>
      </c>
      <c r="ED24" s="435">
        <f ca="1">EC24*F24</f>
        <v>0</v>
      </c>
      <c r="EE24" s="436">
        <f ca="1">IF(DX24&gt;$CR24,$CR24,DX24)</f>
        <v>0</v>
      </c>
      <c r="EF24" s="437">
        <f ca="1">EE24*F24</f>
        <v>0</v>
      </c>
      <c r="EG24" s="613" t="str">
        <f>IF(D24=BG$12,BG$12,"")</f>
        <v/>
      </c>
      <c r="EH24" s="614" t="str">
        <f>IF(D24=BG$13,BG$13,"")</f>
        <v/>
      </c>
      <c r="EI24" s="611">
        <f>IF(EG24=BG$12,M24,0)</f>
        <v>0</v>
      </c>
      <c r="EJ24" s="451">
        <f>IF(EG24=BG$12,O24,0)</f>
        <v>0</v>
      </c>
      <c r="EK24" s="451">
        <f>IF(EH24=BG$13,M24,0)</f>
        <v>0</v>
      </c>
      <c r="EL24" s="612">
        <f>IF(EH24=BG$13,O24,0)</f>
        <v>0</v>
      </c>
      <c r="EM24" s="426" t="str">
        <f ca="1">IF(AND(Z24&lt;&gt;"t",Z24&lt;&gt;"f"),"",IF(AND(EN24=$BH$11,K24&lt;&gt;EN24),EM$4,IF(AND(EN24=$BH$12,K24=$BH$13),EM$4,IF(AND(EN24=$BH$12,K24=$BH$14),EM$4,IF(AND(EN24=$BH$13,K24=$BH$14),$EM$4,IF(EN24=$BH$14,$EM$4,""))))))</f>
        <v/>
      </c>
      <c r="EN24" s="489" t="str">
        <f>BG$24</f>
        <v>Earth</v>
      </c>
      <c r="EO24" s="426" t="str">
        <f>K24</f>
        <v xml:space="preserve"> </v>
      </c>
      <c r="EP24" s="497" t="str">
        <f ca="1">IF(AND(Z24&lt;&gt;"t",Z24&lt;&gt;"f"),"",IF(AND(EN24=$BH$14,K24&lt;&gt;EN24),EP$4,IF(AND(EN24=$BH$13,K24=$BH$12),EP$4,IF(AND(EN24=$BH$13,K24=$BH$11),EP$4,IF(AND(EN24=$BH$12,K24=$BH$11),$EP$4,IF(EN24=$BH$11,"Earth",""))))))</f>
        <v/>
      </c>
      <c r="EQ24" s="430" t="str">
        <f ca="1">IF(Z24&lt;&gt;"t","",IF(EQ$5=2,IF(K24&lt;&gt;BH$11,EQ$7," ")))</f>
        <v/>
      </c>
      <c r="ER24" s="439" t="str">
        <f ca="1">IF(H24=0," ",H24)</f>
        <v xml:space="preserve"> </v>
      </c>
      <c r="ES24" s="440" t="str">
        <f ca="1">IF(ER24&lt;&gt;" ",IF(ER24&lt;&gt;ER$7,"Changed",""),"")</f>
        <v/>
      </c>
      <c r="ET24" s="440">
        <f t="shared" ca="1" si="19"/>
        <v>0</v>
      </c>
      <c r="EU24" s="426" t="str">
        <f ca="1">IF(I24=" "," ",IF(F24&lt;OFFSET($BM$9,CL24-1,0,1,1),1,""))</f>
        <v xml:space="preserve"> </v>
      </c>
      <c r="EW24" s="427"/>
    </row>
    <row r="25" spans="2:153" ht="17.100000000000001" customHeight="1" thickBot="1">
      <c r="B25" s="2686" t="s">
        <v>8</v>
      </c>
      <c r="C25" s="2687"/>
      <c r="D25" s="1461" t="s">
        <v>8</v>
      </c>
      <c r="E25" s="659"/>
      <c r="F25" s="659"/>
      <c r="G25" s="659"/>
      <c r="H25" s="659"/>
      <c r="I25" s="1462"/>
      <c r="J25" s="1365" t="str">
        <f ca="1">(CONCATENATE(B20,$BE$54))</f>
        <v>O  Line:  Min. Requirement</v>
      </c>
      <c r="K25" s="23"/>
      <c r="L25" s="1019">
        <f ca="1">L$5</f>
        <v>0</v>
      </c>
      <c r="M25" s="48">
        <f ca="1">IF(B20=B14,SUM(M20:M24)+M19,SUM(M20:M24))</f>
        <v>0</v>
      </c>
      <c r="N25" s="1019">
        <f ca="1">N$5</f>
        <v>0</v>
      </c>
      <c r="O25" s="125">
        <f ca="1">IF(B20=B14,SUM(O20:O24)+O19,SUM(O20:O24))</f>
        <v>0</v>
      </c>
      <c r="P25" s="139"/>
      <c r="Q25" s="42" t="str">
        <f ca="1">IF(B20=B26,"",IF(AND(M25&gt;0,L25=L$5,OR(M25&lt;$M$105,M25&lt;$BF$3)),"Achieved &lt; Min Req per Line",IF(AND(O25&gt;0,N25=N$5,OR(O25&lt;$O$105,O25&lt;$BF$3)),"Achieved &lt; Min Req per Line",IF(AND(M25&gt;0,L25&gt;M25),"More Required on this line",IF(AND(O25&gt;0,N25&gt;O25),"More Required on this line",IF(AND(L25&gt;0,L25&lt;$BF$3),$BE$59,IF(AND(N25&gt;0,N25&lt;$BF$3),$BE$59,"")))))))</f>
        <v/>
      </c>
      <c r="R25" s="52"/>
      <c r="S25" s="52"/>
      <c r="T25" s="52"/>
      <c r="U25" s="1378"/>
      <c r="V25" s="52"/>
      <c r="W25" s="898"/>
      <c r="X25" s="898"/>
      <c r="Y25" s="896"/>
      <c r="Z25" s="52"/>
      <c r="AA25" s="51"/>
      <c r="AB25" s="1364"/>
      <c r="AC25" s="1"/>
      <c r="AJ25" s="29"/>
      <c r="AK25" s="30"/>
      <c r="AL25" s="30"/>
      <c r="AM25" s="32"/>
      <c r="AN25" s="32"/>
      <c r="AO25" s="32"/>
      <c r="AP25" s="32"/>
      <c r="AQ25" s="32"/>
      <c r="AR25" s="32"/>
      <c r="AS25" s="32"/>
      <c r="AT25" s="32"/>
      <c r="AU25" s="478"/>
      <c r="AV25" s="32"/>
      <c r="AW25" s="32"/>
      <c r="AX25" s="32"/>
      <c r="AY25" s="32"/>
      <c r="AZ25" s="32"/>
      <c r="BA25" s="32"/>
      <c r="BB25" s="32"/>
      <c r="BC25" s="32"/>
      <c r="BD25" s="2648"/>
      <c r="BF25" s="598" t="str">
        <f>Table!AI75</f>
        <v>EM-H</v>
      </c>
      <c r="BI25" s="759"/>
      <c r="BJ25" s="897">
        <f t="shared" si="6"/>
        <v>17</v>
      </c>
      <c r="BK25" s="769" t="str">
        <f t="shared" si="7"/>
        <v xml:space="preserve">  </v>
      </c>
      <c r="BL25" s="771" t="str">
        <f t="shared" si="8"/>
        <v>Custom14</v>
      </c>
      <c r="BM25" s="455">
        <f t="shared" si="9"/>
        <v>9.9999999999999996E-76</v>
      </c>
      <c r="BN25" s="455">
        <v>999</v>
      </c>
      <c r="BO25" s="455">
        <f t="shared" si="10"/>
        <v>0</v>
      </c>
      <c r="BP25" s="925">
        <f t="shared" si="11"/>
        <v>0</v>
      </c>
      <c r="BR25" s="764"/>
      <c r="BS25" s="455"/>
      <c r="BT25" s="455" t="str">
        <f t="shared" si="12"/>
        <v>B</v>
      </c>
      <c r="BU25" s="925" t="str">
        <f t="shared" si="13"/>
        <v>T</v>
      </c>
      <c r="BV25" s="483" t="str">
        <f t="shared" si="14"/>
        <v>Custom14</v>
      </c>
      <c r="BW25" s="910">
        <f t="shared" si="21"/>
        <v>17</v>
      </c>
      <c r="BX25" s="924" t="str">
        <f t="shared" si="15"/>
        <v>Single</v>
      </c>
      <c r="CH25" s="764">
        <f t="shared" si="16"/>
        <v>0</v>
      </c>
      <c r="CI25" s="925">
        <f t="shared" si="17"/>
        <v>0</v>
      </c>
      <c r="CJ25" s="759"/>
      <c r="CK25" s="188"/>
      <c r="CL25" s="979"/>
      <c r="CN25" s="497"/>
      <c r="CO25" s="497"/>
      <c r="CQ25" s="51"/>
      <c r="CR25" s="51"/>
      <c r="CS25" s="51"/>
      <c r="CT25" s="51" t="s">
        <v>8</v>
      </c>
      <c r="CU25" s="51"/>
      <c r="CV25" s="51" t="s">
        <v>8</v>
      </c>
      <c r="CW25" s="51"/>
      <c r="CX25" s="51"/>
      <c r="CY25" s="51"/>
      <c r="CZ25" s="51"/>
      <c r="DD25" s="758"/>
      <c r="DF25" s="52"/>
      <c r="DG25" s="51"/>
      <c r="DH25" s="51"/>
      <c r="DI25" s="51"/>
      <c r="DJ25" s="51"/>
      <c r="DK25" s="51"/>
      <c r="DL25" s="51"/>
      <c r="DM25" s="51"/>
      <c r="DN25" s="51"/>
      <c r="DO25" s="435"/>
      <c r="DP25" s="435"/>
      <c r="DQ25" s="868"/>
      <c r="DR25" s="868"/>
      <c r="DU25" s="188"/>
      <c r="DV25" s="188" t="s">
        <v>8</v>
      </c>
      <c r="DW25" s="188"/>
      <c r="DX25" s="188" t="s">
        <v>8</v>
      </c>
      <c r="DY25" s="188"/>
      <c r="DZ25" s="188"/>
      <c r="EA25" s="188"/>
      <c r="EB25" s="188"/>
      <c r="EC25" s="435"/>
      <c r="ED25" s="435"/>
      <c r="EE25" s="868"/>
      <c r="EF25" s="868"/>
      <c r="EG25" s="613"/>
      <c r="EH25" s="614"/>
      <c r="EI25" s="613"/>
      <c r="EJ25" s="435"/>
      <c r="EK25" s="451"/>
      <c r="EL25" s="612"/>
      <c r="EN25" s="438"/>
      <c r="EP25" s="497"/>
      <c r="ER25" s="441"/>
      <c r="ES25" s="440"/>
      <c r="ET25" s="440"/>
      <c r="EW25" s="427"/>
    </row>
    <row r="26" spans="2:153" ht="17.100000000000001" customHeight="1" thickBot="1">
      <c r="B26" s="1369" t="str">
        <f ca="1">S26</f>
        <v>P</v>
      </c>
      <c r="C26" s="684" t="str">
        <f>IF(OR(F26=0,I26="",I26=" ")," ",$V26)</f>
        <v xml:space="preserve"> </v>
      </c>
      <c r="D26" s="1033"/>
      <c r="E26" s="1360"/>
      <c r="F26" s="202"/>
      <c r="G26" s="1416"/>
      <c r="H26" s="1417" t="str">
        <f ca="1">IF(OR(F26=0,Z26="E",Z26="f")," ",'Project Demand'!E$55)</f>
        <v xml:space="preserve"> </v>
      </c>
      <c r="I26" s="631" t="str">
        <f>IF($I$6&lt;&gt;$BG$8," ",AB26)</f>
        <v xml:space="preserve"> </v>
      </c>
      <c r="J26" s="43" t="str">
        <f ca="1">IF(OR(I26=" ",I26="")," ",OFFSET($BO$9,CL26-1,0-4,1,1))</f>
        <v xml:space="preserve"> </v>
      </c>
      <c r="K26" s="55" t="str">
        <f>IF(OR(I26=" ",I26="")," ",IF(OR(Z26="e",Z26="h"),"SD",IF(BG$24=BH$11,BH$13,BG$24)))</f>
        <v xml:space="preserve"> </v>
      </c>
      <c r="L26" s="49">
        <f ca="1">CW26</f>
        <v>0</v>
      </c>
      <c r="M26" s="49">
        <f ca="1">CY26</f>
        <v>0</v>
      </c>
      <c r="N26" s="50">
        <f t="shared" ref="N26:O30" ca="1" si="25">DA26</f>
        <v>0</v>
      </c>
      <c r="O26" s="126">
        <f t="shared" ca="1" si="25"/>
        <v>0</v>
      </c>
      <c r="P26" s="140"/>
      <c r="Q26" s="752" t="str">
        <f ca="1">IF(AND(OR(Z26="t",Z26="f"),K26=$BH$11),"No Floor!  Change Floor Type",IF(OR(I26=" ",I26="")," ",IF(F26&lt;OFFSET($BM$9,CL26-1,0,1,1),"check L(m)",DE26&amp;IF(AND(DP26&gt;=CY26,DR26&gt;=DB26),IF(AND(ED26&gt;=DP26,EF26&gt;=DR26),CONCATENATE(DS26," will provide same result"),CONCATENATE(CO26," will provide same result")),IF((DP26&gt;=CY26),CONCATENATE(CO26," provides same result in WIND"),IF((DR26&gt;=DB26),CONCATENATE(CO26," provides same result in EQ"),""))))))&amp;IF(ISERROR(FIND("pile",I26,1)),"",IF(INT(F26)&lt;&gt;F26,"Pile!  Use Whole Numbers Only",""))</f>
        <v xml:space="preserve"> </v>
      </c>
      <c r="R26" s="52">
        <f ca="1">IF(T20&lt;&gt;2,(COLUMN(INDIRECT(B20&amp;1))+1),U26)</f>
        <v>16</v>
      </c>
      <c r="S26" s="1372" t="str">
        <f ca="1">SUBSTITUTE(ADDRESS(1,R26,4),"1","")</f>
        <v>P</v>
      </c>
      <c r="T26" s="451">
        <f ca="1">IF(AND(ISTEXT(B26),SUBSTITUTE(SUBSTITUTE(SUBSTITUTE(SUBSTITUTE(SUBSTITUTE(SUBSTITUTE(SUBSTITUTE(SUBSTITUTE(SUBSTITUTE(SUBSTITUTE(SUBSTITUTE(SUBSTITUTE(SUBSTITUTE(SUBSTITUTE(SUBSTITUTE(SUBSTITUTE(SUBSTITUTE(SUBSTITUTE(SUBSTITUTE(SUBSTITUTE(SUBSTITUTE(SUBSTITUTE(SUBSTITUTE(SUBSTITUTE(SUBSTITUTE(SUBSTITUTE(LOWER(B26),"a",),"b",),"c",),"d",),"e",),"f",),"g",),"h",),"i",),"j",),"k",),"l",),"m",),"n",),"o",),"p",),"q",),"r",),"s",),"t",),"u",),"v",),"w",),"x",),"y",),"z",)=""),1,2)</f>
        <v>1</v>
      </c>
      <c r="U26" s="1377">
        <v>16</v>
      </c>
      <c r="V26" s="52" t="str">
        <f ca="1">IF(AND(B$5=$BF$9,OR(I26=BH$16,I26=BH$17))," ",IF(ISNUMBER(B$26),(CONCATENATE(B$26,".",W26)),(CONCATENATE(B$26,W26))))</f>
        <v>P0</v>
      </c>
      <c r="W26" s="9">
        <f ca="1">IF(B20=B26,W24+X26,X26)</f>
        <v>0</v>
      </c>
      <c r="X26" s="9">
        <f>IF(AND(B$5=$BF$9,OR($I26=$BH$16,$I26=$BH$17,$I26=" ",$I26="",$F26=0)),0,IF(OR($I26=" ",$I26="",$F26=0),0,1))</f>
        <v>0</v>
      </c>
      <c r="Y26" s="896">
        <f ca="1">IF(AND(M31&gt;0,B26&lt;&gt;B32),1,0)</f>
        <v>0</v>
      </c>
      <c r="Z26" s="52" t="str">
        <f ca="1">IF(I26=" "," ",OFFSET($BM$9,$CL26-1,8,1,1))</f>
        <v xml:space="preserve"> </v>
      </c>
      <c r="AA26" s="51" t="str">
        <f>IF(G26&gt;=45,"WA","")</f>
        <v/>
      </c>
      <c r="AB26" s="1364" t="str">
        <f>IF(OR(E26=" ",E26="")," ",(IF(F26&lt;&gt;"",IF(OR(D26=$BG$12,D26=$BG$13),IF(E26&lt;&gt;$BG$17,$BF$20,$BF$21),IF(E26&lt;&gt;$BG$17,$BF$20,$BF$21))," ")))</f>
        <v xml:space="preserve"> </v>
      </c>
      <c r="AC26" s="1"/>
      <c r="AJ26" s="29"/>
      <c r="AK26" s="30"/>
      <c r="AL26" s="30"/>
      <c r="AM26" s="32"/>
      <c r="AN26" s="32"/>
      <c r="AO26" s="32"/>
      <c r="AP26" s="32"/>
      <c r="AQ26" s="32"/>
      <c r="AR26" s="32"/>
      <c r="AS26" s="32"/>
      <c r="AT26" s="32"/>
      <c r="AU26" s="478"/>
      <c r="AV26" s="32"/>
      <c r="AW26" s="32"/>
      <c r="AX26" s="32"/>
      <c r="AY26" s="32"/>
      <c r="AZ26" s="32"/>
      <c r="BA26" s="32"/>
      <c r="BB26" s="32"/>
      <c r="BC26" s="32"/>
      <c r="BD26" s="2648"/>
      <c r="BF26" s="598" t="str">
        <f>Table!AI78</f>
        <v>ESSN</v>
      </c>
      <c r="BI26" s="759"/>
      <c r="BJ26" s="897">
        <f t="shared" si="6"/>
        <v>18</v>
      </c>
      <c r="BK26" s="769" t="str">
        <f t="shared" si="7"/>
        <v xml:space="preserve">  </v>
      </c>
      <c r="BL26" s="771" t="str">
        <f t="shared" si="8"/>
        <v>Custom15</v>
      </c>
      <c r="BM26" s="455">
        <f t="shared" si="9"/>
        <v>9.9999999999999996E-76</v>
      </c>
      <c r="BN26" s="455">
        <v>999</v>
      </c>
      <c r="BO26" s="455">
        <f t="shared" si="10"/>
        <v>0</v>
      </c>
      <c r="BP26" s="925">
        <f t="shared" si="11"/>
        <v>0</v>
      </c>
      <c r="BR26" s="764"/>
      <c r="BS26" s="455"/>
      <c r="BT26" s="455" t="str">
        <f t="shared" si="12"/>
        <v>B</v>
      </c>
      <c r="BU26" s="925" t="str">
        <f t="shared" si="13"/>
        <v>T</v>
      </c>
      <c r="BV26" s="483" t="str">
        <f t="shared" si="14"/>
        <v>Custom15</v>
      </c>
      <c r="BW26" s="910">
        <f t="shared" si="21"/>
        <v>18</v>
      </c>
      <c r="BX26" s="924" t="str">
        <f t="shared" si="15"/>
        <v>Single</v>
      </c>
      <c r="CH26" s="764">
        <f t="shared" si="16"/>
        <v>0</v>
      </c>
      <c r="CI26" s="925">
        <f t="shared" si="17"/>
        <v>0</v>
      </c>
      <c r="CJ26" s="759"/>
      <c r="CK26" s="188"/>
      <c r="CL26" s="979">
        <f>VLOOKUP(I26,Prodlink,2,0)</f>
        <v>0</v>
      </c>
      <c r="CN26" s="497">
        <f t="shared" ca="1" si="2"/>
        <v>0</v>
      </c>
      <c r="CO26" s="497">
        <f ca="1">OFFSET($CH$9,CL26-1,-15,1,1)</f>
        <v>0</v>
      </c>
      <c r="CQ26" s="51">
        <v>0</v>
      </c>
      <c r="CR26" s="51">
        <f ca="1">IF(AND(Z26&lt;&gt;"t",Z26&lt;&gt;"f"),10000,IF(K26=$BH$11,0,IF(K26=$BH$12,$BH$23,IF(K26=$BH$13,$BH$24,10000))))</f>
        <v>10000</v>
      </c>
      <c r="CS26" s="51">
        <f ca="1">IF(F26&lt;OFFSET($BM$9,CL26-1,0,1,1),0,IF(F26&lt;OFFSET($BN$9,CL26-1,0,1,1),((F26-OFFSET($BM$9,CL26-1,0,1,1))*OFFSET($CH$9,CL26-1,0,1,1))+OFFSET($BO$9,CL26-1,CQ26,1,1),IF(F26&lt;OFFSET($BN$9,CL26+0,0,1,1),((F26-OFFSET($BM$9,CL26+0,0,1,1))*OFFSET($CH$9,CL26+0,0,1,1))+OFFSET($BO$9,CL26+0,CQ26,1,1),IF(F26&lt;OFFSET($BN$9,CL26+1,0,1,1),((F26-OFFSET($BM$9,CL26+1,0,1,1))*OFFSET($CH$9,CL26+1,0,1,1))+OFFSET($BO$9,CL26+1,CQ26,1,1),IF(F26&lt;OFFSET($BN$9,CL26+2,0,1,1),((F26-OFFSET($BM$9,CL26+2,0,1,1))*OFFSET($CH$9,CL26+2,0,1,1))+OFFSET($BO$9,CL26+2,CQ26,1,1),IF(F26&lt;OFFSET($BN$9,CL26+3,0,1,1),((F26-OFFSET($BM$9,CL26+3,0,1,1))*OFFSET($CH$9,CL26+3,0,1,1))+OFFSET($BO$9,CL26+3,CQ26,1,1),0))))))</f>
        <v>0</v>
      </c>
      <c r="CT26" s="51">
        <f ca="1">IF($F26&lt;OFFSET($BM$9,$CL26-1,0,1,1),0,IF($F26&lt;OFFSET($BN$9,$CL26-1,0,1,1),IF(AND($H26&gt;2.4,Z26&lt;&gt;"e",Z26&lt;&gt;"f"),CX26*2.4/$H26,CX26),IF($F26&lt;OFFSET($BN$9,$CL26+0,0,1,1),IF(AND($H26&gt;2.4,Z26&lt;&gt;"e",Z26&lt;&gt;"f"),CX26*2.4/$H26,CX26),IF($F26&lt;OFFSET($BN$9,$CL26+1,0,1,1),IF(AND($H26&gt;2.4,Z26&lt;&gt;"e",Z26&lt;&gt;"f"),CX26*2.4/$H26,CX26),IF($F26&lt;OFFSET($BN$9,CL26+2,0,1,1),IF(AND($H26&gt;2.4,Z26&lt;&gt;"e",Z26&lt;&gt;"f"),CX26*2.4/$H26,CX26),IF($F26&lt;OFFSET($BN$9,CL26+3,0,1,1),IF(AND($H26&gt;2.4,Z26&lt;&gt;"e",Z26&lt;&gt;"f"),CX26*2.4/$H26,CX26),0)))))*COS(RADIANS($G26)))</f>
        <v>0</v>
      </c>
      <c r="CU26" s="51">
        <f ca="1">IF(F26&lt;OFFSET($BM$9,CL26-1,0,1,1),0,IF(F26&lt;OFFSET($BN$9,CL26-1,0,1,1),((F26-OFFSET($BM$9,CL26-1,0,1,1))*OFFSET($CI$9,CL26-1,0,1,1))+OFFSET($BP$9,CL26-1,CQ26,1,1),IF(F26&lt;OFFSET($BN$9,CL26+0,0,1,1),((F26-OFFSET($BM$9,CL26+0,0,1,1))*OFFSET($CI$9,CL26+0,0,1,1))+OFFSET($BP$9,CL26+0,CQ26,1,1),IF(F26&lt;OFFSET($BN$9,CL26+1,0,1,1),((F26-OFFSET($BM$9,CL26+1,0,1,1))*OFFSET($CI$9,CL26+1,0,1,1))+OFFSET($BP$9,CL26+1,CQ26,1,1),IF(F26&lt;OFFSET($BN$9,CL26+2,0,1,1),((F26-OFFSET($BM$9,CL26+2,0,1,1))*OFFSET($CI$9,CL26+2,0,1,1))+OFFSET($BP$9,CL26+2,CQ26,1,1),IF(F26&lt;OFFSET($BN$9,CL26+3,0,1,1),((F26-OFFSET($BM$9,CL26+3,0,1,1))*OFFSET($CI$9,CL26+3,0,1,1))+OFFSET($BP$9,CL26+3,CQ26,1,1),0))))))</f>
        <v>0</v>
      </c>
      <c r="CV26" s="51">
        <f ca="1">IF($F26&lt;OFFSET($BM$9,$CL26-1,0,1,1),0,IF($F26&lt;OFFSET($BN$9,$CL26-1,0,1,1),IF(AND($H26&gt;2.4,Z26&lt;&gt;"e",Z26&lt;&gt;"f"),CZ26*2.4/$H26,CZ26),IF($F26&lt;OFFSET($BN$9,$CL26+0,0,1,1),IF(AND($H26&gt;2.4,Z26&lt;&gt;"e",Z26&lt;&gt;"f"),CZ26*2.4/$H26,CZ26),IF($F26&lt;OFFSET($BN$9,$CL26+1,0,1,1),IF(AND($H26&gt;2.4,Z26&lt;&gt;"e",Z26&lt;&gt;"f"),CZ26*2.4/$H26,CZ26),IF($F26&lt;OFFSET($BN$9,$CL26+2,0,1,1),IF(AND($H26&gt;2.4,Z26&lt;&gt;"e",Z26&lt;&gt;"f"),CZ26*2.4/$H26,CZ26),IF($F26&lt;OFFSET($BN$9,$CL26+3,0,1,1),IF(AND($H26&gt;2.4,Z26&lt;&gt;"e",Z26&lt;&gt;"f"),CZ26*2.4/$H26,CZ26),0)))))*COS(RADIANS($G26)))</f>
        <v>0</v>
      </c>
      <c r="CW26" s="51">
        <f t="shared" ca="1" si="18"/>
        <v>0</v>
      </c>
      <c r="CX26" s="51">
        <f ca="1">IF(CS26&gt;$CR26,$CR26,CS26)</f>
        <v>0</v>
      </c>
      <c r="CY26" s="51">
        <f ca="1">CW26*F26</f>
        <v>0</v>
      </c>
      <c r="CZ26" s="51">
        <f ca="1">IF($CU26&gt;$CR26,$CR26,$CU26)</f>
        <v>0</v>
      </c>
      <c r="DA26" s="51">
        <f ca="1">IF(CV26&gt;CR26,CR26,CV26)</f>
        <v>0</v>
      </c>
      <c r="DB26" s="51">
        <f ca="1">DA26*F26</f>
        <v>0</v>
      </c>
      <c r="DC26" s="993">
        <v>2</v>
      </c>
      <c r="DD26" s="758" t="str">
        <f>IF(OR(D26=BG$12,D26=BG$13),"External",IF(D26=BG$14,"Internal"," "))</f>
        <v xml:space="preserve"> </v>
      </c>
      <c r="DE26" s="51" t="str">
        <f t="shared" ca="1" si="4"/>
        <v/>
      </c>
      <c r="DF26" s="52" t="str">
        <f t="shared" ca="1" si="5"/>
        <v xml:space="preserve"> </v>
      </c>
      <c r="DG26" s="51">
        <f ca="1">IF(F26&lt;OFFSET($BM$9,CN26-1,0,1,1),0,IF(F26&lt;OFFSET($BN$9,CN26-1,0,1,1),((F26-OFFSET($BM$9,CN26-1,0,1,1))*OFFSET($CH$9,CN26-1,0,1,1))+OFFSET($BO$9,CN26-1,CQ26,1,1),IF(F26&lt;OFFSET($BN$9,CN26+0,0,1,1),((F26-OFFSET($BM$9,CN26+0,0,1,1))*OFFSET($CH$9,CN26+0,0,1,1))+OFFSET($BO$9,CN26+0,CQ26,1,1),IF(F26&lt;OFFSET($BN$9,CN26+1,0,1,1),((F26-OFFSET($BM$9,CN26+1,0,1,1))*OFFSET($CH$9,CN26+1,0,1,1))+OFFSET($BO$9,CN26+1,CQ26,1,1),IF(F26&lt;OFFSET($BN$9,CN26+2,0,1,1),((F26-OFFSET($BM$9,CN26+2,0,1,1))*OFFSET($CH$9,CN26+2,0,1,1))+OFFSET($BO$9,CN26+2,CQ26,1,1),IF(F26&lt;OFFSET($BN$9,CN26+3,0,1,1),((F26-OFFSET($BM$9,CN26+3,0,1,1))*OFFSET($CH$9,CN26+3,0,1,1))+OFFSET($BO$9,CN26+3,CQ26,1,1),0))))))</f>
        <v>0</v>
      </c>
      <c r="DH26" s="51">
        <f ca="1">IF($F26&lt;OFFSET($BM$9,$CN26-1,0,1,1),0,IF($F26&lt;OFFSET($BN$9,$CN26-1,0,1,1),IF(AND($H26&gt;2.4,Z26&lt;&gt;"e",Z26&lt;&gt;"f"),DL26*2.4/$H26,DL26),IF($F26&lt;OFFSET($BN$9,$CN26+0,0,1,1),IF(AND($H26&gt;2.4,Z26&lt;&gt;"e",Z26&lt;&gt;"f"),DL26*2.4/$H26,DL26),IF($F26&lt;OFFSET($BN$9,$CN26+1,0,1,1),IF(AND($H26&gt;2.4,Z26&lt;&gt;"e",Z26&lt;&gt;"f"),DL26*2.4/$H26,DL26),IF($F26&lt;OFFSET($BN$9,$CN26+2,0,1,1),IF(AND($H26&gt;2.4,Z26&lt;&gt;"e",Z26&lt;&gt;"f"),DL26*2.4/$H26,DL26),IF($F26&lt;OFFSET($BN$9,$CN26+3,0,1,1),IF(AND($H26&gt;2.4,Z26&lt;&gt;"e",Z26&lt;&gt;"f"),DL26*2.4/$H26,DL26),0)))))*COS(RADIANS($G26)))</f>
        <v>0</v>
      </c>
      <c r="DI26" s="51">
        <f ca="1">IF(F26&lt;OFFSET($BM$9,CN26-1,0,1,1),0,IF(F26&lt;OFFSET($BN$9,CN26-1,0,1,1),((F26-OFFSET($BM$9,CN26-1,0,1,1))*OFFSET($CI$9,CN26-1,0,1,1))+OFFSET($BP$9,CN26-1,CQ26,1,1),IF(F26&lt;OFFSET($BN$9,CN26+0,0,1,1),((F26-OFFSET($BM$9,CN26+0,0,1,1))*OFFSET($CI$9,CN26+0,0,1,1))+OFFSET($BP$9,CN26+0,CQ26,1,1),IF(F26&lt;OFFSET($BN$9,CN26+1,0,1,1),((F26-OFFSET($BM$9,CN26+1,0,1,1))*OFFSET($CI$9,CN26+1,0,1,1))+OFFSET($BP$9,CN26+1,CQ26,1,1),IF(F26&lt;OFFSET($BN$9,CN26+2,0,1,1),((F26-OFFSET($BM$9,CN26+2,0,1,1))*OFFSET($CI$9,CN26+2,0,1,1))+OFFSET($BP$9,CN26+2,CQ26,1,1),IF(F26&lt;OFFSET($BN$9,CN26+3,0,1,1),((F26-OFFSET($BM$9,CN26+3,0,1,1))*OFFSET($CI$9,CN26+3,0,1,1))+OFFSET($BP$9,CN26+3,CQ26,1,1),0))))))</f>
        <v>0</v>
      </c>
      <c r="DJ26" s="51">
        <f ca="1">IF($F26&lt;OFFSET($BM$9,$CN26-1,0,1,1),0,IF($F26&lt;OFFSET($BN$9,$CN26-1,0,1,1),IF(AND($H26&gt;2.4,Z26&lt;&gt;"e",Z26&lt;&gt;"f"),DN26*2.4/$H26,DN26),IF($F26&lt;OFFSET($BN$9,$CN26+0,0,1,1),IF(AND($H26&gt;2.4,Z26&lt;&gt;"e",Z26&lt;&gt;"f"),DN26*2.4/$H26,DN26),IF($F26&lt;OFFSET($BN$9,$CN26+1,0,1,1),IF(AND($H26&gt;2.4,Z26&lt;&gt;"e",Z26&lt;&gt;"f"),DN26*2.4/$H26,DN26),IF($F26&lt;OFFSET($BN$9,$CN26+2,0,1,1),IF(AND($H26&gt;2.4,Z26&lt;&gt;"e",Z26&lt;&gt;"f"),DN26*2.4/$H26,DN26),IF($F26&lt;OFFSET($BN$9,$CN26+3,0,1,1),IF(AND($H26&gt;2.4,Z26&lt;&gt;"e",Z26&lt;&gt;"f"),DN26*2.4/$H26,DN26),0)))))*COS(RADIANS($G26)))</f>
        <v>0</v>
      </c>
      <c r="DK26" s="51"/>
      <c r="DL26" s="51">
        <f ca="1">IF(DG26&gt;$CR26,$CR26,DG26)</f>
        <v>0</v>
      </c>
      <c r="DM26" s="51"/>
      <c r="DN26" s="51">
        <f ca="1">IF(DI26&gt;$CR26,$CR26,DI26)</f>
        <v>0</v>
      </c>
      <c r="DO26" s="435">
        <f ca="1">IF(DH26&gt;$CR26,$CR26,DH26)</f>
        <v>0</v>
      </c>
      <c r="DP26" s="435">
        <f ca="1">DO26*F26</f>
        <v>0</v>
      </c>
      <c r="DQ26" s="436">
        <f ca="1">IF(DJ26&gt;$CR26,$CR26,DJ26)</f>
        <v>0</v>
      </c>
      <c r="DR26" s="437">
        <f ca="1">DQ26*F26</f>
        <v>0</v>
      </c>
      <c r="DS26" s="426">
        <f ca="1">OFFSET($CH$9,CL26-1,-15,1,1)</f>
        <v>0</v>
      </c>
      <c r="DT26" s="426">
        <f t="shared" ca="1" si="1"/>
        <v>0</v>
      </c>
      <c r="DU26" s="188">
        <f ca="1">IF(F26&lt;OFFSET($BM$9,DT26-1,0,1,1),0,IF(F26&lt;OFFSET($BN$9,DT26-1,0,1,1),((F26-OFFSET($BM$9,DT26-1,0,1,1))*OFFSET($CH$9,DT26-1,0,1,1))+OFFSET($BO$9,DT26-1,CQ26,1,1),IF(F26&lt;OFFSET($BN$9,DT26+0,0,1,1),((F26-OFFSET($BM$9,DT26+0,0,1,1))*OFFSET($CH$9,DT26+0,0,1,1))+OFFSET($BO$9,DT26+0,CQ26,1,1),IF(F26&lt;OFFSET($BN$9,DT26+1,0,1,1),((F26-OFFSET($BM$9,DT26+1,0,1,1))*OFFSET($CH$9,DT26+1,0,1,1))+OFFSET($BO$9,DT26+1,CQ26,1,1),IF(F26&lt;OFFSET($BN$9,DT26+2,0,1,1),((F26-OFFSET($BM$9,DT26+2,0,1,1))*OFFSET($CH$9,DT26+2,0,1,1))+OFFSET($BO$9,DT26+2,CQ26,1,1),IF(F26&lt;OFFSET($BN$9,DT26+3,0,1,1),((F26-OFFSET($BM$9,DT26+3,0,1,1))*OFFSET($CH$9,DT26+3,0,1,1))+OFFSET($BO$9,DT26+3,CQ26,1,1),0))))))</f>
        <v>0</v>
      </c>
      <c r="DV26" s="51">
        <f ca="1">IF($F26&lt;OFFSET($BM$9,$DT26-1,0,1,1),0,IF($F26&lt;OFFSET($BN$9,$DT26-1,0,1,1),IF(AND($H26&gt;2.4,Z26&lt;&gt;"e",Z26&lt;&gt;"f"),DZ26*2.4/$H26,DZ26),IF($F26&lt;OFFSET($BN$9,$DT26+0,0,1,1),IF(AND($H26&gt;2.4,Z26&lt;&gt;"e",Z26&lt;&gt;"f"),DZ26*2.4/$H26,DZ26),IF($F26&lt;OFFSET($BN$9,$DT26+1,0,1,1),IF(AND($H26&gt;2.4,Z26&lt;&gt;"e",Z26&lt;&gt;"f"),DZ26*2.4/$H26,DZ26),IF($F26&lt;OFFSET($BN$9,$DT26+2,0,1,1),IF(AND($H26&gt;2.4,Z26&lt;&gt;"e",Z26&lt;&gt;"f"),DZ26*2.4/$H26,DZ26),IF($F26&lt;OFFSET($BN$9,$DT26+3,0,1,1),IF(AND($H26&gt;2.4,Z26&lt;&gt;"e",Z26&lt;&gt;"f"),DZ26*2.4/$H26,DZ26),0)))))*COS(RADIANS($G26)))</f>
        <v>0</v>
      </c>
      <c r="DW26" s="188">
        <f ca="1">IF(F26&lt;OFFSET($BM$9,DT26-1,0,1,1),0,IF(F26&lt;OFFSET($BN$9,DT26-1,0,1,1),((F26-OFFSET($BM$9,DT26-1,0,1,1))*OFFSET($CI$9,DT26-1,0,1,1))+OFFSET($BP$9,DT26-1,CQ26,1,1),IF(F26&lt;OFFSET($BN$9,DT26+0,0,1,1),((F26-OFFSET($BM$9,DT26+0,0,1,1))*OFFSET($CI$9,DT26+0,0,1,1))+OFFSET($BP$9,DT26+0,CQ26,1,1),IF(F26&lt;OFFSET($BN$9,DT26+1,0,1,1),((F26-OFFSET($BM$9,DT26+1,0,1,1))*OFFSET($CI$9,DT26+1,0,1,1))+OFFSET($BP$9,DT26+1,CQ26,1,1),IF(F26&lt;OFFSET($BN$9,DT26+2,0,1,1),((F26-OFFSET($BM$9,DT26+2,0,1,1))*OFFSET($CI$9,DT26+2,0,1,1))+OFFSET($BP$9,DT26+2,CQ26,1,1),IF(F26&lt;OFFSET($BN$9,DT26+3,0,1,1),((F26-OFFSET($BM$9,DT26+3,0,1,1))*OFFSET($CI$9,DT26+3,0,1,1))+OFFSET($BP$9,DT26+3,CQ26,1,1),0))))))</f>
        <v>0</v>
      </c>
      <c r="DX26" s="51">
        <f ca="1">IF($F26&lt;OFFSET($BM$9,$DT26-1,0,1,1),0,IF($F26&lt;OFFSET($BN$9,$DT26-1,0,1,1),IF(AND($H26&gt;2.4,Z26&lt;&gt;"e",Z26&lt;&gt;"f"),EB26*2.4/$H26,EB26),IF($F26&lt;OFFSET($BN$9,$DT26+0,0,1,1),IF(AND($H26&gt;2.4,Z26&lt;&gt;"e",Z26&lt;&gt;"f"),EB26*2.4/$H26,EB26),IF($F26&lt;OFFSET($BN$9,$DT26+1,0,1,1),IF(AND($H26&gt;2.4,Z26&lt;&gt;"e",Z26&lt;&gt;"f"),EB26*2.4/$H26,EB26),IF($F26&lt;OFFSET($BN$9,$DT26+2,0,1,1),IF(AND($H26&gt;2.4,Z26&lt;&gt;"e",Z26&lt;&gt;"f"),EB26*2.4/$H26,EB26),IF($F26&lt;OFFSET($BN$9,$DT26+3,0,1,1),IF(AND($H26&gt;2.4,Z26&lt;&gt;"e",Z26&lt;&gt;"f"),EB26*2.4/$H26,EB26),0)))))*COS(RADIANS($G26)))</f>
        <v>0</v>
      </c>
      <c r="DY26" s="188"/>
      <c r="DZ26" s="188">
        <f ca="1">IF(DU26&gt;$CR26,$CR26,DU26)</f>
        <v>0</v>
      </c>
      <c r="EA26" s="188"/>
      <c r="EB26" s="188">
        <f ca="1">IF(DW26&gt;$CR26,$CR26,DW26)</f>
        <v>0</v>
      </c>
      <c r="EC26" s="435">
        <f ca="1">IF(DV26&gt;$CR26,$CR26,DV26)</f>
        <v>0</v>
      </c>
      <c r="ED26" s="435">
        <f ca="1">EC26*F26</f>
        <v>0</v>
      </c>
      <c r="EE26" s="436">
        <f ca="1">IF(DX26&gt;$CR26,$CR26,DX26)</f>
        <v>0</v>
      </c>
      <c r="EF26" s="437">
        <f ca="1">EE26*F26</f>
        <v>0</v>
      </c>
      <c r="EG26" s="613" t="str">
        <f>IF(D26=BG$12,BG$12,"")</f>
        <v/>
      </c>
      <c r="EH26" s="614" t="str">
        <f>IF(D26=BG$13,BG$13,"")</f>
        <v/>
      </c>
      <c r="EI26" s="611">
        <f>IF(EG26=BG$12,M26,0)</f>
        <v>0</v>
      </c>
      <c r="EJ26" s="451">
        <f>IF(EG26=BG$12,O26,0)</f>
        <v>0</v>
      </c>
      <c r="EK26" s="451">
        <f>IF(EH26=BG$13,M26,0)</f>
        <v>0</v>
      </c>
      <c r="EL26" s="612">
        <f>IF(EH26=BG$13,O26,0)</f>
        <v>0</v>
      </c>
      <c r="EM26" s="426" t="str">
        <f ca="1">IF(AND(Z26&lt;&gt;"t",Z26&lt;&gt;"f"),"",IF(AND(EN26=$BH$11,K26&lt;&gt;EN26),EM$4,IF(AND(EN26=$BH$12,K26=$BH$13),EM$4,IF(AND(EN26=$BH$12,K26=$BH$14),EM$4,IF(AND(EN26=$BH$13,K26=$BH$14),$EM$4,IF(EN26=$BH$14,$EM$4,""))))))</f>
        <v/>
      </c>
      <c r="EN26" s="489" t="str">
        <f>BG$24</f>
        <v>Earth</v>
      </c>
      <c r="EO26" s="426" t="str">
        <f>K26</f>
        <v xml:space="preserve"> </v>
      </c>
      <c r="EP26" s="497" t="str">
        <f ca="1">IF(AND(Z26&lt;&gt;"t",Z26&lt;&gt;"f"),"",IF(AND(EN26=$BH$14,K26&lt;&gt;EN26),EP$4,IF(AND(EN26=$BH$13,K26=$BH$12),EP$4,IF(AND(EN26=$BH$13,K26=$BH$11),EP$4,IF(AND(EN26=$BH$12,K26=$BH$11),$EP$4,IF(EN26=$BH$11,"Earth",""))))))</f>
        <v/>
      </c>
      <c r="EQ26" s="430" t="str">
        <f ca="1">IF(Z26&lt;&gt;"t","",IF(EQ$5=2,IF(K26&lt;&gt;BH$11,EQ$7," ")))</f>
        <v/>
      </c>
      <c r="ER26" s="439" t="str">
        <f ca="1">IF(H26=0," ",H26)</f>
        <v xml:space="preserve"> </v>
      </c>
      <c r="ES26" s="440" t="str">
        <f ca="1">IF(ER26&lt;&gt;" ",IF(ER26&lt;&gt;ER$7,"Changed",""),"")</f>
        <v/>
      </c>
      <c r="ET26" s="440">
        <f t="shared" ca="1" si="19"/>
        <v>0</v>
      </c>
      <c r="EU26" s="426" t="str">
        <f ca="1">IF(I26=" "," ",IF(F26&lt;OFFSET($BM$9,CL26-1,0,1,1),1,""))</f>
        <v xml:space="preserve"> </v>
      </c>
      <c r="EW26" s="427"/>
    </row>
    <row r="27" spans="2:153" ht="17.100000000000001" customHeight="1" thickBot="1">
      <c r="B27" s="689" t="s">
        <v>246</v>
      </c>
      <c r="C27" s="684" t="str">
        <f>IF(OR(F27=0,I27="",I27=" ")," ",$V27)</f>
        <v xml:space="preserve"> </v>
      </c>
      <c r="D27" s="1033"/>
      <c r="E27" s="1360"/>
      <c r="F27" s="202"/>
      <c r="G27" s="1416"/>
      <c r="H27" s="1417" t="str">
        <f ca="1">IF(OR(F27=0,Z27="E",Z27="f")," ",'Project Demand'!E$55)</f>
        <v xml:space="preserve"> </v>
      </c>
      <c r="I27" s="631" t="str">
        <f>IF($I$6&lt;&gt;$BG$8," ",AB27)</f>
        <v xml:space="preserve"> </v>
      </c>
      <c r="J27" s="44" t="str">
        <f ca="1">IF(OR(I27=" ",I27="")," ",OFFSET($BO$9,CL27-1,0-4,1,1))</f>
        <v xml:space="preserve"> </v>
      </c>
      <c r="K27" s="55" t="str">
        <f>IF(OR(I27=" ",I27="")," ",IF(OR(Z27="e",Z27="h"),"SD",IF(BG$24=BH$11,BH$13,BG$24)))</f>
        <v xml:space="preserve"> </v>
      </c>
      <c r="L27" s="49">
        <f ca="1">CW27</f>
        <v>0</v>
      </c>
      <c r="M27" s="49">
        <f ca="1">CY27</f>
        <v>0</v>
      </c>
      <c r="N27" s="50">
        <f t="shared" ca="1" si="25"/>
        <v>0</v>
      </c>
      <c r="O27" s="126">
        <f t="shared" ca="1" si="25"/>
        <v>0</v>
      </c>
      <c r="P27" s="140"/>
      <c r="Q27" s="752" t="str">
        <f ca="1">IF(AND(OR(Z27="t",Z27="f"),K27=$BH$11),"No Floor!  Change Floor Type",IF(OR(I27=" ",I27="")," ",IF(F27&lt;OFFSET($BM$9,CL27-1,0,1,1),"check L(m)",DE27&amp;IF(AND(DP27&gt;=CY27,DR27&gt;=DB27),IF(AND(ED27&gt;=DP27,EF27&gt;=DR27),CONCATENATE(DS27," will provide same result"),CONCATENATE(CO27," will provide same result")),IF((DP27&gt;=CY27),CONCATENATE(CO27," provides same result in WIND"),IF((DR27&gt;=DB27),CONCATENATE(CO27," provides same result in EQ"),""))))))&amp;IF(ISERROR(FIND("pile",I27,1)),"",IF(INT(F27)&lt;&gt;F27,"Pile!  Use Whole Numbers Only",""))</f>
        <v xml:space="preserve"> </v>
      </c>
      <c r="R27" s="52"/>
      <c r="S27" s="1372"/>
      <c r="T27" s="1372"/>
      <c r="U27" s="1377"/>
      <c r="V27" s="52" t="str">
        <f ca="1">IF(AND(B$5=$BF$9,OR(I27=BH$16,I27=BH$17))," ",IF(ISNUMBER(B$26),(CONCATENATE(B$26,".",W27)),(CONCATENATE(B$26,W27))))</f>
        <v>P0</v>
      </c>
      <c r="W27" s="9">
        <f ca="1">W26+X27</f>
        <v>0</v>
      </c>
      <c r="X27" s="9">
        <f>IF(AND(B$5=$BF$9,OR($I27=$BH$16,$I27=$BH$17,$I27=" ",$I27="",$F27=0)),0,IF(OR($I27=" ",$I27="",$F27=0),0,1))</f>
        <v>0</v>
      </c>
      <c r="Y27" s="896"/>
      <c r="Z27" s="52" t="str">
        <f ca="1">IF(I27=" "," ",OFFSET($BM$9,$CL27-1,8,1,1))</f>
        <v xml:space="preserve"> </v>
      </c>
      <c r="AA27" s="51" t="str">
        <f>IF(G27&gt;=45,"WA","")</f>
        <v/>
      </c>
      <c r="AB27" s="1364" t="str">
        <f>IF(OR(E27=" ",E27="")," ",(IF(F27&lt;&gt;"",IF(OR(D27=$BG$12,D27=$BG$13),IF(E27&lt;&gt;$BG$17,$BF$20,$BF$21),IF(E27&lt;&gt;$BG$17,$BF$20,$BF$21))," ")))</f>
        <v xml:space="preserve"> </v>
      </c>
      <c r="AC27" s="1"/>
      <c r="AJ27" s="29"/>
      <c r="AK27" s="30"/>
      <c r="AL27" s="30"/>
      <c r="AM27" s="32"/>
      <c r="AN27" s="32"/>
      <c r="AO27" s="32"/>
      <c r="AP27" s="32"/>
      <c r="AQ27" s="32"/>
      <c r="AR27" s="32"/>
      <c r="AS27" s="32"/>
      <c r="AT27" s="32"/>
      <c r="AU27" s="478"/>
      <c r="AV27" s="32"/>
      <c r="AW27" s="32"/>
      <c r="AX27" s="32"/>
      <c r="AY27" s="32"/>
      <c r="AZ27" s="32"/>
      <c r="BA27" s="32"/>
      <c r="BB27" s="32"/>
      <c r="BC27" s="32"/>
      <c r="BD27" s="2648"/>
      <c r="BF27" s="598" t="str">
        <f>Table!AI79</f>
        <v>ESSH</v>
      </c>
      <c r="BG27" s="965" t="s">
        <v>13</v>
      </c>
      <c r="BH27" s="964" t="s">
        <v>367</v>
      </c>
      <c r="BI27" s="759"/>
      <c r="BJ27" s="897">
        <f t="shared" si="6"/>
        <v>19</v>
      </c>
      <c r="BK27" s="769" t="str">
        <f t="shared" si="7"/>
        <v xml:space="preserve">  </v>
      </c>
      <c r="BL27" s="771" t="str">
        <f t="shared" si="8"/>
        <v>Custom16</v>
      </c>
      <c r="BM27" s="969">
        <f t="shared" si="9"/>
        <v>9.9999999999999996E-76</v>
      </c>
      <c r="BN27" s="455">
        <v>999</v>
      </c>
      <c r="BO27" s="455">
        <f t="shared" si="10"/>
        <v>0</v>
      </c>
      <c r="BP27" s="925">
        <f t="shared" si="11"/>
        <v>0</v>
      </c>
      <c r="BR27" s="764"/>
      <c r="BS27" s="455"/>
      <c r="BT27" s="455" t="str">
        <f t="shared" si="12"/>
        <v>B</v>
      </c>
      <c r="BU27" s="925" t="str">
        <f t="shared" si="13"/>
        <v>T</v>
      </c>
      <c r="BV27" s="483" t="str">
        <f t="shared" si="14"/>
        <v>Custom16</v>
      </c>
      <c r="BW27" s="910">
        <f t="shared" si="21"/>
        <v>19</v>
      </c>
      <c r="BX27" s="924" t="str">
        <f t="shared" si="15"/>
        <v>Single</v>
      </c>
      <c r="CH27" s="764">
        <f t="shared" si="16"/>
        <v>0</v>
      </c>
      <c r="CI27" s="925">
        <f t="shared" si="17"/>
        <v>0</v>
      </c>
      <c r="CJ27" s="759"/>
      <c r="CK27" s="188"/>
      <c r="CL27" s="979">
        <f>VLOOKUP(I27,Prodlink,2,0)</f>
        <v>0</v>
      </c>
      <c r="CN27" s="497">
        <f t="shared" ca="1" si="2"/>
        <v>0</v>
      </c>
      <c r="CO27" s="497">
        <f ca="1">OFFSET($CH$9,CL27-1,-15,1,1)</f>
        <v>0</v>
      </c>
      <c r="CQ27" s="51">
        <v>0</v>
      </c>
      <c r="CR27" s="51">
        <f t="shared" ref="CR27:CR30" ca="1" si="26">IF(AND(Z27&lt;&gt;"t",Z27&lt;&gt;"f"),10000,IF(K27=$BH$11,0,IF(K27=$BH$12,$BH$23,IF(K27=$BH$13,$BH$24,10000))))</f>
        <v>10000</v>
      </c>
      <c r="CS27" s="51">
        <f ca="1">IF(F27&lt;OFFSET($BM$9,CL27-1,0,1,1),0,IF(F27&lt;OFFSET($BN$9,CL27-1,0,1,1),((F27-OFFSET($BM$9,CL27-1,0,1,1))*OFFSET($CH$9,CL27-1,0,1,1))+OFFSET($BO$9,CL27-1,CQ27,1,1),IF(F27&lt;OFFSET($BN$9,CL27+0,0,1,1),((F27-OFFSET($BM$9,CL27+0,0,1,1))*OFFSET($CH$9,CL27+0,0,1,1))+OFFSET($BO$9,CL27+0,CQ27,1,1),IF(F27&lt;OFFSET($BN$9,CL27+1,0,1,1),((F27-OFFSET($BM$9,CL27+1,0,1,1))*OFFSET($CH$9,CL27+1,0,1,1))+OFFSET($BO$9,CL27+1,CQ27,1,1),IF(F27&lt;OFFSET($BN$9,CL27+2,0,1,1),((F27-OFFSET($BM$9,CL27+2,0,1,1))*OFFSET($CH$9,CL27+2,0,1,1))+OFFSET($BO$9,CL27+2,CQ27,1,1),IF(F27&lt;OFFSET($BN$9,CL27+3,0,1,1),((F27-OFFSET($BM$9,CL27+3,0,1,1))*OFFSET($CH$9,CL27+3,0,1,1))+OFFSET($BO$9,CL27+3,CQ27,1,1),0))))))</f>
        <v>0</v>
      </c>
      <c r="CT27" s="51">
        <f ca="1">IF($F27&lt;OFFSET($BM$9,$CL27-1,0,1,1),0,IF($F27&lt;OFFSET($BN$9,$CL27-1,0,1,1),IF(AND($H27&gt;2.4,Z27&lt;&gt;"e",Z27&lt;&gt;"f"),CX27*2.4/$H27,CX27),IF($F27&lt;OFFSET($BN$9,$CL27+0,0,1,1),IF(AND($H27&gt;2.4,Z27&lt;&gt;"e",Z27&lt;&gt;"f"),CX27*2.4/$H27,CX27),IF($F27&lt;OFFSET($BN$9,$CL27+1,0,1,1),IF(AND($H27&gt;2.4,Z27&lt;&gt;"e",Z27&lt;&gt;"f"),CX27*2.4/$H27,CX27),IF($F27&lt;OFFSET($BN$9,CL27+2,0,1,1),IF(AND($H27&gt;2.4,Z27&lt;&gt;"e",Z27&lt;&gt;"f"),CX27*2.4/$H27,CX27),IF($F27&lt;OFFSET($BN$9,CL27+3,0,1,1),IF(AND($H27&gt;2.4,Z27&lt;&gt;"e",Z27&lt;&gt;"f"),CX27*2.4/$H27,CX27),0)))))*COS(RADIANS($G27)))</f>
        <v>0</v>
      </c>
      <c r="CU27" s="51">
        <f ca="1">IF(F27&lt;OFFSET($BM$9,CL27-1,0,1,1),0,IF(F27&lt;OFFSET($BN$9,CL27-1,0,1,1),((F27-OFFSET($BM$9,CL27-1,0,1,1))*OFFSET($CI$9,CL27-1,0,1,1))+OFFSET($BP$9,CL27-1,CQ27,1,1),IF(F27&lt;OFFSET($BN$9,CL27+0,0,1,1),((F27-OFFSET($BM$9,CL27+0,0,1,1))*OFFSET($CI$9,CL27+0,0,1,1))+OFFSET($BP$9,CL27+0,CQ27,1,1),IF(F27&lt;OFFSET($BN$9,CL27+1,0,1,1),((F27-OFFSET($BM$9,CL27+1,0,1,1))*OFFSET($CI$9,CL27+1,0,1,1))+OFFSET($BP$9,CL27+1,CQ27,1,1),IF(F27&lt;OFFSET($BN$9,CL27+2,0,1,1),((F27-OFFSET($BM$9,CL27+2,0,1,1))*OFFSET($CI$9,CL27+2,0,1,1))+OFFSET($BP$9,CL27+2,CQ27,1,1),IF(F27&lt;OFFSET($BN$9,CL27+3,0,1,1),((F27-OFFSET($BM$9,CL27+3,0,1,1))*OFFSET($CI$9,CL27+3,0,1,1))+OFFSET($BP$9,CL27+3,CQ27,1,1),0))))))</f>
        <v>0</v>
      </c>
      <c r="CV27" s="51">
        <f ca="1">IF($F27&lt;OFFSET($BM$9,$CL27-1,0,1,1),0,IF($F27&lt;OFFSET($BN$9,$CL27-1,0,1,1),IF(AND($H27&gt;2.4,Z27&lt;&gt;"e",Z27&lt;&gt;"f"),CZ27*2.4/$H27,CZ27),IF($F27&lt;OFFSET($BN$9,$CL27+0,0,1,1),IF(AND($H27&gt;2.4,Z27&lt;&gt;"e",Z27&lt;&gt;"f"),CZ27*2.4/$H27,CZ27),IF($F27&lt;OFFSET($BN$9,$CL27+1,0,1,1),IF(AND($H27&gt;2.4,Z27&lt;&gt;"e",Z27&lt;&gt;"f"),CZ27*2.4/$H27,CZ27),IF($F27&lt;OFFSET($BN$9,$CL27+2,0,1,1),IF(AND($H27&gt;2.4,Z27&lt;&gt;"e",Z27&lt;&gt;"f"),CZ27*2.4/$H27,CZ27),IF($F27&lt;OFFSET($BN$9,$CL27+3,0,1,1),IF(AND($H27&gt;2.4,Z27&lt;&gt;"e",Z27&lt;&gt;"f"),CZ27*2.4/$H27,CZ27),0)))))*COS(RADIANS($G27)))</f>
        <v>0</v>
      </c>
      <c r="CW27" s="51">
        <f t="shared" ca="1" si="18"/>
        <v>0</v>
      </c>
      <c r="CX27" s="51">
        <f ca="1">IF(CS27&gt;$CR27,$CR27,CS27)</f>
        <v>0</v>
      </c>
      <c r="CY27" s="51">
        <f ca="1">CW27*F27</f>
        <v>0</v>
      </c>
      <c r="CZ27" s="51">
        <f ca="1">IF($CU27&gt;$CR27,$CR27,$CU27)</f>
        <v>0</v>
      </c>
      <c r="DA27" s="51">
        <f ca="1">IF(CV27&gt;CR27,CR27,CV27)</f>
        <v>0</v>
      </c>
      <c r="DB27" s="51">
        <f ca="1">DA27*F27</f>
        <v>0</v>
      </c>
      <c r="DC27" s="993">
        <v>2</v>
      </c>
      <c r="DD27" s="758" t="str">
        <f>IF(OR(D27=BG$12,D27=BG$13),"External",IF(D27=BG$14,"Internal"," "))</f>
        <v xml:space="preserve"> </v>
      </c>
      <c r="DE27" s="51" t="str">
        <f t="shared" ca="1" si="4"/>
        <v/>
      </c>
      <c r="DF27" s="52" t="str">
        <f t="shared" ca="1" si="5"/>
        <v xml:space="preserve"> </v>
      </c>
      <c r="DG27" s="51">
        <f ca="1">IF(F27&lt;OFFSET($BM$9,CN27-1,0,1,1),0,IF(F27&lt;OFFSET($BN$9,CN27-1,0,1,1),((F27-OFFSET($BM$9,CN27-1,0,1,1))*OFFSET($CH$9,CN27-1,0,1,1))+OFFSET($BO$9,CN27-1,CQ27,1,1),IF(F27&lt;OFFSET($BN$9,CN27+0,0,1,1),((F27-OFFSET($BM$9,CN27+0,0,1,1))*OFFSET($CH$9,CN27+0,0,1,1))+OFFSET($BO$9,CN27+0,CQ27,1,1),IF(F27&lt;OFFSET($BN$9,CN27+1,0,1,1),((F27-OFFSET($BM$9,CN27+1,0,1,1))*OFFSET($CH$9,CN27+1,0,1,1))+OFFSET($BO$9,CN27+1,CQ27,1,1),IF(F27&lt;OFFSET($BN$9,CN27+2,0,1,1),((F27-OFFSET($BM$9,CN27+2,0,1,1))*OFFSET($CH$9,CN27+2,0,1,1))+OFFSET($BO$9,CN27+2,CQ27,1,1),IF(F27&lt;OFFSET($BN$9,CN27+3,0,1,1),((F27-OFFSET($BM$9,CN27+3,0,1,1))*OFFSET($CH$9,CN27+3,0,1,1))+OFFSET($BO$9,CN27+3,CQ27,1,1),0))))))</f>
        <v>0</v>
      </c>
      <c r="DH27" s="51">
        <f ca="1">IF($F27&lt;OFFSET($BM$9,$CN27-1,0,1,1),0,IF($F27&lt;OFFSET($BN$9,$CN27-1,0,1,1),IF(AND($H27&gt;2.4,Z27&lt;&gt;"e",Z27&lt;&gt;"f"),DL27*2.4/$H27,DL27),IF($F27&lt;OFFSET($BN$9,$CN27+0,0,1,1),IF(AND($H27&gt;2.4,Z27&lt;&gt;"e",Z27&lt;&gt;"f"),DL27*2.4/$H27,DL27),IF($F27&lt;OFFSET($BN$9,$CN27+1,0,1,1),IF(AND($H27&gt;2.4,Z27&lt;&gt;"e",Z27&lt;&gt;"f"),DL27*2.4/$H27,DL27),IF($F27&lt;OFFSET($BN$9,$CN27+2,0,1,1),IF(AND($H27&gt;2.4,Z27&lt;&gt;"e",Z27&lt;&gt;"f"),DL27*2.4/$H27,DL27),IF($F27&lt;OFFSET($BN$9,$CN27+3,0,1,1),IF(AND($H27&gt;2.4,Z27&lt;&gt;"e",Z27&lt;&gt;"f"),DL27*2.4/$H27,DL27),0)))))*COS(RADIANS($G27)))</f>
        <v>0</v>
      </c>
      <c r="DI27" s="51">
        <f ca="1">IF(F27&lt;OFFSET($BM$9,CN27-1,0,1,1),0,IF(F27&lt;OFFSET($BN$9,CN27-1,0,1,1),((F27-OFFSET($BM$9,CN27-1,0,1,1))*OFFSET($CI$9,CN27-1,0,1,1))+OFFSET($BP$9,CN27-1,CQ27,1,1),IF(F27&lt;OFFSET($BN$9,CN27+0,0,1,1),((F27-OFFSET($BM$9,CN27+0,0,1,1))*OFFSET($CI$9,CN27+0,0,1,1))+OFFSET($BP$9,CN27+0,CQ27,1,1),IF(F27&lt;OFFSET($BN$9,CN27+1,0,1,1),((F27-OFFSET($BM$9,CN27+1,0,1,1))*OFFSET($CI$9,CN27+1,0,1,1))+OFFSET($BP$9,CN27+1,CQ27,1,1),IF(F27&lt;OFFSET($BN$9,CN27+2,0,1,1),((F27-OFFSET($BM$9,CN27+2,0,1,1))*OFFSET($CI$9,CN27+2,0,1,1))+OFFSET($BP$9,CN27+2,CQ27,1,1),IF(F27&lt;OFFSET($BN$9,CN27+3,0,1,1),((F27-OFFSET($BM$9,CN27+3,0,1,1))*OFFSET($CI$9,CN27+3,0,1,1))+OFFSET($BP$9,CN27+3,CQ27,1,1),0))))))</f>
        <v>0</v>
      </c>
      <c r="DJ27" s="51">
        <f ca="1">IF($F27&lt;OFFSET($BM$9,$CN27-1,0,1,1),0,IF($F27&lt;OFFSET($BN$9,$CN27-1,0,1,1),IF(AND($H27&gt;2.4,Z27&lt;&gt;"e",Z27&lt;&gt;"f"),DN27*2.4/$H27,DN27),IF($F27&lt;OFFSET($BN$9,$CN27+0,0,1,1),IF(AND($H27&gt;2.4,Z27&lt;&gt;"e",Z27&lt;&gt;"f"),DN27*2.4/$H27,DN27),IF($F27&lt;OFFSET($BN$9,$CN27+1,0,1,1),IF(AND($H27&gt;2.4,Z27&lt;&gt;"e",Z27&lt;&gt;"f"),DN27*2.4/$H27,DN27),IF($F27&lt;OFFSET($BN$9,$CN27+2,0,1,1),IF(AND($H27&gt;2.4,Z27&lt;&gt;"e",Z27&lt;&gt;"f"),DN27*2.4/$H27,DN27),IF($F27&lt;OFFSET($BN$9,$CN27+3,0,1,1),IF(AND($H27&gt;2.4,Z27&lt;&gt;"e",Z27&lt;&gt;"f"),DN27*2.4/$H27,DN27),0)))))*COS(RADIANS($G27)))</f>
        <v>0</v>
      </c>
      <c r="DK27" s="51"/>
      <c r="DL27" s="51">
        <f ca="1">IF(DG27&gt;$CR27,$CR27,DG27)</f>
        <v>0</v>
      </c>
      <c r="DM27" s="51"/>
      <c r="DN27" s="51">
        <f ca="1">IF(DI27&gt;$CR27,$CR27,DI27)</f>
        <v>0</v>
      </c>
      <c r="DO27" s="435">
        <f ca="1">IF(DH27&gt;$CR27,$CR27,DH27)</f>
        <v>0</v>
      </c>
      <c r="DP27" s="435">
        <f ca="1">DO27*F27</f>
        <v>0</v>
      </c>
      <c r="DQ27" s="436">
        <f ca="1">IF(DJ27&gt;$CR27,$CR27,DJ27)</f>
        <v>0</v>
      </c>
      <c r="DR27" s="437">
        <f ca="1">DQ27*F27</f>
        <v>0</v>
      </c>
      <c r="DS27" s="426">
        <f ca="1">OFFSET($CH$9,CL27-1,-15,1,1)</f>
        <v>0</v>
      </c>
      <c r="DT27" s="426">
        <f t="shared" ca="1" si="1"/>
        <v>0</v>
      </c>
      <c r="DU27" s="188">
        <f ca="1">IF(F27&lt;OFFSET($BM$9,DT27-1,0,1,1),0,IF(F27&lt;OFFSET($BN$9,DT27-1,0,1,1),((F27-OFFSET($BM$9,DT27-1,0,1,1))*OFFSET($CH$9,DT27-1,0,1,1))+OFFSET($BO$9,DT27-1,CQ27,1,1),IF(F27&lt;OFFSET($BN$9,DT27+0,0,1,1),((F27-OFFSET($BM$9,DT27+0,0,1,1))*OFFSET($CH$9,DT27+0,0,1,1))+OFFSET($BO$9,DT27+0,CQ27,1,1),IF(F27&lt;OFFSET($BN$9,DT27+1,0,1,1),((F27-OFFSET($BM$9,DT27+1,0,1,1))*OFFSET($CH$9,DT27+1,0,1,1))+OFFSET($BO$9,DT27+1,CQ27,1,1),IF(F27&lt;OFFSET($BN$9,DT27+2,0,1,1),((F27-OFFSET($BM$9,DT27+2,0,1,1))*OFFSET($CH$9,DT27+2,0,1,1))+OFFSET($BO$9,DT27+2,CQ27,1,1),IF(F27&lt;OFFSET($BN$9,DT27+3,0,1,1),((F27-OFFSET($BM$9,DT27+3,0,1,1))*OFFSET($CH$9,DT27+3,0,1,1))+OFFSET($BO$9,DT27+3,CQ27,1,1),0))))))</f>
        <v>0</v>
      </c>
      <c r="DV27" s="51">
        <f ca="1">IF($F27&lt;OFFSET($BM$9,$DT27-1,0,1,1),0,IF($F27&lt;OFFSET($BN$9,$DT27-1,0,1,1),IF(AND($H27&gt;2.4,Z27&lt;&gt;"e",Z27&lt;&gt;"f"),DZ27*2.4/$H27,DZ27),IF($F27&lt;OFFSET($BN$9,$DT27+0,0,1,1),IF(AND($H27&gt;2.4,Z27&lt;&gt;"e",Z27&lt;&gt;"f"),DZ27*2.4/$H27,DZ27),IF($F27&lt;OFFSET($BN$9,$DT27+1,0,1,1),IF(AND($H27&gt;2.4,Z27&lt;&gt;"e",Z27&lt;&gt;"f"),DZ27*2.4/$H27,DZ27),IF($F27&lt;OFFSET($BN$9,$DT27+2,0,1,1),IF(AND($H27&gt;2.4,Z27&lt;&gt;"e",Z27&lt;&gt;"f"),DZ27*2.4/$H27,DZ27),IF($F27&lt;OFFSET($BN$9,$DT27+3,0,1,1),IF(AND($H27&gt;2.4,Z27&lt;&gt;"e",Z27&lt;&gt;"f"),DZ27*2.4/$H27,DZ27),0)))))*COS(RADIANS($G27)))</f>
        <v>0</v>
      </c>
      <c r="DW27" s="188">
        <f ca="1">IF(F27&lt;OFFSET($BM$9,DT27-1,0,1,1),0,IF(F27&lt;OFFSET($BN$9,DT27-1,0,1,1),((F27-OFFSET($BM$9,DT27-1,0,1,1))*OFFSET($CI$9,DT27-1,0,1,1))+OFFSET($BP$9,DT27-1,CQ27,1,1),IF(F27&lt;OFFSET($BN$9,DT27+0,0,1,1),((F27-OFFSET($BM$9,DT27+0,0,1,1))*OFFSET($CI$9,DT27+0,0,1,1))+OFFSET($BP$9,DT27+0,CQ27,1,1),IF(F27&lt;OFFSET($BN$9,DT27+1,0,1,1),((F27-OFFSET($BM$9,DT27+1,0,1,1))*OFFSET($CI$9,DT27+1,0,1,1))+OFFSET($BP$9,DT27+1,CQ27,1,1),IF(F27&lt;OFFSET($BN$9,DT27+2,0,1,1),((F27-OFFSET($BM$9,DT27+2,0,1,1))*OFFSET($CI$9,DT27+2,0,1,1))+OFFSET($BP$9,DT27+2,CQ27,1,1),IF(F27&lt;OFFSET($BN$9,DT27+3,0,1,1),((F27-OFFSET($BM$9,DT27+3,0,1,1))*OFFSET($CI$9,DT27+3,0,1,1))+OFFSET($BP$9,DT27+3,CQ27,1,1),0))))))</f>
        <v>0</v>
      </c>
      <c r="DX27" s="51">
        <f ca="1">IF($F27&lt;OFFSET($BM$9,$DT27-1,0,1,1),0,IF($F27&lt;OFFSET($BN$9,$DT27-1,0,1,1),IF(AND($H27&gt;2.4,Z27&lt;&gt;"e",Z27&lt;&gt;"f"),EB27*2.4/$H27,EB27),IF($F27&lt;OFFSET($BN$9,$DT27+0,0,1,1),IF(AND($H27&gt;2.4,Z27&lt;&gt;"e",Z27&lt;&gt;"f"),EB27*2.4/$H27,EB27),IF($F27&lt;OFFSET($BN$9,$DT27+1,0,1,1),IF(AND($H27&gt;2.4,Z27&lt;&gt;"e",Z27&lt;&gt;"f"),EB27*2.4/$H27,EB27),IF($F27&lt;OFFSET($BN$9,$DT27+2,0,1,1),IF(AND($H27&gt;2.4,Z27&lt;&gt;"e",Z27&lt;&gt;"f"),EB27*2.4/$H27,EB27),IF($F27&lt;OFFSET($BN$9,$DT27+3,0,1,1),IF(AND($H27&gt;2.4,Z27&lt;&gt;"e",Z27&lt;&gt;"f"),EB27*2.4/$H27,EB27),0)))))*COS(RADIANS($G27)))</f>
        <v>0</v>
      </c>
      <c r="DY27" s="188"/>
      <c r="DZ27" s="188">
        <f ca="1">IF(DU27&gt;$CR27,$CR27,DU27)</f>
        <v>0</v>
      </c>
      <c r="EA27" s="188"/>
      <c r="EB27" s="188">
        <f ca="1">IF(DW27&gt;$CR27,$CR27,DW27)</f>
        <v>0</v>
      </c>
      <c r="EC27" s="435">
        <f ca="1">IF(DV27&gt;$CR27,$CR27,DV27)</f>
        <v>0</v>
      </c>
      <c r="ED27" s="435">
        <f ca="1">EC27*F27</f>
        <v>0</v>
      </c>
      <c r="EE27" s="436">
        <f ca="1">IF(DX27&gt;$CR27,$CR27,DX27)</f>
        <v>0</v>
      </c>
      <c r="EF27" s="437">
        <f ca="1">EE27*F27</f>
        <v>0</v>
      </c>
      <c r="EG27" s="613" t="str">
        <f>IF(D27=BG$12,BG$12,"")</f>
        <v/>
      </c>
      <c r="EH27" s="614" t="str">
        <f>IF(D27=BG$13,BG$13,"")</f>
        <v/>
      </c>
      <c r="EI27" s="611">
        <f>IF(EG27=BG$12,M27,0)</f>
        <v>0</v>
      </c>
      <c r="EJ27" s="451">
        <f>IF(EG27=BG$12,O27,0)</f>
        <v>0</v>
      </c>
      <c r="EK27" s="451">
        <f>IF(EH27=BG$13,M27,0)</f>
        <v>0</v>
      </c>
      <c r="EL27" s="612">
        <f>IF(EH27=BG$13,O27,0)</f>
        <v>0</v>
      </c>
      <c r="EM27" s="426" t="str">
        <f ca="1">IF(AND(Z27&lt;&gt;"t",Z27&lt;&gt;"f"),"",IF(AND(EN27=$BH$11,K27&lt;&gt;EN27),EM$4,IF(AND(EN27=$BH$12,K27=$BH$13),EM$4,IF(AND(EN27=$BH$12,K27=$BH$14),EM$4,IF(AND(EN27=$BH$13,K27=$BH$14),$EM$4,IF(EN27=$BH$14,$EM$4,""))))))</f>
        <v/>
      </c>
      <c r="EN27" s="489" t="str">
        <f>BG$24</f>
        <v>Earth</v>
      </c>
      <c r="EO27" s="426" t="str">
        <f>K27</f>
        <v xml:space="preserve"> </v>
      </c>
      <c r="EP27" s="497" t="str">
        <f ca="1">IF(AND(Z27&lt;&gt;"t",Z27&lt;&gt;"f"),"",IF(AND(EN27=$BH$14,K27&lt;&gt;EN27),EP$4,IF(AND(EN27=$BH$13,K27=$BH$12),EP$4,IF(AND(EN27=$BH$13,K27=$BH$11),EP$4,IF(AND(EN27=$BH$12,K27=$BH$11),$EP$4,IF(EN27=$BH$11,"Earth",""))))))</f>
        <v/>
      </c>
      <c r="EQ27" s="430" t="str">
        <f ca="1">IF(Z27&lt;&gt;"t","",IF(EQ$5=2,IF(K27&lt;&gt;BH$11,EQ$7," ")))</f>
        <v/>
      </c>
      <c r="ER27" s="439" t="str">
        <f ca="1">IF(H27=0," ",H27)</f>
        <v xml:space="preserve"> </v>
      </c>
      <c r="ES27" s="440" t="str">
        <f ca="1">IF(ER27&lt;&gt;" ",IF(ER27&lt;&gt;ER$7,"Changed",""),"")</f>
        <v/>
      </c>
      <c r="ET27" s="440">
        <f t="shared" ca="1" si="19"/>
        <v>0</v>
      </c>
      <c r="EU27" s="426" t="str">
        <f ca="1">IF(I27=" "," ",IF(F27&lt;OFFSET($BM$9,CL27-1,0,1,1),1,""))</f>
        <v xml:space="preserve"> </v>
      </c>
      <c r="EW27" s="427"/>
    </row>
    <row r="28" spans="2:153" ht="17.100000000000001" customHeight="1" thickBot="1">
      <c r="B28" s="689" t="s">
        <v>246</v>
      </c>
      <c r="C28" s="684" t="str">
        <f>IF(OR(F28=0,I28="",I28=" ")," ",$V28)</f>
        <v xml:space="preserve"> </v>
      </c>
      <c r="D28" s="1033"/>
      <c r="E28" s="1360"/>
      <c r="F28" s="202"/>
      <c r="G28" s="1416"/>
      <c r="H28" s="1417" t="str">
        <f ca="1">IF(OR(F28=0,Z28="E",Z28="f")," ",'Project Demand'!E$55)</f>
        <v xml:space="preserve"> </v>
      </c>
      <c r="I28" s="631" t="str">
        <f>IF($I$6&lt;&gt;$BG$8," ",AB28)</f>
        <v xml:space="preserve"> </v>
      </c>
      <c r="J28" s="44" t="str">
        <f ca="1">IF(OR(I28=" ",I28="")," ",OFFSET($BO$9,CL28-1,0-4,1,1))</f>
        <v xml:space="preserve"> </v>
      </c>
      <c r="K28" s="55" t="str">
        <f>IF(OR(I28=" ",I28="")," ",IF(OR(Z28="e",Z28="h"),"SD",IF(BG$24=BH$11,BH$13,BG$24)))</f>
        <v xml:space="preserve"> </v>
      </c>
      <c r="L28" s="49">
        <f ca="1">CW28</f>
        <v>0</v>
      </c>
      <c r="M28" s="49">
        <f ca="1">CY28</f>
        <v>0</v>
      </c>
      <c r="N28" s="50">
        <f t="shared" ca="1" si="25"/>
        <v>0</v>
      </c>
      <c r="O28" s="126">
        <f t="shared" ca="1" si="25"/>
        <v>0</v>
      </c>
      <c r="P28" s="140"/>
      <c r="Q28" s="752" t="str">
        <f ca="1">IF(AND(OR(Z28="t",Z28="f"),K28=$BH$11),"No Floor!  Change Floor Type",IF(OR(I28=" ",I28="")," ",IF(F28&lt;OFFSET($BM$9,CL28-1,0,1,1),"check L(m)",DE28&amp;IF(AND(DP28&gt;=CY28,DR28&gt;=DB28),IF(AND(ED28&gt;=DP28,EF28&gt;=DR28),CONCATENATE(DS28," will provide same result"),CONCATENATE(CO28," will provide same result")),IF((DP28&gt;=CY28),CONCATENATE(CO28," provides same result in WIND"),IF((DR28&gt;=DB28),CONCATENATE(CO28," provides same result in EQ"),""))))))&amp;IF(ISERROR(FIND("pile",I28,1)),"",IF(INT(F28)&lt;&gt;F28,"Pile!  Use Whole Numbers Only",""))</f>
        <v xml:space="preserve"> </v>
      </c>
      <c r="R28" s="52"/>
      <c r="S28" s="1372"/>
      <c r="T28" s="1372"/>
      <c r="U28" s="1377"/>
      <c r="V28" s="52" t="str">
        <f ca="1">IF(AND(B$5=$BF$9,OR(I28=BH$16,I28=BH$17))," ",IF(ISNUMBER(B$26),(CONCATENATE(B$26,".",W28)),(CONCATENATE(B$26,W28))))</f>
        <v>P0</v>
      </c>
      <c r="W28" s="9">
        <f ca="1">W27+X28</f>
        <v>0</v>
      </c>
      <c r="X28" s="9">
        <f>IF(AND(B$5=$BF$9,OR($I28=$BH$16,$I28=$BH$17,$I28=" ",$I28="",$F28=0)),0,IF(OR($I28=" ",$I28="",$F28=0),0,1))</f>
        <v>0</v>
      </c>
      <c r="Y28" s="896"/>
      <c r="Z28" s="52" t="str">
        <f ca="1">IF(I28=" "," ",OFFSET($BM$9,$CL28-1,8,1,1))</f>
        <v xml:space="preserve"> </v>
      </c>
      <c r="AA28" s="51" t="str">
        <f>IF(G28&gt;=45,"WA","")</f>
        <v/>
      </c>
      <c r="AB28" s="1364" t="str">
        <f>IF(OR(E28=" ",E28="")," ",(IF(F28&lt;&gt;"",IF(OR(D28=$BG$12,D28=$BG$13),IF(E28&lt;&gt;$BG$17,$BF$20,$BF$21),IF(E28&lt;&gt;$BG$17,$BF$20,$BF$21))," ")))</f>
        <v xml:space="preserve"> </v>
      </c>
      <c r="AC28" s="1"/>
      <c r="AJ28" s="29"/>
      <c r="AK28" s="30"/>
      <c r="AL28" s="30"/>
      <c r="AM28" s="32"/>
      <c r="AN28" s="32"/>
      <c r="AO28" s="32"/>
      <c r="AP28" s="32"/>
      <c r="AQ28" s="32"/>
      <c r="AR28" s="32"/>
      <c r="AS28" s="32"/>
      <c r="AT28" s="32"/>
      <c r="AU28" s="478"/>
      <c r="AV28" s="32"/>
      <c r="AW28" s="32"/>
      <c r="AX28" s="32"/>
      <c r="AY28" s="32"/>
      <c r="AZ28" s="32"/>
      <c r="BA28" s="32"/>
      <c r="BB28" s="32"/>
      <c r="BC28" s="32"/>
      <c r="BD28" s="635"/>
      <c r="BF28" s="598" t="str">
        <f>Table!AI80</f>
        <v>EMSH</v>
      </c>
      <c r="BG28" s="962">
        <f>'Project Demand'!AQ9</f>
        <v>2</v>
      </c>
      <c r="BH28" s="963">
        <f>'Project Demand'!AQ6</f>
        <v>2</v>
      </c>
      <c r="BI28" s="759"/>
      <c r="BJ28" s="897">
        <f t="shared" si="6"/>
        <v>20</v>
      </c>
      <c r="BK28" s="769" t="str">
        <f t="shared" si="7"/>
        <v xml:space="preserve">  </v>
      </c>
      <c r="BL28" s="960" t="str">
        <f t="shared" si="8"/>
        <v>Custom17</v>
      </c>
      <c r="BM28" s="455">
        <f t="shared" si="9"/>
        <v>9.9999999999999996E-76</v>
      </c>
      <c r="BN28" s="455">
        <v>999</v>
      </c>
      <c r="BO28" s="455">
        <f t="shared" si="10"/>
        <v>0</v>
      </c>
      <c r="BP28" s="925">
        <f t="shared" si="11"/>
        <v>0</v>
      </c>
      <c r="BR28" s="764"/>
      <c r="BS28" s="455"/>
      <c r="BT28" s="455" t="str">
        <f t="shared" si="12"/>
        <v>B</v>
      </c>
      <c r="BU28" s="925" t="str">
        <f t="shared" si="13"/>
        <v>T</v>
      </c>
      <c r="BV28" s="483" t="str">
        <f t="shared" si="14"/>
        <v>Custom17</v>
      </c>
      <c r="BW28" s="910">
        <f t="shared" si="21"/>
        <v>20</v>
      </c>
      <c r="BX28" s="924" t="str">
        <f t="shared" si="15"/>
        <v>Single</v>
      </c>
      <c r="CH28" s="764">
        <f t="shared" si="16"/>
        <v>0</v>
      </c>
      <c r="CI28" s="925">
        <f t="shared" si="17"/>
        <v>0</v>
      </c>
      <c r="CJ28" s="759"/>
      <c r="CK28" s="188"/>
      <c r="CL28" s="979">
        <f>VLOOKUP(I28,Prodlink,2,0)</f>
        <v>0</v>
      </c>
      <c r="CN28" s="497">
        <f t="shared" ca="1" si="2"/>
        <v>0</v>
      </c>
      <c r="CO28" s="497">
        <f ca="1">OFFSET($CH$9,CL28-1,-15,1,1)</f>
        <v>0</v>
      </c>
      <c r="CQ28" s="51">
        <v>0</v>
      </c>
      <c r="CR28" s="51">
        <f t="shared" ca="1" si="26"/>
        <v>10000</v>
      </c>
      <c r="CS28" s="51">
        <f ca="1">IF(F28&lt;OFFSET($BM$9,CL28-1,0,1,1),0,IF(F28&lt;OFFSET($BN$9,CL28-1,0,1,1),((F28-OFFSET($BM$9,CL28-1,0,1,1))*OFFSET($CH$9,CL28-1,0,1,1))+OFFSET($BO$9,CL28-1,CQ28,1,1),IF(F28&lt;OFFSET($BN$9,CL28+0,0,1,1),((F28-OFFSET($BM$9,CL28+0,0,1,1))*OFFSET($CH$9,CL28+0,0,1,1))+OFFSET($BO$9,CL28+0,CQ28,1,1),IF(F28&lt;OFFSET($BN$9,CL28+1,0,1,1),((F28-OFFSET($BM$9,CL28+1,0,1,1))*OFFSET($CH$9,CL28+1,0,1,1))+OFFSET($BO$9,CL28+1,CQ28,1,1),IF(F28&lt;OFFSET($BN$9,CL28+2,0,1,1),((F28-OFFSET($BM$9,CL28+2,0,1,1))*OFFSET($CH$9,CL28+2,0,1,1))+OFFSET($BO$9,CL28+2,CQ28,1,1),IF(F28&lt;OFFSET($BN$9,CL28+3,0,1,1),((F28-OFFSET($BM$9,CL28+3,0,1,1))*OFFSET($CH$9,CL28+3,0,1,1))+OFFSET($BO$9,CL28+3,CQ28,1,1),0))))))</f>
        <v>0</v>
      </c>
      <c r="CT28" s="51">
        <f ca="1">IF($F28&lt;OFFSET($BM$9,$CL28-1,0,1,1),0,IF($F28&lt;OFFSET($BN$9,$CL28-1,0,1,1),IF(AND($H28&gt;2.4,Z28&lt;&gt;"e",Z28&lt;&gt;"f"),CX28*2.4/$H28,CX28),IF($F28&lt;OFFSET($BN$9,$CL28+0,0,1,1),IF(AND($H28&gt;2.4,Z28&lt;&gt;"e",Z28&lt;&gt;"f"),CX28*2.4/$H28,CX28),IF($F28&lt;OFFSET($BN$9,$CL28+1,0,1,1),IF(AND($H28&gt;2.4,Z28&lt;&gt;"e",Z28&lt;&gt;"f"),CX28*2.4/$H28,CX28),IF($F28&lt;OFFSET($BN$9,CL28+2,0,1,1),IF(AND($H28&gt;2.4,Z28&lt;&gt;"e",Z28&lt;&gt;"f"),CX28*2.4/$H28,CX28),IF($F28&lt;OFFSET($BN$9,CL28+3,0,1,1),IF(AND($H28&gt;2.4,Z28&lt;&gt;"e",Z28&lt;&gt;"f"),CX28*2.4/$H28,CX28),0)))))*COS(RADIANS($G28)))</f>
        <v>0</v>
      </c>
      <c r="CU28" s="51">
        <f ca="1">IF(F28&lt;OFFSET($BM$9,CL28-1,0,1,1),0,IF(F28&lt;OFFSET($BN$9,CL28-1,0,1,1),((F28-OFFSET($BM$9,CL28-1,0,1,1))*OFFSET($CI$9,CL28-1,0,1,1))+OFFSET($BP$9,CL28-1,CQ28,1,1),IF(F28&lt;OFFSET($BN$9,CL28+0,0,1,1),((F28-OFFSET($BM$9,CL28+0,0,1,1))*OFFSET($CI$9,CL28+0,0,1,1))+OFFSET($BP$9,CL28+0,CQ28,1,1),IF(F28&lt;OFFSET($BN$9,CL28+1,0,1,1),((F28-OFFSET($BM$9,CL28+1,0,1,1))*OFFSET($CI$9,CL28+1,0,1,1))+OFFSET($BP$9,CL28+1,CQ28,1,1),IF(F28&lt;OFFSET($BN$9,CL28+2,0,1,1),((F28-OFFSET($BM$9,CL28+2,0,1,1))*OFFSET($CI$9,CL28+2,0,1,1))+OFFSET($BP$9,CL28+2,CQ28,1,1),IF(F28&lt;OFFSET($BN$9,CL28+3,0,1,1),((F28-OFFSET($BM$9,CL28+3,0,1,1))*OFFSET($CI$9,CL28+3,0,1,1))+OFFSET($BP$9,CL28+3,CQ28,1,1),0))))))</f>
        <v>0</v>
      </c>
      <c r="CV28" s="51">
        <f ca="1">IF($F28&lt;OFFSET($BM$9,$CL28-1,0,1,1),0,IF($F28&lt;OFFSET($BN$9,$CL28-1,0,1,1),IF(AND($H28&gt;2.4,Z28&lt;&gt;"e",Z28&lt;&gt;"f"),CZ28*2.4/$H28,CZ28),IF($F28&lt;OFFSET($BN$9,$CL28+0,0,1,1),IF(AND($H28&gt;2.4,Z28&lt;&gt;"e",Z28&lt;&gt;"f"),CZ28*2.4/$H28,CZ28),IF($F28&lt;OFFSET($BN$9,$CL28+1,0,1,1),IF(AND($H28&gt;2.4,Z28&lt;&gt;"e",Z28&lt;&gt;"f"),CZ28*2.4/$H28,CZ28),IF($F28&lt;OFFSET($BN$9,$CL28+2,0,1,1),IF(AND($H28&gt;2.4,Z28&lt;&gt;"e",Z28&lt;&gt;"f"),CZ28*2.4/$H28,CZ28),IF($F28&lt;OFFSET($BN$9,$CL28+3,0,1,1),IF(AND($H28&gt;2.4,Z28&lt;&gt;"e",Z28&lt;&gt;"f"),CZ28*2.4/$H28,CZ28),0)))))*COS(RADIANS($G28)))</f>
        <v>0</v>
      </c>
      <c r="CW28" s="51">
        <f t="shared" ca="1" si="18"/>
        <v>0</v>
      </c>
      <c r="CX28" s="51">
        <f ca="1">IF(CS28&gt;$CR28,$CR28,CS28)</f>
        <v>0</v>
      </c>
      <c r="CY28" s="51">
        <f ca="1">CW28*F28</f>
        <v>0</v>
      </c>
      <c r="CZ28" s="51">
        <f ca="1">IF($CU28&gt;$CR28,$CR28,$CU28)</f>
        <v>0</v>
      </c>
      <c r="DA28" s="51">
        <f ca="1">IF(CV28&gt;CR28,CR28,CV28)</f>
        <v>0</v>
      </c>
      <c r="DB28" s="51">
        <f ca="1">DA28*F28</f>
        <v>0</v>
      </c>
      <c r="DC28" s="993">
        <v>1</v>
      </c>
      <c r="DD28" s="758" t="str">
        <f>IF(OR(D28=BG$12,D28=BG$13),"External",IF(D28=BG$14,"Internal"," "))</f>
        <v xml:space="preserve"> </v>
      </c>
      <c r="DE28" s="51" t="str">
        <f t="shared" ca="1" si="4"/>
        <v/>
      </c>
      <c r="DF28" s="52" t="str">
        <f t="shared" ca="1" si="5"/>
        <v xml:space="preserve"> </v>
      </c>
      <c r="DG28" s="51">
        <f ca="1">IF(F28&lt;OFFSET($BM$9,CN28-1,0,1,1),0,IF(F28&lt;OFFSET($BN$9,CN28-1,0,1,1),((F28-OFFSET($BM$9,CN28-1,0,1,1))*OFFSET($CH$9,CN28-1,0,1,1))+OFFSET($BO$9,CN28-1,CQ28,1,1),IF(F28&lt;OFFSET($BN$9,CN28+0,0,1,1),((F28-OFFSET($BM$9,CN28+0,0,1,1))*OFFSET($CH$9,CN28+0,0,1,1))+OFFSET($BO$9,CN28+0,CQ28,1,1),IF(F28&lt;OFFSET($BN$9,CN28+1,0,1,1),((F28-OFFSET($BM$9,CN28+1,0,1,1))*OFFSET($CH$9,CN28+1,0,1,1))+OFFSET($BO$9,CN28+1,CQ28,1,1),IF(F28&lt;OFFSET($BN$9,CN28+2,0,1,1),((F28-OFFSET($BM$9,CN28+2,0,1,1))*OFFSET($CH$9,CN28+2,0,1,1))+OFFSET($BO$9,CN28+2,CQ28,1,1),IF(F28&lt;OFFSET($BN$9,CN28+3,0,1,1),((F28-OFFSET($BM$9,CN28+3,0,1,1))*OFFSET($CH$9,CN28+3,0,1,1))+OFFSET($BO$9,CN28+3,CQ28,1,1),0))))))</f>
        <v>0</v>
      </c>
      <c r="DH28" s="51">
        <f ca="1">IF($F28&lt;OFFSET($BM$9,$CN28-1,0,1,1),0,IF($F28&lt;OFFSET($BN$9,$CN28-1,0,1,1),IF(AND($H28&gt;2.4,Z28&lt;&gt;"e",Z28&lt;&gt;"f"),DL28*2.4/$H28,DL28),IF($F28&lt;OFFSET($BN$9,$CN28+0,0,1,1),IF(AND($H28&gt;2.4,Z28&lt;&gt;"e",Z28&lt;&gt;"f"),DL28*2.4/$H28,DL28),IF($F28&lt;OFFSET($BN$9,$CN28+1,0,1,1),IF(AND($H28&gt;2.4,Z28&lt;&gt;"e",Z28&lt;&gt;"f"),DL28*2.4/$H28,DL28),IF($F28&lt;OFFSET($BN$9,$CN28+2,0,1,1),IF(AND($H28&gt;2.4,Z28&lt;&gt;"e",Z28&lt;&gt;"f"),DL28*2.4/$H28,DL28),IF($F28&lt;OFFSET($BN$9,$CN28+3,0,1,1),IF(AND($H28&gt;2.4,Z28&lt;&gt;"e",Z28&lt;&gt;"f"),DL28*2.4/$H28,DL28),0)))))*COS(RADIANS($G28)))</f>
        <v>0</v>
      </c>
      <c r="DI28" s="51">
        <f ca="1">IF(F28&lt;OFFSET($BM$9,CN28-1,0,1,1),0,IF(F28&lt;OFFSET($BN$9,CN28-1,0,1,1),((F28-OFFSET($BM$9,CN28-1,0,1,1))*OFFSET($CI$9,CN28-1,0,1,1))+OFFSET($BP$9,CN28-1,CQ28,1,1),IF(F28&lt;OFFSET($BN$9,CN28+0,0,1,1),((F28-OFFSET($BM$9,CN28+0,0,1,1))*OFFSET($CI$9,CN28+0,0,1,1))+OFFSET($BP$9,CN28+0,CQ28,1,1),IF(F28&lt;OFFSET($BN$9,CN28+1,0,1,1),((F28-OFFSET($BM$9,CN28+1,0,1,1))*OFFSET($CI$9,CN28+1,0,1,1))+OFFSET($BP$9,CN28+1,CQ28,1,1),IF(F28&lt;OFFSET($BN$9,CN28+2,0,1,1),((F28-OFFSET($BM$9,CN28+2,0,1,1))*OFFSET($CI$9,CN28+2,0,1,1))+OFFSET($BP$9,CN28+2,CQ28,1,1),IF(F28&lt;OFFSET($BN$9,CN28+3,0,1,1),((F28-OFFSET($BM$9,CN28+3,0,1,1))*OFFSET($CI$9,CN28+3,0,1,1))+OFFSET($BP$9,CN28+3,CQ28,1,1),0))))))</f>
        <v>0</v>
      </c>
      <c r="DJ28" s="51">
        <f ca="1">IF($F28&lt;OFFSET($BM$9,$CN28-1,0,1,1),0,IF($F28&lt;OFFSET($BN$9,$CN28-1,0,1,1),IF(AND($H28&gt;2.4,Z28&lt;&gt;"e",Z28&lt;&gt;"f"),DN28*2.4/$H28,DN28),IF($F28&lt;OFFSET($BN$9,$CN28+0,0,1,1),IF(AND($H28&gt;2.4,Z28&lt;&gt;"e",Z28&lt;&gt;"f"),DN28*2.4/$H28,DN28),IF($F28&lt;OFFSET($BN$9,$CN28+1,0,1,1),IF(AND($H28&gt;2.4,Z28&lt;&gt;"e",Z28&lt;&gt;"f"),DN28*2.4/$H28,DN28),IF($F28&lt;OFFSET($BN$9,$CN28+2,0,1,1),IF(AND($H28&gt;2.4,Z28&lt;&gt;"e",Z28&lt;&gt;"f"),DN28*2.4/$H28,DN28),IF($F28&lt;OFFSET($BN$9,$CN28+3,0,1,1),IF(AND($H28&gt;2.4,Z28&lt;&gt;"e",Z28&lt;&gt;"f"),DN28*2.4/$H28,DN28),0)))))*COS(RADIANS($G28)))</f>
        <v>0</v>
      </c>
      <c r="DK28" s="51"/>
      <c r="DL28" s="51">
        <f ca="1">IF(DG28&gt;$CR28,$CR28,DG28)</f>
        <v>0</v>
      </c>
      <c r="DM28" s="51"/>
      <c r="DN28" s="51">
        <f ca="1">IF(DI28&gt;$CR28,$CR28,DI28)</f>
        <v>0</v>
      </c>
      <c r="DO28" s="435">
        <f ca="1">IF(DH28&gt;$CR28,$CR28,DH28)</f>
        <v>0</v>
      </c>
      <c r="DP28" s="435">
        <f ca="1">DO28*F28</f>
        <v>0</v>
      </c>
      <c r="DQ28" s="436">
        <f ca="1">IF(DJ28&gt;$CR28,$CR28,DJ28)</f>
        <v>0</v>
      </c>
      <c r="DR28" s="437">
        <f ca="1">DQ28*F28</f>
        <v>0</v>
      </c>
      <c r="DS28" s="426">
        <f ca="1">OFFSET($CH$9,CL28-1,-15,1,1)</f>
        <v>0</v>
      </c>
      <c r="DT28" s="426">
        <f t="shared" ca="1" si="1"/>
        <v>0</v>
      </c>
      <c r="DU28" s="188">
        <f ca="1">IF(F28&lt;OFFSET($BM$9,DT28-1,0,1,1),0,IF(F28&lt;OFFSET($BN$9,DT28-1,0,1,1),((F28-OFFSET($BM$9,DT28-1,0,1,1))*OFFSET($CH$9,DT28-1,0,1,1))+OFFSET($BO$9,DT28-1,CQ28,1,1),IF(F28&lt;OFFSET($BN$9,DT28+0,0,1,1),((F28-OFFSET($BM$9,DT28+0,0,1,1))*OFFSET($CH$9,DT28+0,0,1,1))+OFFSET($BO$9,DT28+0,CQ28,1,1),IF(F28&lt;OFFSET($BN$9,DT28+1,0,1,1),((F28-OFFSET($BM$9,DT28+1,0,1,1))*OFFSET($CH$9,DT28+1,0,1,1))+OFFSET($BO$9,DT28+1,CQ28,1,1),IF(F28&lt;OFFSET($BN$9,DT28+2,0,1,1),((F28-OFFSET($BM$9,DT28+2,0,1,1))*OFFSET($CH$9,DT28+2,0,1,1))+OFFSET($BO$9,DT28+2,CQ28,1,1),IF(F28&lt;OFFSET($BN$9,DT28+3,0,1,1),((F28-OFFSET($BM$9,DT28+3,0,1,1))*OFFSET($CH$9,DT28+3,0,1,1))+OFFSET($BO$9,DT28+3,CQ28,1,1),0))))))</f>
        <v>0</v>
      </c>
      <c r="DV28" s="51">
        <f ca="1">IF($F28&lt;OFFSET($BM$9,$DT28-1,0,1,1),0,IF($F28&lt;OFFSET($BN$9,$DT28-1,0,1,1),IF(AND($H28&gt;2.4,Z28&lt;&gt;"e",Z28&lt;&gt;"f"),DZ28*2.4/$H28,DZ28),IF($F28&lt;OFFSET($BN$9,$DT28+0,0,1,1),IF(AND($H28&gt;2.4,Z28&lt;&gt;"e",Z28&lt;&gt;"f"),DZ28*2.4/$H28,DZ28),IF($F28&lt;OFFSET($BN$9,$DT28+1,0,1,1),IF(AND($H28&gt;2.4,Z28&lt;&gt;"e",Z28&lt;&gt;"f"),DZ28*2.4/$H28,DZ28),IF($F28&lt;OFFSET($BN$9,$DT28+2,0,1,1),IF(AND($H28&gt;2.4,Z28&lt;&gt;"e",Z28&lt;&gt;"f"),DZ28*2.4/$H28,DZ28),IF($F28&lt;OFFSET($BN$9,$DT28+3,0,1,1),IF(AND($H28&gt;2.4,Z28&lt;&gt;"e",Z28&lt;&gt;"f"),DZ28*2.4/$H28,DZ28),0)))))*COS(RADIANS($G28)))</f>
        <v>0</v>
      </c>
      <c r="DW28" s="188">
        <f ca="1">IF(F28&lt;OFFSET($BM$9,DT28-1,0,1,1),0,IF(F28&lt;OFFSET($BN$9,DT28-1,0,1,1),((F28-OFFSET($BM$9,DT28-1,0,1,1))*OFFSET($CI$9,DT28-1,0,1,1))+OFFSET($BP$9,DT28-1,CQ28,1,1),IF(F28&lt;OFFSET($BN$9,DT28+0,0,1,1),((F28-OFFSET($BM$9,DT28+0,0,1,1))*OFFSET($CI$9,DT28+0,0,1,1))+OFFSET($BP$9,DT28+0,CQ28,1,1),IF(F28&lt;OFFSET($BN$9,DT28+1,0,1,1),((F28-OFFSET($BM$9,DT28+1,0,1,1))*OFFSET($CI$9,DT28+1,0,1,1))+OFFSET($BP$9,DT28+1,CQ28,1,1),IF(F28&lt;OFFSET($BN$9,DT28+2,0,1,1),((F28-OFFSET($BM$9,DT28+2,0,1,1))*OFFSET($CI$9,DT28+2,0,1,1))+OFFSET($BP$9,DT28+2,CQ28,1,1),IF(F28&lt;OFFSET($BN$9,DT28+3,0,1,1),((F28-OFFSET($BM$9,DT28+3,0,1,1))*OFFSET($CI$9,DT28+3,0,1,1))+OFFSET($BP$9,DT28+3,CQ28,1,1),0))))))</f>
        <v>0</v>
      </c>
      <c r="DX28" s="51">
        <f ca="1">IF($F28&lt;OFFSET($BM$9,$DT28-1,0,1,1),0,IF($F28&lt;OFFSET($BN$9,$DT28-1,0,1,1),IF(AND($H28&gt;2.4,Z28&lt;&gt;"e",Z28&lt;&gt;"f"),EB28*2.4/$H28,EB28),IF($F28&lt;OFFSET($BN$9,$DT28+0,0,1,1),IF(AND($H28&gt;2.4,Z28&lt;&gt;"e",Z28&lt;&gt;"f"),EB28*2.4/$H28,EB28),IF($F28&lt;OFFSET($BN$9,$DT28+1,0,1,1),IF(AND($H28&gt;2.4,Z28&lt;&gt;"e",Z28&lt;&gt;"f"),EB28*2.4/$H28,EB28),IF($F28&lt;OFFSET($BN$9,$DT28+2,0,1,1),IF(AND($H28&gt;2.4,Z28&lt;&gt;"e",Z28&lt;&gt;"f"),EB28*2.4/$H28,EB28),IF($F28&lt;OFFSET($BN$9,$DT28+3,0,1,1),IF(AND($H28&gt;2.4,Z28&lt;&gt;"e",Z28&lt;&gt;"f"),EB28*2.4/$H28,EB28),0)))))*COS(RADIANS($G28)))</f>
        <v>0</v>
      </c>
      <c r="DY28" s="188"/>
      <c r="DZ28" s="188">
        <f ca="1">IF(DU28&gt;$CR28,$CR28,DU28)</f>
        <v>0</v>
      </c>
      <c r="EA28" s="188"/>
      <c r="EB28" s="188">
        <f ca="1">IF(DW28&gt;$CR28,$CR28,DW28)</f>
        <v>0</v>
      </c>
      <c r="EC28" s="435">
        <f ca="1">IF(DV28&gt;$CR28,$CR28,DV28)</f>
        <v>0</v>
      </c>
      <c r="ED28" s="435">
        <f ca="1">EC28*F28</f>
        <v>0</v>
      </c>
      <c r="EE28" s="436">
        <f ca="1">IF(DX28&gt;$CR28,$CR28,DX28)</f>
        <v>0</v>
      </c>
      <c r="EF28" s="437">
        <f ca="1">EE28*F28</f>
        <v>0</v>
      </c>
      <c r="EG28" s="613" t="str">
        <f>IF(D28=BG$12,BG$12,"")</f>
        <v/>
      </c>
      <c r="EH28" s="614" t="str">
        <f>IF(D28=BG$13,BG$13,"")</f>
        <v/>
      </c>
      <c r="EI28" s="611">
        <f>IF(EG28=BG$12,M28,0)</f>
        <v>0</v>
      </c>
      <c r="EJ28" s="451">
        <f>IF(EG28=BG$12,O28,0)</f>
        <v>0</v>
      </c>
      <c r="EK28" s="451">
        <f>IF(EH28=BG$13,M28,0)</f>
        <v>0</v>
      </c>
      <c r="EL28" s="612">
        <f>IF(EH28=BG$13,O28,0)</f>
        <v>0</v>
      </c>
      <c r="EM28" s="426" t="str">
        <f ca="1">IF(AND(Z28&lt;&gt;"t",Z28&lt;&gt;"f"),"",IF(AND(EN28=$BH$11,K28&lt;&gt;EN28),EM$4,IF(AND(EN28=$BH$12,K28=$BH$13),EM$4,IF(AND(EN28=$BH$12,K28=$BH$14),EM$4,IF(AND(EN28=$BH$13,K28=$BH$14),$EM$4,IF(EN28=$BH$14,$EM$4,""))))))</f>
        <v/>
      </c>
      <c r="EN28" s="489" t="str">
        <f>BG$24</f>
        <v>Earth</v>
      </c>
      <c r="EO28" s="426" t="str">
        <f>K28</f>
        <v xml:space="preserve"> </v>
      </c>
      <c r="EP28" s="497" t="str">
        <f ca="1">IF(AND(Z28&lt;&gt;"t",Z28&lt;&gt;"f"),"",IF(AND(EN28=$BH$14,K28&lt;&gt;EN28),EP$4,IF(AND(EN28=$BH$13,K28=$BH$12),EP$4,IF(AND(EN28=$BH$13,K28=$BH$11),EP$4,IF(AND(EN28=$BH$12,K28=$BH$11),$EP$4,IF(EN28=$BH$11,"Earth",""))))))</f>
        <v/>
      </c>
      <c r="EQ28" s="430" t="str">
        <f ca="1">IF(Z28&lt;&gt;"t","",IF(EQ$5=2,IF(K28&lt;&gt;BH$11,EQ$7," ")))</f>
        <v/>
      </c>
      <c r="ER28" s="439" t="str">
        <f ca="1">IF(H28=0," ",H28)</f>
        <v xml:space="preserve"> </v>
      </c>
      <c r="ES28" s="440" t="str">
        <f ca="1">IF(ER28&lt;&gt;" ",IF(ER28&lt;&gt;ER$7,"Changed",""),"")</f>
        <v/>
      </c>
      <c r="ET28" s="440">
        <f t="shared" ca="1" si="19"/>
        <v>0</v>
      </c>
      <c r="EU28" s="426" t="str">
        <f ca="1">IF(I28=" "," ",IF(F28&lt;OFFSET($BM$9,CL28-1,0,1,1),1,""))</f>
        <v xml:space="preserve"> </v>
      </c>
      <c r="EW28" s="427"/>
    </row>
    <row r="29" spans="2:153" ht="17.100000000000001" customHeight="1" thickBot="1">
      <c r="B29" s="689" t="s">
        <v>246</v>
      </c>
      <c r="C29" s="684" t="str">
        <f>IF(OR(F29=0,I29="",I29=" ")," ",$V29)</f>
        <v xml:space="preserve"> </v>
      </c>
      <c r="D29" s="1033"/>
      <c r="E29" s="1360"/>
      <c r="F29" s="202"/>
      <c r="G29" s="1416"/>
      <c r="H29" s="1417" t="str">
        <f ca="1">IF(OR(F29=0,Z29="E",Z29="f")," ",'Project Demand'!E$55)</f>
        <v xml:space="preserve"> </v>
      </c>
      <c r="I29" s="631" t="str">
        <f>IF($I$6&lt;&gt;$BG$8," ",AB29)</f>
        <v xml:space="preserve"> </v>
      </c>
      <c r="J29" s="44" t="str">
        <f ca="1">IF(OR(I29=" ",I29="")," ",OFFSET($BO$9,CL29-1,0-4,1,1))</f>
        <v xml:space="preserve"> </v>
      </c>
      <c r="K29" s="55" t="str">
        <f>IF(OR(I29=" ",I29="")," ",IF(OR(Z29="e",Z29="h"),"SD",IF(BG$24=BH$11,BH$13,BG$24)))</f>
        <v xml:space="preserve"> </v>
      </c>
      <c r="L29" s="49">
        <f ca="1">CW29</f>
        <v>0</v>
      </c>
      <c r="M29" s="49">
        <f ca="1">CY29</f>
        <v>0</v>
      </c>
      <c r="N29" s="50">
        <f t="shared" ca="1" si="25"/>
        <v>0</v>
      </c>
      <c r="O29" s="126">
        <f t="shared" ca="1" si="25"/>
        <v>0</v>
      </c>
      <c r="P29" s="140"/>
      <c r="Q29" s="752" t="str">
        <f ca="1">IF(AND(OR(Z29="t",Z29="f"),K29=$BH$11),"No Floor!  Change Floor Type",IF(OR(I29=" ",I29="")," ",IF(F29&lt;OFFSET($BM$9,CL29-1,0,1,1),"check L(m)",DE29&amp;IF(AND(DP29&gt;=CY29,DR29&gt;=DB29),IF(AND(ED29&gt;=DP29,EF29&gt;=DR29),CONCATENATE(DS29," will provide same result"),CONCATENATE(CO29," will provide same result")),IF((DP29&gt;=CY29),CONCATENATE(CO29," provides same result in WIND"),IF((DR29&gt;=DB29),CONCATENATE(CO29," provides same result in EQ"),""))))))&amp;IF(ISERROR(FIND("pile",I29,1)),"",IF(INT(F29)&lt;&gt;F29,"Pile!  Use Whole Numbers Only",""))</f>
        <v xml:space="preserve"> </v>
      </c>
      <c r="R29" s="52"/>
      <c r="S29" s="1372"/>
      <c r="T29" s="1372"/>
      <c r="U29" s="1377"/>
      <c r="V29" s="52" t="str">
        <f ca="1">IF(AND(B$5=$BF$9,OR(I29=BH$16,I29=BH$17))," ",IF(ISNUMBER(B$26),(CONCATENATE(B$26,".",W29)),(CONCATENATE(B$26,W29))))</f>
        <v>P0</v>
      </c>
      <c r="W29" s="9">
        <f ca="1">W28+X29</f>
        <v>0</v>
      </c>
      <c r="X29" s="9">
        <f>IF(AND(B$5=$BF$9,OR($I29=$BH$16,$I29=$BH$17,$I29=" ",$I29="",$F29=0)),0,IF(OR($I29=" ",$I29="",$F29=0),0,1))</f>
        <v>0</v>
      </c>
      <c r="Y29" s="896"/>
      <c r="Z29" s="52" t="str">
        <f ca="1">IF(I29=" "," ",OFFSET($BM$9,$CL29-1,8,1,1))</f>
        <v xml:space="preserve"> </v>
      </c>
      <c r="AA29" s="51" t="str">
        <f>IF(G29&gt;=45,"WA","")</f>
        <v/>
      </c>
      <c r="AB29" s="1364" t="str">
        <f>IF(OR(E29=" ",E29="")," ",(IF(F29&lt;&gt;"",IF(OR(D29=$BG$12,D29=$BG$13),IF(E29&lt;&gt;$BG$17,$BF$20,$BF$21),IF(E29&lt;&gt;$BG$17,$BF$20,$BF$21))," ")))</f>
        <v xml:space="preserve"> </v>
      </c>
      <c r="AC29" s="1"/>
      <c r="AJ29" s="28"/>
      <c r="AK29" s="30"/>
      <c r="AL29" s="30"/>
      <c r="AM29" s="32"/>
      <c r="AN29" s="32"/>
      <c r="AO29" s="10"/>
      <c r="AP29" s="10"/>
      <c r="AQ29" s="10"/>
      <c r="AR29" s="32"/>
      <c r="AS29" s="32"/>
      <c r="AT29" s="32"/>
      <c r="AU29" s="478"/>
      <c r="AV29" s="32"/>
      <c r="AW29" s="32"/>
      <c r="AX29" s="32"/>
      <c r="AY29" s="32"/>
      <c r="AZ29" s="32"/>
      <c r="BA29" s="32"/>
      <c r="BB29" s="32"/>
      <c r="BC29" s="32"/>
      <c r="BD29" s="2648"/>
      <c r="BF29" s="598" t="s">
        <v>8</v>
      </c>
      <c r="BI29" s="759"/>
      <c r="BJ29" s="897">
        <f t="shared" si="6"/>
        <v>21</v>
      </c>
      <c r="BK29" s="769" t="str">
        <f t="shared" si="7"/>
        <v xml:space="preserve">  </v>
      </c>
      <c r="BL29" s="771" t="str">
        <f t="shared" si="8"/>
        <v>Custom18</v>
      </c>
      <c r="BM29" s="455">
        <f t="shared" si="9"/>
        <v>9.9999999999999996E-76</v>
      </c>
      <c r="BN29" s="455">
        <v>999</v>
      </c>
      <c r="BO29" s="455">
        <f t="shared" si="10"/>
        <v>0</v>
      </c>
      <c r="BP29" s="925">
        <f t="shared" si="11"/>
        <v>0</v>
      </c>
      <c r="BR29" s="764"/>
      <c r="BS29" s="455"/>
      <c r="BT29" s="455" t="str">
        <f t="shared" si="12"/>
        <v>B</v>
      </c>
      <c r="BU29" s="925" t="str">
        <f t="shared" si="13"/>
        <v>T</v>
      </c>
      <c r="BV29" s="483" t="str">
        <f t="shared" si="14"/>
        <v>Custom18</v>
      </c>
      <c r="BW29" s="910">
        <f t="shared" si="21"/>
        <v>21</v>
      </c>
      <c r="BX29" s="924" t="str">
        <f t="shared" si="15"/>
        <v>Single</v>
      </c>
      <c r="CH29" s="764">
        <f t="shared" si="16"/>
        <v>0</v>
      </c>
      <c r="CI29" s="925">
        <f t="shared" si="17"/>
        <v>0</v>
      </c>
      <c r="CJ29" s="759"/>
      <c r="CK29" s="188"/>
      <c r="CL29" s="979">
        <f>VLOOKUP(I29,Prodlink,2,0)</f>
        <v>0</v>
      </c>
      <c r="CN29" s="497">
        <f t="shared" ca="1" si="2"/>
        <v>0</v>
      </c>
      <c r="CO29" s="497">
        <f ca="1">OFFSET($CH$9,CL29-1,-15,1,1)</f>
        <v>0</v>
      </c>
      <c r="CQ29" s="51">
        <v>0</v>
      </c>
      <c r="CR29" s="51">
        <f t="shared" ca="1" si="26"/>
        <v>10000</v>
      </c>
      <c r="CS29" s="51">
        <f ca="1">IF(F29&lt;OFFSET($BM$9,CL29-1,0,1,1),0,IF(F29&lt;OFFSET($BN$9,CL29-1,0,1,1),((F29-OFFSET($BM$9,CL29-1,0,1,1))*OFFSET($CH$9,CL29-1,0,1,1))+OFFSET($BO$9,CL29-1,CQ29,1,1),IF(F29&lt;OFFSET($BN$9,CL29+0,0,1,1),((F29-OFFSET($BM$9,CL29+0,0,1,1))*OFFSET($CH$9,CL29+0,0,1,1))+OFFSET($BO$9,CL29+0,CQ29,1,1),IF(F29&lt;OFFSET($BN$9,CL29+1,0,1,1),((F29-OFFSET($BM$9,CL29+1,0,1,1))*OFFSET($CH$9,CL29+1,0,1,1))+OFFSET($BO$9,CL29+1,CQ29,1,1),IF(F29&lt;OFFSET($BN$9,CL29+2,0,1,1),((F29-OFFSET($BM$9,CL29+2,0,1,1))*OFFSET($CH$9,CL29+2,0,1,1))+OFFSET($BO$9,CL29+2,CQ29,1,1),IF(F29&lt;OFFSET($BN$9,CL29+3,0,1,1),((F29-OFFSET($BM$9,CL29+3,0,1,1))*OFFSET($CH$9,CL29+3,0,1,1))+OFFSET($BO$9,CL29+3,CQ29,1,1),0))))))</f>
        <v>0</v>
      </c>
      <c r="CT29" s="51">
        <f ca="1">IF($F29&lt;OFFSET($BM$9,$CL29-1,0,1,1),0,IF($F29&lt;OFFSET($BN$9,$CL29-1,0,1,1),IF(AND($H29&gt;2.4,Z29&lt;&gt;"e",Z29&lt;&gt;"f"),CX29*2.4/$H29,CX29),IF($F29&lt;OFFSET($BN$9,$CL29+0,0,1,1),IF(AND($H29&gt;2.4,Z29&lt;&gt;"e",Z29&lt;&gt;"f"),CX29*2.4/$H29,CX29),IF($F29&lt;OFFSET($BN$9,$CL29+1,0,1,1),IF(AND($H29&gt;2.4,Z29&lt;&gt;"e",Z29&lt;&gt;"f"),CX29*2.4/$H29,CX29),IF($F29&lt;OFFSET($BN$9,CL29+2,0,1,1),IF(AND($H29&gt;2.4,Z29&lt;&gt;"e",Z29&lt;&gt;"f"),CX29*2.4/$H29,CX29),IF($F29&lt;OFFSET($BN$9,CL29+3,0,1,1),IF(AND($H29&gt;2.4,Z29&lt;&gt;"e",Z29&lt;&gt;"f"),CX29*2.4/$H29,CX29),0)))))*COS(RADIANS($G29)))</f>
        <v>0</v>
      </c>
      <c r="CU29" s="51">
        <f ca="1">IF(F29&lt;OFFSET($BM$9,CL29-1,0,1,1),0,IF(F29&lt;OFFSET($BN$9,CL29-1,0,1,1),((F29-OFFSET($BM$9,CL29-1,0,1,1))*OFFSET($CI$9,CL29-1,0,1,1))+OFFSET($BP$9,CL29-1,CQ29,1,1),IF(F29&lt;OFFSET($BN$9,CL29+0,0,1,1),((F29-OFFSET($BM$9,CL29+0,0,1,1))*OFFSET($CI$9,CL29+0,0,1,1))+OFFSET($BP$9,CL29+0,CQ29,1,1),IF(F29&lt;OFFSET($BN$9,CL29+1,0,1,1),((F29-OFFSET($BM$9,CL29+1,0,1,1))*OFFSET($CI$9,CL29+1,0,1,1))+OFFSET($BP$9,CL29+1,CQ29,1,1),IF(F29&lt;OFFSET($BN$9,CL29+2,0,1,1),((F29-OFFSET($BM$9,CL29+2,0,1,1))*OFFSET($CI$9,CL29+2,0,1,1))+OFFSET($BP$9,CL29+2,CQ29,1,1),IF(F29&lt;OFFSET($BN$9,CL29+3,0,1,1),((F29-OFFSET($BM$9,CL29+3,0,1,1))*OFFSET($CI$9,CL29+3,0,1,1))+OFFSET($BP$9,CL29+3,CQ29,1,1),0))))))</f>
        <v>0</v>
      </c>
      <c r="CV29" s="51">
        <f ca="1">IF($F29&lt;OFFSET($BM$9,$CL29-1,0,1,1),0,IF($F29&lt;OFFSET($BN$9,$CL29-1,0,1,1),IF(AND($H29&gt;2.4,Z29&lt;&gt;"e",Z29&lt;&gt;"f"),CZ29*2.4/$H29,CZ29),IF($F29&lt;OFFSET($BN$9,$CL29+0,0,1,1),IF(AND($H29&gt;2.4,Z29&lt;&gt;"e",Z29&lt;&gt;"f"),CZ29*2.4/$H29,CZ29),IF($F29&lt;OFFSET($BN$9,$CL29+1,0,1,1),IF(AND($H29&gt;2.4,Z29&lt;&gt;"e",Z29&lt;&gt;"f"),CZ29*2.4/$H29,CZ29),IF($F29&lt;OFFSET($BN$9,$CL29+2,0,1,1),IF(AND($H29&gt;2.4,Z29&lt;&gt;"e",Z29&lt;&gt;"f"),CZ29*2.4/$H29,CZ29),IF($F29&lt;OFFSET($BN$9,$CL29+3,0,1,1),IF(AND($H29&gt;2.4,Z29&lt;&gt;"e",Z29&lt;&gt;"f"),CZ29*2.4/$H29,CZ29),0)))))*COS(RADIANS($G29)))</f>
        <v>0</v>
      </c>
      <c r="CW29" s="51">
        <f t="shared" ca="1" si="18"/>
        <v>0</v>
      </c>
      <c r="CX29" s="51">
        <f ca="1">IF(CS29&gt;$CR29,$CR29,CS29)</f>
        <v>0</v>
      </c>
      <c r="CY29" s="51">
        <f ca="1">CW29*F29</f>
        <v>0</v>
      </c>
      <c r="CZ29" s="51">
        <f ca="1">IF($CU29&gt;$CR29,$CR29,$CU29)</f>
        <v>0</v>
      </c>
      <c r="DA29" s="51">
        <f ca="1">IF(CV29&gt;CR29,CR29,CV29)</f>
        <v>0</v>
      </c>
      <c r="DB29" s="51">
        <f ca="1">DA29*F29</f>
        <v>0</v>
      </c>
      <c r="DC29" s="993">
        <v>1</v>
      </c>
      <c r="DD29" s="758" t="str">
        <f>IF(OR(D29=BG$12,D29=BG$13),"External",IF(D29=BG$14,"Internal"," "))</f>
        <v xml:space="preserve"> </v>
      </c>
      <c r="DE29" s="51" t="str">
        <f t="shared" ca="1" si="4"/>
        <v/>
      </c>
      <c r="DF29" s="52" t="str">
        <f t="shared" ca="1" si="5"/>
        <v xml:space="preserve"> </v>
      </c>
      <c r="DG29" s="51">
        <f ca="1">IF(F29&lt;OFFSET($BM$9,CN29-1,0,1,1),0,IF(F29&lt;OFFSET($BN$9,CN29-1,0,1,1),((F29-OFFSET($BM$9,CN29-1,0,1,1))*OFFSET($CH$9,CN29-1,0,1,1))+OFFSET($BO$9,CN29-1,CQ29,1,1),IF(F29&lt;OFFSET($BN$9,CN29+0,0,1,1),((F29-OFFSET($BM$9,CN29+0,0,1,1))*OFFSET($CH$9,CN29+0,0,1,1))+OFFSET($BO$9,CN29+0,CQ29,1,1),IF(F29&lt;OFFSET($BN$9,CN29+1,0,1,1),((F29-OFFSET($BM$9,CN29+1,0,1,1))*OFFSET($CH$9,CN29+1,0,1,1))+OFFSET($BO$9,CN29+1,CQ29,1,1),IF(F29&lt;OFFSET($BN$9,CN29+2,0,1,1),((F29-OFFSET($BM$9,CN29+2,0,1,1))*OFFSET($CH$9,CN29+2,0,1,1))+OFFSET($BO$9,CN29+2,CQ29,1,1),IF(F29&lt;OFFSET($BN$9,CN29+3,0,1,1),((F29-OFFSET($BM$9,CN29+3,0,1,1))*OFFSET($CH$9,CN29+3,0,1,1))+OFFSET($BO$9,CN29+3,CQ29,1,1),0))))))</f>
        <v>0</v>
      </c>
      <c r="DH29" s="51">
        <f ca="1">IF($F29&lt;OFFSET($BM$9,$CN29-1,0,1,1),0,IF($F29&lt;OFFSET($BN$9,$CN29-1,0,1,1),IF(AND($H29&gt;2.4,Z29&lt;&gt;"e",Z29&lt;&gt;"f"),DL29*2.4/$H29,DL29),IF($F29&lt;OFFSET($BN$9,$CN29+0,0,1,1),IF(AND($H29&gt;2.4,Z29&lt;&gt;"e",Z29&lt;&gt;"f"),DL29*2.4/$H29,DL29),IF($F29&lt;OFFSET($BN$9,$CN29+1,0,1,1),IF(AND($H29&gt;2.4,Z29&lt;&gt;"e",Z29&lt;&gt;"f"),DL29*2.4/$H29,DL29),IF($F29&lt;OFFSET($BN$9,$CN29+2,0,1,1),IF(AND($H29&gt;2.4,Z29&lt;&gt;"e",Z29&lt;&gt;"f"),DL29*2.4/$H29,DL29),IF($F29&lt;OFFSET($BN$9,$CN29+3,0,1,1),IF(AND($H29&gt;2.4,Z29&lt;&gt;"e",Z29&lt;&gt;"f"),DL29*2.4/$H29,DL29),0)))))*COS(RADIANS($G29)))</f>
        <v>0</v>
      </c>
      <c r="DI29" s="51">
        <f ca="1">IF(F29&lt;OFFSET($BM$9,CN29-1,0,1,1),0,IF(F29&lt;OFFSET($BN$9,CN29-1,0,1,1),((F29-OFFSET($BM$9,CN29-1,0,1,1))*OFFSET($CI$9,CN29-1,0,1,1))+OFFSET($BP$9,CN29-1,CQ29,1,1),IF(F29&lt;OFFSET($BN$9,CN29+0,0,1,1),((F29-OFFSET($BM$9,CN29+0,0,1,1))*OFFSET($CI$9,CN29+0,0,1,1))+OFFSET($BP$9,CN29+0,CQ29,1,1),IF(F29&lt;OFFSET($BN$9,CN29+1,0,1,1),((F29-OFFSET($BM$9,CN29+1,0,1,1))*OFFSET($CI$9,CN29+1,0,1,1))+OFFSET($BP$9,CN29+1,CQ29,1,1),IF(F29&lt;OFFSET($BN$9,CN29+2,0,1,1),((F29-OFFSET($BM$9,CN29+2,0,1,1))*OFFSET($CI$9,CN29+2,0,1,1))+OFFSET($BP$9,CN29+2,CQ29,1,1),IF(F29&lt;OFFSET($BN$9,CN29+3,0,1,1),((F29-OFFSET($BM$9,CN29+3,0,1,1))*OFFSET($CI$9,CN29+3,0,1,1))+OFFSET($BP$9,CN29+3,CQ29,1,1),0))))))</f>
        <v>0</v>
      </c>
      <c r="DJ29" s="51">
        <f ca="1">IF($F29&lt;OFFSET($BM$9,$CN29-1,0,1,1),0,IF($F29&lt;OFFSET($BN$9,$CN29-1,0,1,1),IF(AND($H29&gt;2.4,Z29&lt;&gt;"e",Z29&lt;&gt;"f"),DN29*2.4/$H29,DN29),IF($F29&lt;OFFSET($BN$9,$CN29+0,0,1,1),IF(AND($H29&gt;2.4,Z29&lt;&gt;"e",Z29&lt;&gt;"f"),DN29*2.4/$H29,DN29),IF($F29&lt;OFFSET($BN$9,$CN29+1,0,1,1),IF(AND($H29&gt;2.4,Z29&lt;&gt;"e",Z29&lt;&gt;"f"),DN29*2.4/$H29,DN29),IF($F29&lt;OFFSET($BN$9,$CN29+2,0,1,1),IF(AND($H29&gt;2.4,Z29&lt;&gt;"e",Z29&lt;&gt;"f"),DN29*2.4/$H29,DN29),IF($F29&lt;OFFSET($BN$9,$CN29+3,0,1,1),IF(AND($H29&gt;2.4,Z29&lt;&gt;"e",Z29&lt;&gt;"f"),DN29*2.4/$H29,DN29),0)))))*COS(RADIANS($G29)))</f>
        <v>0</v>
      </c>
      <c r="DK29" s="51"/>
      <c r="DL29" s="51">
        <f ca="1">IF(DG29&gt;$CR29,$CR29,DG29)</f>
        <v>0</v>
      </c>
      <c r="DM29" s="51"/>
      <c r="DN29" s="51">
        <f ca="1">IF(DI29&gt;$CR29,$CR29,DI29)</f>
        <v>0</v>
      </c>
      <c r="DO29" s="435">
        <f ca="1">IF(DH29&gt;$CR29,$CR29,DH29)</f>
        <v>0</v>
      </c>
      <c r="DP29" s="435">
        <f ca="1">DO29*F29</f>
        <v>0</v>
      </c>
      <c r="DQ29" s="436">
        <f ca="1">IF(DJ29&gt;$CR29,$CR29,DJ29)</f>
        <v>0</v>
      </c>
      <c r="DR29" s="437">
        <f ca="1">DQ29*F29</f>
        <v>0</v>
      </c>
      <c r="DS29" s="426">
        <f ca="1">OFFSET($CH$9,CL29-1,-15,1,1)</f>
        <v>0</v>
      </c>
      <c r="DT29" s="426">
        <f t="shared" ca="1" si="1"/>
        <v>0</v>
      </c>
      <c r="DU29" s="188">
        <f ca="1">IF(F29&lt;OFFSET($BM$9,DT29-1,0,1,1),0,IF(F29&lt;OFFSET($BN$9,DT29-1,0,1,1),((F29-OFFSET($BM$9,DT29-1,0,1,1))*OFFSET($CH$9,DT29-1,0,1,1))+OFFSET($BO$9,DT29-1,CQ29,1,1),IF(F29&lt;OFFSET($BN$9,DT29+0,0,1,1),((F29-OFFSET($BM$9,DT29+0,0,1,1))*OFFSET($CH$9,DT29+0,0,1,1))+OFFSET($BO$9,DT29+0,CQ29,1,1),IF(F29&lt;OFFSET($BN$9,DT29+1,0,1,1),((F29-OFFSET($BM$9,DT29+1,0,1,1))*OFFSET($CH$9,DT29+1,0,1,1))+OFFSET($BO$9,DT29+1,CQ29,1,1),IF(F29&lt;OFFSET($BN$9,DT29+2,0,1,1),((F29-OFFSET($BM$9,DT29+2,0,1,1))*OFFSET($CH$9,DT29+2,0,1,1))+OFFSET($BO$9,DT29+2,CQ29,1,1),IF(F29&lt;OFFSET($BN$9,DT29+3,0,1,1),((F29-OFFSET($BM$9,DT29+3,0,1,1))*OFFSET($CH$9,DT29+3,0,1,1))+OFFSET($BO$9,DT29+3,CQ29,1,1),0))))))</f>
        <v>0</v>
      </c>
      <c r="DV29" s="51">
        <f ca="1">IF($F29&lt;OFFSET($BM$9,$DT29-1,0,1,1),0,IF($F29&lt;OFFSET($BN$9,$DT29-1,0,1,1),IF(AND($H29&gt;2.4,Z29&lt;&gt;"e",Z29&lt;&gt;"f"),DZ29*2.4/$H29,DZ29),IF($F29&lt;OFFSET($BN$9,$DT29+0,0,1,1),IF(AND($H29&gt;2.4,Z29&lt;&gt;"e",Z29&lt;&gt;"f"),DZ29*2.4/$H29,DZ29),IF($F29&lt;OFFSET($BN$9,$DT29+1,0,1,1),IF(AND($H29&gt;2.4,Z29&lt;&gt;"e",Z29&lt;&gt;"f"),DZ29*2.4/$H29,DZ29),IF($F29&lt;OFFSET($BN$9,$DT29+2,0,1,1),IF(AND($H29&gt;2.4,Z29&lt;&gt;"e",Z29&lt;&gt;"f"),DZ29*2.4/$H29,DZ29),IF($F29&lt;OFFSET($BN$9,$DT29+3,0,1,1),IF(AND($H29&gt;2.4,Z29&lt;&gt;"e",Z29&lt;&gt;"f"),DZ29*2.4/$H29,DZ29),0)))))*COS(RADIANS($G29)))</f>
        <v>0</v>
      </c>
      <c r="DW29" s="188">
        <f ca="1">IF(F29&lt;OFFSET($BM$9,DT29-1,0,1,1),0,IF(F29&lt;OFFSET($BN$9,DT29-1,0,1,1),((F29-OFFSET($BM$9,DT29-1,0,1,1))*OFFSET($CI$9,DT29-1,0,1,1))+OFFSET($BP$9,DT29-1,CQ29,1,1),IF(F29&lt;OFFSET($BN$9,DT29+0,0,1,1),((F29-OFFSET($BM$9,DT29+0,0,1,1))*OFFSET($CI$9,DT29+0,0,1,1))+OFFSET($BP$9,DT29+0,CQ29,1,1),IF(F29&lt;OFFSET($BN$9,DT29+1,0,1,1),((F29-OFFSET($BM$9,DT29+1,0,1,1))*OFFSET($CI$9,DT29+1,0,1,1))+OFFSET($BP$9,DT29+1,CQ29,1,1),IF(F29&lt;OFFSET($BN$9,DT29+2,0,1,1),((F29-OFFSET($BM$9,DT29+2,0,1,1))*OFFSET($CI$9,DT29+2,0,1,1))+OFFSET($BP$9,DT29+2,CQ29,1,1),IF(F29&lt;OFFSET($BN$9,DT29+3,0,1,1),((F29-OFFSET($BM$9,DT29+3,0,1,1))*OFFSET($CI$9,DT29+3,0,1,1))+OFFSET($BP$9,DT29+3,CQ29,1,1),0))))))</f>
        <v>0</v>
      </c>
      <c r="DX29" s="51">
        <f ca="1">IF($F29&lt;OFFSET($BM$9,$DT29-1,0,1,1),0,IF($F29&lt;OFFSET($BN$9,$DT29-1,0,1,1),IF(AND($H29&gt;2.4,Z29&lt;&gt;"e",Z29&lt;&gt;"f"),EB29*2.4/$H29,EB29),IF($F29&lt;OFFSET($BN$9,$DT29+0,0,1,1),IF(AND($H29&gt;2.4,Z29&lt;&gt;"e",Z29&lt;&gt;"f"),EB29*2.4/$H29,EB29),IF($F29&lt;OFFSET($BN$9,$DT29+1,0,1,1),IF(AND($H29&gt;2.4,Z29&lt;&gt;"e",Z29&lt;&gt;"f"),EB29*2.4/$H29,EB29),IF($F29&lt;OFFSET($BN$9,$DT29+2,0,1,1),IF(AND($H29&gt;2.4,Z29&lt;&gt;"e",Z29&lt;&gt;"f"),EB29*2.4/$H29,EB29),IF($F29&lt;OFFSET($BN$9,$DT29+3,0,1,1),IF(AND($H29&gt;2.4,Z29&lt;&gt;"e",Z29&lt;&gt;"f"),EB29*2.4/$H29,EB29),0)))))*COS(RADIANS($G29)))</f>
        <v>0</v>
      </c>
      <c r="DY29" s="188"/>
      <c r="DZ29" s="188">
        <f ca="1">IF(DU29&gt;$CR29,$CR29,DU29)</f>
        <v>0</v>
      </c>
      <c r="EA29" s="188"/>
      <c r="EB29" s="188">
        <f ca="1">IF(DW29&gt;$CR29,$CR29,DW29)</f>
        <v>0</v>
      </c>
      <c r="EC29" s="435">
        <f ca="1">IF(DV29&gt;$CR29,$CR29,DV29)</f>
        <v>0</v>
      </c>
      <c r="ED29" s="435">
        <f ca="1">EC29*F29</f>
        <v>0</v>
      </c>
      <c r="EE29" s="436">
        <f ca="1">IF(DX29&gt;$CR29,$CR29,DX29)</f>
        <v>0</v>
      </c>
      <c r="EF29" s="437">
        <f ca="1">EE29*F29</f>
        <v>0</v>
      </c>
      <c r="EG29" s="613" t="str">
        <f>IF(D29=BG$12,BG$12,"")</f>
        <v/>
      </c>
      <c r="EH29" s="614" t="str">
        <f>IF(D29=BG$13,BG$13,"")</f>
        <v/>
      </c>
      <c r="EI29" s="611">
        <f>IF(EG29=BG$12,M29,0)</f>
        <v>0</v>
      </c>
      <c r="EJ29" s="451">
        <f>IF(EG29=BG$12,O29,0)</f>
        <v>0</v>
      </c>
      <c r="EK29" s="451">
        <f>IF(EH29=BG$13,M29,0)</f>
        <v>0</v>
      </c>
      <c r="EL29" s="612">
        <f>IF(EH29=BG$13,O29,0)</f>
        <v>0</v>
      </c>
      <c r="EM29" s="426" t="str">
        <f ca="1">IF(AND(Z29&lt;&gt;"t",Z29&lt;&gt;"f"),"",IF(AND(EN29=$BH$11,K29&lt;&gt;EN29),EM$4,IF(AND(EN29=$BH$12,K29=$BH$13),EM$4,IF(AND(EN29=$BH$12,K29=$BH$14),EM$4,IF(AND(EN29=$BH$13,K29=$BH$14),$EM$4,IF(EN29=$BH$14,$EM$4,""))))))</f>
        <v/>
      </c>
      <c r="EN29" s="489" t="str">
        <f>BG$24</f>
        <v>Earth</v>
      </c>
      <c r="EO29" s="426" t="str">
        <f>K29</f>
        <v xml:space="preserve"> </v>
      </c>
      <c r="EP29" s="497" t="str">
        <f ca="1">IF(AND(Z29&lt;&gt;"t",Z29&lt;&gt;"f"),"",IF(AND(EN29=$BH$14,K29&lt;&gt;EN29),EP$4,IF(AND(EN29=$BH$13,K29=$BH$12),EP$4,IF(AND(EN29=$BH$13,K29=$BH$11),EP$4,IF(AND(EN29=$BH$12,K29=$BH$11),$EP$4,IF(EN29=$BH$11,"Earth",""))))))</f>
        <v/>
      </c>
      <c r="EQ29" s="430" t="str">
        <f ca="1">IF(Z29&lt;&gt;"t","",IF(EQ$5=2,IF(K29&lt;&gt;BH$11,EQ$7," ")))</f>
        <v/>
      </c>
      <c r="ER29" s="439" t="str">
        <f ca="1">IF(H29=0," ",H29)</f>
        <v xml:space="preserve"> </v>
      </c>
      <c r="ES29" s="440" t="str">
        <f ca="1">IF(ER29&lt;&gt;" ",IF(ER29&lt;&gt;ER$7,"Changed",""),"")</f>
        <v/>
      </c>
      <c r="ET29" s="440">
        <f t="shared" ca="1" si="19"/>
        <v>0</v>
      </c>
      <c r="EU29" s="426" t="str">
        <f ca="1">IF(I29=" "," ",IF(F29&lt;OFFSET($BM$9,CL29-1,0,1,1),1,""))</f>
        <v xml:space="preserve"> </v>
      </c>
      <c r="EW29" s="427"/>
    </row>
    <row r="30" spans="2:153" ht="17.100000000000001" customHeight="1" thickBot="1">
      <c r="B30" s="689" t="s">
        <v>246</v>
      </c>
      <c r="C30" s="684" t="str">
        <f>IF(OR(F30=0,I30="",I30=" ")," ",$V30)</f>
        <v xml:space="preserve"> </v>
      </c>
      <c r="D30" s="1033"/>
      <c r="E30" s="1034"/>
      <c r="F30" s="202"/>
      <c r="G30" s="1416"/>
      <c r="H30" s="1417" t="str">
        <f ca="1">IF(OR(F30=0,Z30="E",Z30="f")," ",'Project Demand'!E$55)</f>
        <v xml:space="preserve"> </v>
      </c>
      <c r="I30" s="631" t="str">
        <f>IF($I$6&lt;&gt;$BG$8," ",AB30)</f>
        <v xml:space="preserve"> </v>
      </c>
      <c r="J30" s="44" t="str">
        <f ca="1">IF(OR(I30=" ",I30="")," ",OFFSET($BO$9,CL30-1,0-4,1,1))</f>
        <v xml:space="preserve"> </v>
      </c>
      <c r="K30" s="55" t="str">
        <f>IF(OR(I30=" ",I30="")," ",IF(OR(Z30="e",Z30="h"),"SD",IF(BG$24=BH$11,BH$13,BG$24)))</f>
        <v xml:space="preserve"> </v>
      </c>
      <c r="L30" s="49">
        <f ca="1">CW30</f>
        <v>0</v>
      </c>
      <c r="M30" s="49">
        <f ca="1">CY30</f>
        <v>0</v>
      </c>
      <c r="N30" s="50">
        <f t="shared" ca="1" si="25"/>
        <v>0</v>
      </c>
      <c r="O30" s="126">
        <f t="shared" ca="1" si="25"/>
        <v>0</v>
      </c>
      <c r="P30" s="140"/>
      <c r="Q30" s="752" t="str">
        <f ca="1">IF(AND(OR(Z30="t",Z30="f"),K30=$BH$11),"No Floor!  Change Floor Type",IF(OR(I30=" ",I30="")," ",IF(F30&lt;OFFSET($BM$9,CL30-1,0,1,1),"check L(m)",DE30&amp;IF(AND(DP30&gt;=CY30,DR30&gt;=DB30),IF(AND(ED30&gt;=DP30,EF30&gt;=DR30),CONCATENATE(DS30," will provide same result"),CONCATENATE(CO30," will provide same result")),IF((DP30&gt;=CY30),CONCATENATE(CO30," provides same result in WIND"),IF((DR30&gt;=DB30),CONCATENATE(CO30," provides same result in EQ"),""))))))&amp;IF(ISERROR(FIND("pile",I30,1)),"",IF(INT(F30)&lt;&gt;F30,"Pile!  Use Whole Numbers Only",""))</f>
        <v xml:space="preserve"> </v>
      </c>
      <c r="U30" s="1377"/>
      <c r="V30" s="52" t="str">
        <f ca="1">IF(AND(B$5=$BF$9,OR(I30=BH$16,I30=BH$17))," ",IF(ISNUMBER(B$26),(CONCATENATE(B$26,".",W30)),(CONCATENATE(B$26,W30))))</f>
        <v>P0</v>
      </c>
      <c r="W30" s="9">
        <f ca="1">W29+X30</f>
        <v>0</v>
      </c>
      <c r="X30" s="9">
        <f>IF(AND(B$5=$BF$9,OR($I30=$BH$16,$I30=$BH$17,$I30=" ",$I30="",$F30=0)),0,IF(OR($I30=" ",$I30="",$F30=0),0,1))</f>
        <v>0</v>
      </c>
      <c r="Y30" s="896"/>
      <c r="Z30" s="52" t="str">
        <f ca="1">IF(I30=" "," ",OFFSET($BM$9,$CL30-1,8,1,1))</f>
        <v xml:space="preserve"> </v>
      </c>
      <c r="AA30" s="51" t="str">
        <f>IF(G30&gt;=45,"WA","")</f>
        <v/>
      </c>
      <c r="AB30" s="1364" t="str">
        <f>IF(OR(E30=" ",E30="")," ",(IF(F30&lt;&gt;"",IF(OR(D30=$BG$12,D30=$BG$13),IF(E30&lt;&gt;$BG$17,$BF$20,$BF$21),IF(E30&lt;&gt;$BG$17,$BF$20,$BF$21))," ")))</f>
        <v xml:space="preserve"> </v>
      </c>
      <c r="AC30" s="1"/>
      <c r="AJ30" s="2"/>
      <c r="AM30" s="4"/>
      <c r="AN30" s="4"/>
      <c r="AO30" s="4"/>
      <c r="AP30" s="4"/>
      <c r="AQ30" s="4"/>
      <c r="AR30" s="10"/>
      <c r="AS30" s="10"/>
      <c r="AT30" s="4"/>
      <c r="AU30" s="475"/>
      <c r="BD30" s="2648"/>
      <c r="BF30" s="598" t="str">
        <f>Table!AI83</f>
        <v>ESPH</v>
      </c>
      <c r="BG30" s="430" t="s">
        <v>944</v>
      </c>
      <c r="BH30" s="52">
        <f>'Project Demand'!AX78</f>
        <v>1</v>
      </c>
      <c r="BI30" s="759"/>
      <c r="BJ30" s="897">
        <f t="shared" si="6"/>
        <v>22</v>
      </c>
      <c r="BK30" s="769" t="str">
        <f t="shared" si="7"/>
        <v xml:space="preserve">  </v>
      </c>
      <c r="BL30" s="771" t="str">
        <f t="shared" si="8"/>
        <v>Custom19</v>
      </c>
      <c r="BM30" s="455">
        <f t="shared" si="9"/>
        <v>9.9999999999999996E-76</v>
      </c>
      <c r="BN30" s="455">
        <v>999</v>
      </c>
      <c r="BO30" s="455">
        <f t="shared" si="10"/>
        <v>0</v>
      </c>
      <c r="BP30" s="925">
        <f t="shared" si="11"/>
        <v>0</v>
      </c>
      <c r="BR30" s="764"/>
      <c r="BS30" s="455"/>
      <c r="BT30" s="455" t="str">
        <f t="shared" si="12"/>
        <v>B</v>
      </c>
      <c r="BU30" s="925" t="str">
        <f t="shared" si="13"/>
        <v>T</v>
      </c>
      <c r="BV30" s="483" t="str">
        <f t="shared" si="14"/>
        <v>Custom19</v>
      </c>
      <c r="BW30" s="910">
        <f t="shared" si="21"/>
        <v>22</v>
      </c>
      <c r="BX30" s="924" t="str">
        <f t="shared" si="15"/>
        <v>Single</v>
      </c>
      <c r="CH30" s="764">
        <f t="shared" si="16"/>
        <v>0</v>
      </c>
      <c r="CI30" s="925">
        <f t="shared" si="17"/>
        <v>0</v>
      </c>
      <c r="CJ30" s="759"/>
      <c r="CK30" s="188"/>
      <c r="CL30" s="979">
        <f>VLOOKUP(I30,Prodlink,2,0)</f>
        <v>0</v>
      </c>
      <c r="CN30" s="497">
        <f t="shared" ca="1" si="2"/>
        <v>0</v>
      </c>
      <c r="CO30" s="497">
        <f ca="1">OFFSET($CH$9,CL30-1,-15,1,1)</f>
        <v>0</v>
      </c>
      <c r="CQ30" s="51">
        <v>0</v>
      </c>
      <c r="CR30" s="51">
        <f t="shared" ca="1" si="26"/>
        <v>10000</v>
      </c>
      <c r="CS30" s="51">
        <f ca="1">IF(F30&lt;OFFSET($BM$9,CL30-1,0,1,1),0,IF(F30&lt;OFFSET($BN$9,CL30-1,0,1,1),((F30-OFFSET($BM$9,CL30-1,0,1,1))*OFFSET($CH$9,CL30-1,0,1,1))+OFFSET($BO$9,CL30-1,CQ30,1,1),IF(F30&lt;OFFSET($BN$9,CL30+0,0,1,1),((F30-OFFSET($BM$9,CL30+0,0,1,1))*OFFSET($CH$9,CL30+0,0,1,1))+OFFSET($BO$9,CL30+0,CQ30,1,1),IF(F30&lt;OFFSET($BN$9,CL30+1,0,1,1),((F30-OFFSET($BM$9,CL30+1,0,1,1))*OFFSET($CH$9,CL30+1,0,1,1))+OFFSET($BO$9,CL30+1,CQ30,1,1),IF(F30&lt;OFFSET($BN$9,CL30+2,0,1,1),((F30-OFFSET($BM$9,CL30+2,0,1,1))*OFFSET($CH$9,CL30+2,0,1,1))+OFFSET($BO$9,CL30+2,CQ30,1,1),IF(F30&lt;OFFSET($BN$9,CL30+3,0,1,1),((F30-OFFSET($BM$9,CL30+3,0,1,1))*OFFSET($CH$9,CL30+3,0,1,1))+OFFSET($BO$9,CL30+3,CQ30,1,1),0))))))</f>
        <v>0</v>
      </c>
      <c r="CT30" s="51">
        <f ca="1">IF($F30&lt;OFFSET($BM$9,$CL30-1,0,1,1),0,IF($F30&lt;OFFSET($BN$9,$CL30-1,0,1,1),IF(AND($H30&gt;2.4,Z30&lt;&gt;"e",Z30&lt;&gt;"f"),CX30*2.4/$H30,CX30),IF($F30&lt;OFFSET($BN$9,$CL30+0,0,1,1),IF(AND($H30&gt;2.4,Z30&lt;&gt;"e",Z30&lt;&gt;"f"),CX30*2.4/$H30,CX30),IF($F30&lt;OFFSET($BN$9,$CL30+1,0,1,1),IF(AND($H30&gt;2.4,Z30&lt;&gt;"e",Z30&lt;&gt;"f"),CX30*2.4/$H30,CX30),IF($F30&lt;OFFSET($BN$9,CL30+2,0,1,1),IF(AND($H30&gt;2.4,Z30&lt;&gt;"e",Z30&lt;&gt;"f"),CX30*2.4/$H30,CX30),IF($F30&lt;OFFSET($BN$9,CL30+3,0,1,1),IF(AND($H30&gt;2.4,Z30&lt;&gt;"e",Z30&lt;&gt;"f"),CX30*2.4/$H30,CX30),0)))))*COS(RADIANS($G30)))</f>
        <v>0</v>
      </c>
      <c r="CU30" s="51">
        <f ca="1">IF(F30&lt;OFFSET($BM$9,CL30-1,0,1,1),0,IF(F30&lt;OFFSET($BN$9,CL30-1,0,1,1),((F30-OFFSET($BM$9,CL30-1,0,1,1))*OFFSET($CI$9,CL30-1,0,1,1))+OFFSET($BP$9,CL30-1,CQ30,1,1),IF(F30&lt;OFFSET($BN$9,CL30+0,0,1,1),((F30-OFFSET($BM$9,CL30+0,0,1,1))*OFFSET($CI$9,CL30+0,0,1,1))+OFFSET($BP$9,CL30+0,CQ30,1,1),IF(F30&lt;OFFSET($BN$9,CL30+1,0,1,1),((F30-OFFSET($BM$9,CL30+1,0,1,1))*OFFSET($CI$9,CL30+1,0,1,1))+OFFSET($BP$9,CL30+1,CQ30,1,1),IF(F30&lt;OFFSET($BN$9,CL30+2,0,1,1),((F30-OFFSET($BM$9,CL30+2,0,1,1))*OFFSET($CI$9,CL30+2,0,1,1))+OFFSET($BP$9,CL30+2,CQ30,1,1),IF(F30&lt;OFFSET($BN$9,CL30+3,0,1,1),((F30-OFFSET($BM$9,CL30+3,0,1,1))*OFFSET($CI$9,CL30+3,0,1,1))+OFFSET($BP$9,CL30+3,CQ30,1,1),0))))))</f>
        <v>0</v>
      </c>
      <c r="CV30" s="51">
        <f ca="1">IF($F30&lt;OFFSET($BM$9,$CL30-1,0,1,1),0,IF($F30&lt;OFFSET($BN$9,$CL30-1,0,1,1),IF(AND($H30&gt;2.4,Z30&lt;&gt;"e",Z30&lt;&gt;"f"),CZ30*2.4/$H30,CZ30),IF($F30&lt;OFFSET($BN$9,$CL30+0,0,1,1),IF(AND($H30&gt;2.4,Z30&lt;&gt;"e",Z30&lt;&gt;"f"),CZ30*2.4/$H30,CZ30),IF($F30&lt;OFFSET($BN$9,$CL30+1,0,1,1),IF(AND($H30&gt;2.4,Z30&lt;&gt;"e",Z30&lt;&gt;"f"),CZ30*2.4/$H30,CZ30),IF($F30&lt;OFFSET($BN$9,$CL30+2,0,1,1),IF(AND($H30&gt;2.4,Z30&lt;&gt;"e",Z30&lt;&gt;"f"),CZ30*2.4/$H30,CZ30),IF($F30&lt;OFFSET($BN$9,$CL30+3,0,1,1),IF(AND($H30&gt;2.4,Z30&lt;&gt;"e",Z30&lt;&gt;"f"),CZ30*2.4/$H30,CZ30),0)))))*COS(RADIANS($G30)))</f>
        <v>0</v>
      </c>
      <c r="CW30" s="51">
        <f t="shared" ca="1" si="18"/>
        <v>0</v>
      </c>
      <c r="CX30" s="51">
        <f ca="1">IF(CS30&gt;$CR30,$CR30,CS30)</f>
        <v>0</v>
      </c>
      <c r="CY30" s="51">
        <f ca="1">CW30*F30</f>
        <v>0</v>
      </c>
      <c r="CZ30" s="51">
        <f ca="1">IF($CU30&gt;$CR30,$CR30,$CU30)</f>
        <v>0</v>
      </c>
      <c r="DA30" s="51">
        <f ca="1">IF(CV30&gt;CR30,CR30,CV30)</f>
        <v>0</v>
      </c>
      <c r="DB30" s="51">
        <f ca="1">DA30*F30</f>
        <v>0</v>
      </c>
      <c r="DC30" s="993">
        <v>1</v>
      </c>
      <c r="DD30" s="758" t="str">
        <f>IF(OR(D30=BG$12,D30=BG$13),"External",IF(D30=BG$14,"Internal"," "))</f>
        <v xml:space="preserve"> </v>
      </c>
      <c r="DE30" s="51" t="str">
        <f t="shared" ca="1" si="4"/>
        <v/>
      </c>
      <c r="DF30" s="52" t="str">
        <f t="shared" ca="1" si="5"/>
        <v xml:space="preserve"> </v>
      </c>
      <c r="DG30" s="51">
        <f ca="1">IF(F30&lt;OFFSET($BM$9,CN30-1,0,1,1),0,IF(F30&lt;OFFSET($BN$9,CN30-1,0,1,1),((F30-OFFSET($BM$9,CN30-1,0,1,1))*OFFSET($CH$9,CN30-1,0,1,1))+OFFSET($BO$9,CN30-1,CQ30,1,1),IF(F30&lt;OFFSET($BN$9,CN30+0,0,1,1),((F30-OFFSET($BM$9,CN30+0,0,1,1))*OFFSET($CH$9,CN30+0,0,1,1))+OFFSET($BO$9,CN30+0,CQ30,1,1),IF(F30&lt;OFFSET($BN$9,CN30+1,0,1,1),((F30-OFFSET($BM$9,CN30+1,0,1,1))*OFFSET($CH$9,CN30+1,0,1,1))+OFFSET($BO$9,CN30+1,CQ30,1,1),IF(F30&lt;OFFSET($BN$9,CN30+2,0,1,1),((F30-OFFSET($BM$9,CN30+2,0,1,1))*OFFSET($CH$9,CN30+2,0,1,1))+OFFSET($BO$9,CN30+2,CQ30,1,1),IF(F30&lt;OFFSET($BN$9,CN30+3,0,1,1),((F30-OFFSET($BM$9,CN30+3,0,1,1))*OFFSET($CH$9,CN30+3,0,1,1))+OFFSET($BO$9,CN30+3,CQ30,1,1),0))))))</f>
        <v>0</v>
      </c>
      <c r="DH30" s="51">
        <f ca="1">IF($F30&lt;OFFSET($BM$9,$CN30-1,0,1,1),0,IF($F30&lt;OFFSET($BN$9,$CN30-1,0,1,1),IF(AND($H30&gt;2.4,Z30&lt;&gt;"e",Z30&lt;&gt;"f"),DL30*2.4/$H30,DL30),IF($F30&lt;OFFSET($BN$9,$CN30+0,0,1,1),IF(AND($H30&gt;2.4,Z30&lt;&gt;"e",Z30&lt;&gt;"f"),DL30*2.4/$H30,DL30),IF($F30&lt;OFFSET($BN$9,$CN30+1,0,1,1),IF(AND($H30&gt;2.4,Z30&lt;&gt;"e",Z30&lt;&gt;"f"),DL30*2.4/$H30,DL30),IF($F30&lt;OFFSET($BN$9,$CN30+2,0,1,1),IF(AND($H30&gt;2.4,Z30&lt;&gt;"e",Z30&lt;&gt;"f"),DL30*2.4/$H30,DL30),IF($F30&lt;OFFSET($BN$9,$CN30+3,0,1,1),IF(AND($H30&gt;2.4,Z30&lt;&gt;"e",Z30&lt;&gt;"f"),DL30*2.4/$H30,DL30),0)))))*COS(RADIANS($G30)))</f>
        <v>0</v>
      </c>
      <c r="DI30" s="51">
        <f ca="1">IF(F30&lt;OFFSET($BM$9,CN30-1,0,1,1),0,IF(F30&lt;OFFSET($BN$9,CN30-1,0,1,1),((F30-OFFSET($BM$9,CN30-1,0,1,1))*OFFSET($CI$9,CN30-1,0,1,1))+OFFSET($BP$9,CN30-1,CQ30,1,1),IF(F30&lt;OFFSET($BN$9,CN30+0,0,1,1),((F30-OFFSET($BM$9,CN30+0,0,1,1))*OFFSET($CI$9,CN30+0,0,1,1))+OFFSET($BP$9,CN30+0,CQ30,1,1),IF(F30&lt;OFFSET($BN$9,CN30+1,0,1,1),((F30-OFFSET($BM$9,CN30+1,0,1,1))*OFFSET($CI$9,CN30+1,0,1,1))+OFFSET($BP$9,CN30+1,CQ30,1,1),IF(F30&lt;OFFSET($BN$9,CN30+2,0,1,1),((F30-OFFSET($BM$9,CN30+2,0,1,1))*OFFSET($CI$9,CN30+2,0,1,1))+OFFSET($BP$9,CN30+2,CQ30,1,1),IF(F30&lt;OFFSET($BN$9,CN30+3,0,1,1),((F30-OFFSET($BM$9,CN30+3,0,1,1))*OFFSET($CI$9,CN30+3,0,1,1))+OFFSET($BP$9,CN30+3,CQ30,1,1),0))))))</f>
        <v>0</v>
      </c>
      <c r="DJ30" s="51">
        <f ca="1">IF($F30&lt;OFFSET($BM$9,$CN30-1,0,1,1),0,IF($F30&lt;OFFSET($BN$9,$CN30-1,0,1,1),IF(AND($H30&gt;2.4,Z30&lt;&gt;"e",Z30&lt;&gt;"f"),DN30*2.4/$H30,DN30),IF($F30&lt;OFFSET($BN$9,$CN30+0,0,1,1),IF(AND($H30&gt;2.4,Z30&lt;&gt;"e",Z30&lt;&gt;"f"),DN30*2.4/$H30,DN30),IF($F30&lt;OFFSET($BN$9,$CN30+1,0,1,1),IF(AND($H30&gt;2.4,Z30&lt;&gt;"e",Z30&lt;&gt;"f"),DN30*2.4/$H30,DN30),IF($F30&lt;OFFSET($BN$9,$CN30+2,0,1,1),IF(AND($H30&gt;2.4,Z30&lt;&gt;"e",Z30&lt;&gt;"f"),DN30*2.4/$H30,DN30),IF($F30&lt;OFFSET($BN$9,$CN30+3,0,1,1),IF(AND($H30&gt;2.4,Z30&lt;&gt;"e",Z30&lt;&gt;"f"),DN30*2.4/$H30,DN30),0)))))*COS(RADIANS($G30)))</f>
        <v>0</v>
      </c>
      <c r="DK30" s="51"/>
      <c r="DL30" s="51">
        <f ca="1">IF(DG30&gt;$CR30,$CR30,DG30)</f>
        <v>0</v>
      </c>
      <c r="DM30" s="51"/>
      <c r="DN30" s="51">
        <f ca="1">IF(DI30&gt;$CR30,$CR30,DI30)</f>
        <v>0</v>
      </c>
      <c r="DO30" s="435">
        <f ca="1">IF(DH30&gt;$CR30,$CR30,DH30)</f>
        <v>0</v>
      </c>
      <c r="DP30" s="435">
        <f ca="1">DO30*F30</f>
        <v>0</v>
      </c>
      <c r="DQ30" s="436">
        <f ca="1">IF(DJ30&gt;$CR30,$CR30,DJ30)</f>
        <v>0</v>
      </c>
      <c r="DR30" s="437">
        <f ca="1">DQ30*F30</f>
        <v>0</v>
      </c>
      <c r="DS30" s="426">
        <f ca="1">OFFSET($CH$9,CL30-1,-15,1,1)</f>
        <v>0</v>
      </c>
      <c r="DT30" s="426">
        <f t="shared" ca="1" si="1"/>
        <v>0</v>
      </c>
      <c r="DU30" s="188">
        <f ca="1">IF(F30&lt;OFFSET($BM$9,DT30-1,0,1,1),0,IF(F30&lt;OFFSET($BN$9,DT30-1,0,1,1),((F30-OFFSET($BM$9,DT30-1,0,1,1))*OFFSET($CH$9,DT30-1,0,1,1))+OFFSET($BO$9,DT30-1,CQ30,1,1),IF(F30&lt;OFFSET($BN$9,DT30+0,0,1,1),((F30-OFFSET($BM$9,DT30+0,0,1,1))*OFFSET($CH$9,DT30+0,0,1,1))+OFFSET($BO$9,DT30+0,CQ30,1,1),IF(F30&lt;OFFSET($BN$9,DT30+1,0,1,1),((F30-OFFSET($BM$9,DT30+1,0,1,1))*OFFSET($CH$9,DT30+1,0,1,1))+OFFSET($BO$9,DT30+1,CQ30,1,1),IF(F30&lt;OFFSET($BN$9,DT30+2,0,1,1),((F30-OFFSET($BM$9,DT30+2,0,1,1))*OFFSET($CH$9,DT30+2,0,1,1))+OFFSET($BO$9,DT30+2,CQ30,1,1),IF(F30&lt;OFFSET($BN$9,DT30+3,0,1,1),((F30-OFFSET($BM$9,DT30+3,0,1,1))*OFFSET($CH$9,DT30+3,0,1,1))+OFFSET($BO$9,DT30+3,CQ30,1,1),0))))))</f>
        <v>0</v>
      </c>
      <c r="DV30" s="51">
        <f ca="1">IF($F30&lt;OFFSET($BM$9,$DT30-1,0,1,1),0,IF($F30&lt;OFFSET($BN$9,$DT30-1,0,1,1),IF(AND($H30&gt;2.4,Z30&lt;&gt;"e",Z30&lt;&gt;"f"),DZ30*2.4/$H30,DZ30),IF($F30&lt;OFFSET($BN$9,$DT30+0,0,1,1),IF(AND($H30&gt;2.4,Z30&lt;&gt;"e",Z30&lt;&gt;"f"),DZ30*2.4/$H30,DZ30),IF($F30&lt;OFFSET($BN$9,$DT30+1,0,1,1),IF(AND($H30&gt;2.4,Z30&lt;&gt;"e",Z30&lt;&gt;"f"),DZ30*2.4/$H30,DZ30),IF($F30&lt;OFFSET($BN$9,$DT30+2,0,1,1),IF(AND($H30&gt;2.4,Z30&lt;&gt;"e",Z30&lt;&gt;"f"),DZ30*2.4/$H30,DZ30),IF($F30&lt;OFFSET($BN$9,$DT30+3,0,1,1),IF(AND($H30&gt;2.4,Z30&lt;&gt;"e",Z30&lt;&gt;"f"),DZ30*2.4/$H30,DZ30),0)))))*COS(RADIANS($G30)))</f>
        <v>0</v>
      </c>
      <c r="DW30" s="188">
        <f ca="1">IF(F30&lt;OFFSET($BM$9,DT30-1,0,1,1),0,IF(F30&lt;OFFSET($BN$9,DT30-1,0,1,1),((F30-OFFSET($BM$9,DT30-1,0,1,1))*OFFSET($CI$9,DT30-1,0,1,1))+OFFSET($BP$9,DT30-1,CQ30,1,1),IF(F30&lt;OFFSET($BN$9,DT30+0,0,1,1),((F30-OFFSET($BM$9,DT30+0,0,1,1))*OFFSET($CI$9,DT30+0,0,1,1))+OFFSET($BP$9,DT30+0,CQ30,1,1),IF(F30&lt;OFFSET($BN$9,DT30+1,0,1,1),((F30-OFFSET($BM$9,DT30+1,0,1,1))*OFFSET($CI$9,DT30+1,0,1,1))+OFFSET($BP$9,DT30+1,CQ30,1,1),IF(F30&lt;OFFSET($BN$9,DT30+2,0,1,1),((F30-OFFSET($BM$9,DT30+2,0,1,1))*OFFSET($CI$9,DT30+2,0,1,1))+OFFSET($BP$9,DT30+2,CQ30,1,1),IF(F30&lt;OFFSET($BN$9,DT30+3,0,1,1),((F30-OFFSET($BM$9,DT30+3,0,1,1))*OFFSET($CI$9,DT30+3,0,1,1))+OFFSET($BP$9,DT30+3,CQ30,1,1),0))))))</f>
        <v>0</v>
      </c>
      <c r="DX30" s="51">
        <f ca="1">IF($F30&lt;OFFSET($BM$9,$DT30-1,0,1,1),0,IF($F30&lt;OFFSET($BN$9,$DT30-1,0,1,1),IF(AND($H30&gt;2.4,Z30&lt;&gt;"e",Z30&lt;&gt;"f"),EB30*2.4/$H30,EB30),IF($F30&lt;OFFSET($BN$9,$DT30+0,0,1,1),IF(AND($H30&gt;2.4,Z30&lt;&gt;"e",Z30&lt;&gt;"f"),EB30*2.4/$H30,EB30),IF($F30&lt;OFFSET($BN$9,$DT30+1,0,1,1),IF(AND($H30&gt;2.4,Z30&lt;&gt;"e",Z30&lt;&gt;"f"),EB30*2.4/$H30,EB30),IF($F30&lt;OFFSET($BN$9,$DT30+2,0,1,1),IF(AND($H30&gt;2.4,Z30&lt;&gt;"e",Z30&lt;&gt;"f"),EB30*2.4/$H30,EB30),IF($F30&lt;OFFSET($BN$9,$DT30+3,0,1,1),IF(AND($H30&gt;2.4,Z30&lt;&gt;"e",Z30&lt;&gt;"f"),EB30*2.4/$H30,EB30),0)))))*COS(RADIANS($G30)))</f>
        <v>0</v>
      </c>
      <c r="DY30" s="188"/>
      <c r="DZ30" s="188">
        <f ca="1">IF(DU30&gt;$CR30,$CR30,DU30)</f>
        <v>0</v>
      </c>
      <c r="EA30" s="188"/>
      <c r="EB30" s="188">
        <f ca="1">IF(DW30&gt;$CR30,$CR30,DW30)</f>
        <v>0</v>
      </c>
      <c r="EC30" s="435">
        <f ca="1">IF(DV30&gt;$CR30,$CR30,DV30)</f>
        <v>0</v>
      </c>
      <c r="ED30" s="435">
        <f ca="1">EC30*F30</f>
        <v>0</v>
      </c>
      <c r="EE30" s="436">
        <f ca="1">IF(DX30&gt;$CR30,$CR30,DX30)</f>
        <v>0</v>
      </c>
      <c r="EF30" s="437">
        <f ca="1">EE30*F30</f>
        <v>0</v>
      </c>
      <c r="EG30" s="613" t="str">
        <f>IF(D30=BG$12,BG$12,"")</f>
        <v/>
      </c>
      <c r="EH30" s="614" t="str">
        <f>IF(D30=BG$13,BG$13,"")</f>
        <v/>
      </c>
      <c r="EI30" s="611">
        <f>IF(EG30=BG$12,M30,0)</f>
        <v>0</v>
      </c>
      <c r="EJ30" s="451">
        <f>IF(EG30=BG$12,O30,0)</f>
        <v>0</v>
      </c>
      <c r="EK30" s="451">
        <f>IF(EH30=BG$13,M30,0)</f>
        <v>0</v>
      </c>
      <c r="EL30" s="612">
        <f>IF(EH30=BG$13,O30,0)</f>
        <v>0</v>
      </c>
      <c r="EM30" s="426" t="str">
        <f ca="1">IF(AND(Z30&lt;&gt;"t",Z30&lt;&gt;"f"),"",IF(AND(EN30=$BH$11,K30&lt;&gt;EN30),EM$4,IF(AND(EN30=$BH$12,K30=$BH$13),EM$4,IF(AND(EN30=$BH$12,K30=$BH$14),EM$4,IF(AND(EN30=$BH$13,K30=$BH$14),$EM$4,IF(EN30=$BH$14,$EM$4,""))))))</f>
        <v/>
      </c>
      <c r="EN30" s="489" t="str">
        <f>BG$24</f>
        <v>Earth</v>
      </c>
      <c r="EO30" s="426" t="str">
        <f>K30</f>
        <v xml:space="preserve"> </v>
      </c>
      <c r="EP30" s="497" t="str">
        <f ca="1">IF(AND(Z30&lt;&gt;"t",Z30&lt;&gt;"f"),"",IF(AND(EN30=$BH$14,K30&lt;&gt;EN30),EP$4,IF(AND(EN30=$BH$13,K30=$BH$12),EP$4,IF(AND(EN30=$BH$13,K30=$BH$11),EP$4,IF(AND(EN30=$BH$12,K30=$BH$11),$EP$4,IF(EN30=$BH$11,"Earth",""))))))</f>
        <v/>
      </c>
      <c r="EQ30" s="430" t="str">
        <f ca="1">IF(Z30&lt;&gt;"t","",IF(EQ$5=2,IF(K30&lt;&gt;BH$11,EQ$7," ")))</f>
        <v/>
      </c>
      <c r="ER30" s="439" t="str">
        <f ca="1">IF(H30=0," ",H30)</f>
        <v xml:space="preserve"> </v>
      </c>
      <c r="ES30" s="440" t="str">
        <f ca="1">IF(ER30&lt;&gt;" ",IF(ER30&lt;&gt;ER$7,"Changed",""),"")</f>
        <v/>
      </c>
      <c r="ET30" s="440">
        <f t="shared" ca="1" si="19"/>
        <v>0</v>
      </c>
      <c r="EU30" s="426" t="str">
        <f ca="1">IF(I30=" "," ",IF(F30&lt;OFFSET($BM$9,CL30-1,0,1,1),1,""))</f>
        <v xml:space="preserve"> </v>
      </c>
      <c r="EW30" s="427"/>
    </row>
    <row r="31" spans="2:153" ht="17.100000000000001" customHeight="1" thickBot="1">
      <c r="B31" s="2686" t="s">
        <v>8</v>
      </c>
      <c r="C31" s="2687"/>
      <c r="D31" s="1461" t="s">
        <v>8</v>
      </c>
      <c r="E31" s="659"/>
      <c r="F31" s="659"/>
      <c r="G31" s="659"/>
      <c r="H31" s="659"/>
      <c r="I31" s="1462"/>
      <c r="J31" s="1365" t="str">
        <f ca="1">(CONCATENATE(B26,$BE$54))</f>
        <v>P  Line:  Min. Requirement</v>
      </c>
      <c r="K31" s="23"/>
      <c r="L31" s="1019">
        <f ca="1">L$5</f>
        <v>0</v>
      </c>
      <c r="M31" s="48">
        <f ca="1">IF(B26=B20,SUM(M26:M30)+M25,SUM(M26:M30))</f>
        <v>0</v>
      </c>
      <c r="N31" s="1019">
        <f ca="1">N$5</f>
        <v>0</v>
      </c>
      <c r="O31" s="125">
        <f ca="1">IF(B26=B20,SUM(O26:O30)+O25,SUM(O26:O30))</f>
        <v>0</v>
      </c>
      <c r="P31" s="139"/>
      <c r="Q31" s="42" t="str">
        <f ca="1">IF(B26=B32,"",IF(AND(M31&gt;0,L31=L$5,OR(M31&lt;$M$105,M31&lt;$BF$3)),"Achieved &lt; Min Req per Line",IF(AND(O31&gt;0,N31=N$5,OR(O31&lt;$O$105,O31&lt;$BF$3)),"Achieved &lt; Min Req per Line",IF(AND(M31&gt;0,L31&gt;M31),"More Required on this line",IF(AND(O31&gt;0,N31&gt;O31),"More Required on this line",IF(AND(L31&gt;0,L31&lt;$BF$3),$BE$59,IF(AND(N31&gt;0,N31&lt;$BF$3),$BE$59,"")))))))</f>
        <v/>
      </c>
      <c r="R31" s="52"/>
      <c r="S31" s="52"/>
      <c r="T31" s="52"/>
      <c r="U31" s="1378"/>
      <c r="V31" s="52"/>
      <c r="W31" s="999"/>
      <c r="X31" s="999"/>
      <c r="Y31" s="896"/>
      <c r="Z31" s="52"/>
      <c r="AA31" s="51"/>
      <c r="AB31" s="1364"/>
      <c r="AC31" s="1"/>
      <c r="AJ31" s="2"/>
      <c r="AM31" s="4"/>
      <c r="AN31" s="4"/>
      <c r="AO31" s="4"/>
      <c r="AP31" s="4"/>
      <c r="AQ31" s="4"/>
      <c r="AR31" s="10"/>
      <c r="AS31" s="10"/>
      <c r="AT31" s="4"/>
      <c r="AU31" s="121"/>
      <c r="BD31" s="2648"/>
      <c r="BF31" s="598" t="str">
        <f>Table!AI84</f>
        <v>EMPH</v>
      </c>
      <c r="BI31" s="759"/>
      <c r="BJ31" s="897">
        <f t="shared" si="6"/>
        <v>23</v>
      </c>
      <c r="BK31" s="775" t="str">
        <f t="shared" si="7"/>
        <v xml:space="preserve"> </v>
      </c>
      <c r="BL31" s="772" t="str">
        <f t="shared" si="8"/>
        <v>Custom20</v>
      </c>
      <c r="BM31" s="776">
        <f t="shared" si="9"/>
        <v>9.9999999999999996E-76</v>
      </c>
      <c r="BN31" s="776">
        <v>999</v>
      </c>
      <c r="BO31" s="776">
        <f t="shared" si="10"/>
        <v>0</v>
      </c>
      <c r="BP31" s="926">
        <f t="shared" si="11"/>
        <v>0</v>
      </c>
      <c r="BR31" s="908"/>
      <c r="BS31" s="776"/>
      <c r="BT31" s="455" t="str">
        <f t="shared" si="12"/>
        <v>B</v>
      </c>
      <c r="BU31" s="925" t="str">
        <f t="shared" si="13"/>
        <v>T</v>
      </c>
      <c r="BV31" s="484" t="str">
        <f t="shared" si="14"/>
        <v>Custom20</v>
      </c>
      <c r="BW31" s="911">
        <f t="shared" si="21"/>
        <v>23</v>
      </c>
      <c r="BX31" s="924" t="str">
        <f t="shared" si="15"/>
        <v>Single</v>
      </c>
      <c r="CH31" s="908">
        <f t="shared" si="16"/>
        <v>0</v>
      </c>
      <c r="CI31" s="926">
        <f t="shared" si="17"/>
        <v>0</v>
      </c>
      <c r="CJ31" s="759"/>
      <c r="CK31" s="188"/>
      <c r="CL31" s="979"/>
      <c r="CN31" s="497"/>
      <c r="CO31" s="497"/>
      <c r="CQ31" s="51"/>
      <c r="CR31" s="51"/>
      <c r="CS31" s="51"/>
      <c r="CT31" s="51" t="s">
        <v>8</v>
      </c>
      <c r="CU31" s="51"/>
      <c r="CV31" s="51" t="s">
        <v>8</v>
      </c>
      <c r="CW31" s="51"/>
      <c r="CX31" s="51"/>
      <c r="CY31" s="51"/>
      <c r="CZ31" s="51"/>
      <c r="DD31" s="758"/>
      <c r="DF31" s="52"/>
      <c r="DG31" s="51"/>
      <c r="DH31" s="51"/>
      <c r="DI31" s="51"/>
      <c r="DJ31" s="51"/>
      <c r="DK31" s="51"/>
      <c r="DL31" s="51"/>
      <c r="DM31" s="51"/>
      <c r="DN31" s="51"/>
      <c r="DO31" s="435"/>
      <c r="DP31" s="435"/>
      <c r="DQ31" s="868"/>
      <c r="DR31" s="868"/>
      <c r="DU31" s="188"/>
      <c r="DV31" s="188" t="s">
        <v>8</v>
      </c>
      <c r="DW31" s="188"/>
      <c r="DX31" s="188" t="s">
        <v>8</v>
      </c>
      <c r="DY31" s="188"/>
      <c r="DZ31" s="188"/>
      <c r="EA31" s="188"/>
      <c r="EB31" s="188"/>
      <c r="EC31" s="435"/>
      <c r="ED31" s="435"/>
      <c r="EE31" s="868"/>
      <c r="EF31" s="868"/>
      <c r="EG31" s="613"/>
      <c r="EH31" s="614"/>
      <c r="EI31" s="613"/>
      <c r="EJ31" s="435"/>
      <c r="EK31" s="451"/>
      <c r="EL31" s="612"/>
      <c r="EN31" s="438"/>
      <c r="EP31" s="497"/>
      <c r="ER31" s="441"/>
      <c r="ES31" s="440"/>
      <c r="ET31" s="440"/>
      <c r="EW31" s="427"/>
    </row>
    <row r="32" spans="2:153" ht="17.100000000000001" customHeight="1" thickBot="1">
      <c r="B32" s="1369" t="str">
        <f ca="1">S32</f>
        <v>Q</v>
      </c>
      <c r="C32" s="684" t="str">
        <f>IF(OR(F32=0,I32="",I32=" ")," ",$V32)</f>
        <v xml:space="preserve"> </v>
      </c>
      <c r="D32" s="1033"/>
      <c r="E32" s="1360" t="s">
        <v>8</v>
      </c>
      <c r="F32" s="202"/>
      <c r="G32" s="1416"/>
      <c r="H32" s="1417" t="str">
        <f ca="1">IF(OR(F32=0,Z32="E",Z32="f")," ",'Project Demand'!E$55)</f>
        <v xml:space="preserve"> </v>
      </c>
      <c r="I32" s="631" t="str">
        <f>IF($I$6&lt;&gt;$BG$8," ",AB32)</f>
        <v xml:space="preserve"> </v>
      </c>
      <c r="J32" s="43" t="str">
        <f ca="1">IF(OR(I32=" ",I32="")," ",OFFSET($BO$9,CL32-1,0-4,1,1))</f>
        <v xml:space="preserve"> </v>
      </c>
      <c r="K32" s="55" t="str">
        <f>IF(OR(I32=" ",I32="")," ",IF(OR(Z32="e",Z32="h"),"SD",IF(BG$24=BH$11,BH$13,BG$24)))</f>
        <v xml:space="preserve"> </v>
      </c>
      <c r="L32" s="49">
        <f ca="1">CW32</f>
        <v>0</v>
      </c>
      <c r="M32" s="49">
        <f ca="1">CY32</f>
        <v>0</v>
      </c>
      <c r="N32" s="50">
        <f t="shared" ref="N32:O36" ca="1" si="27">DA32</f>
        <v>0</v>
      </c>
      <c r="O32" s="126">
        <f t="shared" ca="1" si="27"/>
        <v>0</v>
      </c>
      <c r="P32" s="140"/>
      <c r="Q32" s="752" t="str">
        <f ca="1">IF(AND(OR(Z32="t",Z32="f"),K32=$BH$11),"No Floor!  Change Floor Type",IF(OR(I32=" ",I32="")," ",IF(F32&lt;OFFSET($BM$9,CL32-1,0,1,1),"check L(m)",DE32&amp;IF(AND(DP32&gt;=CY32,DR32&gt;=DB32),IF(AND(ED32&gt;=DP32,EF32&gt;=DR32),CONCATENATE(DS32," will provide same result"),CONCATENATE(CO32," will provide same result")),IF((DP32&gt;=CY32),CONCATENATE(CO32," provides same result in WIND"),IF((DR32&gt;=DB32),CONCATENATE(CO32," provides same result in EQ"),""))))))&amp;IF(ISERROR(FIND("pile",I32,1)),"",IF(INT(F32)&lt;&gt;F32,"Pile!  Use Whole Numbers Only",""))</f>
        <v xml:space="preserve"> </v>
      </c>
      <c r="R32" s="52">
        <f ca="1">IF(T26&lt;&gt;2,(COLUMN(INDIRECT(B26&amp;1))+1),U32)</f>
        <v>17</v>
      </c>
      <c r="S32" s="1372" t="str">
        <f ca="1">SUBSTITUTE(ADDRESS(1,R32,4),"1","")</f>
        <v>Q</v>
      </c>
      <c r="T32" s="451">
        <f ca="1">IF(AND(ISTEXT(B32),SUBSTITUTE(SUBSTITUTE(SUBSTITUTE(SUBSTITUTE(SUBSTITUTE(SUBSTITUTE(SUBSTITUTE(SUBSTITUTE(SUBSTITUTE(SUBSTITUTE(SUBSTITUTE(SUBSTITUTE(SUBSTITUTE(SUBSTITUTE(SUBSTITUTE(SUBSTITUTE(SUBSTITUTE(SUBSTITUTE(SUBSTITUTE(SUBSTITUTE(SUBSTITUTE(SUBSTITUTE(SUBSTITUTE(SUBSTITUTE(SUBSTITUTE(SUBSTITUTE(LOWER(B32),"a",),"b",),"c",),"d",),"e",),"f",),"g",),"h",),"i",),"j",),"k",),"l",),"m",),"n",),"o",),"p",),"q",),"r",),"s",),"t",),"u",),"v",),"w",),"x",),"y",),"z",)=""),1,2)</f>
        <v>1</v>
      </c>
      <c r="U32" s="1377">
        <v>17</v>
      </c>
      <c r="V32" s="52" t="str">
        <f ca="1">IF(AND(B$5=$BF$9,OR(I32=BH$16,I32=BH$17))," ",IF(ISNUMBER(B$32),(CONCATENATE(B$32,".",W32)),(CONCATENATE(B$32,W32))))</f>
        <v>Q0</v>
      </c>
      <c r="W32" s="9">
        <f ca="1">IF(B26=B32,W30+X32,X32)</f>
        <v>0</v>
      </c>
      <c r="X32" s="9">
        <f>IF(AND(B$5=$BF$9,OR($I32=$BH$16,$I32=$BH$17,$I32=" ",$I32="",$F32=0)),0,IF(OR($I32=" ",$I32="",$F32=0),0,1))</f>
        <v>0</v>
      </c>
      <c r="Y32" s="896">
        <f ca="1">IF(AND(M37&gt;0,B32&lt;&gt;B38),1,0)</f>
        <v>0</v>
      </c>
      <c r="Z32" s="52" t="str">
        <f ca="1">IF(I32=" "," ",OFFSET($BM$9,$CL32-1,8,1,1))</f>
        <v xml:space="preserve"> </v>
      </c>
      <c r="AA32" s="51" t="str">
        <f>IF(G32&gt;=45,"WA","")</f>
        <v/>
      </c>
      <c r="AB32" s="1364" t="str">
        <f>IF(OR(E32=" ",E32="")," ",(IF(F32&lt;&gt;"",IF(OR(D32=$BG$12,D32=$BG$13),IF(E32&lt;&gt;$BG$17,$BF$20,$BF$21),IF(E32&lt;&gt;$BG$17,$BF$20,$BF$21))," ")))</f>
        <v xml:space="preserve"> </v>
      </c>
      <c r="AC32" s="1"/>
      <c r="AJ32" s="2"/>
      <c r="AM32" s="4"/>
      <c r="AN32" s="4"/>
      <c r="AO32" s="4"/>
      <c r="AP32" s="4"/>
      <c r="AQ32" s="4"/>
      <c r="AR32" s="10"/>
      <c r="AS32" s="10"/>
      <c r="AT32" s="4"/>
      <c r="AU32" s="121"/>
      <c r="BD32" s="2648"/>
      <c r="BF32" s="598" t="s">
        <v>8</v>
      </c>
      <c r="BG32" s="948" t="s">
        <v>640</v>
      </c>
      <c r="BI32" s="759"/>
      <c r="BJ32" s="897">
        <f t="shared" si="6"/>
        <v>24</v>
      </c>
      <c r="BW32" s="896"/>
      <c r="CH32" s="970"/>
      <c r="CI32" s="971"/>
      <c r="CJ32" s="759"/>
      <c r="CK32" s="188"/>
      <c r="CL32" s="979">
        <f>VLOOKUP(I32,Prodlink,2,0)</f>
        <v>0</v>
      </c>
      <c r="CN32" s="497">
        <f t="shared" ca="1" si="2"/>
        <v>0</v>
      </c>
      <c r="CO32" s="497">
        <f ca="1">OFFSET($CH$9,CL32-1,-15,1,1)</f>
        <v>0</v>
      </c>
      <c r="CQ32" s="51">
        <v>0</v>
      </c>
      <c r="CR32" s="51">
        <f ca="1">IF(AND(Z32&lt;&gt;"t",Z32&lt;&gt;"f"),10000,IF(K32=$BH$11,0,IF(K32=$BH$12,$BH$23,IF(K32=$BH$13,$BH$24,10000))))</f>
        <v>10000</v>
      </c>
      <c r="CS32" s="51">
        <f ca="1">IF(F32&lt;OFFSET($BM$9,CL32-1,0,1,1),0,IF(F32&lt;OFFSET($BN$9,CL32-1,0,1,1),((F32-OFFSET($BM$9,CL32-1,0,1,1))*OFFSET($CH$9,CL32-1,0,1,1))+OFFSET($BO$9,CL32-1,CQ32,1,1),IF(F32&lt;OFFSET($BN$9,CL32+0,0,1,1),((F32-OFFSET($BM$9,CL32+0,0,1,1))*OFFSET($CH$9,CL32+0,0,1,1))+OFFSET($BO$9,CL32+0,CQ32,1,1),IF(F32&lt;OFFSET($BN$9,CL32+1,0,1,1),((F32-OFFSET($BM$9,CL32+1,0,1,1))*OFFSET($CH$9,CL32+1,0,1,1))+OFFSET($BO$9,CL32+1,CQ32,1,1),IF(F32&lt;OFFSET($BN$9,CL32+2,0,1,1),((F32-OFFSET($BM$9,CL32+2,0,1,1))*OFFSET($CH$9,CL32+2,0,1,1))+OFFSET($BO$9,CL32+2,CQ32,1,1),IF(F32&lt;OFFSET($BN$9,CL32+3,0,1,1),((F32-OFFSET($BM$9,CL32+3,0,1,1))*OFFSET($CH$9,CL32+3,0,1,1))+OFFSET($BO$9,CL32+3,CQ32,1,1),0))))))</f>
        <v>0</v>
      </c>
      <c r="CT32" s="51">
        <f ca="1">IF($F32&lt;OFFSET($BM$9,$CL32-1,0,1,1),0,IF($F32&lt;OFFSET($BN$9,$CL32-1,0,1,1),IF(AND($H32&gt;2.4,Z32&lt;&gt;"e",Z32&lt;&gt;"f"),CX32*2.4/$H32,CX32),IF($F32&lt;OFFSET($BN$9,$CL32+0,0,1,1),IF(AND($H32&gt;2.4,Z32&lt;&gt;"e",Z32&lt;&gt;"f"),CX32*2.4/$H32,CX32),IF($F32&lt;OFFSET($BN$9,$CL32+1,0,1,1),IF(AND($H32&gt;2.4,Z32&lt;&gt;"e",Z32&lt;&gt;"f"),CX32*2.4/$H32,CX32),IF($F32&lt;OFFSET($BN$9,CL32+2,0,1,1),IF(AND($H32&gt;2.4,Z32&lt;&gt;"e",Z32&lt;&gt;"f"),CX32*2.4/$H32,CX32),IF($F32&lt;OFFSET($BN$9,CL32+3,0,1,1),IF(AND($H32&gt;2.4,Z32&lt;&gt;"e",Z32&lt;&gt;"f"),CX32*2.4/$H32,CX32),0)))))*COS(RADIANS($G32)))</f>
        <v>0</v>
      </c>
      <c r="CU32" s="51">
        <f ca="1">IF(F32&lt;OFFSET($BM$9,CL32-1,0,1,1),0,IF(F32&lt;OFFSET($BN$9,CL32-1,0,1,1),((F32-OFFSET($BM$9,CL32-1,0,1,1))*OFFSET($CI$9,CL32-1,0,1,1))+OFFSET($BP$9,CL32-1,CQ32,1,1),IF(F32&lt;OFFSET($BN$9,CL32+0,0,1,1),((F32-OFFSET($BM$9,CL32+0,0,1,1))*OFFSET($CI$9,CL32+0,0,1,1))+OFFSET($BP$9,CL32+0,CQ32,1,1),IF(F32&lt;OFFSET($BN$9,CL32+1,0,1,1),((F32-OFFSET($BM$9,CL32+1,0,1,1))*OFFSET($CI$9,CL32+1,0,1,1))+OFFSET($BP$9,CL32+1,CQ32,1,1),IF(F32&lt;OFFSET($BN$9,CL32+2,0,1,1),((F32-OFFSET($BM$9,CL32+2,0,1,1))*OFFSET($CI$9,CL32+2,0,1,1))+OFFSET($BP$9,CL32+2,CQ32,1,1),IF(F32&lt;OFFSET($BN$9,CL32+3,0,1,1),((F32-OFFSET($BM$9,CL32+3,0,1,1))*OFFSET($CI$9,CL32+3,0,1,1))+OFFSET($BP$9,CL32+3,CQ32,1,1),0))))))</f>
        <v>0</v>
      </c>
      <c r="CV32" s="51">
        <f ca="1">IF($F32&lt;OFFSET($BM$9,$CL32-1,0,1,1),0,IF($F32&lt;OFFSET($BN$9,$CL32-1,0,1,1),IF(AND($H32&gt;2.4,Z32&lt;&gt;"e",Z32&lt;&gt;"f"),CZ32*2.4/$H32,CZ32),IF($F32&lt;OFFSET($BN$9,$CL32+0,0,1,1),IF(AND($H32&gt;2.4,Z32&lt;&gt;"e",Z32&lt;&gt;"f"),CZ32*2.4/$H32,CZ32),IF($F32&lt;OFFSET($BN$9,$CL32+1,0,1,1),IF(AND($H32&gt;2.4,Z32&lt;&gt;"e",Z32&lt;&gt;"f"),CZ32*2.4/$H32,CZ32),IF($F32&lt;OFFSET($BN$9,$CL32+2,0,1,1),IF(AND($H32&gt;2.4,Z32&lt;&gt;"e",Z32&lt;&gt;"f"),CZ32*2.4/$H32,CZ32),IF($F32&lt;OFFSET($BN$9,$CL32+3,0,1,1),IF(AND($H32&gt;2.4,Z32&lt;&gt;"e",Z32&lt;&gt;"f"),CZ32*2.4/$H32,CZ32),0)))))*COS(RADIANS($G32)))</f>
        <v>0</v>
      </c>
      <c r="CW32" s="51">
        <f t="shared" ca="1" si="18"/>
        <v>0</v>
      </c>
      <c r="CX32" s="51">
        <f ca="1">IF(CS32&gt;$CR32,$CR32,CS32)</f>
        <v>0</v>
      </c>
      <c r="CY32" s="51">
        <f ca="1">CW32*F32</f>
        <v>0</v>
      </c>
      <c r="CZ32" s="51">
        <f ca="1">IF($CU32&gt;$CR32,$CR32,$CU32)</f>
        <v>0</v>
      </c>
      <c r="DA32" s="51">
        <f ca="1">IF(CV32&gt;CR32,CR32,CV32)</f>
        <v>0</v>
      </c>
      <c r="DB32" s="51">
        <f ca="1">DA32*F32</f>
        <v>0</v>
      </c>
      <c r="DC32" s="993">
        <v>1</v>
      </c>
      <c r="DD32" s="758" t="str">
        <f>IF(OR(D32=BG$12,D32=BG$13),"External",IF(D32=BG$14,"Internal"," "))</f>
        <v xml:space="preserve"> </v>
      </c>
      <c r="DE32" s="51" t="str">
        <f t="shared" ca="1" si="4"/>
        <v/>
      </c>
      <c r="DF32" s="52" t="str">
        <f t="shared" ca="1" si="5"/>
        <v xml:space="preserve"> </v>
      </c>
      <c r="DG32" s="51">
        <f ca="1">IF(F32&lt;OFFSET($BM$9,CN32-1,0,1,1),0,IF(F32&lt;OFFSET($BN$9,CN32-1,0,1,1),((F32-OFFSET($BM$9,CN32-1,0,1,1))*OFFSET($CH$9,CN32-1,0,1,1))+OFFSET($BO$9,CN32-1,CQ32,1,1),IF(F32&lt;OFFSET($BN$9,CN32+0,0,1,1),((F32-OFFSET($BM$9,CN32+0,0,1,1))*OFFSET($CH$9,CN32+0,0,1,1))+OFFSET($BO$9,CN32+0,CQ32,1,1),IF(F32&lt;OFFSET($BN$9,CN32+1,0,1,1),((F32-OFFSET($BM$9,CN32+1,0,1,1))*OFFSET($CH$9,CN32+1,0,1,1))+OFFSET($BO$9,CN32+1,CQ32,1,1),IF(F32&lt;OFFSET($BN$9,CN32+2,0,1,1),((F32-OFFSET($BM$9,CN32+2,0,1,1))*OFFSET($CH$9,CN32+2,0,1,1))+OFFSET($BO$9,CN32+2,CQ32,1,1),IF(F32&lt;OFFSET($BN$9,CN32+3,0,1,1),((F32-OFFSET($BM$9,CN32+3,0,1,1))*OFFSET($CH$9,CN32+3,0,1,1))+OFFSET($BO$9,CN32+3,CQ32,1,1),0))))))</f>
        <v>0</v>
      </c>
      <c r="DH32" s="51">
        <f ca="1">IF($F32&lt;OFFSET($BM$9,$CN32-1,0,1,1),0,IF($F32&lt;OFFSET($BN$9,$CN32-1,0,1,1),IF(AND($H32&gt;2.4,Z32&lt;&gt;"e",Z32&lt;&gt;"f"),DL32*2.4/$H32,DL32),IF($F32&lt;OFFSET($BN$9,$CN32+0,0,1,1),IF(AND($H32&gt;2.4,Z32&lt;&gt;"e",Z32&lt;&gt;"f"),DL32*2.4/$H32,DL32),IF($F32&lt;OFFSET($BN$9,$CN32+1,0,1,1),IF(AND($H32&gt;2.4,Z32&lt;&gt;"e",Z32&lt;&gt;"f"),DL32*2.4/$H32,DL32),IF($F32&lt;OFFSET($BN$9,$CN32+2,0,1,1),IF(AND($H32&gt;2.4,Z32&lt;&gt;"e",Z32&lt;&gt;"f"),DL32*2.4/$H32,DL32),IF($F32&lt;OFFSET($BN$9,$CN32+3,0,1,1),IF(AND($H32&gt;2.4,Z32&lt;&gt;"e",Z32&lt;&gt;"f"),DL32*2.4/$H32,DL32),0)))))*COS(RADIANS($G32)))</f>
        <v>0</v>
      </c>
      <c r="DI32" s="51">
        <f ca="1">IF(F32&lt;OFFSET($BM$9,CN32-1,0,1,1),0,IF(F32&lt;OFFSET($BN$9,CN32-1,0,1,1),((F32-OFFSET($BM$9,CN32-1,0,1,1))*OFFSET($CI$9,CN32-1,0,1,1))+OFFSET($BP$9,CN32-1,CQ32,1,1),IF(F32&lt;OFFSET($BN$9,CN32+0,0,1,1),((F32-OFFSET($BM$9,CN32+0,0,1,1))*OFFSET($CI$9,CN32+0,0,1,1))+OFFSET($BP$9,CN32+0,CQ32,1,1),IF(F32&lt;OFFSET($BN$9,CN32+1,0,1,1),((F32-OFFSET($BM$9,CN32+1,0,1,1))*OFFSET($CI$9,CN32+1,0,1,1))+OFFSET($BP$9,CN32+1,CQ32,1,1),IF(F32&lt;OFFSET($BN$9,CN32+2,0,1,1),((F32-OFFSET($BM$9,CN32+2,0,1,1))*OFFSET($CI$9,CN32+2,0,1,1))+OFFSET($BP$9,CN32+2,CQ32,1,1),IF(F32&lt;OFFSET($BN$9,CN32+3,0,1,1),((F32-OFFSET($BM$9,CN32+3,0,1,1))*OFFSET($CI$9,CN32+3,0,1,1))+OFFSET($BP$9,CN32+3,CQ32,1,1),0))))))</f>
        <v>0</v>
      </c>
      <c r="DJ32" s="51">
        <f ca="1">IF($F32&lt;OFFSET($BM$9,$CN32-1,0,1,1),0,IF($F32&lt;OFFSET($BN$9,$CN32-1,0,1,1),IF(AND($H32&gt;2.4,Z32&lt;&gt;"e",Z32&lt;&gt;"f"),DN32*2.4/$H32,DN32),IF($F32&lt;OFFSET($BN$9,$CN32+0,0,1,1),IF(AND($H32&gt;2.4,Z32&lt;&gt;"e",Z32&lt;&gt;"f"),DN32*2.4/$H32,DN32),IF($F32&lt;OFFSET($BN$9,$CN32+1,0,1,1),IF(AND($H32&gt;2.4,Z32&lt;&gt;"e",Z32&lt;&gt;"f"),DN32*2.4/$H32,DN32),IF($F32&lt;OFFSET($BN$9,$CN32+2,0,1,1),IF(AND($H32&gt;2.4,Z32&lt;&gt;"e",Z32&lt;&gt;"f"),DN32*2.4/$H32,DN32),IF($F32&lt;OFFSET($BN$9,$CN32+3,0,1,1),IF(AND($H32&gt;2.4,Z32&lt;&gt;"e",Z32&lt;&gt;"f"),DN32*2.4/$H32,DN32),0)))))*COS(RADIANS($G32)))</f>
        <v>0</v>
      </c>
      <c r="DK32" s="51"/>
      <c r="DL32" s="51">
        <f ca="1">IF(DG32&gt;$CR32,$CR32,DG32)</f>
        <v>0</v>
      </c>
      <c r="DM32" s="51"/>
      <c r="DN32" s="51">
        <f ca="1">IF(DI32&gt;$CR32,$CR32,DI32)</f>
        <v>0</v>
      </c>
      <c r="DO32" s="435">
        <f ca="1">IF(DH32&gt;$CR32,$CR32,DH32)</f>
        <v>0</v>
      </c>
      <c r="DP32" s="435">
        <f ca="1">DO32*F32</f>
        <v>0</v>
      </c>
      <c r="DQ32" s="436">
        <f ca="1">IF(DJ32&gt;$CR32,$CR32,DJ32)</f>
        <v>0</v>
      </c>
      <c r="DR32" s="437">
        <f ca="1">DQ32*F32</f>
        <v>0</v>
      </c>
      <c r="DS32" s="426">
        <f ca="1">OFFSET($CH$9,CL32-1,-15,1,1)</f>
        <v>0</v>
      </c>
      <c r="DT32" s="426">
        <f t="shared" ca="1" si="1"/>
        <v>0</v>
      </c>
      <c r="DU32" s="188">
        <f ca="1">IF(F32&lt;OFFSET($BM$9,DT32-1,0,1,1),0,IF(F32&lt;OFFSET($BN$9,DT32-1,0,1,1),((F32-OFFSET($BM$9,DT32-1,0,1,1))*OFFSET($CH$9,DT32-1,0,1,1))+OFFSET($BO$9,DT32-1,CQ32,1,1),IF(F32&lt;OFFSET($BN$9,DT32+0,0,1,1),((F32-OFFSET($BM$9,DT32+0,0,1,1))*OFFSET($CH$9,DT32+0,0,1,1))+OFFSET($BO$9,DT32+0,CQ32,1,1),IF(F32&lt;OFFSET($BN$9,DT32+1,0,1,1),((F32-OFFSET($BM$9,DT32+1,0,1,1))*OFFSET($CH$9,DT32+1,0,1,1))+OFFSET($BO$9,DT32+1,CQ32,1,1),IF(F32&lt;OFFSET($BN$9,DT32+2,0,1,1),((F32-OFFSET($BM$9,DT32+2,0,1,1))*OFFSET($CH$9,DT32+2,0,1,1))+OFFSET($BO$9,DT32+2,CQ32,1,1),IF(F32&lt;OFFSET($BN$9,DT32+3,0,1,1),((F32-OFFSET($BM$9,DT32+3,0,1,1))*OFFSET($CH$9,DT32+3,0,1,1))+OFFSET($BO$9,DT32+3,CQ32,1,1),0))))))</f>
        <v>0</v>
      </c>
      <c r="DV32" s="51">
        <f ca="1">IF($F32&lt;OFFSET($BM$9,$DT32-1,0,1,1),0,IF($F32&lt;OFFSET($BN$9,$DT32-1,0,1,1),IF(AND($H32&gt;2.4,Z32&lt;&gt;"e",Z32&lt;&gt;"f"),DZ32*2.4/$H32,DZ32),IF($F32&lt;OFFSET($BN$9,$DT32+0,0,1,1),IF(AND($H32&gt;2.4,Z32&lt;&gt;"e",Z32&lt;&gt;"f"),DZ32*2.4/$H32,DZ32),IF($F32&lt;OFFSET($BN$9,$DT32+1,0,1,1),IF(AND($H32&gt;2.4,Z32&lt;&gt;"e",Z32&lt;&gt;"f"),DZ32*2.4/$H32,DZ32),IF($F32&lt;OFFSET($BN$9,$DT32+2,0,1,1),IF(AND($H32&gt;2.4,Z32&lt;&gt;"e",Z32&lt;&gt;"f"),DZ32*2.4/$H32,DZ32),IF($F32&lt;OFFSET($BN$9,$DT32+3,0,1,1),IF(AND($H32&gt;2.4,Z32&lt;&gt;"e",Z32&lt;&gt;"f"),DZ32*2.4/$H32,DZ32),0)))))*COS(RADIANS($G32)))</f>
        <v>0</v>
      </c>
      <c r="DW32" s="188">
        <f ca="1">IF(F32&lt;OFFSET($BM$9,DT32-1,0,1,1),0,IF(F32&lt;OFFSET($BN$9,DT32-1,0,1,1),((F32-OFFSET($BM$9,DT32-1,0,1,1))*OFFSET($CI$9,DT32-1,0,1,1))+OFFSET($BP$9,DT32-1,CQ32,1,1),IF(F32&lt;OFFSET($BN$9,DT32+0,0,1,1),((F32-OFFSET($BM$9,DT32+0,0,1,1))*OFFSET($CI$9,DT32+0,0,1,1))+OFFSET($BP$9,DT32+0,CQ32,1,1),IF(F32&lt;OFFSET($BN$9,DT32+1,0,1,1),((F32-OFFSET($BM$9,DT32+1,0,1,1))*OFFSET($CI$9,DT32+1,0,1,1))+OFFSET($BP$9,DT32+1,CQ32,1,1),IF(F32&lt;OFFSET($BN$9,DT32+2,0,1,1),((F32-OFFSET($BM$9,DT32+2,0,1,1))*OFFSET($CI$9,DT32+2,0,1,1))+OFFSET($BP$9,DT32+2,CQ32,1,1),IF(F32&lt;OFFSET($BN$9,DT32+3,0,1,1),((F32-OFFSET($BM$9,DT32+3,0,1,1))*OFFSET($CI$9,DT32+3,0,1,1))+OFFSET($BP$9,DT32+3,CQ32,1,1),0))))))</f>
        <v>0</v>
      </c>
      <c r="DX32" s="51">
        <f ca="1">IF($F32&lt;OFFSET($BM$9,$DT32-1,0,1,1),0,IF($F32&lt;OFFSET($BN$9,$DT32-1,0,1,1),IF(AND($H32&gt;2.4,Z32&lt;&gt;"e",Z32&lt;&gt;"f"),EB32*2.4/$H32,EB32),IF($F32&lt;OFFSET($BN$9,$DT32+0,0,1,1),IF(AND($H32&gt;2.4,Z32&lt;&gt;"e",Z32&lt;&gt;"f"),EB32*2.4/$H32,EB32),IF($F32&lt;OFFSET($BN$9,$DT32+1,0,1,1),IF(AND($H32&gt;2.4,Z32&lt;&gt;"e",Z32&lt;&gt;"f"),EB32*2.4/$H32,EB32),IF($F32&lt;OFFSET($BN$9,$DT32+2,0,1,1),IF(AND($H32&gt;2.4,Z32&lt;&gt;"e",Z32&lt;&gt;"f"),EB32*2.4/$H32,EB32),IF($F32&lt;OFFSET($BN$9,$DT32+3,0,1,1),IF(AND($H32&gt;2.4,Z32&lt;&gt;"e",Z32&lt;&gt;"f"),EB32*2.4/$H32,EB32),0)))))*COS(RADIANS($G32)))</f>
        <v>0</v>
      </c>
      <c r="DY32" s="188"/>
      <c r="DZ32" s="188">
        <f ca="1">IF(DU32&gt;$CR32,$CR32,DU32)</f>
        <v>0</v>
      </c>
      <c r="EA32" s="188"/>
      <c r="EB32" s="188">
        <f ca="1">IF(DW32&gt;$CR32,$CR32,DW32)</f>
        <v>0</v>
      </c>
      <c r="EC32" s="435">
        <f ca="1">IF(DV32&gt;$CR32,$CR32,DV32)</f>
        <v>0</v>
      </c>
      <c r="ED32" s="435">
        <f ca="1">EC32*F32</f>
        <v>0</v>
      </c>
      <c r="EE32" s="436">
        <f ca="1">IF(DX32&gt;$CR32,$CR32,DX32)</f>
        <v>0</v>
      </c>
      <c r="EF32" s="437">
        <f ca="1">EE32*F32</f>
        <v>0</v>
      </c>
      <c r="EG32" s="613" t="str">
        <f>IF(D32=BG$12,BG$12,"")</f>
        <v/>
      </c>
      <c r="EH32" s="614" t="str">
        <f>IF(D32=BG$13,BG$13,"")</f>
        <v/>
      </c>
      <c r="EI32" s="611">
        <f>IF(EG32=BG$12,M32,0)</f>
        <v>0</v>
      </c>
      <c r="EJ32" s="451">
        <f>IF(EG32=BG$12,O32,0)</f>
        <v>0</v>
      </c>
      <c r="EK32" s="451">
        <f>IF(EH32=BG$13,M32,0)</f>
        <v>0</v>
      </c>
      <c r="EL32" s="612">
        <f>IF(EH32=BG$13,O32,0)</f>
        <v>0</v>
      </c>
      <c r="EM32" s="426" t="str">
        <f ca="1">IF(AND(Z32&lt;&gt;"t",Z32&lt;&gt;"f"),"",IF(AND(EN32=$BH$11,K32&lt;&gt;EN32),EM$4,IF(AND(EN32=$BH$12,K32=$BH$13),EM$4,IF(AND(EN32=$BH$12,K32=$BH$14),EM$4,IF(AND(EN32=$BH$13,K32=$BH$14),$EM$4,IF(EN32=$BH$14,$EM$4,""))))))</f>
        <v/>
      </c>
      <c r="EN32" s="489" t="str">
        <f>BG$24</f>
        <v>Earth</v>
      </c>
      <c r="EO32" s="426" t="str">
        <f>K32</f>
        <v xml:space="preserve"> </v>
      </c>
      <c r="EP32" s="497" t="str">
        <f ca="1">IF(AND(Z32&lt;&gt;"t",Z32&lt;&gt;"f"),"",IF(AND(EN32=$BH$14,K32&lt;&gt;EN32),EP$4,IF(AND(EN32=$BH$13,K32=$BH$12),EP$4,IF(AND(EN32=$BH$13,K32=$BH$11),EP$4,IF(AND(EN32=$BH$12,K32=$BH$11),$EP$4,IF(EN32=$BH$11,"Earth",""))))))</f>
        <v/>
      </c>
      <c r="EQ32" s="430" t="str">
        <f ca="1">IF(Z32&lt;&gt;"t","",IF(EQ$5=2,IF(K32&lt;&gt;BH$11,EQ$7," ")))</f>
        <v/>
      </c>
      <c r="ER32" s="439" t="str">
        <f ca="1">IF(H32=0," ",H32)</f>
        <v xml:space="preserve"> </v>
      </c>
      <c r="ES32" s="440" t="str">
        <f ca="1">IF(ER32&lt;&gt;" ",IF(ER32&lt;&gt;ER$7,"Changed",""),"")</f>
        <v/>
      </c>
      <c r="ET32" s="440">
        <f t="shared" ca="1" si="19"/>
        <v>0</v>
      </c>
      <c r="EU32" s="426" t="str">
        <f ca="1">IF(I32=" "," ",IF(F32&lt;OFFSET($BM$9,CL32-1,0,1,1),1,""))</f>
        <v xml:space="preserve"> </v>
      </c>
      <c r="EW32" s="427"/>
    </row>
    <row r="33" spans="1:153" ht="17.100000000000001" customHeight="1">
      <c r="B33" s="689" t="s">
        <v>246</v>
      </c>
      <c r="C33" s="684" t="str">
        <f>IF(OR(F33=0,I33="",I33=" ")," ",$V33)</f>
        <v xml:space="preserve"> </v>
      </c>
      <c r="D33" s="1033"/>
      <c r="E33" s="1360" t="s">
        <v>8</v>
      </c>
      <c r="F33" s="202"/>
      <c r="G33" s="1416"/>
      <c r="H33" s="1417" t="str">
        <f ca="1">IF(OR(F33=0,Z33="E",Z33="f")," ",'Project Demand'!E$55)</f>
        <v xml:space="preserve"> </v>
      </c>
      <c r="I33" s="631" t="str">
        <f>IF($I$6&lt;&gt;$BG$8," ",AB33)</f>
        <v xml:space="preserve"> </v>
      </c>
      <c r="J33" s="44" t="str">
        <f ca="1">IF(OR(I33=" ",I33="")," ",OFFSET($BO$9,CL33-1,0-4,1,1))</f>
        <v xml:space="preserve"> </v>
      </c>
      <c r="K33" s="55" t="str">
        <f>IF(OR(I33=" ",I33="")," ",IF(OR(Z33="e",Z33="h"),"SD",IF(BG$24=BH$11,BH$13,BG$24)))</f>
        <v xml:space="preserve"> </v>
      </c>
      <c r="L33" s="49">
        <f ca="1">CW33</f>
        <v>0</v>
      </c>
      <c r="M33" s="49">
        <f ca="1">CY33</f>
        <v>0</v>
      </c>
      <c r="N33" s="50">
        <f t="shared" ca="1" si="27"/>
        <v>0</v>
      </c>
      <c r="O33" s="126">
        <f t="shared" ca="1" si="27"/>
        <v>0</v>
      </c>
      <c r="P33" s="140"/>
      <c r="Q33" s="752" t="str">
        <f ca="1">IF(AND(OR(Z33="t",Z33="f"),K33=$BH$11),"No Floor!  Change Floor Type",IF(OR(I33=" ",I33="")," ",IF(F33&lt;OFFSET($BM$9,CL33-1,0,1,1),"check L(m)",DE33&amp;IF(AND(DP33&gt;=CY33,DR33&gt;=DB33),IF(AND(ED33&gt;=DP33,EF33&gt;=DR33),CONCATENATE(DS33," will provide same result"),CONCATENATE(CO33," will provide same result")),IF((DP33&gt;=CY33),CONCATENATE(CO33," provides same result in WIND"),IF((DR33&gt;=DB33),CONCATENATE(CO33," provides same result in EQ"),""))))))&amp;IF(ISERROR(FIND("pile",I33,1)),"",IF(INT(F33)&lt;&gt;F33,"Pile!  Use Whole Numbers Only",""))</f>
        <v xml:space="preserve"> </v>
      </c>
      <c r="R33" s="52"/>
      <c r="S33" s="1372"/>
      <c r="T33" s="1372"/>
      <c r="U33" s="1377"/>
      <c r="V33" s="52" t="str">
        <f ca="1">IF(AND(B$5=$BF$9,OR(I33=BH$16,I33=BH$17))," ",IF(ISNUMBER(B$32),(CONCATENATE(B$32,".",W33)),(CONCATENATE(B$32,W33))))</f>
        <v>Q0</v>
      </c>
      <c r="W33" s="9">
        <f ca="1">W32+X33</f>
        <v>0</v>
      </c>
      <c r="X33" s="9">
        <f>IF(AND(B$5=$BF$9,OR($I33=$BH$16,$I33=$BH$17,$I33=" ",$I33="",$F33=0)),0,IF(OR($I33=" ",$I33="",$F33=0),0,1))</f>
        <v>0</v>
      </c>
      <c r="Y33" s="896"/>
      <c r="Z33" s="52" t="str">
        <f ca="1">IF(I33=" "," ",OFFSET($BM$9,$CL33-1,8,1,1))</f>
        <v xml:space="preserve"> </v>
      </c>
      <c r="AA33" s="51" t="str">
        <f>IF(G33&gt;=45,"WA","")</f>
        <v/>
      </c>
      <c r="AB33" s="1364" t="str">
        <f>IF(OR(E33=" ",E33="")," ",(IF(F33&lt;&gt;"",IF(OR(D33=$BG$12,D33=$BG$13),IF(E33&lt;&gt;$BG$17,$BF$20,$BF$21),IF(E33&lt;&gt;$BG$17,$BF$20,$BF$21))," ")))</f>
        <v xml:space="preserve"> </v>
      </c>
      <c r="AC33" s="1"/>
      <c r="AJ33" s="2"/>
      <c r="AM33" s="4"/>
      <c r="AN33" s="4"/>
      <c r="AO33" s="4"/>
      <c r="AP33" s="4"/>
      <c r="AQ33" s="4"/>
      <c r="AR33" s="10"/>
      <c r="AS33" s="10"/>
      <c r="AT33" s="4"/>
      <c r="AU33" s="121"/>
      <c r="BD33" s="2648"/>
      <c r="BF33" s="598" t="str">
        <f>'Custom Elements'!C9</f>
        <v>Custom1</v>
      </c>
      <c r="BG33" s="948" t="s">
        <v>641</v>
      </c>
      <c r="BI33" s="759"/>
      <c r="BJ33" s="897">
        <f t="shared" si="6"/>
        <v>25</v>
      </c>
      <c r="BK33" s="1247" t="str">
        <f>'Custom Elements'!O9</f>
        <v>NZS 3604</v>
      </c>
      <c r="BL33" s="770" t="str">
        <f>'Custom Elements'!P9</f>
        <v>Masonry 0.75</v>
      </c>
      <c r="BM33" s="454">
        <f>'Custom Elements'!Q9</f>
        <v>1.5</v>
      </c>
      <c r="BN33" s="454">
        <v>999</v>
      </c>
      <c r="BO33" s="454">
        <f>'Custom Elements'!R9</f>
        <v>42</v>
      </c>
      <c r="BP33" s="924">
        <f>'Custom Elements'!S9</f>
        <v>42</v>
      </c>
      <c r="BQ33" s="920"/>
      <c r="BR33" s="768"/>
      <c r="BS33" s="454"/>
      <c r="BT33" s="454" t="s">
        <v>7</v>
      </c>
      <c r="BU33" s="925" t="s">
        <v>34</v>
      </c>
      <c r="BV33" s="1248" t="str">
        <f>BL33</f>
        <v>Masonry 0.75</v>
      </c>
      <c r="BW33" s="1182">
        <f t="shared" ref="BW33:BW39" si="28">BJ33</f>
        <v>25</v>
      </c>
      <c r="BX33" s="925" t="str">
        <f>'Custom Elements'!U9</f>
        <v>Single</v>
      </c>
      <c r="CH33" s="768">
        <f t="shared" ref="CH33:CH38" si="29">IF(BN33=999,0,(BO34-BO33)/(BN33-BM33))</f>
        <v>0</v>
      </c>
      <c r="CI33" s="924">
        <f t="shared" ref="CI33:CI38" si="30">IF(BN33=999,0,(BP34-BP33)/(BN33-BM33))</f>
        <v>0</v>
      </c>
      <c r="CJ33" s="759"/>
      <c r="CK33" s="188"/>
      <c r="CL33" s="979">
        <f>VLOOKUP(I33,Prodlink,2,0)</f>
        <v>0</v>
      </c>
      <c r="CN33" s="497">
        <f t="shared" ca="1" si="2"/>
        <v>0</v>
      </c>
      <c r="CO33" s="497">
        <f ca="1">OFFSET($CH$9,CL33-1,-15,1,1)</f>
        <v>0</v>
      </c>
      <c r="CQ33" s="51">
        <v>0</v>
      </c>
      <c r="CR33" s="51">
        <f t="shared" ref="CR33:CR36" ca="1" si="31">IF(AND(Z33&lt;&gt;"t",Z33&lt;&gt;"f"),10000,IF(K33=$BH$11,0,IF(K33=$BH$12,$BH$23,IF(K33=$BH$13,$BH$24,10000))))</f>
        <v>10000</v>
      </c>
      <c r="CS33" s="51">
        <f ca="1">IF(F33&lt;OFFSET($BM$9,CL33-1,0,1,1),0,IF(F33&lt;OFFSET($BN$9,CL33-1,0,1,1),((F33-OFFSET($BM$9,CL33-1,0,1,1))*OFFSET($CH$9,CL33-1,0,1,1))+OFFSET($BO$9,CL33-1,CQ33,1,1),IF(F33&lt;OFFSET($BN$9,CL33+0,0,1,1),((F33-OFFSET($BM$9,CL33+0,0,1,1))*OFFSET($CH$9,CL33+0,0,1,1))+OFFSET($BO$9,CL33+0,CQ33,1,1),IF(F33&lt;OFFSET($BN$9,CL33+1,0,1,1),((F33-OFFSET($BM$9,CL33+1,0,1,1))*OFFSET($CH$9,CL33+1,0,1,1))+OFFSET($BO$9,CL33+1,CQ33,1,1),IF(F33&lt;OFFSET($BN$9,CL33+2,0,1,1),((F33-OFFSET($BM$9,CL33+2,0,1,1))*OFFSET($CH$9,CL33+2,0,1,1))+OFFSET($BO$9,CL33+2,CQ33,1,1),IF(F33&lt;OFFSET($BN$9,CL33+3,0,1,1),((F33-OFFSET($BM$9,CL33+3,0,1,1))*OFFSET($CH$9,CL33+3,0,1,1))+OFFSET($BO$9,CL33+3,CQ33,1,1),0))))))</f>
        <v>0</v>
      </c>
      <c r="CT33" s="51">
        <f ca="1">IF($F33&lt;OFFSET($BM$9,$CL33-1,0,1,1),0,IF($F33&lt;OFFSET($BN$9,$CL33-1,0,1,1),IF(AND($H33&gt;2.4,Z33&lt;&gt;"e",Z33&lt;&gt;"f"),CX33*2.4/$H33,CX33),IF($F33&lt;OFFSET($BN$9,$CL33+0,0,1,1),IF(AND($H33&gt;2.4,Z33&lt;&gt;"e",Z33&lt;&gt;"f"),CX33*2.4/$H33,CX33),IF($F33&lt;OFFSET($BN$9,$CL33+1,0,1,1),IF(AND($H33&gt;2.4,Z33&lt;&gt;"e",Z33&lt;&gt;"f"),CX33*2.4/$H33,CX33),IF($F33&lt;OFFSET($BN$9,CL33+2,0,1,1),IF(AND($H33&gt;2.4,Z33&lt;&gt;"e",Z33&lt;&gt;"f"),CX33*2.4/$H33,CX33),IF($F33&lt;OFFSET($BN$9,CL33+3,0,1,1),IF(AND($H33&gt;2.4,Z33&lt;&gt;"e",Z33&lt;&gt;"f"),CX33*2.4/$H33,CX33),0)))))*COS(RADIANS($G33)))</f>
        <v>0</v>
      </c>
      <c r="CU33" s="51">
        <f ca="1">IF(F33&lt;OFFSET($BM$9,CL33-1,0,1,1),0,IF(F33&lt;OFFSET($BN$9,CL33-1,0,1,1),((F33-OFFSET($BM$9,CL33-1,0,1,1))*OFFSET($CI$9,CL33-1,0,1,1))+OFFSET($BP$9,CL33-1,CQ33,1,1),IF(F33&lt;OFFSET($BN$9,CL33+0,0,1,1),((F33-OFFSET($BM$9,CL33+0,0,1,1))*OFFSET($CI$9,CL33+0,0,1,1))+OFFSET($BP$9,CL33+0,CQ33,1,1),IF(F33&lt;OFFSET($BN$9,CL33+1,0,1,1),((F33-OFFSET($BM$9,CL33+1,0,1,1))*OFFSET($CI$9,CL33+1,0,1,1))+OFFSET($BP$9,CL33+1,CQ33,1,1),IF(F33&lt;OFFSET($BN$9,CL33+2,0,1,1),((F33-OFFSET($BM$9,CL33+2,0,1,1))*OFFSET($CI$9,CL33+2,0,1,1))+OFFSET($BP$9,CL33+2,CQ33,1,1),IF(F33&lt;OFFSET($BN$9,CL33+3,0,1,1),((F33-OFFSET($BM$9,CL33+3,0,1,1))*OFFSET($CI$9,CL33+3,0,1,1))+OFFSET($BP$9,CL33+3,CQ33,1,1),0))))))</f>
        <v>0</v>
      </c>
      <c r="CV33" s="51">
        <f ca="1">IF($F33&lt;OFFSET($BM$9,$CL33-1,0,1,1),0,IF($F33&lt;OFFSET($BN$9,$CL33-1,0,1,1),IF(AND($H33&gt;2.4,Z33&lt;&gt;"e",Z33&lt;&gt;"f"),CZ33*2.4/$H33,CZ33),IF($F33&lt;OFFSET($BN$9,$CL33+0,0,1,1),IF(AND($H33&gt;2.4,Z33&lt;&gt;"e",Z33&lt;&gt;"f"),CZ33*2.4/$H33,CZ33),IF($F33&lt;OFFSET($BN$9,$CL33+1,0,1,1),IF(AND($H33&gt;2.4,Z33&lt;&gt;"e",Z33&lt;&gt;"f"),CZ33*2.4/$H33,CZ33),IF($F33&lt;OFFSET($BN$9,$CL33+2,0,1,1),IF(AND($H33&gt;2.4,Z33&lt;&gt;"e",Z33&lt;&gt;"f"),CZ33*2.4/$H33,CZ33),IF($F33&lt;OFFSET($BN$9,$CL33+3,0,1,1),IF(AND($H33&gt;2.4,Z33&lt;&gt;"e",Z33&lt;&gt;"f"),CZ33*2.4/$H33,CZ33),0)))))*COS(RADIANS($G33)))</f>
        <v>0</v>
      </c>
      <c r="CW33" s="51">
        <f t="shared" ca="1" si="18"/>
        <v>0</v>
      </c>
      <c r="CX33" s="51">
        <f ca="1">IF(CS33&gt;$CR33,$CR33,CS33)</f>
        <v>0</v>
      </c>
      <c r="CY33" s="51">
        <f ca="1">CW33*F33</f>
        <v>0</v>
      </c>
      <c r="CZ33" s="51">
        <f ca="1">IF($CU33&gt;$CR33,$CR33,$CU33)</f>
        <v>0</v>
      </c>
      <c r="DA33" s="51">
        <f ca="1">IF(CV33&gt;CR33,CR33,CV33)</f>
        <v>0</v>
      </c>
      <c r="DB33" s="51">
        <f ca="1">DA33*F33</f>
        <v>0</v>
      </c>
      <c r="DC33" s="993">
        <v>1</v>
      </c>
      <c r="DD33" s="758" t="str">
        <f>IF(OR(D33=BG$12,D33=BG$13),"External",IF(D33=BG$14,"Internal"," "))</f>
        <v xml:space="preserve"> </v>
      </c>
      <c r="DE33" s="51" t="str">
        <f t="shared" ca="1" si="4"/>
        <v/>
      </c>
      <c r="DF33" s="52" t="str">
        <f t="shared" ca="1" si="5"/>
        <v xml:space="preserve"> </v>
      </c>
      <c r="DG33" s="51">
        <f ca="1">IF(F33&lt;OFFSET($BM$9,CN33-1,0,1,1),0,IF(F33&lt;OFFSET($BN$9,CN33-1,0,1,1),((F33-OFFSET($BM$9,CN33-1,0,1,1))*OFFSET($CH$9,CN33-1,0,1,1))+OFFSET($BO$9,CN33-1,CQ33,1,1),IF(F33&lt;OFFSET($BN$9,CN33+0,0,1,1),((F33-OFFSET($BM$9,CN33+0,0,1,1))*OFFSET($CH$9,CN33+0,0,1,1))+OFFSET($BO$9,CN33+0,CQ33,1,1),IF(F33&lt;OFFSET($BN$9,CN33+1,0,1,1),((F33-OFFSET($BM$9,CN33+1,0,1,1))*OFFSET($CH$9,CN33+1,0,1,1))+OFFSET($BO$9,CN33+1,CQ33,1,1),IF(F33&lt;OFFSET($BN$9,CN33+2,0,1,1),((F33-OFFSET($BM$9,CN33+2,0,1,1))*OFFSET($CH$9,CN33+2,0,1,1))+OFFSET($BO$9,CN33+2,CQ33,1,1),IF(F33&lt;OFFSET($BN$9,CN33+3,0,1,1),((F33-OFFSET($BM$9,CN33+3,0,1,1))*OFFSET($CH$9,CN33+3,0,1,1))+OFFSET($BO$9,CN33+3,CQ33,1,1),0))))))</f>
        <v>0</v>
      </c>
      <c r="DH33" s="51">
        <f ca="1">IF($F33&lt;OFFSET($BM$9,$CN33-1,0,1,1),0,IF($F33&lt;OFFSET($BN$9,$CN33-1,0,1,1),IF(AND($H33&gt;2.4,Z33&lt;&gt;"e",Z33&lt;&gt;"f"),DL33*2.4/$H33,DL33),IF($F33&lt;OFFSET($BN$9,$CN33+0,0,1,1),IF(AND($H33&gt;2.4,Z33&lt;&gt;"e",Z33&lt;&gt;"f"),DL33*2.4/$H33,DL33),IF($F33&lt;OFFSET($BN$9,$CN33+1,0,1,1),IF(AND($H33&gt;2.4,Z33&lt;&gt;"e",Z33&lt;&gt;"f"),DL33*2.4/$H33,DL33),IF($F33&lt;OFFSET($BN$9,$CN33+2,0,1,1),IF(AND($H33&gt;2.4,Z33&lt;&gt;"e",Z33&lt;&gt;"f"),DL33*2.4/$H33,DL33),IF($F33&lt;OFFSET($BN$9,$CN33+3,0,1,1),IF(AND($H33&gt;2.4,Z33&lt;&gt;"e",Z33&lt;&gt;"f"),DL33*2.4/$H33,DL33),0)))))*COS(RADIANS($G33)))</f>
        <v>0</v>
      </c>
      <c r="DI33" s="51">
        <f ca="1">IF(F33&lt;OFFSET($BM$9,CN33-1,0,1,1),0,IF(F33&lt;OFFSET($BN$9,CN33-1,0,1,1),((F33-OFFSET($BM$9,CN33-1,0,1,1))*OFFSET($CI$9,CN33-1,0,1,1))+OFFSET($BP$9,CN33-1,CQ33,1,1),IF(F33&lt;OFFSET($BN$9,CN33+0,0,1,1),((F33-OFFSET($BM$9,CN33+0,0,1,1))*OFFSET($CI$9,CN33+0,0,1,1))+OFFSET($BP$9,CN33+0,CQ33,1,1),IF(F33&lt;OFFSET($BN$9,CN33+1,0,1,1),((F33-OFFSET($BM$9,CN33+1,0,1,1))*OFFSET($CI$9,CN33+1,0,1,1))+OFFSET($BP$9,CN33+1,CQ33,1,1),IF(F33&lt;OFFSET($BN$9,CN33+2,0,1,1),((F33-OFFSET($BM$9,CN33+2,0,1,1))*OFFSET($CI$9,CN33+2,0,1,1))+OFFSET($BP$9,CN33+2,CQ33,1,1),IF(F33&lt;OFFSET($BN$9,CN33+3,0,1,1),((F33-OFFSET($BM$9,CN33+3,0,1,1))*OFFSET($CI$9,CN33+3,0,1,1))+OFFSET($BP$9,CN33+3,CQ33,1,1),0))))))</f>
        <v>0</v>
      </c>
      <c r="DJ33" s="51">
        <f ca="1">IF($F33&lt;OFFSET($BM$9,$CN33-1,0,1,1),0,IF($F33&lt;OFFSET($BN$9,$CN33-1,0,1,1),IF(AND($H33&gt;2.4,Z33&lt;&gt;"e",Z33&lt;&gt;"f"),DN33*2.4/$H33,DN33),IF($F33&lt;OFFSET($BN$9,$CN33+0,0,1,1),IF(AND($H33&gt;2.4,Z33&lt;&gt;"e",Z33&lt;&gt;"f"),DN33*2.4/$H33,DN33),IF($F33&lt;OFFSET($BN$9,$CN33+1,0,1,1),IF(AND($H33&gt;2.4,Z33&lt;&gt;"e",Z33&lt;&gt;"f"),DN33*2.4/$H33,DN33),IF($F33&lt;OFFSET($BN$9,$CN33+2,0,1,1),IF(AND($H33&gt;2.4,Z33&lt;&gt;"e",Z33&lt;&gt;"f"),DN33*2.4/$H33,DN33),IF($F33&lt;OFFSET($BN$9,$CN33+3,0,1,1),IF(AND($H33&gt;2.4,Z33&lt;&gt;"e",Z33&lt;&gt;"f"),DN33*2.4/$H33,DN33),0)))))*COS(RADIANS($G33)))</f>
        <v>0</v>
      </c>
      <c r="DK33" s="51"/>
      <c r="DL33" s="51">
        <f ca="1">IF(DG33&gt;$CR33,$CR33,DG33)</f>
        <v>0</v>
      </c>
      <c r="DM33" s="51"/>
      <c r="DN33" s="51">
        <f ca="1">IF(DI33&gt;$CR33,$CR33,DI33)</f>
        <v>0</v>
      </c>
      <c r="DO33" s="435">
        <f ca="1">IF(DH33&gt;$CR33,$CR33,DH33)</f>
        <v>0</v>
      </c>
      <c r="DP33" s="435">
        <f ca="1">DO33*F33</f>
        <v>0</v>
      </c>
      <c r="DQ33" s="436">
        <f ca="1">IF(DJ33&gt;$CR33,$CR33,DJ33)</f>
        <v>0</v>
      </c>
      <c r="DR33" s="437">
        <f ca="1">DQ33*F33</f>
        <v>0</v>
      </c>
      <c r="DS33" s="426">
        <f ca="1">OFFSET($CH$9,CL33-1,-15,1,1)</f>
        <v>0</v>
      </c>
      <c r="DT33" s="426">
        <f t="shared" ca="1" si="1"/>
        <v>0</v>
      </c>
      <c r="DU33" s="188">
        <f ca="1">IF(F33&lt;OFFSET($BM$9,DT33-1,0,1,1),0,IF(F33&lt;OFFSET($BN$9,DT33-1,0,1,1),((F33-OFFSET($BM$9,DT33-1,0,1,1))*OFFSET($CH$9,DT33-1,0,1,1))+OFFSET($BO$9,DT33-1,CQ33,1,1),IF(F33&lt;OFFSET($BN$9,DT33+0,0,1,1),((F33-OFFSET($BM$9,DT33+0,0,1,1))*OFFSET($CH$9,DT33+0,0,1,1))+OFFSET($BO$9,DT33+0,CQ33,1,1),IF(F33&lt;OFFSET($BN$9,DT33+1,0,1,1),((F33-OFFSET($BM$9,DT33+1,0,1,1))*OFFSET($CH$9,DT33+1,0,1,1))+OFFSET($BO$9,DT33+1,CQ33,1,1),IF(F33&lt;OFFSET($BN$9,DT33+2,0,1,1),((F33-OFFSET($BM$9,DT33+2,0,1,1))*OFFSET($CH$9,DT33+2,0,1,1))+OFFSET($BO$9,DT33+2,CQ33,1,1),IF(F33&lt;OFFSET($BN$9,DT33+3,0,1,1),((F33-OFFSET($BM$9,DT33+3,0,1,1))*OFFSET($CH$9,DT33+3,0,1,1))+OFFSET($BO$9,DT33+3,CQ33,1,1),0))))))</f>
        <v>0</v>
      </c>
      <c r="DV33" s="51">
        <f ca="1">IF($F33&lt;OFFSET($BM$9,$DT33-1,0,1,1),0,IF($F33&lt;OFFSET($BN$9,$DT33-1,0,1,1),IF(AND($H33&gt;2.4,Z33&lt;&gt;"e",Z33&lt;&gt;"f"),DZ33*2.4/$H33,DZ33),IF($F33&lt;OFFSET($BN$9,$DT33+0,0,1,1),IF(AND($H33&gt;2.4,Z33&lt;&gt;"e",Z33&lt;&gt;"f"),DZ33*2.4/$H33,DZ33),IF($F33&lt;OFFSET($BN$9,$DT33+1,0,1,1),IF(AND($H33&gt;2.4,Z33&lt;&gt;"e",Z33&lt;&gt;"f"),DZ33*2.4/$H33,DZ33),IF($F33&lt;OFFSET($BN$9,$DT33+2,0,1,1),IF(AND($H33&gt;2.4,Z33&lt;&gt;"e",Z33&lt;&gt;"f"),DZ33*2.4/$H33,DZ33),IF($F33&lt;OFFSET($BN$9,$DT33+3,0,1,1),IF(AND($H33&gt;2.4,Z33&lt;&gt;"e",Z33&lt;&gt;"f"),DZ33*2.4/$H33,DZ33),0)))))*COS(RADIANS($G33)))</f>
        <v>0</v>
      </c>
      <c r="DW33" s="188">
        <f ca="1">IF(F33&lt;OFFSET($BM$9,DT33-1,0,1,1),0,IF(F33&lt;OFFSET($BN$9,DT33-1,0,1,1),((F33-OFFSET($BM$9,DT33-1,0,1,1))*OFFSET($CI$9,DT33-1,0,1,1))+OFFSET($BP$9,DT33-1,CQ33,1,1),IF(F33&lt;OFFSET($BN$9,DT33+0,0,1,1),((F33-OFFSET($BM$9,DT33+0,0,1,1))*OFFSET($CI$9,DT33+0,0,1,1))+OFFSET($BP$9,DT33+0,CQ33,1,1),IF(F33&lt;OFFSET($BN$9,DT33+1,0,1,1),((F33-OFFSET($BM$9,DT33+1,0,1,1))*OFFSET($CI$9,DT33+1,0,1,1))+OFFSET($BP$9,DT33+1,CQ33,1,1),IF(F33&lt;OFFSET($BN$9,DT33+2,0,1,1),((F33-OFFSET($BM$9,DT33+2,0,1,1))*OFFSET($CI$9,DT33+2,0,1,1))+OFFSET($BP$9,DT33+2,CQ33,1,1),IF(F33&lt;OFFSET($BN$9,DT33+3,0,1,1),((F33-OFFSET($BM$9,DT33+3,0,1,1))*OFFSET($CI$9,DT33+3,0,1,1))+OFFSET($BP$9,DT33+3,CQ33,1,1),0))))))</f>
        <v>0</v>
      </c>
      <c r="DX33" s="51">
        <f ca="1">IF($F33&lt;OFFSET($BM$9,$DT33-1,0,1,1),0,IF($F33&lt;OFFSET($BN$9,$DT33-1,0,1,1),IF(AND($H33&gt;2.4,Z33&lt;&gt;"e",Z33&lt;&gt;"f"),EB33*2.4/$H33,EB33),IF($F33&lt;OFFSET($BN$9,$DT33+0,0,1,1),IF(AND($H33&gt;2.4,Z33&lt;&gt;"e",Z33&lt;&gt;"f"),EB33*2.4/$H33,EB33),IF($F33&lt;OFFSET($BN$9,$DT33+1,0,1,1),IF(AND($H33&gt;2.4,Z33&lt;&gt;"e",Z33&lt;&gt;"f"),EB33*2.4/$H33,EB33),IF($F33&lt;OFFSET($BN$9,$DT33+2,0,1,1),IF(AND($H33&gt;2.4,Z33&lt;&gt;"e",Z33&lt;&gt;"f"),EB33*2.4/$H33,EB33),IF($F33&lt;OFFSET($BN$9,$DT33+3,0,1,1),IF(AND($H33&gt;2.4,Z33&lt;&gt;"e",Z33&lt;&gt;"f"),EB33*2.4/$H33,EB33),0)))))*COS(RADIANS($G33)))</f>
        <v>0</v>
      </c>
      <c r="DY33" s="188"/>
      <c r="DZ33" s="188">
        <f ca="1">IF(DU33&gt;$CR33,$CR33,DU33)</f>
        <v>0</v>
      </c>
      <c r="EA33" s="188"/>
      <c r="EB33" s="188">
        <f ca="1">IF(DW33&gt;$CR33,$CR33,DW33)</f>
        <v>0</v>
      </c>
      <c r="EC33" s="435">
        <f ca="1">IF(DV33&gt;$CR33,$CR33,DV33)</f>
        <v>0</v>
      </c>
      <c r="ED33" s="435">
        <f ca="1">EC33*F33</f>
        <v>0</v>
      </c>
      <c r="EE33" s="436">
        <f ca="1">IF(DX33&gt;$CR33,$CR33,DX33)</f>
        <v>0</v>
      </c>
      <c r="EF33" s="437">
        <f ca="1">EE33*F33</f>
        <v>0</v>
      </c>
      <c r="EG33" s="613" t="str">
        <f>IF(D33=BG$12,BG$12,"")</f>
        <v/>
      </c>
      <c r="EH33" s="614" t="str">
        <f>IF(D33=BG$13,BG$13,"")</f>
        <v/>
      </c>
      <c r="EI33" s="611">
        <f>IF(EG33=BG$12,M33,0)</f>
        <v>0</v>
      </c>
      <c r="EJ33" s="451">
        <f>IF(EG33=BG$12,O33,0)</f>
        <v>0</v>
      </c>
      <c r="EK33" s="451">
        <f>IF(EH33=BG$13,M33,0)</f>
        <v>0</v>
      </c>
      <c r="EL33" s="612">
        <f>IF(EH33=BG$13,O33,0)</f>
        <v>0</v>
      </c>
      <c r="EM33" s="426" t="str">
        <f ca="1">IF(AND(Z33&lt;&gt;"t",Z33&lt;&gt;"f"),"",IF(AND(EN33=$BH$11,K33&lt;&gt;EN33),EM$4,IF(AND(EN33=$BH$12,K33=$BH$13),EM$4,IF(AND(EN33=$BH$12,K33=$BH$14),EM$4,IF(AND(EN33=$BH$13,K33=$BH$14),$EM$4,IF(EN33=$BH$14,$EM$4,""))))))</f>
        <v/>
      </c>
      <c r="EN33" s="489" t="str">
        <f>BG$24</f>
        <v>Earth</v>
      </c>
      <c r="EO33" s="426" t="str">
        <f>K33</f>
        <v xml:space="preserve"> </v>
      </c>
      <c r="EP33" s="497" t="str">
        <f ca="1">IF(AND(Z33&lt;&gt;"t",Z33&lt;&gt;"f"),"",IF(AND(EN33=$BH$14,K33&lt;&gt;EN33),EP$4,IF(AND(EN33=$BH$13,K33=$BH$12),EP$4,IF(AND(EN33=$BH$13,K33=$BH$11),EP$4,IF(AND(EN33=$BH$12,K33=$BH$11),$EP$4,IF(EN33=$BH$11,"Earth",""))))))</f>
        <v/>
      </c>
      <c r="EQ33" s="430" t="str">
        <f ca="1">IF(Z33&lt;&gt;"t","",IF(EQ$5=2,IF(K33&lt;&gt;BH$11,EQ$7," ")))</f>
        <v/>
      </c>
      <c r="ER33" s="439" t="str">
        <f ca="1">IF(H33=0," ",H33)</f>
        <v xml:space="preserve"> </v>
      </c>
      <c r="ES33" s="440" t="str">
        <f ca="1">IF(ER33&lt;&gt;" ",IF(ER33&lt;&gt;ER$7,"Changed",""),"")</f>
        <v/>
      </c>
      <c r="ET33" s="440">
        <f t="shared" ca="1" si="19"/>
        <v>0</v>
      </c>
      <c r="EU33" s="426" t="str">
        <f ca="1">IF(I33=" "," ",IF(F33&lt;OFFSET($BM$9,CL33-1,0,1,1),1,""))</f>
        <v xml:space="preserve"> </v>
      </c>
      <c r="EW33" s="427"/>
    </row>
    <row r="34" spans="1:153" ht="17.100000000000001" customHeight="1">
      <c r="B34" s="689" t="s">
        <v>246</v>
      </c>
      <c r="C34" s="684" t="str">
        <f>IF(OR(F34=0,I34="",I34=" ")," ",$V34)</f>
        <v xml:space="preserve"> </v>
      </c>
      <c r="D34" s="1033"/>
      <c r="E34" s="1360" t="s">
        <v>8</v>
      </c>
      <c r="F34" s="202"/>
      <c r="G34" s="1416"/>
      <c r="H34" s="1417" t="str">
        <f ca="1">IF(OR(F34=0,Z34="E",Z34="f")," ",'Project Demand'!E$55)</f>
        <v xml:space="preserve"> </v>
      </c>
      <c r="I34" s="631" t="str">
        <f>IF($I$6&lt;&gt;$BG$8," ",AB34)</f>
        <v xml:space="preserve"> </v>
      </c>
      <c r="J34" s="44" t="str">
        <f ca="1">IF(OR(I34=" ",I34="")," ",OFFSET($BO$9,CL34-1,0-4,1,1))</f>
        <v xml:space="preserve"> </v>
      </c>
      <c r="K34" s="55" t="str">
        <f>IF(OR(I34=" ",I34="")," ",IF(OR(Z34="e",Z34="h"),"SD",IF(BG$24=BH$11,BH$13,BG$24)))</f>
        <v xml:space="preserve"> </v>
      </c>
      <c r="L34" s="49">
        <f ca="1">CW34</f>
        <v>0</v>
      </c>
      <c r="M34" s="49">
        <f ca="1">CY34</f>
        <v>0</v>
      </c>
      <c r="N34" s="50">
        <f t="shared" ca="1" si="27"/>
        <v>0</v>
      </c>
      <c r="O34" s="126">
        <f t="shared" ca="1" si="27"/>
        <v>0</v>
      </c>
      <c r="P34" s="140"/>
      <c r="Q34" s="752" t="str">
        <f ca="1">IF(AND(OR(Z34="t",Z34="f"),K34=$BH$11),"No Floor!  Change Floor Type",IF(OR(I34=" ",I34="")," ",IF(F34&lt;OFFSET($BM$9,CL34-1,0,1,1),"check L(m)",DE34&amp;IF(AND(DP34&gt;=CY34,DR34&gt;=DB34),IF(AND(ED34&gt;=DP34,EF34&gt;=DR34),CONCATENATE(DS34," will provide same result"),CONCATENATE(CO34," will provide same result")),IF((DP34&gt;=CY34),CONCATENATE(CO34," provides same result in WIND"),IF((DR34&gt;=DB34),CONCATENATE(CO34," provides same result in EQ"),""))))))&amp;IF(ISERROR(FIND("pile",I34,1)),"",IF(INT(F34)&lt;&gt;F34,"Pile!  Use Whole Numbers Only",""))</f>
        <v xml:space="preserve"> </v>
      </c>
      <c r="R34" s="52"/>
      <c r="S34" s="1372"/>
      <c r="T34" s="1372"/>
      <c r="U34" s="1377"/>
      <c r="V34" s="52" t="str">
        <f ca="1">IF(AND(B$5=$BF$9,OR(I34=BH$16,I34=BH$17))," ",IF(ISNUMBER(B$32),(CONCATENATE(B$32,".",W34)),(CONCATENATE(B$32,W34))))</f>
        <v>Q0</v>
      </c>
      <c r="W34" s="9">
        <f ca="1">W33+X34</f>
        <v>0</v>
      </c>
      <c r="X34" s="9">
        <f>IF(AND(B$5=$BF$9,OR($I34=$BH$16,$I34=$BH$17,$I34=" ",$I34="",$F34=0)),0,IF(OR($I34=" ",$I34="",$F34=0),0,1))</f>
        <v>0</v>
      </c>
      <c r="Y34" s="896"/>
      <c r="Z34" s="52" t="str">
        <f ca="1">IF(I34=" "," ",OFFSET($BM$9,$CL34-1,8,1,1))</f>
        <v xml:space="preserve"> </v>
      </c>
      <c r="AA34" s="51" t="str">
        <f>IF(G34&gt;=45,"WA","")</f>
        <v/>
      </c>
      <c r="AB34" s="1364" t="str">
        <f>IF(OR(E34=" ",E34="")," ",(IF(F34&lt;&gt;"",IF(OR(D34=$BG$12,D34=$BG$13),IF(E34&lt;&gt;$BG$17,$BF$20,$BF$21),IF(E34&lt;&gt;$BG$17,$BF$20,$BF$21))," ")))</f>
        <v xml:space="preserve"> </v>
      </c>
      <c r="AC34" s="1"/>
      <c r="AJ34" s="2"/>
      <c r="AM34" s="4"/>
      <c r="AN34" s="4"/>
      <c r="AO34" s="4"/>
      <c r="AP34" s="4"/>
      <c r="AQ34" s="4"/>
      <c r="AR34" s="10"/>
      <c r="AS34" s="10"/>
      <c r="AT34" s="4"/>
      <c r="AU34" s="119"/>
      <c r="BD34" s="2648"/>
      <c r="BF34" s="598" t="str">
        <f>'Custom Elements'!C10</f>
        <v>Custom2</v>
      </c>
      <c r="BI34" s="759"/>
      <c r="BJ34" s="897">
        <f t="shared" si="6"/>
        <v>26</v>
      </c>
      <c r="BK34" s="769" t="str">
        <f>'Custom Elements'!O10</f>
        <v>NZS 3604</v>
      </c>
      <c r="BL34" s="771" t="str">
        <f>'Custom Elements'!P10</f>
        <v>Masonry 1.5</v>
      </c>
      <c r="BM34" s="455">
        <f>'Custom Elements'!Q10</f>
        <v>1.5</v>
      </c>
      <c r="BN34" s="455">
        <v>999</v>
      </c>
      <c r="BO34" s="455">
        <f>'Custom Elements'!R10</f>
        <v>100</v>
      </c>
      <c r="BP34" s="925">
        <f>'Custom Elements'!S10</f>
        <v>100</v>
      </c>
      <c r="BR34" s="764"/>
      <c r="BS34" s="455"/>
      <c r="BT34" s="455" t="s">
        <v>7</v>
      </c>
      <c r="BU34" s="925" t="s">
        <v>34</v>
      </c>
      <c r="BV34" s="483" t="str">
        <f t="shared" ref="BV34:BV39" si="32">BL34</f>
        <v>Masonry 1.5</v>
      </c>
      <c r="BW34" s="910">
        <f t="shared" si="28"/>
        <v>26</v>
      </c>
      <c r="BX34" s="925" t="str">
        <f>'Custom Elements'!U10</f>
        <v>Single</v>
      </c>
      <c r="CH34" s="764">
        <f t="shared" si="29"/>
        <v>0</v>
      </c>
      <c r="CI34" s="925">
        <f t="shared" si="30"/>
        <v>0</v>
      </c>
      <c r="CJ34" s="759"/>
      <c r="CK34" s="188"/>
      <c r="CL34" s="979">
        <f>VLOOKUP(I34,Prodlink,2,0)</f>
        <v>0</v>
      </c>
      <c r="CN34" s="497">
        <f t="shared" ca="1" si="2"/>
        <v>0</v>
      </c>
      <c r="CO34" s="497">
        <f ca="1">OFFSET($CH$9,CL34-1,-15,1,1)</f>
        <v>0</v>
      </c>
      <c r="CQ34" s="51">
        <v>0</v>
      </c>
      <c r="CR34" s="51">
        <f t="shared" ca="1" si="31"/>
        <v>10000</v>
      </c>
      <c r="CS34" s="51">
        <f ca="1">IF(F34&lt;OFFSET($BM$9,CL34-1,0,1,1),0,IF(F34&lt;OFFSET($BN$9,CL34-1,0,1,1),((F34-OFFSET($BM$9,CL34-1,0,1,1))*OFFSET($CH$9,CL34-1,0,1,1))+OFFSET($BO$9,CL34-1,CQ34,1,1),IF(F34&lt;OFFSET($BN$9,CL34+0,0,1,1),((F34-OFFSET($BM$9,CL34+0,0,1,1))*OFFSET($CH$9,CL34+0,0,1,1))+OFFSET($BO$9,CL34+0,CQ34,1,1),IF(F34&lt;OFFSET($BN$9,CL34+1,0,1,1),((F34-OFFSET($BM$9,CL34+1,0,1,1))*OFFSET($CH$9,CL34+1,0,1,1))+OFFSET($BO$9,CL34+1,CQ34,1,1),IF(F34&lt;OFFSET($BN$9,CL34+2,0,1,1),((F34-OFFSET($BM$9,CL34+2,0,1,1))*OFFSET($CH$9,CL34+2,0,1,1))+OFFSET($BO$9,CL34+2,CQ34,1,1),IF(F34&lt;OFFSET($BN$9,CL34+3,0,1,1),((F34-OFFSET($BM$9,CL34+3,0,1,1))*OFFSET($CH$9,CL34+3,0,1,1))+OFFSET($BO$9,CL34+3,CQ34,1,1),0))))))</f>
        <v>0</v>
      </c>
      <c r="CT34" s="51">
        <f ca="1">IF($F34&lt;OFFSET($BM$9,$CL34-1,0,1,1),0,IF($F34&lt;OFFSET($BN$9,$CL34-1,0,1,1),IF(AND($H34&gt;2.4,Z34&lt;&gt;"e",Z34&lt;&gt;"f"),CX34*2.4/$H34,CX34),IF($F34&lt;OFFSET($BN$9,$CL34+0,0,1,1),IF(AND($H34&gt;2.4,Z34&lt;&gt;"e",Z34&lt;&gt;"f"),CX34*2.4/$H34,CX34),IF($F34&lt;OFFSET($BN$9,$CL34+1,0,1,1),IF(AND($H34&gt;2.4,Z34&lt;&gt;"e",Z34&lt;&gt;"f"),CX34*2.4/$H34,CX34),IF($F34&lt;OFFSET($BN$9,CL34+2,0,1,1),IF(AND($H34&gt;2.4,Z34&lt;&gt;"e",Z34&lt;&gt;"f"),CX34*2.4/$H34,CX34),IF($F34&lt;OFFSET($BN$9,CL34+3,0,1,1),IF(AND($H34&gt;2.4,Z34&lt;&gt;"e",Z34&lt;&gt;"f"),CX34*2.4/$H34,CX34),0)))))*COS(RADIANS($G34)))</f>
        <v>0</v>
      </c>
      <c r="CU34" s="51">
        <f ca="1">IF(F34&lt;OFFSET($BM$9,CL34-1,0,1,1),0,IF(F34&lt;OFFSET($BN$9,CL34-1,0,1,1),((F34-OFFSET($BM$9,CL34-1,0,1,1))*OFFSET($CI$9,CL34-1,0,1,1))+OFFSET($BP$9,CL34-1,CQ34,1,1),IF(F34&lt;OFFSET($BN$9,CL34+0,0,1,1),((F34-OFFSET($BM$9,CL34+0,0,1,1))*OFFSET($CI$9,CL34+0,0,1,1))+OFFSET($BP$9,CL34+0,CQ34,1,1),IF(F34&lt;OFFSET($BN$9,CL34+1,0,1,1),((F34-OFFSET($BM$9,CL34+1,0,1,1))*OFFSET($CI$9,CL34+1,0,1,1))+OFFSET($BP$9,CL34+1,CQ34,1,1),IF(F34&lt;OFFSET($BN$9,CL34+2,0,1,1),((F34-OFFSET($BM$9,CL34+2,0,1,1))*OFFSET($CI$9,CL34+2,0,1,1))+OFFSET($BP$9,CL34+2,CQ34,1,1),IF(F34&lt;OFFSET($BN$9,CL34+3,0,1,1),((F34-OFFSET($BM$9,CL34+3,0,1,1))*OFFSET($CI$9,CL34+3,0,1,1))+OFFSET($BP$9,CL34+3,CQ34,1,1),0))))))</f>
        <v>0</v>
      </c>
      <c r="CV34" s="51">
        <f ca="1">IF($F34&lt;OFFSET($BM$9,$CL34-1,0,1,1),0,IF($F34&lt;OFFSET($BN$9,$CL34-1,0,1,1),IF(AND($H34&gt;2.4,Z34&lt;&gt;"e",Z34&lt;&gt;"f"),CZ34*2.4/$H34,CZ34),IF($F34&lt;OFFSET($BN$9,$CL34+0,0,1,1),IF(AND($H34&gt;2.4,Z34&lt;&gt;"e",Z34&lt;&gt;"f"),CZ34*2.4/$H34,CZ34),IF($F34&lt;OFFSET($BN$9,$CL34+1,0,1,1),IF(AND($H34&gt;2.4,Z34&lt;&gt;"e",Z34&lt;&gt;"f"),CZ34*2.4/$H34,CZ34),IF($F34&lt;OFFSET($BN$9,$CL34+2,0,1,1),IF(AND($H34&gt;2.4,Z34&lt;&gt;"e",Z34&lt;&gt;"f"),CZ34*2.4/$H34,CZ34),IF($F34&lt;OFFSET($BN$9,$CL34+3,0,1,1),IF(AND($H34&gt;2.4,Z34&lt;&gt;"e",Z34&lt;&gt;"f"),CZ34*2.4/$H34,CZ34),0)))))*COS(RADIANS($G34)))</f>
        <v>0</v>
      </c>
      <c r="CW34" s="51">
        <f t="shared" ca="1" si="18"/>
        <v>0</v>
      </c>
      <c r="CX34" s="51">
        <f ca="1">IF(CS34&gt;$CR34,$CR34,CS34)</f>
        <v>0</v>
      </c>
      <c r="CY34" s="51">
        <f ca="1">CW34*F34</f>
        <v>0</v>
      </c>
      <c r="CZ34" s="51">
        <f ca="1">IF($CU34&gt;$CR34,$CR34,$CU34)</f>
        <v>0</v>
      </c>
      <c r="DA34" s="51">
        <f ca="1">IF(CV34&gt;CR34,CR34,CV34)</f>
        <v>0</v>
      </c>
      <c r="DB34" s="51">
        <f ca="1">DA34*F34</f>
        <v>0</v>
      </c>
      <c r="DC34" s="993">
        <v>1</v>
      </c>
      <c r="DD34" s="758" t="str">
        <f>IF(OR(D34=BG$12,D34=BG$13),"External",IF(D34=BG$14,"Internal"," "))</f>
        <v xml:space="preserve"> </v>
      </c>
      <c r="DE34" s="51" t="str">
        <f t="shared" ca="1" si="4"/>
        <v/>
      </c>
      <c r="DF34" s="52" t="str">
        <f t="shared" ca="1" si="5"/>
        <v xml:space="preserve"> </v>
      </c>
      <c r="DG34" s="51">
        <f ca="1">IF(F34&lt;OFFSET($BM$9,CN34-1,0,1,1),0,IF(F34&lt;OFFSET($BN$9,CN34-1,0,1,1),((F34-OFFSET($BM$9,CN34-1,0,1,1))*OFFSET($CH$9,CN34-1,0,1,1))+OFFSET($BO$9,CN34-1,CQ34,1,1),IF(F34&lt;OFFSET($BN$9,CN34+0,0,1,1),((F34-OFFSET($BM$9,CN34+0,0,1,1))*OFFSET($CH$9,CN34+0,0,1,1))+OFFSET($BO$9,CN34+0,CQ34,1,1),IF(F34&lt;OFFSET($BN$9,CN34+1,0,1,1),((F34-OFFSET($BM$9,CN34+1,0,1,1))*OFFSET($CH$9,CN34+1,0,1,1))+OFFSET($BO$9,CN34+1,CQ34,1,1),IF(F34&lt;OFFSET($BN$9,CN34+2,0,1,1),((F34-OFFSET($BM$9,CN34+2,0,1,1))*OFFSET($CH$9,CN34+2,0,1,1))+OFFSET($BO$9,CN34+2,CQ34,1,1),IF(F34&lt;OFFSET($BN$9,CN34+3,0,1,1),((F34-OFFSET($BM$9,CN34+3,0,1,1))*OFFSET($CH$9,CN34+3,0,1,1))+OFFSET($BO$9,CN34+3,CQ34,1,1),0))))))</f>
        <v>0</v>
      </c>
      <c r="DH34" s="51">
        <f ca="1">IF($F34&lt;OFFSET($BM$9,$CN34-1,0,1,1),0,IF($F34&lt;OFFSET($BN$9,$CN34-1,0,1,1),IF(AND($H34&gt;2.4,Z34&lt;&gt;"e",Z34&lt;&gt;"f"),DL34*2.4/$H34,DL34),IF($F34&lt;OFFSET($BN$9,$CN34+0,0,1,1),IF(AND($H34&gt;2.4,Z34&lt;&gt;"e",Z34&lt;&gt;"f"),DL34*2.4/$H34,DL34),IF($F34&lt;OFFSET($BN$9,$CN34+1,0,1,1),IF(AND($H34&gt;2.4,Z34&lt;&gt;"e",Z34&lt;&gt;"f"),DL34*2.4/$H34,DL34),IF($F34&lt;OFFSET($BN$9,$CN34+2,0,1,1),IF(AND($H34&gt;2.4,Z34&lt;&gt;"e",Z34&lt;&gt;"f"),DL34*2.4/$H34,DL34),IF($F34&lt;OFFSET($BN$9,$CN34+3,0,1,1),IF(AND($H34&gt;2.4,Z34&lt;&gt;"e",Z34&lt;&gt;"f"),DL34*2.4/$H34,DL34),0)))))*COS(RADIANS($G34)))</f>
        <v>0</v>
      </c>
      <c r="DI34" s="51">
        <f ca="1">IF(F34&lt;OFFSET($BM$9,CN34-1,0,1,1),0,IF(F34&lt;OFFSET($BN$9,CN34-1,0,1,1),((F34-OFFSET($BM$9,CN34-1,0,1,1))*OFFSET($CI$9,CN34-1,0,1,1))+OFFSET($BP$9,CN34-1,CQ34,1,1),IF(F34&lt;OFFSET($BN$9,CN34+0,0,1,1),((F34-OFFSET($BM$9,CN34+0,0,1,1))*OFFSET($CI$9,CN34+0,0,1,1))+OFFSET($BP$9,CN34+0,CQ34,1,1),IF(F34&lt;OFFSET($BN$9,CN34+1,0,1,1),((F34-OFFSET($BM$9,CN34+1,0,1,1))*OFFSET($CI$9,CN34+1,0,1,1))+OFFSET($BP$9,CN34+1,CQ34,1,1),IF(F34&lt;OFFSET($BN$9,CN34+2,0,1,1),((F34-OFFSET($BM$9,CN34+2,0,1,1))*OFFSET($CI$9,CN34+2,0,1,1))+OFFSET($BP$9,CN34+2,CQ34,1,1),IF(F34&lt;OFFSET($BN$9,CN34+3,0,1,1),((F34-OFFSET($BM$9,CN34+3,0,1,1))*OFFSET($CI$9,CN34+3,0,1,1))+OFFSET($BP$9,CN34+3,CQ34,1,1),0))))))</f>
        <v>0</v>
      </c>
      <c r="DJ34" s="51">
        <f ca="1">IF($F34&lt;OFFSET($BM$9,$CN34-1,0,1,1),0,IF($F34&lt;OFFSET($BN$9,$CN34-1,0,1,1),IF(AND($H34&gt;2.4,Z34&lt;&gt;"e",Z34&lt;&gt;"f"),DN34*2.4/$H34,DN34),IF($F34&lt;OFFSET($BN$9,$CN34+0,0,1,1),IF(AND($H34&gt;2.4,Z34&lt;&gt;"e",Z34&lt;&gt;"f"),DN34*2.4/$H34,DN34),IF($F34&lt;OFFSET($BN$9,$CN34+1,0,1,1),IF(AND($H34&gt;2.4,Z34&lt;&gt;"e",Z34&lt;&gt;"f"),DN34*2.4/$H34,DN34),IF($F34&lt;OFFSET($BN$9,$CN34+2,0,1,1),IF(AND($H34&gt;2.4,Z34&lt;&gt;"e",Z34&lt;&gt;"f"),DN34*2.4/$H34,DN34),IF($F34&lt;OFFSET($BN$9,$CN34+3,0,1,1),IF(AND($H34&gt;2.4,Z34&lt;&gt;"e",Z34&lt;&gt;"f"),DN34*2.4/$H34,DN34),0)))))*COS(RADIANS($G34)))</f>
        <v>0</v>
      </c>
      <c r="DK34" s="51"/>
      <c r="DL34" s="51">
        <f ca="1">IF(DG34&gt;$CR34,$CR34,DG34)</f>
        <v>0</v>
      </c>
      <c r="DM34" s="51"/>
      <c r="DN34" s="51">
        <f ca="1">IF(DI34&gt;$CR34,$CR34,DI34)</f>
        <v>0</v>
      </c>
      <c r="DO34" s="435">
        <f ca="1">IF(DH34&gt;$CR34,$CR34,DH34)</f>
        <v>0</v>
      </c>
      <c r="DP34" s="435">
        <f ca="1">DO34*F34</f>
        <v>0</v>
      </c>
      <c r="DQ34" s="436">
        <f ca="1">IF(DJ34&gt;$CR34,$CR34,DJ34)</f>
        <v>0</v>
      </c>
      <c r="DR34" s="437">
        <f ca="1">DQ34*F34</f>
        <v>0</v>
      </c>
      <c r="DS34" s="426">
        <f ca="1">OFFSET($CH$9,CL34-1,-15,1,1)</f>
        <v>0</v>
      </c>
      <c r="DT34" s="426">
        <f t="shared" ca="1" si="1"/>
        <v>0</v>
      </c>
      <c r="DU34" s="188">
        <f ca="1">IF(F34&lt;OFFSET($BM$9,DT34-1,0,1,1),0,IF(F34&lt;OFFSET($BN$9,DT34-1,0,1,1),((F34-OFFSET($BM$9,DT34-1,0,1,1))*OFFSET($CH$9,DT34-1,0,1,1))+OFFSET($BO$9,DT34-1,CQ34,1,1),IF(F34&lt;OFFSET($BN$9,DT34+0,0,1,1),((F34-OFFSET($BM$9,DT34+0,0,1,1))*OFFSET($CH$9,DT34+0,0,1,1))+OFFSET($BO$9,DT34+0,CQ34,1,1),IF(F34&lt;OFFSET($BN$9,DT34+1,0,1,1),((F34-OFFSET($BM$9,DT34+1,0,1,1))*OFFSET($CH$9,DT34+1,0,1,1))+OFFSET($BO$9,DT34+1,CQ34,1,1),IF(F34&lt;OFFSET($BN$9,DT34+2,0,1,1),((F34-OFFSET($BM$9,DT34+2,0,1,1))*OFFSET($CH$9,DT34+2,0,1,1))+OFFSET($BO$9,DT34+2,CQ34,1,1),IF(F34&lt;OFFSET($BN$9,DT34+3,0,1,1),((F34-OFFSET($BM$9,DT34+3,0,1,1))*OFFSET($CH$9,DT34+3,0,1,1))+OFFSET($BO$9,DT34+3,CQ34,1,1),0))))))</f>
        <v>0</v>
      </c>
      <c r="DV34" s="51">
        <f ca="1">IF($F34&lt;OFFSET($BM$9,$DT34-1,0,1,1),0,IF($F34&lt;OFFSET($BN$9,$DT34-1,0,1,1),IF(AND($H34&gt;2.4,Z34&lt;&gt;"e",Z34&lt;&gt;"f"),DZ34*2.4/$H34,DZ34),IF($F34&lt;OFFSET($BN$9,$DT34+0,0,1,1),IF(AND($H34&gt;2.4,Z34&lt;&gt;"e",Z34&lt;&gt;"f"),DZ34*2.4/$H34,DZ34),IF($F34&lt;OFFSET($BN$9,$DT34+1,0,1,1),IF(AND($H34&gt;2.4,Z34&lt;&gt;"e",Z34&lt;&gt;"f"),DZ34*2.4/$H34,DZ34),IF($F34&lt;OFFSET($BN$9,$DT34+2,0,1,1),IF(AND($H34&gt;2.4,Z34&lt;&gt;"e",Z34&lt;&gt;"f"),DZ34*2.4/$H34,DZ34),IF($F34&lt;OFFSET($BN$9,$DT34+3,0,1,1),IF(AND($H34&gt;2.4,Z34&lt;&gt;"e",Z34&lt;&gt;"f"),DZ34*2.4/$H34,DZ34),0)))))*COS(RADIANS($G34)))</f>
        <v>0</v>
      </c>
      <c r="DW34" s="188">
        <f ca="1">IF(F34&lt;OFFSET($BM$9,DT34-1,0,1,1),0,IF(F34&lt;OFFSET($BN$9,DT34-1,0,1,1),((F34-OFFSET($BM$9,DT34-1,0,1,1))*OFFSET($CI$9,DT34-1,0,1,1))+OFFSET($BP$9,DT34-1,CQ34,1,1),IF(F34&lt;OFFSET($BN$9,DT34+0,0,1,1),((F34-OFFSET($BM$9,DT34+0,0,1,1))*OFFSET($CI$9,DT34+0,0,1,1))+OFFSET($BP$9,DT34+0,CQ34,1,1),IF(F34&lt;OFFSET($BN$9,DT34+1,0,1,1),((F34-OFFSET($BM$9,DT34+1,0,1,1))*OFFSET($CI$9,DT34+1,0,1,1))+OFFSET($BP$9,DT34+1,CQ34,1,1),IF(F34&lt;OFFSET($BN$9,DT34+2,0,1,1),((F34-OFFSET($BM$9,DT34+2,0,1,1))*OFFSET($CI$9,DT34+2,0,1,1))+OFFSET($BP$9,DT34+2,CQ34,1,1),IF(F34&lt;OFFSET($BN$9,DT34+3,0,1,1),((F34-OFFSET($BM$9,DT34+3,0,1,1))*OFFSET($CI$9,DT34+3,0,1,1))+OFFSET($BP$9,DT34+3,CQ34,1,1),0))))))</f>
        <v>0</v>
      </c>
      <c r="DX34" s="51">
        <f ca="1">IF($F34&lt;OFFSET($BM$9,$DT34-1,0,1,1),0,IF($F34&lt;OFFSET($BN$9,$DT34-1,0,1,1),IF(AND($H34&gt;2.4,Z34&lt;&gt;"e",Z34&lt;&gt;"f"),EB34*2.4/$H34,EB34),IF($F34&lt;OFFSET($BN$9,$DT34+0,0,1,1),IF(AND($H34&gt;2.4,Z34&lt;&gt;"e",Z34&lt;&gt;"f"),EB34*2.4/$H34,EB34),IF($F34&lt;OFFSET($BN$9,$DT34+1,0,1,1),IF(AND($H34&gt;2.4,Z34&lt;&gt;"e",Z34&lt;&gt;"f"),EB34*2.4/$H34,EB34),IF($F34&lt;OFFSET($BN$9,$DT34+2,0,1,1),IF(AND($H34&gt;2.4,Z34&lt;&gt;"e",Z34&lt;&gt;"f"),EB34*2.4/$H34,EB34),IF($F34&lt;OFFSET($BN$9,$DT34+3,0,1,1),IF(AND($H34&gt;2.4,Z34&lt;&gt;"e",Z34&lt;&gt;"f"),EB34*2.4/$H34,EB34),0)))))*COS(RADIANS($G34)))</f>
        <v>0</v>
      </c>
      <c r="DY34" s="188"/>
      <c r="DZ34" s="188">
        <f ca="1">IF(DU34&gt;$CR34,$CR34,DU34)</f>
        <v>0</v>
      </c>
      <c r="EA34" s="188"/>
      <c r="EB34" s="188">
        <f ca="1">IF(DW34&gt;$CR34,$CR34,DW34)</f>
        <v>0</v>
      </c>
      <c r="EC34" s="435">
        <f ca="1">IF(DV34&gt;$CR34,$CR34,DV34)</f>
        <v>0</v>
      </c>
      <c r="ED34" s="435">
        <f ca="1">EC34*F34</f>
        <v>0</v>
      </c>
      <c r="EE34" s="436">
        <f ca="1">IF(DX34&gt;$CR34,$CR34,DX34)</f>
        <v>0</v>
      </c>
      <c r="EF34" s="437">
        <f ca="1">EE34*F34</f>
        <v>0</v>
      </c>
      <c r="EG34" s="613" t="str">
        <f>IF(D34=BG$12,BG$12,"")</f>
        <v/>
      </c>
      <c r="EH34" s="614" t="str">
        <f>IF(D34=BG$13,BG$13,"")</f>
        <v/>
      </c>
      <c r="EI34" s="611">
        <f>IF(EG34=BG$12,M34,0)</f>
        <v>0</v>
      </c>
      <c r="EJ34" s="451">
        <f>IF(EG34=BG$12,O34,0)</f>
        <v>0</v>
      </c>
      <c r="EK34" s="451">
        <f>IF(EH34=BG$13,M34,0)</f>
        <v>0</v>
      </c>
      <c r="EL34" s="612">
        <f>IF(EH34=BG$13,O34,0)</f>
        <v>0</v>
      </c>
      <c r="EM34" s="426" t="str">
        <f ca="1">IF(AND(Z34&lt;&gt;"t",Z34&lt;&gt;"f"),"",IF(AND(EN34=$BH$11,K34&lt;&gt;EN34),EM$4,IF(AND(EN34=$BH$12,K34=$BH$13),EM$4,IF(AND(EN34=$BH$12,K34=$BH$14),EM$4,IF(AND(EN34=$BH$13,K34=$BH$14),$EM$4,IF(EN34=$BH$14,$EM$4,""))))))</f>
        <v/>
      </c>
      <c r="EN34" s="489" t="str">
        <f>BG$24</f>
        <v>Earth</v>
      </c>
      <c r="EO34" s="426" t="str">
        <f>K34</f>
        <v xml:space="preserve"> </v>
      </c>
      <c r="EP34" s="497" t="str">
        <f ca="1">IF(AND(Z34&lt;&gt;"t",Z34&lt;&gt;"f"),"",IF(AND(EN34=$BH$14,K34&lt;&gt;EN34),EP$4,IF(AND(EN34=$BH$13,K34=$BH$12),EP$4,IF(AND(EN34=$BH$13,K34=$BH$11),EP$4,IF(AND(EN34=$BH$12,K34=$BH$11),$EP$4,IF(EN34=$BH$11,"Earth",""))))))</f>
        <v/>
      </c>
      <c r="EQ34" s="430" t="str">
        <f ca="1">IF(Z34&lt;&gt;"t","",IF(EQ$5=2,IF(K34&lt;&gt;BH$11,EQ$7," ")))</f>
        <v/>
      </c>
      <c r="ER34" s="439" t="str">
        <f ca="1">IF(H34=0," ",H34)</f>
        <v xml:space="preserve"> </v>
      </c>
      <c r="ES34" s="440" t="str">
        <f ca="1">IF(ER34&lt;&gt;" ",IF(ER34&lt;&gt;ER$7,"Changed",""),"")</f>
        <v/>
      </c>
      <c r="ET34" s="440">
        <f t="shared" ca="1" si="19"/>
        <v>0</v>
      </c>
      <c r="EU34" s="426" t="str">
        <f ca="1">IF(I34=" "," ",IF(F34&lt;OFFSET($BM$9,CL34-1,0,1,1),1,""))</f>
        <v xml:space="preserve"> </v>
      </c>
      <c r="EW34" s="427"/>
    </row>
    <row r="35" spans="1:153" ht="17.100000000000001" customHeight="1">
      <c r="B35" s="689" t="s">
        <v>246</v>
      </c>
      <c r="C35" s="684" t="str">
        <f>IF(OR(F35=0,I35="",I35=" ")," ",$V35)</f>
        <v xml:space="preserve"> </v>
      </c>
      <c r="D35" s="1033"/>
      <c r="E35" s="1360" t="s">
        <v>8</v>
      </c>
      <c r="F35" s="202"/>
      <c r="G35" s="1416"/>
      <c r="H35" s="1417" t="str">
        <f ca="1">IF(OR(F35=0,Z35="E",Z35="f")," ",'Project Demand'!E$55)</f>
        <v xml:space="preserve"> </v>
      </c>
      <c r="I35" s="631" t="str">
        <f>IF($I$6&lt;&gt;$BG$8," ",AB35)</f>
        <v xml:space="preserve"> </v>
      </c>
      <c r="J35" s="44" t="str">
        <f ca="1">IF(OR(I35=" ",I35="")," ",OFFSET($BO$9,CL35-1,0-4,1,1))</f>
        <v xml:space="preserve"> </v>
      </c>
      <c r="K35" s="55" t="str">
        <f>IF(OR(I35=" ",I35="")," ",IF(OR(Z35="e",Z35="h"),"SD",IF(BG$24=BH$11,BH$13,BG$24)))</f>
        <v xml:space="preserve"> </v>
      </c>
      <c r="L35" s="49">
        <f ca="1">CW35</f>
        <v>0</v>
      </c>
      <c r="M35" s="49">
        <f ca="1">CY35</f>
        <v>0</v>
      </c>
      <c r="N35" s="50">
        <f t="shared" ca="1" si="27"/>
        <v>0</v>
      </c>
      <c r="O35" s="126">
        <f t="shared" ca="1" si="27"/>
        <v>0</v>
      </c>
      <c r="P35" s="140"/>
      <c r="Q35" s="752" t="str">
        <f ca="1">IF(AND(OR(Z35="t",Z35="f"),K35=$BH$11),"No Floor!  Change Floor Type",IF(OR(I35=" ",I35="")," ",IF(F35&lt;OFFSET($BM$9,CL35-1,0,1,1),"check L(m)",DE35&amp;IF(AND(DP35&gt;=CY35,DR35&gt;=DB35),IF(AND(ED35&gt;=DP35,EF35&gt;=DR35),CONCATENATE(DS35," will provide same result"),CONCATENATE(CO35," will provide same result")),IF((DP35&gt;=CY35),CONCATENATE(CO35," provides same result in WIND"),IF((DR35&gt;=DB35),CONCATENATE(CO35," provides same result in EQ"),""))))))&amp;IF(ISERROR(FIND("pile",I35,1)),"",IF(INT(F35)&lt;&gt;F35,"Pile!  Use Whole Numbers Only",""))</f>
        <v xml:space="preserve"> </v>
      </c>
      <c r="R35" s="52"/>
      <c r="S35" s="1372"/>
      <c r="T35" s="1372"/>
      <c r="U35" s="1377"/>
      <c r="V35" s="52" t="str">
        <f ca="1">IF(AND(B$5=$BF$9,OR(I35=BH$16,I35=BH$17))," ",IF(ISNUMBER(B$32),(CONCATENATE(B$32,".",W35)),(CONCATENATE(B$32,W35))))</f>
        <v>Q0</v>
      </c>
      <c r="W35" s="9">
        <f ca="1">W34+X35</f>
        <v>0</v>
      </c>
      <c r="X35" s="9">
        <f>IF(AND(B$5=$BF$9,OR($I35=$BH$16,$I35=$BH$17,$I35=" ",$I35="",$F35=0)),0,IF(OR($I35=" ",$I35="",$F35=0),0,1))</f>
        <v>0</v>
      </c>
      <c r="Y35" s="896"/>
      <c r="Z35" s="52" t="str">
        <f ca="1">IF(I35=" "," ",OFFSET($BM$9,$CL35-1,8,1,1))</f>
        <v xml:space="preserve"> </v>
      </c>
      <c r="AA35" s="51" t="str">
        <f>IF(G35&gt;=45,"WA","")</f>
        <v/>
      </c>
      <c r="AB35" s="1364" t="str">
        <f>IF(OR(E35=" ",E35="")," ",(IF(F35&lt;&gt;"",IF(OR(D35=$BG$12,D35=$BG$13),IF(E35&lt;&gt;$BG$17,$BF$20,$BF$21),IF(E35&lt;&gt;$BG$17,$BF$20,$BF$21))," ")))</f>
        <v xml:space="preserve"> </v>
      </c>
      <c r="AC35" s="1"/>
      <c r="AJ35" s="2"/>
      <c r="AM35" s="4"/>
      <c r="AN35" s="4"/>
      <c r="AO35" s="4"/>
      <c r="AP35" s="4"/>
      <c r="AQ35" s="4"/>
      <c r="AR35" s="10"/>
      <c r="AS35" s="10"/>
      <c r="AT35" s="4"/>
      <c r="AU35" s="119"/>
      <c r="BD35" s="2648"/>
      <c r="BF35" s="598" t="str">
        <f>'Custom Elements'!C11</f>
        <v>Custom3</v>
      </c>
      <c r="BG35" s="948" t="s">
        <v>775</v>
      </c>
      <c r="BI35" s="759"/>
      <c r="BJ35" s="897">
        <f t="shared" si="6"/>
        <v>27</v>
      </c>
      <c r="BK35" s="769" t="str">
        <f>'Custom Elements'!O11</f>
        <v>NZS 3604</v>
      </c>
      <c r="BL35" s="771" t="str">
        <f>'Custom Elements'!P11</f>
        <v>Masonry 3.0</v>
      </c>
      <c r="BM35" s="455">
        <f>'Custom Elements'!Q11</f>
        <v>1.5</v>
      </c>
      <c r="BN35" s="455">
        <v>999</v>
      </c>
      <c r="BO35" s="455">
        <f>'Custom Elements'!R11</f>
        <v>200</v>
      </c>
      <c r="BP35" s="925">
        <f>'Custom Elements'!S11</f>
        <v>200</v>
      </c>
      <c r="BR35" s="764"/>
      <c r="BS35" s="455"/>
      <c r="BT35" s="455" t="s">
        <v>7</v>
      </c>
      <c r="BU35" s="925" t="s">
        <v>34</v>
      </c>
      <c r="BV35" s="483" t="str">
        <f t="shared" si="32"/>
        <v>Masonry 3.0</v>
      </c>
      <c r="BW35" s="910">
        <f t="shared" si="28"/>
        <v>27</v>
      </c>
      <c r="BX35" s="925" t="str">
        <f>'Custom Elements'!U11</f>
        <v>Single</v>
      </c>
      <c r="CH35" s="764">
        <f t="shared" si="29"/>
        <v>0</v>
      </c>
      <c r="CI35" s="925">
        <f t="shared" si="30"/>
        <v>0</v>
      </c>
      <c r="CJ35" s="759"/>
      <c r="CK35" s="188"/>
      <c r="CL35" s="979">
        <f>VLOOKUP(I35,Prodlink,2,0)</f>
        <v>0</v>
      </c>
      <c r="CN35" s="497">
        <f t="shared" ca="1" si="2"/>
        <v>0</v>
      </c>
      <c r="CO35" s="497">
        <f ca="1">OFFSET($CH$9,CL35-1,-15,1,1)</f>
        <v>0</v>
      </c>
      <c r="CQ35" s="51">
        <v>0</v>
      </c>
      <c r="CR35" s="51">
        <f t="shared" ca="1" si="31"/>
        <v>10000</v>
      </c>
      <c r="CS35" s="51">
        <f ca="1">IF(F35&lt;OFFSET($BM$9,CL35-1,0,1,1),0,IF(F35&lt;OFFSET($BN$9,CL35-1,0,1,1),((F35-OFFSET($BM$9,CL35-1,0,1,1))*OFFSET($CH$9,CL35-1,0,1,1))+OFFSET($BO$9,CL35-1,CQ35,1,1),IF(F35&lt;OFFSET($BN$9,CL35+0,0,1,1),((F35-OFFSET($BM$9,CL35+0,0,1,1))*OFFSET($CH$9,CL35+0,0,1,1))+OFFSET($BO$9,CL35+0,CQ35,1,1),IF(F35&lt;OFFSET($BN$9,CL35+1,0,1,1),((F35-OFFSET($BM$9,CL35+1,0,1,1))*OFFSET($CH$9,CL35+1,0,1,1))+OFFSET($BO$9,CL35+1,CQ35,1,1),IF(F35&lt;OFFSET($BN$9,CL35+2,0,1,1),((F35-OFFSET($BM$9,CL35+2,0,1,1))*OFFSET($CH$9,CL35+2,0,1,1))+OFFSET($BO$9,CL35+2,CQ35,1,1),IF(F35&lt;OFFSET($BN$9,CL35+3,0,1,1),((F35-OFFSET($BM$9,CL35+3,0,1,1))*OFFSET($CH$9,CL35+3,0,1,1))+OFFSET($BO$9,CL35+3,CQ35,1,1),0))))))</f>
        <v>0</v>
      </c>
      <c r="CT35" s="51">
        <f ca="1">IF($F35&lt;OFFSET($BM$9,$CL35-1,0,1,1),0,IF($F35&lt;OFFSET($BN$9,$CL35-1,0,1,1),IF(AND($H35&gt;2.4,Z35&lt;&gt;"e",Z35&lt;&gt;"f"),CX35*2.4/$H35,CX35),IF($F35&lt;OFFSET($BN$9,$CL35+0,0,1,1),IF(AND($H35&gt;2.4,Z35&lt;&gt;"e",Z35&lt;&gt;"f"),CX35*2.4/$H35,CX35),IF($F35&lt;OFFSET($BN$9,$CL35+1,0,1,1),IF(AND($H35&gt;2.4,Z35&lt;&gt;"e",Z35&lt;&gt;"f"),CX35*2.4/$H35,CX35),IF($F35&lt;OFFSET($BN$9,CL35+2,0,1,1),IF(AND($H35&gt;2.4,Z35&lt;&gt;"e",Z35&lt;&gt;"f"),CX35*2.4/$H35,CX35),IF($F35&lt;OFFSET($BN$9,CL35+3,0,1,1),IF(AND($H35&gt;2.4,Z35&lt;&gt;"e",Z35&lt;&gt;"f"),CX35*2.4/$H35,CX35),0)))))*COS(RADIANS($G35)))</f>
        <v>0</v>
      </c>
      <c r="CU35" s="51">
        <f ca="1">IF(F35&lt;OFFSET($BM$9,CL35-1,0,1,1),0,IF(F35&lt;OFFSET($BN$9,CL35-1,0,1,1),((F35-OFFSET($BM$9,CL35-1,0,1,1))*OFFSET($CI$9,CL35-1,0,1,1))+OFFSET($BP$9,CL35-1,CQ35,1,1),IF(F35&lt;OFFSET($BN$9,CL35+0,0,1,1),((F35-OFFSET($BM$9,CL35+0,0,1,1))*OFFSET($CI$9,CL35+0,0,1,1))+OFFSET($BP$9,CL35+0,CQ35,1,1),IF(F35&lt;OFFSET($BN$9,CL35+1,0,1,1),((F35-OFFSET($BM$9,CL35+1,0,1,1))*OFFSET($CI$9,CL35+1,0,1,1))+OFFSET($BP$9,CL35+1,CQ35,1,1),IF(F35&lt;OFFSET($BN$9,CL35+2,0,1,1),((F35-OFFSET($BM$9,CL35+2,0,1,1))*OFFSET($CI$9,CL35+2,0,1,1))+OFFSET($BP$9,CL35+2,CQ35,1,1),IF(F35&lt;OFFSET($BN$9,CL35+3,0,1,1),((F35-OFFSET($BM$9,CL35+3,0,1,1))*OFFSET($CI$9,CL35+3,0,1,1))+OFFSET($BP$9,CL35+3,CQ35,1,1),0))))))</f>
        <v>0</v>
      </c>
      <c r="CV35" s="51">
        <f ca="1">IF($F35&lt;OFFSET($BM$9,$CL35-1,0,1,1),0,IF($F35&lt;OFFSET($BN$9,$CL35-1,0,1,1),IF(AND($H35&gt;2.4,Z35&lt;&gt;"e",Z35&lt;&gt;"f"),CZ35*2.4/$H35,CZ35),IF($F35&lt;OFFSET($BN$9,$CL35+0,0,1,1),IF(AND($H35&gt;2.4,Z35&lt;&gt;"e",Z35&lt;&gt;"f"),CZ35*2.4/$H35,CZ35),IF($F35&lt;OFFSET($BN$9,$CL35+1,0,1,1),IF(AND($H35&gt;2.4,Z35&lt;&gt;"e",Z35&lt;&gt;"f"),CZ35*2.4/$H35,CZ35),IF($F35&lt;OFFSET($BN$9,$CL35+2,0,1,1),IF(AND($H35&gt;2.4,Z35&lt;&gt;"e",Z35&lt;&gt;"f"),CZ35*2.4/$H35,CZ35),IF($F35&lt;OFFSET($BN$9,$CL35+3,0,1,1),IF(AND($H35&gt;2.4,Z35&lt;&gt;"e",Z35&lt;&gt;"f"),CZ35*2.4/$H35,CZ35),0)))))*COS(RADIANS($G35)))</f>
        <v>0</v>
      </c>
      <c r="CW35" s="51">
        <f t="shared" ca="1" si="18"/>
        <v>0</v>
      </c>
      <c r="CX35" s="51">
        <f ca="1">IF(CS35&gt;$CR35,$CR35,CS35)</f>
        <v>0</v>
      </c>
      <c r="CY35" s="51">
        <f ca="1">CW35*F35</f>
        <v>0</v>
      </c>
      <c r="CZ35" s="51">
        <f ca="1">IF($CU35&gt;$CR35,$CR35,$CU35)</f>
        <v>0</v>
      </c>
      <c r="DA35" s="51">
        <f ca="1">IF(CV35&gt;CR35,CR35,CV35)</f>
        <v>0</v>
      </c>
      <c r="DB35" s="51">
        <f ca="1">DA35*F35</f>
        <v>0</v>
      </c>
      <c r="DC35" s="993">
        <v>1</v>
      </c>
      <c r="DD35" s="758" t="str">
        <f>IF(OR(D35=BG$12,D35=BG$13),"External",IF(D35=BG$14,"Internal"," "))</f>
        <v xml:space="preserve"> </v>
      </c>
      <c r="DE35" s="51" t="str">
        <f t="shared" ca="1" si="4"/>
        <v/>
      </c>
      <c r="DF35" s="52" t="str">
        <f t="shared" ca="1" si="5"/>
        <v xml:space="preserve"> </v>
      </c>
      <c r="DG35" s="51">
        <f ca="1">IF(F35&lt;OFFSET($BM$9,CN35-1,0,1,1),0,IF(F35&lt;OFFSET($BN$9,CN35-1,0,1,1),((F35-OFFSET($BM$9,CN35-1,0,1,1))*OFFSET($CH$9,CN35-1,0,1,1))+OFFSET($BO$9,CN35-1,CQ35,1,1),IF(F35&lt;OFFSET($BN$9,CN35+0,0,1,1),((F35-OFFSET($BM$9,CN35+0,0,1,1))*OFFSET($CH$9,CN35+0,0,1,1))+OFFSET($BO$9,CN35+0,CQ35,1,1),IF(F35&lt;OFFSET($BN$9,CN35+1,0,1,1),((F35-OFFSET($BM$9,CN35+1,0,1,1))*OFFSET($CH$9,CN35+1,0,1,1))+OFFSET($BO$9,CN35+1,CQ35,1,1),IF(F35&lt;OFFSET($BN$9,CN35+2,0,1,1),((F35-OFFSET($BM$9,CN35+2,0,1,1))*OFFSET($CH$9,CN35+2,0,1,1))+OFFSET($BO$9,CN35+2,CQ35,1,1),IF(F35&lt;OFFSET($BN$9,CN35+3,0,1,1),((F35-OFFSET($BM$9,CN35+3,0,1,1))*OFFSET($CH$9,CN35+3,0,1,1))+OFFSET($BO$9,CN35+3,CQ35,1,1),0))))))</f>
        <v>0</v>
      </c>
      <c r="DH35" s="51">
        <f ca="1">IF($F35&lt;OFFSET($BM$9,$CN35-1,0,1,1),0,IF($F35&lt;OFFSET($BN$9,$CN35-1,0,1,1),IF(AND($H35&gt;2.4,Z35&lt;&gt;"e",Z35&lt;&gt;"f"),DL35*2.4/$H35,DL35),IF($F35&lt;OFFSET($BN$9,$CN35+0,0,1,1),IF(AND($H35&gt;2.4,Z35&lt;&gt;"e",Z35&lt;&gt;"f"),DL35*2.4/$H35,DL35),IF($F35&lt;OFFSET($BN$9,$CN35+1,0,1,1),IF(AND($H35&gt;2.4,Z35&lt;&gt;"e",Z35&lt;&gt;"f"),DL35*2.4/$H35,DL35),IF($F35&lt;OFFSET($BN$9,$CN35+2,0,1,1),IF(AND($H35&gt;2.4,Z35&lt;&gt;"e",Z35&lt;&gt;"f"),DL35*2.4/$H35,DL35),IF($F35&lt;OFFSET($BN$9,$CN35+3,0,1,1),IF(AND($H35&gt;2.4,Z35&lt;&gt;"e",Z35&lt;&gt;"f"),DL35*2.4/$H35,DL35),0)))))*COS(RADIANS($G35)))</f>
        <v>0</v>
      </c>
      <c r="DI35" s="51">
        <f ca="1">IF(F35&lt;OFFSET($BM$9,CN35-1,0,1,1),0,IF(F35&lt;OFFSET($BN$9,CN35-1,0,1,1),((F35-OFFSET($BM$9,CN35-1,0,1,1))*OFFSET($CI$9,CN35-1,0,1,1))+OFFSET($BP$9,CN35-1,CQ35,1,1),IF(F35&lt;OFFSET($BN$9,CN35+0,0,1,1),((F35-OFFSET($BM$9,CN35+0,0,1,1))*OFFSET($CI$9,CN35+0,0,1,1))+OFFSET($BP$9,CN35+0,CQ35,1,1),IF(F35&lt;OFFSET($BN$9,CN35+1,0,1,1),((F35-OFFSET($BM$9,CN35+1,0,1,1))*OFFSET($CI$9,CN35+1,0,1,1))+OFFSET($BP$9,CN35+1,CQ35,1,1),IF(F35&lt;OFFSET($BN$9,CN35+2,0,1,1),((F35-OFFSET($BM$9,CN35+2,0,1,1))*OFFSET($CI$9,CN35+2,0,1,1))+OFFSET($BP$9,CN35+2,CQ35,1,1),IF(F35&lt;OFFSET($BN$9,CN35+3,0,1,1),((F35-OFFSET($BM$9,CN35+3,0,1,1))*OFFSET($CI$9,CN35+3,0,1,1))+OFFSET($BP$9,CN35+3,CQ35,1,1),0))))))</f>
        <v>0</v>
      </c>
      <c r="DJ35" s="51">
        <f ca="1">IF($F35&lt;OFFSET($BM$9,$CN35-1,0,1,1),0,IF($F35&lt;OFFSET($BN$9,$CN35-1,0,1,1),IF(AND($H35&gt;2.4,Z35&lt;&gt;"e",Z35&lt;&gt;"f"),DN35*2.4/$H35,DN35),IF($F35&lt;OFFSET($BN$9,$CN35+0,0,1,1),IF(AND($H35&gt;2.4,Z35&lt;&gt;"e",Z35&lt;&gt;"f"),DN35*2.4/$H35,DN35),IF($F35&lt;OFFSET($BN$9,$CN35+1,0,1,1),IF(AND($H35&gt;2.4,Z35&lt;&gt;"e",Z35&lt;&gt;"f"),DN35*2.4/$H35,DN35),IF($F35&lt;OFFSET($BN$9,$CN35+2,0,1,1),IF(AND($H35&gt;2.4,Z35&lt;&gt;"e",Z35&lt;&gt;"f"),DN35*2.4/$H35,DN35),IF($F35&lt;OFFSET($BN$9,$CN35+3,0,1,1),IF(AND($H35&gt;2.4,Z35&lt;&gt;"e",Z35&lt;&gt;"f"),DN35*2.4/$H35,DN35),0)))))*COS(RADIANS($G35)))</f>
        <v>0</v>
      </c>
      <c r="DK35" s="51"/>
      <c r="DL35" s="51">
        <f ca="1">IF(DG35&gt;$CR35,$CR35,DG35)</f>
        <v>0</v>
      </c>
      <c r="DM35" s="51"/>
      <c r="DN35" s="51">
        <f ca="1">IF(DI35&gt;$CR35,$CR35,DI35)</f>
        <v>0</v>
      </c>
      <c r="DO35" s="435">
        <f ca="1">IF(DH35&gt;$CR35,$CR35,DH35)</f>
        <v>0</v>
      </c>
      <c r="DP35" s="435">
        <f ca="1">DO35*F35</f>
        <v>0</v>
      </c>
      <c r="DQ35" s="436">
        <f ca="1">IF(DJ35&gt;$CR35,$CR35,DJ35)</f>
        <v>0</v>
      </c>
      <c r="DR35" s="437">
        <f ca="1">DQ35*F35</f>
        <v>0</v>
      </c>
      <c r="DS35" s="426">
        <f ca="1">OFFSET($CH$9,CL35-1,-15,1,1)</f>
        <v>0</v>
      </c>
      <c r="DT35" s="426">
        <f t="shared" ca="1" si="1"/>
        <v>0</v>
      </c>
      <c r="DU35" s="188">
        <f ca="1">IF(F35&lt;OFFSET($BM$9,DT35-1,0,1,1),0,IF(F35&lt;OFFSET($BN$9,DT35-1,0,1,1),((F35-OFFSET($BM$9,DT35-1,0,1,1))*OFFSET($CH$9,DT35-1,0,1,1))+OFFSET($BO$9,DT35-1,CQ35,1,1),IF(F35&lt;OFFSET($BN$9,DT35+0,0,1,1),((F35-OFFSET($BM$9,DT35+0,0,1,1))*OFFSET($CH$9,DT35+0,0,1,1))+OFFSET($BO$9,DT35+0,CQ35,1,1),IF(F35&lt;OFFSET($BN$9,DT35+1,0,1,1),((F35-OFFSET($BM$9,DT35+1,0,1,1))*OFFSET($CH$9,DT35+1,0,1,1))+OFFSET($BO$9,DT35+1,CQ35,1,1),IF(F35&lt;OFFSET($BN$9,DT35+2,0,1,1),((F35-OFFSET($BM$9,DT35+2,0,1,1))*OFFSET($CH$9,DT35+2,0,1,1))+OFFSET($BO$9,DT35+2,CQ35,1,1),IF(F35&lt;OFFSET($BN$9,DT35+3,0,1,1),((F35-OFFSET($BM$9,DT35+3,0,1,1))*OFFSET($CH$9,DT35+3,0,1,1))+OFFSET($BO$9,DT35+3,CQ35,1,1),0))))))</f>
        <v>0</v>
      </c>
      <c r="DV35" s="51">
        <f ca="1">IF($F35&lt;OFFSET($BM$9,$DT35-1,0,1,1),0,IF($F35&lt;OFFSET($BN$9,$DT35-1,0,1,1),IF(AND($H35&gt;2.4,Z35&lt;&gt;"e",Z35&lt;&gt;"f"),DZ35*2.4/$H35,DZ35),IF($F35&lt;OFFSET($BN$9,$DT35+0,0,1,1),IF(AND($H35&gt;2.4,Z35&lt;&gt;"e",Z35&lt;&gt;"f"),DZ35*2.4/$H35,DZ35),IF($F35&lt;OFFSET($BN$9,$DT35+1,0,1,1),IF(AND($H35&gt;2.4,Z35&lt;&gt;"e",Z35&lt;&gt;"f"),DZ35*2.4/$H35,DZ35),IF($F35&lt;OFFSET($BN$9,$DT35+2,0,1,1),IF(AND($H35&gt;2.4,Z35&lt;&gt;"e",Z35&lt;&gt;"f"),DZ35*2.4/$H35,DZ35),IF($F35&lt;OFFSET($BN$9,$DT35+3,0,1,1),IF(AND($H35&gt;2.4,Z35&lt;&gt;"e",Z35&lt;&gt;"f"),DZ35*2.4/$H35,DZ35),0)))))*COS(RADIANS($G35)))</f>
        <v>0</v>
      </c>
      <c r="DW35" s="188">
        <f ca="1">IF(F35&lt;OFFSET($BM$9,DT35-1,0,1,1),0,IF(F35&lt;OFFSET($BN$9,DT35-1,0,1,1),((F35-OFFSET($BM$9,DT35-1,0,1,1))*OFFSET($CI$9,DT35-1,0,1,1))+OFFSET($BP$9,DT35-1,CQ35,1,1),IF(F35&lt;OFFSET($BN$9,DT35+0,0,1,1),((F35-OFFSET($BM$9,DT35+0,0,1,1))*OFFSET($CI$9,DT35+0,0,1,1))+OFFSET($BP$9,DT35+0,CQ35,1,1),IF(F35&lt;OFFSET($BN$9,DT35+1,0,1,1),((F35-OFFSET($BM$9,DT35+1,0,1,1))*OFFSET($CI$9,DT35+1,0,1,1))+OFFSET($BP$9,DT35+1,CQ35,1,1),IF(F35&lt;OFFSET($BN$9,DT35+2,0,1,1),((F35-OFFSET($BM$9,DT35+2,0,1,1))*OFFSET($CI$9,DT35+2,0,1,1))+OFFSET($BP$9,DT35+2,CQ35,1,1),IF(F35&lt;OFFSET($BN$9,DT35+3,0,1,1),((F35-OFFSET($BM$9,DT35+3,0,1,1))*OFFSET($CI$9,DT35+3,0,1,1))+OFFSET($BP$9,DT35+3,CQ35,1,1),0))))))</f>
        <v>0</v>
      </c>
      <c r="DX35" s="51">
        <f ca="1">IF($F35&lt;OFFSET($BM$9,$DT35-1,0,1,1),0,IF($F35&lt;OFFSET($BN$9,$DT35-1,0,1,1),IF(AND($H35&gt;2.4,Z35&lt;&gt;"e",Z35&lt;&gt;"f"),EB35*2.4/$H35,EB35),IF($F35&lt;OFFSET($BN$9,$DT35+0,0,1,1),IF(AND($H35&gt;2.4,Z35&lt;&gt;"e",Z35&lt;&gt;"f"),EB35*2.4/$H35,EB35),IF($F35&lt;OFFSET($BN$9,$DT35+1,0,1,1),IF(AND($H35&gt;2.4,Z35&lt;&gt;"e",Z35&lt;&gt;"f"),EB35*2.4/$H35,EB35),IF($F35&lt;OFFSET($BN$9,$DT35+2,0,1,1),IF(AND($H35&gt;2.4,Z35&lt;&gt;"e",Z35&lt;&gt;"f"),EB35*2.4/$H35,EB35),IF($F35&lt;OFFSET($BN$9,$DT35+3,0,1,1),IF(AND($H35&gt;2.4,Z35&lt;&gt;"e",Z35&lt;&gt;"f"),EB35*2.4/$H35,EB35),0)))))*COS(RADIANS($G35)))</f>
        <v>0</v>
      </c>
      <c r="DY35" s="188"/>
      <c r="DZ35" s="188">
        <f ca="1">IF(DU35&gt;$CR35,$CR35,DU35)</f>
        <v>0</v>
      </c>
      <c r="EA35" s="188"/>
      <c r="EB35" s="188">
        <f ca="1">IF(DW35&gt;$CR35,$CR35,DW35)</f>
        <v>0</v>
      </c>
      <c r="EC35" s="435">
        <f ca="1">IF(DV35&gt;$CR35,$CR35,DV35)</f>
        <v>0</v>
      </c>
      <c r="ED35" s="435">
        <f ca="1">EC35*F35</f>
        <v>0</v>
      </c>
      <c r="EE35" s="436">
        <f ca="1">IF(DX35&gt;$CR35,$CR35,DX35)</f>
        <v>0</v>
      </c>
      <c r="EF35" s="437">
        <f ca="1">EE35*F35</f>
        <v>0</v>
      </c>
      <c r="EG35" s="613" t="str">
        <f>IF(D35=BG$12,BG$12,"")</f>
        <v/>
      </c>
      <c r="EH35" s="614" t="str">
        <f>IF(D35=BG$13,BG$13,"")</f>
        <v/>
      </c>
      <c r="EI35" s="611">
        <f>IF(EG35=BG$12,M35,0)</f>
        <v>0</v>
      </c>
      <c r="EJ35" s="451">
        <f>IF(EG35=BG$12,O35,0)</f>
        <v>0</v>
      </c>
      <c r="EK35" s="451">
        <f>IF(EH35=BG$13,M35,0)</f>
        <v>0</v>
      </c>
      <c r="EL35" s="612">
        <f>IF(EH35=BG$13,O35,0)</f>
        <v>0</v>
      </c>
      <c r="EM35" s="426" t="str">
        <f ca="1">IF(AND(Z35&lt;&gt;"t",Z35&lt;&gt;"f"),"",IF(AND(EN35=$BH$11,K35&lt;&gt;EN35),EM$4,IF(AND(EN35=$BH$12,K35=$BH$13),EM$4,IF(AND(EN35=$BH$12,K35=$BH$14),EM$4,IF(AND(EN35=$BH$13,K35=$BH$14),$EM$4,IF(EN35=$BH$14,$EM$4,""))))))</f>
        <v/>
      </c>
      <c r="EN35" s="489" t="str">
        <f>BG$24</f>
        <v>Earth</v>
      </c>
      <c r="EO35" s="426" t="str">
        <f>K35</f>
        <v xml:space="preserve"> </v>
      </c>
      <c r="EP35" s="497" t="str">
        <f ca="1">IF(AND(Z35&lt;&gt;"t",Z35&lt;&gt;"f"),"",IF(AND(EN35=$BH$14,K35&lt;&gt;EN35),EP$4,IF(AND(EN35=$BH$13,K35=$BH$12),EP$4,IF(AND(EN35=$BH$13,K35=$BH$11),EP$4,IF(AND(EN35=$BH$12,K35=$BH$11),$EP$4,IF(EN35=$BH$11,"Earth",""))))))</f>
        <v/>
      </c>
      <c r="EQ35" s="430" t="str">
        <f ca="1">IF(Z35&lt;&gt;"t","",IF(EQ$5=2,IF(K35&lt;&gt;BH$11,EQ$7," ")))</f>
        <v/>
      </c>
      <c r="ER35" s="439" t="str">
        <f ca="1">IF(H35=0," ",H35)</f>
        <v xml:space="preserve"> </v>
      </c>
      <c r="ES35" s="440" t="str">
        <f ca="1">IF(ER35&lt;&gt;" ",IF(ER35&lt;&gt;ER$7,"Changed",""),"")</f>
        <v/>
      </c>
      <c r="ET35" s="440">
        <f t="shared" ca="1" si="19"/>
        <v>0</v>
      </c>
      <c r="EU35" s="426" t="str">
        <f ca="1">IF(I35=" "," ",IF(F35&lt;OFFSET($BM$9,CL35-1,0,1,1),1,""))</f>
        <v xml:space="preserve"> </v>
      </c>
      <c r="EW35" s="427"/>
    </row>
    <row r="36" spans="1:153" ht="17.100000000000001" customHeight="1" thickBot="1">
      <c r="B36" s="689" t="s">
        <v>246</v>
      </c>
      <c r="C36" s="684" t="str">
        <f>IF(OR(F36=0,I36="",I36=" ")," ",$V36)</f>
        <v xml:space="preserve"> </v>
      </c>
      <c r="D36" s="1033"/>
      <c r="E36" s="1360" t="s">
        <v>8</v>
      </c>
      <c r="F36" s="202"/>
      <c r="G36" s="1416"/>
      <c r="H36" s="1417" t="str">
        <f ca="1">IF(OR(F36=0,Z36="E",Z36="f")," ",'Project Demand'!E$55)</f>
        <v xml:space="preserve"> </v>
      </c>
      <c r="I36" s="631" t="str">
        <f>IF($I$6&lt;&gt;$BG$8," ",AB36)</f>
        <v xml:space="preserve"> </v>
      </c>
      <c r="J36" s="44" t="str">
        <f ca="1">IF(OR(I36=" ",I36="")," ",OFFSET($BO$9,CL36-1,0-4,1,1))</f>
        <v xml:space="preserve"> </v>
      </c>
      <c r="K36" s="55" t="str">
        <f>IF(OR(I36=" ",I36="")," ",IF(OR(Z36="e",Z36="h"),"SD",IF(BG$24=BH$11,BH$13,BG$24)))</f>
        <v xml:space="preserve"> </v>
      </c>
      <c r="L36" s="49">
        <f ca="1">CW36</f>
        <v>0</v>
      </c>
      <c r="M36" s="49">
        <f ca="1">CY36</f>
        <v>0</v>
      </c>
      <c r="N36" s="50">
        <f t="shared" ca="1" si="27"/>
        <v>0</v>
      </c>
      <c r="O36" s="126">
        <f t="shared" ca="1" si="27"/>
        <v>0</v>
      </c>
      <c r="P36" s="140"/>
      <c r="Q36" s="752" t="str">
        <f ca="1">IF(AND(OR(Z36="t",Z36="f"),K36=$BH$11),"No Floor!  Change Floor Type",IF(OR(I36=" ",I36="")," ",IF(F36&lt;OFFSET($BM$9,CL36-1,0,1,1),"check L(m)",DE36&amp;IF(AND(DP36&gt;=CY36,DR36&gt;=DB36),IF(AND(ED36&gt;=DP36,EF36&gt;=DR36),CONCATENATE(DS36," will provide same result"),CONCATENATE(CO36," will provide same result")),IF((DP36&gt;=CY36),CONCATENATE(CO36," provides same result in WIND"),IF((DR36&gt;=DB36),CONCATENATE(CO36," provides same result in EQ"),""))))))&amp;IF(ISERROR(FIND("pile",I36,1)),"",IF(INT(F36)&lt;&gt;F36,"Pile!  Use Whole Numbers Only",""))</f>
        <v xml:space="preserve"> </v>
      </c>
      <c r="U36" s="1377"/>
      <c r="V36" s="52" t="str">
        <f ca="1">IF(AND(B$5=$BF$9,OR(I36=BH$16,I36=BH$17))," ",IF(ISNUMBER(B$32),(CONCATENATE(B$32,".",W36)),(CONCATENATE(B$32,W36))))</f>
        <v>Q0</v>
      </c>
      <c r="W36" s="9">
        <f ca="1">W35+X36</f>
        <v>0</v>
      </c>
      <c r="X36" s="9">
        <f>IF(AND(B$5=$BF$9,OR($I36=$BH$16,$I36=$BH$17,$I36=" ",$I36="",$F36=0)),0,IF(OR($I36=" ",$I36="",$F36=0),0,1))</f>
        <v>0</v>
      </c>
      <c r="Y36" s="896"/>
      <c r="Z36" s="52" t="str">
        <f ca="1">IF(I36=" "," ",OFFSET($BM$9,$CL36-1,8,1,1))</f>
        <v xml:space="preserve"> </v>
      </c>
      <c r="AA36" s="51" t="str">
        <f>IF(G36&gt;=45,"WA","")</f>
        <v/>
      </c>
      <c r="AB36" s="1364" t="str">
        <f>IF(OR(E36=" ",E36="")," ",(IF(F36&lt;&gt;"",IF(OR(D36=$BG$12,D36=$BG$13),IF(E36&lt;&gt;$BG$17,$BF$20,$BF$21),IF(E36&lt;&gt;$BG$17,$BF$20,$BF$21))," ")))</f>
        <v xml:space="preserve"> </v>
      </c>
      <c r="AC36" s="1"/>
      <c r="AJ36" s="2"/>
      <c r="AM36" s="4"/>
      <c r="AN36" s="4"/>
      <c r="AO36" s="4"/>
      <c r="AP36" s="4"/>
      <c r="AQ36" s="4"/>
      <c r="AR36" s="10"/>
      <c r="AS36" s="10"/>
      <c r="AT36" s="4"/>
      <c r="AU36" s="119"/>
      <c r="BD36" s="2648"/>
      <c r="BF36" s="598" t="str">
        <f>'Custom Elements'!C12</f>
        <v>Custom4</v>
      </c>
      <c r="BG36" s="948" t="s">
        <v>774</v>
      </c>
      <c r="BI36" s="759"/>
      <c r="BJ36" s="897">
        <f t="shared" si="6"/>
        <v>28</v>
      </c>
      <c r="BK36" s="769" t="str">
        <f>'Custom Elements'!O12</f>
        <v>NZS 3604</v>
      </c>
      <c r="BL36" s="771" t="str">
        <f>'Custom Elements'!P12</f>
        <v>Masonry 4.5</v>
      </c>
      <c r="BM36" s="455">
        <f>'Custom Elements'!Q12</f>
        <v>1.5</v>
      </c>
      <c r="BN36" s="455">
        <v>999</v>
      </c>
      <c r="BO36" s="455">
        <f>'Custom Elements'!R12</f>
        <v>300</v>
      </c>
      <c r="BP36" s="925">
        <f>'Custom Elements'!S12</f>
        <v>300</v>
      </c>
      <c r="BR36" s="764"/>
      <c r="BS36" s="455"/>
      <c r="BT36" s="455" t="s">
        <v>7</v>
      </c>
      <c r="BU36" s="925" t="s">
        <v>34</v>
      </c>
      <c r="BV36" s="483" t="str">
        <f t="shared" si="32"/>
        <v>Masonry 4.5</v>
      </c>
      <c r="BW36" s="910">
        <f t="shared" si="28"/>
        <v>28</v>
      </c>
      <c r="BX36" s="925" t="str">
        <f>'Custom Elements'!U12</f>
        <v>Single</v>
      </c>
      <c r="CH36" s="764">
        <f t="shared" si="29"/>
        <v>0</v>
      </c>
      <c r="CI36" s="925">
        <f t="shared" si="30"/>
        <v>0</v>
      </c>
      <c r="CJ36" s="759"/>
      <c r="CK36" s="188"/>
      <c r="CL36" s="979">
        <f>VLOOKUP(I36,Prodlink,2,0)</f>
        <v>0</v>
      </c>
      <c r="CN36" s="497">
        <f t="shared" ca="1" si="2"/>
        <v>0</v>
      </c>
      <c r="CO36" s="497">
        <f ca="1">OFFSET($CH$9,CL36-1,-15,1,1)</f>
        <v>0</v>
      </c>
      <c r="CQ36" s="51">
        <v>0</v>
      </c>
      <c r="CR36" s="51">
        <f t="shared" ca="1" si="31"/>
        <v>10000</v>
      </c>
      <c r="CS36" s="51">
        <f ca="1">IF(F36&lt;OFFSET($BM$9,CL36-1,0,1,1),0,IF(F36&lt;OFFSET($BN$9,CL36-1,0,1,1),((F36-OFFSET($BM$9,CL36-1,0,1,1))*OFFSET($CH$9,CL36-1,0,1,1))+OFFSET($BO$9,CL36-1,CQ36,1,1),IF(F36&lt;OFFSET($BN$9,CL36+0,0,1,1),((F36-OFFSET($BM$9,CL36+0,0,1,1))*OFFSET($CH$9,CL36+0,0,1,1))+OFFSET($BO$9,CL36+0,CQ36,1,1),IF(F36&lt;OFFSET($BN$9,CL36+1,0,1,1),((F36-OFFSET($BM$9,CL36+1,0,1,1))*OFFSET($CH$9,CL36+1,0,1,1))+OFFSET($BO$9,CL36+1,CQ36,1,1),IF(F36&lt;OFFSET($BN$9,CL36+2,0,1,1),((F36-OFFSET($BM$9,CL36+2,0,1,1))*OFFSET($CH$9,CL36+2,0,1,1))+OFFSET($BO$9,CL36+2,CQ36,1,1),IF(F36&lt;OFFSET($BN$9,CL36+3,0,1,1),((F36-OFFSET($BM$9,CL36+3,0,1,1))*OFFSET($CH$9,CL36+3,0,1,1))+OFFSET($BO$9,CL36+3,CQ36,1,1),0))))))</f>
        <v>0</v>
      </c>
      <c r="CT36" s="51">
        <f ca="1">IF($F36&lt;OFFSET($BM$9,$CL36-1,0,1,1),0,IF($F36&lt;OFFSET($BN$9,$CL36-1,0,1,1),IF(AND($H36&gt;2.4,Z36&lt;&gt;"e",Z36&lt;&gt;"f"),CX36*2.4/$H36,CX36),IF($F36&lt;OFFSET($BN$9,$CL36+0,0,1,1),IF(AND($H36&gt;2.4,Z36&lt;&gt;"e",Z36&lt;&gt;"f"),CX36*2.4/$H36,CX36),IF($F36&lt;OFFSET($BN$9,$CL36+1,0,1,1),IF(AND($H36&gt;2.4,Z36&lt;&gt;"e",Z36&lt;&gt;"f"),CX36*2.4/$H36,CX36),IF($F36&lt;OFFSET($BN$9,CL36+2,0,1,1),IF(AND($H36&gt;2.4,Z36&lt;&gt;"e",Z36&lt;&gt;"f"),CX36*2.4/$H36,CX36),IF($F36&lt;OFFSET($BN$9,CL36+3,0,1,1),IF(AND($H36&gt;2.4,Z36&lt;&gt;"e",Z36&lt;&gt;"f"),CX36*2.4/$H36,CX36),0)))))*COS(RADIANS($G36)))</f>
        <v>0</v>
      </c>
      <c r="CU36" s="51">
        <f ca="1">IF(F36&lt;OFFSET($BM$9,CL36-1,0,1,1),0,IF(F36&lt;OFFSET($BN$9,CL36-1,0,1,1),((F36-OFFSET($BM$9,CL36-1,0,1,1))*OFFSET($CI$9,CL36-1,0,1,1))+OFFSET($BP$9,CL36-1,CQ36,1,1),IF(F36&lt;OFFSET($BN$9,CL36+0,0,1,1),((F36-OFFSET($BM$9,CL36+0,0,1,1))*OFFSET($CI$9,CL36+0,0,1,1))+OFFSET($BP$9,CL36+0,CQ36,1,1),IF(F36&lt;OFFSET($BN$9,CL36+1,0,1,1),((F36-OFFSET($BM$9,CL36+1,0,1,1))*OFFSET($CI$9,CL36+1,0,1,1))+OFFSET($BP$9,CL36+1,CQ36,1,1),IF(F36&lt;OFFSET($BN$9,CL36+2,0,1,1),((F36-OFFSET($BM$9,CL36+2,0,1,1))*OFFSET($CI$9,CL36+2,0,1,1))+OFFSET($BP$9,CL36+2,CQ36,1,1),IF(F36&lt;OFFSET($BN$9,CL36+3,0,1,1),((F36-OFFSET($BM$9,CL36+3,0,1,1))*OFFSET($CI$9,CL36+3,0,1,1))+OFFSET($BP$9,CL36+3,CQ36,1,1),0))))))</f>
        <v>0</v>
      </c>
      <c r="CV36" s="51">
        <f ca="1">IF($F36&lt;OFFSET($BM$9,$CL36-1,0,1,1),0,IF($F36&lt;OFFSET($BN$9,$CL36-1,0,1,1),IF(AND($H36&gt;2.4,Z36&lt;&gt;"e",Z36&lt;&gt;"f"),CZ36*2.4/$H36,CZ36),IF($F36&lt;OFFSET($BN$9,$CL36+0,0,1,1),IF(AND($H36&gt;2.4,Z36&lt;&gt;"e",Z36&lt;&gt;"f"),CZ36*2.4/$H36,CZ36),IF($F36&lt;OFFSET($BN$9,$CL36+1,0,1,1),IF(AND($H36&gt;2.4,Z36&lt;&gt;"e",Z36&lt;&gt;"f"),CZ36*2.4/$H36,CZ36),IF($F36&lt;OFFSET($BN$9,$CL36+2,0,1,1),IF(AND($H36&gt;2.4,Z36&lt;&gt;"e",Z36&lt;&gt;"f"),CZ36*2.4/$H36,CZ36),IF($F36&lt;OFFSET($BN$9,$CL36+3,0,1,1),IF(AND($H36&gt;2.4,Z36&lt;&gt;"e",Z36&lt;&gt;"f"),CZ36*2.4/$H36,CZ36),0)))))*COS(RADIANS($G36)))</f>
        <v>0</v>
      </c>
      <c r="CW36" s="51">
        <f t="shared" ca="1" si="18"/>
        <v>0</v>
      </c>
      <c r="CX36" s="51">
        <f ca="1">IF(CS36&gt;$CR36,$CR36,CS36)</f>
        <v>0</v>
      </c>
      <c r="CY36" s="51">
        <f ca="1">CW36*F36</f>
        <v>0</v>
      </c>
      <c r="CZ36" s="51">
        <f ca="1">IF($CU36&gt;$CR36,$CR36,$CU36)</f>
        <v>0</v>
      </c>
      <c r="DA36" s="51">
        <f ca="1">IF(CV36&gt;CR36,CR36,CV36)</f>
        <v>0</v>
      </c>
      <c r="DB36" s="51">
        <f ca="1">DA36*F36</f>
        <v>0</v>
      </c>
      <c r="DC36" s="993">
        <v>1</v>
      </c>
      <c r="DD36" s="758" t="str">
        <f>IF(OR(D36=BG$12,D36=BG$13),"External",IF(D36=BG$14,"Internal"," "))</f>
        <v xml:space="preserve"> </v>
      </c>
      <c r="DE36" s="51" t="str">
        <f t="shared" ca="1" si="4"/>
        <v/>
      </c>
      <c r="DF36" s="52" t="str">
        <f t="shared" ca="1" si="5"/>
        <v xml:space="preserve"> </v>
      </c>
      <c r="DG36" s="51">
        <f ca="1">IF(F36&lt;OFFSET($BM$9,CN36-1,0,1,1),0,IF(F36&lt;OFFSET($BN$9,CN36-1,0,1,1),((F36-OFFSET($BM$9,CN36-1,0,1,1))*OFFSET($CH$9,CN36-1,0,1,1))+OFFSET($BO$9,CN36-1,CQ36,1,1),IF(F36&lt;OFFSET($BN$9,CN36+0,0,1,1),((F36-OFFSET($BM$9,CN36+0,0,1,1))*OFFSET($CH$9,CN36+0,0,1,1))+OFFSET($BO$9,CN36+0,CQ36,1,1),IF(F36&lt;OFFSET($BN$9,CN36+1,0,1,1),((F36-OFFSET($BM$9,CN36+1,0,1,1))*OFFSET($CH$9,CN36+1,0,1,1))+OFFSET($BO$9,CN36+1,CQ36,1,1),IF(F36&lt;OFFSET($BN$9,CN36+2,0,1,1),((F36-OFFSET($BM$9,CN36+2,0,1,1))*OFFSET($CH$9,CN36+2,0,1,1))+OFFSET($BO$9,CN36+2,CQ36,1,1),IF(F36&lt;OFFSET($BN$9,CN36+3,0,1,1),((F36-OFFSET($BM$9,CN36+3,0,1,1))*OFFSET($CH$9,CN36+3,0,1,1))+OFFSET($BO$9,CN36+3,CQ36,1,1),0))))))</f>
        <v>0</v>
      </c>
      <c r="DH36" s="51">
        <f ca="1">IF($F36&lt;OFFSET($BM$9,$CN36-1,0,1,1),0,IF($F36&lt;OFFSET($BN$9,$CN36-1,0,1,1),IF(AND($H36&gt;2.4,Z36&lt;&gt;"e",Z36&lt;&gt;"f"),DL36*2.4/$H36,DL36),IF($F36&lt;OFFSET($BN$9,$CN36+0,0,1,1),IF(AND($H36&gt;2.4,Z36&lt;&gt;"e",Z36&lt;&gt;"f"),DL36*2.4/$H36,DL36),IF($F36&lt;OFFSET($BN$9,$CN36+1,0,1,1),IF(AND($H36&gt;2.4,Z36&lt;&gt;"e",Z36&lt;&gt;"f"),DL36*2.4/$H36,DL36),IF($F36&lt;OFFSET($BN$9,$CN36+2,0,1,1),IF(AND($H36&gt;2.4,Z36&lt;&gt;"e",Z36&lt;&gt;"f"),DL36*2.4/$H36,DL36),IF($F36&lt;OFFSET($BN$9,$CN36+3,0,1,1),IF(AND($H36&gt;2.4,Z36&lt;&gt;"e",Z36&lt;&gt;"f"),DL36*2.4/$H36,DL36),0)))))*COS(RADIANS($G36)))</f>
        <v>0</v>
      </c>
      <c r="DI36" s="51">
        <f ca="1">IF(F36&lt;OFFSET($BM$9,CN36-1,0,1,1),0,IF(F36&lt;OFFSET($BN$9,CN36-1,0,1,1),((F36-OFFSET($BM$9,CN36-1,0,1,1))*OFFSET($CI$9,CN36-1,0,1,1))+OFFSET($BP$9,CN36-1,CQ36,1,1),IF(F36&lt;OFFSET($BN$9,CN36+0,0,1,1),((F36-OFFSET($BM$9,CN36+0,0,1,1))*OFFSET($CI$9,CN36+0,0,1,1))+OFFSET($BP$9,CN36+0,CQ36,1,1),IF(F36&lt;OFFSET($BN$9,CN36+1,0,1,1),((F36-OFFSET($BM$9,CN36+1,0,1,1))*OFFSET($CI$9,CN36+1,0,1,1))+OFFSET($BP$9,CN36+1,CQ36,1,1),IF(F36&lt;OFFSET($BN$9,CN36+2,0,1,1),((F36-OFFSET($BM$9,CN36+2,0,1,1))*OFFSET($CI$9,CN36+2,0,1,1))+OFFSET($BP$9,CN36+2,CQ36,1,1),IF(F36&lt;OFFSET($BN$9,CN36+3,0,1,1),((F36-OFFSET($BM$9,CN36+3,0,1,1))*OFFSET($CI$9,CN36+3,0,1,1))+OFFSET($BP$9,CN36+3,CQ36,1,1),0))))))</f>
        <v>0</v>
      </c>
      <c r="DJ36" s="51">
        <f ca="1">IF($F36&lt;OFFSET($BM$9,$CN36-1,0,1,1),0,IF($F36&lt;OFFSET($BN$9,$CN36-1,0,1,1),IF(AND($H36&gt;2.4,Z36&lt;&gt;"e",Z36&lt;&gt;"f"),DN36*2.4/$H36,DN36),IF($F36&lt;OFFSET($BN$9,$CN36+0,0,1,1),IF(AND($H36&gt;2.4,Z36&lt;&gt;"e",Z36&lt;&gt;"f"),DN36*2.4/$H36,DN36),IF($F36&lt;OFFSET($BN$9,$CN36+1,0,1,1),IF(AND($H36&gt;2.4,Z36&lt;&gt;"e",Z36&lt;&gt;"f"),DN36*2.4/$H36,DN36),IF($F36&lt;OFFSET($BN$9,$CN36+2,0,1,1),IF(AND($H36&gt;2.4,Z36&lt;&gt;"e",Z36&lt;&gt;"f"),DN36*2.4/$H36,DN36),IF($F36&lt;OFFSET($BN$9,$CN36+3,0,1,1),IF(AND($H36&gt;2.4,Z36&lt;&gt;"e",Z36&lt;&gt;"f"),DN36*2.4/$H36,DN36),0)))))*COS(RADIANS($G36)))</f>
        <v>0</v>
      </c>
      <c r="DK36" s="51"/>
      <c r="DL36" s="51">
        <f ca="1">IF(DG36&gt;$CR36,$CR36,DG36)</f>
        <v>0</v>
      </c>
      <c r="DM36" s="51"/>
      <c r="DN36" s="51">
        <f ca="1">IF(DI36&gt;$CR36,$CR36,DI36)</f>
        <v>0</v>
      </c>
      <c r="DO36" s="435">
        <f ca="1">IF(DH36&gt;$CR36,$CR36,DH36)</f>
        <v>0</v>
      </c>
      <c r="DP36" s="435">
        <f ca="1">DO36*F36</f>
        <v>0</v>
      </c>
      <c r="DQ36" s="436">
        <f ca="1">IF(DJ36&gt;$CR36,$CR36,DJ36)</f>
        <v>0</v>
      </c>
      <c r="DR36" s="437">
        <f ca="1">DQ36*F36</f>
        <v>0</v>
      </c>
      <c r="DS36" s="426">
        <f ca="1">OFFSET($CH$9,CL36-1,-15,1,1)</f>
        <v>0</v>
      </c>
      <c r="DT36" s="426">
        <f t="shared" ca="1" si="1"/>
        <v>0</v>
      </c>
      <c r="DU36" s="188">
        <f ca="1">IF(F36&lt;OFFSET($BM$9,DT36-1,0,1,1),0,IF(F36&lt;OFFSET($BN$9,DT36-1,0,1,1),((F36-OFFSET($BM$9,DT36-1,0,1,1))*OFFSET($CH$9,DT36-1,0,1,1))+OFFSET($BO$9,DT36-1,CQ36,1,1),IF(F36&lt;OFFSET($BN$9,DT36+0,0,1,1),((F36-OFFSET($BM$9,DT36+0,0,1,1))*OFFSET($CH$9,DT36+0,0,1,1))+OFFSET($BO$9,DT36+0,CQ36,1,1),IF(F36&lt;OFFSET($BN$9,DT36+1,0,1,1),((F36-OFFSET($BM$9,DT36+1,0,1,1))*OFFSET($CH$9,DT36+1,0,1,1))+OFFSET($BO$9,DT36+1,CQ36,1,1),IF(F36&lt;OFFSET($BN$9,DT36+2,0,1,1),((F36-OFFSET($BM$9,DT36+2,0,1,1))*OFFSET($CH$9,DT36+2,0,1,1))+OFFSET($BO$9,DT36+2,CQ36,1,1),IF(F36&lt;OFFSET($BN$9,DT36+3,0,1,1),((F36-OFFSET($BM$9,DT36+3,0,1,1))*OFFSET($CH$9,DT36+3,0,1,1))+OFFSET($BO$9,DT36+3,CQ36,1,1),0))))))</f>
        <v>0</v>
      </c>
      <c r="DV36" s="51">
        <f ca="1">IF($F36&lt;OFFSET($BM$9,$DT36-1,0,1,1),0,IF($F36&lt;OFFSET($BN$9,$DT36-1,0,1,1),IF(AND($H36&gt;2.4,Z36&lt;&gt;"e",Z36&lt;&gt;"f"),DZ36*2.4/$H36,DZ36),IF($F36&lt;OFFSET($BN$9,$DT36+0,0,1,1),IF(AND($H36&gt;2.4,Z36&lt;&gt;"e",Z36&lt;&gt;"f"),DZ36*2.4/$H36,DZ36),IF($F36&lt;OFFSET($BN$9,$DT36+1,0,1,1),IF(AND($H36&gt;2.4,Z36&lt;&gt;"e",Z36&lt;&gt;"f"),DZ36*2.4/$H36,DZ36),IF($F36&lt;OFFSET($BN$9,$DT36+2,0,1,1),IF(AND($H36&gt;2.4,Z36&lt;&gt;"e",Z36&lt;&gt;"f"),DZ36*2.4/$H36,DZ36),IF($F36&lt;OFFSET($BN$9,$DT36+3,0,1,1),IF(AND($H36&gt;2.4,Z36&lt;&gt;"e",Z36&lt;&gt;"f"),DZ36*2.4/$H36,DZ36),0)))))*COS(RADIANS($G36)))</f>
        <v>0</v>
      </c>
      <c r="DW36" s="188">
        <f ca="1">IF(F36&lt;OFFSET($BM$9,DT36-1,0,1,1),0,IF(F36&lt;OFFSET($BN$9,DT36-1,0,1,1),((F36-OFFSET($BM$9,DT36-1,0,1,1))*OFFSET($CI$9,DT36-1,0,1,1))+OFFSET($BP$9,DT36-1,CQ36,1,1),IF(F36&lt;OFFSET($BN$9,DT36+0,0,1,1),((F36-OFFSET($BM$9,DT36+0,0,1,1))*OFFSET($CI$9,DT36+0,0,1,1))+OFFSET($BP$9,DT36+0,CQ36,1,1),IF(F36&lt;OFFSET($BN$9,DT36+1,0,1,1),((F36-OFFSET($BM$9,DT36+1,0,1,1))*OFFSET($CI$9,DT36+1,0,1,1))+OFFSET($BP$9,DT36+1,CQ36,1,1),IF(F36&lt;OFFSET($BN$9,DT36+2,0,1,1),((F36-OFFSET($BM$9,DT36+2,0,1,1))*OFFSET($CI$9,DT36+2,0,1,1))+OFFSET($BP$9,DT36+2,CQ36,1,1),IF(F36&lt;OFFSET($BN$9,DT36+3,0,1,1),((F36-OFFSET($BM$9,DT36+3,0,1,1))*OFFSET($CI$9,DT36+3,0,1,1))+OFFSET($BP$9,DT36+3,CQ36,1,1),0))))))</f>
        <v>0</v>
      </c>
      <c r="DX36" s="51">
        <f ca="1">IF($F36&lt;OFFSET($BM$9,$DT36-1,0,1,1),0,IF($F36&lt;OFFSET($BN$9,$DT36-1,0,1,1),IF(AND($H36&gt;2.4,Z36&lt;&gt;"e",Z36&lt;&gt;"f"),EB36*2.4/$H36,EB36),IF($F36&lt;OFFSET($BN$9,$DT36+0,0,1,1),IF(AND($H36&gt;2.4,Z36&lt;&gt;"e",Z36&lt;&gt;"f"),EB36*2.4/$H36,EB36),IF($F36&lt;OFFSET($BN$9,$DT36+1,0,1,1),IF(AND($H36&gt;2.4,Z36&lt;&gt;"e",Z36&lt;&gt;"f"),EB36*2.4/$H36,EB36),IF($F36&lt;OFFSET($BN$9,$DT36+2,0,1,1),IF(AND($H36&gt;2.4,Z36&lt;&gt;"e",Z36&lt;&gt;"f"),EB36*2.4/$H36,EB36),IF($F36&lt;OFFSET($BN$9,$DT36+3,0,1,1),IF(AND($H36&gt;2.4,Z36&lt;&gt;"e",Z36&lt;&gt;"f"),EB36*2.4/$H36,EB36),0)))))*COS(RADIANS($G36)))</f>
        <v>0</v>
      </c>
      <c r="DY36" s="188"/>
      <c r="DZ36" s="188">
        <f ca="1">IF(DU36&gt;$CR36,$CR36,DU36)</f>
        <v>0</v>
      </c>
      <c r="EA36" s="188"/>
      <c r="EB36" s="188">
        <f ca="1">IF(DW36&gt;$CR36,$CR36,DW36)</f>
        <v>0</v>
      </c>
      <c r="EC36" s="435">
        <f ca="1">IF(DV36&gt;$CR36,$CR36,DV36)</f>
        <v>0</v>
      </c>
      <c r="ED36" s="435">
        <f ca="1">EC36*F36</f>
        <v>0</v>
      </c>
      <c r="EE36" s="436">
        <f ca="1">IF(DX36&gt;$CR36,$CR36,DX36)</f>
        <v>0</v>
      </c>
      <c r="EF36" s="437">
        <f ca="1">EE36*F36</f>
        <v>0</v>
      </c>
      <c r="EG36" s="613" t="str">
        <f>IF(D36=BG$12,BG$12,"")</f>
        <v/>
      </c>
      <c r="EH36" s="614" t="str">
        <f>IF(D36=BG$13,BG$13,"")</f>
        <v/>
      </c>
      <c r="EI36" s="611">
        <f>IF(EG36=BG$12,M36,0)</f>
        <v>0</v>
      </c>
      <c r="EJ36" s="451">
        <f>IF(EG36=BG$12,O36,0)</f>
        <v>0</v>
      </c>
      <c r="EK36" s="451">
        <f>IF(EH36=BG$13,M36,0)</f>
        <v>0</v>
      </c>
      <c r="EL36" s="612">
        <f>IF(EH36=BG$13,O36,0)</f>
        <v>0</v>
      </c>
      <c r="EM36" s="426" t="str">
        <f ca="1">IF(AND(Z36&lt;&gt;"t",Z36&lt;&gt;"f"),"",IF(AND(EN36=$BH$11,K36&lt;&gt;EN36),EM$4,IF(AND(EN36=$BH$12,K36=$BH$13),EM$4,IF(AND(EN36=$BH$12,K36=$BH$14),EM$4,IF(AND(EN36=$BH$13,K36=$BH$14),$EM$4,IF(EN36=$BH$14,$EM$4,""))))))</f>
        <v/>
      </c>
      <c r="EN36" s="489" t="str">
        <f>BG$24</f>
        <v>Earth</v>
      </c>
      <c r="EO36" s="426" t="str">
        <f>K36</f>
        <v xml:space="preserve"> </v>
      </c>
      <c r="EP36" s="497" t="str">
        <f ca="1">IF(AND(Z36&lt;&gt;"t",Z36&lt;&gt;"f"),"",IF(AND(EN36=$BH$14,K36&lt;&gt;EN36),EP$4,IF(AND(EN36=$BH$13,K36=$BH$12),EP$4,IF(AND(EN36=$BH$13,K36=$BH$11),EP$4,IF(AND(EN36=$BH$12,K36=$BH$11),$EP$4,IF(EN36=$BH$11,"Earth",""))))))</f>
        <v/>
      </c>
      <c r="EQ36" s="430" t="str">
        <f ca="1">IF(Z36&lt;&gt;"t","",IF(EQ$5=2,IF(K36&lt;&gt;BH$11,EQ$7," ")))</f>
        <v/>
      </c>
      <c r="ER36" s="439" t="str">
        <f ca="1">IF(H36=0," ",H36)</f>
        <v xml:space="preserve"> </v>
      </c>
      <c r="ES36" s="440" t="str">
        <f ca="1">IF(ER36&lt;&gt;" ",IF(ER36&lt;&gt;ER$7,"Changed",""),"")</f>
        <v/>
      </c>
      <c r="ET36" s="440">
        <f t="shared" ca="1" si="19"/>
        <v>0</v>
      </c>
      <c r="EU36" s="426" t="str">
        <f ca="1">IF(I36=" "," ",IF(F36&lt;OFFSET($BM$9,CL36-1,0,1,1),1,""))</f>
        <v xml:space="preserve"> </v>
      </c>
      <c r="EW36" s="427"/>
    </row>
    <row r="37" spans="1:153" ht="17.100000000000001" customHeight="1" thickBot="1">
      <c r="B37" s="2686" t="s">
        <v>8</v>
      </c>
      <c r="C37" s="2687"/>
      <c r="D37" s="1461" t="s">
        <v>8</v>
      </c>
      <c r="E37" s="659"/>
      <c r="F37" s="659"/>
      <c r="G37" s="659"/>
      <c r="H37" s="659"/>
      <c r="I37" s="1462"/>
      <c r="J37" s="1365" t="str">
        <f ca="1">(CONCATENATE(B32,$BE$54))</f>
        <v>Q  Line:  Min. Requirement</v>
      </c>
      <c r="K37" s="23"/>
      <c r="L37" s="1019">
        <f ca="1">L$5</f>
        <v>0</v>
      </c>
      <c r="M37" s="48">
        <f ca="1">IF(B32=B26,SUM(M32:M36)+M31,SUM(M32:M36))</f>
        <v>0</v>
      </c>
      <c r="N37" s="1019">
        <f ca="1">N$5</f>
        <v>0</v>
      </c>
      <c r="O37" s="125">
        <f ca="1">IF(B32=B26,SUM(O32:O36)+O31,SUM(O32:O36))</f>
        <v>0</v>
      </c>
      <c r="P37" s="139"/>
      <c r="Q37" s="42" t="str">
        <f ca="1">IF(B32=B38,"",IF(AND(M37&gt;0,L37=L$5,OR(M37&lt;$M$105,M37&lt;$BF$3)),"Achieved &lt; Min Req per Line",IF(AND(O37&gt;0,N37=N$5,OR(O37&lt;$O$105,O37&lt;$BF$3)),"Achieved &lt; Min Req per Line",IF(AND(M37&gt;0,L37&gt;M37),"More Required on this line",IF(AND(O37&gt;0,N37&gt;O37),"More Required on this line",IF(AND(L37&gt;0,L37&lt;$BF$3),$BE$59,IF(AND(N37&gt;0,N37&lt;$BF$3),$BE$59,"")))))))</f>
        <v/>
      </c>
      <c r="R37" s="52"/>
      <c r="S37" s="52"/>
      <c r="T37" s="52"/>
      <c r="U37" s="1378"/>
      <c r="V37" s="52"/>
      <c r="W37" s="999"/>
      <c r="X37" s="999"/>
      <c r="Y37" s="896"/>
      <c r="Z37" s="52"/>
      <c r="AA37" s="51"/>
      <c r="AB37" s="1364"/>
      <c r="AJ37" s="2"/>
      <c r="AM37" s="4"/>
      <c r="AN37" s="4"/>
      <c r="AO37" s="4"/>
      <c r="AP37" s="4"/>
      <c r="AQ37" s="4"/>
      <c r="AR37" s="10"/>
      <c r="AS37" s="10"/>
      <c r="AT37" s="4"/>
      <c r="AU37" s="119"/>
      <c r="BD37" s="2648"/>
      <c r="BF37" s="598" t="str">
        <f>'Custom Elements'!C13</f>
        <v>Custom5</v>
      </c>
      <c r="BI37" s="759"/>
      <c r="BJ37" s="897">
        <f t="shared" si="6"/>
        <v>29</v>
      </c>
      <c r="BK37" s="769" t="str">
        <f>'Custom Elements'!O13</f>
        <v>NZS 3604</v>
      </c>
      <c r="BL37" s="771" t="str">
        <f>'Custom Elements'!P13</f>
        <v>Braced pile</v>
      </c>
      <c r="BM37" s="455">
        <f>'Custom Elements'!Q13</f>
        <v>1</v>
      </c>
      <c r="BN37" s="455">
        <v>999</v>
      </c>
      <c r="BO37" s="455">
        <f>'Custom Elements'!R13</f>
        <v>160</v>
      </c>
      <c r="BP37" s="925">
        <f>'Custom Elements'!S13</f>
        <v>120</v>
      </c>
      <c r="BR37" s="764"/>
      <c r="BS37" s="455"/>
      <c r="BT37" s="455" t="s">
        <v>3</v>
      </c>
      <c r="BU37" s="925" t="s">
        <v>34</v>
      </c>
      <c r="BV37" s="483" t="str">
        <f t="shared" si="32"/>
        <v>Braced pile</v>
      </c>
      <c r="BW37" s="910">
        <f t="shared" si="28"/>
        <v>29</v>
      </c>
      <c r="BX37" s="925" t="str">
        <f>'Custom Elements'!U13</f>
        <v>Single</v>
      </c>
      <c r="CH37" s="764">
        <f t="shared" si="29"/>
        <v>0</v>
      </c>
      <c r="CI37" s="925">
        <f t="shared" si="30"/>
        <v>0</v>
      </c>
      <c r="CJ37" s="759"/>
      <c r="CK37" s="188"/>
      <c r="CL37" s="979"/>
      <c r="CN37" s="497"/>
      <c r="CO37" s="497"/>
      <c r="CQ37" s="51"/>
      <c r="CR37" s="51"/>
      <c r="CS37" s="51"/>
      <c r="CT37" s="51" t="s">
        <v>8</v>
      </c>
      <c r="CU37" s="51"/>
      <c r="CV37" s="51" t="s">
        <v>8</v>
      </c>
      <c r="CW37" s="51"/>
      <c r="CX37" s="51"/>
      <c r="CY37" s="51"/>
      <c r="CZ37" s="51"/>
      <c r="DD37" s="758"/>
      <c r="DF37" s="52"/>
      <c r="DG37" s="51"/>
      <c r="DH37" s="51"/>
      <c r="DI37" s="51"/>
      <c r="DJ37" s="51"/>
      <c r="DK37" s="51"/>
      <c r="DL37" s="51"/>
      <c r="DM37" s="51"/>
      <c r="DN37" s="51"/>
      <c r="DO37" s="435"/>
      <c r="DP37" s="435"/>
      <c r="DQ37" s="868"/>
      <c r="DR37" s="868"/>
      <c r="DU37" s="188"/>
      <c r="DV37" s="188" t="s">
        <v>8</v>
      </c>
      <c r="DW37" s="188"/>
      <c r="DX37" s="188" t="s">
        <v>8</v>
      </c>
      <c r="DY37" s="188"/>
      <c r="DZ37" s="188"/>
      <c r="EA37" s="188"/>
      <c r="EB37" s="188"/>
      <c r="EC37" s="435"/>
      <c r="ED37" s="435"/>
      <c r="EE37" s="868"/>
      <c r="EF37" s="868"/>
      <c r="EG37" s="613"/>
      <c r="EH37" s="614"/>
      <c r="EI37" s="613"/>
      <c r="EJ37" s="435"/>
      <c r="EK37" s="451"/>
      <c r="EL37" s="612"/>
      <c r="EN37" s="438"/>
      <c r="EP37" s="497"/>
      <c r="ER37" s="441"/>
      <c r="ES37" s="440"/>
      <c r="ET37" s="440"/>
      <c r="EW37" s="427"/>
    </row>
    <row r="38" spans="1:153" ht="17.100000000000001" customHeight="1">
      <c r="B38" s="1369" t="str">
        <f ca="1">S38</f>
        <v>R</v>
      </c>
      <c r="C38" s="684" t="str">
        <f>IF(OR(F38=0,I38="",I38=" ")," ",$V38)</f>
        <v xml:space="preserve"> </v>
      </c>
      <c r="D38" s="1033"/>
      <c r="E38" s="1360" t="s">
        <v>8</v>
      </c>
      <c r="F38" s="202"/>
      <c r="G38" s="1416"/>
      <c r="H38" s="1417" t="str">
        <f ca="1">IF(OR(F38=0,Z38="E",Z38="f")," ",'Project Demand'!E$55)</f>
        <v xml:space="preserve"> </v>
      </c>
      <c r="I38" s="631" t="str">
        <f>IF($I$6&lt;&gt;$BG$8," ",AB38)</f>
        <v xml:space="preserve"> </v>
      </c>
      <c r="J38" s="43" t="str">
        <f ca="1">IF(OR(I38=" ",I38="")," ",OFFSET($BO$9,CL38-1,0-4,1,1))</f>
        <v xml:space="preserve"> </v>
      </c>
      <c r="K38" s="55" t="str">
        <f>IF(OR(I38=" ",I38="")," ",IF(OR(Z38="e",Z38="h"),"SD",IF(BG$24=BH$11,BH$13,BG$24)))</f>
        <v xml:space="preserve"> </v>
      </c>
      <c r="L38" s="49">
        <f ca="1">CW38</f>
        <v>0</v>
      </c>
      <c r="M38" s="49">
        <f ca="1">CY38</f>
        <v>0</v>
      </c>
      <c r="N38" s="50">
        <f t="shared" ref="N38:O42" ca="1" si="33">DA38</f>
        <v>0</v>
      </c>
      <c r="O38" s="126">
        <f t="shared" ca="1" si="33"/>
        <v>0</v>
      </c>
      <c r="P38" s="140"/>
      <c r="Q38" s="752" t="str">
        <f ca="1">IF(AND(OR(Z38="t",Z38="f"),K38=$BH$11),"No Floor!  Change Floor Type",IF(OR(I38=" ",I38="")," ",IF(F38&lt;OFFSET($BM$9,CL38-1,0,1,1),"check L(m)",DE38&amp;IF(AND(DP38&gt;=CY38,DR38&gt;=DB38),IF(AND(ED38&gt;=DP38,EF38&gt;=DR38),CONCATENATE(DS38," will provide same result"),CONCATENATE(CO38," will provide same result")),IF((DP38&gt;=CY38),CONCATENATE(CO38," provides same result in WIND"),IF((DR38&gt;=DB38),CONCATENATE(CO38," provides same result in EQ"),""))))))&amp;IF(ISERROR(FIND("pile",I38,1)),"",IF(INT(F38)&lt;&gt;F38,"Pile!  Use Whole Numbers Only",""))</f>
        <v xml:space="preserve"> </v>
      </c>
      <c r="R38" s="52">
        <f ca="1">IF(T32&lt;&gt;2,(COLUMN(INDIRECT(B32&amp;1))+1),U38)</f>
        <v>18</v>
      </c>
      <c r="S38" s="1372" t="str">
        <f ca="1">SUBSTITUTE(ADDRESS(1,R38,4),"1","")</f>
        <v>R</v>
      </c>
      <c r="T38" s="451">
        <f ca="1">IF(AND(ISTEXT(B38),SUBSTITUTE(SUBSTITUTE(SUBSTITUTE(SUBSTITUTE(SUBSTITUTE(SUBSTITUTE(SUBSTITUTE(SUBSTITUTE(SUBSTITUTE(SUBSTITUTE(SUBSTITUTE(SUBSTITUTE(SUBSTITUTE(SUBSTITUTE(SUBSTITUTE(SUBSTITUTE(SUBSTITUTE(SUBSTITUTE(SUBSTITUTE(SUBSTITUTE(SUBSTITUTE(SUBSTITUTE(SUBSTITUTE(SUBSTITUTE(SUBSTITUTE(SUBSTITUTE(LOWER(B38),"a",),"b",),"c",),"d",),"e",),"f",),"g",),"h",),"i",),"j",),"k",),"l",),"m",),"n",),"o",),"p",),"q",),"r",),"s",),"t",),"u",),"v",),"w",),"x",),"y",),"z",)=""),1,2)</f>
        <v>1</v>
      </c>
      <c r="U38" s="1377">
        <v>18</v>
      </c>
      <c r="V38" s="52" t="str">
        <f ca="1">IF(AND(B$5=$BF$9,OR(I38=BH$16,I38=BH$17))," ",IF(ISNUMBER(B$38),(CONCATENATE(B$38,".",W38)),(CONCATENATE(B$38,W38))))</f>
        <v>R0</v>
      </c>
      <c r="W38" s="9">
        <f ca="1">IF(B32=B38,W36+X38,X38)</f>
        <v>0</v>
      </c>
      <c r="X38" s="9">
        <f>IF(AND(B$5=$BF$9,OR($I38=$BH$16,$I38=$BH$17,$I38=" ",$I38="",$F38=0)),0,IF(OR($I38=" ",$I38="",$F38=0),0,1))</f>
        <v>0</v>
      </c>
      <c r="Y38" s="896">
        <f ca="1">IF(AND(M43&gt;0,B38&lt;&gt;B44),1,0)</f>
        <v>0</v>
      </c>
      <c r="Z38" s="52" t="str">
        <f ca="1">IF(I38=" "," ",OFFSET($BM$9,$CL38-1,8,1,1))</f>
        <v xml:space="preserve"> </v>
      </c>
      <c r="AA38" s="51" t="str">
        <f>IF(G38&gt;=45,"WA","")</f>
        <v/>
      </c>
      <c r="AB38" s="1364" t="str">
        <f>IF(OR(E38=" ",E38="")," ",(IF(F38&lt;&gt;"",IF(OR(D38=$BG$12,D38=$BG$13),IF(E38&lt;&gt;$BG$17,$BF$20,$BF$21),IF(E38&lt;&gt;$BG$17,$BF$20,$BF$21))," ")))</f>
        <v xml:space="preserve"> </v>
      </c>
      <c r="AC38" s="1"/>
      <c r="AJ38" s="2"/>
      <c r="AM38" s="4"/>
      <c r="AN38" s="4"/>
      <c r="AO38" s="4"/>
      <c r="AP38" s="4"/>
      <c r="AQ38" s="4"/>
      <c r="AR38" s="10"/>
      <c r="AS38" s="10"/>
      <c r="AT38" s="4"/>
      <c r="AU38" s="119"/>
      <c r="BD38" s="635"/>
      <c r="BF38" s="599" t="str">
        <f>'Custom Elements'!C14</f>
        <v>Custom6</v>
      </c>
      <c r="BI38" s="759"/>
      <c r="BJ38" s="897">
        <f t="shared" si="6"/>
        <v>30</v>
      </c>
      <c r="BK38" s="769" t="str">
        <f>'Custom Elements'!O14</f>
        <v>NZS 3604</v>
      </c>
      <c r="BL38" s="771" t="str">
        <f>'Custom Elements'!P14</f>
        <v>Cantilever pile</v>
      </c>
      <c r="BM38" s="455">
        <f>'Custom Elements'!Q14</f>
        <v>1</v>
      </c>
      <c r="BN38" s="455">
        <v>999</v>
      </c>
      <c r="BO38" s="455">
        <f>'Custom Elements'!R14</f>
        <v>70</v>
      </c>
      <c r="BP38" s="925">
        <f>'Custom Elements'!S14</f>
        <v>30</v>
      </c>
      <c r="BR38" s="764"/>
      <c r="BS38" s="455"/>
      <c r="BT38" s="455" t="s">
        <v>3</v>
      </c>
      <c r="BU38" s="925" t="s">
        <v>34</v>
      </c>
      <c r="BV38" s="483" t="str">
        <f t="shared" si="32"/>
        <v>Cantilever pile</v>
      </c>
      <c r="BW38" s="910">
        <f t="shared" si="28"/>
        <v>30</v>
      </c>
      <c r="BX38" s="925" t="str">
        <f>'Custom Elements'!U14</f>
        <v>Single</v>
      </c>
      <c r="CH38" s="764">
        <f t="shared" si="29"/>
        <v>0</v>
      </c>
      <c r="CI38" s="925">
        <f t="shared" si="30"/>
        <v>0</v>
      </c>
      <c r="CJ38" s="759"/>
      <c r="CK38" s="188"/>
      <c r="CL38" s="979">
        <f>VLOOKUP(I38,Prodlink,2,0)</f>
        <v>0</v>
      </c>
      <c r="CN38" s="497">
        <f t="shared" ca="1" si="2"/>
        <v>0</v>
      </c>
      <c r="CO38" s="497">
        <f ca="1">OFFSET($CH$9,CL38-1,-15,1,1)</f>
        <v>0</v>
      </c>
      <c r="CQ38" s="51">
        <v>0</v>
      </c>
      <c r="CR38" s="51">
        <f ca="1">IF(AND(Z38&lt;&gt;"t",Z38&lt;&gt;"f"),10000,IF(K38=$BH$11,0,IF(K38=$BH$12,$BH$23,IF(K38=$BH$13,$BH$24,10000))))</f>
        <v>10000</v>
      </c>
      <c r="CS38" s="51">
        <f ca="1">IF(F38&lt;OFFSET($BM$9,CL38-1,0,1,1),0,IF(F38&lt;OFFSET($BN$9,CL38-1,0,1,1),((F38-OFFSET($BM$9,CL38-1,0,1,1))*OFFSET($CH$9,CL38-1,0,1,1))+OFFSET($BO$9,CL38-1,CQ38,1,1),IF(F38&lt;OFFSET($BN$9,CL38+0,0,1,1),((F38-OFFSET($BM$9,CL38+0,0,1,1))*OFFSET($CH$9,CL38+0,0,1,1))+OFFSET($BO$9,CL38+0,CQ38,1,1),IF(F38&lt;OFFSET($BN$9,CL38+1,0,1,1),((F38-OFFSET($BM$9,CL38+1,0,1,1))*OFFSET($CH$9,CL38+1,0,1,1))+OFFSET($BO$9,CL38+1,CQ38,1,1),IF(F38&lt;OFFSET($BN$9,CL38+2,0,1,1),((F38-OFFSET($BM$9,CL38+2,0,1,1))*OFFSET($CH$9,CL38+2,0,1,1))+OFFSET($BO$9,CL38+2,CQ38,1,1),IF(F38&lt;OFFSET($BN$9,CL38+3,0,1,1),((F38-OFFSET($BM$9,CL38+3,0,1,1))*OFFSET($CH$9,CL38+3,0,1,1))+OFFSET($BO$9,CL38+3,CQ38,1,1),0))))))</f>
        <v>0</v>
      </c>
      <c r="CT38" s="51">
        <f ca="1">IF($F38&lt;OFFSET($BM$9,$CL38-1,0,1,1),0,IF($F38&lt;OFFSET($BN$9,$CL38-1,0,1,1),IF(AND($H38&gt;2.4,Z38&lt;&gt;"e",Z38&lt;&gt;"f"),CX38*2.4/$H38,CX38),IF($F38&lt;OFFSET($BN$9,$CL38+0,0,1,1),IF(AND($H38&gt;2.4,Z38&lt;&gt;"e",Z38&lt;&gt;"f"),CX38*2.4/$H38,CX38),IF($F38&lt;OFFSET($BN$9,$CL38+1,0,1,1),IF(AND($H38&gt;2.4,Z38&lt;&gt;"e",Z38&lt;&gt;"f"),CX38*2.4/$H38,CX38),IF($F38&lt;OFFSET($BN$9,CL38+2,0,1,1),IF(AND($H38&gt;2.4,Z38&lt;&gt;"e",Z38&lt;&gt;"f"),CX38*2.4/$H38,CX38),IF($F38&lt;OFFSET($BN$9,CL38+3,0,1,1),IF(AND($H38&gt;2.4,Z38&lt;&gt;"e",Z38&lt;&gt;"f"),CX38*2.4/$H38,CX38),0)))))*COS(RADIANS($G38)))</f>
        <v>0</v>
      </c>
      <c r="CU38" s="51">
        <f ca="1">IF(F38&lt;OFFSET($BM$9,CL38-1,0,1,1),0,IF(F38&lt;OFFSET($BN$9,CL38-1,0,1,1),((F38-OFFSET($BM$9,CL38-1,0,1,1))*OFFSET($CI$9,CL38-1,0,1,1))+OFFSET($BP$9,CL38-1,CQ38,1,1),IF(F38&lt;OFFSET($BN$9,CL38+0,0,1,1),((F38-OFFSET($BM$9,CL38+0,0,1,1))*OFFSET($CI$9,CL38+0,0,1,1))+OFFSET($BP$9,CL38+0,CQ38,1,1),IF(F38&lt;OFFSET($BN$9,CL38+1,0,1,1),((F38-OFFSET($BM$9,CL38+1,0,1,1))*OFFSET($CI$9,CL38+1,0,1,1))+OFFSET($BP$9,CL38+1,CQ38,1,1),IF(F38&lt;OFFSET($BN$9,CL38+2,0,1,1),((F38-OFFSET($BM$9,CL38+2,0,1,1))*OFFSET($CI$9,CL38+2,0,1,1))+OFFSET($BP$9,CL38+2,CQ38,1,1),IF(F38&lt;OFFSET($BN$9,CL38+3,0,1,1),((F38-OFFSET($BM$9,CL38+3,0,1,1))*OFFSET($CI$9,CL38+3,0,1,1))+OFFSET($BP$9,CL38+3,CQ38,1,1),0))))))</f>
        <v>0</v>
      </c>
      <c r="CV38" s="51">
        <f ca="1">IF($F38&lt;OFFSET($BM$9,$CL38-1,0,1,1),0,IF($F38&lt;OFFSET($BN$9,$CL38-1,0,1,1),IF(AND($H38&gt;2.4,Z38&lt;&gt;"e",Z38&lt;&gt;"f"),CZ38*2.4/$H38,CZ38),IF($F38&lt;OFFSET($BN$9,$CL38+0,0,1,1),IF(AND($H38&gt;2.4,Z38&lt;&gt;"e",Z38&lt;&gt;"f"),CZ38*2.4/$H38,CZ38),IF($F38&lt;OFFSET($BN$9,$CL38+1,0,1,1),IF(AND($H38&gt;2.4,Z38&lt;&gt;"e",Z38&lt;&gt;"f"),CZ38*2.4/$H38,CZ38),IF($F38&lt;OFFSET($BN$9,$CL38+2,0,1,1),IF(AND($H38&gt;2.4,Z38&lt;&gt;"e",Z38&lt;&gt;"f"),CZ38*2.4/$H38,CZ38),IF($F38&lt;OFFSET($BN$9,$CL38+3,0,1,1),IF(AND($H38&gt;2.4,Z38&lt;&gt;"e",Z38&lt;&gt;"f"),CZ38*2.4/$H38,CZ38),0)))))*COS(RADIANS($G38)))</f>
        <v>0</v>
      </c>
      <c r="CW38" s="51">
        <f t="shared" ca="1" si="18"/>
        <v>0</v>
      </c>
      <c r="CX38" s="51">
        <f ca="1">IF(CS38&gt;$CR38,$CR38,CS38)</f>
        <v>0</v>
      </c>
      <c r="CY38" s="51">
        <f ca="1">CW38*F38</f>
        <v>0</v>
      </c>
      <c r="CZ38" s="51">
        <f ca="1">IF($CU38&gt;$CR38,$CR38,$CU38)</f>
        <v>0</v>
      </c>
      <c r="DA38" s="51">
        <f ca="1">IF(CV38&gt;CR38,CR38,CV38)</f>
        <v>0</v>
      </c>
      <c r="DB38" s="51">
        <f ca="1">DA38*F38</f>
        <v>0</v>
      </c>
      <c r="DC38" s="993">
        <v>1</v>
      </c>
      <c r="DD38" s="758" t="str">
        <f>IF(OR(D38=BG$12,D38=BG$13),"External",IF(D38=BG$14,"Internal"," "))</f>
        <v xml:space="preserve"> </v>
      </c>
      <c r="DE38" s="51" t="str">
        <f t="shared" ca="1" si="4"/>
        <v/>
      </c>
      <c r="DF38" s="52" t="str">
        <f t="shared" ca="1" si="5"/>
        <v xml:space="preserve"> </v>
      </c>
      <c r="DG38" s="51">
        <f ca="1">IF(F38&lt;OFFSET($BM$9,CN38-1,0,1,1),0,IF(F38&lt;OFFSET($BN$9,CN38-1,0,1,1),((F38-OFFSET($BM$9,CN38-1,0,1,1))*OFFSET($CH$9,CN38-1,0,1,1))+OFFSET($BO$9,CN38-1,CQ38,1,1),IF(F38&lt;OFFSET($BN$9,CN38+0,0,1,1),((F38-OFFSET($BM$9,CN38+0,0,1,1))*OFFSET($CH$9,CN38+0,0,1,1))+OFFSET($BO$9,CN38+0,CQ38,1,1),IF(F38&lt;OFFSET($BN$9,CN38+1,0,1,1),((F38-OFFSET($BM$9,CN38+1,0,1,1))*OFFSET($CH$9,CN38+1,0,1,1))+OFFSET($BO$9,CN38+1,CQ38,1,1),IF(F38&lt;OFFSET($BN$9,CN38+2,0,1,1),((F38-OFFSET($BM$9,CN38+2,0,1,1))*OFFSET($CH$9,CN38+2,0,1,1))+OFFSET($BO$9,CN38+2,CQ38,1,1),IF(F38&lt;OFFSET($BN$9,CN38+3,0,1,1),((F38-OFFSET($BM$9,CN38+3,0,1,1))*OFFSET($CH$9,CN38+3,0,1,1))+OFFSET($BO$9,CN38+3,CQ38,1,1),0))))))</f>
        <v>0</v>
      </c>
      <c r="DH38" s="51">
        <f ca="1">IF($F38&lt;OFFSET($BM$9,$CN38-1,0,1,1),0,IF($F38&lt;OFFSET($BN$9,$CN38-1,0,1,1),IF(AND($H38&gt;2.4,Z38&lt;&gt;"e",Z38&lt;&gt;"f"),DL38*2.4/$H38,DL38),IF($F38&lt;OFFSET($BN$9,$CN38+0,0,1,1),IF(AND($H38&gt;2.4,Z38&lt;&gt;"e",Z38&lt;&gt;"f"),DL38*2.4/$H38,DL38),IF($F38&lt;OFFSET($BN$9,$CN38+1,0,1,1),IF(AND($H38&gt;2.4,Z38&lt;&gt;"e",Z38&lt;&gt;"f"),DL38*2.4/$H38,DL38),IF($F38&lt;OFFSET($BN$9,$CN38+2,0,1,1),IF(AND($H38&gt;2.4,Z38&lt;&gt;"e",Z38&lt;&gt;"f"),DL38*2.4/$H38,DL38),IF($F38&lt;OFFSET($BN$9,$CN38+3,0,1,1),IF(AND($H38&gt;2.4,Z38&lt;&gt;"e",Z38&lt;&gt;"f"),DL38*2.4/$H38,DL38),0)))))*COS(RADIANS($G38)))</f>
        <v>0</v>
      </c>
      <c r="DI38" s="51">
        <f ca="1">IF(F38&lt;OFFSET($BM$9,CN38-1,0,1,1),0,IF(F38&lt;OFFSET($BN$9,CN38-1,0,1,1),((F38-OFFSET($BM$9,CN38-1,0,1,1))*OFFSET($CI$9,CN38-1,0,1,1))+OFFSET($BP$9,CN38-1,CQ38,1,1),IF(F38&lt;OFFSET($BN$9,CN38+0,0,1,1),((F38-OFFSET($BM$9,CN38+0,0,1,1))*OFFSET($CI$9,CN38+0,0,1,1))+OFFSET($BP$9,CN38+0,CQ38,1,1),IF(F38&lt;OFFSET($BN$9,CN38+1,0,1,1),((F38-OFFSET($BM$9,CN38+1,0,1,1))*OFFSET($CI$9,CN38+1,0,1,1))+OFFSET($BP$9,CN38+1,CQ38,1,1),IF(F38&lt;OFFSET($BN$9,CN38+2,0,1,1),((F38-OFFSET($BM$9,CN38+2,0,1,1))*OFFSET($CI$9,CN38+2,0,1,1))+OFFSET($BP$9,CN38+2,CQ38,1,1),IF(F38&lt;OFFSET($BN$9,CN38+3,0,1,1),((F38-OFFSET($BM$9,CN38+3,0,1,1))*OFFSET($CI$9,CN38+3,0,1,1))+OFFSET($BP$9,CN38+3,CQ38,1,1),0))))))</f>
        <v>0</v>
      </c>
      <c r="DJ38" s="51">
        <f ca="1">IF($F38&lt;OFFSET($BM$9,$CN38-1,0,1,1),0,IF($F38&lt;OFFSET($BN$9,$CN38-1,0,1,1),IF(AND($H38&gt;2.4,Z38&lt;&gt;"e",Z38&lt;&gt;"f"),DN38*2.4/$H38,DN38),IF($F38&lt;OFFSET($BN$9,$CN38+0,0,1,1),IF(AND($H38&gt;2.4,Z38&lt;&gt;"e",Z38&lt;&gt;"f"),DN38*2.4/$H38,DN38),IF($F38&lt;OFFSET($BN$9,$CN38+1,0,1,1),IF(AND($H38&gt;2.4,Z38&lt;&gt;"e",Z38&lt;&gt;"f"),DN38*2.4/$H38,DN38),IF($F38&lt;OFFSET($BN$9,$CN38+2,0,1,1),IF(AND($H38&gt;2.4,Z38&lt;&gt;"e",Z38&lt;&gt;"f"),DN38*2.4/$H38,DN38),IF($F38&lt;OFFSET($BN$9,$CN38+3,0,1,1),IF(AND($H38&gt;2.4,Z38&lt;&gt;"e",Z38&lt;&gt;"f"),DN38*2.4/$H38,DN38),0)))))*COS(RADIANS($G38)))</f>
        <v>0</v>
      </c>
      <c r="DK38" s="51"/>
      <c r="DL38" s="51">
        <f ca="1">IF(DG38&gt;$CR38,$CR38,DG38)</f>
        <v>0</v>
      </c>
      <c r="DM38" s="51"/>
      <c r="DN38" s="51">
        <f ca="1">IF(DI38&gt;$CR38,$CR38,DI38)</f>
        <v>0</v>
      </c>
      <c r="DO38" s="435">
        <f ca="1">IF(DH38&gt;$CR38,$CR38,DH38)</f>
        <v>0</v>
      </c>
      <c r="DP38" s="435">
        <f ca="1">DO38*F38</f>
        <v>0</v>
      </c>
      <c r="DQ38" s="436">
        <f ca="1">IF(DJ38&gt;$CR38,$CR38,DJ38)</f>
        <v>0</v>
      </c>
      <c r="DR38" s="437">
        <f ca="1">DQ38*F38</f>
        <v>0</v>
      </c>
      <c r="DS38" s="426">
        <f ca="1">OFFSET($CH$9,CL38-1,-15,1,1)</f>
        <v>0</v>
      </c>
      <c r="DT38" s="426">
        <f t="shared" ca="1" si="1"/>
        <v>0</v>
      </c>
      <c r="DU38" s="188">
        <f ca="1">IF(F38&lt;OFFSET($BM$9,DT38-1,0,1,1),0,IF(F38&lt;OFFSET($BN$9,DT38-1,0,1,1),((F38-OFFSET($BM$9,DT38-1,0,1,1))*OFFSET($CH$9,DT38-1,0,1,1))+OFFSET($BO$9,DT38-1,CQ38,1,1),IF(F38&lt;OFFSET($BN$9,DT38+0,0,1,1),((F38-OFFSET($BM$9,DT38+0,0,1,1))*OFFSET($CH$9,DT38+0,0,1,1))+OFFSET($BO$9,DT38+0,CQ38,1,1),IF(F38&lt;OFFSET($BN$9,DT38+1,0,1,1),((F38-OFFSET($BM$9,DT38+1,0,1,1))*OFFSET($CH$9,DT38+1,0,1,1))+OFFSET($BO$9,DT38+1,CQ38,1,1),IF(F38&lt;OFFSET($BN$9,DT38+2,0,1,1),((F38-OFFSET($BM$9,DT38+2,0,1,1))*OFFSET($CH$9,DT38+2,0,1,1))+OFFSET($BO$9,DT38+2,CQ38,1,1),IF(F38&lt;OFFSET($BN$9,DT38+3,0,1,1),((F38-OFFSET($BM$9,DT38+3,0,1,1))*OFFSET($CH$9,DT38+3,0,1,1))+OFFSET($BO$9,DT38+3,CQ38,1,1),0))))))</f>
        <v>0</v>
      </c>
      <c r="DV38" s="51">
        <f ca="1">IF($F38&lt;OFFSET($BM$9,$DT38-1,0,1,1),0,IF($F38&lt;OFFSET($BN$9,$DT38-1,0,1,1),IF(AND($H38&gt;2.4,Z38&lt;&gt;"e",Z38&lt;&gt;"f"),DZ38*2.4/$H38,DZ38),IF($F38&lt;OFFSET($BN$9,$DT38+0,0,1,1),IF(AND($H38&gt;2.4,Z38&lt;&gt;"e",Z38&lt;&gt;"f"),DZ38*2.4/$H38,DZ38),IF($F38&lt;OFFSET($BN$9,$DT38+1,0,1,1),IF(AND($H38&gt;2.4,Z38&lt;&gt;"e",Z38&lt;&gt;"f"),DZ38*2.4/$H38,DZ38),IF($F38&lt;OFFSET($BN$9,$DT38+2,0,1,1),IF(AND($H38&gt;2.4,Z38&lt;&gt;"e",Z38&lt;&gt;"f"),DZ38*2.4/$H38,DZ38),IF($F38&lt;OFFSET($BN$9,$DT38+3,0,1,1),IF(AND($H38&gt;2.4,Z38&lt;&gt;"e",Z38&lt;&gt;"f"),DZ38*2.4/$H38,DZ38),0)))))*COS(RADIANS($G38)))</f>
        <v>0</v>
      </c>
      <c r="DW38" s="188">
        <f ca="1">IF(F38&lt;OFFSET($BM$9,DT38-1,0,1,1),0,IF(F38&lt;OFFSET($BN$9,DT38-1,0,1,1),((F38-OFFSET($BM$9,DT38-1,0,1,1))*OFFSET($CI$9,DT38-1,0,1,1))+OFFSET($BP$9,DT38-1,CQ38,1,1),IF(F38&lt;OFFSET($BN$9,DT38+0,0,1,1),((F38-OFFSET($BM$9,DT38+0,0,1,1))*OFFSET($CI$9,DT38+0,0,1,1))+OFFSET($BP$9,DT38+0,CQ38,1,1),IF(F38&lt;OFFSET($BN$9,DT38+1,0,1,1),((F38-OFFSET($BM$9,DT38+1,0,1,1))*OFFSET($CI$9,DT38+1,0,1,1))+OFFSET($BP$9,DT38+1,CQ38,1,1),IF(F38&lt;OFFSET($BN$9,DT38+2,0,1,1),((F38-OFFSET($BM$9,DT38+2,0,1,1))*OFFSET($CI$9,DT38+2,0,1,1))+OFFSET($BP$9,DT38+2,CQ38,1,1),IF(F38&lt;OFFSET($BN$9,DT38+3,0,1,1),((F38-OFFSET($BM$9,DT38+3,0,1,1))*OFFSET($CI$9,DT38+3,0,1,1))+OFFSET($BP$9,DT38+3,CQ38,1,1),0))))))</f>
        <v>0</v>
      </c>
      <c r="DX38" s="51">
        <f ca="1">IF($F38&lt;OFFSET($BM$9,$DT38-1,0,1,1),0,IF($F38&lt;OFFSET($BN$9,$DT38-1,0,1,1),IF(AND($H38&gt;2.4,Z38&lt;&gt;"e",Z38&lt;&gt;"f"),EB38*2.4/$H38,EB38),IF($F38&lt;OFFSET($BN$9,$DT38+0,0,1,1),IF(AND($H38&gt;2.4,Z38&lt;&gt;"e",Z38&lt;&gt;"f"),EB38*2.4/$H38,EB38),IF($F38&lt;OFFSET($BN$9,$DT38+1,0,1,1),IF(AND($H38&gt;2.4,Z38&lt;&gt;"e",Z38&lt;&gt;"f"),EB38*2.4/$H38,EB38),IF($F38&lt;OFFSET($BN$9,$DT38+2,0,1,1),IF(AND($H38&gt;2.4,Z38&lt;&gt;"e",Z38&lt;&gt;"f"),EB38*2.4/$H38,EB38),IF($F38&lt;OFFSET($BN$9,$DT38+3,0,1,1),IF(AND($H38&gt;2.4,Z38&lt;&gt;"e",Z38&lt;&gt;"f"),EB38*2.4/$H38,EB38),0)))))*COS(RADIANS($G38)))</f>
        <v>0</v>
      </c>
      <c r="DY38" s="188"/>
      <c r="DZ38" s="188">
        <f ca="1">IF(DU38&gt;$CR38,$CR38,DU38)</f>
        <v>0</v>
      </c>
      <c r="EA38" s="188"/>
      <c r="EB38" s="188">
        <f ca="1">IF(DW38&gt;$CR38,$CR38,DW38)</f>
        <v>0</v>
      </c>
      <c r="EC38" s="435">
        <f ca="1">IF(DV38&gt;$CR38,$CR38,DV38)</f>
        <v>0</v>
      </c>
      <c r="ED38" s="435">
        <f ca="1">EC38*F38</f>
        <v>0</v>
      </c>
      <c r="EE38" s="436">
        <f ca="1">IF(DX38&gt;$CR38,$CR38,DX38)</f>
        <v>0</v>
      </c>
      <c r="EF38" s="437">
        <f ca="1">EE38*F38</f>
        <v>0</v>
      </c>
      <c r="EG38" s="613" t="str">
        <f>IF(D38=BG$12,BG$12,"")</f>
        <v/>
      </c>
      <c r="EH38" s="614" t="str">
        <f>IF(D38=BG$13,BG$13,"")</f>
        <v/>
      </c>
      <c r="EI38" s="611">
        <f>IF(EG38=BG$12,M38,0)</f>
        <v>0</v>
      </c>
      <c r="EJ38" s="451">
        <f>IF(EG38=BG$12,O38,0)</f>
        <v>0</v>
      </c>
      <c r="EK38" s="451">
        <f>IF(EH38=BG$13,M38,0)</f>
        <v>0</v>
      </c>
      <c r="EL38" s="612">
        <f>IF(EH38=BG$13,O38,0)</f>
        <v>0</v>
      </c>
      <c r="EM38" s="426" t="str">
        <f ca="1">IF(AND(Z38&lt;&gt;"t",Z38&lt;&gt;"f"),"",IF(AND(EN38=$BH$11,K38&lt;&gt;EN38),EM$4,IF(AND(EN38=$BH$12,K38=$BH$13),EM$4,IF(AND(EN38=$BH$12,K38=$BH$14),EM$4,IF(AND(EN38=$BH$13,K38=$BH$14),$EM$4,IF(EN38=$BH$14,$EM$4,""))))))</f>
        <v/>
      </c>
      <c r="EN38" s="489" t="str">
        <f>BG$24</f>
        <v>Earth</v>
      </c>
      <c r="EO38" s="426" t="str">
        <f>K38</f>
        <v xml:space="preserve"> </v>
      </c>
      <c r="EP38" s="497" t="str">
        <f ca="1">IF(AND(Z38&lt;&gt;"t",Z38&lt;&gt;"f"),"",IF(AND(EN38=$BH$14,K38&lt;&gt;EN38),EP$4,IF(AND(EN38=$BH$13,K38=$BH$12),EP$4,IF(AND(EN38=$BH$13,K38=$BH$11),EP$4,IF(AND(EN38=$BH$12,K38=$BH$11),$EP$4,IF(EN38=$BH$11,"Earth",""))))))</f>
        <v/>
      </c>
      <c r="EQ38" s="430" t="str">
        <f ca="1">IF(Z38&lt;&gt;"t","",IF(EQ$5=2,IF(K38&lt;&gt;BH$11,EQ$7," ")))</f>
        <v/>
      </c>
      <c r="ER38" s="439" t="str">
        <f ca="1">IF(H38=0," ",H38)</f>
        <v xml:space="preserve"> </v>
      </c>
      <c r="ES38" s="440" t="str">
        <f ca="1">IF(ER38&lt;&gt;" ",IF(ER38&lt;&gt;ER$7,"Changed",""),"")</f>
        <v/>
      </c>
      <c r="ET38" s="440">
        <f t="shared" ca="1" si="19"/>
        <v>0</v>
      </c>
      <c r="EU38" s="426" t="str">
        <f ca="1">IF(I38=" "," ",IF(F38&lt;OFFSET($BM$9,CL38-1,0,1,1),1,""))</f>
        <v xml:space="preserve"> </v>
      </c>
      <c r="EW38" s="427"/>
    </row>
    <row r="39" spans="1:153" ht="17.100000000000001" customHeight="1" thickBot="1">
      <c r="B39" s="689" t="s">
        <v>246</v>
      </c>
      <c r="C39" s="684" t="str">
        <f>IF(OR(F39=0,I39="",I39=" ")," ",$V39)</f>
        <v xml:space="preserve"> </v>
      </c>
      <c r="D39" s="1033"/>
      <c r="E39" s="1360" t="s">
        <v>8</v>
      </c>
      <c r="F39" s="202"/>
      <c r="G39" s="1416"/>
      <c r="H39" s="1417" t="str">
        <f ca="1">IF(OR(F39=0,Z39="E",Z39="f")," ",'Project Demand'!E$55)</f>
        <v xml:space="preserve"> </v>
      </c>
      <c r="I39" s="631" t="str">
        <f>IF($I$6&lt;&gt;$BG$8," ",AB39)</f>
        <v xml:space="preserve"> </v>
      </c>
      <c r="J39" s="44" t="str">
        <f ca="1">IF(OR(I39=" ",I39="")," ",OFFSET($BO$9,CL39-1,0-4,1,1))</f>
        <v xml:space="preserve"> </v>
      </c>
      <c r="K39" s="55" t="str">
        <f>IF(OR(I39=" ",I39="")," ",IF(OR(Z39="e",Z39="h"),"SD",IF(BG$24=BH$11,BH$13,BG$24)))</f>
        <v xml:space="preserve"> </v>
      </c>
      <c r="L39" s="49">
        <f ca="1">CW39</f>
        <v>0</v>
      </c>
      <c r="M39" s="49">
        <f ca="1">CY39</f>
        <v>0</v>
      </c>
      <c r="N39" s="50">
        <f t="shared" ca="1" si="33"/>
        <v>0</v>
      </c>
      <c r="O39" s="126">
        <f t="shared" ca="1" si="33"/>
        <v>0</v>
      </c>
      <c r="P39" s="140"/>
      <c r="Q39" s="752" t="str">
        <f ca="1">IF(AND(OR(Z39="t",Z39="f"),K39=$BH$11),"No Floor!  Change Floor Type",IF(OR(I39=" ",I39="")," ",IF(F39&lt;OFFSET($BM$9,CL39-1,0,1,1),"check L(m)",DE39&amp;IF(AND(DP39&gt;=CY39,DR39&gt;=DB39),IF(AND(ED39&gt;=DP39,EF39&gt;=DR39),CONCATENATE(DS39," will provide same result"),CONCATENATE(CO39," will provide same result")),IF((DP39&gt;=CY39),CONCATENATE(CO39," provides same result in WIND"),IF((DR39&gt;=DB39),CONCATENATE(CO39," provides same result in EQ"),""))))))&amp;IF(ISERROR(FIND("pile",I39,1)),"",IF(INT(F39)&lt;&gt;F39,"Pile!  Use Whole Numbers Only",""))</f>
        <v xml:space="preserve"> </v>
      </c>
      <c r="R39" s="52"/>
      <c r="S39" s="1372"/>
      <c r="T39" s="1372"/>
      <c r="U39" s="1377"/>
      <c r="V39" s="52" t="str">
        <f ca="1">IF(AND(B$5=$BF$9,OR(I39=BH$16,I39=BH$17))," ",IF(ISNUMBER(B$38),(CONCATENATE(B$38,".",W39)),(CONCATENATE(B$38,W39))))</f>
        <v>R0</v>
      </c>
      <c r="W39" s="9">
        <f ca="1">W38+X39</f>
        <v>0</v>
      </c>
      <c r="X39" s="9">
        <f>IF(AND(B$5=$BF$9,OR($I39=$BH$16,$I39=$BH$17,$I39=" ",$I39="",$F39=0)),0,IF(OR($I39=" ",$I39="",$F39=0),0,1))</f>
        <v>0</v>
      </c>
      <c r="Y39" s="896"/>
      <c r="Z39" s="52" t="str">
        <f ca="1">IF(I39=" "," ",OFFSET($BM$9,$CL39-1,8,1,1))</f>
        <v xml:space="preserve"> </v>
      </c>
      <c r="AA39" s="51" t="str">
        <f>IF(G39&gt;=45,"WA","")</f>
        <v/>
      </c>
      <c r="AB39" s="1364" t="str">
        <f>IF(OR(E39=" ",E39="")," ",(IF(F39&lt;&gt;"",IF(OR(D39=$BG$12,D39=$BG$13),IF(E39&lt;&gt;$BG$17,$BF$20,$BF$21),IF(E39&lt;&gt;$BG$17,$BF$20,$BF$21))," ")))</f>
        <v xml:space="preserve"> </v>
      </c>
      <c r="AC39" s="1"/>
      <c r="AJ39" s="2"/>
      <c r="AM39" s="4"/>
      <c r="AN39" s="4"/>
      <c r="AO39" s="4"/>
      <c r="AP39" s="4"/>
      <c r="AQ39" s="4"/>
      <c r="AR39" s="10"/>
      <c r="AS39" s="10"/>
      <c r="AT39" s="4"/>
      <c r="AU39" s="119"/>
      <c r="BD39" s="635"/>
      <c r="BF39" s="599" t="str">
        <f>'Custom Elements'!C15</f>
        <v>Custom7</v>
      </c>
      <c r="BG39" s="430" t="s">
        <v>933</v>
      </c>
      <c r="BI39" s="759"/>
      <c r="BJ39" s="897">
        <f t="shared" si="6"/>
        <v>31</v>
      </c>
      <c r="BK39" s="775" t="str">
        <f>'Custom Elements'!O15</f>
        <v>NZS 3604</v>
      </c>
      <c r="BL39" s="772" t="str">
        <f>'Custom Elements'!P15</f>
        <v>Anchor pile</v>
      </c>
      <c r="BM39" s="776">
        <f>'Custom Elements'!Q15</f>
        <v>1</v>
      </c>
      <c r="BN39" s="776">
        <v>999</v>
      </c>
      <c r="BO39" s="776">
        <f>'Custom Elements'!R15</f>
        <v>160</v>
      </c>
      <c r="BP39" s="926">
        <f>'Custom Elements'!S15</f>
        <v>120</v>
      </c>
      <c r="BQ39" s="1183"/>
      <c r="BR39" s="908"/>
      <c r="BS39" s="776"/>
      <c r="BT39" s="776" t="s">
        <v>3</v>
      </c>
      <c r="BU39" s="925" t="s">
        <v>34</v>
      </c>
      <c r="BV39" s="484" t="str">
        <f t="shared" si="32"/>
        <v>Anchor pile</v>
      </c>
      <c r="BW39" s="911">
        <f t="shared" si="28"/>
        <v>31</v>
      </c>
      <c r="BX39" s="925" t="str">
        <f>'Custom Elements'!U15</f>
        <v>Single</v>
      </c>
      <c r="CH39" s="908">
        <f>IF(BN39=999,0,(#REF!-BO39)/(BN39-BM39))</f>
        <v>0</v>
      </c>
      <c r="CI39" s="926">
        <f>IF(BN39=999,0,(#REF!-BP39)/(BN39-BM39))</f>
        <v>0</v>
      </c>
      <c r="CJ39" s="759"/>
      <c r="CK39" s="188"/>
      <c r="CL39" s="979">
        <f>VLOOKUP(I39,Prodlink,2,0)</f>
        <v>0</v>
      </c>
      <c r="CN39" s="497">
        <f t="shared" ca="1" si="2"/>
        <v>0</v>
      </c>
      <c r="CO39" s="497">
        <f ca="1">OFFSET($CH$9,CL39-1,-15,1,1)</f>
        <v>0</v>
      </c>
      <c r="CQ39" s="51">
        <v>0</v>
      </c>
      <c r="CR39" s="51">
        <f t="shared" ref="CR39:CR42" ca="1" si="34">IF(AND(Z39&lt;&gt;"t",Z39&lt;&gt;"f"),10000,IF(K39=$BH$11,0,IF(K39=$BH$12,$BH$23,IF(K39=$BH$13,$BH$24,10000))))</f>
        <v>10000</v>
      </c>
      <c r="CS39" s="51">
        <f ca="1">IF(F39&lt;OFFSET($BM$9,CL39-1,0,1,1),0,IF(F39&lt;OFFSET($BN$9,CL39-1,0,1,1),((F39-OFFSET($BM$9,CL39-1,0,1,1))*OFFSET($CH$9,CL39-1,0,1,1))+OFFSET($BO$9,CL39-1,CQ39,1,1),IF(F39&lt;OFFSET($BN$9,CL39+0,0,1,1),((F39-OFFSET($BM$9,CL39+0,0,1,1))*OFFSET($CH$9,CL39+0,0,1,1))+OFFSET($BO$9,CL39+0,CQ39,1,1),IF(F39&lt;OFFSET($BN$9,CL39+1,0,1,1),((F39-OFFSET($BM$9,CL39+1,0,1,1))*OFFSET($CH$9,CL39+1,0,1,1))+OFFSET($BO$9,CL39+1,CQ39,1,1),IF(F39&lt;OFFSET($BN$9,CL39+2,0,1,1),((F39-OFFSET($BM$9,CL39+2,0,1,1))*OFFSET($CH$9,CL39+2,0,1,1))+OFFSET($BO$9,CL39+2,CQ39,1,1),IF(F39&lt;OFFSET($BN$9,CL39+3,0,1,1),((F39-OFFSET($BM$9,CL39+3,0,1,1))*OFFSET($CH$9,CL39+3,0,1,1))+OFFSET($BO$9,CL39+3,CQ39,1,1),0))))))</f>
        <v>0</v>
      </c>
      <c r="CT39" s="51">
        <f ca="1">IF($F39&lt;OFFSET($BM$9,$CL39-1,0,1,1),0,IF($F39&lt;OFFSET($BN$9,$CL39-1,0,1,1),IF(AND($H39&gt;2.4,Z39&lt;&gt;"e",Z39&lt;&gt;"f"),CX39*2.4/$H39,CX39),IF($F39&lt;OFFSET($BN$9,$CL39+0,0,1,1),IF(AND($H39&gt;2.4,Z39&lt;&gt;"e",Z39&lt;&gt;"f"),CX39*2.4/$H39,CX39),IF($F39&lt;OFFSET($BN$9,$CL39+1,0,1,1),IF(AND($H39&gt;2.4,Z39&lt;&gt;"e",Z39&lt;&gt;"f"),CX39*2.4/$H39,CX39),IF($F39&lt;OFFSET($BN$9,CL39+2,0,1,1),IF(AND($H39&gt;2.4,Z39&lt;&gt;"e",Z39&lt;&gt;"f"),CX39*2.4/$H39,CX39),IF($F39&lt;OFFSET($BN$9,CL39+3,0,1,1),IF(AND($H39&gt;2.4,Z39&lt;&gt;"e",Z39&lt;&gt;"f"),CX39*2.4/$H39,CX39),0)))))*COS(RADIANS($G39)))</f>
        <v>0</v>
      </c>
      <c r="CU39" s="51">
        <f ca="1">IF(F39&lt;OFFSET($BM$9,CL39-1,0,1,1),0,IF(F39&lt;OFFSET($BN$9,CL39-1,0,1,1),((F39-OFFSET($BM$9,CL39-1,0,1,1))*OFFSET($CI$9,CL39-1,0,1,1))+OFFSET($BP$9,CL39-1,CQ39,1,1),IF(F39&lt;OFFSET($BN$9,CL39+0,0,1,1),((F39-OFFSET($BM$9,CL39+0,0,1,1))*OFFSET($CI$9,CL39+0,0,1,1))+OFFSET($BP$9,CL39+0,CQ39,1,1),IF(F39&lt;OFFSET($BN$9,CL39+1,0,1,1),((F39-OFFSET($BM$9,CL39+1,0,1,1))*OFFSET($CI$9,CL39+1,0,1,1))+OFFSET($BP$9,CL39+1,CQ39,1,1),IF(F39&lt;OFFSET($BN$9,CL39+2,0,1,1),((F39-OFFSET($BM$9,CL39+2,0,1,1))*OFFSET($CI$9,CL39+2,0,1,1))+OFFSET($BP$9,CL39+2,CQ39,1,1),IF(F39&lt;OFFSET($BN$9,CL39+3,0,1,1),((F39-OFFSET($BM$9,CL39+3,0,1,1))*OFFSET($CI$9,CL39+3,0,1,1))+OFFSET($BP$9,CL39+3,CQ39,1,1),0))))))</f>
        <v>0</v>
      </c>
      <c r="CV39" s="51">
        <f ca="1">IF($F39&lt;OFFSET($BM$9,$CL39-1,0,1,1),0,IF($F39&lt;OFFSET($BN$9,$CL39-1,0,1,1),IF(AND($H39&gt;2.4,Z39&lt;&gt;"e",Z39&lt;&gt;"f"),CZ39*2.4/$H39,CZ39),IF($F39&lt;OFFSET($BN$9,$CL39+0,0,1,1),IF(AND($H39&gt;2.4,Z39&lt;&gt;"e",Z39&lt;&gt;"f"),CZ39*2.4/$H39,CZ39),IF($F39&lt;OFFSET($BN$9,$CL39+1,0,1,1),IF(AND($H39&gt;2.4,Z39&lt;&gt;"e",Z39&lt;&gt;"f"),CZ39*2.4/$H39,CZ39),IF($F39&lt;OFFSET($BN$9,$CL39+2,0,1,1),IF(AND($H39&gt;2.4,Z39&lt;&gt;"e",Z39&lt;&gt;"f"),CZ39*2.4/$H39,CZ39),IF($F39&lt;OFFSET($BN$9,$CL39+3,0,1,1),IF(AND($H39&gt;2.4,Z39&lt;&gt;"e",Z39&lt;&gt;"f"),CZ39*2.4/$H39,CZ39),0)))))*COS(RADIANS($G39)))</f>
        <v>0</v>
      </c>
      <c r="CW39" s="51">
        <f t="shared" ca="1" si="18"/>
        <v>0</v>
      </c>
      <c r="CX39" s="51">
        <f ca="1">IF(CS39&gt;$CR39,$CR39,CS39)</f>
        <v>0</v>
      </c>
      <c r="CY39" s="51">
        <f ca="1">CW39*F39</f>
        <v>0</v>
      </c>
      <c r="CZ39" s="51">
        <f ca="1">IF($CU39&gt;$CR39,$CR39,$CU39)</f>
        <v>0</v>
      </c>
      <c r="DA39" s="51">
        <f ca="1">IF(CV39&gt;CR39,CR39,CV39)</f>
        <v>0</v>
      </c>
      <c r="DB39" s="51">
        <f ca="1">DA39*F39</f>
        <v>0</v>
      </c>
      <c r="DC39" s="993">
        <v>1</v>
      </c>
      <c r="DD39" s="758" t="str">
        <f>IF(OR(D39=BG$12,D39=BG$13),"External",IF(D39=BG$14,"Internal"," "))</f>
        <v xml:space="preserve"> </v>
      </c>
      <c r="DE39" s="51" t="str">
        <f t="shared" ca="1" si="4"/>
        <v/>
      </c>
      <c r="DF39" s="52" t="str">
        <f t="shared" ca="1" si="5"/>
        <v xml:space="preserve"> </v>
      </c>
      <c r="DG39" s="51">
        <f ca="1">IF(F39&lt;OFFSET($BM$9,CN39-1,0,1,1),0,IF(F39&lt;OFFSET($BN$9,CN39-1,0,1,1),((F39-OFFSET($BM$9,CN39-1,0,1,1))*OFFSET($CH$9,CN39-1,0,1,1))+OFFSET($BO$9,CN39-1,CQ39,1,1),IF(F39&lt;OFFSET($BN$9,CN39+0,0,1,1),((F39-OFFSET($BM$9,CN39+0,0,1,1))*OFFSET($CH$9,CN39+0,0,1,1))+OFFSET($BO$9,CN39+0,CQ39,1,1),IF(F39&lt;OFFSET($BN$9,CN39+1,0,1,1),((F39-OFFSET($BM$9,CN39+1,0,1,1))*OFFSET($CH$9,CN39+1,0,1,1))+OFFSET($BO$9,CN39+1,CQ39,1,1),IF(F39&lt;OFFSET($BN$9,CN39+2,0,1,1),((F39-OFFSET($BM$9,CN39+2,0,1,1))*OFFSET($CH$9,CN39+2,0,1,1))+OFFSET($BO$9,CN39+2,CQ39,1,1),IF(F39&lt;OFFSET($BN$9,CN39+3,0,1,1),((F39-OFFSET($BM$9,CN39+3,0,1,1))*OFFSET($CH$9,CN39+3,0,1,1))+OFFSET($BO$9,CN39+3,CQ39,1,1),0))))))</f>
        <v>0</v>
      </c>
      <c r="DH39" s="51">
        <f ca="1">IF($F39&lt;OFFSET($BM$9,$CN39-1,0,1,1),0,IF($F39&lt;OFFSET($BN$9,$CN39-1,0,1,1),IF(AND($H39&gt;2.4,Z39&lt;&gt;"e",Z39&lt;&gt;"f"),DL39*2.4/$H39,DL39),IF($F39&lt;OFFSET($BN$9,$CN39+0,0,1,1),IF(AND($H39&gt;2.4,Z39&lt;&gt;"e",Z39&lt;&gt;"f"),DL39*2.4/$H39,DL39),IF($F39&lt;OFFSET($BN$9,$CN39+1,0,1,1),IF(AND($H39&gt;2.4,Z39&lt;&gt;"e",Z39&lt;&gt;"f"),DL39*2.4/$H39,DL39),IF($F39&lt;OFFSET($BN$9,$CN39+2,0,1,1),IF(AND($H39&gt;2.4,Z39&lt;&gt;"e",Z39&lt;&gt;"f"),DL39*2.4/$H39,DL39),IF($F39&lt;OFFSET($BN$9,$CN39+3,0,1,1),IF(AND($H39&gt;2.4,Z39&lt;&gt;"e",Z39&lt;&gt;"f"),DL39*2.4/$H39,DL39),0)))))*COS(RADIANS($G39)))</f>
        <v>0</v>
      </c>
      <c r="DI39" s="51">
        <f ca="1">IF(F39&lt;OFFSET($BM$9,CN39-1,0,1,1),0,IF(F39&lt;OFFSET($BN$9,CN39-1,0,1,1),((F39-OFFSET($BM$9,CN39-1,0,1,1))*OFFSET($CI$9,CN39-1,0,1,1))+OFFSET($BP$9,CN39-1,CQ39,1,1),IF(F39&lt;OFFSET($BN$9,CN39+0,0,1,1),((F39-OFFSET($BM$9,CN39+0,0,1,1))*OFFSET($CI$9,CN39+0,0,1,1))+OFFSET($BP$9,CN39+0,CQ39,1,1),IF(F39&lt;OFFSET($BN$9,CN39+1,0,1,1),((F39-OFFSET($BM$9,CN39+1,0,1,1))*OFFSET($CI$9,CN39+1,0,1,1))+OFFSET($BP$9,CN39+1,CQ39,1,1),IF(F39&lt;OFFSET($BN$9,CN39+2,0,1,1),((F39-OFFSET($BM$9,CN39+2,0,1,1))*OFFSET($CI$9,CN39+2,0,1,1))+OFFSET($BP$9,CN39+2,CQ39,1,1),IF(F39&lt;OFFSET($BN$9,CN39+3,0,1,1),((F39-OFFSET($BM$9,CN39+3,0,1,1))*OFFSET($CI$9,CN39+3,0,1,1))+OFFSET($BP$9,CN39+3,CQ39,1,1),0))))))</f>
        <v>0</v>
      </c>
      <c r="DJ39" s="51">
        <f ca="1">IF($F39&lt;OFFSET($BM$9,$CN39-1,0,1,1),0,IF($F39&lt;OFFSET($BN$9,$CN39-1,0,1,1),IF(AND($H39&gt;2.4,Z39&lt;&gt;"e",Z39&lt;&gt;"f"),DN39*2.4/$H39,DN39),IF($F39&lt;OFFSET($BN$9,$CN39+0,0,1,1),IF(AND($H39&gt;2.4,Z39&lt;&gt;"e",Z39&lt;&gt;"f"),DN39*2.4/$H39,DN39),IF($F39&lt;OFFSET($BN$9,$CN39+1,0,1,1),IF(AND($H39&gt;2.4,Z39&lt;&gt;"e",Z39&lt;&gt;"f"),DN39*2.4/$H39,DN39),IF($F39&lt;OFFSET($BN$9,$CN39+2,0,1,1),IF(AND($H39&gt;2.4,Z39&lt;&gt;"e",Z39&lt;&gt;"f"),DN39*2.4/$H39,DN39),IF($F39&lt;OFFSET($BN$9,$CN39+3,0,1,1),IF(AND($H39&gt;2.4,Z39&lt;&gt;"e",Z39&lt;&gt;"f"),DN39*2.4/$H39,DN39),0)))))*COS(RADIANS($G39)))</f>
        <v>0</v>
      </c>
      <c r="DK39" s="51"/>
      <c r="DL39" s="51">
        <f ca="1">IF(DG39&gt;$CR39,$CR39,DG39)</f>
        <v>0</v>
      </c>
      <c r="DM39" s="51"/>
      <c r="DN39" s="51">
        <f ca="1">IF(DI39&gt;$CR39,$CR39,DI39)</f>
        <v>0</v>
      </c>
      <c r="DO39" s="435">
        <f ca="1">IF(DH39&gt;$CR39,$CR39,DH39)</f>
        <v>0</v>
      </c>
      <c r="DP39" s="435">
        <f ca="1">DO39*F39</f>
        <v>0</v>
      </c>
      <c r="DQ39" s="436">
        <f ca="1">IF(DJ39&gt;$CR39,$CR39,DJ39)</f>
        <v>0</v>
      </c>
      <c r="DR39" s="437">
        <f ca="1">DQ39*F39</f>
        <v>0</v>
      </c>
      <c r="DS39" s="426">
        <f ca="1">OFFSET($CH$9,CL39-1,-15,1,1)</f>
        <v>0</v>
      </c>
      <c r="DT39" s="426">
        <f t="shared" ca="1" si="1"/>
        <v>0</v>
      </c>
      <c r="DU39" s="188">
        <f ca="1">IF(F39&lt;OFFSET($BM$9,DT39-1,0,1,1),0,IF(F39&lt;OFFSET($BN$9,DT39-1,0,1,1),((F39-OFFSET($BM$9,DT39-1,0,1,1))*OFFSET($CH$9,DT39-1,0,1,1))+OFFSET($BO$9,DT39-1,CQ39,1,1),IF(F39&lt;OFFSET($BN$9,DT39+0,0,1,1),((F39-OFFSET($BM$9,DT39+0,0,1,1))*OFFSET($CH$9,DT39+0,0,1,1))+OFFSET($BO$9,DT39+0,CQ39,1,1),IF(F39&lt;OFFSET($BN$9,DT39+1,0,1,1),((F39-OFFSET($BM$9,DT39+1,0,1,1))*OFFSET($CH$9,DT39+1,0,1,1))+OFFSET($BO$9,DT39+1,CQ39,1,1),IF(F39&lt;OFFSET($BN$9,DT39+2,0,1,1),((F39-OFFSET($BM$9,DT39+2,0,1,1))*OFFSET($CH$9,DT39+2,0,1,1))+OFFSET($BO$9,DT39+2,CQ39,1,1),IF(F39&lt;OFFSET($BN$9,DT39+3,0,1,1),((F39-OFFSET($BM$9,DT39+3,0,1,1))*OFFSET($CH$9,DT39+3,0,1,1))+OFFSET($BO$9,DT39+3,CQ39,1,1),0))))))</f>
        <v>0</v>
      </c>
      <c r="DV39" s="51">
        <f ca="1">IF($F39&lt;OFFSET($BM$9,$DT39-1,0,1,1),0,IF($F39&lt;OFFSET($BN$9,$DT39-1,0,1,1),IF(AND($H39&gt;2.4,Z39&lt;&gt;"e",Z39&lt;&gt;"f"),DZ39*2.4/$H39,DZ39),IF($F39&lt;OFFSET($BN$9,$DT39+0,0,1,1),IF(AND($H39&gt;2.4,Z39&lt;&gt;"e",Z39&lt;&gt;"f"),DZ39*2.4/$H39,DZ39),IF($F39&lt;OFFSET($BN$9,$DT39+1,0,1,1),IF(AND($H39&gt;2.4,Z39&lt;&gt;"e",Z39&lt;&gt;"f"),DZ39*2.4/$H39,DZ39),IF($F39&lt;OFFSET($BN$9,$DT39+2,0,1,1),IF(AND($H39&gt;2.4,Z39&lt;&gt;"e",Z39&lt;&gt;"f"),DZ39*2.4/$H39,DZ39),IF($F39&lt;OFFSET($BN$9,$DT39+3,0,1,1),IF(AND($H39&gt;2.4,Z39&lt;&gt;"e",Z39&lt;&gt;"f"),DZ39*2.4/$H39,DZ39),0)))))*COS(RADIANS($G39)))</f>
        <v>0</v>
      </c>
      <c r="DW39" s="188">
        <f ca="1">IF(F39&lt;OFFSET($BM$9,DT39-1,0,1,1),0,IF(F39&lt;OFFSET($BN$9,DT39-1,0,1,1),((F39-OFFSET($BM$9,DT39-1,0,1,1))*OFFSET($CI$9,DT39-1,0,1,1))+OFFSET($BP$9,DT39-1,CQ39,1,1),IF(F39&lt;OFFSET($BN$9,DT39+0,0,1,1),((F39-OFFSET($BM$9,DT39+0,0,1,1))*OFFSET($CI$9,DT39+0,0,1,1))+OFFSET($BP$9,DT39+0,CQ39,1,1),IF(F39&lt;OFFSET($BN$9,DT39+1,0,1,1),((F39-OFFSET($BM$9,DT39+1,0,1,1))*OFFSET($CI$9,DT39+1,0,1,1))+OFFSET($BP$9,DT39+1,CQ39,1,1),IF(F39&lt;OFFSET($BN$9,DT39+2,0,1,1),((F39-OFFSET($BM$9,DT39+2,0,1,1))*OFFSET($CI$9,DT39+2,0,1,1))+OFFSET($BP$9,DT39+2,CQ39,1,1),IF(F39&lt;OFFSET($BN$9,DT39+3,0,1,1),((F39-OFFSET($BM$9,DT39+3,0,1,1))*OFFSET($CI$9,DT39+3,0,1,1))+OFFSET($BP$9,DT39+3,CQ39,1,1),0))))))</f>
        <v>0</v>
      </c>
      <c r="DX39" s="51">
        <f ca="1">IF($F39&lt;OFFSET($BM$9,$DT39-1,0,1,1),0,IF($F39&lt;OFFSET($BN$9,$DT39-1,0,1,1),IF(AND($H39&gt;2.4,Z39&lt;&gt;"e",Z39&lt;&gt;"f"),EB39*2.4/$H39,EB39),IF($F39&lt;OFFSET($BN$9,$DT39+0,0,1,1),IF(AND($H39&gt;2.4,Z39&lt;&gt;"e",Z39&lt;&gt;"f"),EB39*2.4/$H39,EB39),IF($F39&lt;OFFSET($BN$9,$DT39+1,0,1,1),IF(AND($H39&gt;2.4,Z39&lt;&gt;"e",Z39&lt;&gt;"f"),EB39*2.4/$H39,EB39),IF($F39&lt;OFFSET($BN$9,$DT39+2,0,1,1),IF(AND($H39&gt;2.4,Z39&lt;&gt;"e",Z39&lt;&gt;"f"),EB39*2.4/$H39,EB39),IF($F39&lt;OFFSET($BN$9,$DT39+3,0,1,1),IF(AND($H39&gt;2.4,Z39&lt;&gt;"e",Z39&lt;&gt;"f"),EB39*2.4/$H39,EB39),0)))))*COS(RADIANS($G39)))</f>
        <v>0</v>
      </c>
      <c r="DY39" s="188"/>
      <c r="DZ39" s="188">
        <f ca="1">IF(DU39&gt;$CR39,$CR39,DU39)</f>
        <v>0</v>
      </c>
      <c r="EA39" s="188"/>
      <c r="EB39" s="188">
        <f ca="1">IF(DW39&gt;$CR39,$CR39,DW39)</f>
        <v>0</v>
      </c>
      <c r="EC39" s="435">
        <f ca="1">IF(DV39&gt;$CR39,$CR39,DV39)</f>
        <v>0</v>
      </c>
      <c r="ED39" s="435">
        <f ca="1">EC39*F39</f>
        <v>0</v>
      </c>
      <c r="EE39" s="436">
        <f ca="1">IF(DX39&gt;$CR39,$CR39,DX39)</f>
        <v>0</v>
      </c>
      <c r="EF39" s="437">
        <f ca="1">EE39*F39</f>
        <v>0</v>
      </c>
      <c r="EG39" s="613" t="str">
        <f>IF(D39=BG$12,BG$12,"")</f>
        <v/>
      </c>
      <c r="EH39" s="614" t="str">
        <f>IF(D39=BG$13,BG$13,"")</f>
        <v/>
      </c>
      <c r="EI39" s="611">
        <f>IF(EG39=BG$12,M39,0)</f>
        <v>0</v>
      </c>
      <c r="EJ39" s="451">
        <f>IF(EG39=BG$12,O39,0)</f>
        <v>0</v>
      </c>
      <c r="EK39" s="451">
        <f>IF(EH39=BG$13,M39,0)</f>
        <v>0</v>
      </c>
      <c r="EL39" s="612">
        <f>IF(EH39=BG$13,O39,0)</f>
        <v>0</v>
      </c>
      <c r="EM39" s="426" t="str">
        <f ca="1">IF(AND(Z39&lt;&gt;"t",Z39&lt;&gt;"f"),"",IF(AND(EN39=$BH$11,K39&lt;&gt;EN39),EM$4,IF(AND(EN39=$BH$12,K39=$BH$13),EM$4,IF(AND(EN39=$BH$12,K39=$BH$14),EM$4,IF(AND(EN39=$BH$13,K39=$BH$14),$EM$4,IF(EN39=$BH$14,$EM$4,""))))))</f>
        <v/>
      </c>
      <c r="EN39" s="489" t="str">
        <f>BG$24</f>
        <v>Earth</v>
      </c>
      <c r="EO39" s="426" t="str">
        <f>K39</f>
        <v xml:space="preserve"> </v>
      </c>
      <c r="EP39" s="497" t="str">
        <f ca="1">IF(AND(Z39&lt;&gt;"t",Z39&lt;&gt;"f"),"",IF(AND(EN39=$BH$14,K39&lt;&gt;EN39),EP$4,IF(AND(EN39=$BH$13,K39=$BH$12),EP$4,IF(AND(EN39=$BH$13,K39=$BH$11),EP$4,IF(AND(EN39=$BH$12,K39=$BH$11),$EP$4,IF(EN39=$BH$11,"Earth",""))))))</f>
        <v/>
      </c>
      <c r="EQ39" s="430" t="str">
        <f ca="1">IF(Z39&lt;&gt;"t","",IF(EQ$5=2,IF(K39&lt;&gt;BH$11,EQ$7," ")))</f>
        <v/>
      </c>
      <c r="ER39" s="439" t="str">
        <f ca="1">IF(H39=0," ",H39)</f>
        <v xml:space="preserve"> </v>
      </c>
      <c r="ES39" s="440" t="str">
        <f ca="1">IF(ER39&lt;&gt;" ",IF(ER39&lt;&gt;ER$7,"Changed",""),"")</f>
        <v/>
      </c>
      <c r="ET39" s="440">
        <f t="shared" ca="1" si="19"/>
        <v>0</v>
      </c>
      <c r="EU39" s="426" t="str">
        <f ca="1">IF(I39=" "," ",IF(F39&lt;OFFSET($BM$9,CL39-1,0,1,1),1,""))</f>
        <v xml:space="preserve"> </v>
      </c>
      <c r="EW39" s="427"/>
    </row>
    <row r="40" spans="1:153" ht="17.100000000000001" customHeight="1" thickBot="1">
      <c r="B40" s="689" t="s">
        <v>246</v>
      </c>
      <c r="C40" s="684" t="str">
        <f>IF(OR(F40=0,I40="",I40=" ")," ",$V40)</f>
        <v xml:space="preserve"> </v>
      </c>
      <c r="D40" s="1033"/>
      <c r="E40" s="1360" t="s">
        <v>8</v>
      </c>
      <c r="F40" s="202"/>
      <c r="G40" s="1416"/>
      <c r="H40" s="1417" t="str">
        <f ca="1">IF(OR(F40=0,Z40="E",Z40="f")," ",'Project Demand'!E$55)</f>
        <v xml:space="preserve"> </v>
      </c>
      <c r="I40" s="631" t="str">
        <f>IF($I$6&lt;&gt;$BG$8," ",AB40)</f>
        <v xml:space="preserve"> </v>
      </c>
      <c r="J40" s="44" t="str">
        <f ca="1">IF(OR(I40=" ",I40="")," ",OFFSET($BO$9,CL40-1,0-4,1,1))</f>
        <v xml:space="preserve"> </v>
      </c>
      <c r="K40" s="55" t="str">
        <f>IF(OR(I40=" ",I40="")," ",IF(OR(Z40="e",Z40="h"),"SD",IF(BG$24=BH$11,BH$13,BG$24)))</f>
        <v xml:space="preserve"> </v>
      </c>
      <c r="L40" s="49">
        <f ca="1">CW40</f>
        <v>0</v>
      </c>
      <c r="M40" s="49">
        <f ca="1">CY40</f>
        <v>0</v>
      </c>
      <c r="N40" s="50">
        <f t="shared" ca="1" si="33"/>
        <v>0</v>
      </c>
      <c r="O40" s="126">
        <f t="shared" ca="1" si="33"/>
        <v>0</v>
      </c>
      <c r="P40" s="140"/>
      <c r="Q40" s="752" t="str">
        <f ca="1">IF(AND(OR(Z40="t",Z40="f"),K40=$BH$11),"No Floor!  Change Floor Type",IF(OR(I40=" ",I40="")," ",IF(F40&lt;OFFSET($BM$9,CL40-1,0,1,1),"check L(m)",DE40&amp;IF(AND(DP40&gt;=CY40,DR40&gt;=DB40),IF(AND(ED40&gt;=DP40,EF40&gt;=DR40),CONCATENATE(DS40," will provide same result"),CONCATENATE(CO40," will provide same result")),IF((DP40&gt;=CY40),CONCATENATE(CO40," provides same result in WIND"),IF((DR40&gt;=DB40),CONCATENATE(CO40," provides same result in EQ"),""))))))&amp;IF(ISERROR(FIND("pile",I40,1)),"",IF(INT(F40)&lt;&gt;F40,"Pile!  Use Whole Numbers Only",""))</f>
        <v xml:space="preserve"> </v>
      </c>
      <c r="R40" s="52"/>
      <c r="S40" s="1372"/>
      <c r="T40" s="1372"/>
      <c r="U40" s="1377"/>
      <c r="V40" s="52" t="str">
        <f ca="1">IF(AND(B$5=$BF$9,OR(I40=BH$16,I40=BH$17))," ",IF(ISNUMBER(B$38),(CONCATENATE(B$38,".",W40)),(CONCATENATE(B$38,W40))))</f>
        <v>R0</v>
      </c>
      <c r="W40" s="9">
        <f ca="1">W39+X40</f>
        <v>0</v>
      </c>
      <c r="X40" s="9">
        <f>IF(AND(B$5=$BF$9,OR($I40=$BH$16,$I40=$BH$17,$I40=" ",$I40="",$F40=0)),0,IF(OR($I40=" ",$I40="",$F40=0),0,1))</f>
        <v>0</v>
      </c>
      <c r="Y40" s="896"/>
      <c r="Z40" s="52" t="str">
        <f ca="1">IF(I40=" "," ",OFFSET($BM$9,$CL40-1,8,1,1))</f>
        <v xml:space="preserve"> </v>
      </c>
      <c r="AA40" s="51" t="str">
        <f>IF(G40&gt;=45,"WA","")</f>
        <v/>
      </c>
      <c r="AB40" s="1364" t="str">
        <f>IF(OR(E40=" ",E40="")," ",(IF(F40&lt;&gt;"",IF(OR(D40=$BG$12,D40=$BG$13),IF(E40&lt;&gt;$BG$17,$BF$20,$BF$21),IF(E40&lt;&gt;$BG$17,$BF$20,$BF$21))," ")))</f>
        <v xml:space="preserve"> </v>
      </c>
      <c r="AC40" s="1"/>
      <c r="AJ40" s="2"/>
      <c r="AM40" s="4"/>
      <c r="AN40" s="4"/>
      <c r="AO40" s="4"/>
      <c r="AP40" s="4"/>
      <c r="AQ40" s="4"/>
      <c r="AR40" s="10"/>
      <c r="AS40" s="10"/>
      <c r="AT40" s="4"/>
      <c r="AU40" s="119"/>
      <c r="BD40" s="641"/>
      <c r="BF40" s="599" t="str">
        <f>'Custom Elements'!C16</f>
        <v>Custom8</v>
      </c>
      <c r="BG40" s="430" t="s">
        <v>776</v>
      </c>
      <c r="BI40" s="759"/>
      <c r="BJ40" s="897">
        <f t="shared" si="6"/>
        <v>32</v>
      </c>
      <c r="CJ40" s="759"/>
      <c r="CK40" s="188"/>
      <c r="CL40" s="979">
        <f>VLOOKUP(I40,Prodlink,2,0)</f>
        <v>0</v>
      </c>
      <c r="CN40" s="497">
        <f t="shared" ref="CN40:CN66" ca="1" si="35">VLOOKUP(CO40,Prodlink,2,0)</f>
        <v>0</v>
      </c>
      <c r="CO40" s="497">
        <f ca="1">OFFSET($CH$9,CL40-1,-15,1,1)</f>
        <v>0</v>
      </c>
      <c r="CQ40" s="51">
        <v>0</v>
      </c>
      <c r="CR40" s="51">
        <f t="shared" ca="1" si="34"/>
        <v>10000</v>
      </c>
      <c r="CS40" s="51">
        <f ca="1">IF(F40&lt;OFFSET($BM$9,CL40-1,0,1,1),0,IF(F40&lt;OFFSET($BN$9,CL40-1,0,1,1),((F40-OFFSET($BM$9,CL40-1,0,1,1))*OFFSET($CH$9,CL40-1,0,1,1))+OFFSET($BO$9,CL40-1,CQ40,1,1),IF(F40&lt;OFFSET($BN$9,CL40+0,0,1,1),((F40-OFFSET($BM$9,CL40+0,0,1,1))*OFFSET($CH$9,CL40+0,0,1,1))+OFFSET($BO$9,CL40+0,CQ40,1,1),IF(F40&lt;OFFSET($BN$9,CL40+1,0,1,1),((F40-OFFSET($BM$9,CL40+1,0,1,1))*OFFSET($CH$9,CL40+1,0,1,1))+OFFSET($BO$9,CL40+1,CQ40,1,1),IF(F40&lt;OFFSET($BN$9,CL40+2,0,1,1),((F40-OFFSET($BM$9,CL40+2,0,1,1))*OFFSET($CH$9,CL40+2,0,1,1))+OFFSET($BO$9,CL40+2,CQ40,1,1),IF(F40&lt;OFFSET($BN$9,CL40+3,0,1,1),((F40-OFFSET($BM$9,CL40+3,0,1,1))*OFFSET($CH$9,CL40+3,0,1,1))+OFFSET($BO$9,CL40+3,CQ40,1,1),0))))))</f>
        <v>0</v>
      </c>
      <c r="CT40" s="51">
        <f ca="1">IF($F40&lt;OFFSET($BM$9,$CL40-1,0,1,1),0,IF($F40&lt;OFFSET($BN$9,$CL40-1,0,1,1),IF(AND($H40&gt;2.4,Z40&lt;&gt;"e",Z40&lt;&gt;"f"),CX40*2.4/$H40,CX40),IF($F40&lt;OFFSET($BN$9,$CL40+0,0,1,1),IF(AND($H40&gt;2.4,Z40&lt;&gt;"e",Z40&lt;&gt;"f"),CX40*2.4/$H40,CX40),IF($F40&lt;OFFSET($BN$9,$CL40+1,0,1,1),IF(AND($H40&gt;2.4,Z40&lt;&gt;"e",Z40&lt;&gt;"f"),CX40*2.4/$H40,CX40),IF($F40&lt;OFFSET($BN$9,CL40+2,0,1,1),IF(AND($H40&gt;2.4,Z40&lt;&gt;"e",Z40&lt;&gt;"f"),CX40*2.4/$H40,CX40),IF($F40&lt;OFFSET($BN$9,CL40+3,0,1,1),IF(AND($H40&gt;2.4,Z40&lt;&gt;"e",Z40&lt;&gt;"f"),CX40*2.4/$H40,CX40),0)))))*COS(RADIANS($G40)))</f>
        <v>0</v>
      </c>
      <c r="CU40" s="51">
        <f ca="1">IF(F40&lt;OFFSET($BM$9,CL40-1,0,1,1),0,IF(F40&lt;OFFSET($BN$9,CL40-1,0,1,1),((F40-OFFSET($BM$9,CL40-1,0,1,1))*OFFSET($CI$9,CL40-1,0,1,1))+OFFSET($BP$9,CL40-1,CQ40,1,1),IF(F40&lt;OFFSET($BN$9,CL40+0,0,1,1),((F40-OFFSET($BM$9,CL40+0,0,1,1))*OFFSET($CI$9,CL40+0,0,1,1))+OFFSET($BP$9,CL40+0,CQ40,1,1),IF(F40&lt;OFFSET($BN$9,CL40+1,0,1,1),((F40-OFFSET($BM$9,CL40+1,0,1,1))*OFFSET($CI$9,CL40+1,0,1,1))+OFFSET($BP$9,CL40+1,CQ40,1,1),IF(F40&lt;OFFSET($BN$9,CL40+2,0,1,1),((F40-OFFSET($BM$9,CL40+2,0,1,1))*OFFSET($CI$9,CL40+2,0,1,1))+OFFSET($BP$9,CL40+2,CQ40,1,1),IF(F40&lt;OFFSET($BN$9,CL40+3,0,1,1),((F40-OFFSET($BM$9,CL40+3,0,1,1))*OFFSET($CI$9,CL40+3,0,1,1))+OFFSET($BP$9,CL40+3,CQ40,1,1),0))))))</f>
        <v>0</v>
      </c>
      <c r="CV40" s="51">
        <f ca="1">IF($F40&lt;OFFSET($BM$9,$CL40-1,0,1,1),0,IF($F40&lt;OFFSET($BN$9,$CL40-1,0,1,1),IF(AND($H40&gt;2.4,Z40&lt;&gt;"e",Z40&lt;&gt;"f"),CZ40*2.4/$H40,CZ40),IF($F40&lt;OFFSET($BN$9,$CL40+0,0,1,1),IF(AND($H40&gt;2.4,Z40&lt;&gt;"e",Z40&lt;&gt;"f"),CZ40*2.4/$H40,CZ40),IF($F40&lt;OFFSET($BN$9,$CL40+1,0,1,1),IF(AND($H40&gt;2.4,Z40&lt;&gt;"e",Z40&lt;&gt;"f"),CZ40*2.4/$H40,CZ40),IF($F40&lt;OFFSET($BN$9,$CL40+2,0,1,1),IF(AND($H40&gt;2.4,Z40&lt;&gt;"e",Z40&lt;&gt;"f"),CZ40*2.4/$H40,CZ40),IF($F40&lt;OFFSET($BN$9,$CL40+3,0,1,1),IF(AND($H40&gt;2.4,Z40&lt;&gt;"e",Z40&lt;&gt;"f"),CZ40*2.4/$H40,CZ40),0)))))*COS(RADIANS($G40)))</f>
        <v>0</v>
      </c>
      <c r="CW40" s="51">
        <f t="shared" ca="1" si="18"/>
        <v>0</v>
      </c>
      <c r="CX40" s="51">
        <f ca="1">IF(CS40&gt;$CR40,$CR40,CS40)</f>
        <v>0</v>
      </c>
      <c r="CY40" s="51">
        <f ca="1">CW40*F40</f>
        <v>0</v>
      </c>
      <c r="CZ40" s="51">
        <f ca="1">IF($CU40&gt;$CR40,$CR40,$CU40)</f>
        <v>0</v>
      </c>
      <c r="DA40" s="51">
        <f ca="1">IF(CV40&gt;CR40,CR40,CV40)</f>
        <v>0</v>
      </c>
      <c r="DB40" s="51">
        <f ca="1">DA40*F40</f>
        <v>0</v>
      </c>
      <c r="DC40" s="993">
        <v>1</v>
      </c>
      <c r="DD40" s="758" t="str">
        <f>IF(OR(D40=BG$12,D40=BG$13),"External",IF(D40=BG$14,"Internal"," "))</f>
        <v xml:space="preserve"> </v>
      </c>
      <c r="DE40" s="51" t="str">
        <f t="shared" ca="1" si="4"/>
        <v/>
      </c>
      <c r="DF40" s="52" t="str">
        <f t="shared" ca="1" si="5"/>
        <v xml:space="preserve"> </v>
      </c>
      <c r="DG40" s="51">
        <f ca="1">IF(F40&lt;OFFSET($BM$9,CN40-1,0,1,1),0,IF(F40&lt;OFFSET($BN$9,CN40-1,0,1,1),((F40-OFFSET($BM$9,CN40-1,0,1,1))*OFFSET($CH$9,CN40-1,0,1,1))+OFFSET($BO$9,CN40-1,CQ40,1,1),IF(F40&lt;OFFSET($BN$9,CN40+0,0,1,1),((F40-OFFSET($BM$9,CN40+0,0,1,1))*OFFSET($CH$9,CN40+0,0,1,1))+OFFSET($BO$9,CN40+0,CQ40,1,1),IF(F40&lt;OFFSET($BN$9,CN40+1,0,1,1),((F40-OFFSET($BM$9,CN40+1,0,1,1))*OFFSET($CH$9,CN40+1,0,1,1))+OFFSET($BO$9,CN40+1,CQ40,1,1),IF(F40&lt;OFFSET($BN$9,CN40+2,0,1,1),((F40-OFFSET($BM$9,CN40+2,0,1,1))*OFFSET($CH$9,CN40+2,0,1,1))+OFFSET($BO$9,CN40+2,CQ40,1,1),IF(F40&lt;OFFSET($BN$9,CN40+3,0,1,1),((F40-OFFSET($BM$9,CN40+3,0,1,1))*OFFSET($CH$9,CN40+3,0,1,1))+OFFSET($BO$9,CN40+3,CQ40,1,1),0))))))</f>
        <v>0</v>
      </c>
      <c r="DH40" s="51">
        <f ca="1">IF($F40&lt;OFFSET($BM$9,$CN40-1,0,1,1),0,IF($F40&lt;OFFSET($BN$9,$CN40-1,0,1,1),IF(AND($H40&gt;2.4,Z40&lt;&gt;"e",Z40&lt;&gt;"f"),DL40*2.4/$H40,DL40),IF($F40&lt;OFFSET($BN$9,$CN40+0,0,1,1),IF(AND($H40&gt;2.4,Z40&lt;&gt;"e",Z40&lt;&gt;"f"),DL40*2.4/$H40,DL40),IF($F40&lt;OFFSET($BN$9,$CN40+1,0,1,1),IF(AND($H40&gt;2.4,Z40&lt;&gt;"e",Z40&lt;&gt;"f"),DL40*2.4/$H40,DL40),IF($F40&lt;OFFSET($BN$9,$CN40+2,0,1,1),IF(AND($H40&gt;2.4,Z40&lt;&gt;"e",Z40&lt;&gt;"f"),DL40*2.4/$H40,DL40),IF($F40&lt;OFFSET($BN$9,$CN40+3,0,1,1),IF(AND($H40&gt;2.4,Z40&lt;&gt;"e",Z40&lt;&gt;"f"),DL40*2.4/$H40,DL40),0)))))*COS(RADIANS($G40)))</f>
        <v>0</v>
      </c>
      <c r="DI40" s="51">
        <f ca="1">IF(F40&lt;OFFSET($BM$9,CN40-1,0,1,1),0,IF(F40&lt;OFFSET($BN$9,CN40-1,0,1,1),((F40-OFFSET($BM$9,CN40-1,0,1,1))*OFFSET($CI$9,CN40-1,0,1,1))+OFFSET($BP$9,CN40-1,CQ40,1,1),IF(F40&lt;OFFSET($BN$9,CN40+0,0,1,1),((F40-OFFSET($BM$9,CN40+0,0,1,1))*OFFSET($CI$9,CN40+0,0,1,1))+OFFSET($BP$9,CN40+0,CQ40,1,1),IF(F40&lt;OFFSET($BN$9,CN40+1,0,1,1),((F40-OFFSET($BM$9,CN40+1,0,1,1))*OFFSET($CI$9,CN40+1,0,1,1))+OFFSET($BP$9,CN40+1,CQ40,1,1),IF(F40&lt;OFFSET($BN$9,CN40+2,0,1,1),((F40-OFFSET($BM$9,CN40+2,0,1,1))*OFFSET($CI$9,CN40+2,0,1,1))+OFFSET($BP$9,CN40+2,CQ40,1,1),IF(F40&lt;OFFSET($BN$9,CN40+3,0,1,1),((F40-OFFSET($BM$9,CN40+3,0,1,1))*OFFSET($CI$9,CN40+3,0,1,1))+OFFSET($BP$9,CN40+3,CQ40,1,1),0))))))</f>
        <v>0</v>
      </c>
      <c r="DJ40" s="51">
        <f ca="1">IF($F40&lt;OFFSET($BM$9,$CN40-1,0,1,1),0,IF($F40&lt;OFFSET($BN$9,$CN40-1,0,1,1),IF(AND($H40&gt;2.4,Z40&lt;&gt;"e",Z40&lt;&gt;"f"),DN40*2.4/$H40,DN40),IF($F40&lt;OFFSET($BN$9,$CN40+0,0,1,1),IF(AND($H40&gt;2.4,Z40&lt;&gt;"e",Z40&lt;&gt;"f"),DN40*2.4/$H40,DN40),IF($F40&lt;OFFSET($BN$9,$CN40+1,0,1,1),IF(AND($H40&gt;2.4,Z40&lt;&gt;"e",Z40&lt;&gt;"f"),DN40*2.4/$H40,DN40),IF($F40&lt;OFFSET($BN$9,$CN40+2,0,1,1),IF(AND($H40&gt;2.4,Z40&lt;&gt;"e",Z40&lt;&gt;"f"),DN40*2.4/$H40,DN40),IF($F40&lt;OFFSET($BN$9,$CN40+3,0,1,1),IF(AND($H40&gt;2.4,Z40&lt;&gt;"e",Z40&lt;&gt;"f"),DN40*2.4/$H40,DN40),0)))))*COS(RADIANS($G40)))</f>
        <v>0</v>
      </c>
      <c r="DK40" s="51"/>
      <c r="DL40" s="51">
        <f ca="1">IF(DG40&gt;$CR40,$CR40,DG40)</f>
        <v>0</v>
      </c>
      <c r="DM40" s="51"/>
      <c r="DN40" s="51">
        <f ca="1">IF(DI40&gt;$CR40,$CR40,DI40)</f>
        <v>0</v>
      </c>
      <c r="DO40" s="435">
        <f ca="1">IF(DH40&gt;$CR40,$CR40,DH40)</f>
        <v>0</v>
      </c>
      <c r="DP40" s="435">
        <f ca="1">DO40*F40</f>
        <v>0</v>
      </c>
      <c r="DQ40" s="436">
        <f ca="1">IF(DJ40&gt;$CR40,$CR40,DJ40)</f>
        <v>0</v>
      </c>
      <c r="DR40" s="437">
        <f ca="1">DQ40*F40</f>
        <v>0</v>
      </c>
      <c r="DS40" s="426">
        <f ca="1">OFFSET($CH$9,CL40-1,-15,1,1)</f>
        <v>0</v>
      </c>
      <c r="DT40" s="426">
        <f t="shared" ref="DT40:DT66" ca="1" si="36">VLOOKUP(DS40,Prodlink,2,0)</f>
        <v>0</v>
      </c>
      <c r="DU40" s="188">
        <f ca="1">IF(F40&lt;OFFSET($BM$9,DT40-1,0,1,1),0,IF(F40&lt;OFFSET($BN$9,DT40-1,0,1,1),((F40-OFFSET($BM$9,DT40-1,0,1,1))*OFFSET($CH$9,DT40-1,0,1,1))+OFFSET($BO$9,DT40-1,CQ40,1,1),IF(F40&lt;OFFSET($BN$9,DT40+0,0,1,1),((F40-OFFSET($BM$9,DT40+0,0,1,1))*OFFSET($CH$9,DT40+0,0,1,1))+OFFSET($BO$9,DT40+0,CQ40,1,1),IF(F40&lt;OFFSET($BN$9,DT40+1,0,1,1),((F40-OFFSET($BM$9,DT40+1,0,1,1))*OFFSET($CH$9,DT40+1,0,1,1))+OFFSET($BO$9,DT40+1,CQ40,1,1),IF(F40&lt;OFFSET($BN$9,DT40+2,0,1,1),((F40-OFFSET($BM$9,DT40+2,0,1,1))*OFFSET($CH$9,DT40+2,0,1,1))+OFFSET($BO$9,DT40+2,CQ40,1,1),IF(F40&lt;OFFSET($BN$9,DT40+3,0,1,1),((F40-OFFSET($BM$9,DT40+3,0,1,1))*OFFSET($CH$9,DT40+3,0,1,1))+OFFSET($BO$9,DT40+3,CQ40,1,1),0))))))</f>
        <v>0</v>
      </c>
      <c r="DV40" s="51">
        <f ca="1">IF($F40&lt;OFFSET($BM$9,$DT40-1,0,1,1),0,IF($F40&lt;OFFSET($BN$9,$DT40-1,0,1,1),IF(AND($H40&gt;2.4,Z40&lt;&gt;"e",Z40&lt;&gt;"f"),DZ40*2.4/$H40,DZ40),IF($F40&lt;OFFSET($BN$9,$DT40+0,0,1,1),IF(AND($H40&gt;2.4,Z40&lt;&gt;"e",Z40&lt;&gt;"f"),DZ40*2.4/$H40,DZ40),IF($F40&lt;OFFSET($BN$9,$DT40+1,0,1,1),IF(AND($H40&gt;2.4,Z40&lt;&gt;"e",Z40&lt;&gt;"f"),DZ40*2.4/$H40,DZ40),IF($F40&lt;OFFSET($BN$9,$DT40+2,0,1,1),IF(AND($H40&gt;2.4,Z40&lt;&gt;"e",Z40&lt;&gt;"f"),DZ40*2.4/$H40,DZ40),IF($F40&lt;OFFSET($BN$9,$DT40+3,0,1,1),IF(AND($H40&gt;2.4,Z40&lt;&gt;"e",Z40&lt;&gt;"f"),DZ40*2.4/$H40,DZ40),0)))))*COS(RADIANS($G40)))</f>
        <v>0</v>
      </c>
      <c r="DW40" s="188">
        <f ca="1">IF(F40&lt;OFFSET($BM$9,DT40-1,0,1,1),0,IF(F40&lt;OFFSET($BN$9,DT40-1,0,1,1),((F40-OFFSET($BM$9,DT40-1,0,1,1))*OFFSET($CI$9,DT40-1,0,1,1))+OFFSET($BP$9,DT40-1,CQ40,1,1),IF(F40&lt;OFFSET($BN$9,DT40+0,0,1,1),((F40-OFFSET($BM$9,DT40+0,0,1,1))*OFFSET($CI$9,DT40+0,0,1,1))+OFFSET($BP$9,DT40+0,CQ40,1,1),IF(F40&lt;OFFSET($BN$9,DT40+1,0,1,1),((F40-OFFSET($BM$9,DT40+1,0,1,1))*OFFSET($CI$9,DT40+1,0,1,1))+OFFSET($BP$9,DT40+1,CQ40,1,1),IF(F40&lt;OFFSET($BN$9,DT40+2,0,1,1),((F40-OFFSET($BM$9,DT40+2,0,1,1))*OFFSET($CI$9,DT40+2,0,1,1))+OFFSET($BP$9,DT40+2,CQ40,1,1),IF(F40&lt;OFFSET($BN$9,DT40+3,0,1,1),((F40-OFFSET($BM$9,DT40+3,0,1,1))*OFFSET($CI$9,DT40+3,0,1,1))+OFFSET($BP$9,DT40+3,CQ40,1,1),0))))))</f>
        <v>0</v>
      </c>
      <c r="DX40" s="51">
        <f ca="1">IF($F40&lt;OFFSET($BM$9,$DT40-1,0,1,1),0,IF($F40&lt;OFFSET($BN$9,$DT40-1,0,1,1),IF(AND($H40&gt;2.4,Z40&lt;&gt;"e",Z40&lt;&gt;"f"),EB40*2.4/$H40,EB40),IF($F40&lt;OFFSET($BN$9,$DT40+0,0,1,1),IF(AND($H40&gt;2.4,Z40&lt;&gt;"e",Z40&lt;&gt;"f"),EB40*2.4/$H40,EB40),IF($F40&lt;OFFSET($BN$9,$DT40+1,0,1,1),IF(AND($H40&gt;2.4,Z40&lt;&gt;"e",Z40&lt;&gt;"f"),EB40*2.4/$H40,EB40),IF($F40&lt;OFFSET($BN$9,$DT40+2,0,1,1),IF(AND($H40&gt;2.4,Z40&lt;&gt;"e",Z40&lt;&gt;"f"),EB40*2.4/$H40,EB40),IF($F40&lt;OFFSET($BN$9,$DT40+3,0,1,1),IF(AND($H40&gt;2.4,Z40&lt;&gt;"e",Z40&lt;&gt;"f"),EB40*2.4/$H40,EB40),0)))))*COS(RADIANS($G40)))</f>
        <v>0</v>
      </c>
      <c r="DY40" s="188"/>
      <c r="DZ40" s="188">
        <f ca="1">IF(DU40&gt;$CR40,$CR40,DU40)</f>
        <v>0</v>
      </c>
      <c r="EA40" s="188"/>
      <c r="EB40" s="188">
        <f ca="1">IF(DW40&gt;$CR40,$CR40,DW40)</f>
        <v>0</v>
      </c>
      <c r="EC40" s="435">
        <f ca="1">IF(DV40&gt;$CR40,$CR40,DV40)</f>
        <v>0</v>
      </c>
      <c r="ED40" s="435">
        <f ca="1">EC40*F40</f>
        <v>0</v>
      </c>
      <c r="EE40" s="436">
        <f ca="1">IF(DX40&gt;$CR40,$CR40,DX40)</f>
        <v>0</v>
      </c>
      <c r="EF40" s="437">
        <f ca="1">EE40*F40</f>
        <v>0</v>
      </c>
      <c r="EG40" s="613" t="str">
        <f>IF(D40=BG$12,BG$12,"")</f>
        <v/>
      </c>
      <c r="EH40" s="614" t="str">
        <f>IF(D40=BG$13,BG$13,"")</f>
        <v/>
      </c>
      <c r="EI40" s="611">
        <f>IF(EG40=BG$12,M40,0)</f>
        <v>0</v>
      </c>
      <c r="EJ40" s="451">
        <f>IF(EG40=BG$12,O40,0)</f>
        <v>0</v>
      </c>
      <c r="EK40" s="451">
        <f>IF(EH40=BG$13,M40,0)</f>
        <v>0</v>
      </c>
      <c r="EL40" s="612">
        <f>IF(EH40=BG$13,O40,0)</f>
        <v>0</v>
      </c>
      <c r="EM40" s="426" t="str">
        <f ca="1">IF(AND(Z40&lt;&gt;"t",Z40&lt;&gt;"f"),"",IF(AND(EN40=$BH$11,K40&lt;&gt;EN40),EM$4,IF(AND(EN40=$BH$12,K40=$BH$13),EM$4,IF(AND(EN40=$BH$12,K40=$BH$14),EM$4,IF(AND(EN40=$BH$13,K40=$BH$14),$EM$4,IF(EN40=$BH$14,$EM$4,""))))))</f>
        <v/>
      </c>
      <c r="EN40" s="489" t="str">
        <f>BG$24</f>
        <v>Earth</v>
      </c>
      <c r="EO40" s="426" t="str">
        <f>K40</f>
        <v xml:space="preserve"> </v>
      </c>
      <c r="EP40" s="497" t="str">
        <f ca="1">IF(AND(Z40&lt;&gt;"t",Z40&lt;&gt;"f"),"",IF(AND(EN40=$BH$14,K40&lt;&gt;EN40),EP$4,IF(AND(EN40=$BH$13,K40=$BH$12),EP$4,IF(AND(EN40=$BH$13,K40=$BH$11),EP$4,IF(AND(EN40=$BH$12,K40=$BH$11),$EP$4,IF(EN40=$BH$11,"Earth",""))))))</f>
        <v/>
      </c>
      <c r="EQ40" s="430" t="str">
        <f ca="1">IF(Z40&lt;&gt;"t","",IF(EQ$5=2,IF(K40&lt;&gt;BH$11,EQ$7," ")))</f>
        <v/>
      </c>
      <c r="ER40" s="439" t="str">
        <f ca="1">IF(H40=0," ",H40)</f>
        <v xml:space="preserve"> </v>
      </c>
      <c r="ES40" s="440" t="str">
        <f ca="1">IF(ER40&lt;&gt;" ",IF(ER40&lt;&gt;ER$7,"Changed",""),"")</f>
        <v/>
      </c>
      <c r="ET40" s="440">
        <f t="shared" ca="1" si="19"/>
        <v>0</v>
      </c>
      <c r="EU40" s="426" t="str">
        <f ca="1">IF(I40=" "," ",IF(F40&lt;OFFSET($BM$9,CL40-1,0,1,1),1,""))</f>
        <v xml:space="preserve"> </v>
      </c>
      <c r="EW40" s="427"/>
    </row>
    <row r="41" spans="1:153" ht="17.100000000000001" customHeight="1" thickBot="1">
      <c r="B41" s="689" t="s">
        <v>246</v>
      </c>
      <c r="C41" s="684" t="str">
        <f>IF(OR(F41=0,I41="",I41=" ")," ",$V41)</f>
        <v xml:space="preserve"> </v>
      </c>
      <c r="D41" s="1033"/>
      <c r="E41" s="1360" t="s">
        <v>8</v>
      </c>
      <c r="F41" s="202"/>
      <c r="G41" s="1416"/>
      <c r="H41" s="1417" t="str">
        <f ca="1">IF(OR(F41=0,Z41="E",Z41="f")," ",'Project Demand'!E$55)</f>
        <v xml:space="preserve"> </v>
      </c>
      <c r="I41" s="631" t="str">
        <f>IF($I$6&lt;&gt;$BG$8," ",AB41)</f>
        <v xml:space="preserve"> </v>
      </c>
      <c r="J41" s="44" t="str">
        <f ca="1">IF(OR(I41=" ",I41="")," ",OFFSET($BO$9,CL41-1,0-4,1,1))</f>
        <v xml:space="preserve"> </v>
      </c>
      <c r="K41" s="55" t="str">
        <f>IF(OR(I41=" ",I41="")," ",IF(OR(Z41="e",Z41="h"),"SD",IF(BG$24=BH$11,BH$13,BG$24)))</f>
        <v xml:space="preserve"> </v>
      </c>
      <c r="L41" s="49">
        <f ca="1">CW41</f>
        <v>0</v>
      </c>
      <c r="M41" s="49">
        <f ca="1">CY41</f>
        <v>0</v>
      </c>
      <c r="N41" s="50">
        <f t="shared" ca="1" si="33"/>
        <v>0</v>
      </c>
      <c r="O41" s="126">
        <f t="shared" ca="1" si="33"/>
        <v>0</v>
      </c>
      <c r="P41" s="140"/>
      <c r="Q41" s="752" t="str">
        <f ca="1">IF(AND(OR(Z41="t",Z41="f"),K41=$BH$11),"No Floor!  Change Floor Type",IF(OR(I41=" ",I41="")," ",IF(F41&lt;OFFSET($BM$9,CL41-1,0,1,1),"check L(m)",DE41&amp;IF(AND(DP41&gt;=CY41,DR41&gt;=DB41),IF(AND(ED41&gt;=DP41,EF41&gt;=DR41),CONCATENATE(DS41," will provide same result"),CONCATENATE(CO41," will provide same result")),IF((DP41&gt;=CY41),CONCATENATE(CO41," provides same result in WIND"),IF((DR41&gt;=DB41),CONCATENATE(CO41," provides same result in EQ"),""))))))&amp;IF(ISERROR(FIND("pile",I41,1)),"",IF(INT(F41)&lt;&gt;F41,"Pile!  Use Whole Numbers Only",""))</f>
        <v xml:space="preserve"> </v>
      </c>
      <c r="R41" s="52"/>
      <c r="S41" s="1372"/>
      <c r="T41" s="1372"/>
      <c r="U41" s="1377"/>
      <c r="V41" s="52" t="str">
        <f ca="1">IF(AND(B$5=$BF$9,OR(I41=BH$16,I41=BH$17))," ",IF(ISNUMBER(B$38),(CONCATENATE(B$38,".",W41)),(CONCATENATE(B$38,W41))))</f>
        <v>R0</v>
      </c>
      <c r="W41" s="9">
        <f ca="1">W40+X41</f>
        <v>0</v>
      </c>
      <c r="X41" s="9">
        <f>IF(AND(B$5=$BF$9,OR($I41=$BH$16,$I41=$BH$17,$I41=" ",$I41="",$F41=0)),0,IF(OR($I41=" ",$I41="",$F41=0),0,1))</f>
        <v>0</v>
      </c>
      <c r="Y41" s="896"/>
      <c r="Z41" s="52" t="str">
        <f ca="1">IF(I41=" "," ",OFFSET($BM$9,$CL41-1,8,1,1))</f>
        <v xml:space="preserve"> </v>
      </c>
      <c r="AA41" s="51" t="str">
        <f>IF(G41&gt;=45,"WA","")</f>
        <v/>
      </c>
      <c r="AB41" s="1364" t="str">
        <f>IF(OR(E41=" ",E41="")," ",(IF(F41&lt;&gt;"",IF(OR(D41=$BG$12,D41=$BG$13),IF(E41&lt;&gt;$BG$17,$BF$20,$BF$21),IF(E41&lt;&gt;$BG$17,$BF$20,$BF$21))," ")))</f>
        <v xml:space="preserve"> </v>
      </c>
      <c r="AC41" s="1"/>
      <c r="AJ41" s="2"/>
      <c r="AM41" s="4"/>
      <c r="AN41" s="4"/>
      <c r="AO41" s="4"/>
      <c r="AP41" s="4"/>
      <c r="AQ41" s="4"/>
      <c r="AR41" s="10"/>
      <c r="AS41" s="10"/>
      <c r="AT41" s="4"/>
      <c r="AU41" s="119"/>
      <c r="BD41" s="641"/>
      <c r="BF41" s="599" t="str">
        <f>'Custom Elements'!C17</f>
        <v>Custom9</v>
      </c>
      <c r="BI41" s="759"/>
      <c r="BJ41" s="897">
        <f t="shared" ref="BJ41:BJ81" si="37">BJ40+1</f>
        <v>33</v>
      </c>
      <c r="BK41" s="1222" t="str">
        <f>BK50</f>
        <v xml:space="preserve">EPB </v>
      </c>
      <c r="BL41" s="1181" t="str">
        <f>Table!I4</f>
        <v>ER1</v>
      </c>
      <c r="BM41" s="454">
        <f>Table!J4</f>
        <v>0.4</v>
      </c>
      <c r="BN41" s="454">
        <f>BM42</f>
        <v>1</v>
      </c>
      <c r="BO41" s="454">
        <f>Table!K4</f>
        <v>40</v>
      </c>
      <c r="BP41" s="924">
        <f>Table!L4</f>
        <v>30</v>
      </c>
      <c r="BQ41" s="920"/>
      <c r="BR41" s="768" t="str">
        <f>Table!M4</f>
        <v xml:space="preserve"> </v>
      </c>
      <c r="BS41" s="454" t="str">
        <f>Table!M5</f>
        <v xml:space="preserve"> </v>
      </c>
      <c r="BT41" s="454" t="str">
        <f>Table!N4</f>
        <v>B</v>
      </c>
      <c r="BU41" s="924" t="s">
        <v>242</v>
      </c>
      <c r="BV41" s="1230" t="str">
        <f>Table!AI72</f>
        <v>ER1</v>
      </c>
      <c r="BW41" s="1229">
        <f>BJ41</f>
        <v>33</v>
      </c>
      <c r="BX41" s="924" t="str">
        <f>Table!N5</f>
        <v>Single</v>
      </c>
      <c r="CH41" s="768">
        <f>IF(BN41=999,0,(BO42-BO41)/(BN41-BM41))</f>
        <v>0</v>
      </c>
      <c r="CI41" s="924">
        <f>IF(BN41=999,0,(BP42-BP41)/(BN41-BM41))</f>
        <v>0</v>
      </c>
      <c r="CJ41" s="759"/>
      <c r="CK41" s="188"/>
      <c r="CL41" s="979">
        <f>VLOOKUP(I41,Prodlink,2,0)</f>
        <v>0</v>
      </c>
      <c r="CN41" s="497">
        <f t="shared" ca="1" si="35"/>
        <v>0</v>
      </c>
      <c r="CO41" s="497">
        <f ca="1">OFFSET($CH$9,CL41-1,-15,1,1)</f>
        <v>0</v>
      </c>
      <c r="CQ41" s="51">
        <v>0</v>
      </c>
      <c r="CR41" s="51">
        <f t="shared" ca="1" si="34"/>
        <v>10000</v>
      </c>
      <c r="CS41" s="51">
        <f ca="1">IF(F41&lt;OFFSET($BM$9,CL41-1,0,1,1),0,IF(F41&lt;OFFSET($BN$9,CL41-1,0,1,1),((F41-OFFSET($BM$9,CL41-1,0,1,1))*OFFSET($CH$9,CL41-1,0,1,1))+OFFSET($BO$9,CL41-1,CQ41,1,1),IF(F41&lt;OFFSET($BN$9,CL41+0,0,1,1),((F41-OFFSET($BM$9,CL41+0,0,1,1))*OFFSET($CH$9,CL41+0,0,1,1))+OFFSET($BO$9,CL41+0,CQ41,1,1),IF(F41&lt;OFFSET($BN$9,CL41+1,0,1,1),((F41-OFFSET($BM$9,CL41+1,0,1,1))*OFFSET($CH$9,CL41+1,0,1,1))+OFFSET($BO$9,CL41+1,CQ41,1,1),IF(F41&lt;OFFSET($BN$9,CL41+2,0,1,1),((F41-OFFSET($BM$9,CL41+2,0,1,1))*OFFSET($CH$9,CL41+2,0,1,1))+OFFSET($BO$9,CL41+2,CQ41,1,1),IF(F41&lt;OFFSET($BN$9,CL41+3,0,1,1),((F41-OFFSET($BM$9,CL41+3,0,1,1))*OFFSET($CH$9,CL41+3,0,1,1))+OFFSET($BO$9,CL41+3,CQ41,1,1),0))))))</f>
        <v>0</v>
      </c>
      <c r="CT41" s="51">
        <f ca="1">IF($F41&lt;OFFSET($BM$9,$CL41-1,0,1,1),0,IF($F41&lt;OFFSET($BN$9,$CL41-1,0,1,1),IF(AND($H41&gt;2.4,Z41&lt;&gt;"e",Z41&lt;&gt;"f"),CX41*2.4/$H41,CX41),IF($F41&lt;OFFSET($BN$9,$CL41+0,0,1,1),IF(AND($H41&gt;2.4,Z41&lt;&gt;"e",Z41&lt;&gt;"f"),CX41*2.4/$H41,CX41),IF($F41&lt;OFFSET($BN$9,$CL41+1,0,1,1),IF(AND($H41&gt;2.4,Z41&lt;&gt;"e",Z41&lt;&gt;"f"),CX41*2.4/$H41,CX41),IF($F41&lt;OFFSET($BN$9,CL41+2,0,1,1),IF(AND($H41&gt;2.4,Z41&lt;&gt;"e",Z41&lt;&gt;"f"),CX41*2.4/$H41,CX41),IF($F41&lt;OFFSET($BN$9,CL41+3,0,1,1),IF(AND($H41&gt;2.4,Z41&lt;&gt;"e",Z41&lt;&gt;"f"),CX41*2.4/$H41,CX41),0)))))*COS(RADIANS($G41)))</f>
        <v>0</v>
      </c>
      <c r="CU41" s="51">
        <f ca="1">IF(F41&lt;OFFSET($BM$9,CL41-1,0,1,1),0,IF(F41&lt;OFFSET($BN$9,CL41-1,0,1,1),((F41-OFFSET($BM$9,CL41-1,0,1,1))*OFFSET($CI$9,CL41-1,0,1,1))+OFFSET($BP$9,CL41-1,CQ41,1,1),IF(F41&lt;OFFSET($BN$9,CL41+0,0,1,1),((F41-OFFSET($BM$9,CL41+0,0,1,1))*OFFSET($CI$9,CL41+0,0,1,1))+OFFSET($BP$9,CL41+0,CQ41,1,1),IF(F41&lt;OFFSET($BN$9,CL41+1,0,1,1),((F41-OFFSET($BM$9,CL41+1,0,1,1))*OFFSET($CI$9,CL41+1,0,1,1))+OFFSET($BP$9,CL41+1,CQ41,1,1),IF(F41&lt;OFFSET($BN$9,CL41+2,0,1,1),((F41-OFFSET($BM$9,CL41+2,0,1,1))*OFFSET($CI$9,CL41+2,0,1,1))+OFFSET($BP$9,CL41+2,CQ41,1,1),IF(F41&lt;OFFSET($BN$9,CL41+3,0,1,1),((F41-OFFSET($BM$9,CL41+3,0,1,1))*OFFSET($CI$9,CL41+3,0,1,1))+OFFSET($BP$9,CL41+3,CQ41,1,1),0))))))</f>
        <v>0</v>
      </c>
      <c r="CV41" s="51">
        <f ca="1">IF($F41&lt;OFFSET($BM$9,$CL41-1,0,1,1),0,IF($F41&lt;OFFSET($BN$9,$CL41-1,0,1,1),IF(AND($H41&gt;2.4,Z41&lt;&gt;"e",Z41&lt;&gt;"f"),CZ41*2.4/$H41,CZ41),IF($F41&lt;OFFSET($BN$9,$CL41+0,0,1,1),IF(AND($H41&gt;2.4,Z41&lt;&gt;"e",Z41&lt;&gt;"f"),CZ41*2.4/$H41,CZ41),IF($F41&lt;OFFSET($BN$9,$CL41+1,0,1,1),IF(AND($H41&gt;2.4,Z41&lt;&gt;"e",Z41&lt;&gt;"f"),CZ41*2.4/$H41,CZ41),IF($F41&lt;OFFSET($BN$9,$CL41+2,0,1,1),IF(AND($H41&gt;2.4,Z41&lt;&gt;"e",Z41&lt;&gt;"f"),CZ41*2.4/$H41,CZ41),IF($F41&lt;OFFSET($BN$9,$CL41+3,0,1,1),IF(AND($H41&gt;2.4,Z41&lt;&gt;"e",Z41&lt;&gt;"f"),CZ41*2.4/$H41,CZ41),0)))))*COS(RADIANS($G41)))</f>
        <v>0</v>
      </c>
      <c r="CW41" s="51">
        <f t="shared" ca="1" si="18"/>
        <v>0</v>
      </c>
      <c r="CX41" s="51">
        <f ca="1">IF(CS41&gt;$CR41,$CR41,CS41)</f>
        <v>0</v>
      </c>
      <c r="CY41" s="51">
        <f ca="1">CW41*F41</f>
        <v>0</v>
      </c>
      <c r="CZ41" s="51">
        <f ca="1">IF($CU41&gt;$CR41,$CR41,$CU41)</f>
        <v>0</v>
      </c>
      <c r="DA41" s="51">
        <f ca="1">IF(CV41&gt;CR41,CR41,CV41)</f>
        <v>0</v>
      </c>
      <c r="DB41" s="51">
        <f ca="1">DA41*F41</f>
        <v>0</v>
      </c>
      <c r="DC41" s="993">
        <v>1</v>
      </c>
      <c r="DD41" s="758" t="str">
        <f>IF(OR(D41=BG$12,D41=BG$13),"External",IF(D41=BG$14,"Internal"," "))</f>
        <v xml:space="preserve"> </v>
      </c>
      <c r="DE41" s="51" t="str">
        <f t="shared" ca="1" si="4"/>
        <v/>
      </c>
      <c r="DF41" s="52" t="str">
        <f t="shared" ca="1" si="5"/>
        <v xml:space="preserve"> </v>
      </c>
      <c r="DG41" s="51">
        <f ca="1">IF(F41&lt;OFFSET($BM$9,CN41-1,0,1,1),0,IF(F41&lt;OFFSET($BN$9,CN41-1,0,1,1),((F41-OFFSET($BM$9,CN41-1,0,1,1))*OFFSET($CH$9,CN41-1,0,1,1))+OFFSET($BO$9,CN41-1,CQ41,1,1),IF(F41&lt;OFFSET($BN$9,CN41+0,0,1,1),((F41-OFFSET($BM$9,CN41+0,0,1,1))*OFFSET($CH$9,CN41+0,0,1,1))+OFFSET($BO$9,CN41+0,CQ41,1,1),IF(F41&lt;OFFSET($BN$9,CN41+1,0,1,1),((F41-OFFSET($BM$9,CN41+1,0,1,1))*OFFSET($CH$9,CN41+1,0,1,1))+OFFSET($BO$9,CN41+1,CQ41,1,1),IF(F41&lt;OFFSET($BN$9,CN41+2,0,1,1),((F41-OFFSET($BM$9,CN41+2,0,1,1))*OFFSET($CH$9,CN41+2,0,1,1))+OFFSET($BO$9,CN41+2,CQ41,1,1),IF(F41&lt;OFFSET($BN$9,CN41+3,0,1,1),((F41-OFFSET($BM$9,CN41+3,0,1,1))*OFFSET($CH$9,CN41+3,0,1,1))+OFFSET($BO$9,CN41+3,CQ41,1,1),0))))))</f>
        <v>0</v>
      </c>
      <c r="DH41" s="51">
        <f ca="1">IF($F41&lt;OFFSET($BM$9,$CN41-1,0,1,1),0,IF($F41&lt;OFFSET($BN$9,$CN41-1,0,1,1),IF(AND($H41&gt;2.4,Z41&lt;&gt;"e",Z41&lt;&gt;"f"),DL41*2.4/$H41,DL41),IF($F41&lt;OFFSET($BN$9,$CN41+0,0,1,1),IF(AND($H41&gt;2.4,Z41&lt;&gt;"e",Z41&lt;&gt;"f"),DL41*2.4/$H41,DL41),IF($F41&lt;OFFSET($BN$9,$CN41+1,0,1,1),IF(AND($H41&gt;2.4,Z41&lt;&gt;"e",Z41&lt;&gt;"f"),DL41*2.4/$H41,DL41),IF($F41&lt;OFFSET($BN$9,$CN41+2,0,1,1),IF(AND($H41&gt;2.4,Z41&lt;&gt;"e",Z41&lt;&gt;"f"),DL41*2.4/$H41,DL41),IF($F41&lt;OFFSET($BN$9,$CN41+3,0,1,1),IF(AND($H41&gt;2.4,Z41&lt;&gt;"e",Z41&lt;&gt;"f"),DL41*2.4/$H41,DL41),0)))))*COS(RADIANS($G41)))</f>
        <v>0</v>
      </c>
      <c r="DI41" s="51">
        <f ca="1">IF(F41&lt;OFFSET($BM$9,CN41-1,0,1,1),0,IF(F41&lt;OFFSET($BN$9,CN41-1,0,1,1),((F41-OFFSET($BM$9,CN41-1,0,1,1))*OFFSET($CI$9,CN41-1,0,1,1))+OFFSET($BP$9,CN41-1,CQ41,1,1),IF(F41&lt;OFFSET($BN$9,CN41+0,0,1,1),((F41-OFFSET($BM$9,CN41+0,0,1,1))*OFFSET($CI$9,CN41+0,0,1,1))+OFFSET($BP$9,CN41+0,CQ41,1,1),IF(F41&lt;OFFSET($BN$9,CN41+1,0,1,1),((F41-OFFSET($BM$9,CN41+1,0,1,1))*OFFSET($CI$9,CN41+1,0,1,1))+OFFSET($BP$9,CN41+1,CQ41,1,1),IF(F41&lt;OFFSET($BN$9,CN41+2,0,1,1),((F41-OFFSET($BM$9,CN41+2,0,1,1))*OFFSET($CI$9,CN41+2,0,1,1))+OFFSET($BP$9,CN41+2,CQ41,1,1),IF(F41&lt;OFFSET($BN$9,CN41+3,0,1,1),((F41-OFFSET($BM$9,CN41+3,0,1,1))*OFFSET($CI$9,CN41+3,0,1,1))+OFFSET($BP$9,CN41+3,CQ41,1,1),0))))))</f>
        <v>0</v>
      </c>
      <c r="DJ41" s="51">
        <f ca="1">IF($F41&lt;OFFSET($BM$9,$CN41-1,0,1,1),0,IF($F41&lt;OFFSET($BN$9,$CN41-1,0,1,1),IF(AND($H41&gt;2.4,Z41&lt;&gt;"e",Z41&lt;&gt;"f"),DN41*2.4/$H41,DN41),IF($F41&lt;OFFSET($BN$9,$CN41+0,0,1,1),IF(AND($H41&gt;2.4,Z41&lt;&gt;"e",Z41&lt;&gt;"f"),DN41*2.4/$H41,DN41),IF($F41&lt;OFFSET($BN$9,$CN41+1,0,1,1),IF(AND($H41&gt;2.4,Z41&lt;&gt;"e",Z41&lt;&gt;"f"),DN41*2.4/$H41,DN41),IF($F41&lt;OFFSET($BN$9,$CN41+2,0,1,1),IF(AND($H41&gt;2.4,Z41&lt;&gt;"e",Z41&lt;&gt;"f"),DN41*2.4/$H41,DN41),IF($F41&lt;OFFSET($BN$9,$CN41+3,0,1,1),IF(AND($H41&gt;2.4,Z41&lt;&gt;"e",Z41&lt;&gt;"f"),DN41*2.4/$H41,DN41),0)))))*COS(RADIANS($G41)))</f>
        <v>0</v>
      </c>
      <c r="DK41" s="51"/>
      <c r="DL41" s="51">
        <f ca="1">IF(DG41&gt;$CR41,$CR41,DG41)</f>
        <v>0</v>
      </c>
      <c r="DM41" s="51"/>
      <c r="DN41" s="51">
        <f ca="1">IF(DI41&gt;$CR41,$CR41,DI41)</f>
        <v>0</v>
      </c>
      <c r="DO41" s="435">
        <f ca="1">IF(DH41&gt;$CR41,$CR41,DH41)</f>
        <v>0</v>
      </c>
      <c r="DP41" s="435">
        <f ca="1">DO41*F41</f>
        <v>0</v>
      </c>
      <c r="DQ41" s="436">
        <f ca="1">IF(DJ41&gt;$CR41,$CR41,DJ41)</f>
        <v>0</v>
      </c>
      <c r="DR41" s="437">
        <f ca="1">DQ41*F41</f>
        <v>0</v>
      </c>
      <c r="DS41" s="426">
        <f ca="1">OFFSET($CH$9,CL41-1,-15,1,1)</f>
        <v>0</v>
      </c>
      <c r="DT41" s="426">
        <f t="shared" ca="1" si="36"/>
        <v>0</v>
      </c>
      <c r="DU41" s="188">
        <f ca="1">IF(F41&lt;OFFSET($BM$9,DT41-1,0,1,1),0,IF(F41&lt;OFFSET($BN$9,DT41-1,0,1,1),((F41-OFFSET($BM$9,DT41-1,0,1,1))*OFFSET($CH$9,DT41-1,0,1,1))+OFFSET($BO$9,DT41-1,CQ41,1,1),IF(F41&lt;OFFSET($BN$9,DT41+0,0,1,1),((F41-OFFSET($BM$9,DT41+0,0,1,1))*OFFSET($CH$9,DT41+0,0,1,1))+OFFSET($BO$9,DT41+0,CQ41,1,1),IF(F41&lt;OFFSET($BN$9,DT41+1,0,1,1),((F41-OFFSET($BM$9,DT41+1,0,1,1))*OFFSET($CH$9,DT41+1,0,1,1))+OFFSET($BO$9,DT41+1,CQ41,1,1),IF(F41&lt;OFFSET($BN$9,DT41+2,0,1,1),((F41-OFFSET($BM$9,DT41+2,0,1,1))*OFFSET($CH$9,DT41+2,0,1,1))+OFFSET($BO$9,DT41+2,CQ41,1,1),IF(F41&lt;OFFSET($BN$9,DT41+3,0,1,1),((F41-OFFSET($BM$9,DT41+3,0,1,1))*OFFSET($CH$9,DT41+3,0,1,1))+OFFSET($BO$9,DT41+3,CQ41,1,1),0))))))</f>
        <v>0</v>
      </c>
      <c r="DV41" s="51">
        <f ca="1">IF($F41&lt;OFFSET($BM$9,$DT41-1,0,1,1),0,IF($F41&lt;OFFSET($BN$9,$DT41-1,0,1,1),IF(AND($H41&gt;2.4,Z41&lt;&gt;"e",Z41&lt;&gt;"f"),DZ41*2.4/$H41,DZ41),IF($F41&lt;OFFSET($BN$9,$DT41+0,0,1,1),IF(AND($H41&gt;2.4,Z41&lt;&gt;"e",Z41&lt;&gt;"f"),DZ41*2.4/$H41,DZ41),IF($F41&lt;OFFSET($BN$9,$DT41+1,0,1,1),IF(AND($H41&gt;2.4,Z41&lt;&gt;"e",Z41&lt;&gt;"f"),DZ41*2.4/$H41,DZ41),IF($F41&lt;OFFSET($BN$9,$DT41+2,0,1,1),IF(AND($H41&gt;2.4,Z41&lt;&gt;"e",Z41&lt;&gt;"f"),DZ41*2.4/$H41,DZ41),IF($F41&lt;OFFSET($BN$9,$DT41+3,0,1,1),IF(AND($H41&gt;2.4,Z41&lt;&gt;"e",Z41&lt;&gt;"f"),DZ41*2.4/$H41,DZ41),0)))))*COS(RADIANS($G41)))</f>
        <v>0</v>
      </c>
      <c r="DW41" s="188">
        <f ca="1">IF(F41&lt;OFFSET($BM$9,DT41-1,0,1,1),0,IF(F41&lt;OFFSET($BN$9,DT41-1,0,1,1),((F41-OFFSET($BM$9,DT41-1,0,1,1))*OFFSET($CI$9,DT41-1,0,1,1))+OFFSET($BP$9,DT41-1,CQ41,1,1),IF(F41&lt;OFFSET($BN$9,DT41+0,0,1,1),((F41-OFFSET($BM$9,DT41+0,0,1,1))*OFFSET($CI$9,DT41+0,0,1,1))+OFFSET($BP$9,DT41+0,CQ41,1,1),IF(F41&lt;OFFSET($BN$9,DT41+1,0,1,1),((F41-OFFSET($BM$9,DT41+1,0,1,1))*OFFSET($CI$9,DT41+1,0,1,1))+OFFSET($BP$9,DT41+1,CQ41,1,1),IF(F41&lt;OFFSET($BN$9,DT41+2,0,1,1),((F41-OFFSET($BM$9,DT41+2,0,1,1))*OFFSET($CI$9,DT41+2,0,1,1))+OFFSET($BP$9,DT41+2,CQ41,1,1),IF(F41&lt;OFFSET($BN$9,DT41+3,0,1,1),((F41-OFFSET($BM$9,DT41+3,0,1,1))*OFFSET($CI$9,DT41+3,0,1,1))+OFFSET($BP$9,DT41+3,CQ41,1,1),0))))))</f>
        <v>0</v>
      </c>
      <c r="DX41" s="51">
        <f ca="1">IF($F41&lt;OFFSET($BM$9,$DT41-1,0,1,1),0,IF($F41&lt;OFFSET($BN$9,$DT41-1,0,1,1),IF(AND($H41&gt;2.4,Z41&lt;&gt;"e",Z41&lt;&gt;"f"),EB41*2.4/$H41,EB41),IF($F41&lt;OFFSET($BN$9,$DT41+0,0,1,1),IF(AND($H41&gt;2.4,Z41&lt;&gt;"e",Z41&lt;&gt;"f"),EB41*2.4/$H41,EB41),IF($F41&lt;OFFSET($BN$9,$DT41+1,0,1,1),IF(AND($H41&gt;2.4,Z41&lt;&gt;"e",Z41&lt;&gt;"f"),EB41*2.4/$H41,EB41),IF($F41&lt;OFFSET($BN$9,$DT41+2,0,1,1),IF(AND($H41&gt;2.4,Z41&lt;&gt;"e",Z41&lt;&gt;"f"),EB41*2.4/$H41,EB41),IF($F41&lt;OFFSET($BN$9,$DT41+3,0,1,1),IF(AND($H41&gt;2.4,Z41&lt;&gt;"e",Z41&lt;&gt;"f"),EB41*2.4/$H41,EB41),0)))))*COS(RADIANS($G41)))</f>
        <v>0</v>
      </c>
      <c r="DY41" s="188"/>
      <c r="DZ41" s="188">
        <f ca="1">IF(DU41&gt;$CR41,$CR41,DU41)</f>
        <v>0</v>
      </c>
      <c r="EA41" s="188"/>
      <c r="EB41" s="188">
        <f ca="1">IF(DW41&gt;$CR41,$CR41,DW41)</f>
        <v>0</v>
      </c>
      <c r="EC41" s="435">
        <f ca="1">IF(DV41&gt;$CR41,$CR41,DV41)</f>
        <v>0</v>
      </c>
      <c r="ED41" s="435">
        <f ca="1">EC41*F41</f>
        <v>0</v>
      </c>
      <c r="EE41" s="436">
        <f ca="1">IF(DX41&gt;$CR41,$CR41,DX41)</f>
        <v>0</v>
      </c>
      <c r="EF41" s="437">
        <f ca="1">EE41*F41</f>
        <v>0</v>
      </c>
      <c r="EG41" s="613" t="str">
        <f>IF(D41=BG$12,BG$12,"")</f>
        <v/>
      </c>
      <c r="EH41" s="614" t="str">
        <f>IF(D41=BG$13,BG$13,"")</f>
        <v/>
      </c>
      <c r="EI41" s="611">
        <f>IF(EG41=BG$12,M41,0)</f>
        <v>0</v>
      </c>
      <c r="EJ41" s="451">
        <f>IF(EG41=BG$12,O41,0)</f>
        <v>0</v>
      </c>
      <c r="EK41" s="451">
        <f>IF(EH41=BG$13,M41,0)</f>
        <v>0</v>
      </c>
      <c r="EL41" s="612">
        <f>IF(EH41=BG$13,O41,0)</f>
        <v>0</v>
      </c>
      <c r="EM41" s="426" t="str">
        <f ca="1">IF(AND(Z41&lt;&gt;"t",Z41&lt;&gt;"f"),"",IF(AND(EN41=$BH$11,K41&lt;&gt;EN41),EM$4,IF(AND(EN41=$BH$12,K41=$BH$13),EM$4,IF(AND(EN41=$BH$12,K41=$BH$14),EM$4,IF(AND(EN41=$BH$13,K41=$BH$14),$EM$4,IF(EN41=$BH$14,$EM$4,""))))))</f>
        <v/>
      </c>
      <c r="EN41" s="489" t="str">
        <f>BG$24</f>
        <v>Earth</v>
      </c>
      <c r="EO41" s="426" t="str">
        <f>K41</f>
        <v xml:space="preserve"> </v>
      </c>
      <c r="EP41" s="497" t="str">
        <f ca="1">IF(AND(Z41&lt;&gt;"t",Z41&lt;&gt;"f"),"",IF(AND(EN41=$BH$14,K41&lt;&gt;EN41),EP$4,IF(AND(EN41=$BH$13,K41=$BH$12),EP$4,IF(AND(EN41=$BH$13,K41=$BH$11),EP$4,IF(AND(EN41=$BH$12,K41=$BH$11),$EP$4,IF(EN41=$BH$11,"Earth",""))))))</f>
        <v/>
      </c>
      <c r="EQ41" s="430" t="str">
        <f ca="1">IF(Z41&lt;&gt;"t","",IF(EQ$5=2,IF(K41&lt;&gt;BH$11,EQ$7," ")))</f>
        <v/>
      </c>
      <c r="ER41" s="439" t="str">
        <f ca="1">IF(H41=0," ",H41)</f>
        <v xml:space="preserve"> </v>
      </c>
      <c r="ES41" s="440" t="str">
        <f ca="1">IF(ER41&lt;&gt;" ",IF(ER41&lt;&gt;ER$7,"Changed",""),"")</f>
        <v/>
      </c>
      <c r="ET41" s="440">
        <f t="shared" ca="1" si="19"/>
        <v>0</v>
      </c>
      <c r="EU41" s="426" t="str">
        <f ca="1">IF(I41=" "," ",IF(F41&lt;OFFSET($BM$9,CL41-1,0,1,1),1,""))</f>
        <v xml:space="preserve"> </v>
      </c>
      <c r="EW41" s="427"/>
    </row>
    <row r="42" spans="1:153" ht="17.100000000000001" customHeight="1" thickBot="1">
      <c r="A42" s="2685" t="s">
        <v>929</v>
      </c>
      <c r="B42" s="689" t="s">
        <v>246</v>
      </c>
      <c r="C42" s="684" t="str">
        <f>IF(OR(F42=0,I42="",I42=" ")," ",$V42)</f>
        <v xml:space="preserve"> </v>
      </c>
      <c r="D42" s="1033"/>
      <c r="E42" s="1360" t="s">
        <v>8</v>
      </c>
      <c r="F42" s="202"/>
      <c r="G42" s="1416"/>
      <c r="H42" s="1417" t="str">
        <f ca="1">IF(OR(F42=0,Z42="E",Z42="f")," ",'Project Demand'!E$55)</f>
        <v xml:space="preserve"> </v>
      </c>
      <c r="I42" s="631" t="str">
        <f>IF($I$6&lt;&gt;$BG$8," ",AB42)</f>
        <v xml:space="preserve"> </v>
      </c>
      <c r="J42" s="44" t="str">
        <f ca="1">IF(OR(I42=" ",I42="")," ",OFFSET($BO$9,CL42-1,0-4,1,1))</f>
        <v xml:space="preserve"> </v>
      </c>
      <c r="K42" s="55" t="str">
        <f>IF(OR(I42=" ",I42="")," ",IF(OR(Z42="e",Z42="h"),"SD",IF(BG$24=BH$11,BH$13,BG$24)))</f>
        <v xml:space="preserve"> </v>
      </c>
      <c r="L42" s="49">
        <f ca="1">CW42</f>
        <v>0</v>
      </c>
      <c r="M42" s="49">
        <f ca="1">CY42</f>
        <v>0</v>
      </c>
      <c r="N42" s="50">
        <f t="shared" ca="1" si="33"/>
        <v>0</v>
      </c>
      <c r="O42" s="126">
        <f t="shared" ca="1" si="33"/>
        <v>0</v>
      </c>
      <c r="P42" s="140"/>
      <c r="Q42" s="752" t="str">
        <f ca="1">IF(AND(OR(Z42="t",Z42="f"),K42=$BH$11),"No Floor!  Change Floor Type",IF(OR(I42=" ",I42="")," ",IF(F42&lt;OFFSET($BM$9,CL42-1,0,1,1),"check L(m)",DE42&amp;IF(AND(DP42&gt;=CY42,DR42&gt;=DB42),IF(AND(ED42&gt;=DP42,EF42&gt;=DR42),CONCATENATE(DS42," will provide same result"),CONCATENATE(CO42," will provide same result")),IF((DP42&gt;=CY42),CONCATENATE(CO42," provides same result in WIND"),IF((DR42&gt;=DB42),CONCATENATE(CO42," provides same result in EQ"),""))))))&amp;IF(ISERROR(FIND("pile",I42,1)),"",IF(INT(F42)&lt;&gt;F42,"Pile!  Use Whole Numbers Only",""))</f>
        <v xml:space="preserve"> </v>
      </c>
      <c r="U42" s="1377"/>
      <c r="V42" s="52" t="str">
        <f ca="1">IF(AND(B$5=$BF$9,OR(I42=BH$16,I42=BH$17))," ",IF(ISNUMBER(B$38),(CONCATENATE(B$38,".",W42)),(CONCATENATE(B$38,W42))))</f>
        <v>R0</v>
      </c>
      <c r="W42" s="9">
        <f ca="1">W41+X42</f>
        <v>0</v>
      </c>
      <c r="X42" s="9">
        <f>IF(AND(B$5=$BF$9,OR($I42=$BH$16,$I42=$BH$17,$I42=" ",$I42="",$F42=0)),0,IF(OR($I42=" ",$I42="",$F42=0),0,1))</f>
        <v>0</v>
      </c>
      <c r="Y42" s="896"/>
      <c r="Z42" s="52" t="str">
        <f ca="1">IF(I42=" "," ",OFFSET($BM$9,$CL42-1,8,1,1))</f>
        <v xml:space="preserve"> </v>
      </c>
      <c r="AA42" s="51" t="str">
        <f>IF(G42&gt;=45,"WA","")</f>
        <v/>
      </c>
      <c r="AB42" s="1364" t="str">
        <f>IF(OR(E42=" ",E42="")," ",(IF(F42&lt;&gt;"",IF(OR(D42=$BG$12,D42=$BG$13),IF(E42&lt;&gt;$BG$17,$BF$20,$BF$21),IF(E42&lt;&gt;$BG$17,$BF$20,$BF$21))," ")))</f>
        <v xml:space="preserve"> </v>
      </c>
      <c r="AC42" s="1"/>
      <c r="AJ42" s="2"/>
      <c r="AM42" s="4"/>
      <c r="AN42" s="4"/>
      <c r="AO42" s="4"/>
      <c r="AP42" s="4"/>
      <c r="AQ42" s="4"/>
      <c r="AR42" s="10"/>
      <c r="AS42" s="10"/>
      <c r="AT42" s="4"/>
      <c r="AU42" s="119"/>
      <c r="BD42" s="641"/>
      <c r="BF42" s="599" t="str">
        <f>'Custom Elements'!C18</f>
        <v>Custom10</v>
      </c>
      <c r="BG42" s="989" t="s">
        <v>934</v>
      </c>
      <c r="BH42" s="995" t="s">
        <v>901</v>
      </c>
      <c r="BI42" s="759"/>
      <c r="BJ42" s="897">
        <f t="shared" si="37"/>
        <v>34</v>
      </c>
      <c r="BK42" s="1223"/>
      <c r="BL42" s="767"/>
      <c r="BM42" s="776">
        <f>Table!J7</f>
        <v>1</v>
      </c>
      <c r="BN42" s="776">
        <v>999</v>
      </c>
      <c r="BO42" s="776">
        <f>Table!K7</f>
        <v>40</v>
      </c>
      <c r="BP42" s="926">
        <f>Table!L7</f>
        <v>30</v>
      </c>
      <c r="BQ42" s="1183"/>
      <c r="BR42" s="908"/>
      <c r="BS42" s="776"/>
      <c r="BT42" s="776"/>
      <c r="BU42" s="926" t="s">
        <v>242</v>
      </c>
      <c r="BV42" s="1183"/>
      <c r="BW42" s="602"/>
      <c r="BX42" s="926" t="str">
        <f>Table!N5</f>
        <v>Single</v>
      </c>
      <c r="CH42" s="908">
        <f>IF(BN42=999,0,(BO44-BO42)/(BN42-BM42))</f>
        <v>0</v>
      </c>
      <c r="CI42" s="926">
        <f>IF(BN42=999,0,(BP44-BP42)/(BN42-BM42))</f>
        <v>0</v>
      </c>
      <c r="CJ42" s="759"/>
      <c r="CK42" s="188"/>
      <c r="CL42" s="979">
        <f>VLOOKUP(I42,Prodlink,2,0)</f>
        <v>0</v>
      </c>
      <c r="CN42" s="497">
        <f t="shared" ca="1" si="35"/>
        <v>0</v>
      </c>
      <c r="CO42" s="497">
        <f ca="1">OFFSET($CH$9,CL42-1,-15,1,1)</f>
        <v>0</v>
      </c>
      <c r="CQ42" s="51">
        <v>0</v>
      </c>
      <c r="CR42" s="51">
        <f t="shared" ca="1" si="34"/>
        <v>10000</v>
      </c>
      <c r="CS42" s="51">
        <f ca="1">IF(F42&lt;OFFSET($BM$9,CL42-1,0,1,1),0,IF(F42&lt;OFFSET($BN$9,CL42-1,0,1,1),((F42-OFFSET($BM$9,CL42-1,0,1,1))*OFFSET($CH$9,CL42-1,0,1,1))+OFFSET($BO$9,CL42-1,CQ42,1,1),IF(F42&lt;OFFSET($BN$9,CL42+0,0,1,1),((F42-OFFSET($BM$9,CL42+0,0,1,1))*OFFSET($CH$9,CL42+0,0,1,1))+OFFSET($BO$9,CL42+0,CQ42,1,1),IF(F42&lt;OFFSET($BN$9,CL42+1,0,1,1),((F42-OFFSET($BM$9,CL42+1,0,1,1))*OFFSET($CH$9,CL42+1,0,1,1))+OFFSET($BO$9,CL42+1,CQ42,1,1),IF(F42&lt;OFFSET($BN$9,CL42+2,0,1,1),((F42-OFFSET($BM$9,CL42+2,0,1,1))*OFFSET($CH$9,CL42+2,0,1,1))+OFFSET($BO$9,CL42+2,CQ42,1,1),IF(F42&lt;OFFSET($BN$9,CL42+3,0,1,1),((F42-OFFSET($BM$9,CL42+3,0,1,1))*OFFSET($CH$9,CL42+3,0,1,1))+OFFSET($BO$9,CL42+3,CQ42,1,1),0))))))</f>
        <v>0</v>
      </c>
      <c r="CT42" s="51">
        <f ca="1">IF($F42&lt;OFFSET($BM$9,$CL42-1,0,1,1),0,IF($F42&lt;OFFSET($BN$9,$CL42-1,0,1,1),IF(AND($H42&gt;2.4,Z42&lt;&gt;"e",Z42&lt;&gt;"f"),CX42*2.4/$H42,CX42),IF($F42&lt;OFFSET($BN$9,$CL42+0,0,1,1),IF(AND($H42&gt;2.4,Z42&lt;&gt;"e",Z42&lt;&gt;"f"),CX42*2.4/$H42,CX42),IF($F42&lt;OFFSET($BN$9,$CL42+1,0,1,1),IF(AND($H42&gt;2.4,Z42&lt;&gt;"e",Z42&lt;&gt;"f"),CX42*2.4/$H42,CX42),IF($F42&lt;OFFSET($BN$9,CL42+2,0,1,1),IF(AND($H42&gt;2.4,Z42&lt;&gt;"e",Z42&lt;&gt;"f"),CX42*2.4/$H42,CX42),IF($F42&lt;OFFSET($BN$9,CL42+3,0,1,1),IF(AND($H42&gt;2.4,Z42&lt;&gt;"e",Z42&lt;&gt;"f"),CX42*2.4/$H42,CX42),0)))))*COS(RADIANS($G42)))</f>
        <v>0</v>
      </c>
      <c r="CU42" s="51">
        <f ca="1">IF(F42&lt;OFFSET($BM$9,CL42-1,0,1,1),0,IF(F42&lt;OFFSET($BN$9,CL42-1,0,1,1),((F42-OFFSET($BM$9,CL42-1,0,1,1))*OFFSET($CI$9,CL42-1,0,1,1))+OFFSET($BP$9,CL42-1,CQ42,1,1),IF(F42&lt;OFFSET($BN$9,CL42+0,0,1,1),((F42-OFFSET($BM$9,CL42+0,0,1,1))*OFFSET($CI$9,CL42+0,0,1,1))+OFFSET($BP$9,CL42+0,CQ42,1,1),IF(F42&lt;OFFSET($BN$9,CL42+1,0,1,1),((F42-OFFSET($BM$9,CL42+1,0,1,1))*OFFSET($CI$9,CL42+1,0,1,1))+OFFSET($BP$9,CL42+1,CQ42,1,1),IF(F42&lt;OFFSET($BN$9,CL42+2,0,1,1),((F42-OFFSET($BM$9,CL42+2,0,1,1))*OFFSET($CI$9,CL42+2,0,1,1))+OFFSET($BP$9,CL42+2,CQ42,1,1),IF(F42&lt;OFFSET($BN$9,CL42+3,0,1,1),((F42-OFFSET($BM$9,CL42+3,0,1,1))*OFFSET($CI$9,CL42+3,0,1,1))+OFFSET($BP$9,CL42+3,CQ42,1,1),0))))))</f>
        <v>0</v>
      </c>
      <c r="CV42" s="51">
        <f ca="1">IF($F42&lt;OFFSET($BM$9,$CL42-1,0,1,1),0,IF($F42&lt;OFFSET($BN$9,$CL42-1,0,1,1),IF(AND($H42&gt;2.4,Z42&lt;&gt;"e",Z42&lt;&gt;"f"),CZ42*2.4/$H42,CZ42),IF($F42&lt;OFFSET($BN$9,$CL42+0,0,1,1),IF(AND($H42&gt;2.4,Z42&lt;&gt;"e",Z42&lt;&gt;"f"),CZ42*2.4/$H42,CZ42),IF($F42&lt;OFFSET($BN$9,$CL42+1,0,1,1),IF(AND($H42&gt;2.4,Z42&lt;&gt;"e",Z42&lt;&gt;"f"),CZ42*2.4/$H42,CZ42),IF($F42&lt;OFFSET($BN$9,$CL42+2,0,1,1),IF(AND($H42&gt;2.4,Z42&lt;&gt;"e",Z42&lt;&gt;"f"),CZ42*2.4/$H42,CZ42),IF($F42&lt;OFFSET($BN$9,$CL42+3,0,1,1),IF(AND($H42&gt;2.4,Z42&lt;&gt;"e",Z42&lt;&gt;"f"),CZ42*2.4/$H42,CZ42),0)))))*COS(RADIANS($G42)))</f>
        <v>0</v>
      </c>
      <c r="CW42" s="51">
        <f t="shared" ca="1" si="18"/>
        <v>0</v>
      </c>
      <c r="CX42" s="51">
        <f ca="1">IF(CS42&gt;$CR42,$CR42,CS42)</f>
        <v>0</v>
      </c>
      <c r="CY42" s="51">
        <f ca="1">CW42*F42</f>
        <v>0</v>
      </c>
      <c r="CZ42" s="51">
        <f ca="1">IF($CU42&gt;$CR42,$CR42,$CU42)</f>
        <v>0</v>
      </c>
      <c r="DA42" s="51">
        <f ca="1">IF(CV42&gt;CR42,CR42,CV42)</f>
        <v>0</v>
      </c>
      <c r="DB42" s="51">
        <f ca="1">DA42*F42</f>
        <v>0</v>
      </c>
      <c r="DC42" s="993">
        <v>1</v>
      </c>
      <c r="DD42" s="758" t="str">
        <f>IF(OR(D42=BG$12,D42=BG$13),"External",IF(D42=BG$14,"Internal"," "))</f>
        <v xml:space="preserve"> </v>
      </c>
      <c r="DE42" s="51" t="str">
        <f t="shared" ca="1" si="4"/>
        <v/>
      </c>
      <c r="DF42" s="52" t="str">
        <f t="shared" ca="1" si="5"/>
        <v xml:space="preserve"> </v>
      </c>
      <c r="DG42" s="51">
        <f ca="1">IF(F42&lt;OFFSET($BM$9,CN42-1,0,1,1),0,IF(F42&lt;OFFSET($BN$9,CN42-1,0,1,1),((F42-OFFSET($BM$9,CN42-1,0,1,1))*OFFSET($CH$9,CN42-1,0,1,1))+OFFSET($BO$9,CN42-1,CQ42,1,1),IF(F42&lt;OFFSET($BN$9,CN42+0,0,1,1),((F42-OFFSET($BM$9,CN42+0,0,1,1))*OFFSET($CH$9,CN42+0,0,1,1))+OFFSET($BO$9,CN42+0,CQ42,1,1),IF(F42&lt;OFFSET($BN$9,CN42+1,0,1,1),((F42-OFFSET($BM$9,CN42+1,0,1,1))*OFFSET($CH$9,CN42+1,0,1,1))+OFFSET($BO$9,CN42+1,CQ42,1,1),IF(F42&lt;OFFSET($BN$9,CN42+2,0,1,1),((F42-OFFSET($BM$9,CN42+2,0,1,1))*OFFSET($CH$9,CN42+2,0,1,1))+OFFSET($BO$9,CN42+2,CQ42,1,1),IF(F42&lt;OFFSET($BN$9,CN42+3,0,1,1),((F42-OFFSET($BM$9,CN42+3,0,1,1))*OFFSET($CH$9,CN42+3,0,1,1))+OFFSET($BO$9,CN42+3,CQ42,1,1),0))))))</f>
        <v>0</v>
      </c>
      <c r="DH42" s="51">
        <f ca="1">IF($F42&lt;OFFSET($BM$9,$CN42-1,0,1,1),0,IF($F42&lt;OFFSET($BN$9,$CN42-1,0,1,1),IF(AND($H42&gt;2.4,Z42&lt;&gt;"e",Z42&lt;&gt;"f"),DL42*2.4/$H42,DL42),IF($F42&lt;OFFSET($BN$9,$CN42+0,0,1,1),IF(AND($H42&gt;2.4,Z42&lt;&gt;"e",Z42&lt;&gt;"f"),DL42*2.4/$H42,DL42),IF($F42&lt;OFFSET($BN$9,$CN42+1,0,1,1),IF(AND($H42&gt;2.4,Z42&lt;&gt;"e",Z42&lt;&gt;"f"),DL42*2.4/$H42,DL42),IF($F42&lt;OFFSET($BN$9,$CN42+2,0,1,1),IF(AND($H42&gt;2.4,Z42&lt;&gt;"e",Z42&lt;&gt;"f"),DL42*2.4/$H42,DL42),IF($F42&lt;OFFSET($BN$9,$CN42+3,0,1,1),IF(AND($H42&gt;2.4,Z42&lt;&gt;"e",Z42&lt;&gt;"f"),DL42*2.4/$H42,DL42),0)))))*COS(RADIANS($G42)))</f>
        <v>0</v>
      </c>
      <c r="DI42" s="51">
        <f ca="1">IF(F42&lt;OFFSET($BM$9,CN42-1,0,1,1),0,IF(F42&lt;OFFSET($BN$9,CN42-1,0,1,1),((F42-OFFSET($BM$9,CN42-1,0,1,1))*OFFSET($CI$9,CN42-1,0,1,1))+OFFSET($BP$9,CN42-1,CQ42,1,1),IF(F42&lt;OFFSET($BN$9,CN42+0,0,1,1),((F42-OFFSET($BM$9,CN42+0,0,1,1))*OFFSET($CI$9,CN42+0,0,1,1))+OFFSET($BP$9,CN42+0,CQ42,1,1),IF(F42&lt;OFFSET($BN$9,CN42+1,0,1,1),((F42-OFFSET($BM$9,CN42+1,0,1,1))*OFFSET($CI$9,CN42+1,0,1,1))+OFFSET($BP$9,CN42+1,CQ42,1,1),IF(F42&lt;OFFSET($BN$9,CN42+2,0,1,1),((F42-OFFSET($BM$9,CN42+2,0,1,1))*OFFSET($CI$9,CN42+2,0,1,1))+OFFSET($BP$9,CN42+2,CQ42,1,1),IF(F42&lt;OFFSET($BN$9,CN42+3,0,1,1),((F42-OFFSET($BM$9,CN42+3,0,1,1))*OFFSET($CI$9,CN42+3,0,1,1))+OFFSET($BP$9,CN42+3,CQ42,1,1),0))))))</f>
        <v>0</v>
      </c>
      <c r="DJ42" s="51">
        <f ca="1">IF($F42&lt;OFFSET($BM$9,$CN42-1,0,1,1),0,IF($F42&lt;OFFSET($BN$9,$CN42-1,0,1,1),IF(AND($H42&gt;2.4,Z42&lt;&gt;"e",Z42&lt;&gt;"f"),DN42*2.4/$H42,DN42),IF($F42&lt;OFFSET($BN$9,$CN42+0,0,1,1),IF(AND($H42&gt;2.4,Z42&lt;&gt;"e",Z42&lt;&gt;"f"),DN42*2.4/$H42,DN42),IF($F42&lt;OFFSET($BN$9,$CN42+1,0,1,1),IF(AND($H42&gt;2.4,Z42&lt;&gt;"e",Z42&lt;&gt;"f"),DN42*2.4/$H42,DN42),IF($F42&lt;OFFSET($BN$9,$CN42+2,0,1,1),IF(AND($H42&gt;2.4,Z42&lt;&gt;"e",Z42&lt;&gt;"f"),DN42*2.4/$H42,DN42),IF($F42&lt;OFFSET($BN$9,$CN42+3,0,1,1),IF(AND($H42&gt;2.4,Z42&lt;&gt;"e",Z42&lt;&gt;"f"),DN42*2.4/$H42,DN42),0)))))*COS(RADIANS($G42)))</f>
        <v>0</v>
      </c>
      <c r="DK42" s="51"/>
      <c r="DL42" s="51">
        <f ca="1">IF(DG42&gt;$CR42,$CR42,DG42)</f>
        <v>0</v>
      </c>
      <c r="DM42" s="51"/>
      <c r="DN42" s="51">
        <f ca="1">IF(DI42&gt;$CR42,$CR42,DI42)</f>
        <v>0</v>
      </c>
      <c r="DO42" s="435">
        <f ca="1">IF(DH42&gt;$CR42,$CR42,DH42)</f>
        <v>0</v>
      </c>
      <c r="DP42" s="435">
        <f ca="1">DO42*F42</f>
        <v>0</v>
      </c>
      <c r="DQ42" s="436">
        <f ca="1">IF(DJ42&gt;$CR42,$CR42,DJ42)</f>
        <v>0</v>
      </c>
      <c r="DR42" s="437">
        <f ca="1">DQ42*F42</f>
        <v>0</v>
      </c>
      <c r="DS42" s="426">
        <f ca="1">OFFSET($CH$9,CL42-1,-15,1,1)</f>
        <v>0</v>
      </c>
      <c r="DT42" s="426">
        <f t="shared" ca="1" si="36"/>
        <v>0</v>
      </c>
      <c r="DU42" s="188">
        <f ca="1">IF(F42&lt;OFFSET($BM$9,DT42-1,0,1,1),0,IF(F42&lt;OFFSET($BN$9,DT42-1,0,1,1),((F42-OFFSET($BM$9,DT42-1,0,1,1))*OFFSET($CH$9,DT42-1,0,1,1))+OFFSET($BO$9,DT42-1,CQ42,1,1),IF(F42&lt;OFFSET($BN$9,DT42+0,0,1,1),((F42-OFFSET($BM$9,DT42+0,0,1,1))*OFFSET($CH$9,DT42+0,0,1,1))+OFFSET($BO$9,DT42+0,CQ42,1,1),IF(F42&lt;OFFSET($BN$9,DT42+1,0,1,1),((F42-OFFSET($BM$9,DT42+1,0,1,1))*OFFSET($CH$9,DT42+1,0,1,1))+OFFSET($BO$9,DT42+1,CQ42,1,1),IF(F42&lt;OFFSET($BN$9,DT42+2,0,1,1),((F42-OFFSET($BM$9,DT42+2,0,1,1))*OFFSET($CH$9,DT42+2,0,1,1))+OFFSET($BO$9,DT42+2,CQ42,1,1),IF(F42&lt;OFFSET($BN$9,DT42+3,0,1,1),((F42-OFFSET($BM$9,DT42+3,0,1,1))*OFFSET($CH$9,DT42+3,0,1,1))+OFFSET($BO$9,DT42+3,CQ42,1,1),0))))))</f>
        <v>0</v>
      </c>
      <c r="DV42" s="51">
        <f ca="1">IF($F42&lt;OFFSET($BM$9,$DT42-1,0,1,1),0,IF($F42&lt;OFFSET($BN$9,$DT42-1,0,1,1),IF(AND($H42&gt;2.4,Z42&lt;&gt;"e",Z42&lt;&gt;"f"),DZ42*2.4/$H42,DZ42),IF($F42&lt;OFFSET($BN$9,$DT42+0,0,1,1),IF(AND($H42&gt;2.4,Z42&lt;&gt;"e",Z42&lt;&gt;"f"),DZ42*2.4/$H42,DZ42),IF($F42&lt;OFFSET($BN$9,$DT42+1,0,1,1),IF(AND($H42&gt;2.4,Z42&lt;&gt;"e",Z42&lt;&gt;"f"),DZ42*2.4/$H42,DZ42),IF($F42&lt;OFFSET($BN$9,$DT42+2,0,1,1),IF(AND($H42&gt;2.4,Z42&lt;&gt;"e",Z42&lt;&gt;"f"),DZ42*2.4/$H42,DZ42),IF($F42&lt;OFFSET($BN$9,$DT42+3,0,1,1),IF(AND($H42&gt;2.4,Z42&lt;&gt;"e",Z42&lt;&gt;"f"),DZ42*2.4/$H42,DZ42),0)))))*COS(RADIANS($G42)))</f>
        <v>0</v>
      </c>
      <c r="DW42" s="188">
        <f ca="1">IF(F42&lt;OFFSET($BM$9,DT42-1,0,1,1),0,IF(F42&lt;OFFSET($BN$9,DT42-1,0,1,1),((F42-OFFSET($BM$9,DT42-1,0,1,1))*OFFSET($CI$9,DT42-1,0,1,1))+OFFSET($BP$9,DT42-1,CQ42,1,1),IF(F42&lt;OFFSET($BN$9,DT42+0,0,1,1),((F42-OFFSET($BM$9,DT42+0,0,1,1))*OFFSET($CI$9,DT42+0,0,1,1))+OFFSET($BP$9,DT42+0,CQ42,1,1),IF(F42&lt;OFFSET($BN$9,DT42+1,0,1,1),((F42-OFFSET($BM$9,DT42+1,0,1,1))*OFFSET($CI$9,DT42+1,0,1,1))+OFFSET($BP$9,DT42+1,CQ42,1,1),IF(F42&lt;OFFSET($BN$9,DT42+2,0,1,1),((F42-OFFSET($BM$9,DT42+2,0,1,1))*OFFSET($CI$9,DT42+2,0,1,1))+OFFSET($BP$9,DT42+2,CQ42,1,1),IF(F42&lt;OFFSET($BN$9,DT42+3,0,1,1),((F42-OFFSET($BM$9,DT42+3,0,1,1))*OFFSET($CI$9,DT42+3,0,1,1))+OFFSET($BP$9,DT42+3,CQ42,1,1),0))))))</f>
        <v>0</v>
      </c>
      <c r="DX42" s="51">
        <f ca="1">IF($F42&lt;OFFSET($BM$9,$DT42-1,0,1,1),0,IF($F42&lt;OFFSET($BN$9,$DT42-1,0,1,1),IF(AND($H42&gt;2.4,Z42&lt;&gt;"e",Z42&lt;&gt;"f"),EB42*2.4/$H42,EB42),IF($F42&lt;OFFSET($BN$9,$DT42+0,0,1,1),IF(AND($H42&gt;2.4,Z42&lt;&gt;"e",Z42&lt;&gt;"f"),EB42*2.4/$H42,EB42),IF($F42&lt;OFFSET($BN$9,$DT42+1,0,1,1),IF(AND($H42&gt;2.4,Z42&lt;&gt;"e",Z42&lt;&gt;"f"),EB42*2.4/$H42,EB42),IF($F42&lt;OFFSET($BN$9,$DT42+2,0,1,1),IF(AND($H42&gt;2.4,Z42&lt;&gt;"e",Z42&lt;&gt;"f"),EB42*2.4/$H42,EB42),IF($F42&lt;OFFSET($BN$9,$DT42+3,0,1,1),IF(AND($H42&gt;2.4,Z42&lt;&gt;"e",Z42&lt;&gt;"f"),EB42*2.4/$H42,EB42),0)))))*COS(RADIANS($G42)))</f>
        <v>0</v>
      </c>
      <c r="DY42" s="188"/>
      <c r="DZ42" s="188">
        <f ca="1">IF(DU42&gt;$CR42,$CR42,DU42)</f>
        <v>0</v>
      </c>
      <c r="EA42" s="188"/>
      <c r="EB42" s="188">
        <f ca="1">IF(DW42&gt;$CR42,$CR42,DW42)</f>
        <v>0</v>
      </c>
      <c r="EC42" s="435">
        <f ca="1">IF(DV42&gt;$CR42,$CR42,DV42)</f>
        <v>0</v>
      </c>
      <c r="ED42" s="435">
        <f ca="1">EC42*F42</f>
        <v>0</v>
      </c>
      <c r="EE42" s="436">
        <f ca="1">IF(DX42&gt;$CR42,$CR42,DX42)</f>
        <v>0</v>
      </c>
      <c r="EF42" s="437">
        <f ca="1">EE42*F42</f>
        <v>0</v>
      </c>
      <c r="EG42" s="613" t="str">
        <f>IF(D42=BG$12,BG$12,"")</f>
        <v/>
      </c>
      <c r="EH42" s="614" t="str">
        <f>IF(D42=BG$13,BG$13,"")</f>
        <v/>
      </c>
      <c r="EI42" s="611">
        <f>IF(EG42=BG$12,M42,0)</f>
        <v>0</v>
      </c>
      <c r="EJ42" s="451">
        <f>IF(EG42=BG$12,O42,0)</f>
        <v>0</v>
      </c>
      <c r="EK42" s="451">
        <f>IF(EH42=BG$13,M42,0)</f>
        <v>0</v>
      </c>
      <c r="EL42" s="612">
        <f>IF(EH42=BG$13,O42,0)</f>
        <v>0</v>
      </c>
      <c r="EM42" s="426" t="str">
        <f ca="1">IF(AND(Z42&lt;&gt;"t",Z42&lt;&gt;"f"),"",IF(AND(EN42=$BH$11,K42&lt;&gt;EN42),EM$4,IF(AND(EN42=$BH$12,K42=$BH$13),EM$4,IF(AND(EN42=$BH$12,K42=$BH$14),EM$4,IF(AND(EN42=$BH$13,K42=$BH$14),$EM$4,IF(EN42=$BH$14,$EM$4,""))))))</f>
        <v/>
      </c>
      <c r="EN42" s="489" t="str">
        <f>BG$24</f>
        <v>Earth</v>
      </c>
      <c r="EO42" s="426" t="str">
        <f>K42</f>
        <v xml:space="preserve"> </v>
      </c>
      <c r="EP42" s="497" t="str">
        <f ca="1">IF(AND(Z42&lt;&gt;"t",Z42&lt;&gt;"f"),"",IF(AND(EN42=$BH$14,K42&lt;&gt;EN42),EP$4,IF(AND(EN42=$BH$13,K42=$BH$12),EP$4,IF(AND(EN42=$BH$13,K42=$BH$11),EP$4,IF(AND(EN42=$BH$12,K42=$BH$11),$EP$4,IF(EN42=$BH$11,"Earth",""))))))</f>
        <v/>
      </c>
      <c r="EQ42" s="430" t="str">
        <f ca="1">IF(Z42&lt;&gt;"t","",IF(EQ$5=2,IF(K42&lt;&gt;BH$11,EQ$7," ")))</f>
        <v/>
      </c>
      <c r="ER42" s="439" t="str">
        <f ca="1">IF(H42=0," ",H42)</f>
        <v xml:space="preserve"> </v>
      </c>
      <c r="ES42" s="440" t="str">
        <f ca="1">IF(ER42&lt;&gt;" ",IF(ER42&lt;&gt;ER$7,"Changed",""),"")</f>
        <v/>
      </c>
      <c r="ET42" s="440">
        <f t="shared" ca="1" si="19"/>
        <v>0</v>
      </c>
      <c r="EU42" s="426" t="str">
        <f ca="1">IF(I42=" "," ",IF(F42&lt;OFFSET($BM$9,CL42-1,0,1,1),1,""))</f>
        <v xml:space="preserve"> </v>
      </c>
      <c r="EW42" s="427"/>
    </row>
    <row r="43" spans="1:153" ht="17.100000000000001" customHeight="1" thickBot="1">
      <c r="A43" s="2685"/>
      <c r="B43" s="2686" t="s">
        <v>8</v>
      </c>
      <c r="C43" s="2687"/>
      <c r="D43" s="1461" t="s">
        <v>8</v>
      </c>
      <c r="E43" s="659"/>
      <c r="F43" s="659"/>
      <c r="G43" s="659"/>
      <c r="H43" s="659"/>
      <c r="I43" s="1462"/>
      <c r="J43" s="1365" t="str">
        <f ca="1">(CONCATENATE(B38,$BE$54))</f>
        <v>R  Line:  Min. Requirement</v>
      </c>
      <c r="K43" s="23"/>
      <c r="L43" s="1019">
        <f ca="1">L$5</f>
        <v>0</v>
      </c>
      <c r="M43" s="48">
        <f ca="1">IF(B38=B32,SUM(M38:M42)+M37,SUM(M38:M42))</f>
        <v>0</v>
      </c>
      <c r="N43" s="1019">
        <f ca="1">N$5</f>
        <v>0</v>
      </c>
      <c r="O43" s="125">
        <f ca="1">IF(B38=B32,SUM(O38:O42)+O37,SUM(O38:O42))</f>
        <v>0</v>
      </c>
      <c r="P43" s="139"/>
      <c r="Q43" s="42" t="str">
        <f ca="1">IF(B38=B44,"",IF(AND(M43&gt;0,L43=L$5,OR(M43&lt;$M$105,M43&lt;$BF$3)),"Achieved &lt; Min Req per Line",IF(AND(O43&gt;0,N43=N$5,OR(O43&lt;$O$105,O43&lt;$BF$3)),"Achieved &lt; Min Req per Line",IF(AND(M43&gt;0,L43&gt;M43),"More Required on this line",IF(AND(O43&gt;0,N43&gt;O43),"More Required on this line",IF(AND(L43&gt;0,L43&lt;$BF$3),$BE$59,IF(AND(N43&gt;0,N43&lt;$BF$3),$BE$59,"")))))))</f>
        <v/>
      </c>
      <c r="R43" s="52"/>
      <c r="S43" s="52"/>
      <c r="T43" s="52"/>
      <c r="U43" s="1378"/>
      <c r="V43" s="52"/>
      <c r="W43" s="9"/>
      <c r="X43" s="9"/>
      <c r="Y43" s="896"/>
      <c r="Z43" s="52"/>
      <c r="AA43" s="51"/>
      <c r="AB43" s="1364"/>
      <c r="AC43"/>
      <c r="AJ43" s="2"/>
      <c r="AM43" s="4"/>
      <c r="AN43" s="4"/>
      <c r="AO43" s="4"/>
      <c r="AP43" s="4"/>
      <c r="AQ43" s="4"/>
      <c r="AR43" s="10"/>
      <c r="AS43" s="10"/>
      <c r="AT43" s="4"/>
      <c r="AU43" s="119"/>
      <c r="AV43" s="8"/>
      <c r="AW43" s="8"/>
      <c r="AX43" s="8"/>
      <c r="AY43" s="8"/>
      <c r="AZ43" s="8"/>
      <c r="BA43" s="8"/>
      <c r="BB43" s="8"/>
      <c r="BC43" s="8"/>
      <c r="BD43" s="636"/>
      <c r="BF43" s="599" t="str">
        <f>'Custom Elements'!C19</f>
        <v>Custom11</v>
      </c>
      <c r="BG43" s="485" t="s">
        <v>935</v>
      </c>
      <c r="BH43" s="996" t="s">
        <v>902</v>
      </c>
      <c r="BI43" s="759"/>
      <c r="BJ43" s="897">
        <f t="shared" si="37"/>
        <v>35</v>
      </c>
      <c r="BX43" s="52"/>
      <c r="CJ43" s="759"/>
      <c r="CK43" s="188"/>
      <c r="CL43" s="979"/>
      <c r="CN43" s="497"/>
      <c r="CO43" s="497"/>
      <c r="CQ43" s="51"/>
      <c r="CR43" s="51"/>
      <c r="CS43" s="51"/>
      <c r="CT43" s="51"/>
      <c r="CU43" s="51"/>
      <c r="CV43" s="51" t="s">
        <v>8</v>
      </c>
      <c r="CW43" s="51"/>
      <c r="CX43" s="51"/>
      <c r="CY43" s="51"/>
      <c r="CZ43" s="51"/>
      <c r="DD43" s="758"/>
      <c r="DF43" s="52"/>
      <c r="DG43" s="51"/>
      <c r="DH43" s="51"/>
      <c r="DI43" s="51"/>
      <c r="DJ43" s="51"/>
      <c r="DK43" s="51"/>
      <c r="DL43" s="51"/>
      <c r="DM43" s="51"/>
      <c r="DN43" s="51"/>
      <c r="DO43" s="435"/>
      <c r="DP43" s="435"/>
      <c r="DQ43" s="868"/>
      <c r="DR43" s="868"/>
      <c r="DU43" s="188"/>
      <c r="DV43" s="188" t="s">
        <v>8</v>
      </c>
      <c r="DW43" s="188"/>
      <c r="DX43" s="188" t="s">
        <v>8</v>
      </c>
      <c r="DY43" s="188"/>
      <c r="DZ43" s="188"/>
      <c r="EA43" s="188"/>
      <c r="EB43" s="188"/>
      <c r="EC43" s="435"/>
      <c r="ED43" s="435"/>
      <c r="EE43" s="868"/>
      <c r="EF43" s="868"/>
      <c r="EG43" s="613"/>
      <c r="EH43" s="614"/>
      <c r="EI43" s="613"/>
      <c r="EJ43" s="435"/>
      <c r="EK43" s="451"/>
      <c r="EL43" s="612"/>
      <c r="EN43" s="438"/>
      <c r="EP43" s="497"/>
      <c r="ER43" s="441"/>
      <c r="ES43" s="440"/>
      <c r="ET43" s="440"/>
      <c r="EW43" s="427"/>
    </row>
    <row r="44" spans="1:153" ht="17.100000000000001" customHeight="1" thickBot="1">
      <c r="A44" s="2685"/>
      <c r="B44" s="1369" t="str">
        <f ca="1">S44</f>
        <v>S</v>
      </c>
      <c r="C44" s="684" t="str">
        <f>IF(OR(F44=0,I44="",I44=" ")," ",$V44)</f>
        <v xml:space="preserve"> </v>
      </c>
      <c r="D44" s="1033"/>
      <c r="E44" s="1360" t="s">
        <v>8</v>
      </c>
      <c r="F44" s="202"/>
      <c r="G44" s="1416"/>
      <c r="H44" s="1417" t="str">
        <f ca="1">IF(OR(F44=0,Z44="E",Z44="f")," ",'Project Demand'!E$55)</f>
        <v xml:space="preserve"> </v>
      </c>
      <c r="I44" s="631" t="str">
        <f>IF($I$6&lt;&gt;$BG$8," ",AB44)</f>
        <v xml:space="preserve"> </v>
      </c>
      <c r="J44" s="43" t="str">
        <f ca="1">IF(OR(I44=" ",I44="")," ",OFFSET($BO$9,CL44-1,0-4,1,1))</f>
        <v xml:space="preserve"> </v>
      </c>
      <c r="K44" s="55" t="str">
        <f>IF(OR(I44=" ",I44="")," ",IF(OR(Z44="e",Z44="h"),"SD",IF(BG$24=BH$11,BH$13,BG$24)))</f>
        <v xml:space="preserve"> </v>
      </c>
      <c r="L44" s="49">
        <f ca="1">CW44</f>
        <v>0</v>
      </c>
      <c r="M44" s="49">
        <f ca="1">CY44</f>
        <v>0</v>
      </c>
      <c r="N44" s="50">
        <f t="shared" ref="N44:O48" ca="1" si="38">DA44</f>
        <v>0</v>
      </c>
      <c r="O44" s="126">
        <f t="shared" ca="1" si="38"/>
        <v>0</v>
      </c>
      <c r="P44" s="140"/>
      <c r="Q44" s="752" t="str">
        <f ca="1">IF(AND(OR(Z44="t",Z44="f"),K44=$BH$11),"No Floor!  Change Floor Type",IF(OR(I44=" ",I44="")," ",IF(F44&lt;OFFSET($BM$9,CL44-1,0,1,1),"check L(m)",DE44&amp;IF(AND(DP44&gt;=CY44,DR44&gt;=DB44),IF(AND(ED44&gt;=DP44,EF44&gt;=DR44),CONCATENATE(DS44," will provide same result"),CONCATENATE(CO44," will provide same result")),IF((DP44&gt;=CY44),CONCATENATE(CO44," provides same result in WIND"),IF((DR44&gt;=DB44),CONCATENATE(CO44," provides same result in EQ"),""))))))&amp;IF(ISERROR(FIND("pile",I44,1)),"",IF(INT(F44)&lt;&gt;F44,"Pile!  Use Whole Numbers Only",""))</f>
        <v xml:space="preserve"> </v>
      </c>
      <c r="R44" s="52">
        <f ca="1">IF(T38&lt;&gt;2,(COLUMN(INDIRECT(B38&amp;1))+1),U44)</f>
        <v>19</v>
      </c>
      <c r="S44" s="1372" t="str">
        <f ca="1">SUBSTITUTE(ADDRESS(1,R44,4),"1","")</f>
        <v>S</v>
      </c>
      <c r="T44" s="451">
        <f ca="1">IF(AND(ISTEXT(B44),SUBSTITUTE(SUBSTITUTE(SUBSTITUTE(SUBSTITUTE(SUBSTITUTE(SUBSTITUTE(SUBSTITUTE(SUBSTITUTE(SUBSTITUTE(SUBSTITUTE(SUBSTITUTE(SUBSTITUTE(SUBSTITUTE(SUBSTITUTE(SUBSTITUTE(SUBSTITUTE(SUBSTITUTE(SUBSTITUTE(SUBSTITUTE(SUBSTITUTE(SUBSTITUTE(SUBSTITUTE(SUBSTITUTE(SUBSTITUTE(SUBSTITUTE(SUBSTITUTE(LOWER(B44),"a",),"b",),"c",),"d",),"e",),"f",),"g",),"h",),"i",),"j",),"k",),"l",),"m",),"n",),"o",),"p",),"q",),"r",),"s",),"t",),"u",),"v",),"w",),"x",),"y",),"z",)=""),1,2)</f>
        <v>1</v>
      </c>
      <c r="U44" s="1377">
        <v>19</v>
      </c>
      <c r="V44" s="52" t="str">
        <f ca="1">IF(AND(B$5=$BF$9,OR(I44=BH$16,I44=BH$17))," ",IF(ISNUMBER(B$44),(CONCATENATE(B$44,".",W44)),(CONCATENATE(B$44,W44))))</f>
        <v>S0</v>
      </c>
      <c r="W44" s="9">
        <f ca="1">IF(B38=B44,W42+X44,X44)</f>
        <v>0</v>
      </c>
      <c r="X44" s="9">
        <f>IF(AND(B$5=$BF$9,OR($I44=$BH$16,$I44=$BH$17,$I44=" ",$I44="",$F44=0)),0,IF(OR($I44=" ",$I44="",$F44=0),0,1))</f>
        <v>0</v>
      </c>
      <c r="Y44" s="896">
        <f ca="1">IF(AND(M49&gt;0,B44&lt;&gt;B50),1,0)</f>
        <v>0</v>
      </c>
      <c r="Z44" s="52" t="str">
        <f ca="1">IF(I44=" "," ",OFFSET($BM$9,$CL44-1,8,1,1))</f>
        <v xml:space="preserve"> </v>
      </c>
      <c r="AA44" s="51" t="str">
        <f>IF(G44&gt;=45,"WA","")</f>
        <v/>
      </c>
      <c r="AB44" s="1364" t="str">
        <f>IF(OR(E44=" ",E44="")," ",(IF(F44&lt;&gt;"",IF(OR(D44=$BG$12,D44=$BG$13),IF(E44&lt;&gt;$BG$17,$BF$20,$BF$21),IF(E44&lt;&gt;$BG$17,$BF$20,$BF$21))," ")))</f>
        <v xml:space="preserve"> </v>
      </c>
      <c r="AC44" s="1"/>
      <c r="AJ44" s="1690" t="s">
        <v>1111</v>
      </c>
      <c r="AM44" s="4"/>
      <c r="AN44" s="4"/>
      <c r="AO44" s="4"/>
      <c r="AP44" s="4"/>
      <c r="AQ44" s="4"/>
      <c r="AR44" s="10"/>
      <c r="AS44" s="10"/>
      <c r="AT44" s="8"/>
      <c r="AU44" s="119"/>
      <c r="AV44" s="115"/>
      <c r="AW44" s="115"/>
      <c r="AX44" s="115"/>
      <c r="AY44" s="115"/>
      <c r="AZ44" s="115"/>
      <c r="BA44" s="115"/>
      <c r="BB44" s="115"/>
      <c r="BC44" s="115"/>
      <c r="BD44" s="637"/>
      <c r="BF44" s="599" t="str">
        <f>'Custom Elements'!C20</f>
        <v>Custom12</v>
      </c>
      <c r="BI44" s="759"/>
      <c r="BJ44" s="897">
        <f t="shared" si="37"/>
        <v>36</v>
      </c>
      <c r="BK44" s="1222" t="str">
        <f>BK50</f>
        <v xml:space="preserve">EPB </v>
      </c>
      <c r="BL44" s="1181" t="str">
        <f>Table!I10</f>
        <v>ER2</v>
      </c>
      <c r="BM44" s="1210">
        <f>Table!J10</f>
        <v>0.4</v>
      </c>
      <c r="BN44" s="454">
        <f>BM45</f>
        <v>0.6</v>
      </c>
      <c r="BO44" s="454">
        <f>Table!K10</f>
        <v>56</v>
      </c>
      <c r="BP44" s="924">
        <f>Table!L10</f>
        <v>51</v>
      </c>
      <c r="BQ44" s="920"/>
      <c r="BR44" s="768">
        <f>Table!M10</f>
        <v>0</v>
      </c>
      <c r="BS44" s="454">
        <f>Table!M11</f>
        <v>0</v>
      </c>
      <c r="BT44" s="454" t="str">
        <f>Table!N10</f>
        <v>I</v>
      </c>
      <c r="BU44" s="924" t="s">
        <v>242</v>
      </c>
      <c r="BV44" s="1230" t="str">
        <f>Table!AI77</f>
        <v>ER2</v>
      </c>
      <c r="BW44" s="1229">
        <f>BJ44</f>
        <v>36</v>
      </c>
      <c r="BX44" s="924" t="str">
        <f>Table!N11</f>
        <v>Double</v>
      </c>
      <c r="CH44" s="768">
        <f>IF(BN44=999,0,(BO45-BO44)/(BN44-BM44))</f>
        <v>5.0000000000000009</v>
      </c>
      <c r="CI44" s="924">
        <f>IF(BN44=999,0,(BP45-BP44)/(BN44-BM44))</f>
        <v>5.0000000000000009</v>
      </c>
      <c r="CJ44" s="759"/>
      <c r="CK44" s="188"/>
      <c r="CL44" s="979">
        <f>VLOOKUP(I44,Prodlink,2,0)</f>
        <v>0</v>
      </c>
      <c r="CN44" s="497">
        <f t="shared" ca="1" si="35"/>
        <v>0</v>
      </c>
      <c r="CO44" s="497">
        <f ca="1">OFFSET($CH$9,CL44-1,-15,1,1)</f>
        <v>0</v>
      </c>
      <c r="CQ44" s="51">
        <v>0</v>
      </c>
      <c r="CR44" s="51">
        <f ca="1">IF(AND(Z44&lt;&gt;"t",Z44&lt;&gt;"f"),10000,IF(K44=$BH$11,0,IF(K44=$BH$12,$BH$23,IF(K44=$BH$13,$BH$24,10000))))</f>
        <v>10000</v>
      </c>
      <c r="CS44" s="51">
        <f ca="1">IF(F44&lt;OFFSET($BM$9,CL44-1,0,1,1),0,IF(F44&lt;OFFSET($BN$9,CL44-1,0,1,1),((F44-OFFSET($BM$9,CL44-1,0,1,1))*OFFSET($CH$9,CL44-1,0,1,1))+OFFSET($BO$9,CL44-1,CQ44,1,1),IF(F44&lt;OFFSET($BN$9,CL44+0,0,1,1),((F44-OFFSET($BM$9,CL44+0,0,1,1))*OFFSET($CH$9,CL44+0,0,1,1))+OFFSET($BO$9,CL44+0,CQ44,1,1),IF(F44&lt;OFFSET($BN$9,CL44+1,0,1,1),((F44-OFFSET($BM$9,CL44+1,0,1,1))*OFFSET($CH$9,CL44+1,0,1,1))+OFFSET($BO$9,CL44+1,CQ44,1,1),IF(F44&lt;OFFSET($BN$9,CL44+2,0,1,1),((F44-OFFSET($BM$9,CL44+2,0,1,1))*OFFSET($CH$9,CL44+2,0,1,1))+OFFSET($BO$9,CL44+2,CQ44,1,1),IF(F44&lt;OFFSET($BN$9,CL44+3,0,1,1),((F44-OFFSET($BM$9,CL44+3,0,1,1))*OFFSET($CH$9,CL44+3,0,1,1))+OFFSET($BO$9,CL44+3,CQ44,1,1),0))))))</f>
        <v>0</v>
      </c>
      <c r="CT44" s="1552">
        <f ca="1">IF($F44&lt;OFFSET($BM$9,$CL44-1,0,1,1),0,IF($F44&lt;OFFSET($BN$9,$CL44-1,0,1,1),IF(AND($H44&gt;2.4,Z44&lt;&gt;"e",Z44&lt;&gt;"f"),CX44*2.4/$H44,CX44),IF($F44&lt;OFFSET($BN$9,$CL44+0,0,1,1),IF(AND($H44&gt;2.4,Z44&lt;&gt;"e",Z44&lt;&gt;"f"),CX44*2.4/$H44,CX44),IF($F44&lt;OFFSET($BN$9,$CL44+1,0,1,1),IF(AND($H44&gt;2.4,Z44&lt;&gt;"e",Z44&lt;&gt;"f"),CX44*2.4/$H44,CX44),IF($F44&lt;OFFSET($BN$9,CL44+2,0,1,1),IF(AND($H44&gt;2.4,Z44&lt;&gt;"e",Z44&lt;&gt;"f"),CX44*2.4/$H44,CX44),IF($F44&lt;OFFSET($BN$9,CL44+3,0,1,1),IF(AND($H44&gt;2.4,Z44&lt;&gt;"e",Z44&lt;&gt;"f"),CX44*2.4/$H44,CX44),0)))))*COS(RADIANS($G44)))</f>
        <v>0</v>
      </c>
      <c r="CU44" s="51">
        <f ca="1">IF(F44&lt;OFFSET($BM$9,CL44-1,0,1,1),0,IF(F44&lt;OFFSET($BN$9,CL44-1,0,1,1),((F44-OFFSET($BM$9,CL44-1,0,1,1))*OFFSET($CI$9,CL44-1,0,1,1))+OFFSET($BP$9,CL44-1,CQ44,1,1),IF(F44&lt;OFFSET($BN$9,CL44+0,0,1,1),((F44-OFFSET($BM$9,CL44+0,0,1,1))*OFFSET($CI$9,CL44+0,0,1,1))+OFFSET($BP$9,CL44+0,CQ44,1,1),IF(F44&lt;OFFSET($BN$9,CL44+1,0,1,1),((F44-OFFSET($BM$9,CL44+1,0,1,1))*OFFSET($CI$9,CL44+1,0,1,1))+OFFSET($BP$9,CL44+1,CQ44,1,1),IF(F44&lt;OFFSET($BN$9,CL44+2,0,1,1),((F44-OFFSET($BM$9,CL44+2,0,1,1))*OFFSET($CI$9,CL44+2,0,1,1))+OFFSET($BP$9,CL44+2,CQ44,1,1),IF(F44&lt;OFFSET($BN$9,CL44+3,0,1,1),((F44-OFFSET($BM$9,CL44+3,0,1,1))*OFFSET($CI$9,CL44+3,0,1,1))+OFFSET($BP$9,CL44+3,CQ44,1,1),0))))))</f>
        <v>0</v>
      </c>
      <c r="CV44" s="1552">
        <f ca="1">IF($F44&lt;OFFSET($BM$9,$CL44-1,0,1,1),0,IF($F44&lt;OFFSET($BN$9,$CL44-1,0,1,1),IF(AND($H44&gt;2.4,Z44&lt;&gt;"e",Z44&lt;&gt;"f"),CZ44*2.4/$H44,CZ44),IF($F44&lt;OFFSET($BN$9,$CL44+0,0,1,1),IF(AND($H44&gt;2.4,Z44&lt;&gt;"e",Z44&lt;&gt;"f"),CZ44*2.4/$H44,CZ44),IF($F44&lt;OFFSET($BN$9,$CL44+1,0,1,1),IF(AND($H44&gt;2.4,Z44&lt;&gt;"e",Z44&lt;&gt;"f"),CZ44*2.4/$H44,CZ44),IF($F44&lt;OFFSET($BN$9,$CL44+2,0,1,1),IF(AND($H44&gt;2.4,Z44&lt;&gt;"e",Z44&lt;&gt;"f"),CZ44*2.4/$H44,CZ44),IF($F44&lt;OFFSET($BN$9,$CL44+3,0,1,1),IF(AND($H44&gt;2.4,Z44&lt;&gt;"e",Z44&lt;&gt;"f"),CZ44*2.4/$H44,CZ44),0)))))*COS(RADIANS($G44)))</f>
        <v>0</v>
      </c>
      <c r="CW44" s="51">
        <f t="shared" ca="1" si="18"/>
        <v>0</v>
      </c>
      <c r="CX44" s="51">
        <f ca="1">IF(CS44&gt;$CR44,$CR44,CS44)</f>
        <v>0</v>
      </c>
      <c r="CY44" s="51">
        <f ca="1">CW44*F44</f>
        <v>0</v>
      </c>
      <c r="CZ44" s="51">
        <f ca="1">IF($CU44&gt;$CR44,$CR44,$CU44)</f>
        <v>0</v>
      </c>
      <c r="DA44" s="51">
        <f ca="1">IF(CV44&gt;CR44,CR44,CV44)</f>
        <v>0</v>
      </c>
      <c r="DB44" s="51">
        <f ca="1">DA44*F44</f>
        <v>0</v>
      </c>
      <c r="DC44" s="993">
        <v>1</v>
      </c>
      <c r="DD44" s="758" t="str">
        <f>IF(OR(D44=BG$12,D44=BG$13),"External",IF(D44=BG$14,"Internal"," "))</f>
        <v xml:space="preserve"> </v>
      </c>
      <c r="DE44" s="51" t="str">
        <f t="shared" ca="1" si="4"/>
        <v/>
      </c>
      <c r="DF44" s="52" t="str">
        <f t="shared" ca="1" si="5"/>
        <v xml:space="preserve"> </v>
      </c>
      <c r="DG44" s="51">
        <f ca="1">IF(F44&lt;OFFSET($BM$9,CN44-1,0,1,1),0,IF(F44&lt;OFFSET($BN$9,CN44-1,0,1,1),((F44-OFFSET($BM$9,CN44-1,0,1,1))*OFFSET($CH$9,CN44-1,0,1,1))+OFFSET($BO$9,CN44-1,CQ44,1,1),IF(F44&lt;OFFSET($BN$9,CN44+0,0,1,1),((F44-OFFSET($BM$9,CN44+0,0,1,1))*OFFSET($CH$9,CN44+0,0,1,1))+OFFSET($BO$9,CN44+0,CQ44,1,1),IF(F44&lt;OFFSET($BN$9,CN44+1,0,1,1),((F44-OFFSET($BM$9,CN44+1,0,1,1))*OFFSET($CH$9,CN44+1,0,1,1))+OFFSET($BO$9,CN44+1,CQ44,1,1),IF(F44&lt;OFFSET($BN$9,CN44+2,0,1,1),((F44-OFFSET($BM$9,CN44+2,0,1,1))*OFFSET($CH$9,CN44+2,0,1,1))+OFFSET($BO$9,CN44+2,CQ44,1,1),IF(F44&lt;OFFSET($BN$9,CN44+3,0,1,1),((F44-OFFSET($BM$9,CN44+3,0,1,1))*OFFSET($CH$9,CN44+3,0,1,1))+OFFSET($BO$9,CN44+3,CQ44,1,1),0))))))</f>
        <v>0</v>
      </c>
      <c r="DH44" s="1552">
        <f ca="1">IF($F44&lt;OFFSET($BM$9,$CN44-1,0,1,1),0,IF($F44&lt;OFFSET($BN$9,$CN44-1,0,1,1),IF(AND($H44&gt;2.4,Z44&lt;&gt;"e",Z44&lt;&gt;"f"),DL44*2.4/$H44,DL44),IF($F44&lt;OFFSET($BN$9,$CN44+0,0,1,1),IF(AND($H44&gt;2.4,Z44&lt;&gt;"e",Z44&lt;&gt;"f"),DL44*2.4/$H44,DL44),IF($F44&lt;OFFSET($BN$9,$CN44+1,0,1,1),IF(AND($H44&gt;2.4,Z44&lt;&gt;"e",Z44&lt;&gt;"f"),DL44*2.4/$H44,DL44),IF($F44&lt;OFFSET($BN$9,$CN44+2,0,1,1),IF(AND($H44&gt;2.4,Z44&lt;&gt;"e",Z44&lt;&gt;"f"),DL44*2.4/$H44,DL44),IF($F44&lt;OFFSET($BN$9,$CN44+3,0,1,1),IF(AND($H44&gt;2.4,Z44&lt;&gt;"e",Z44&lt;&gt;"f"),DL44*2.4/$H44,DL44),0)))))*COS(RADIANS($G44)))</f>
        <v>0</v>
      </c>
      <c r="DI44" s="51">
        <f ca="1">IF(F44&lt;OFFSET($BM$9,CN44-1,0,1,1),0,IF(F44&lt;OFFSET($BN$9,CN44-1,0,1,1),((F44-OFFSET($BM$9,CN44-1,0,1,1))*OFFSET($CI$9,CN44-1,0,1,1))+OFFSET($BP$9,CN44-1,CQ44,1,1),IF(F44&lt;OFFSET($BN$9,CN44+0,0,1,1),((F44-OFFSET($BM$9,CN44+0,0,1,1))*OFFSET($CI$9,CN44+0,0,1,1))+OFFSET($BP$9,CN44+0,CQ44,1,1),IF(F44&lt;OFFSET($BN$9,CN44+1,0,1,1),((F44-OFFSET($BM$9,CN44+1,0,1,1))*OFFSET($CI$9,CN44+1,0,1,1))+OFFSET($BP$9,CN44+1,CQ44,1,1),IF(F44&lt;OFFSET($BN$9,CN44+2,0,1,1),((F44-OFFSET($BM$9,CN44+2,0,1,1))*OFFSET($CI$9,CN44+2,0,1,1))+OFFSET($BP$9,CN44+2,CQ44,1,1),IF(F44&lt;OFFSET($BN$9,CN44+3,0,1,1),((F44-OFFSET($BM$9,CN44+3,0,1,1))*OFFSET($CI$9,CN44+3,0,1,1))+OFFSET($BP$9,CN44+3,CQ44,1,1),0))))))</f>
        <v>0</v>
      </c>
      <c r="DJ44" s="1552">
        <f ca="1">IF($F44&lt;OFFSET($BM$9,$CN44-1,0,1,1),0,IF($F44&lt;OFFSET($BN$9,$CN44-1,0,1,1),IF(AND($H44&gt;2.4,Z44&lt;&gt;"e",Z44&lt;&gt;"f"),DN44*2.4/$H44,DN44),IF($F44&lt;OFFSET($BN$9,$CN44+0,0,1,1),IF(AND($H44&gt;2.4,Z44&lt;&gt;"e",Z44&lt;&gt;"f"),DN44*2.4/$H44,DN44),IF($F44&lt;OFFSET($BN$9,$CN44+1,0,1,1),IF(AND($H44&gt;2.4,Z44&lt;&gt;"e",Z44&lt;&gt;"f"),DN44*2.4/$H44,DN44),IF($F44&lt;OFFSET($BN$9,$CN44+2,0,1,1),IF(AND($H44&gt;2.4,Z44&lt;&gt;"e",Z44&lt;&gt;"f"),DN44*2.4/$H44,DN44),IF($F44&lt;OFFSET($BN$9,$CN44+3,0,1,1),IF(AND($H44&gt;2.4,Z44&lt;&gt;"e",Z44&lt;&gt;"f"),DN44*2.4/$H44,DN44),0)))))*COS(RADIANS($G44)))</f>
        <v>0</v>
      </c>
      <c r="DK44" s="51"/>
      <c r="DL44" s="51">
        <f ca="1">IF(DG44&gt;$CR44,$CR44,DG44)</f>
        <v>0</v>
      </c>
      <c r="DM44" s="51"/>
      <c r="DN44" s="51">
        <f ca="1">IF(DI44&gt;$CR44,$CR44,DI44)</f>
        <v>0</v>
      </c>
      <c r="DO44" s="435">
        <f ca="1">IF(DH44&gt;$CR44,$CR44,DH44)</f>
        <v>0</v>
      </c>
      <c r="DP44" s="435">
        <f ca="1">DO44*F44</f>
        <v>0</v>
      </c>
      <c r="DQ44" s="436">
        <f ca="1">IF(DJ44&gt;$CR44,$CR44,DJ44)</f>
        <v>0</v>
      </c>
      <c r="DR44" s="437">
        <f ca="1">DQ44*F44</f>
        <v>0</v>
      </c>
      <c r="DS44" s="426">
        <f ca="1">OFFSET($CH$9,CL44-1,-15,1,1)</f>
        <v>0</v>
      </c>
      <c r="DT44" s="426">
        <f t="shared" ca="1" si="36"/>
        <v>0</v>
      </c>
      <c r="DU44" s="188">
        <f ca="1">IF(F44&lt;OFFSET($BM$9,DT44-1,0,1,1),0,IF(F44&lt;OFFSET($BN$9,DT44-1,0,1,1),((F44-OFFSET($BM$9,DT44-1,0,1,1))*OFFSET($CH$9,DT44-1,0,1,1))+OFFSET($BO$9,DT44-1,CQ44,1,1),IF(F44&lt;OFFSET($BN$9,DT44+0,0,1,1),((F44-OFFSET($BM$9,DT44+0,0,1,1))*OFFSET($CH$9,DT44+0,0,1,1))+OFFSET($BO$9,DT44+0,CQ44,1,1),IF(F44&lt;OFFSET($BN$9,DT44+1,0,1,1),((F44-OFFSET($BM$9,DT44+1,0,1,1))*OFFSET($CH$9,DT44+1,0,1,1))+OFFSET($BO$9,DT44+1,CQ44,1,1),IF(F44&lt;OFFSET($BN$9,DT44+2,0,1,1),((F44-OFFSET($BM$9,DT44+2,0,1,1))*OFFSET($CH$9,DT44+2,0,1,1))+OFFSET($BO$9,DT44+2,CQ44,1,1),IF(F44&lt;OFFSET($BN$9,DT44+3,0,1,1),((F44-OFFSET($BM$9,DT44+3,0,1,1))*OFFSET($CH$9,DT44+3,0,1,1))+OFFSET($BO$9,DT44+3,CQ44,1,1),0))))))</f>
        <v>0</v>
      </c>
      <c r="DV44" s="1552">
        <f ca="1">IF($F44&lt;OFFSET($BM$9,$DT44-1,0,1,1),0,IF($F44&lt;OFFSET($BN$9,$DT44-1,0,1,1),IF(AND($H44&gt;2.4,Z44&lt;&gt;"e",Z44&lt;&gt;"f"),DZ44*2.4/$H44,DZ44),IF($F44&lt;OFFSET($BN$9,$DT44+0,0,1,1),IF(AND($H44&gt;2.4,Z44&lt;&gt;"e",Z44&lt;&gt;"f"),DZ44*2.4/$H44,DZ44),IF($F44&lt;OFFSET($BN$9,$DT44+1,0,1,1),IF(AND($H44&gt;2.4,Z44&lt;&gt;"e",Z44&lt;&gt;"f"),DZ44*2.4/$H44,DZ44),IF($F44&lt;OFFSET($BN$9,$DT44+2,0,1,1),IF(AND($H44&gt;2.4,Z44&lt;&gt;"e",Z44&lt;&gt;"f"),DZ44*2.4/$H44,DZ44),IF($F44&lt;OFFSET($BN$9,$DT44+3,0,1,1),IF(AND($H44&gt;2.4,Z44&lt;&gt;"e",Z44&lt;&gt;"f"),DZ44*2.4/$H44,DZ44),0)))))*COS(RADIANS($G44)))</f>
        <v>0</v>
      </c>
      <c r="DW44" s="188">
        <f ca="1">IF(F44&lt;OFFSET($BM$9,DT44-1,0,1,1),0,IF(F44&lt;OFFSET($BN$9,DT44-1,0,1,1),((F44-OFFSET($BM$9,DT44-1,0,1,1))*OFFSET($CI$9,DT44-1,0,1,1))+OFFSET($BP$9,DT44-1,CQ44,1,1),IF(F44&lt;OFFSET($BN$9,DT44+0,0,1,1),((F44-OFFSET($BM$9,DT44+0,0,1,1))*OFFSET($CI$9,DT44+0,0,1,1))+OFFSET($BP$9,DT44+0,CQ44,1,1),IF(F44&lt;OFFSET($BN$9,DT44+1,0,1,1),((F44-OFFSET($BM$9,DT44+1,0,1,1))*OFFSET($CI$9,DT44+1,0,1,1))+OFFSET($BP$9,DT44+1,CQ44,1,1),IF(F44&lt;OFFSET($BN$9,DT44+2,0,1,1),((F44-OFFSET($BM$9,DT44+2,0,1,1))*OFFSET($CI$9,DT44+2,0,1,1))+OFFSET($BP$9,DT44+2,CQ44,1,1),IF(F44&lt;OFFSET($BN$9,DT44+3,0,1,1),((F44-OFFSET($BM$9,DT44+3,0,1,1))*OFFSET($CI$9,DT44+3,0,1,1))+OFFSET($BP$9,DT44+3,CQ44,1,1),0))))))</f>
        <v>0</v>
      </c>
      <c r="DX44" s="1552">
        <f ca="1">IF($F44&lt;OFFSET($BM$9,$DT44-1,0,1,1),0,IF($F44&lt;OFFSET($BN$9,$DT44-1,0,1,1),IF(AND($H44&gt;2.4,Z44&lt;&gt;"e",Z44&lt;&gt;"f"),EB44*2.4/$H44,EB44),IF($F44&lt;OFFSET($BN$9,$DT44+0,0,1,1),IF(AND($H44&gt;2.4,Z44&lt;&gt;"e",Z44&lt;&gt;"f"),EB44*2.4/$H44,EB44),IF($F44&lt;OFFSET($BN$9,$DT44+1,0,1,1),IF(AND($H44&gt;2.4,Z44&lt;&gt;"e",Z44&lt;&gt;"f"),EB44*2.4/$H44,EB44),IF($F44&lt;OFFSET($BN$9,$DT44+2,0,1,1),IF(AND($H44&gt;2.4,Z44&lt;&gt;"e",Z44&lt;&gt;"f"),EB44*2.4/$H44,EB44),IF($F44&lt;OFFSET($BN$9,$DT44+3,0,1,1),IF(AND($H44&gt;2.4,Z44&lt;&gt;"e",Z44&lt;&gt;"f"),EB44*2.4/$H44,EB44),0)))))*COS(RADIANS($G44)))</f>
        <v>0</v>
      </c>
      <c r="DY44" s="188"/>
      <c r="DZ44" s="188">
        <f ca="1">IF(DU44&gt;$CR44,$CR44,DU44)</f>
        <v>0</v>
      </c>
      <c r="EA44" s="188"/>
      <c r="EB44" s="188">
        <f ca="1">IF(DW44&gt;$CR44,$CR44,DW44)</f>
        <v>0</v>
      </c>
      <c r="EC44" s="435">
        <f ca="1">IF(DV44&gt;$CR44,$CR44,DV44)</f>
        <v>0</v>
      </c>
      <c r="ED44" s="435">
        <f ca="1">EC44*F44</f>
        <v>0</v>
      </c>
      <c r="EE44" s="436">
        <f ca="1">IF(DX44&gt;$CR44,$CR44,DX44)</f>
        <v>0</v>
      </c>
      <c r="EF44" s="437">
        <f ca="1">EE44*F44</f>
        <v>0</v>
      </c>
      <c r="EG44" s="613" t="str">
        <f>IF(D44=BG$12,BG$12,"")</f>
        <v/>
      </c>
      <c r="EH44" s="614" t="str">
        <f>IF(D44=BG$13,BG$13,"")</f>
        <v/>
      </c>
      <c r="EI44" s="611">
        <f>IF(EG44=BG$12,M44,0)</f>
        <v>0</v>
      </c>
      <c r="EJ44" s="451">
        <f>IF(EG44=BG$12,O44,0)</f>
        <v>0</v>
      </c>
      <c r="EK44" s="451">
        <f>IF(EH44=BG$13,M44,0)</f>
        <v>0</v>
      </c>
      <c r="EL44" s="612">
        <f>IF(EH44=BG$13,O44,0)</f>
        <v>0</v>
      </c>
      <c r="EM44" s="426" t="str">
        <f ca="1">IF(AND(Z44&lt;&gt;"t",Z44&lt;&gt;"f"),"",IF(AND(EN44=$BH$11,K44&lt;&gt;EN44),EM$4,IF(AND(EN44=$BH$12,K44=$BH$13),EM$4,IF(AND(EN44=$BH$12,K44=$BH$14),EM$4,IF(AND(EN44=$BH$13,K44=$BH$14),$EM$4,IF(EN44=$BH$14,$EM$4,""))))))</f>
        <v/>
      </c>
      <c r="EN44" s="489" t="str">
        <f>BG$24</f>
        <v>Earth</v>
      </c>
      <c r="EO44" s="426" t="str">
        <f>K44</f>
        <v xml:space="preserve"> </v>
      </c>
      <c r="EP44" s="497" t="str">
        <f ca="1">IF(AND(Z44&lt;&gt;"t",Z44&lt;&gt;"f"),"",IF(AND(EN44=$BH$14,K44&lt;&gt;EN44),EP$4,IF(AND(EN44=$BH$13,K44=$BH$12),EP$4,IF(AND(EN44=$BH$13,K44=$BH$11),EP$4,IF(AND(EN44=$BH$12,K44=$BH$11),$EP$4,IF(EN44=$BH$11,"Earth",""))))))</f>
        <v/>
      </c>
      <c r="EQ44" s="430" t="str">
        <f ca="1">IF(Z44&lt;&gt;"t","",IF(EQ$5=2,IF(K44&lt;&gt;BH$11,EQ$7," ")))</f>
        <v/>
      </c>
      <c r="ER44" s="439" t="str">
        <f ca="1">IF(H44=0," ",H44)</f>
        <v xml:space="preserve"> </v>
      </c>
      <c r="ES44" s="440" t="str">
        <f ca="1">IF(ER44&lt;&gt;" ",IF(ER44&lt;&gt;ER$7,"Changed",""),"")</f>
        <v/>
      </c>
      <c r="ET44" s="440">
        <f t="shared" ca="1" si="19"/>
        <v>0</v>
      </c>
      <c r="EU44" s="426" t="str">
        <f ca="1">IF(I44=" "," ",IF(F44&lt;OFFSET($BM$9,CL44-1,0,1,1),1,""))</f>
        <v xml:space="preserve"> </v>
      </c>
      <c r="EW44" s="427"/>
    </row>
    <row r="45" spans="1:153" ht="17.100000000000001" customHeight="1">
      <c r="A45" s="2685"/>
      <c r="B45" s="689" t="s">
        <v>246</v>
      </c>
      <c r="C45" s="684" t="str">
        <f>IF(OR(F45=0,I45="",I45=" ")," ",$V45)</f>
        <v xml:space="preserve"> </v>
      </c>
      <c r="D45" s="1033"/>
      <c r="E45" s="1360" t="s">
        <v>8</v>
      </c>
      <c r="F45" s="202"/>
      <c r="G45" s="1416"/>
      <c r="H45" s="1417" t="str">
        <f ca="1">IF(OR(F45=0,Z45="E",Z45="f")," ",'Project Demand'!E$55)</f>
        <v xml:space="preserve"> </v>
      </c>
      <c r="I45" s="631" t="str">
        <f>IF($I$6&lt;&gt;$BG$8," ",AB45)</f>
        <v xml:space="preserve"> </v>
      </c>
      <c r="J45" s="44" t="str">
        <f ca="1">IF(OR(I45=" ",I45="")," ",OFFSET($BO$9,CL45-1,0-4,1,1))</f>
        <v xml:space="preserve"> </v>
      </c>
      <c r="K45" s="55" t="str">
        <f>IF(OR(I45=" ",I45="")," ",IF(OR(Z45="e",Z45="h"),"SD",IF(BG$24=BH$11,BH$13,BG$24)))</f>
        <v xml:space="preserve"> </v>
      </c>
      <c r="L45" s="49">
        <f ca="1">CW45</f>
        <v>0</v>
      </c>
      <c r="M45" s="49">
        <f ca="1">CY45</f>
        <v>0</v>
      </c>
      <c r="N45" s="50">
        <f t="shared" ca="1" si="38"/>
        <v>0</v>
      </c>
      <c r="O45" s="126">
        <f t="shared" ca="1" si="38"/>
        <v>0</v>
      </c>
      <c r="P45" s="140"/>
      <c r="Q45" s="752" t="str">
        <f ca="1">IF(AND(OR(Z45="t",Z45="f"),K45=$BH$11),"No Floor!  Change Floor Type",IF(OR(I45=" ",I45="")," ",IF(F45&lt;OFFSET($BM$9,CL45-1,0,1,1),"check L(m)",DE45&amp;IF(AND(DP45&gt;=CY45,DR45&gt;=DB45),IF(AND(ED45&gt;=DP45,EF45&gt;=DR45),CONCATENATE(DS45," will provide same result"),CONCATENATE(CO45," will provide same result")),IF((DP45&gt;=CY45),CONCATENATE(CO45," provides same result in WIND"),IF((DR45&gt;=DB45),CONCATENATE(CO45," provides same result in EQ"),""))))))&amp;IF(ISERROR(FIND("pile",I45,1)),"",IF(INT(F45)&lt;&gt;F45,"Pile!  Use Whole Numbers Only",""))</f>
        <v xml:space="preserve"> </v>
      </c>
      <c r="R45" s="52"/>
      <c r="S45" s="1372"/>
      <c r="T45" s="1372"/>
      <c r="U45" s="1377"/>
      <c r="V45" s="52" t="str">
        <f ca="1">IF(AND(B$5=$BF$9,OR(I45=BH$16,I45=BH$17))," ",IF(ISNUMBER(B$44),(CONCATENATE(B$44,".",W45)),(CONCATENATE(B$44,W45))))</f>
        <v>S0</v>
      </c>
      <c r="W45" s="9">
        <f ca="1">W44+X45</f>
        <v>0</v>
      </c>
      <c r="X45" s="9">
        <f>IF(AND(B$5=$BF$9,OR($I45=$BH$16,$I45=$BH$17,$I45=" ",$I45="",$F45=0)),0,IF(OR($I45=" ",$I45="",$F45=0),0,1))</f>
        <v>0</v>
      </c>
      <c r="Y45" s="896"/>
      <c r="Z45" s="52" t="str">
        <f ca="1">IF(I45=" "," ",OFFSET($BM$9,$CL45-1,8,1,1))</f>
        <v xml:space="preserve"> </v>
      </c>
      <c r="AA45" s="51" t="str">
        <f>IF(G45&gt;=45,"WA","")</f>
        <v/>
      </c>
      <c r="AB45" s="1364" t="str">
        <f>IF(OR(E45=" ",E45="")," ",(IF(F45&lt;&gt;"",IF(OR(D45=$BG$12,D45=$BG$13),IF(E45&lt;&gt;$BG$17,$BF$20,$BF$21),IF(E45&lt;&gt;$BG$17,$BF$20,$BF$21))," ")))</f>
        <v xml:space="preserve"> </v>
      </c>
      <c r="AC45" s="1"/>
      <c r="AJ45" s="2"/>
      <c r="AK45" s="2184" t="str">
        <f>'Custom Elements'!B6</f>
        <v>Supplier or Type</v>
      </c>
      <c r="AL45" s="1862" t="str">
        <f>'Custom Elements'!C6</f>
        <v xml:space="preserve"> Custom System Number</v>
      </c>
      <c r="AM45" s="1862" t="str">
        <f>'Custom Elements'!D6</f>
        <v>Min Length (m) or #</v>
      </c>
      <c r="AN45" s="2565" t="str">
        <f>'Custom Elements'!E6</f>
        <v>BU's/m   Wind</v>
      </c>
      <c r="AO45" s="2565" t="str">
        <f>'Custom Elements'!F6</f>
        <v>BU's/m   EQ</v>
      </c>
      <c r="AP45" s="1244"/>
      <c r="AQ45" s="1862" t="str">
        <f>'Custom Elements'!H6</f>
        <v>Single or Double Sided System</v>
      </c>
      <c r="AR45" s="2906" t="str">
        <f>'Custom Elements'!I6</f>
        <v>Height Dependant</v>
      </c>
      <c r="AS45" s="2232" t="str">
        <f>'Custom Elements'!J6</f>
        <v>Foundation Dependant</v>
      </c>
      <c r="AT45" s="1164"/>
      <c r="AU45"/>
      <c r="AW45"/>
      <c r="AY45"/>
      <c r="AZ45" s="2232" t="s">
        <v>1102</v>
      </c>
      <c r="BA45" s="115"/>
      <c r="BB45" s="115"/>
      <c r="BC45" s="115"/>
      <c r="BD45" s="637"/>
      <c r="BF45" s="599" t="str">
        <f>'Custom Elements'!C21</f>
        <v>Custom13</v>
      </c>
      <c r="BI45" s="759"/>
      <c r="BJ45" s="897">
        <f t="shared" si="37"/>
        <v>37</v>
      </c>
      <c r="BK45" s="1224"/>
      <c r="BL45" s="1209"/>
      <c r="BM45" s="969">
        <f>Table!J11</f>
        <v>0.6</v>
      </c>
      <c r="BN45" s="455">
        <f t="shared" ref="BN45:BN47" si="39">BM46</f>
        <v>0.8</v>
      </c>
      <c r="BO45" s="455">
        <f>Table!K11</f>
        <v>57</v>
      </c>
      <c r="BP45" s="925">
        <f>Table!L11</f>
        <v>52</v>
      </c>
      <c r="BR45" s="1225"/>
      <c r="BS45" s="1212"/>
      <c r="BT45" s="1212"/>
      <c r="BU45" s="1226" t="s">
        <v>242</v>
      </c>
      <c r="BV45" s="895"/>
      <c r="BW45" s="603"/>
      <c r="BX45" s="1226" t="str">
        <f>Table!N11</f>
        <v>Double</v>
      </c>
      <c r="CH45" s="764">
        <f>IF(BN45=999,0,(BO46-BO45)/(BN45-BM45))</f>
        <v>4.9999999999999982</v>
      </c>
      <c r="CI45" s="925">
        <f>IF(BN45=999,0,(BP46-BP45)/(BN45-BM45))</f>
        <v>4.9999999999999982</v>
      </c>
      <c r="CJ45" s="759"/>
      <c r="CK45" s="188"/>
      <c r="CL45" s="979">
        <f>VLOOKUP(I45,Prodlink,2,0)</f>
        <v>0</v>
      </c>
      <c r="CN45" s="497">
        <f t="shared" ca="1" si="35"/>
        <v>0</v>
      </c>
      <c r="CO45" s="497">
        <f ca="1">OFFSET($CH$9,CL45-1,-15,1,1)</f>
        <v>0</v>
      </c>
      <c r="CQ45" s="51">
        <v>0</v>
      </c>
      <c r="CR45" s="51">
        <f t="shared" ref="CR45:CR48" ca="1" si="40">IF(AND(Z45&lt;&gt;"t",Z45&lt;&gt;"f"),10000,IF(K45=$BH$11,0,IF(K45=$BH$12,$BH$23,IF(K45=$BH$13,$BH$24,10000))))</f>
        <v>10000</v>
      </c>
      <c r="CS45" s="51">
        <f ca="1">IF(F45&lt;OFFSET($BM$9,CL45-1,0,1,1),0,IF(F45&lt;OFFSET($BN$9,CL45-1,0,1,1),((F45-OFFSET($BM$9,CL45-1,0,1,1))*OFFSET($CH$9,CL45-1,0,1,1))+OFFSET($BO$9,CL45-1,CQ45,1,1),IF(F45&lt;OFFSET($BN$9,CL45+0,0,1,1),((F45-OFFSET($BM$9,CL45+0,0,1,1))*OFFSET($CH$9,CL45+0,0,1,1))+OFFSET($BO$9,CL45+0,CQ45,1,1),IF(F45&lt;OFFSET($BN$9,CL45+1,0,1,1),((F45-OFFSET($BM$9,CL45+1,0,1,1))*OFFSET($CH$9,CL45+1,0,1,1))+OFFSET($BO$9,CL45+1,CQ45,1,1),IF(F45&lt;OFFSET($BN$9,CL45+2,0,1,1),((F45-OFFSET($BM$9,CL45+2,0,1,1))*OFFSET($CH$9,CL45+2,0,1,1))+OFFSET($BO$9,CL45+2,CQ45,1,1),IF(F45&lt;OFFSET($BN$9,CL45+3,0,1,1),((F45-OFFSET($BM$9,CL45+3,0,1,1))*OFFSET($CH$9,CL45+3,0,1,1))+OFFSET($BO$9,CL45+3,CQ45,1,1),0))))))</f>
        <v>0</v>
      </c>
      <c r="CT45" s="51">
        <f ca="1">IF($F45&lt;OFFSET($BM$9,$CL45-1,0,1,1),0,IF($F45&lt;OFFSET($BN$9,$CL45-1,0,1,1),IF(AND($H45&gt;2.4,Z45&lt;&gt;"e",Z45&lt;&gt;"f"),CX45*2.4/$H45,CX45),IF($F45&lt;OFFSET($BN$9,$CL45+0,0,1,1),IF(AND($H45&gt;2.4,Z45&lt;&gt;"e",Z45&lt;&gt;"f"),CX45*2.4/$H45,CX45),IF($F45&lt;OFFSET($BN$9,$CL45+1,0,1,1),IF(AND($H45&gt;2.4,Z45&lt;&gt;"e",Z45&lt;&gt;"f"),CX45*2.4/$H45,CX45),IF($F45&lt;OFFSET($BN$9,CL45+2,0,1,1),IF(AND($H45&gt;2.4,Z45&lt;&gt;"e",Z45&lt;&gt;"f"),CX45*2.4/$H45,CX45),IF($F45&lt;OFFSET($BN$9,CL45+3,0,1,1),IF(AND($H45&gt;2.4,Z45&lt;&gt;"e",Z45&lt;&gt;"f"),CX45*2.4/$H45,CX45),0)))))*COS(RADIANS($G45)))</f>
        <v>0</v>
      </c>
      <c r="CU45" s="51">
        <f ca="1">IF(F45&lt;OFFSET($BM$9,CL45-1,0,1,1),0,IF(F45&lt;OFFSET($BN$9,CL45-1,0,1,1),((F45-OFFSET($BM$9,CL45-1,0,1,1))*OFFSET($CI$9,CL45-1,0,1,1))+OFFSET($BP$9,CL45-1,CQ45,1,1),IF(F45&lt;OFFSET($BN$9,CL45+0,0,1,1),((F45-OFFSET($BM$9,CL45+0,0,1,1))*OFFSET($CI$9,CL45+0,0,1,1))+OFFSET($BP$9,CL45+0,CQ45,1,1),IF(F45&lt;OFFSET($BN$9,CL45+1,0,1,1),((F45-OFFSET($BM$9,CL45+1,0,1,1))*OFFSET($CI$9,CL45+1,0,1,1))+OFFSET($BP$9,CL45+1,CQ45,1,1),IF(F45&lt;OFFSET($BN$9,CL45+2,0,1,1),((F45-OFFSET($BM$9,CL45+2,0,1,1))*OFFSET($CI$9,CL45+2,0,1,1))+OFFSET($BP$9,CL45+2,CQ45,1,1),IF(F45&lt;OFFSET($BN$9,CL45+3,0,1,1),((F45-OFFSET($BM$9,CL45+3,0,1,1))*OFFSET($CI$9,CL45+3,0,1,1))+OFFSET($BP$9,CL45+3,CQ45,1,1),0))))))</f>
        <v>0</v>
      </c>
      <c r="CV45" s="51">
        <f ca="1">IF($F45&lt;OFFSET($BM$9,$CL45-1,0,1,1),0,IF($F45&lt;OFFSET($BN$9,$CL45-1,0,1,1),IF(AND($H45&gt;2.4,Z45&lt;&gt;"e",Z45&lt;&gt;"f"),CZ45*2.4/$H45,CZ45),IF($F45&lt;OFFSET($BN$9,$CL45+0,0,1,1),IF(AND($H45&gt;2.4,Z45&lt;&gt;"e",Z45&lt;&gt;"f"),CZ45*2.4/$H45,CZ45),IF($F45&lt;OFFSET($BN$9,$CL45+1,0,1,1),IF(AND($H45&gt;2.4,Z45&lt;&gt;"e",Z45&lt;&gt;"f"),CZ45*2.4/$H45,CZ45),IF($F45&lt;OFFSET($BN$9,$CL45+2,0,1,1),IF(AND($H45&gt;2.4,Z45&lt;&gt;"e",Z45&lt;&gt;"f"),CZ45*2.4/$H45,CZ45),IF($F45&lt;OFFSET($BN$9,$CL45+3,0,1,1),IF(AND($H45&gt;2.4,Z45&lt;&gt;"e",Z45&lt;&gt;"f"),CZ45*2.4/$H45,CZ45),0)))))*COS(RADIANS($G45)))</f>
        <v>0</v>
      </c>
      <c r="CW45" s="51">
        <f t="shared" ca="1" si="18"/>
        <v>0</v>
      </c>
      <c r="CX45" s="51">
        <f ca="1">IF(CS45&gt;$CR45,$CR45,CS45)</f>
        <v>0</v>
      </c>
      <c r="CY45" s="51">
        <f ca="1">CW45*F45</f>
        <v>0</v>
      </c>
      <c r="CZ45" s="51">
        <f ca="1">IF($CU45&gt;$CR45,$CR45,$CU45)</f>
        <v>0</v>
      </c>
      <c r="DA45" s="51">
        <f ca="1">IF(CV45&gt;CR45,CR45,CV45)</f>
        <v>0</v>
      </c>
      <c r="DB45" s="51">
        <f ca="1">DA45*F45</f>
        <v>0</v>
      </c>
      <c r="DC45" s="993">
        <v>1</v>
      </c>
      <c r="DD45" s="758" t="str">
        <f>IF(OR(D45=BG$12,D45=BG$13),"External",IF(D45=BG$14,"Internal"," "))</f>
        <v xml:space="preserve"> </v>
      </c>
      <c r="DE45" s="51" t="str">
        <f t="shared" ca="1" si="4"/>
        <v/>
      </c>
      <c r="DF45" s="52" t="str">
        <f t="shared" ca="1" si="5"/>
        <v xml:space="preserve"> </v>
      </c>
      <c r="DG45" s="51">
        <f ca="1">IF(F45&lt;OFFSET($BM$9,CN45-1,0,1,1),0,IF(F45&lt;OFFSET($BN$9,CN45-1,0,1,1),((F45-OFFSET($BM$9,CN45-1,0,1,1))*OFFSET($CH$9,CN45-1,0,1,1))+OFFSET($BO$9,CN45-1,CQ45,1,1),IF(F45&lt;OFFSET($BN$9,CN45+0,0,1,1),((F45-OFFSET($BM$9,CN45+0,0,1,1))*OFFSET($CH$9,CN45+0,0,1,1))+OFFSET($BO$9,CN45+0,CQ45,1,1),IF(F45&lt;OFFSET($BN$9,CN45+1,0,1,1),((F45-OFFSET($BM$9,CN45+1,0,1,1))*OFFSET($CH$9,CN45+1,0,1,1))+OFFSET($BO$9,CN45+1,CQ45,1,1),IF(F45&lt;OFFSET($BN$9,CN45+2,0,1,1),((F45-OFFSET($BM$9,CN45+2,0,1,1))*OFFSET($CH$9,CN45+2,0,1,1))+OFFSET($BO$9,CN45+2,CQ45,1,1),IF(F45&lt;OFFSET($BN$9,CN45+3,0,1,1),((F45-OFFSET($BM$9,CN45+3,0,1,1))*OFFSET($CH$9,CN45+3,0,1,1))+OFFSET($BO$9,CN45+3,CQ45,1,1),0))))))</f>
        <v>0</v>
      </c>
      <c r="DH45" s="51">
        <f ca="1">IF($F45&lt;OFFSET($BM$9,$CN45-1,0,1,1),0,IF($F45&lt;OFFSET($BN$9,$CN45-1,0,1,1),IF(AND($H45&gt;2.4,Z45&lt;&gt;"e",Z45&lt;&gt;"f"),DL45*2.4/$H45,DL45),IF($F45&lt;OFFSET($BN$9,$CN45+0,0,1,1),IF(AND($H45&gt;2.4,Z45&lt;&gt;"e",Z45&lt;&gt;"f"),DL45*2.4/$H45,DL45),IF($F45&lt;OFFSET($BN$9,$CN45+1,0,1,1),IF(AND($H45&gt;2.4,Z45&lt;&gt;"e",Z45&lt;&gt;"f"),DL45*2.4/$H45,DL45),IF($F45&lt;OFFSET($BN$9,$CN45+2,0,1,1),IF(AND($H45&gt;2.4,Z45&lt;&gt;"e",Z45&lt;&gt;"f"),DL45*2.4/$H45,DL45),IF($F45&lt;OFFSET($BN$9,$CN45+3,0,1,1),IF(AND($H45&gt;2.4,Z45&lt;&gt;"e",Z45&lt;&gt;"f"),DL45*2.4/$H45,DL45),0)))))*COS(RADIANS($G45)))</f>
        <v>0</v>
      </c>
      <c r="DI45" s="51">
        <f ca="1">IF(F45&lt;OFFSET($BM$9,CN45-1,0,1,1),0,IF(F45&lt;OFFSET($BN$9,CN45-1,0,1,1),((F45-OFFSET($BM$9,CN45-1,0,1,1))*OFFSET($CI$9,CN45-1,0,1,1))+OFFSET($BP$9,CN45-1,CQ45,1,1),IF(F45&lt;OFFSET($BN$9,CN45+0,0,1,1),((F45-OFFSET($BM$9,CN45+0,0,1,1))*OFFSET($CI$9,CN45+0,0,1,1))+OFFSET($BP$9,CN45+0,CQ45,1,1),IF(F45&lt;OFFSET($BN$9,CN45+1,0,1,1),((F45-OFFSET($BM$9,CN45+1,0,1,1))*OFFSET($CI$9,CN45+1,0,1,1))+OFFSET($BP$9,CN45+1,CQ45,1,1),IF(F45&lt;OFFSET($BN$9,CN45+2,0,1,1),((F45-OFFSET($BM$9,CN45+2,0,1,1))*OFFSET($CI$9,CN45+2,0,1,1))+OFFSET($BP$9,CN45+2,CQ45,1,1),IF(F45&lt;OFFSET($BN$9,CN45+3,0,1,1),((F45-OFFSET($BM$9,CN45+3,0,1,1))*OFFSET($CI$9,CN45+3,0,1,1))+OFFSET($BP$9,CN45+3,CQ45,1,1),0))))))</f>
        <v>0</v>
      </c>
      <c r="DJ45" s="51">
        <f ca="1">IF($F45&lt;OFFSET($BM$9,$CN45-1,0,1,1),0,IF($F45&lt;OFFSET($BN$9,$CN45-1,0,1,1),IF(AND($H45&gt;2.4,Z45&lt;&gt;"e",Z45&lt;&gt;"f"),DN45*2.4/$H45,DN45),IF($F45&lt;OFFSET($BN$9,$CN45+0,0,1,1),IF(AND($H45&gt;2.4,Z45&lt;&gt;"e",Z45&lt;&gt;"f"),DN45*2.4/$H45,DN45),IF($F45&lt;OFFSET($BN$9,$CN45+1,0,1,1),IF(AND($H45&gt;2.4,Z45&lt;&gt;"e",Z45&lt;&gt;"f"),DN45*2.4/$H45,DN45),IF($F45&lt;OFFSET($BN$9,$CN45+2,0,1,1),IF(AND($H45&gt;2.4,Z45&lt;&gt;"e",Z45&lt;&gt;"f"),DN45*2.4/$H45,DN45),IF($F45&lt;OFFSET($BN$9,$CN45+3,0,1,1),IF(AND($H45&gt;2.4,Z45&lt;&gt;"e",Z45&lt;&gt;"f"),DN45*2.4/$H45,DN45),0)))))*COS(RADIANS($G45)))</f>
        <v>0</v>
      </c>
      <c r="DK45" s="51"/>
      <c r="DL45" s="51">
        <f ca="1">IF(DG45&gt;$CR45,$CR45,DG45)</f>
        <v>0</v>
      </c>
      <c r="DM45" s="51"/>
      <c r="DN45" s="51">
        <f ca="1">IF(DI45&gt;$CR45,$CR45,DI45)</f>
        <v>0</v>
      </c>
      <c r="DO45" s="435">
        <f ca="1">IF(DH45&gt;$CR45,$CR45,DH45)</f>
        <v>0</v>
      </c>
      <c r="DP45" s="435">
        <f ca="1">DO45*F45</f>
        <v>0</v>
      </c>
      <c r="DQ45" s="436">
        <f ca="1">IF(DJ45&gt;$CR45,$CR45,DJ45)</f>
        <v>0</v>
      </c>
      <c r="DR45" s="437">
        <f ca="1">DQ45*F45</f>
        <v>0</v>
      </c>
      <c r="DS45" s="426">
        <f ca="1">OFFSET($CH$9,CL45-1,-15,1,1)</f>
        <v>0</v>
      </c>
      <c r="DT45" s="426">
        <f t="shared" ca="1" si="36"/>
        <v>0</v>
      </c>
      <c r="DU45" s="188">
        <f ca="1">IF(F45&lt;OFFSET($BM$9,DT45-1,0,1,1),0,IF(F45&lt;OFFSET($BN$9,DT45-1,0,1,1),((F45-OFFSET($BM$9,DT45-1,0,1,1))*OFFSET($CH$9,DT45-1,0,1,1))+OFFSET($BO$9,DT45-1,CQ45,1,1),IF(F45&lt;OFFSET($BN$9,DT45+0,0,1,1),((F45-OFFSET($BM$9,DT45+0,0,1,1))*OFFSET($CH$9,DT45+0,0,1,1))+OFFSET($BO$9,DT45+0,CQ45,1,1),IF(F45&lt;OFFSET($BN$9,DT45+1,0,1,1),((F45-OFFSET($BM$9,DT45+1,0,1,1))*OFFSET($CH$9,DT45+1,0,1,1))+OFFSET($BO$9,DT45+1,CQ45,1,1),IF(F45&lt;OFFSET($BN$9,DT45+2,0,1,1),((F45-OFFSET($BM$9,DT45+2,0,1,1))*OFFSET($CH$9,DT45+2,0,1,1))+OFFSET($BO$9,DT45+2,CQ45,1,1),IF(F45&lt;OFFSET($BN$9,DT45+3,0,1,1),((F45-OFFSET($BM$9,DT45+3,0,1,1))*OFFSET($CH$9,DT45+3,0,1,1))+OFFSET($BO$9,DT45+3,CQ45,1,1),0))))))</f>
        <v>0</v>
      </c>
      <c r="DV45" s="51">
        <f ca="1">IF($F45&lt;OFFSET($BM$9,$DT45-1,0,1,1),0,IF($F45&lt;OFFSET($BN$9,$DT45-1,0,1,1),IF(AND($H45&gt;2.4,Z45&lt;&gt;"e",Z45&lt;&gt;"f"),DZ45*2.4/$H45,DZ45),IF($F45&lt;OFFSET($BN$9,$DT45+0,0,1,1),IF(AND($H45&gt;2.4,Z45&lt;&gt;"e",Z45&lt;&gt;"f"),DZ45*2.4/$H45,DZ45),IF($F45&lt;OFFSET($BN$9,$DT45+1,0,1,1),IF(AND($H45&gt;2.4,Z45&lt;&gt;"e",Z45&lt;&gt;"f"),DZ45*2.4/$H45,DZ45),IF($F45&lt;OFFSET($BN$9,$DT45+2,0,1,1),IF(AND($H45&gt;2.4,Z45&lt;&gt;"e",Z45&lt;&gt;"f"),DZ45*2.4/$H45,DZ45),IF($F45&lt;OFFSET($BN$9,$DT45+3,0,1,1),IF(AND($H45&gt;2.4,Z45&lt;&gt;"e",Z45&lt;&gt;"f"),DZ45*2.4/$H45,DZ45),0)))))*COS(RADIANS($G45)))</f>
        <v>0</v>
      </c>
      <c r="DW45" s="188">
        <f ca="1">IF(F45&lt;OFFSET($BM$9,DT45-1,0,1,1),0,IF(F45&lt;OFFSET($BN$9,DT45-1,0,1,1),((F45-OFFSET($BM$9,DT45-1,0,1,1))*OFFSET($CI$9,DT45-1,0,1,1))+OFFSET($BP$9,DT45-1,CQ45,1,1),IF(F45&lt;OFFSET($BN$9,DT45+0,0,1,1),((F45-OFFSET($BM$9,DT45+0,0,1,1))*OFFSET($CI$9,DT45+0,0,1,1))+OFFSET($BP$9,DT45+0,CQ45,1,1),IF(F45&lt;OFFSET($BN$9,DT45+1,0,1,1),((F45-OFFSET($BM$9,DT45+1,0,1,1))*OFFSET($CI$9,DT45+1,0,1,1))+OFFSET($BP$9,DT45+1,CQ45,1,1),IF(F45&lt;OFFSET($BN$9,DT45+2,0,1,1),((F45-OFFSET($BM$9,DT45+2,0,1,1))*OFFSET($CI$9,DT45+2,0,1,1))+OFFSET($BP$9,DT45+2,CQ45,1,1),IF(F45&lt;OFFSET($BN$9,DT45+3,0,1,1),((F45-OFFSET($BM$9,DT45+3,0,1,1))*OFFSET($CI$9,DT45+3,0,1,1))+OFFSET($BP$9,DT45+3,CQ45,1,1),0))))))</f>
        <v>0</v>
      </c>
      <c r="DX45" s="51">
        <f ca="1">IF($F45&lt;OFFSET($BM$9,$DT45-1,0,1,1),0,IF($F45&lt;OFFSET($BN$9,$DT45-1,0,1,1),IF(AND($H45&gt;2.4,Z45&lt;&gt;"e",Z45&lt;&gt;"f"),EB45*2.4/$H45,EB45),IF($F45&lt;OFFSET($BN$9,$DT45+0,0,1,1),IF(AND($H45&gt;2.4,Z45&lt;&gt;"e",Z45&lt;&gt;"f"),EB45*2.4/$H45,EB45),IF($F45&lt;OFFSET($BN$9,$DT45+1,0,1,1),IF(AND($H45&gt;2.4,Z45&lt;&gt;"e",Z45&lt;&gt;"f"),EB45*2.4/$H45,EB45),IF($F45&lt;OFFSET($BN$9,$DT45+2,0,1,1),IF(AND($H45&gt;2.4,Z45&lt;&gt;"e",Z45&lt;&gt;"f"),EB45*2.4/$H45,EB45),IF($F45&lt;OFFSET($BN$9,$DT45+3,0,1,1),IF(AND($H45&gt;2.4,Z45&lt;&gt;"e",Z45&lt;&gt;"f"),EB45*2.4/$H45,EB45),0)))))*COS(RADIANS($G45)))</f>
        <v>0</v>
      </c>
      <c r="DY45" s="188"/>
      <c r="DZ45" s="188">
        <f ca="1">IF(DU45&gt;$CR45,$CR45,DU45)</f>
        <v>0</v>
      </c>
      <c r="EA45" s="188"/>
      <c r="EB45" s="188">
        <f ca="1">IF(DW45&gt;$CR45,$CR45,DW45)</f>
        <v>0</v>
      </c>
      <c r="EC45" s="435">
        <f ca="1">IF(DV45&gt;$CR45,$CR45,DV45)</f>
        <v>0</v>
      </c>
      <c r="ED45" s="435">
        <f ca="1">EC45*F45</f>
        <v>0</v>
      </c>
      <c r="EE45" s="436">
        <f ca="1">IF(DX45&gt;$CR45,$CR45,DX45)</f>
        <v>0</v>
      </c>
      <c r="EF45" s="437">
        <f ca="1">EE45*F45</f>
        <v>0</v>
      </c>
      <c r="EG45" s="613" t="str">
        <f>IF(D45=BG$12,BG$12,"")</f>
        <v/>
      </c>
      <c r="EH45" s="614" t="str">
        <f>IF(D45=BG$13,BG$13,"")</f>
        <v/>
      </c>
      <c r="EI45" s="611">
        <f>IF(EG45=BG$12,M45,0)</f>
        <v>0</v>
      </c>
      <c r="EJ45" s="451">
        <f>IF(EG45=BG$12,O45,0)</f>
        <v>0</v>
      </c>
      <c r="EK45" s="451">
        <f>IF(EH45=BG$13,M45,0)</f>
        <v>0</v>
      </c>
      <c r="EL45" s="612">
        <f>IF(EH45=BG$13,O45,0)</f>
        <v>0</v>
      </c>
      <c r="EM45" s="426" t="str">
        <f ca="1">IF(AND(Z45&lt;&gt;"t",Z45&lt;&gt;"f"),"",IF(AND(EN45=$BH$11,K45&lt;&gt;EN45),EM$4,IF(AND(EN45=$BH$12,K45=$BH$13),EM$4,IF(AND(EN45=$BH$12,K45=$BH$14),EM$4,IF(AND(EN45=$BH$13,K45=$BH$14),$EM$4,IF(EN45=$BH$14,$EM$4,""))))))</f>
        <v/>
      </c>
      <c r="EN45" s="489" t="str">
        <f>BG$24</f>
        <v>Earth</v>
      </c>
      <c r="EO45" s="426" t="str">
        <f>K45</f>
        <v xml:space="preserve"> </v>
      </c>
      <c r="EP45" s="497" t="str">
        <f ca="1">IF(AND(Z45&lt;&gt;"t",Z45&lt;&gt;"f"),"",IF(AND(EN45=$BH$14,K45&lt;&gt;EN45),EP$4,IF(AND(EN45=$BH$13,K45=$BH$12),EP$4,IF(AND(EN45=$BH$13,K45=$BH$11),EP$4,IF(AND(EN45=$BH$12,K45=$BH$11),$EP$4,IF(EN45=$BH$11,"Earth",""))))))</f>
        <v/>
      </c>
      <c r="EQ45" s="430" t="str">
        <f ca="1">IF(Z45&lt;&gt;"t","",IF(EQ$5=2,IF(K45&lt;&gt;BH$11,EQ$7," ")))</f>
        <v/>
      </c>
      <c r="ER45" s="439" t="str">
        <f ca="1">IF(H45=0," ",H45)</f>
        <v xml:space="preserve"> </v>
      </c>
      <c r="ES45" s="440" t="str">
        <f ca="1">IF(ER45&lt;&gt;" ",IF(ER45&lt;&gt;ER$7,"Changed",""),"")</f>
        <v/>
      </c>
      <c r="ET45" s="440">
        <f t="shared" ca="1" si="19"/>
        <v>0</v>
      </c>
      <c r="EU45" s="426" t="str">
        <f ca="1">IF(I45=" "," ",IF(F45&lt;OFFSET($BM$9,CL45-1,0,1,1),1,""))</f>
        <v xml:space="preserve"> </v>
      </c>
      <c r="EW45" s="427"/>
    </row>
    <row r="46" spans="1:153" ht="17.100000000000001" customHeight="1">
      <c r="A46" s="2685"/>
      <c r="B46" s="689" t="s">
        <v>246</v>
      </c>
      <c r="C46" s="684" t="str">
        <f>IF(OR(F46=0,I46="",I46=" ")," ",$V46)</f>
        <v xml:space="preserve"> </v>
      </c>
      <c r="D46" s="1033"/>
      <c r="E46" s="1360" t="s">
        <v>8</v>
      </c>
      <c r="F46" s="202"/>
      <c r="G46" s="1416"/>
      <c r="H46" s="1417" t="str">
        <f ca="1">IF(OR(F46=0,Z46="E",Z46="f")," ",'Project Demand'!E$55)</f>
        <v xml:space="preserve"> </v>
      </c>
      <c r="I46" s="631" t="str">
        <f>IF($I$6&lt;&gt;$BG$8," ",AB46)</f>
        <v xml:space="preserve"> </v>
      </c>
      <c r="J46" s="44" t="str">
        <f ca="1">IF(OR(I46=" ",I46="")," ",OFFSET($BO$9,CL46-1,0-4,1,1))</f>
        <v xml:space="preserve"> </v>
      </c>
      <c r="K46" s="55" t="str">
        <f>IF(OR(I46=" ",I46="")," ",IF(OR(Z46="e",Z46="h"),"SD",IF(BG$24=BH$11,BH$13,BG$24)))</f>
        <v xml:space="preserve"> </v>
      </c>
      <c r="L46" s="49">
        <f ca="1">CW46</f>
        <v>0</v>
      </c>
      <c r="M46" s="49">
        <f ca="1">CY46</f>
        <v>0</v>
      </c>
      <c r="N46" s="50">
        <f t="shared" ca="1" si="38"/>
        <v>0</v>
      </c>
      <c r="O46" s="126">
        <f t="shared" ca="1" si="38"/>
        <v>0</v>
      </c>
      <c r="P46" s="140"/>
      <c r="Q46" s="752" t="str">
        <f ca="1">IF(AND(OR(Z46="t",Z46="f"),K46=$BH$11),"No Floor!  Change Floor Type",IF(OR(I46=" ",I46="")," ",IF(F46&lt;OFFSET($BM$9,CL46-1,0,1,1),"check L(m)",DE46&amp;IF(AND(DP46&gt;=CY46,DR46&gt;=DB46),IF(AND(ED46&gt;=DP46,EF46&gt;=DR46),CONCATENATE(DS46," will provide same result"),CONCATENATE(CO46," will provide same result")),IF((DP46&gt;=CY46),CONCATENATE(CO46," provides same result in WIND"),IF((DR46&gt;=DB46),CONCATENATE(CO46," provides same result in EQ"),""))))))&amp;IF(ISERROR(FIND("pile",I46,1)),"",IF(INT(F46)&lt;&gt;F46,"Pile!  Use Whole Numbers Only",""))</f>
        <v xml:space="preserve"> </v>
      </c>
      <c r="R46" s="52"/>
      <c r="S46" s="1372"/>
      <c r="T46" s="1372"/>
      <c r="U46" s="1377"/>
      <c r="V46" s="52" t="str">
        <f ca="1">IF(AND(B$5=$BF$9,OR(I46=BH$16,I46=BH$17))," ",IF(ISNUMBER(B$44),(CONCATENATE(B$44,".",W46)),(CONCATENATE(B$44,W46))))</f>
        <v>S0</v>
      </c>
      <c r="W46" s="9">
        <f ca="1">W45+X46</f>
        <v>0</v>
      </c>
      <c r="X46" s="9">
        <f>IF(AND(B$5=$BF$9,OR($I46=$BH$16,$I46=$BH$17,$I46=" ",$I46="",$F46=0)),0,IF(OR($I46=" ",$I46="",$F46=0),0,1))</f>
        <v>0</v>
      </c>
      <c r="Y46" s="896"/>
      <c r="Z46" s="52" t="str">
        <f ca="1">IF(I46=" "," ",OFFSET($BM$9,$CL46-1,8,1,1))</f>
        <v xml:space="preserve"> </v>
      </c>
      <c r="AA46" s="51" t="str">
        <f>IF(G46&gt;=45,"WA","")</f>
        <v/>
      </c>
      <c r="AB46" s="1364" t="str">
        <f>IF(OR(E46=" ",E46="")," ",(IF(F46&lt;&gt;"",IF(OR(D46=$BG$12,D46=$BG$13),IF(E46&lt;&gt;$BG$17,$BF$20,$BF$21),IF(E46&lt;&gt;$BG$17,$BF$20,$BF$21))," ")))</f>
        <v xml:space="preserve"> </v>
      </c>
      <c r="AC46" s="1"/>
      <c r="AJ46" s="2"/>
      <c r="AK46" s="2185"/>
      <c r="AL46" s="1863"/>
      <c r="AM46" s="1863"/>
      <c r="AN46" s="2252"/>
      <c r="AO46" s="2252"/>
      <c r="AP46" s="1244"/>
      <c r="AQ46" s="1863"/>
      <c r="AR46" s="2834"/>
      <c r="AS46" s="2233"/>
      <c r="AT46" s="1164"/>
      <c r="AU46"/>
      <c r="AW46"/>
      <c r="AY46"/>
      <c r="AZ46" s="2233"/>
      <c r="BA46" s="115"/>
      <c r="BB46" s="115"/>
      <c r="BC46" s="115"/>
      <c r="BD46" s="637"/>
      <c r="BF46" s="599" t="str">
        <f>'Custom Elements'!C22</f>
        <v>Custom14</v>
      </c>
      <c r="BI46" s="759"/>
      <c r="BJ46" s="897">
        <f t="shared" si="37"/>
        <v>38</v>
      </c>
      <c r="BK46" s="1224"/>
      <c r="BL46" s="1209"/>
      <c r="BM46" s="969">
        <f>Table!J12</f>
        <v>0.8</v>
      </c>
      <c r="BN46" s="455">
        <f t="shared" si="39"/>
        <v>1</v>
      </c>
      <c r="BO46" s="455">
        <f>Table!K12</f>
        <v>58</v>
      </c>
      <c r="BP46" s="925">
        <f>Table!L12</f>
        <v>53</v>
      </c>
      <c r="BR46" s="1225"/>
      <c r="BS46" s="1212"/>
      <c r="BT46" s="1212"/>
      <c r="BU46" s="1226" t="s">
        <v>242</v>
      </c>
      <c r="BV46" s="895"/>
      <c r="BW46" s="603"/>
      <c r="BX46" s="1226" t="str">
        <f>Table!N11</f>
        <v>Double</v>
      </c>
      <c r="CH46" s="764">
        <f>IF(BN46=999,0,(BO47-BO46)/(BN46-BM46))</f>
        <v>5.0000000000000009</v>
      </c>
      <c r="CI46" s="925">
        <f>IF(BN46=999,0,(BP47-BP46)/(BN46-BM46))</f>
        <v>5.0000000000000009</v>
      </c>
      <c r="CJ46" s="759"/>
      <c r="CK46" s="188"/>
      <c r="CL46" s="979">
        <f>VLOOKUP(I46,Prodlink,2,0)</f>
        <v>0</v>
      </c>
      <c r="CN46" s="497">
        <f t="shared" ca="1" si="35"/>
        <v>0</v>
      </c>
      <c r="CO46" s="497">
        <f ca="1">OFFSET($CH$9,CL46-1,-15,1,1)</f>
        <v>0</v>
      </c>
      <c r="CQ46" s="51">
        <v>0</v>
      </c>
      <c r="CR46" s="51">
        <f t="shared" ca="1" si="40"/>
        <v>10000</v>
      </c>
      <c r="CS46" s="51">
        <f ca="1">IF(F46&lt;OFFSET($BM$9,CL46-1,0,1,1),0,IF(F46&lt;OFFSET($BN$9,CL46-1,0,1,1),((F46-OFFSET($BM$9,CL46-1,0,1,1))*OFFSET($CH$9,CL46-1,0,1,1))+OFFSET($BO$9,CL46-1,CQ46,1,1),IF(F46&lt;OFFSET($BN$9,CL46+0,0,1,1),((F46-OFFSET($BM$9,CL46+0,0,1,1))*OFFSET($CH$9,CL46+0,0,1,1))+OFFSET($BO$9,CL46+0,CQ46,1,1),IF(F46&lt;OFFSET($BN$9,CL46+1,0,1,1),((F46-OFFSET($BM$9,CL46+1,0,1,1))*OFFSET($CH$9,CL46+1,0,1,1))+OFFSET($BO$9,CL46+1,CQ46,1,1),IF(F46&lt;OFFSET($BN$9,CL46+2,0,1,1),((F46-OFFSET($BM$9,CL46+2,0,1,1))*OFFSET($CH$9,CL46+2,0,1,1))+OFFSET($BO$9,CL46+2,CQ46,1,1),IF(F46&lt;OFFSET($BN$9,CL46+3,0,1,1),((F46-OFFSET($BM$9,CL46+3,0,1,1))*OFFSET($CH$9,CL46+3,0,1,1))+OFFSET($BO$9,CL46+3,CQ46,1,1),0))))))</f>
        <v>0</v>
      </c>
      <c r="CT46" s="51">
        <f ca="1">IF($F46&lt;OFFSET($BM$9,$CL46-1,0,1,1),0,IF($F46&lt;OFFSET($BN$9,$CL46-1,0,1,1),IF(AND($H46&gt;2.4,Z46&lt;&gt;"e",Z46&lt;&gt;"f"),CX46*2.4/$H46,CX46),IF($F46&lt;OFFSET($BN$9,$CL46+0,0,1,1),IF(AND($H46&gt;2.4,Z46&lt;&gt;"e",Z46&lt;&gt;"f"),CX46*2.4/$H46,CX46),IF($F46&lt;OFFSET($BN$9,$CL46+1,0,1,1),IF(AND($H46&gt;2.4,Z46&lt;&gt;"e",Z46&lt;&gt;"f"),CX46*2.4/$H46,CX46),IF($F46&lt;OFFSET($BN$9,CL46+2,0,1,1),IF(AND($H46&gt;2.4,Z46&lt;&gt;"e",Z46&lt;&gt;"f"),CX46*2.4/$H46,CX46),IF($F46&lt;OFFSET($BN$9,CL46+3,0,1,1),IF(AND($H46&gt;2.4,Z46&lt;&gt;"e",Z46&lt;&gt;"f"),CX46*2.4/$H46,CX46),0)))))*COS(RADIANS($G46)))</f>
        <v>0</v>
      </c>
      <c r="CU46" s="51">
        <f ca="1">IF(F46&lt;OFFSET($BM$9,CL46-1,0,1,1),0,IF(F46&lt;OFFSET($BN$9,CL46-1,0,1,1),((F46-OFFSET($BM$9,CL46-1,0,1,1))*OFFSET($CI$9,CL46-1,0,1,1))+OFFSET($BP$9,CL46-1,CQ46,1,1),IF(F46&lt;OFFSET($BN$9,CL46+0,0,1,1),((F46-OFFSET($BM$9,CL46+0,0,1,1))*OFFSET($CI$9,CL46+0,0,1,1))+OFFSET($BP$9,CL46+0,CQ46,1,1),IF(F46&lt;OFFSET($BN$9,CL46+1,0,1,1),((F46-OFFSET($BM$9,CL46+1,0,1,1))*OFFSET($CI$9,CL46+1,0,1,1))+OFFSET($BP$9,CL46+1,CQ46,1,1),IF(F46&lt;OFFSET($BN$9,CL46+2,0,1,1),((F46-OFFSET($BM$9,CL46+2,0,1,1))*OFFSET($CI$9,CL46+2,0,1,1))+OFFSET($BP$9,CL46+2,CQ46,1,1),IF(F46&lt;OFFSET($BN$9,CL46+3,0,1,1),((F46-OFFSET($BM$9,CL46+3,0,1,1))*OFFSET($CI$9,CL46+3,0,1,1))+OFFSET($BP$9,CL46+3,CQ46,1,1),0))))))</f>
        <v>0</v>
      </c>
      <c r="CV46" s="51">
        <f ca="1">IF($F46&lt;OFFSET($BM$9,$CL46-1,0,1,1),0,IF($F46&lt;OFFSET($BN$9,$CL46-1,0,1,1),IF(AND($H46&gt;2.4,Z46&lt;&gt;"e",Z46&lt;&gt;"f"),CZ46*2.4/$H46,CZ46),IF($F46&lt;OFFSET($BN$9,$CL46+0,0,1,1),IF(AND($H46&gt;2.4,Z46&lt;&gt;"e",Z46&lt;&gt;"f"),CZ46*2.4/$H46,CZ46),IF($F46&lt;OFFSET($BN$9,$CL46+1,0,1,1),IF(AND($H46&gt;2.4,Z46&lt;&gt;"e",Z46&lt;&gt;"f"),CZ46*2.4/$H46,CZ46),IF($F46&lt;OFFSET($BN$9,$CL46+2,0,1,1),IF(AND($H46&gt;2.4,Z46&lt;&gt;"e",Z46&lt;&gt;"f"),CZ46*2.4/$H46,CZ46),IF($F46&lt;OFFSET($BN$9,$CL46+3,0,1,1),IF(AND($H46&gt;2.4,Z46&lt;&gt;"e",Z46&lt;&gt;"f"),CZ46*2.4/$H46,CZ46),0)))))*COS(RADIANS($G46)))</f>
        <v>0</v>
      </c>
      <c r="CW46" s="51">
        <f t="shared" ca="1" si="18"/>
        <v>0</v>
      </c>
      <c r="CX46" s="51">
        <f ca="1">IF(CS46&gt;$CR46,$CR46,CS46)</f>
        <v>0</v>
      </c>
      <c r="CY46" s="51">
        <f ca="1">CW46*F46</f>
        <v>0</v>
      </c>
      <c r="CZ46" s="51">
        <f ca="1">IF($CU46&gt;$CR46,$CR46,$CU46)</f>
        <v>0</v>
      </c>
      <c r="DA46" s="51">
        <f ca="1">IF(CV46&gt;CR46,CR46,CV46)</f>
        <v>0</v>
      </c>
      <c r="DB46" s="51">
        <f ca="1">DA46*F46</f>
        <v>0</v>
      </c>
      <c r="DC46" s="993">
        <v>1</v>
      </c>
      <c r="DD46" s="758" t="str">
        <f>IF(OR(D46=BG$12,D46=BG$13),"External",IF(D46=BG$14,"Internal"," "))</f>
        <v xml:space="preserve"> </v>
      </c>
      <c r="DE46" s="51" t="str">
        <f t="shared" ca="1" si="4"/>
        <v/>
      </c>
      <c r="DF46" s="52" t="str">
        <f t="shared" ca="1" si="5"/>
        <v xml:space="preserve"> </v>
      </c>
      <c r="DG46" s="51">
        <f ca="1">IF(F46&lt;OFFSET($BM$9,CN46-1,0,1,1),0,IF(F46&lt;OFFSET($BN$9,CN46-1,0,1,1),((F46-OFFSET($BM$9,CN46-1,0,1,1))*OFFSET($CH$9,CN46-1,0,1,1))+OFFSET($BO$9,CN46-1,CQ46,1,1),IF(F46&lt;OFFSET($BN$9,CN46+0,0,1,1),((F46-OFFSET($BM$9,CN46+0,0,1,1))*OFFSET($CH$9,CN46+0,0,1,1))+OFFSET($BO$9,CN46+0,CQ46,1,1),IF(F46&lt;OFFSET($BN$9,CN46+1,0,1,1),((F46-OFFSET($BM$9,CN46+1,0,1,1))*OFFSET($CH$9,CN46+1,0,1,1))+OFFSET($BO$9,CN46+1,CQ46,1,1),IF(F46&lt;OFFSET($BN$9,CN46+2,0,1,1),((F46-OFFSET($BM$9,CN46+2,0,1,1))*OFFSET($CH$9,CN46+2,0,1,1))+OFFSET($BO$9,CN46+2,CQ46,1,1),IF(F46&lt;OFFSET($BN$9,CN46+3,0,1,1),((F46-OFFSET($BM$9,CN46+3,0,1,1))*OFFSET($CH$9,CN46+3,0,1,1))+OFFSET($BO$9,CN46+3,CQ46,1,1),0))))))</f>
        <v>0</v>
      </c>
      <c r="DH46" s="51">
        <f ca="1">IF($F46&lt;OFFSET($BM$9,$CN46-1,0,1,1),0,IF($F46&lt;OFFSET($BN$9,$CN46-1,0,1,1),IF(AND($H46&gt;2.4,Z46&lt;&gt;"e",Z46&lt;&gt;"f"),DL46*2.4/$H46,DL46),IF($F46&lt;OFFSET($BN$9,$CN46+0,0,1,1),IF(AND($H46&gt;2.4,Z46&lt;&gt;"e",Z46&lt;&gt;"f"),DL46*2.4/$H46,DL46),IF($F46&lt;OFFSET($BN$9,$CN46+1,0,1,1),IF(AND($H46&gt;2.4,Z46&lt;&gt;"e",Z46&lt;&gt;"f"),DL46*2.4/$H46,DL46),IF($F46&lt;OFFSET($BN$9,$CN46+2,0,1,1),IF(AND($H46&gt;2.4,Z46&lt;&gt;"e",Z46&lt;&gt;"f"),DL46*2.4/$H46,DL46),IF($F46&lt;OFFSET($BN$9,$CN46+3,0,1,1),IF(AND($H46&gt;2.4,Z46&lt;&gt;"e",Z46&lt;&gt;"f"),DL46*2.4/$H46,DL46),0)))))*COS(RADIANS($G46)))</f>
        <v>0</v>
      </c>
      <c r="DI46" s="51">
        <f ca="1">IF(F46&lt;OFFSET($BM$9,CN46-1,0,1,1),0,IF(F46&lt;OFFSET($BN$9,CN46-1,0,1,1),((F46-OFFSET($BM$9,CN46-1,0,1,1))*OFFSET($CI$9,CN46-1,0,1,1))+OFFSET($BP$9,CN46-1,CQ46,1,1),IF(F46&lt;OFFSET($BN$9,CN46+0,0,1,1),((F46-OFFSET($BM$9,CN46+0,0,1,1))*OFFSET($CI$9,CN46+0,0,1,1))+OFFSET($BP$9,CN46+0,CQ46,1,1),IF(F46&lt;OFFSET($BN$9,CN46+1,0,1,1),((F46-OFFSET($BM$9,CN46+1,0,1,1))*OFFSET($CI$9,CN46+1,0,1,1))+OFFSET($BP$9,CN46+1,CQ46,1,1),IF(F46&lt;OFFSET($BN$9,CN46+2,0,1,1),((F46-OFFSET($BM$9,CN46+2,0,1,1))*OFFSET($CI$9,CN46+2,0,1,1))+OFFSET($BP$9,CN46+2,CQ46,1,1),IF(F46&lt;OFFSET($BN$9,CN46+3,0,1,1),((F46-OFFSET($BM$9,CN46+3,0,1,1))*OFFSET($CI$9,CN46+3,0,1,1))+OFFSET($BP$9,CN46+3,CQ46,1,1),0))))))</f>
        <v>0</v>
      </c>
      <c r="DJ46" s="51">
        <f ca="1">IF($F46&lt;OFFSET($BM$9,$CN46-1,0,1,1),0,IF($F46&lt;OFFSET($BN$9,$CN46-1,0,1,1),IF(AND($H46&gt;2.4,Z46&lt;&gt;"e",Z46&lt;&gt;"f"),DN46*2.4/$H46,DN46),IF($F46&lt;OFFSET($BN$9,$CN46+0,0,1,1),IF(AND($H46&gt;2.4,Z46&lt;&gt;"e",Z46&lt;&gt;"f"),DN46*2.4/$H46,DN46),IF($F46&lt;OFFSET($BN$9,$CN46+1,0,1,1),IF(AND($H46&gt;2.4,Z46&lt;&gt;"e",Z46&lt;&gt;"f"),DN46*2.4/$H46,DN46),IF($F46&lt;OFFSET($BN$9,$CN46+2,0,1,1),IF(AND($H46&gt;2.4,Z46&lt;&gt;"e",Z46&lt;&gt;"f"),DN46*2.4/$H46,DN46),IF($F46&lt;OFFSET($BN$9,$CN46+3,0,1,1),IF(AND($H46&gt;2.4,Z46&lt;&gt;"e",Z46&lt;&gt;"f"),DN46*2.4/$H46,DN46),0)))))*COS(RADIANS($G46)))</f>
        <v>0</v>
      </c>
      <c r="DK46" s="51"/>
      <c r="DL46" s="51">
        <f ca="1">IF(DG46&gt;$CR46,$CR46,DG46)</f>
        <v>0</v>
      </c>
      <c r="DM46" s="51"/>
      <c r="DN46" s="51">
        <f ca="1">IF(DI46&gt;$CR46,$CR46,DI46)</f>
        <v>0</v>
      </c>
      <c r="DO46" s="435">
        <f ca="1">IF(DH46&gt;$CR46,$CR46,DH46)</f>
        <v>0</v>
      </c>
      <c r="DP46" s="435">
        <f ca="1">DO46*F46</f>
        <v>0</v>
      </c>
      <c r="DQ46" s="436">
        <f ca="1">IF(DJ46&gt;$CR46,$CR46,DJ46)</f>
        <v>0</v>
      </c>
      <c r="DR46" s="437">
        <f ca="1">DQ46*F46</f>
        <v>0</v>
      </c>
      <c r="DS46" s="426">
        <f ca="1">OFFSET($CH$9,CL46-1,-15,1,1)</f>
        <v>0</v>
      </c>
      <c r="DT46" s="426">
        <f t="shared" ca="1" si="36"/>
        <v>0</v>
      </c>
      <c r="DU46" s="188">
        <f ca="1">IF(F46&lt;OFFSET($BM$9,DT46-1,0,1,1),0,IF(F46&lt;OFFSET($BN$9,DT46-1,0,1,1),((F46-OFFSET($BM$9,DT46-1,0,1,1))*OFFSET($CH$9,DT46-1,0,1,1))+OFFSET($BO$9,DT46-1,CQ46,1,1),IF(F46&lt;OFFSET($BN$9,DT46+0,0,1,1),((F46-OFFSET($BM$9,DT46+0,0,1,1))*OFFSET($CH$9,DT46+0,0,1,1))+OFFSET($BO$9,DT46+0,CQ46,1,1),IF(F46&lt;OFFSET($BN$9,DT46+1,0,1,1),((F46-OFFSET($BM$9,DT46+1,0,1,1))*OFFSET($CH$9,DT46+1,0,1,1))+OFFSET($BO$9,DT46+1,CQ46,1,1),IF(F46&lt;OFFSET($BN$9,DT46+2,0,1,1),((F46-OFFSET($BM$9,DT46+2,0,1,1))*OFFSET($CH$9,DT46+2,0,1,1))+OFFSET($BO$9,DT46+2,CQ46,1,1),IF(F46&lt;OFFSET($BN$9,DT46+3,0,1,1),((F46-OFFSET($BM$9,DT46+3,0,1,1))*OFFSET($CH$9,DT46+3,0,1,1))+OFFSET($BO$9,DT46+3,CQ46,1,1),0))))))</f>
        <v>0</v>
      </c>
      <c r="DV46" s="51">
        <f ca="1">IF($F46&lt;OFFSET($BM$9,$DT46-1,0,1,1),0,IF($F46&lt;OFFSET($BN$9,$DT46-1,0,1,1),IF(AND($H46&gt;2.4,Z46&lt;&gt;"e",Z46&lt;&gt;"f"),DZ46*2.4/$H46,DZ46),IF($F46&lt;OFFSET($BN$9,$DT46+0,0,1,1),IF(AND($H46&gt;2.4,Z46&lt;&gt;"e",Z46&lt;&gt;"f"),DZ46*2.4/$H46,DZ46),IF($F46&lt;OFFSET($BN$9,$DT46+1,0,1,1),IF(AND($H46&gt;2.4,Z46&lt;&gt;"e",Z46&lt;&gt;"f"),DZ46*2.4/$H46,DZ46),IF($F46&lt;OFFSET($BN$9,$DT46+2,0,1,1),IF(AND($H46&gt;2.4,Z46&lt;&gt;"e",Z46&lt;&gt;"f"),DZ46*2.4/$H46,DZ46),IF($F46&lt;OFFSET($BN$9,$DT46+3,0,1,1),IF(AND($H46&gt;2.4,Z46&lt;&gt;"e",Z46&lt;&gt;"f"),DZ46*2.4/$H46,DZ46),0)))))*COS(RADIANS($G46)))</f>
        <v>0</v>
      </c>
      <c r="DW46" s="188">
        <f ca="1">IF(F46&lt;OFFSET($BM$9,DT46-1,0,1,1),0,IF(F46&lt;OFFSET($BN$9,DT46-1,0,1,1),((F46-OFFSET($BM$9,DT46-1,0,1,1))*OFFSET($CI$9,DT46-1,0,1,1))+OFFSET($BP$9,DT46-1,CQ46,1,1),IF(F46&lt;OFFSET($BN$9,DT46+0,0,1,1),((F46-OFFSET($BM$9,DT46+0,0,1,1))*OFFSET($CI$9,DT46+0,0,1,1))+OFFSET($BP$9,DT46+0,CQ46,1,1),IF(F46&lt;OFFSET($BN$9,DT46+1,0,1,1),((F46-OFFSET($BM$9,DT46+1,0,1,1))*OFFSET($CI$9,DT46+1,0,1,1))+OFFSET($BP$9,DT46+1,CQ46,1,1),IF(F46&lt;OFFSET($BN$9,DT46+2,0,1,1),((F46-OFFSET($BM$9,DT46+2,0,1,1))*OFFSET($CI$9,DT46+2,0,1,1))+OFFSET($BP$9,DT46+2,CQ46,1,1),IF(F46&lt;OFFSET($BN$9,DT46+3,0,1,1),((F46-OFFSET($BM$9,DT46+3,0,1,1))*OFFSET($CI$9,DT46+3,0,1,1))+OFFSET($BP$9,DT46+3,CQ46,1,1),0))))))</f>
        <v>0</v>
      </c>
      <c r="DX46" s="51">
        <f ca="1">IF($F46&lt;OFFSET($BM$9,$DT46-1,0,1,1),0,IF($F46&lt;OFFSET($BN$9,$DT46-1,0,1,1),IF(AND($H46&gt;2.4,Z46&lt;&gt;"e",Z46&lt;&gt;"f"),EB46*2.4/$H46,EB46),IF($F46&lt;OFFSET($BN$9,$DT46+0,0,1,1),IF(AND($H46&gt;2.4,Z46&lt;&gt;"e",Z46&lt;&gt;"f"),EB46*2.4/$H46,EB46),IF($F46&lt;OFFSET($BN$9,$DT46+1,0,1,1),IF(AND($H46&gt;2.4,Z46&lt;&gt;"e",Z46&lt;&gt;"f"),EB46*2.4/$H46,EB46),IF($F46&lt;OFFSET($BN$9,$DT46+2,0,1,1),IF(AND($H46&gt;2.4,Z46&lt;&gt;"e",Z46&lt;&gt;"f"),EB46*2.4/$H46,EB46),IF($F46&lt;OFFSET($BN$9,$DT46+3,0,1,1),IF(AND($H46&gt;2.4,Z46&lt;&gt;"e",Z46&lt;&gt;"f"),EB46*2.4/$H46,EB46),0)))))*COS(RADIANS($G46)))</f>
        <v>0</v>
      </c>
      <c r="DY46" s="188"/>
      <c r="DZ46" s="188">
        <f ca="1">IF(DU46&gt;$CR46,$CR46,DU46)</f>
        <v>0</v>
      </c>
      <c r="EA46" s="188"/>
      <c r="EB46" s="188">
        <f ca="1">IF(DW46&gt;$CR46,$CR46,DW46)</f>
        <v>0</v>
      </c>
      <c r="EC46" s="435">
        <f ca="1">IF(DV46&gt;$CR46,$CR46,DV46)</f>
        <v>0</v>
      </c>
      <c r="ED46" s="435">
        <f ca="1">EC46*F46</f>
        <v>0</v>
      </c>
      <c r="EE46" s="436">
        <f ca="1">IF(DX46&gt;$CR46,$CR46,DX46)</f>
        <v>0</v>
      </c>
      <c r="EF46" s="437">
        <f ca="1">EE46*F46</f>
        <v>0</v>
      </c>
      <c r="EG46" s="613" t="str">
        <f>IF(D46=BG$12,BG$12,"")</f>
        <v/>
      </c>
      <c r="EH46" s="614" t="str">
        <f>IF(D46=BG$13,BG$13,"")</f>
        <v/>
      </c>
      <c r="EI46" s="611">
        <f>IF(EG46=BG$12,M46,0)</f>
        <v>0</v>
      </c>
      <c r="EJ46" s="451">
        <f>IF(EG46=BG$12,O46,0)</f>
        <v>0</v>
      </c>
      <c r="EK46" s="451">
        <f>IF(EH46=BG$13,M46,0)</f>
        <v>0</v>
      </c>
      <c r="EL46" s="612">
        <f>IF(EH46=BG$13,O46,0)</f>
        <v>0</v>
      </c>
      <c r="EM46" s="426" t="str">
        <f ca="1">IF(AND(Z46&lt;&gt;"t",Z46&lt;&gt;"f"),"",IF(AND(EN46=$BH$11,K46&lt;&gt;EN46),EM$4,IF(AND(EN46=$BH$12,K46=$BH$13),EM$4,IF(AND(EN46=$BH$12,K46=$BH$14),EM$4,IF(AND(EN46=$BH$13,K46=$BH$14),$EM$4,IF(EN46=$BH$14,$EM$4,""))))))</f>
        <v/>
      </c>
      <c r="EN46" s="489" t="str">
        <f>BG$24</f>
        <v>Earth</v>
      </c>
      <c r="EO46" s="426" t="str">
        <f>K46</f>
        <v xml:space="preserve"> </v>
      </c>
      <c r="EP46" s="497" t="str">
        <f ca="1">IF(AND(Z46&lt;&gt;"t",Z46&lt;&gt;"f"),"",IF(AND(EN46=$BH$14,K46&lt;&gt;EN46),EP$4,IF(AND(EN46=$BH$13,K46=$BH$12),EP$4,IF(AND(EN46=$BH$13,K46=$BH$11),EP$4,IF(AND(EN46=$BH$12,K46=$BH$11),$EP$4,IF(EN46=$BH$11,"Earth",""))))))</f>
        <v/>
      </c>
      <c r="EQ46" s="430" t="str">
        <f ca="1">IF(Z46&lt;&gt;"t","",IF(EQ$5=2,IF(K46&lt;&gt;BH$11,EQ$7," ")))</f>
        <v/>
      </c>
      <c r="ER46" s="439" t="str">
        <f ca="1">IF(H46=0," ",H46)</f>
        <v xml:space="preserve"> </v>
      </c>
      <c r="ES46" s="440" t="str">
        <f ca="1">IF(ER46&lt;&gt;" ",IF(ER46&lt;&gt;ER$7,"Changed",""),"")</f>
        <v/>
      </c>
      <c r="ET46" s="440">
        <f t="shared" ca="1" si="19"/>
        <v>0</v>
      </c>
      <c r="EU46" s="426" t="str">
        <f ca="1">IF(I46=" "," ",IF(F46&lt;OFFSET($BM$9,CL46-1,0,1,1),1,""))</f>
        <v xml:space="preserve"> </v>
      </c>
      <c r="EW46" s="427"/>
    </row>
    <row r="47" spans="1:153" ht="17.100000000000001" customHeight="1">
      <c r="A47" s="2685"/>
      <c r="B47" s="689" t="s">
        <v>246</v>
      </c>
      <c r="C47" s="684" t="str">
        <f>IF(OR(F47=0,I47="",I47=" ")," ",$V47)</f>
        <v xml:space="preserve"> </v>
      </c>
      <c r="D47" s="1033"/>
      <c r="E47" s="1360" t="s">
        <v>8</v>
      </c>
      <c r="F47" s="202"/>
      <c r="G47" s="1416"/>
      <c r="H47" s="1417" t="str">
        <f ca="1">IF(OR(F47=0,Z47="E",Z47="f")," ",'Project Demand'!E$55)</f>
        <v xml:space="preserve"> </v>
      </c>
      <c r="I47" s="631" t="str">
        <f>IF($I$6&lt;&gt;$BG$8," ",AB47)</f>
        <v xml:space="preserve"> </v>
      </c>
      <c r="J47" s="44" t="str">
        <f ca="1">IF(OR(I47=" ",I47="")," ",OFFSET($BO$9,CL47-1,0-4,1,1))</f>
        <v xml:space="preserve"> </v>
      </c>
      <c r="K47" s="55" t="str">
        <f>IF(OR(I47=" ",I47="")," ",IF(OR(Z47="e",Z47="h"),"SD",IF(BG$24=BH$11,BH$13,BG$24)))</f>
        <v xml:space="preserve"> </v>
      </c>
      <c r="L47" s="49">
        <f ca="1">CW47</f>
        <v>0</v>
      </c>
      <c r="M47" s="49">
        <f ca="1">CY47</f>
        <v>0</v>
      </c>
      <c r="N47" s="50">
        <f t="shared" ca="1" si="38"/>
        <v>0</v>
      </c>
      <c r="O47" s="126">
        <f t="shared" ca="1" si="38"/>
        <v>0</v>
      </c>
      <c r="P47" s="140"/>
      <c r="Q47" s="752" t="str">
        <f ca="1">IF(AND(OR(Z47="t",Z47="f"),K47=$BH$11),"No Floor!  Change Floor Type",IF(OR(I47=" ",I47="")," ",IF(F47&lt;OFFSET($BM$9,CL47-1,0,1,1),"check L(m)",DE47&amp;IF(AND(DP47&gt;=CY47,DR47&gt;=DB47),IF(AND(ED47&gt;=DP47,EF47&gt;=DR47),CONCATENATE(DS47," will provide same result"),CONCATENATE(CO47," will provide same result")),IF((DP47&gt;=CY47),CONCATENATE(CO47," provides same result in WIND"),IF((DR47&gt;=DB47),CONCATENATE(CO47," provides same result in EQ"),""))))))&amp;IF(ISERROR(FIND("pile",I47,1)),"",IF(INT(F47)&lt;&gt;F47,"Pile!  Use Whole Numbers Only",""))</f>
        <v xml:space="preserve"> </v>
      </c>
      <c r="R47" s="52"/>
      <c r="S47" s="1372"/>
      <c r="T47" s="1372"/>
      <c r="U47" s="1377"/>
      <c r="V47" s="52" t="str">
        <f ca="1">IF(AND(B$5=$BF$9,OR(I47=BH$16,I47=BH$17))," ",IF(ISNUMBER(B$44),(CONCATENATE(B$44,".",W47)),(CONCATENATE(B$44,W47))))</f>
        <v>S0</v>
      </c>
      <c r="W47" s="9">
        <f ca="1">W46+X47</f>
        <v>0</v>
      </c>
      <c r="X47" s="9">
        <f>IF(AND(B$5=$BF$9,OR($I47=$BH$16,$I47=$BH$17,$I47=" ",$I47="",$F47=0)),0,IF(OR($I47=" ",$I47="",$F47=0),0,1))</f>
        <v>0</v>
      </c>
      <c r="Y47" s="896"/>
      <c r="Z47" s="52" t="str">
        <f ca="1">IF(I47=" "," ",OFFSET($BM$9,$CL47-1,8,1,1))</f>
        <v xml:space="preserve"> </v>
      </c>
      <c r="AA47" s="51" t="str">
        <f>IF(G47&gt;=45,"WA","")</f>
        <v/>
      </c>
      <c r="AB47" s="1364" t="str">
        <f>IF(OR(E47=" ",E47="")," ",(IF(F47&lt;&gt;"",IF(OR(D47=$BG$12,D47=$BG$13),IF(E47&lt;&gt;$BG$17,$BF$20,$BF$21),IF(E47&lt;&gt;$BG$17,$BF$20,$BF$21))," ")))</f>
        <v xml:space="preserve"> </v>
      </c>
      <c r="AC47" s="1"/>
      <c r="AJ47" s="2"/>
      <c r="AK47" s="2822"/>
      <c r="AL47" s="2812"/>
      <c r="AM47" s="2812"/>
      <c r="AN47" s="2902"/>
      <c r="AO47" s="2902"/>
      <c r="AP47" s="1244"/>
      <c r="AQ47" s="2812"/>
      <c r="AR47" s="2907"/>
      <c r="AS47" s="2796"/>
      <c r="AT47" s="1164"/>
      <c r="AU47"/>
      <c r="AW47"/>
      <c r="AY47"/>
      <c r="AZ47" s="2796"/>
      <c r="BA47" s="47"/>
      <c r="BB47" s="47"/>
      <c r="BC47" s="47"/>
      <c r="BD47" s="638"/>
      <c r="BF47" s="599" t="str">
        <f>'Custom Elements'!C23</f>
        <v>Custom15</v>
      </c>
      <c r="BI47" s="759"/>
      <c r="BJ47" s="897">
        <f t="shared" si="37"/>
        <v>39</v>
      </c>
      <c r="BK47" s="1224"/>
      <c r="BL47" s="1209"/>
      <c r="BM47" s="969">
        <f>Table!J13</f>
        <v>1</v>
      </c>
      <c r="BN47" s="455">
        <f t="shared" si="39"/>
        <v>1.2</v>
      </c>
      <c r="BO47" s="455">
        <f>Table!K13</f>
        <v>59</v>
      </c>
      <c r="BP47" s="925">
        <f>Table!L13</f>
        <v>54</v>
      </c>
      <c r="BR47" s="1225"/>
      <c r="BS47" s="1212"/>
      <c r="BT47" s="1212"/>
      <c r="BU47" s="1226" t="s">
        <v>242</v>
      </c>
      <c r="BV47" s="895"/>
      <c r="BW47" s="603"/>
      <c r="BX47" s="1226" t="str">
        <f>Table!N11</f>
        <v>Double</v>
      </c>
      <c r="CH47" s="764">
        <f>IF(BN47=999,0,(BO48-BO47)/(BN47-BM47))</f>
        <v>5.0000000000000009</v>
      </c>
      <c r="CI47" s="925">
        <f>IF(BN47=999,0,(BP48-BP47)/(BN47-BM47))</f>
        <v>5.0000000000000009</v>
      </c>
      <c r="CJ47" s="759"/>
      <c r="CK47" s="188"/>
      <c r="CL47" s="979">
        <f>VLOOKUP(I47,Prodlink,2,0)</f>
        <v>0</v>
      </c>
      <c r="CN47" s="497">
        <f t="shared" ca="1" si="35"/>
        <v>0</v>
      </c>
      <c r="CO47" s="497">
        <f ca="1">OFFSET($CH$9,CL47-1,-15,1,1)</f>
        <v>0</v>
      </c>
      <c r="CQ47" s="51">
        <v>0</v>
      </c>
      <c r="CR47" s="51">
        <f t="shared" ca="1" si="40"/>
        <v>10000</v>
      </c>
      <c r="CS47" s="51">
        <f ca="1">IF(F47&lt;OFFSET($BM$9,CL47-1,0,1,1),0,IF(F47&lt;OFFSET($BN$9,CL47-1,0,1,1),((F47-OFFSET($BM$9,CL47-1,0,1,1))*OFFSET($CH$9,CL47-1,0,1,1))+OFFSET($BO$9,CL47-1,CQ47,1,1),IF(F47&lt;OFFSET($BN$9,CL47+0,0,1,1),((F47-OFFSET($BM$9,CL47+0,0,1,1))*OFFSET($CH$9,CL47+0,0,1,1))+OFFSET($BO$9,CL47+0,CQ47,1,1),IF(F47&lt;OFFSET($BN$9,CL47+1,0,1,1),((F47-OFFSET($BM$9,CL47+1,0,1,1))*OFFSET($CH$9,CL47+1,0,1,1))+OFFSET($BO$9,CL47+1,CQ47,1,1),IF(F47&lt;OFFSET($BN$9,CL47+2,0,1,1),((F47-OFFSET($BM$9,CL47+2,0,1,1))*OFFSET($CH$9,CL47+2,0,1,1))+OFFSET($BO$9,CL47+2,CQ47,1,1),IF(F47&lt;OFFSET($BN$9,CL47+3,0,1,1),((F47-OFFSET($BM$9,CL47+3,0,1,1))*OFFSET($CH$9,CL47+3,0,1,1))+OFFSET($BO$9,CL47+3,CQ47,1,1),0))))))</f>
        <v>0</v>
      </c>
      <c r="CT47" s="51">
        <f ca="1">IF($F47&lt;OFFSET($BM$9,$CL47-1,0,1,1),0,IF($F47&lt;OFFSET($BN$9,$CL47-1,0,1,1),IF(AND($H47&gt;2.4,Z47&lt;&gt;"e",Z47&lt;&gt;"f"),CX47*2.4/$H47,CX47),IF($F47&lt;OFFSET($BN$9,$CL47+0,0,1,1),IF(AND($H47&gt;2.4,Z47&lt;&gt;"e",Z47&lt;&gt;"f"),CX47*2.4/$H47,CX47),IF($F47&lt;OFFSET($BN$9,$CL47+1,0,1,1),IF(AND($H47&gt;2.4,Z47&lt;&gt;"e",Z47&lt;&gt;"f"),CX47*2.4/$H47,CX47),IF($F47&lt;OFFSET($BN$9,CL47+2,0,1,1),IF(AND($H47&gt;2.4,Z47&lt;&gt;"e",Z47&lt;&gt;"f"),CX47*2.4/$H47,CX47),IF($F47&lt;OFFSET($BN$9,CL47+3,0,1,1),IF(AND($H47&gt;2.4,Z47&lt;&gt;"e",Z47&lt;&gt;"f"),CX47*2.4/$H47,CX47),0)))))*COS(RADIANS($G47)))</f>
        <v>0</v>
      </c>
      <c r="CU47" s="51">
        <f ca="1">IF(F47&lt;OFFSET($BM$9,CL47-1,0,1,1),0,IF(F47&lt;OFFSET($BN$9,CL47-1,0,1,1),((F47-OFFSET($BM$9,CL47-1,0,1,1))*OFFSET($CI$9,CL47-1,0,1,1))+OFFSET($BP$9,CL47-1,CQ47,1,1),IF(F47&lt;OFFSET($BN$9,CL47+0,0,1,1),((F47-OFFSET($BM$9,CL47+0,0,1,1))*OFFSET($CI$9,CL47+0,0,1,1))+OFFSET($BP$9,CL47+0,CQ47,1,1),IF(F47&lt;OFFSET($BN$9,CL47+1,0,1,1),((F47-OFFSET($BM$9,CL47+1,0,1,1))*OFFSET($CI$9,CL47+1,0,1,1))+OFFSET($BP$9,CL47+1,CQ47,1,1),IF(F47&lt;OFFSET($BN$9,CL47+2,0,1,1),((F47-OFFSET($BM$9,CL47+2,0,1,1))*OFFSET($CI$9,CL47+2,0,1,1))+OFFSET($BP$9,CL47+2,CQ47,1,1),IF(F47&lt;OFFSET($BN$9,CL47+3,0,1,1),((F47-OFFSET($BM$9,CL47+3,0,1,1))*OFFSET($CI$9,CL47+3,0,1,1))+OFFSET($BP$9,CL47+3,CQ47,1,1),0))))))</f>
        <v>0</v>
      </c>
      <c r="CV47" s="51">
        <f ca="1">IF($F47&lt;OFFSET($BM$9,$CL47-1,0,1,1),0,IF($F47&lt;OFFSET($BN$9,$CL47-1,0,1,1),IF(AND($H47&gt;2.4,Z47&lt;&gt;"e",Z47&lt;&gt;"f"),CZ47*2.4/$H47,CZ47),IF($F47&lt;OFFSET($BN$9,$CL47+0,0,1,1),IF(AND($H47&gt;2.4,Z47&lt;&gt;"e",Z47&lt;&gt;"f"),CZ47*2.4/$H47,CZ47),IF($F47&lt;OFFSET($BN$9,$CL47+1,0,1,1),IF(AND($H47&gt;2.4,Z47&lt;&gt;"e",Z47&lt;&gt;"f"),CZ47*2.4/$H47,CZ47),IF($F47&lt;OFFSET($BN$9,$CL47+2,0,1,1),IF(AND($H47&gt;2.4,Z47&lt;&gt;"e",Z47&lt;&gt;"f"),CZ47*2.4/$H47,CZ47),IF($F47&lt;OFFSET($BN$9,$CL47+3,0,1,1),IF(AND($H47&gt;2.4,Z47&lt;&gt;"e",Z47&lt;&gt;"f"),CZ47*2.4/$H47,CZ47),0)))))*COS(RADIANS($G47)))</f>
        <v>0</v>
      </c>
      <c r="CW47" s="51">
        <f t="shared" ca="1" si="18"/>
        <v>0</v>
      </c>
      <c r="CX47" s="51">
        <f ca="1">IF(CS47&gt;$CR47,$CR47,CS47)</f>
        <v>0</v>
      </c>
      <c r="CY47" s="51">
        <f ca="1">CW47*F47</f>
        <v>0</v>
      </c>
      <c r="CZ47" s="51">
        <f ca="1">IF($CU47&gt;$CR47,$CR47,$CU47)</f>
        <v>0</v>
      </c>
      <c r="DA47" s="51">
        <f ca="1">IF(CV47&gt;CR47,CR47,CV47)</f>
        <v>0</v>
      </c>
      <c r="DB47" s="51">
        <f ca="1">DA47*F47</f>
        <v>0</v>
      </c>
      <c r="DC47" s="993">
        <v>1</v>
      </c>
      <c r="DD47" s="758" t="str">
        <f>IF(OR(D47=BG$12,D47=BG$13),"External",IF(D47=BG$14,"Internal"," "))</f>
        <v xml:space="preserve"> </v>
      </c>
      <c r="DE47" s="51" t="str">
        <f t="shared" ca="1" si="4"/>
        <v/>
      </c>
      <c r="DF47" s="52" t="str">
        <f t="shared" ca="1" si="5"/>
        <v xml:space="preserve"> </v>
      </c>
      <c r="DG47" s="51">
        <f ca="1">IF(F47&lt;OFFSET($BM$9,CN47-1,0,1,1),0,IF(F47&lt;OFFSET($BN$9,CN47-1,0,1,1),((F47-OFFSET($BM$9,CN47-1,0,1,1))*OFFSET($CH$9,CN47-1,0,1,1))+OFFSET($BO$9,CN47-1,CQ47,1,1),IF(F47&lt;OFFSET($BN$9,CN47+0,0,1,1),((F47-OFFSET($BM$9,CN47+0,0,1,1))*OFFSET($CH$9,CN47+0,0,1,1))+OFFSET($BO$9,CN47+0,CQ47,1,1),IF(F47&lt;OFFSET($BN$9,CN47+1,0,1,1),((F47-OFFSET($BM$9,CN47+1,0,1,1))*OFFSET($CH$9,CN47+1,0,1,1))+OFFSET($BO$9,CN47+1,CQ47,1,1),IF(F47&lt;OFFSET($BN$9,CN47+2,0,1,1),((F47-OFFSET($BM$9,CN47+2,0,1,1))*OFFSET($CH$9,CN47+2,0,1,1))+OFFSET($BO$9,CN47+2,CQ47,1,1),IF(F47&lt;OFFSET($BN$9,CN47+3,0,1,1),((F47-OFFSET($BM$9,CN47+3,0,1,1))*OFFSET($CH$9,CN47+3,0,1,1))+OFFSET($BO$9,CN47+3,CQ47,1,1),0))))))</f>
        <v>0</v>
      </c>
      <c r="DH47" s="51">
        <f ca="1">IF($F47&lt;OFFSET($BM$9,$CN47-1,0,1,1),0,IF($F47&lt;OFFSET($BN$9,$CN47-1,0,1,1),IF(AND($H47&gt;2.4,Z47&lt;&gt;"e",Z47&lt;&gt;"f"),DL47*2.4/$H47,DL47),IF($F47&lt;OFFSET($BN$9,$CN47+0,0,1,1),IF(AND($H47&gt;2.4,Z47&lt;&gt;"e",Z47&lt;&gt;"f"),DL47*2.4/$H47,DL47),IF($F47&lt;OFFSET($BN$9,$CN47+1,0,1,1),IF(AND($H47&gt;2.4,Z47&lt;&gt;"e",Z47&lt;&gt;"f"),DL47*2.4/$H47,DL47),IF($F47&lt;OFFSET($BN$9,$CN47+2,0,1,1),IF(AND($H47&gt;2.4,Z47&lt;&gt;"e",Z47&lt;&gt;"f"),DL47*2.4/$H47,DL47),IF($F47&lt;OFFSET($BN$9,$CN47+3,0,1,1),IF(AND($H47&gt;2.4,Z47&lt;&gt;"e",Z47&lt;&gt;"f"),DL47*2.4/$H47,DL47),0)))))*COS(RADIANS($G47)))</f>
        <v>0</v>
      </c>
      <c r="DI47" s="51">
        <f ca="1">IF(F47&lt;OFFSET($BM$9,CN47-1,0,1,1),0,IF(F47&lt;OFFSET($BN$9,CN47-1,0,1,1),((F47-OFFSET($BM$9,CN47-1,0,1,1))*OFFSET($CI$9,CN47-1,0,1,1))+OFFSET($BP$9,CN47-1,CQ47,1,1),IF(F47&lt;OFFSET($BN$9,CN47+0,0,1,1),((F47-OFFSET($BM$9,CN47+0,0,1,1))*OFFSET($CI$9,CN47+0,0,1,1))+OFFSET($BP$9,CN47+0,CQ47,1,1),IF(F47&lt;OFFSET($BN$9,CN47+1,0,1,1),((F47-OFFSET($BM$9,CN47+1,0,1,1))*OFFSET($CI$9,CN47+1,0,1,1))+OFFSET($BP$9,CN47+1,CQ47,1,1),IF(F47&lt;OFFSET($BN$9,CN47+2,0,1,1),((F47-OFFSET($BM$9,CN47+2,0,1,1))*OFFSET($CI$9,CN47+2,0,1,1))+OFFSET($BP$9,CN47+2,CQ47,1,1),IF(F47&lt;OFFSET($BN$9,CN47+3,0,1,1),((F47-OFFSET($BM$9,CN47+3,0,1,1))*OFFSET($CI$9,CN47+3,0,1,1))+OFFSET($BP$9,CN47+3,CQ47,1,1),0))))))</f>
        <v>0</v>
      </c>
      <c r="DJ47" s="51">
        <f ca="1">IF($F47&lt;OFFSET($BM$9,$CN47-1,0,1,1),0,IF($F47&lt;OFFSET($BN$9,$CN47-1,0,1,1),IF(AND($H47&gt;2.4,Z47&lt;&gt;"e",Z47&lt;&gt;"f"),DN47*2.4/$H47,DN47),IF($F47&lt;OFFSET($BN$9,$CN47+0,0,1,1),IF(AND($H47&gt;2.4,Z47&lt;&gt;"e",Z47&lt;&gt;"f"),DN47*2.4/$H47,DN47),IF($F47&lt;OFFSET($BN$9,$CN47+1,0,1,1),IF(AND($H47&gt;2.4,Z47&lt;&gt;"e",Z47&lt;&gt;"f"),DN47*2.4/$H47,DN47),IF($F47&lt;OFFSET($BN$9,$CN47+2,0,1,1),IF(AND($H47&gt;2.4,Z47&lt;&gt;"e",Z47&lt;&gt;"f"),DN47*2.4/$H47,DN47),IF($F47&lt;OFFSET($BN$9,$CN47+3,0,1,1),IF(AND($H47&gt;2.4,Z47&lt;&gt;"e",Z47&lt;&gt;"f"),DN47*2.4/$H47,DN47),0)))))*COS(RADIANS($G47)))</f>
        <v>0</v>
      </c>
      <c r="DK47" s="51"/>
      <c r="DL47" s="51">
        <f ca="1">IF(DG47&gt;$CR47,$CR47,DG47)</f>
        <v>0</v>
      </c>
      <c r="DM47" s="51"/>
      <c r="DN47" s="51">
        <f ca="1">IF(DI47&gt;$CR47,$CR47,DI47)</f>
        <v>0</v>
      </c>
      <c r="DO47" s="435">
        <f ca="1">IF(DH47&gt;$CR47,$CR47,DH47)</f>
        <v>0</v>
      </c>
      <c r="DP47" s="435">
        <f ca="1">DO47*F47</f>
        <v>0</v>
      </c>
      <c r="DQ47" s="436">
        <f ca="1">IF(DJ47&gt;$CR47,$CR47,DJ47)</f>
        <v>0</v>
      </c>
      <c r="DR47" s="437">
        <f ca="1">DQ47*F47</f>
        <v>0</v>
      </c>
      <c r="DS47" s="426">
        <f ca="1">OFFSET($CH$9,CL47-1,-15,1,1)</f>
        <v>0</v>
      </c>
      <c r="DT47" s="426">
        <f t="shared" ca="1" si="36"/>
        <v>0</v>
      </c>
      <c r="DU47" s="188">
        <f ca="1">IF(F47&lt;OFFSET($BM$9,DT47-1,0,1,1),0,IF(F47&lt;OFFSET($BN$9,DT47-1,0,1,1),((F47-OFFSET($BM$9,DT47-1,0,1,1))*OFFSET($CH$9,DT47-1,0,1,1))+OFFSET($BO$9,DT47-1,CQ47,1,1),IF(F47&lt;OFFSET($BN$9,DT47+0,0,1,1),((F47-OFFSET($BM$9,DT47+0,0,1,1))*OFFSET($CH$9,DT47+0,0,1,1))+OFFSET($BO$9,DT47+0,CQ47,1,1),IF(F47&lt;OFFSET($BN$9,DT47+1,0,1,1),((F47-OFFSET($BM$9,DT47+1,0,1,1))*OFFSET($CH$9,DT47+1,0,1,1))+OFFSET($BO$9,DT47+1,CQ47,1,1),IF(F47&lt;OFFSET($BN$9,DT47+2,0,1,1),((F47-OFFSET($BM$9,DT47+2,0,1,1))*OFFSET($CH$9,DT47+2,0,1,1))+OFFSET($BO$9,DT47+2,CQ47,1,1),IF(F47&lt;OFFSET($BN$9,DT47+3,0,1,1),((F47-OFFSET($BM$9,DT47+3,0,1,1))*OFFSET($CH$9,DT47+3,0,1,1))+OFFSET($BO$9,DT47+3,CQ47,1,1),0))))))</f>
        <v>0</v>
      </c>
      <c r="DV47" s="51">
        <f ca="1">IF($F47&lt;OFFSET($BM$9,$DT47-1,0,1,1),0,IF($F47&lt;OFFSET($BN$9,$DT47-1,0,1,1),IF(AND($H47&gt;2.4,Z47&lt;&gt;"e",Z47&lt;&gt;"f"),DZ47*2.4/$H47,DZ47),IF($F47&lt;OFFSET($BN$9,$DT47+0,0,1,1),IF(AND($H47&gt;2.4,Z47&lt;&gt;"e",Z47&lt;&gt;"f"),DZ47*2.4/$H47,DZ47),IF($F47&lt;OFFSET($BN$9,$DT47+1,0,1,1),IF(AND($H47&gt;2.4,Z47&lt;&gt;"e",Z47&lt;&gt;"f"),DZ47*2.4/$H47,DZ47),IF($F47&lt;OFFSET($BN$9,$DT47+2,0,1,1),IF(AND($H47&gt;2.4,Z47&lt;&gt;"e",Z47&lt;&gt;"f"),DZ47*2.4/$H47,DZ47),IF($F47&lt;OFFSET($BN$9,$DT47+3,0,1,1),IF(AND($H47&gt;2.4,Z47&lt;&gt;"e",Z47&lt;&gt;"f"),DZ47*2.4/$H47,DZ47),0)))))*COS(RADIANS($G47)))</f>
        <v>0</v>
      </c>
      <c r="DW47" s="188">
        <f ca="1">IF(F47&lt;OFFSET($BM$9,DT47-1,0,1,1),0,IF(F47&lt;OFFSET($BN$9,DT47-1,0,1,1),((F47-OFFSET($BM$9,DT47-1,0,1,1))*OFFSET($CI$9,DT47-1,0,1,1))+OFFSET($BP$9,DT47-1,CQ47,1,1),IF(F47&lt;OFFSET($BN$9,DT47+0,0,1,1),((F47-OFFSET($BM$9,DT47+0,0,1,1))*OFFSET($CI$9,DT47+0,0,1,1))+OFFSET($BP$9,DT47+0,CQ47,1,1),IF(F47&lt;OFFSET($BN$9,DT47+1,0,1,1),((F47-OFFSET($BM$9,DT47+1,0,1,1))*OFFSET($CI$9,DT47+1,0,1,1))+OFFSET($BP$9,DT47+1,CQ47,1,1),IF(F47&lt;OFFSET($BN$9,DT47+2,0,1,1),((F47-OFFSET($BM$9,DT47+2,0,1,1))*OFFSET($CI$9,DT47+2,0,1,1))+OFFSET($BP$9,DT47+2,CQ47,1,1),IF(F47&lt;OFFSET($BN$9,DT47+3,0,1,1),((F47-OFFSET($BM$9,DT47+3,0,1,1))*OFFSET($CI$9,DT47+3,0,1,1))+OFFSET($BP$9,DT47+3,CQ47,1,1),0))))))</f>
        <v>0</v>
      </c>
      <c r="DX47" s="51">
        <f ca="1">IF($F47&lt;OFFSET($BM$9,$DT47-1,0,1,1),0,IF($F47&lt;OFFSET($BN$9,$DT47-1,0,1,1),IF(AND($H47&gt;2.4,Z47&lt;&gt;"e",Z47&lt;&gt;"f"),EB47*2.4/$H47,EB47),IF($F47&lt;OFFSET($BN$9,$DT47+0,0,1,1),IF(AND($H47&gt;2.4,Z47&lt;&gt;"e",Z47&lt;&gt;"f"),EB47*2.4/$H47,EB47),IF($F47&lt;OFFSET($BN$9,$DT47+1,0,1,1),IF(AND($H47&gt;2.4,Z47&lt;&gt;"e",Z47&lt;&gt;"f"),EB47*2.4/$H47,EB47),IF($F47&lt;OFFSET($BN$9,$DT47+2,0,1,1),IF(AND($H47&gt;2.4,Z47&lt;&gt;"e",Z47&lt;&gt;"f"),EB47*2.4/$H47,EB47),IF($F47&lt;OFFSET($BN$9,$DT47+3,0,1,1),IF(AND($H47&gt;2.4,Z47&lt;&gt;"e",Z47&lt;&gt;"f"),EB47*2.4/$H47,EB47),0)))))*COS(RADIANS($G47)))</f>
        <v>0</v>
      </c>
      <c r="DY47" s="188"/>
      <c r="DZ47" s="188">
        <f ca="1">IF(DU47&gt;$CR47,$CR47,DU47)</f>
        <v>0</v>
      </c>
      <c r="EA47" s="188"/>
      <c r="EB47" s="188">
        <f ca="1">IF(DW47&gt;$CR47,$CR47,DW47)</f>
        <v>0</v>
      </c>
      <c r="EC47" s="435">
        <f ca="1">IF(DV47&gt;$CR47,$CR47,DV47)</f>
        <v>0</v>
      </c>
      <c r="ED47" s="435">
        <f ca="1">EC47*F47</f>
        <v>0</v>
      </c>
      <c r="EE47" s="436">
        <f ca="1">IF(DX47&gt;$CR47,$CR47,DX47)</f>
        <v>0</v>
      </c>
      <c r="EF47" s="437">
        <f ca="1">EE47*F47</f>
        <v>0</v>
      </c>
      <c r="EG47" s="613" t="str">
        <f>IF(D47=BG$12,BG$12,"")</f>
        <v/>
      </c>
      <c r="EH47" s="614" t="str">
        <f>IF(D47=BG$13,BG$13,"")</f>
        <v/>
      </c>
      <c r="EI47" s="611">
        <f>IF(EG47=BG$12,M47,0)</f>
        <v>0</v>
      </c>
      <c r="EJ47" s="451">
        <f>IF(EG47=BG$12,O47,0)</f>
        <v>0</v>
      </c>
      <c r="EK47" s="451">
        <f>IF(EH47=BG$13,M47,0)</f>
        <v>0</v>
      </c>
      <c r="EL47" s="612">
        <f>IF(EH47=BG$13,O47,0)</f>
        <v>0</v>
      </c>
      <c r="EM47" s="426" t="str">
        <f ca="1">IF(AND(Z47&lt;&gt;"t",Z47&lt;&gt;"f"),"",IF(AND(EN47=$BH$11,K47&lt;&gt;EN47),EM$4,IF(AND(EN47=$BH$12,K47=$BH$13),EM$4,IF(AND(EN47=$BH$12,K47=$BH$14),EM$4,IF(AND(EN47=$BH$13,K47=$BH$14),$EM$4,IF(EN47=$BH$14,$EM$4,""))))))</f>
        <v/>
      </c>
      <c r="EN47" s="489" t="str">
        <f>BG$24</f>
        <v>Earth</v>
      </c>
      <c r="EO47" s="426" t="str">
        <f>K47</f>
        <v xml:space="preserve"> </v>
      </c>
      <c r="EP47" s="497" t="str">
        <f ca="1">IF(AND(Z47&lt;&gt;"t",Z47&lt;&gt;"f"),"",IF(AND(EN47=$BH$14,K47&lt;&gt;EN47),EP$4,IF(AND(EN47=$BH$13,K47=$BH$12),EP$4,IF(AND(EN47=$BH$13,K47=$BH$11),EP$4,IF(AND(EN47=$BH$12,K47=$BH$11),$EP$4,IF(EN47=$BH$11,"Earth",""))))))</f>
        <v/>
      </c>
      <c r="EQ47" s="430" t="str">
        <f ca="1">IF(Z47&lt;&gt;"t","",IF(EQ$5=2,IF(K47&lt;&gt;BH$11,EQ$7," ")))</f>
        <v/>
      </c>
      <c r="ER47" s="439" t="str">
        <f ca="1">IF(H47=0," ",H47)</f>
        <v xml:space="preserve"> </v>
      </c>
      <c r="ES47" s="440" t="str">
        <f ca="1">IF(ER47&lt;&gt;" ",IF(ER47&lt;&gt;ER$7,"Changed",""),"")</f>
        <v/>
      </c>
      <c r="ET47" s="440">
        <f t="shared" ca="1" si="19"/>
        <v>0</v>
      </c>
      <c r="EU47" s="426" t="str">
        <f ca="1">IF(I47=" "," ",IF(F47&lt;OFFSET($BM$9,CL47-1,0,1,1),1,""))</f>
        <v xml:space="preserve"> </v>
      </c>
      <c r="EW47" s="427"/>
    </row>
    <row r="48" spans="1:153" ht="17.100000000000001" customHeight="1" thickBot="1">
      <c r="A48" s="2685"/>
      <c r="B48" s="689" t="s">
        <v>246</v>
      </c>
      <c r="C48" s="684" t="str">
        <f>IF(OR(F48=0,I48="",I48=" ")," ",$V48)</f>
        <v xml:space="preserve"> </v>
      </c>
      <c r="D48" s="1033"/>
      <c r="E48" s="1360" t="s">
        <v>8</v>
      </c>
      <c r="F48" s="202"/>
      <c r="G48" s="1416"/>
      <c r="H48" s="1417" t="str">
        <f ca="1">IF(OR(F48=0,Z48="E",Z48="f")," ",'Project Demand'!E$55)</f>
        <v xml:space="preserve"> </v>
      </c>
      <c r="I48" s="631" t="str">
        <f>IF($I$6&lt;&gt;$BG$8," ",AB48)</f>
        <v xml:space="preserve"> </v>
      </c>
      <c r="J48" s="44" t="str">
        <f ca="1">IF(OR(I48=" ",I48="")," ",OFFSET($BO$9,CL48-1,0-4,1,1))</f>
        <v xml:space="preserve"> </v>
      </c>
      <c r="K48" s="55" t="str">
        <f>IF(OR(I48=" ",I48="")," ",IF(OR(Z48="e",Z48="h"),"SD",IF(BG$24=BH$11,BH$13,BG$24)))</f>
        <v xml:space="preserve"> </v>
      </c>
      <c r="L48" s="49">
        <f ca="1">CW48</f>
        <v>0</v>
      </c>
      <c r="M48" s="49">
        <f ca="1">CY48</f>
        <v>0</v>
      </c>
      <c r="N48" s="50">
        <f t="shared" ca="1" si="38"/>
        <v>0</v>
      </c>
      <c r="O48" s="126">
        <f t="shared" ca="1" si="38"/>
        <v>0</v>
      </c>
      <c r="P48" s="140"/>
      <c r="Q48" s="752" t="str">
        <f ca="1">IF(AND(OR(Z48="t",Z48="f"),K48=$BH$11),"No Floor!  Change Floor Type",IF(OR(I48=" ",I48="")," ",IF(F48&lt;OFFSET($BM$9,CL48-1,0,1,1),"check L(m)",DE48&amp;IF(AND(DP48&gt;=CY48,DR48&gt;=DB48),IF(AND(ED48&gt;=DP48,EF48&gt;=DR48),CONCATENATE(DS48," will provide same result"),CONCATENATE(CO48," will provide same result")),IF((DP48&gt;=CY48),CONCATENATE(CO48," provides same result in WIND"),IF((DR48&gt;=DB48),CONCATENATE(CO48," provides same result in EQ"),""))))))&amp;IF(ISERROR(FIND("pile",I48,1)),"",IF(INT(F48)&lt;&gt;F48,"Pile!  Use Whole Numbers Only",""))</f>
        <v xml:space="preserve"> </v>
      </c>
      <c r="R48" s="52"/>
      <c r="S48" s="1372"/>
      <c r="T48" s="1372"/>
      <c r="U48" s="1377"/>
      <c r="V48" s="52" t="str">
        <f ca="1">IF(AND(B$5=$BF$9,OR(I48=BH$16,I48=BH$17))," ",IF(ISNUMBER(B$44),(CONCATENATE(B$44,".",W48)),(CONCATENATE(B$44,W48))))</f>
        <v>S0</v>
      </c>
      <c r="W48" s="9">
        <f ca="1">W47+X48</f>
        <v>0</v>
      </c>
      <c r="X48" s="9">
        <f>IF(AND(B$5=$BF$9,OR($I48=$BH$16,$I48=$BH$17,$I48=" ",$I48="",$F48=0)),0,IF(OR($I48=" ",$I48="",$F48=0),0,1))</f>
        <v>0</v>
      </c>
      <c r="Y48" s="896"/>
      <c r="Z48" s="52" t="str">
        <f ca="1">IF(I48=" "," ",OFFSET($BM$9,$CL48-1,8,1,1))</f>
        <v xml:space="preserve"> </v>
      </c>
      <c r="AA48" s="51" t="str">
        <f>IF(G48&gt;=45,"WA","")</f>
        <v/>
      </c>
      <c r="AB48" s="1364" t="str">
        <f>IF(OR(E48=" ",E48="")," ",(IF(F48&lt;&gt;"",IF(OR(D48=$BG$12,D48=$BG$13),IF(E48&lt;&gt;$BG$17,$BF$20,$BF$21),IF(E48&lt;&gt;$BG$17,$BF$20,$BF$21))," ")))</f>
        <v xml:space="preserve"> </v>
      </c>
      <c r="AC48" s="1"/>
      <c r="AJ48" s="2"/>
      <c r="AK48" s="63" t="str">
        <f>'Custom Elements'!B9</f>
        <v xml:space="preserve">  </v>
      </c>
      <c r="AL48" s="860" t="str">
        <f>'Custom Elements'!C9</f>
        <v>Custom1</v>
      </c>
      <c r="AM48" s="11">
        <f>'Custom Elements'!D9</f>
        <v>9.9999999999999996E-76</v>
      </c>
      <c r="AN48" s="7">
        <f>'Custom Elements'!E9</f>
        <v>0</v>
      </c>
      <c r="AO48" s="7">
        <f>'Custom Elements'!F9</f>
        <v>0</v>
      </c>
      <c r="AP48" s="762" t="str">
        <f>'Custom Elements'!G9</f>
        <v>B</v>
      </c>
      <c r="AQ48" s="1777" t="str">
        <f>'Custom Elements'!H9</f>
        <v>Single</v>
      </c>
      <c r="AR48" s="1775" t="str">
        <f>'Custom Elements'!I9</f>
        <v>Yes</v>
      </c>
      <c r="AS48" s="442" t="str">
        <f>'Custom Elements'!J9</f>
        <v>Yes</v>
      </c>
      <c r="AT48" s="1150"/>
      <c r="AU48"/>
      <c r="AW48"/>
      <c r="AY48"/>
      <c r="AZ48" s="442" t="str">
        <f>IF(AND('Custom Elements'!J9="Yes",'Custom Elements'!I9="Yes"),"T",IF('Custom Elements'!J9="Yes","F",IF('Custom Elements'!I9="Yes","H","E")))</f>
        <v>T</v>
      </c>
      <c r="BA48" s="47"/>
      <c r="BB48" s="47"/>
      <c r="BC48" s="47"/>
      <c r="BD48" s="638"/>
      <c r="BF48" s="599" t="str">
        <f>'Custom Elements'!C24</f>
        <v>Custom16</v>
      </c>
      <c r="BI48" s="759"/>
      <c r="BJ48" s="897">
        <f t="shared" si="37"/>
        <v>40</v>
      </c>
      <c r="BK48" s="1223"/>
      <c r="BL48" s="1208"/>
      <c r="BM48" s="1211">
        <f>Table!J14</f>
        <v>1.2</v>
      </c>
      <c r="BN48" s="776">
        <v>999</v>
      </c>
      <c r="BO48" s="776">
        <f>Table!K14</f>
        <v>60</v>
      </c>
      <c r="BP48" s="926">
        <f>Table!L14</f>
        <v>55</v>
      </c>
      <c r="BQ48" s="1183"/>
      <c r="BR48" s="908"/>
      <c r="BS48" s="776"/>
      <c r="BT48" s="776"/>
      <c r="BU48" s="926" t="s">
        <v>242</v>
      </c>
      <c r="BV48" s="433"/>
      <c r="BW48" s="1184"/>
      <c r="BX48" s="926" t="str">
        <f>Table!N11</f>
        <v>Double</v>
      </c>
      <c r="CH48" s="908">
        <f>IF(BN48=999,0,(BO49-BO48)/(BN48-BM48))</f>
        <v>0</v>
      </c>
      <c r="CI48" s="926">
        <f>IF(BN48=999,0,(BP49-BP48)/(BN48-BM48))</f>
        <v>0</v>
      </c>
      <c r="CJ48" s="759"/>
      <c r="CK48" s="188"/>
      <c r="CL48" s="979">
        <f>VLOOKUP(I48,Prodlink,2,0)</f>
        <v>0</v>
      </c>
      <c r="CN48" s="497">
        <f t="shared" ca="1" si="35"/>
        <v>0</v>
      </c>
      <c r="CO48" s="497">
        <f ca="1">OFFSET($CH$9,CL48-1,-15,1,1)</f>
        <v>0</v>
      </c>
      <c r="CQ48" s="51">
        <v>0</v>
      </c>
      <c r="CR48" s="51">
        <f t="shared" ca="1" si="40"/>
        <v>10000</v>
      </c>
      <c r="CS48" s="51">
        <f ca="1">IF(F48&lt;OFFSET($BM$9,CL48-1,0,1,1),0,IF(F48&lt;OFFSET($BN$9,CL48-1,0,1,1),((F48-OFFSET($BM$9,CL48-1,0,1,1))*OFFSET($CH$9,CL48-1,0,1,1))+OFFSET($BO$9,CL48-1,CQ48,1,1),IF(F48&lt;OFFSET($BN$9,CL48+0,0,1,1),((F48-OFFSET($BM$9,CL48+0,0,1,1))*OFFSET($CH$9,CL48+0,0,1,1))+OFFSET($BO$9,CL48+0,CQ48,1,1),IF(F48&lt;OFFSET($BN$9,CL48+1,0,1,1),((F48-OFFSET($BM$9,CL48+1,0,1,1))*OFFSET($CH$9,CL48+1,0,1,1))+OFFSET($BO$9,CL48+1,CQ48,1,1),IF(F48&lt;OFFSET($BN$9,CL48+2,0,1,1),((F48-OFFSET($BM$9,CL48+2,0,1,1))*OFFSET($CH$9,CL48+2,0,1,1))+OFFSET($BO$9,CL48+2,CQ48,1,1),IF(F48&lt;OFFSET($BN$9,CL48+3,0,1,1),((F48-OFFSET($BM$9,CL48+3,0,1,1))*OFFSET($CH$9,CL48+3,0,1,1))+OFFSET($BO$9,CL48+3,CQ48,1,1),0))))))</f>
        <v>0</v>
      </c>
      <c r="CT48" s="51">
        <f ca="1">IF($F48&lt;OFFSET($BM$9,$CL48-1,0,1,1),0,IF($F48&lt;OFFSET($BN$9,$CL48-1,0,1,1),IF(AND($H48&gt;2.4,Z48&lt;&gt;"e",Z48&lt;&gt;"f"),CX48*2.4/$H48,CX48),IF($F48&lt;OFFSET($BN$9,$CL48+0,0,1,1),IF(AND($H48&gt;2.4,Z48&lt;&gt;"e",Z48&lt;&gt;"f"),CX48*2.4/$H48,CX48),IF($F48&lt;OFFSET($BN$9,$CL48+1,0,1,1),IF(AND($H48&gt;2.4,Z48&lt;&gt;"e",Z48&lt;&gt;"f"),CX48*2.4/$H48,CX48),IF($F48&lt;OFFSET($BN$9,CL48+2,0,1,1),IF(AND($H48&gt;2.4,Z48&lt;&gt;"e",Z48&lt;&gt;"f"),CX48*2.4/$H48,CX48),IF($F48&lt;OFFSET($BN$9,CL48+3,0,1,1),IF(AND($H48&gt;2.4,Z48&lt;&gt;"e",Z48&lt;&gt;"f"),CX48*2.4/$H48,CX48),0)))))*COS(RADIANS($G48)))</f>
        <v>0</v>
      </c>
      <c r="CU48" s="51">
        <f ca="1">IF(F48&lt;OFFSET($BM$9,CL48-1,0,1,1),0,IF(F48&lt;OFFSET($BN$9,CL48-1,0,1,1),((F48-OFFSET($BM$9,CL48-1,0,1,1))*OFFSET($CI$9,CL48-1,0,1,1))+OFFSET($BP$9,CL48-1,CQ48,1,1),IF(F48&lt;OFFSET($BN$9,CL48+0,0,1,1),((F48-OFFSET($BM$9,CL48+0,0,1,1))*OFFSET($CI$9,CL48+0,0,1,1))+OFFSET($BP$9,CL48+0,CQ48,1,1),IF(F48&lt;OFFSET($BN$9,CL48+1,0,1,1),((F48-OFFSET($BM$9,CL48+1,0,1,1))*OFFSET($CI$9,CL48+1,0,1,1))+OFFSET($BP$9,CL48+1,CQ48,1,1),IF(F48&lt;OFFSET($BN$9,CL48+2,0,1,1),((F48-OFFSET($BM$9,CL48+2,0,1,1))*OFFSET($CI$9,CL48+2,0,1,1))+OFFSET($BP$9,CL48+2,CQ48,1,1),IF(F48&lt;OFFSET($BN$9,CL48+3,0,1,1),((F48-OFFSET($BM$9,CL48+3,0,1,1))*OFFSET($CI$9,CL48+3,0,1,1))+OFFSET($BP$9,CL48+3,CQ48,1,1),0))))))</f>
        <v>0</v>
      </c>
      <c r="CV48" s="51">
        <f ca="1">IF($F48&lt;OFFSET($BM$9,$CL48-1,0,1,1),0,IF($F48&lt;OFFSET($BN$9,$CL48-1,0,1,1),IF(AND($H48&gt;2.4,Z48&lt;&gt;"e",Z48&lt;&gt;"f"),CZ48*2.4/$H48,CZ48),IF($F48&lt;OFFSET($BN$9,$CL48+0,0,1,1),IF(AND($H48&gt;2.4,Z48&lt;&gt;"e",Z48&lt;&gt;"f"),CZ48*2.4/$H48,CZ48),IF($F48&lt;OFFSET($BN$9,$CL48+1,0,1,1),IF(AND($H48&gt;2.4,Z48&lt;&gt;"e",Z48&lt;&gt;"f"),CZ48*2.4/$H48,CZ48),IF($F48&lt;OFFSET($BN$9,$CL48+2,0,1,1),IF(AND($H48&gt;2.4,Z48&lt;&gt;"e",Z48&lt;&gt;"f"),CZ48*2.4/$H48,CZ48),IF($F48&lt;OFFSET($BN$9,$CL48+3,0,1,1),IF(AND($H48&gt;2.4,Z48&lt;&gt;"e",Z48&lt;&gt;"f"),CZ48*2.4/$H48,CZ48),0)))))*COS(RADIANS($G48)))</f>
        <v>0</v>
      </c>
      <c r="CW48" s="51">
        <f t="shared" ca="1" si="18"/>
        <v>0</v>
      </c>
      <c r="CX48" s="51">
        <f ca="1">IF(CS48&gt;$CR48,$CR48,CS48)</f>
        <v>0</v>
      </c>
      <c r="CY48" s="51">
        <f ca="1">CW48*F48</f>
        <v>0</v>
      </c>
      <c r="CZ48" s="51">
        <f ca="1">IF($CU48&gt;$CR48,$CR48,$CU48)</f>
        <v>0</v>
      </c>
      <c r="DA48" s="51">
        <f ca="1">IF(CV48&gt;CR48,CR48,CV48)</f>
        <v>0</v>
      </c>
      <c r="DB48" s="51">
        <f ca="1">DA48*F48</f>
        <v>0</v>
      </c>
      <c r="DC48" s="993">
        <v>1</v>
      </c>
      <c r="DD48" s="758" t="str">
        <f>IF(OR(D48=BG$12,D48=BG$13),"External",IF(D48=BG$14,"Internal"," "))</f>
        <v xml:space="preserve"> </v>
      </c>
      <c r="DE48" s="51" t="str">
        <f t="shared" ca="1" si="4"/>
        <v/>
      </c>
      <c r="DF48" s="52" t="str">
        <f t="shared" ca="1" si="5"/>
        <v xml:space="preserve"> </v>
      </c>
      <c r="DG48" s="51">
        <f ca="1">IF(F48&lt;OFFSET($BM$9,CN48-1,0,1,1),0,IF(F48&lt;OFFSET($BN$9,CN48-1,0,1,1),((F48-OFFSET($BM$9,CN48-1,0,1,1))*OFFSET($CH$9,CN48-1,0,1,1))+OFFSET($BO$9,CN48-1,CQ48,1,1),IF(F48&lt;OFFSET($BN$9,CN48+0,0,1,1),((F48-OFFSET($BM$9,CN48+0,0,1,1))*OFFSET($CH$9,CN48+0,0,1,1))+OFFSET($BO$9,CN48+0,CQ48,1,1),IF(F48&lt;OFFSET($BN$9,CN48+1,0,1,1),((F48-OFFSET($BM$9,CN48+1,0,1,1))*OFFSET($CH$9,CN48+1,0,1,1))+OFFSET($BO$9,CN48+1,CQ48,1,1),IF(F48&lt;OFFSET($BN$9,CN48+2,0,1,1),((F48-OFFSET($BM$9,CN48+2,0,1,1))*OFFSET($CH$9,CN48+2,0,1,1))+OFFSET($BO$9,CN48+2,CQ48,1,1),IF(F48&lt;OFFSET($BN$9,CN48+3,0,1,1),((F48-OFFSET($BM$9,CN48+3,0,1,1))*OFFSET($CH$9,CN48+3,0,1,1))+OFFSET($BO$9,CN48+3,CQ48,1,1),0))))))</f>
        <v>0</v>
      </c>
      <c r="DH48" s="51">
        <f ca="1">IF($F48&lt;OFFSET($BM$9,$CN48-1,0,1,1),0,IF($F48&lt;OFFSET($BN$9,$CN48-1,0,1,1),IF(AND($H48&gt;2.4,Z48&lt;&gt;"e",Z48&lt;&gt;"f"),DL48*2.4/$H48,DL48),IF($F48&lt;OFFSET($BN$9,$CN48+0,0,1,1),IF(AND($H48&gt;2.4,Z48&lt;&gt;"e",Z48&lt;&gt;"f"),DL48*2.4/$H48,DL48),IF($F48&lt;OFFSET($BN$9,$CN48+1,0,1,1),IF(AND($H48&gt;2.4,Z48&lt;&gt;"e",Z48&lt;&gt;"f"),DL48*2.4/$H48,DL48),IF($F48&lt;OFFSET($BN$9,$CN48+2,0,1,1),IF(AND($H48&gt;2.4,Z48&lt;&gt;"e",Z48&lt;&gt;"f"),DL48*2.4/$H48,DL48),IF($F48&lt;OFFSET($BN$9,$CN48+3,0,1,1),IF(AND($H48&gt;2.4,Z48&lt;&gt;"e",Z48&lt;&gt;"f"),DL48*2.4/$H48,DL48),0)))))*COS(RADIANS($G48)))</f>
        <v>0</v>
      </c>
      <c r="DI48" s="51">
        <f ca="1">IF(F48&lt;OFFSET($BM$9,CN48-1,0,1,1),0,IF(F48&lt;OFFSET($BN$9,CN48-1,0,1,1),((F48-OFFSET($BM$9,CN48-1,0,1,1))*OFFSET($CI$9,CN48-1,0,1,1))+OFFSET($BP$9,CN48-1,CQ48,1,1),IF(F48&lt;OFFSET($BN$9,CN48+0,0,1,1),((F48-OFFSET($BM$9,CN48+0,0,1,1))*OFFSET($CI$9,CN48+0,0,1,1))+OFFSET($BP$9,CN48+0,CQ48,1,1),IF(F48&lt;OFFSET($BN$9,CN48+1,0,1,1),((F48-OFFSET($BM$9,CN48+1,0,1,1))*OFFSET($CI$9,CN48+1,0,1,1))+OFFSET($BP$9,CN48+1,CQ48,1,1),IF(F48&lt;OFFSET($BN$9,CN48+2,0,1,1),((F48-OFFSET($BM$9,CN48+2,0,1,1))*OFFSET($CI$9,CN48+2,0,1,1))+OFFSET($BP$9,CN48+2,CQ48,1,1),IF(F48&lt;OFFSET($BN$9,CN48+3,0,1,1),((F48-OFFSET($BM$9,CN48+3,0,1,1))*OFFSET($CI$9,CN48+3,0,1,1))+OFFSET($BP$9,CN48+3,CQ48,1,1),0))))))</f>
        <v>0</v>
      </c>
      <c r="DJ48" s="51">
        <f ca="1">IF($F48&lt;OFFSET($BM$9,$CN48-1,0,1,1),0,IF($F48&lt;OFFSET($BN$9,$CN48-1,0,1,1),IF(AND($H48&gt;2.4,Z48&lt;&gt;"e",Z48&lt;&gt;"f"),DN48*2.4/$H48,DN48),IF($F48&lt;OFFSET($BN$9,$CN48+0,0,1,1),IF(AND($H48&gt;2.4,Z48&lt;&gt;"e",Z48&lt;&gt;"f"),DN48*2.4/$H48,DN48),IF($F48&lt;OFFSET($BN$9,$CN48+1,0,1,1),IF(AND($H48&gt;2.4,Z48&lt;&gt;"e",Z48&lt;&gt;"f"),DN48*2.4/$H48,DN48),IF($F48&lt;OFFSET($BN$9,$CN48+2,0,1,1),IF(AND($H48&gt;2.4,Z48&lt;&gt;"e",Z48&lt;&gt;"f"),DN48*2.4/$H48,DN48),IF($F48&lt;OFFSET($BN$9,$CN48+3,0,1,1),IF(AND($H48&gt;2.4,Z48&lt;&gt;"e",Z48&lt;&gt;"f"),DN48*2.4/$H48,DN48),0)))))*COS(RADIANS($G48)))</f>
        <v>0</v>
      </c>
      <c r="DK48" s="51"/>
      <c r="DL48" s="51">
        <f ca="1">IF(DG48&gt;$CR48,$CR48,DG48)</f>
        <v>0</v>
      </c>
      <c r="DM48" s="51"/>
      <c r="DN48" s="51">
        <f ca="1">IF(DI48&gt;$CR48,$CR48,DI48)</f>
        <v>0</v>
      </c>
      <c r="DO48" s="435">
        <f ca="1">IF(DH48&gt;$CR48,$CR48,DH48)</f>
        <v>0</v>
      </c>
      <c r="DP48" s="435">
        <f ca="1">DO48*F48</f>
        <v>0</v>
      </c>
      <c r="DQ48" s="436">
        <f ca="1">IF(DJ48&gt;$CR48,$CR48,DJ48)</f>
        <v>0</v>
      </c>
      <c r="DR48" s="437">
        <f ca="1">DQ48*F48</f>
        <v>0</v>
      </c>
      <c r="DS48" s="426">
        <f ca="1">OFFSET($CH$9,CL48-1,-15,1,1)</f>
        <v>0</v>
      </c>
      <c r="DT48" s="426">
        <f t="shared" ca="1" si="36"/>
        <v>0</v>
      </c>
      <c r="DU48" s="188">
        <f ca="1">IF(F48&lt;OFFSET($BM$9,DT48-1,0,1,1),0,IF(F48&lt;OFFSET($BN$9,DT48-1,0,1,1),((F48-OFFSET($BM$9,DT48-1,0,1,1))*OFFSET($CH$9,DT48-1,0,1,1))+OFFSET($BO$9,DT48-1,CQ48,1,1),IF(F48&lt;OFFSET($BN$9,DT48+0,0,1,1),((F48-OFFSET($BM$9,DT48+0,0,1,1))*OFFSET($CH$9,DT48+0,0,1,1))+OFFSET($BO$9,DT48+0,CQ48,1,1),IF(F48&lt;OFFSET($BN$9,DT48+1,0,1,1),((F48-OFFSET($BM$9,DT48+1,0,1,1))*OFFSET($CH$9,DT48+1,0,1,1))+OFFSET($BO$9,DT48+1,CQ48,1,1),IF(F48&lt;OFFSET($BN$9,DT48+2,0,1,1),((F48-OFFSET($BM$9,DT48+2,0,1,1))*OFFSET($CH$9,DT48+2,0,1,1))+OFFSET($BO$9,DT48+2,CQ48,1,1),IF(F48&lt;OFFSET($BN$9,DT48+3,0,1,1),((F48-OFFSET($BM$9,DT48+3,0,1,1))*OFFSET($CH$9,DT48+3,0,1,1))+OFFSET($BO$9,DT48+3,CQ48,1,1),0))))))</f>
        <v>0</v>
      </c>
      <c r="DV48" s="51">
        <f ca="1">IF($F48&lt;OFFSET($BM$9,$DT48-1,0,1,1),0,IF($F48&lt;OFFSET($BN$9,$DT48-1,0,1,1),IF(AND($H48&gt;2.4,Z48&lt;&gt;"e",Z48&lt;&gt;"f"),DZ48*2.4/$H48,DZ48),IF($F48&lt;OFFSET($BN$9,$DT48+0,0,1,1),IF(AND($H48&gt;2.4,Z48&lt;&gt;"e",Z48&lt;&gt;"f"),DZ48*2.4/$H48,DZ48),IF($F48&lt;OFFSET($BN$9,$DT48+1,0,1,1),IF(AND($H48&gt;2.4,Z48&lt;&gt;"e",Z48&lt;&gt;"f"),DZ48*2.4/$H48,DZ48),IF($F48&lt;OFFSET($BN$9,$DT48+2,0,1,1),IF(AND($H48&gt;2.4,Z48&lt;&gt;"e",Z48&lt;&gt;"f"),DZ48*2.4/$H48,DZ48),IF($F48&lt;OFFSET($BN$9,$DT48+3,0,1,1),IF(AND($H48&gt;2.4,Z48&lt;&gt;"e",Z48&lt;&gt;"f"),DZ48*2.4/$H48,DZ48),0)))))*COS(RADIANS($G48)))</f>
        <v>0</v>
      </c>
      <c r="DW48" s="188">
        <f ca="1">IF(F48&lt;OFFSET($BM$9,DT48-1,0,1,1),0,IF(F48&lt;OFFSET($BN$9,DT48-1,0,1,1),((F48-OFFSET($BM$9,DT48-1,0,1,1))*OFFSET($CI$9,DT48-1,0,1,1))+OFFSET($BP$9,DT48-1,CQ48,1,1),IF(F48&lt;OFFSET($BN$9,DT48+0,0,1,1),((F48-OFFSET($BM$9,DT48+0,0,1,1))*OFFSET($CI$9,DT48+0,0,1,1))+OFFSET($BP$9,DT48+0,CQ48,1,1),IF(F48&lt;OFFSET($BN$9,DT48+1,0,1,1),((F48-OFFSET($BM$9,DT48+1,0,1,1))*OFFSET($CI$9,DT48+1,0,1,1))+OFFSET($BP$9,DT48+1,CQ48,1,1),IF(F48&lt;OFFSET($BN$9,DT48+2,0,1,1),((F48-OFFSET($BM$9,DT48+2,0,1,1))*OFFSET($CI$9,DT48+2,0,1,1))+OFFSET($BP$9,DT48+2,CQ48,1,1),IF(F48&lt;OFFSET($BN$9,DT48+3,0,1,1),((F48-OFFSET($BM$9,DT48+3,0,1,1))*OFFSET($CI$9,DT48+3,0,1,1))+OFFSET($BP$9,DT48+3,CQ48,1,1),0))))))</f>
        <v>0</v>
      </c>
      <c r="DX48" s="51">
        <f ca="1">IF($F48&lt;OFFSET($BM$9,$DT48-1,0,1,1),0,IF($F48&lt;OFFSET($BN$9,$DT48-1,0,1,1),IF(AND($H48&gt;2.4,Z48&lt;&gt;"e",Z48&lt;&gt;"f"),EB48*2.4/$H48,EB48),IF($F48&lt;OFFSET($BN$9,$DT48+0,0,1,1),IF(AND($H48&gt;2.4,Z48&lt;&gt;"e",Z48&lt;&gt;"f"),EB48*2.4/$H48,EB48),IF($F48&lt;OFFSET($BN$9,$DT48+1,0,1,1),IF(AND($H48&gt;2.4,Z48&lt;&gt;"e",Z48&lt;&gt;"f"),EB48*2.4/$H48,EB48),IF($F48&lt;OFFSET($BN$9,$DT48+2,0,1,1),IF(AND($H48&gt;2.4,Z48&lt;&gt;"e",Z48&lt;&gt;"f"),EB48*2.4/$H48,EB48),IF($F48&lt;OFFSET($BN$9,$DT48+3,0,1,1),IF(AND($H48&gt;2.4,Z48&lt;&gt;"e",Z48&lt;&gt;"f"),EB48*2.4/$H48,EB48),0)))))*COS(RADIANS($G48)))</f>
        <v>0</v>
      </c>
      <c r="DY48" s="188"/>
      <c r="DZ48" s="188">
        <f ca="1">IF(DU48&gt;$CR48,$CR48,DU48)</f>
        <v>0</v>
      </c>
      <c r="EA48" s="188"/>
      <c r="EB48" s="188">
        <f ca="1">IF(DW48&gt;$CR48,$CR48,DW48)</f>
        <v>0</v>
      </c>
      <c r="EC48" s="435">
        <f ca="1">IF(DV48&gt;$CR48,$CR48,DV48)</f>
        <v>0</v>
      </c>
      <c r="ED48" s="435">
        <f ca="1">EC48*F48</f>
        <v>0</v>
      </c>
      <c r="EE48" s="436">
        <f ca="1">IF(DX48&gt;$CR48,$CR48,DX48)</f>
        <v>0</v>
      </c>
      <c r="EF48" s="437">
        <f ca="1">EE48*F48</f>
        <v>0</v>
      </c>
      <c r="EG48" s="613" t="str">
        <f>IF(D48=BG$12,BG$12,"")</f>
        <v/>
      </c>
      <c r="EH48" s="614" t="str">
        <f>IF(D48=BG$13,BG$13,"")</f>
        <v/>
      </c>
      <c r="EI48" s="611">
        <f>IF(EG48=BG$12,M48,0)</f>
        <v>0</v>
      </c>
      <c r="EJ48" s="451">
        <f>IF(EG48=BG$12,O48,0)</f>
        <v>0</v>
      </c>
      <c r="EK48" s="451">
        <f>IF(EH48=BG$13,M48,0)</f>
        <v>0</v>
      </c>
      <c r="EL48" s="612">
        <f>IF(EH48=BG$13,O48,0)</f>
        <v>0</v>
      </c>
      <c r="EM48" s="426" t="str">
        <f ca="1">IF(AND(Z48&lt;&gt;"t",Z48&lt;&gt;"f"),"",IF(AND(EN48=$BH$11,K48&lt;&gt;EN48),EM$4,IF(AND(EN48=$BH$12,K48=$BH$13),EM$4,IF(AND(EN48=$BH$12,K48=$BH$14),EM$4,IF(AND(EN48=$BH$13,K48=$BH$14),$EM$4,IF(EN48=$BH$14,$EM$4,""))))))</f>
        <v/>
      </c>
      <c r="EN48" s="489" t="str">
        <f>BG$24</f>
        <v>Earth</v>
      </c>
      <c r="EO48" s="426" t="str">
        <f>K48</f>
        <v xml:space="preserve"> </v>
      </c>
      <c r="EP48" s="497" t="str">
        <f ca="1">IF(AND(Z48&lt;&gt;"t",Z48&lt;&gt;"f"),"",IF(AND(EN48=$BH$14,K48&lt;&gt;EN48),EP$4,IF(AND(EN48=$BH$13,K48=$BH$12),EP$4,IF(AND(EN48=$BH$13,K48=$BH$11),EP$4,IF(AND(EN48=$BH$12,K48=$BH$11),$EP$4,IF(EN48=$BH$11,"Earth",""))))))</f>
        <v/>
      </c>
      <c r="EQ48" s="430" t="str">
        <f ca="1">IF(Z48&lt;&gt;"t","",IF(EQ$5=2,IF(K48&lt;&gt;BH$11,EQ$7," ")))</f>
        <v/>
      </c>
      <c r="ER48" s="439" t="str">
        <f ca="1">IF(H48=0," ",H48)</f>
        <v xml:space="preserve"> </v>
      </c>
      <c r="ES48" s="440" t="str">
        <f ca="1">IF(ER48&lt;&gt;" ",IF(ER48&lt;&gt;ER$7,"Changed",""),"")</f>
        <v/>
      </c>
      <c r="ET48" s="440">
        <f t="shared" ca="1" si="19"/>
        <v>0</v>
      </c>
      <c r="EU48" s="426" t="str">
        <f ca="1">IF(I48=" "," ",IF(F48&lt;OFFSET($BM$9,CL48-1,0,1,1),1,""))</f>
        <v xml:space="preserve"> </v>
      </c>
      <c r="EW48" s="427"/>
    </row>
    <row r="49" spans="1:153" ht="17.100000000000001" customHeight="1" thickBot="1">
      <c r="A49" s="2685"/>
      <c r="B49" s="2686" t="s">
        <v>8</v>
      </c>
      <c r="C49" s="2687"/>
      <c r="D49" s="1461" t="s">
        <v>8</v>
      </c>
      <c r="E49" s="659"/>
      <c r="F49" s="659"/>
      <c r="G49" s="659"/>
      <c r="H49" s="659"/>
      <c r="I49" s="1462"/>
      <c r="J49" s="1365" t="str">
        <f ca="1">(CONCATENATE(B44,$BE$54))</f>
        <v>S  Line:  Min. Requirement</v>
      </c>
      <c r="K49" s="23"/>
      <c r="L49" s="1019">
        <f ca="1">L$5</f>
        <v>0</v>
      </c>
      <c r="M49" s="48">
        <f ca="1">IF(B44=B38,SUM(M44:M48)+M43,SUM(M44:M48))</f>
        <v>0</v>
      </c>
      <c r="N49" s="1019">
        <f ca="1">N$5</f>
        <v>0</v>
      </c>
      <c r="O49" s="125">
        <f ca="1">IF(B44=B38,SUM(O44:O48)+O43,SUM(O44:O48))</f>
        <v>0</v>
      </c>
      <c r="P49" s="139"/>
      <c r="Q49" s="42" t="str">
        <f ca="1">IF(B44=B50,"",IF(AND(M49&gt;0,L49=L$5,OR(M49&lt;$M$105,M49&lt;$BF$3)),"Achieved &lt; Min Req per Line",IF(AND(O49&gt;0,N49=N$5,OR(O49&lt;$O$105,O49&lt;$BF$3)),"Achieved &lt; Min Req per Line",IF(AND(M49&gt;0,L49&gt;M49),"More Required on this line",IF(AND(O49&gt;0,N49&gt;O49),"More Required on this line",IF(AND(L49&gt;0,L49&lt;$BF$3),$BE$59,IF(AND(N49&gt;0,N49&lt;$BF$3),$BE$59,"")))))))</f>
        <v/>
      </c>
      <c r="R49" s="52"/>
      <c r="S49" s="52"/>
      <c r="T49" s="52"/>
      <c r="U49" s="1378"/>
      <c r="V49" s="52"/>
      <c r="W49" s="898"/>
      <c r="X49" s="898"/>
      <c r="Y49" s="896"/>
      <c r="Z49" s="52"/>
      <c r="AA49" s="51"/>
      <c r="AB49" s="1364"/>
      <c r="AC49"/>
      <c r="AJ49" s="2"/>
      <c r="AK49" s="63" t="str">
        <f>'Custom Elements'!B10</f>
        <v xml:space="preserve">  </v>
      </c>
      <c r="AL49" s="860" t="str">
        <f>'Custom Elements'!C10</f>
        <v>Custom2</v>
      </c>
      <c r="AM49" s="11">
        <f>'Custom Elements'!D10</f>
        <v>9.9999999999999996E-76</v>
      </c>
      <c r="AN49" s="7">
        <f>'Custom Elements'!E10</f>
        <v>0</v>
      </c>
      <c r="AO49" s="7">
        <f>'Custom Elements'!F10</f>
        <v>0</v>
      </c>
      <c r="AP49" s="762" t="str">
        <f>'Custom Elements'!G10</f>
        <v>B</v>
      </c>
      <c r="AQ49" s="1777" t="str">
        <f>'Custom Elements'!H10</f>
        <v>Single</v>
      </c>
      <c r="AR49" s="1775" t="str">
        <f>'Custom Elements'!I10</f>
        <v>Yes</v>
      </c>
      <c r="AS49" s="442" t="str">
        <f>'Custom Elements'!J10</f>
        <v>Yes</v>
      </c>
      <c r="AT49" s="1150"/>
      <c r="AU49"/>
      <c r="AW49"/>
      <c r="AY49"/>
      <c r="AZ49" s="442" t="str">
        <f>IF(AND('Custom Elements'!J10="Yes",'Custom Elements'!I10="Yes"),"T",IF('Custom Elements'!J10="Yes","F",IF('Custom Elements'!I10="Yes","H","E")))</f>
        <v>T</v>
      </c>
      <c r="BA49" s="47"/>
      <c r="BB49" s="47"/>
      <c r="BC49" s="47"/>
      <c r="BD49" s="638"/>
      <c r="BF49" s="599" t="str">
        <f>'Custom Elements'!C25</f>
        <v>Custom17</v>
      </c>
      <c r="BI49" s="759"/>
      <c r="BJ49" s="897">
        <f t="shared" si="37"/>
        <v>41</v>
      </c>
      <c r="CH49" s="970"/>
      <c r="CI49" s="971"/>
      <c r="CJ49" s="759"/>
      <c r="CK49" s="188"/>
      <c r="CL49" s="979"/>
      <c r="CN49" s="497"/>
      <c r="CO49" s="497"/>
      <c r="CQ49" s="51"/>
      <c r="CR49" s="51"/>
      <c r="CS49" s="51"/>
      <c r="CT49" s="51" t="s">
        <v>8</v>
      </c>
      <c r="CU49" s="51"/>
      <c r="CV49" s="51" t="s">
        <v>8</v>
      </c>
      <c r="CW49" s="51"/>
      <c r="CX49" s="51"/>
      <c r="CY49" s="51"/>
      <c r="CZ49" s="51"/>
      <c r="DD49" s="758"/>
      <c r="DF49" s="52"/>
      <c r="DG49" s="51"/>
      <c r="DH49" s="51"/>
      <c r="DI49" s="51"/>
      <c r="DJ49" s="51"/>
      <c r="DK49" s="51"/>
      <c r="DL49" s="51"/>
      <c r="DM49" s="51"/>
      <c r="DN49" s="51"/>
      <c r="DO49" s="435"/>
      <c r="DP49" s="435"/>
      <c r="DQ49" s="868"/>
      <c r="DR49" s="868"/>
      <c r="DU49" s="188"/>
      <c r="DV49" s="188" t="s">
        <v>8</v>
      </c>
      <c r="DW49" s="188"/>
      <c r="DX49" s="188" t="s">
        <v>8</v>
      </c>
      <c r="DY49" s="188"/>
      <c r="DZ49" s="188"/>
      <c r="EA49" s="188"/>
      <c r="EB49" s="188"/>
      <c r="EC49" s="435"/>
      <c r="ED49" s="435"/>
      <c r="EE49" s="868"/>
      <c r="EF49" s="868"/>
      <c r="EG49" s="613"/>
      <c r="EH49" s="614"/>
      <c r="EI49" s="613"/>
      <c r="EJ49" s="435"/>
      <c r="EK49" s="451"/>
      <c r="EL49" s="612"/>
      <c r="EN49" s="438"/>
      <c r="EP49" s="497"/>
      <c r="ER49" s="441"/>
      <c r="ES49" s="440"/>
      <c r="ET49" s="440"/>
      <c r="EW49" s="427"/>
    </row>
    <row r="50" spans="1:153" ht="17.100000000000001" customHeight="1" thickBot="1">
      <c r="A50" s="2685"/>
      <c r="B50" s="1369" t="str">
        <f ca="1">S50</f>
        <v>T</v>
      </c>
      <c r="C50" s="684" t="str">
        <f>IF(OR(F50=0,I50="",I50=" ")," ",$V50)</f>
        <v xml:space="preserve"> </v>
      </c>
      <c r="D50" s="1033"/>
      <c r="E50" s="1360" t="s">
        <v>8</v>
      </c>
      <c r="F50" s="202"/>
      <c r="G50" s="1416"/>
      <c r="H50" s="1417" t="str">
        <f ca="1">IF(OR(F50=0,Z50="E",Z50="f")," ",'Project Demand'!E$55)</f>
        <v xml:space="preserve"> </v>
      </c>
      <c r="I50" s="631" t="str">
        <f>IF($I$6&lt;&gt;$BG$8," ",AB50)</f>
        <v xml:space="preserve"> </v>
      </c>
      <c r="J50" s="43" t="str">
        <f ca="1">IF(OR(I50=" ",I50="")," ",OFFSET($BO$9,CL50-1,0-4,1,1))</f>
        <v xml:space="preserve"> </v>
      </c>
      <c r="K50" s="55" t="str">
        <f>IF(OR(I50=" ",I50="")," ",IF(OR(Z50="e",Z50="h"),"SD",IF(BG$24=BH$11,BH$13,BG$24)))</f>
        <v xml:space="preserve"> </v>
      </c>
      <c r="L50" s="49">
        <f ca="1">CW50</f>
        <v>0</v>
      </c>
      <c r="M50" s="49">
        <f ca="1">CY50</f>
        <v>0</v>
      </c>
      <c r="N50" s="50">
        <f t="shared" ref="N50:O54" ca="1" si="41">DA50</f>
        <v>0</v>
      </c>
      <c r="O50" s="126">
        <f t="shared" ca="1" si="41"/>
        <v>0</v>
      </c>
      <c r="P50" s="140"/>
      <c r="Q50" s="752" t="str">
        <f ca="1">IF(AND(OR(Z50="t",Z50="f"),K50=$BH$11),"No Floor!  Change Floor Type",IF(OR(I50=" ",I50="")," ",IF(F50&lt;OFFSET($BM$9,CL50-1,0,1,1),"check L(m)",DE50&amp;IF(AND(DP50&gt;=CY50,DR50&gt;=DB50),IF(AND(ED50&gt;=DP50,EF50&gt;=DR50),CONCATENATE(DS50," will provide same result"),CONCATENATE(CO50," will provide same result")),IF((DP50&gt;=CY50),CONCATENATE(CO50," provides same result in WIND"),IF((DR50&gt;=DB50),CONCATENATE(CO50," provides same result in EQ"),""))))))&amp;IF(ISERROR(FIND("pile",I50,1)),"",IF(INT(F50)&lt;&gt;F50,"Pile!  Use Whole Numbers Only",""))</f>
        <v xml:space="preserve"> </v>
      </c>
      <c r="R50" s="52">
        <f ca="1">IF(T44&lt;&gt;2,(COLUMN(INDIRECT(B44&amp;1))+1),U50)</f>
        <v>20</v>
      </c>
      <c r="S50" s="1372" t="str">
        <f ca="1">SUBSTITUTE(ADDRESS(1,R50,4),"1","")</f>
        <v>T</v>
      </c>
      <c r="T50" s="451">
        <f ca="1">IF(AND(ISTEXT(B50),SUBSTITUTE(SUBSTITUTE(SUBSTITUTE(SUBSTITUTE(SUBSTITUTE(SUBSTITUTE(SUBSTITUTE(SUBSTITUTE(SUBSTITUTE(SUBSTITUTE(SUBSTITUTE(SUBSTITUTE(SUBSTITUTE(SUBSTITUTE(SUBSTITUTE(SUBSTITUTE(SUBSTITUTE(SUBSTITUTE(SUBSTITUTE(SUBSTITUTE(SUBSTITUTE(SUBSTITUTE(SUBSTITUTE(SUBSTITUTE(SUBSTITUTE(SUBSTITUTE(LOWER(B50),"a",),"b",),"c",),"d",),"e",),"f",),"g",),"h",),"i",),"j",),"k",),"l",),"m",),"n",),"o",),"p",),"q",),"r",),"s",),"t",),"u",),"v",),"w",),"x",),"y",),"z",)=""),1,2)</f>
        <v>1</v>
      </c>
      <c r="U50" s="1377">
        <v>20</v>
      </c>
      <c r="V50" s="52" t="str">
        <f ca="1">IF(AND(B$5=$BF$9,OR(I50=BH$16,I50=BH$17))," ",IF(ISNUMBER(B$50),(CONCATENATE(B$50,".",W50)),(CONCATENATE(B$50,W50))))</f>
        <v>T0</v>
      </c>
      <c r="W50" s="9">
        <f ca="1">IF(B44=B50,W48+X50,X50)</f>
        <v>0</v>
      </c>
      <c r="X50" s="9">
        <f>IF(AND(B$5=$BF$9,OR($I50=$BH$16,$I50=$BH$17,$I50=" ",$I50="",$F50=0)),0,IF(OR($I50=" ",$I50="",$F50=0),0,1))</f>
        <v>0</v>
      </c>
      <c r="Y50" s="896">
        <f ca="1">IF(AND(M55&gt;0,B50&lt;&gt;B56),1,0)</f>
        <v>0</v>
      </c>
      <c r="Z50" s="52" t="str">
        <f ca="1">IF(I50=" "," ",OFFSET($BM$9,$CL50-1,8,1,1))</f>
        <v xml:space="preserve"> </v>
      </c>
      <c r="AA50" s="51" t="str">
        <f>IF(G50&gt;=45,"WA","")</f>
        <v/>
      </c>
      <c r="AB50" s="1364" t="str">
        <f>IF(OR(E50=" ",E50="")," ",(IF(F50&lt;&gt;"",IF(OR(D50=$BG$12,D50=$BG$13),IF(E50&lt;&gt;$BG$17,$BF$20,$BF$21),IF(E50&lt;&gt;$BG$17,$BF$20,$BF$21))," ")))</f>
        <v xml:space="preserve"> </v>
      </c>
      <c r="AC50" s="1"/>
      <c r="AJ50" s="2"/>
      <c r="AK50" s="63" t="str">
        <f>'Custom Elements'!B11</f>
        <v xml:space="preserve">  </v>
      </c>
      <c r="AL50" s="860" t="str">
        <f>'Custom Elements'!C11</f>
        <v>Custom3</v>
      </c>
      <c r="AM50" s="11">
        <f>'Custom Elements'!D11</f>
        <v>9.9999999999999996E-76</v>
      </c>
      <c r="AN50" s="7">
        <f>'Custom Elements'!E11</f>
        <v>0</v>
      </c>
      <c r="AO50" s="7">
        <f>'Custom Elements'!F11</f>
        <v>0</v>
      </c>
      <c r="AP50" s="762" t="str">
        <f>'Custom Elements'!G11</f>
        <v>B</v>
      </c>
      <c r="AQ50" s="1777" t="str">
        <f>'Custom Elements'!H11</f>
        <v>Single</v>
      </c>
      <c r="AR50" s="1775" t="str">
        <f>'Custom Elements'!I11</f>
        <v>Yes</v>
      </c>
      <c r="AS50" s="442" t="str">
        <f>'Custom Elements'!J11</f>
        <v>Yes</v>
      </c>
      <c r="AT50" s="1150"/>
      <c r="AU50"/>
      <c r="AW50"/>
      <c r="AY50"/>
      <c r="AZ50" s="442" t="str">
        <f>IF(AND('Custom Elements'!J11="Yes",'Custom Elements'!I11="Yes"),"T",IF('Custom Elements'!J11="Yes","F",IF('Custom Elements'!I11="Yes","H","E")))</f>
        <v>T</v>
      </c>
      <c r="BA50" s="47"/>
      <c r="BB50" s="47"/>
      <c r="BC50" s="47"/>
      <c r="BD50" s="638"/>
      <c r="BF50" s="599" t="str">
        <f>'Custom Elements'!C26</f>
        <v>Custom18</v>
      </c>
      <c r="BG50" s="465"/>
      <c r="BH50" s="1008"/>
      <c r="BI50" s="759"/>
      <c r="BJ50" s="897">
        <f t="shared" si="37"/>
        <v>42</v>
      </c>
      <c r="BK50" s="1219" t="str">
        <f>Table!AH71</f>
        <v xml:space="preserve">EPB </v>
      </c>
      <c r="BL50" s="765" t="str">
        <f>Table!C4</f>
        <v>ES-N</v>
      </c>
      <c r="BM50" s="454">
        <f>Table!D4</f>
        <v>0.4</v>
      </c>
      <c r="BN50" s="454">
        <f>BM51</f>
        <v>0.6</v>
      </c>
      <c r="BO50" s="454">
        <f>Table!E4</f>
        <v>66</v>
      </c>
      <c r="BP50" s="924">
        <f>Table!F4</f>
        <v>61</v>
      </c>
      <c r="BQ50" s="920"/>
      <c r="BR50" s="768">
        <f>Table!G4</f>
        <v>0</v>
      </c>
      <c r="BS50" s="454">
        <f>Table!G5</f>
        <v>0</v>
      </c>
      <c r="BT50" s="454" t="str">
        <f>Table!H4</f>
        <v>B</v>
      </c>
      <c r="BU50" s="924" t="s">
        <v>242</v>
      </c>
      <c r="BV50" s="1230" t="str">
        <f>Table!AI73</f>
        <v>ES-N</v>
      </c>
      <c r="BW50" s="1229">
        <f>BJ50</f>
        <v>42</v>
      </c>
      <c r="BX50" s="924" t="str">
        <f>Table!H5</f>
        <v>Single</v>
      </c>
      <c r="CH50" s="768">
        <f>IF(BN50=999,0,(BO51-BO50)/(BN50-BM50))</f>
        <v>15.000000000000004</v>
      </c>
      <c r="CI50" s="924">
        <f>IF(BN50=999,0,(BP51-BP50)/(BN50-BM50))</f>
        <v>0</v>
      </c>
      <c r="CJ50" s="759"/>
      <c r="CK50" s="188"/>
      <c r="CL50" s="979">
        <f>VLOOKUP(I50,Prodlink,2,0)</f>
        <v>0</v>
      </c>
      <c r="CN50" s="497">
        <f t="shared" ca="1" si="35"/>
        <v>0</v>
      </c>
      <c r="CO50" s="497">
        <f ca="1">OFFSET($CH$9,CL50-1,-15,1,1)</f>
        <v>0</v>
      </c>
      <c r="CQ50" s="51">
        <v>0</v>
      </c>
      <c r="CR50" s="51">
        <f ca="1">IF(AND(Z50&lt;&gt;"t",Z50&lt;&gt;"f"),10000,IF(K50=$BH$11,0,IF(K50=$BH$12,$BH$23,IF(K50=$BH$13,$BH$24,10000))))</f>
        <v>10000</v>
      </c>
      <c r="CS50" s="51">
        <f ca="1">IF(F50&lt;OFFSET($BM$9,CL50-1,0,1,1),0,IF(F50&lt;OFFSET($BN$9,CL50-1,0,1,1),((F50-OFFSET($BM$9,CL50-1,0,1,1))*OFFSET($CH$9,CL50-1,0,1,1))+OFFSET($BO$9,CL50-1,CQ50,1,1),IF(F50&lt;OFFSET($BN$9,CL50+0,0,1,1),((F50-OFFSET($BM$9,CL50+0,0,1,1))*OFFSET($CH$9,CL50+0,0,1,1))+OFFSET($BO$9,CL50+0,CQ50,1,1),IF(F50&lt;OFFSET($BN$9,CL50+1,0,1,1),((F50-OFFSET($BM$9,CL50+1,0,1,1))*OFFSET($CH$9,CL50+1,0,1,1))+OFFSET($BO$9,CL50+1,CQ50,1,1),IF(F50&lt;OFFSET($BN$9,CL50+2,0,1,1),((F50-OFFSET($BM$9,CL50+2,0,1,1))*OFFSET($CH$9,CL50+2,0,1,1))+OFFSET($BO$9,CL50+2,CQ50,1,1),IF(F50&lt;OFFSET($BN$9,CL50+3,0,1,1),((F50-OFFSET($BM$9,CL50+3,0,1,1))*OFFSET($CH$9,CL50+3,0,1,1))+OFFSET($BO$9,CL50+3,CQ50,1,1),0))))))</f>
        <v>0</v>
      </c>
      <c r="CT50" s="51">
        <f ca="1">IF($F50&lt;OFFSET($BM$9,$CL50-1,0,1,1),0,IF($F50&lt;OFFSET($BN$9,$CL50-1,0,1,1),IF(AND($H50&gt;2.4,Z50&lt;&gt;"e",Z50&lt;&gt;"f"),CX50*2.4/$H50,CX50),IF($F50&lt;OFFSET($BN$9,$CL50+0,0,1,1),IF(AND($H50&gt;2.4,Z50&lt;&gt;"e",Z50&lt;&gt;"f"),CX50*2.4/$H50,CX50),IF($F50&lt;OFFSET($BN$9,$CL50+1,0,1,1),IF(AND($H50&gt;2.4,Z50&lt;&gt;"e",Z50&lt;&gt;"f"),CX50*2.4/$H50,CX50),IF($F50&lt;OFFSET($BN$9,CL50+2,0,1,1),IF(AND($H50&gt;2.4,Z50&lt;&gt;"e",Z50&lt;&gt;"f"),CX50*2.4/$H50,CX50),IF($F50&lt;OFFSET($BN$9,CL50+3,0,1,1),IF(AND($H50&gt;2.4,Z50&lt;&gt;"e",Z50&lt;&gt;"f"),CX50*2.4/$H50,CX50),0)))))*COS(RADIANS($G50)))</f>
        <v>0</v>
      </c>
      <c r="CU50" s="51">
        <f ca="1">IF(F50&lt;OFFSET($BM$9,CL50-1,0,1,1),0,IF(F50&lt;OFFSET($BN$9,CL50-1,0,1,1),((F50-OFFSET($BM$9,CL50-1,0,1,1))*OFFSET($CI$9,CL50-1,0,1,1))+OFFSET($BP$9,CL50-1,CQ50,1,1),IF(F50&lt;OFFSET($BN$9,CL50+0,0,1,1),((F50-OFFSET($BM$9,CL50+0,0,1,1))*OFFSET($CI$9,CL50+0,0,1,1))+OFFSET($BP$9,CL50+0,CQ50,1,1),IF(F50&lt;OFFSET($BN$9,CL50+1,0,1,1),((F50-OFFSET($BM$9,CL50+1,0,1,1))*OFFSET($CI$9,CL50+1,0,1,1))+OFFSET($BP$9,CL50+1,CQ50,1,1),IF(F50&lt;OFFSET($BN$9,CL50+2,0,1,1),((F50-OFFSET($BM$9,CL50+2,0,1,1))*OFFSET($CI$9,CL50+2,0,1,1))+OFFSET($BP$9,CL50+2,CQ50,1,1),IF(F50&lt;OFFSET($BN$9,CL50+3,0,1,1),((F50-OFFSET($BM$9,CL50+3,0,1,1))*OFFSET($CI$9,CL50+3,0,1,1))+OFFSET($BP$9,CL50+3,CQ50,1,1),0))))))</f>
        <v>0</v>
      </c>
      <c r="CV50" s="51">
        <f ca="1">IF($F50&lt;OFFSET($BM$9,$CL50-1,0,1,1),0,IF($F50&lt;OFFSET($BN$9,$CL50-1,0,1,1),IF(AND($H50&gt;2.4,Z50&lt;&gt;"e",Z50&lt;&gt;"f"),CZ50*2.4/$H50,CZ50),IF($F50&lt;OFFSET($BN$9,$CL50+0,0,1,1),IF(AND($H50&gt;2.4,Z50&lt;&gt;"e",Z50&lt;&gt;"f"),CZ50*2.4/$H50,CZ50),IF($F50&lt;OFFSET($BN$9,$CL50+1,0,1,1),IF(AND($H50&gt;2.4,Z50&lt;&gt;"e",Z50&lt;&gt;"f"),CZ50*2.4/$H50,CZ50),IF($F50&lt;OFFSET($BN$9,$CL50+2,0,1,1),IF(AND($H50&gt;2.4,Z50&lt;&gt;"e",Z50&lt;&gt;"f"),CZ50*2.4/$H50,CZ50),IF($F50&lt;OFFSET($BN$9,$CL50+3,0,1,1),IF(AND($H50&gt;2.4,Z50&lt;&gt;"e",Z50&lt;&gt;"f"),CZ50*2.4/$H50,CZ50),0)))))*COS(RADIANS($G50)))</f>
        <v>0</v>
      </c>
      <c r="CW50" s="51">
        <f t="shared" ca="1" si="18"/>
        <v>0</v>
      </c>
      <c r="CX50" s="51">
        <f ca="1">IF(CS50&gt;$CR50,$CR50,CS50)</f>
        <v>0</v>
      </c>
      <c r="CY50" s="51">
        <f ca="1">CW50*F50</f>
        <v>0</v>
      </c>
      <c r="CZ50" s="51">
        <f ca="1">IF($CU50&gt;$CR50,$CR50,$CU50)</f>
        <v>0</v>
      </c>
      <c r="DA50" s="51">
        <f ca="1">IF(CV50&gt;CR50,CR50,CV50)</f>
        <v>0</v>
      </c>
      <c r="DB50" s="51">
        <f ca="1">DA50*F50</f>
        <v>0</v>
      </c>
      <c r="DC50" s="993">
        <v>1</v>
      </c>
      <c r="DD50" s="758" t="str">
        <f>IF(OR(D50=BG$12,D50=BG$13),"External",IF(D50=BG$14,"Internal"," "))</f>
        <v xml:space="preserve"> </v>
      </c>
      <c r="DE50" s="51" t="str">
        <f t="shared" ca="1" si="4"/>
        <v/>
      </c>
      <c r="DF50" s="52" t="str">
        <f t="shared" ca="1" si="5"/>
        <v xml:space="preserve"> </v>
      </c>
      <c r="DG50" s="51">
        <f ca="1">IF(F50&lt;OFFSET($BM$9,CN50-1,0,1,1),0,IF(F50&lt;OFFSET($BN$9,CN50-1,0,1,1),((F50-OFFSET($BM$9,CN50-1,0,1,1))*OFFSET($CH$9,CN50-1,0,1,1))+OFFSET($BO$9,CN50-1,CQ50,1,1),IF(F50&lt;OFFSET($BN$9,CN50+0,0,1,1),((F50-OFFSET($BM$9,CN50+0,0,1,1))*OFFSET($CH$9,CN50+0,0,1,1))+OFFSET($BO$9,CN50+0,CQ50,1,1),IF(F50&lt;OFFSET($BN$9,CN50+1,0,1,1),((F50-OFFSET($BM$9,CN50+1,0,1,1))*OFFSET($CH$9,CN50+1,0,1,1))+OFFSET($BO$9,CN50+1,CQ50,1,1),IF(F50&lt;OFFSET($BN$9,CN50+2,0,1,1),((F50-OFFSET($BM$9,CN50+2,0,1,1))*OFFSET($CH$9,CN50+2,0,1,1))+OFFSET($BO$9,CN50+2,CQ50,1,1),IF(F50&lt;OFFSET($BN$9,CN50+3,0,1,1),((F50-OFFSET($BM$9,CN50+3,0,1,1))*OFFSET($CH$9,CN50+3,0,1,1))+OFFSET($BO$9,CN50+3,CQ50,1,1),0))))))</f>
        <v>0</v>
      </c>
      <c r="DH50" s="51">
        <f ca="1">IF($F50&lt;OFFSET($BM$9,$CN50-1,0,1,1),0,IF($F50&lt;OFFSET($BN$9,$CN50-1,0,1,1),IF(AND($H50&gt;2.4,Z50&lt;&gt;"e",Z50&lt;&gt;"f"),DL50*2.4/$H50,DL50),IF($F50&lt;OFFSET($BN$9,$CN50+0,0,1,1),IF(AND($H50&gt;2.4,Z50&lt;&gt;"e",Z50&lt;&gt;"f"),DL50*2.4/$H50,DL50),IF($F50&lt;OFFSET($BN$9,$CN50+1,0,1,1),IF(AND($H50&gt;2.4,Z50&lt;&gt;"e",Z50&lt;&gt;"f"),DL50*2.4/$H50,DL50),IF($F50&lt;OFFSET($BN$9,$CN50+2,0,1,1),IF(AND($H50&gt;2.4,Z50&lt;&gt;"e",Z50&lt;&gt;"f"),DL50*2.4/$H50,DL50),IF($F50&lt;OFFSET($BN$9,$CN50+3,0,1,1),IF(AND($H50&gt;2.4,Z50&lt;&gt;"e",Z50&lt;&gt;"f"),DL50*2.4/$H50,DL50),0)))))*COS(RADIANS($G50)))</f>
        <v>0</v>
      </c>
      <c r="DI50" s="51">
        <f ca="1">IF(F50&lt;OFFSET($BM$9,CN50-1,0,1,1),0,IF(F50&lt;OFFSET($BN$9,CN50-1,0,1,1),((F50-OFFSET($BM$9,CN50-1,0,1,1))*OFFSET($CI$9,CN50-1,0,1,1))+OFFSET($BP$9,CN50-1,CQ50,1,1),IF(F50&lt;OFFSET($BN$9,CN50+0,0,1,1),((F50-OFFSET($BM$9,CN50+0,0,1,1))*OFFSET($CI$9,CN50+0,0,1,1))+OFFSET($BP$9,CN50+0,CQ50,1,1),IF(F50&lt;OFFSET($BN$9,CN50+1,0,1,1),((F50-OFFSET($BM$9,CN50+1,0,1,1))*OFFSET($CI$9,CN50+1,0,1,1))+OFFSET($BP$9,CN50+1,CQ50,1,1),IF(F50&lt;OFFSET($BN$9,CN50+2,0,1,1),((F50-OFFSET($BM$9,CN50+2,0,1,1))*OFFSET($CI$9,CN50+2,0,1,1))+OFFSET($BP$9,CN50+2,CQ50,1,1),IF(F50&lt;OFFSET($BN$9,CN50+3,0,1,1),((F50-OFFSET($BM$9,CN50+3,0,1,1))*OFFSET($CI$9,CN50+3,0,1,1))+OFFSET($BP$9,CN50+3,CQ50,1,1),0))))))</f>
        <v>0</v>
      </c>
      <c r="DJ50" s="51">
        <f ca="1">IF($F50&lt;OFFSET($BM$9,$CN50-1,0,1,1),0,IF($F50&lt;OFFSET($BN$9,$CN50-1,0,1,1),IF(AND($H50&gt;2.4,Z50&lt;&gt;"e",Z50&lt;&gt;"f"),DN50*2.4/$H50,DN50),IF($F50&lt;OFFSET($BN$9,$CN50+0,0,1,1),IF(AND($H50&gt;2.4,Z50&lt;&gt;"e",Z50&lt;&gt;"f"),DN50*2.4/$H50,DN50),IF($F50&lt;OFFSET($BN$9,$CN50+1,0,1,1),IF(AND($H50&gt;2.4,Z50&lt;&gt;"e",Z50&lt;&gt;"f"),DN50*2.4/$H50,DN50),IF($F50&lt;OFFSET($BN$9,$CN50+2,0,1,1),IF(AND($H50&gt;2.4,Z50&lt;&gt;"e",Z50&lt;&gt;"f"),DN50*2.4/$H50,DN50),IF($F50&lt;OFFSET($BN$9,$CN50+3,0,1,1),IF(AND($H50&gt;2.4,Z50&lt;&gt;"e",Z50&lt;&gt;"f"),DN50*2.4/$H50,DN50),0)))))*COS(RADIANS($G50)))</f>
        <v>0</v>
      </c>
      <c r="DK50" s="51"/>
      <c r="DL50" s="51">
        <f ca="1">IF(DG50&gt;$CR50,$CR50,DG50)</f>
        <v>0</v>
      </c>
      <c r="DM50" s="51"/>
      <c r="DN50" s="51">
        <f ca="1">IF(DI50&gt;$CR50,$CR50,DI50)</f>
        <v>0</v>
      </c>
      <c r="DO50" s="435">
        <f ca="1">IF(DH50&gt;$CR50,$CR50,DH50)</f>
        <v>0</v>
      </c>
      <c r="DP50" s="435">
        <f ca="1">DO50*F50</f>
        <v>0</v>
      </c>
      <c r="DQ50" s="436">
        <f ca="1">IF(DJ50&gt;$CR50,$CR50,DJ50)</f>
        <v>0</v>
      </c>
      <c r="DR50" s="437">
        <f ca="1">DQ50*F50</f>
        <v>0</v>
      </c>
      <c r="DS50" s="426">
        <f ca="1">OFFSET($CH$9,CL50-1,-15,1,1)</f>
        <v>0</v>
      </c>
      <c r="DT50" s="426">
        <f t="shared" ca="1" si="36"/>
        <v>0</v>
      </c>
      <c r="DU50" s="188">
        <f ca="1">IF(F50&lt;OFFSET($BM$9,DT50-1,0,1,1),0,IF(F50&lt;OFFSET($BN$9,DT50-1,0,1,1),((F50-OFFSET($BM$9,DT50-1,0,1,1))*OFFSET($CH$9,DT50-1,0,1,1))+OFFSET($BO$9,DT50-1,CQ50,1,1),IF(F50&lt;OFFSET($BN$9,DT50+0,0,1,1),((F50-OFFSET($BM$9,DT50+0,0,1,1))*OFFSET($CH$9,DT50+0,0,1,1))+OFFSET($BO$9,DT50+0,CQ50,1,1),IF(F50&lt;OFFSET($BN$9,DT50+1,0,1,1),((F50-OFFSET($BM$9,DT50+1,0,1,1))*OFFSET($CH$9,DT50+1,0,1,1))+OFFSET($BO$9,DT50+1,CQ50,1,1),IF(F50&lt;OFFSET($BN$9,DT50+2,0,1,1),((F50-OFFSET($BM$9,DT50+2,0,1,1))*OFFSET($CH$9,DT50+2,0,1,1))+OFFSET($BO$9,DT50+2,CQ50,1,1),IF(F50&lt;OFFSET($BN$9,DT50+3,0,1,1),((F50-OFFSET($BM$9,DT50+3,0,1,1))*OFFSET($CH$9,DT50+3,0,1,1))+OFFSET($BO$9,DT50+3,CQ50,1,1),0))))))</f>
        <v>0</v>
      </c>
      <c r="DV50" s="51">
        <f ca="1">IF($F50&lt;OFFSET($BM$9,$DT50-1,0,1,1),0,IF($F50&lt;OFFSET($BN$9,$DT50-1,0,1,1),IF(AND($H50&gt;2.4,Z50&lt;&gt;"e",Z50&lt;&gt;"f"),DZ50*2.4/$H50,DZ50),IF($F50&lt;OFFSET($BN$9,$DT50+0,0,1,1),IF(AND($H50&gt;2.4,Z50&lt;&gt;"e",Z50&lt;&gt;"f"),DZ50*2.4/$H50,DZ50),IF($F50&lt;OFFSET($BN$9,$DT50+1,0,1,1),IF(AND($H50&gt;2.4,Z50&lt;&gt;"e",Z50&lt;&gt;"f"),DZ50*2.4/$H50,DZ50),IF($F50&lt;OFFSET($BN$9,$DT50+2,0,1,1),IF(AND($H50&gt;2.4,Z50&lt;&gt;"e",Z50&lt;&gt;"f"),DZ50*2.4/$H50,DZ50),IF($F50&lt;OFFSET($BN$9,$DT50+3,0,1,1),IF(AND($H50&gt;2.4,Z50&lt;&gt;"e",Z50&lt;&gt;"f"),DZ50*2.4/$H50,DZ50),0)))))*COS(RADIANS($G50)))</f>
        <v>0</v>
      </c>
      <c r="DW50" s="188">
        <f ca="1">IF(F50&lt;OFFSET($BM$9,DT50-1,0,1,1),0,IF(F50&lt;OFFSET($BN$9,DT50-1,0,1,1),((F50-OFFSET($BM$9,DT50-1,0,1,1))*OFFSET($CI$9,DT50-1,0,1,1))+OFFSET($BP$9,DT50-1,CQ50,1,1),IF(F50&lt;OFFSET($BN$9,DT50+0,0,1,1),((F50-OFFSET($BM$9,DT50+0,0,1,1))*OFFSET($CI$9,DT50+0,0,1,1))+OFFSET($BP$9,DT50+0,CQ50,1,1),IF(F50&lt;OFFSET($BN$9,DT50+1,0,1,1),((F50-OFFSET($BM$9,DT50+1,0,1,1))*OFFSET($CI$9,DT50+1,0,1,1))+OFFSET($BP$9,DT50+1,CQ50,1,1),IF(F50&lt;OFFSET($BN$9,DT50+2,0,1,1),((F50-OFFSET($BM$9,DT50+2,0,1,1))*OFFSET($CI$9,DT50+2,0,1,1))+OFFSET($BP$9,DT50+2,CQ50,1,1),IF(F50&lt;OFFSET($BN$9,DT50+3,0,1,1),((F50-OFFSET($BM$9,DT50+3,0,1,1))*OFFSET($CI$9,DT50+3,0,1,1))+OFFSET($BP$9,DT50+3,CQ50,1,1),0))))))</f>
        <v>0</v>
      </c>
      <c r="DX50" s="51">
        <f ca="1">IF($F50&lt;OFFSET($BM$9,$DT50-1,0,1,1),0,IF($F50&lt;OFFSET($BN$9,$DT50-1,0,1,1),IF(AND($H50&gt;2.4,Z50&lt;&gt;"e",Z50&lt;&gt;"f"),EB50*2.4/$H50,EB50),IF($F50&lt;OFFSET($BN$9,$DT50+0,0,1,1),IF(AND($H50&gt;2.4,Z50&lt;&gt;"e",Z50&lt;&gt;"f"),EB50*2.4/$H50,EB50),IF($F50&lt;OFFSET($BN$9,$DT50+1,0,1,1),IF(AND($H50&gt;2.4,Z50&lt;&gt;"e",Z50&lt;&gt;"f"),EB50*2.4/$H50,EB50),IF($F50&lt;OFFSET($BN$9,$DT50+2,0,1,1),IF(AND($H50&gt;2.4,Z50&lt;&gt;"e",Z50&lt;&gt;"f"),EB50*2.4/$H50,EB50),IF($F50&lt;OFFSET($BN$9,$DT50+3,0,1,1),IF(AND($H50&gt;2.4,Z50&lt;&gt;"e",Z50&lt;&gt;"f"),EB50*2.4/$H50,EB50),0)))))*COS(RADIANS($G50)))</f>
        <v>0</v>
      </c>
      <c r="DY50" s="188"/>
      <c r="DZ50" s="188">
        <f ca="1">IF(DU50&gt;$CR50,$CR50,DU50)</f>
        <v>0</v>
      </c>
      <c r="EA50" s="188"/>
      <c r="EB50" s="188">
        <f ca="1">IF(DW50&gt;$CR50,$CR50,DW50)</f>
        <v>0</v>
      </c>
      <c r="EC50" s="435">
        <f ca="1">IF(DV50&gt;$CR50,$CR50,DV50)</f>
        <v>0</v>
      </c>
      <c r="ED50" s="435">
        <f ca="1">EC50*F50</f>
        <v>0</v>
      </c>
      <c r="EE50" s="436">
        <f ca="1">IF(DX50&gt;$CR50,$CR50,DX50)</f>
        <v>0</v>
      </c>
      <c r="EF50" s="437">
        <f ca="1">EE50*F50</f>
        <v>0</v>
      </c>
      <c r="EG50" s="613" t="str">
        <f>IF(D50=BG$12,BG$12,"")</f>
        <v/>
      </c>
      <c r="EH50" s="614" t="str">
        <f>IF(D50=BG$13,BG$13,"")</f>
        <v/>
      </c>
      <c r="EI50" s="611">
        <f>IF(EG50=BG$12,M50,0)</f>
        <v>0</v>
      </c>
      <c r="EJ50" s="451">
        <f>IF(EG50=BG$12,O50,0)</f>
        <v>0</v>
      </c>
      <c r="EK50" s="451">
        <f>IF(EH50=BG$13,M50,0)</f>
        <v>0</v>
      </c>
      <c r="EL50" s="612">
        <f>IF(EH50=BG$13,O50,0)</f>
        <v>0</v>
      </c>
      <c r="EM50" s="426" t="str">
        <f ca="1">IF(AND(Z50&lt;&gt;"t",Z50&lt;&gt;"f"),"",IF(AND(EN50=$BH$11,K50&lt;&gt;EN50),EM$4,IF(AND(EN50=$BH$12,K50=$BH$13),EM$4,IF(AND(EN50=$BH$12,K50=$BH$14),EM$4,IF(AND(EN50=$BH$13,K50=$BH$14),$EM$4,IF(EN50=$BH$14,$EM$4,""))))))</f>
        <v/>
      </c>
      <c r="EN50" s="489" t="str">
        <f>BG$24</f>
        <v>Earth</v>
      </c>
      <c r="EO50" s="426" t="str">
        <f>K50</f>
        <v xml:space="preserve"> </v>
      </c>
      <c r="EP50" s="497" t="str">
        <f ca="1">IF(AND(Z50&lt;&gt;"t",Z50&lt;&gt;"f"),"",IF(AND(EN50=$BH$14,K50&lt;&gt;EN50),EP$4,IF(AND(EN50=$BH$13,K50=$BH$12),EP$4,IF(AND(EN50=$BH$13,K50=$BH$11),EP$4,IF(AND(EN50=$BH$12,K50=$BH$11),$EP$4,IF(EN50=$BH$11,"Earth",""))))))</f>
        <v/>
      </c>
      <c r="EQ50" s="430" t="str">
        <f ca="1">IF(Z50&lt;&gt;"t","",IF(EQ$5=2,IF(K50&lt;&gt;BH$11,EQ$7," ")))</f>
        <v/>
      </c>
      <c r="ER50" s="439" t="str">
        <f ca="1">IF(H50=0," ",H50)</f>
        <v xml:space="preserve"> </v>
      </c>
      <c r="ES50" s="440" t="str">
        <f ca="1">IF(ER50&lt;&gt;" ",IF(ER50&lt;&gt;ER$7,"Changed",""),"")</f>
        <v/>
      </c>
      <c r="ET50" s="440">
        <f t="shared" ca="1" si="19"/>
        <v>0</v>
      </c>
      <c r="EU50" s="426" t="str">
        <f ca="1">IF(I50=" "," ",IF(F50&lt;OFFSET($BM$9,CL50-1,0,1,1),1,""))</f>
        <v xml:space="preserve"> </v>
      </c>
      <c r="EW50" s="427"/>
    </row>
    <row r="51" spans="1:153" ht="17.100000000000001" customHeight="1" thickBot="1">
      <c r="A51" s="2685"/>
      <c r="B51" s="689" t="s">
        <v>246</v>
      </c>
      <c r="C51" s="684" t="str">
        <f>IF(OR(F51=0,I51="",I51=" ")," ",$V51)</f>
        <v xml:space="preserve"> </v>
      </c>
      <c r="D51" s="1033"/>
      <c r="E51" s="1360" t="s">
        <v>8</v>
      </c>
      <c r="F51" s="202"/>
      <c r="G51" s="1416"/>
      <c r="H51" s="1417" t="str">
        <f ca="1">IF(OR(F51=0,Z51="E",Z51="f")," ",'Project Demand'!E$55)</f>
        <v xml:space="preserve"> </v>
      </c>
      <c r="I51" s="631" t="str">
        <f>IF($I$6&lt;&gt;$BG$8," ",AB51)</f>
        <v xml:space="preserve"> </v>
      </c>
      <c r="J51" s="44" t="str">
        <f ca="1">IF(OR(I51=" ",I51="")," ",OFFSET($BO$9,CL51-1,0-4,1,1))</f>
        <v xml:space="preserve"> </v>
      </c>
      <c r="K51" s="55" t="str">
        <f>IF(OR(I51=" ",I51="")," ",IF(OR(Z51="e",Z51="h"),"SD",IF(BG$24=BH$11,BH$13,BG$24)))</f>
        <v xml:space="preserve"> </v>
      </c>
      <c r="L51" s="49">
        <f ca="1">CW51</f>
        <v>0</v>
      </c>
      <c r="M51" s="49">
        <f ca="1">CY51</f>
        <v>0</v>
      </c>
      <c r="N51" s="50">
        <f t="shared" ca="1" si="41"/>
        <v>0</v>
      </c>
      <c r="O51" s="126">
        <f t="shared" ca="1" si="41"/>
        <v>0</v>
      </c>
      <c r="P51" s="140"/>
      <c r="Q51" s="752" t="str">
        <f ca="1">IF(AND(OR(Z51="t",Z51="f"),K51=$BH$11),"No Floor!  Change Floor Type",IF(OR(I51=" ",I51="")," ",IF(F51&lt;OFFSET($BM$9,CL51-1,0,1,1),"check L(m)",DE51&amp;IF(AND(DP51&gt;=CY51,DR51&gt;=DB51),IF(AND(ED51&gt;=DP51,EF51&gt;=DR51),CONCATENATE(DS51," will provide same result"),CONCATENATE(CO51," will provide same result")),IF((DP51&gt;=CY51),CONCATENATE(CO51," provides same result in WIND"),IF((DR51&gt;=DB51),CONCATENATE(CO51," provides same result in EQ"),""))))))&amp;IF(ISERROR(FIND("pile",I51,1)),"",IF(INT(F51)&lt;&gt;F51,"Pile!  Use Whole Numbers Only",""))</f>
        <v xml:space="preserve"> </v>
      </c>
      <c r="R51" s="52"/>
      <c r="S51" s="1372"/>
      <c r="T51" s="1372"/>
      <c r="U51" s="1377"/>
      <c r="V51" s="52" t="str">
        <f ca="1">IF(AND(B$5=$BF$9,OR(I51=BH$16,I51=BH$17))," ",IF(ISNUMBER(B$50),(CONCATENATE(B$50,".",W51)),(CONCATENATE(B$50,W51))))</f>
        <v>T0</v>
      </c>
      <c r="W51" s="9">
        <f ca="1">W50+X51</f>
        <v>0</v>
      </c>
      <c r="X51" s="9">
        <f>IF(AND(B$5=$BF$9,OR($I51=$BH$16,$I51=$BH$17,$I51=" ",$I51="",$F51=0)),0,IF(OR($I51=" ",$I51="",$F51=0),0,1))</f>
        <v>0</v>
      </c>
      <c r="Y51" s="896"/>
      <c r="Z51" s="52" t="str">
        <f ca="1">IF(I51=" "," ",OFFSET($BM$9,$CL51-1,8,1,1))</f>
        <v xml:space="preserve"> </v>
      </c>
      <c r="AA51" s="51" t="str">
        <f>IF(G51&gt;=45,"WA","")</f>
        <v/>
      </c>
      <c r="AB51" s="1364" t="str">
        <f>IF(OR(E51=" ",E51="")," ",(IF(F51&lt;&gt;"",IF(OR(D51=$BG$12,D51=$BG$13),IF(E51&lt;&gt;$BG$17,$BF$20,$BF$21),IF(E51&lt;&gt;$BG$17,$BF$20,$BF$21))," ")))</f>
        <v xml:space="preserve"> </v>
      </c>
      <c r="AC51" s="1"/>
      <c r="AJ51" s="2"/>
      <c r="AK51" s="63" t="str">
        <f>'Custom Elements'!B12</f>
        <v xml:space="preserve">  </v>
      </c>
      <c r="AL51" s="860" t="str">
        <f>'Custom Elements'!C12</f>
        <v>Custom4</v>
      </c>
      <c r="AM51" s="11">
        <f>'Custom Elements'!D12</f>
        <v>9.9999999999999996E-76</v>
      </c>
      <c r="AN51" s="7">
        <f>'Custom Elements'!E12</f>
        <v>0</v>
      </c>
      <c r="AO51" s="7">
        <f>'Custom Elements'!F12</f>
        <v>0</v>
      </c>
      <c r="AP51" s="762" t="str">
        <f>'Custom Elements'!G12</f>
        <v>B</v>
      </c>
      <c r="AQ51" s="1777" t="str">
        <f>'Custom Elements'!H12</f>
        <v>Single</v>
      </c>
      <c r="AR51" s="1775" t="str">
        <f>'Custom Elements'!I12</f>
        <v>Yes</v>
      </c>
      <c r="AS51" s="442" t="str">
        <f>'Custom Elements'!J12</f>
        <v>Yes</v>
      </c>
      <c r="AT51" s="1150"/>
      <c r="AU51"/>
      <c r="AW51"/>
      <c r="AY51"/>
      <c r="AZ51" s="442" t="str">
        <f>IF(AND('Custom Elements'!J12="Yes",'Custom Elements'!I12="Yes"),"T",IF('Custom Elements'!J12="Yes","F",IF('Custom Elements'!I12="Yes","H","E")))</f>
        <v>T</v>
      </c>
      <c r="BA51" s="47"/>
      <c r="BB51" s="47"/>
      <c r="BC51" s="47"/>
      <c r="BD51" s="638"/>
      <c r="BF51" s="599" t="str">
        <f>'Custom Elements'!C27</f>
        <v>Custom19</v>
      </c>
      <c r="BG51" s="602"/>
      <c r="BH51" s="1009"/>
      <c r="BI51" s="759"/>
      <c r="BJ51" s="897">
        <f t="shared" si="37"/>
        <v>43</v>
      </c>
      <c r="BK51" s="1220"/>
      <c r="BL51" s="766"/>
      <c r="BM51" s="455">
        <f>Table!D5</f>
        <v>0.6</v>
      </c>
      <c r="BN51" s="455">
        <f>BM52</f>
        <v>0.8</v>
      </c>
      <c r="BO51" s="455">
        <f>Table!E5</f>
        <v>69</v>
      </c>
      <c r="BP51" s="925">
        <f>Table!F5</f>
        <v>61</v>
      </c>
      <c r="BR51" s="764"/>
      <c r="BS51" s="455"/>
      <c r="BT51" s="455"/>
      <c r="BU51" s="925" t="s">
        <v>242</v>
      </c>
      <c r="BV51" s="895"/>
      <c r="BW51" s="912"/>
      <c r="BX51" s="925" t="str">
        <f>Table!H5</f>
        <v>Single</v>
      </c>
      <c r="CH51" s="764">
        <f>IF(BN51=999,0,(BO52-BO51)/(BN51-BM51))</f>
        <v>14.999999999999995</v>
      </c>
      <c r="CI51" s="925">
        <f>IF(BN51=999,0,(BP52-BP51)/(BN51-BM51))</f>
        <v>0</v>
      </c>
      <c r="CJ51" s="759"/>
      <c r="CK51" s="188"/>
      <c r="CL51" s="979">
        <f>VLOOKUP(I51,Prodlink,2,0)</f>
        <v>0</v>
      </c>
      <c r="CN51" s="497">
        <f t="shared" ca="1" si="35"/>
        <v>0</v>
      </c>
      <c r="CO51" s="497">
        <f ca="1">OFFSET($CH$9,CL51-1,-15,1,1)</f>
        <v>0</v>
      </c>
      <c r="CQ51" s="51">
        <v>0</v>
      </c>
      <c r="CR51" s="51">
        <f t="shared" ref="CR51:CR54" ca="1" si="42">IF(AND(Z51&lt;&gt;"t",Z51&lt;&gt;"f"),10000,IF(K51=$BH$11,0,IF(K51=$BH$12,$BH$23,IF(K51=$BH$13,$BH$24,10000))))</f>
        <v>10000</v>
      </c>
      <c r="CS51" s="51">
        <f ca="1">IF(F51&lt;OFFSET($BM$9,CL51-1,0,1,1),0,IF(F51&lt;OFFSET($BN$9,CL51-1,0,1,1),((F51-OFFSET($BM$9,CL51-1,0,1,1))*OFFSET($CH$9,CL51-1,0,1,1))+OFFSET($BO$9,CL51-1,CQ51,1,1),IF(F51&lt;OFFSET($BN$9,CL51+0,0,1,1),((F51-OFFSET($BM$9,CL51+0,0,1,1))*OFFSET($CH$9,CL51+0,0,1,1))+OFFSET($BO$9,CL51+0,CQ51,1,1),IF(F51&lt;OFFSET($BN$9,CL51+1,0,1,1),((F51-OFFSET($BM$9,CL51+1,0,1,1))*OFFSET($CH$9,CL51+1,0,1,1))+OFFSET($BO$9,CL51+1,CQ51,1,1),IF(F51&lt;OFFSET($BN$9,CL51+2,0,1,1),((F51-OFFSET($BM$9,CL51+2,0,1,1))*OFFSET($CH$9,CL51+2,0,1,1))+OFFSET($BO$9,CL51+2,CQ51,1,1),IF(F51&lt;OFFSET($BN$9,CL51+3,0,1,1),((F51-OFFSET($BM$9,CL51+3,0,1,1))*OFFSET($CH$9,CL51+3,0,1,1))+OFFSET($BO$9,CL51+3,CQ51,1,1),0))))))</f>
        <v>0</v>
      </c>
      <c r="CT51" s="51">
        <f ca="1">IF($F51&lt;OFFSET($BM$9,$CL51-1,0,1,1),0,IF($F51&lt;OFFSET($BN$9,$CL51-1,0,1,1),IF(AND($H51&gt;2.4,Z51&lt;&gt;"e",Z51&lt;&gt;"f"),CX51*2.4/$H51,CX51),IF($F51&lt;OFFSET($BN$9,$CL51+0,0,1,1),IF(AND($H51&gt;2.4,Z51&lt;&gt;"e",Z51&lt;&gt;"f"),CX51*2.4/$H51,CX51),IF($F51&lt;OFFSET($BN$9,$CL51+1,0,1,1),IF(AND($H51&gt;2.4,Z51&lt;&gt;"e",Z51&lt;&gt;"f"),CX51*2.4/$H51,CX51),IF($F51&lt;OFFSET($BN$9,CL51+2,0,1,1),IF(AND($H51&gt;2.4,Z51&lt;&gt;"e",Z51&lt;&gt;"f"),CX51*2.4/$H51,CX51),IF($F51&lt;OFFSET($BN$9,CL51+3,0,1,1),IF(AND($H51&gt;2.4,Z51&lt;&gt;"e",Z51&lt;&gt;"f"),CX51*2.4/$H51,CX51),0)))))*COS(RADIANS($G51)))</f>
        <v>0</v>
      </c>
      <c r="CU51" s="51">
        <f ca="1">IF(F51&lt;OFFSET($BM$9,CL51-1,0,1,1),0,IF(F51&lt;OFFSET($BN$9,CL51-1,0,1,1),((F51-OFFSET($BM$9,CL51-1,0,1,1))*OFFSET($CI$9,CL51-1,0,1,1))+OFFSET($BP$9,CL51-1,CQ51,1,1),IF(F51&lt;OFFSET($BN$9,CL51+0,0,1,1),((F51-OFFSET($BM$9,CL51+0,0,1,1))*OFFSET($CI$9,CL51+0,0,1,1))+OFFSET($BP$9,CL51+0,CQ51,1,1),IF(F51&lt;OFFSET($BN$9,CL51+1,0,1,1),((F51-OFFSET($BM$9,CL51+1,0,1,1))*OFFSET($CI$9,CL51+1,0,1,1))+OFFSET($BP$9,CL51+1,CQ51,1,1),IF(F51&lt;OFFSET($BN$9,CL51+2,0,1,1),((F51-OFFSET($BM$9,CL51+2,0,1,1))*OFFSET($CI$9,CL51+2,0,1,1))+OFFSET($BP$9,CL51+2,CQ51,1,1),IF(F51&lt;OFFSET($BN$9,CL51+3,0,1,1),((F51-OFFSET($BM$9,CL51+3,0,1,1))*OFFSET($CI$9,CL51+3,0,1,1))+OFFSET($BP$9,CL51+3,CQ51,1,1),0))))))</f>
        <v>0</v>
      </c>
      <c r="CV51" s="51">
        <f ca="1">IF($F51&lt;OFFSET($BM$9,$CL51-1,0,1,1),0,IF($F51&lt;OFFSET($BN$9,$CL51-1,0,1,1),IF(AND($H51&gt;2.4,Z51&lt;&gt;"e",Z51&lt;&gt;"f"),CZ51*2.4/$H51,CZ51),IF($F51&lt;OFFSET($BN$9,$CL51+0,0,1,1),IF(AND($H51&gt;2.4,Z51&lt;&gt;"e",Z51&lt;&gt;"f"),CZ51*2.4/$H51,CZ51),IF($F51&lt;OFFSET($BN$9,$CL51+1,0,1,1),IF(AND($H51&gt;2.4,Z51&lt;&gt;"e",Z51&lt;&gt;"f"),CZ51*2.4/$H51,CZ51),IF($F51&lt;OFFSET($BN$9,$CL51+2,0,1,1),IF(AND($H51&gt;2.4,Z51&lt;&gt;"e",Z51&lt;&gt;"f"),CZ51*2.4/$H51,CZ51),IF($F51&lt;OFFSET($BN$9,$CL51+3,0,1,1),IF(AND($H51&gt;2.4,Z51&lt;&gt;"e",Z51&lt;&gt;"f"),CZ51*2.4/$H51,CZ51),0)))))*COS(RADIANS($G51)))</f>
        <v>0</v>
      </c>
      <c r="CW51" s="51">
        <f t="shared" ca="1" si="18"/>
        <v>0</v>
      </c>
      <c r="CX51" s="51">
        <f ca="1">IF(CS51&gt;$CR51,$CR51,CS51)</f>
        <v>0</v>
      </c>
      <c r="CY51" s="51">
        <f ca="1">CW51*F51</f>
        <v>0</v>
      </c>
      <c r="CZ51" s="51">
        <f ca="1">IF($CU51&gt;$CR51,$CR51,$CU51)</f>
        <v>0</v>
      </c>
      <c r="DA51" s="51">
        <f ca="1">IF(CV51&gt;CR51,CR51,CV51)</f>
        <v>0</v>
      </c>
      <c r="DB51" s="51">
        <f ca="1">DA51*F51</f>
        <v>0</v>
      </c>
      <c r="DC51" s="993">
        <v>1</v>
      </c>
      <c r="DD51" s="758" t="str">
        <f>IF(OR(D51=BG$12,D51=BG$13),"External",IF(D51=BG$14,"Internal"," "))</f>
        <v xml:space="preserve"> </v>
      </c>
      <c r="DE51" s="51" t="str">
        <f t="shared" ca="1" si="4"/>
        <v/>
      </c>
      <c r="DF51" s="52" t="str">
        <f t="shared" ca="1" si="5"/>
        <v xml:space="preserve"> </v>
      </c>
      <c r="DG51" s="51">
        <f ca="1">IF(F51&lt;OFFSET($BM$9,CN51-1,0,1,1),0,IF(F51&lt;OFFSET($BN$9,CN51-1,0,1,1),((F51-OFFSET($BM$9,CN51-1,0,1,1))*OFFSET($CH$9,CN51-1,0,1,1))+OFFSET($BO$9,CN51-1,CQ51,1,1),IF(F51&lt;OFFSET($BN$9,CN51+0,0,1,1),((F51-OFFSET($BM$9,CN51+0,0,1,1))*OFFSET($CH$9,CN51+0,0,1,1))+OFFSET($BO$9,CN51+0,CQ51,1,1),IF(F51&lt;OFFSET($BN$9,CN51+1,0,1,1),((F51-OFFSET($BM$9,CN51+1,0,1,1))*OFFSET($CH$9,CN51+1,0,1,1))+OFFSET($BO$9,CN51+1,CQ51,1,1),IF(F51&lt;OFFSET($BN$9,CN51+2,0,1,1),((F51-OFFSET($BM$9,CN51+2,0,1,1))*OFFSET($CH$9,CN51+2,0,1,1))+OFFSET($BO$9,CN51+2,CQ51,1,1),IF(F51&lt;OFFSET($BN$9,CN51+3,0,1,1),((F51-OFFSET($BM$9,CN51+3,0,1,1))*OFFSET($CH$9,CN51+3,0,1,1))+OFFSET($BO$9,CN51+3,CQ51,1,1),0))))))</f>
        <v>0</v>
      </c>
      <c r="DH51" s="51">
        <f ca="1">IF($F51&lt;OFFSET($BM$9,$CN51-1,0,1,1),0,IF($F51&lt;OFFSET($BN$9,$CN51-1,0,1,1),IF(AND($H51&gt;2.4,Z51&lt;&gt;"e",Z51&lt;&gt;"f"),DL51*2.4/$H51,DL51),IF($F51&lt;OFFSET($BN$9,$CN51+0,0,1,1),IF(AND($H51&gt;2.4,Z51&lt;&gt;"e",Z51&lt;&gt;"f"),DL51*2.4/$H51,DL51),IF($F51&lt;OFFSET($BN$9,$CN51+1,0,1,1),IF(AND($H51&gt;2.4,Z51&lt;&gt;"e",Z51&lt;&gt;"f"),DL51*2.4/$H51,DL51),IF($F51&lt;OFFSET($BN$9,$CN51+2,0,1,1),IF(AND($H51&gt;2.4,Z51&lt;&gt;"e",Z51&lt;&gt;"f"),DL51*2.4/$H51,DL51),IF($F51&lt;OFFSET($BN$9,$CN51+3,0,1,1),IF(AND($H51&gt;2.4,Z51&lt;&gt;"e",Z51&lt;&gt;"f"),DL51*2.4/$H51,DL51),0)))))*COS(RADIANS($G51)))</f>
        <v>0</v>
      </c>
      <c r="DI51" s="51">
        <f ca="1">IF(F51&lt;OFFSET($BM$9,CN51-1,0,1,1),0,IF(F51&lt;OFFSET($BN$9,CN51-1,0,1,1),((F51-OFFSET($BM$9,CN51-1,0,1,1))*OFFSET($CI$9,CN51-1,0,1,1))+OFFSET($BP$9,CN51-1,CQ51,1,1),IF(F51&lt;OFFSET($BN$9,CN51+0,0,1,1),((F51-OFFSET($BM$9,CN51+0,0,1,1))*OFFSET($CI$9,CN51+0,0,1,1))+OFFSET($BP$9,CN51+0,CQ51,1,1),IF(F51&lt;OFFSET($BN$9,CN51+1,0,1,1),((F51-OFFSET($BM$9,CN51+1,0,1,1))*OFFSET($CI$9,CN51+1,0,1,1))+OFFSET($BP$9,CN51+1,CQ51,1,1),IF(F51&lt;OFFSET($BN$9,CN51+2,0,1,1),((F51-OFFSET($BM$9,CN51+2,0,1,1))*OFFSET($CI$9,CN51+2,0,1,1))+OFFSET($BP$9,CN51+2,CQ51,1,1),IF(F51&lt;OFFSET($BN$9,CN51+3,0,1,1),((F51-OFFSET($BM$9,CN51+3,0,1,1))*OFFSET($CI$9,CN51+3,0,1,1))+OFFSET($BP$9,CN51+3,CQ51,1,1),0))))))</f>
        <v>0</v>
      </c>
      <c r="DJ51" s="51">
        <f ca="1">IF($F51&lt;OFFSET($BM$9,$CN51-1,0,1,1),0,IF($F51&lt;OFFSET($BN$9,$CN51-1,0,1,1),IF(AND($H51&gt;2.4,Z51&lt;&gt;"e",Z51&lt;&gt;"f"),DN51*2.4/$H51,DN51),IF($F51&lt;OFFSET($BN$9,$CN51+0,0,1,1),IF(AND($H51&gt;2.4,Z51&lt;&gt;"e",Z51&lt;&gt;"f"),DN51*2.4/$H51,DN51),IF($F51&lt;OFFSET($BN$9,$CN51+1,0,1,1),IF(AND($H51&gt;2.4,Z51&lt;&gt;"e",Z51&lt;&gt;"f"),DN51*2.4/$H51,DN51),IF($F51&lt;OFFSET($BN$9,$CN51+2,0,1,1),IF(AND($H51&gt;2.4,Z51&lt;&gt;"e",Z51&lt;&gt;"f"),DN51*2.4/$H51,DN51),IF($F51&lt;OFFSET($BN$9,$CN51+3,0,1,1),IF(AND($H51&gt;2.4,Z51&lt;&gt;"e",Z51&lt;&gt;"f"),DN51*2.4/$H51,DN51),0)))))*COS(RADIANS($G51)))</f>
        <v>0</v>
      </c>
      <c r="DK51" s="51"/>
      <c r="DL51" s="51">
        <f ca="1">IF(DG51&gt;$CR51,$CR51,DG51)</f>
        <v>0</v>
      </c>
      <c r="DM51" s="51"/>
      <c r="DN51" s="51">
        <f ca="1">IF(DI51&gt;$CR51,$CR51,DI51)</f>
        <v>0</v>
      </c>
      <c r="DO51" s="435">
        <f ca="1">IF(DH51&gt;$CR51,$CR51,DH51)</f>
        <v>0</v>
      </c>
      <c r="DP51" s="435">
        <f ca="1">DO51*F51</f>
        <v>0</v>
      </c>
      <c r="DQ51" s="436">
        <f ca="1">IF(DJ51&gt;$CR51,$CR51,DJ51)</f>
        <v>0</v>
      </c>
      <c r="DR51" s="437">
        <f ca="1">DQ51*F51</f>
        <v>0</v>
      </c>
      <c r="DS51" s="426">
        <f ca="1">OFFSET($CH$9,CL51-1,-15,1,1)</f>
        <v>0</v>
      </c>
      <c r="DT51" s="426">
        <f t="shared" ca="1" si="36"/>
        <v>0</v>
      </c>
      <c r="DU51" s="188">
        <f ca="1">IF(F51&lt;OFFSET($BM$9,DT51-1,0,1,1),0,IF(F51&lt;OFFSET($BN$9,DT51-1,0,1,1),((F51-OFFSET($BM$9,DT51-1,0,1,1))*OFFSET($CH$9,DT51-1,0,1,1))+OFFSET($BO$9,DT51-1,CQ51,1,1),IF(F51&lt;OFFSET($BN$9,DT51+0,0,1,1),((F51-OFFSET($BM$9,DT51+0,0,1,1))*OFFSET($CH$9,DT51+0,0,1,1))+OFFSET($BO$9,DT51+0,CQ51,1,1),IF(F51&lt;OFFSET($BN$9,DT51+1,0,1,1),((F51-OFFSET($BM$9,DT51+1,0,1,1))*OFFSET($CH$9,DT51+1,0,1,1))+OFFSET($BO$9,DT51+1,CQ51,1,1),IF(F51&lt;OFFSET($BN$9,DT51+2,0,1,1),((F51-OFFSET($BM$9,DT51+2,0,1,1))*OFFSET($CH$9,DT51+2,0,1,1))+OFFSET($BO$9,DT51+2,CQ51,1,1),IF(F51&lt;OFFSET($BN$9,DT51+3,0,1,1),((F51-OFFSET($BM$9,DT51+3,0,1,1))*OFFSET($CH$9,DT51+3,0,1,1))+OFFSET($BO$9,DT51+3,CQ51,1,1),0))))))</f>
        <v>0</v>
      </c>
      <c r="DV51" s="51">
        <f ca="1">IF($F51&lt;OFFSET($BM$9,$DT51-1,0,1,1),0,IF($F51&lt;OFFSET($BN$9,$DT51-1,0,1,1),IF(AND($H51&gt;2.4,Z51&lt;&gt;"e",Z51&lt;&gt;"f"),DZ51*2.4/$H51,DZ51),IF($F51&lt;OFFSET($BN$9,$DT51+0,0,1,1),IF(AND($H51&gt;2.4,Z51&lt;&gt;"e",Z51&lt;&gt;"f"),DZ51*2.4/$H51,DZ51),IF($F51&lt;OFFSET($BN$9,$DT51+1,0,1,1),IF(AND($H51&gt;2.4,Z51&lt;&gt;"e",Z51&lt;&gt;"f"),DZ51*2.4/$H51,DZ51),IF($F51&lt;OFFSET($BN$9,$DT51+2,0,1,1),IF(AND($H51&gt;2.4,Z51&lt;&gt;"e",Z51&lt;&gt;"f"),DZ51*2.4/$H51,DZ51),IF($F51&lt;OFFSET($BN$9,$DT51+3,0,1,1),IF(AND($H51&gt;2.4,Z51&lt;&gt;"e",Z51&lt;&gt;"f"),DZ51*2.4/$H51,DZ51),0)))))*COS(RADIANS($G51)))</f>
        <v>0</v>
      </c>
      <c r="DW51" s="188">
        <f ca="1">IF(F51&lt;OFFSET($BM$9,DT51-1,0,1,1),0,IF(F51&lt;OFFSET($BN$9,DT51-1,0,1,1),((F51-OFFSET($BM$9,DT51-1,0,1,1))*OFFSET($CI$9,DT51-1,0,1,1))+OFFSET($BP$9,DT51-1,CQ51,1,1),IF(F51&lt;OFFSET($BN$9,DT51+0,0,1,1),((F51-OFFSET($BM$9,DT51+0,0,1,1))*OFFSET($CI$9,DT51+0,0,1,1))+OFFSET($BP$9,DT51+0,CQ51,1,1),IF(F51&lt;OFFSET($BN$9,DT51+1,0,1,1),((F51-OFFSET($BM$9,DT51+1,0,1,1))*OFFSET($CI$9,DT51+1,0,1,1))+OFFSET($BP$9,DT51+1,CQ51,1,1),IF(F51&lt;OFFSET($BN$9,DT51+2,0,1,1),((F51-OFFSET($BM$9,DT51+2,0,1,1))*OFFSET($CI$9,DT51+2,0,1,1))+OFFSET($BP$9,DT51+2,CQ51,1,1),IF(F51&lt;OFFSET($BN$9,DT51+3,0,1,1),((F51-OFFSET($BM$9,DT51+3,0,1,1))*OFFSET($CI$9,DT51+3,0,1,1))+OFFSET($BP$9,DT51+3,CQ51,1,1),0))))))</f>
        <v>0</v>
      </c>
      <c r="DX51" s="51">
        <f ca="1">IF($F51&lt;OFFSET($BM$9,$DT51-1,0,1,1),0,IF($F51&lt;OFFSET($BN$9,$DT51-1,0,1,1),IF(AND($H51&gt;2.4,Z51&lt;&gt;"e",Z51&lt;&gt;"f"),EB51*2.4/$H51,EB51),IF($F51&lt;OFFSET($BN$9,$DT51+0,0,1,1),IF(AND($H51&gt;2.4,Z51&lt;&gt;"e",Z51&lt;&gt;"f"),EB51*2.4/$H51,EB51),IF($F51&lt;OFFSET($BN$9,$DT51+1,0,1,1),IF(AND($H51&gt;2.4,Z51&lt;&gt;"e",Z51&lt;&gt;"f"),EB51*2.4/$H51,EB51),IF($F51&lt;OFFSET($BN$9,$DT51+2,0,1,1),IF(AND($H51&gt;2.4,Z51&lt;&gt;"e",Z51&lt;&gt;"f"),EB51*2.4/$H51,EB51),IF($F51&lt;OFFSET($BN$9,$DT51+3,0,1,1),IF(AND($H51&gt;2.4,Z51&lt;&gt;"e",Z51&lt;&gt;"f"),EB51*2.4/$H51,EB51),0)))))*COS(RADIANS($G51)))</f>
        <v>0</v>
      </c>
      <c r="DY51" s="188"/>
      <c r="DZ51" s="188">
        <f ca="1">IF(DU51&gt;$CR51,$CR51,DU51)</f>
        <v>0</v>
      </c>
      <c r="EA51" s="188"/>
      <c r="EB51" s="188">
        <f ca="1">IF(DW51&gt;$CR51,$CR51,DW51)</f>
        <v>0</v>
      </c>
      <c r="EC51" s="435">
        <f ca="1">IF(DV51&gt;$CR51,$CR51,DV51)</f>
        <v>0</v>
      </c>
      <c r="ED51" s="435">
        <f ca="1">EC51*F51</f>
        <v>0</v>
      </c>
      <c r="EE51" s="436">
        <f ca="1">IF(DX51&gt;$CR51,$CR51,DX51)</f>
        <v>0</v>
      </c>
      <c r="EF51" s="437">
        <f ca="1">EE51*F51</f>
        <v>0</v>
      </c>
      <c r="EG51" s="613" t="str">
        <f>IF(D51=BG$12,BG$12,"")</f>
        <v/>
      </c>
      <c r="EH51" s="614" t="str">
        <f>IF(D51=BG$13,BG$13,"")</f>
        <v/>
      </c>
      <c r="EI51" s="611">
        <f>IF(EG51=BG$12,M51,0)</f>
        <v>0</v>
      </c>
      <c r="EJ51" s="451">
        <f>IF(EG51=BG$12,O51,0)</f>
        <v>0</v>
      </c>
      <c r="EK51" s="451">
        <f>IF(EH51=BG$13,M51,0)</f>
        <v>0</v>
      </c>
      <c r="EL51" s="612">
        <f>IF(EH51=BG$13,O51,0)</f>
        <v>0</v>
      </c>
      <c r="EM51" s="426" t="str">
        <f ca="1">IF(AND(Z51&lt;&gt;"t",Z51&lt;&gt;"f"),"",IF(AND(EN51=$BH$11,K51&lt;&gt;EN51),EM$4,IF(AND(EN51=$BH$12,K51=$BH$13),EM$4,IF(AND(EN51=$BH$12,K51=$BH$14),EM$4,IF(AND(EN51=$BH$13,K51=$BH$14),$EM$4,IF(EN51=$BH$14,$EM$4,""))))))</f>
        <v/>
      </c>
      <c r="EN51" s="489" t="str">
        <f>BG$24</f>
        <v>Earth</v>
      </c>
      <c r="EO51" s="426" t="str">
        <f>K51</f>
        <v xml:space="preserve"> </v>
      </c>
      <c r="EP51" s="497" t="str">
        <f ca="1">IF(AND(Z51&lt;&gt;"t",Z51&lt;&gt;"f"),"",IF(AND(EN51=$BH$14,K51&lt;&gt;EN51),EP$4,IF(AND(EN51=$BH$13,K51=$BH$12),EP$4,IF(AND(EN51=$BH$13,K51=$BH$11),EP$4,IF(AND(EN51=$BH$12,K51=$BH$11),$EP$4,IF(EN51=$BH$11,"Earth",""))))))</f>
        <v/>
      </c>
      <c r="EQ51" s="430" t="str">
        <f ca="1">IF(Z51&lt;&gt;"t","",IF(EQ$5=2,IF(K51&lt;&gt;BH$11,EQ$7," ")))</f>
        <v/>
      </c>
      <c r="ER51" s="439" t="str">
        <f ca="1">IF(H51=0," ",H51)</f>
        <v xml:space="preserve"> </v>
      </c>
      <c r="ES51" s="440" t="str">
        <f ca="1">IF(ER51&lt;&gt;" ",IF(ER51&lt;&gt;ER$7,"Changed",""),"")</f>
        <v/>
      </c>
      <c r="ET51" s="440">
        <f t="shared" ca="1" si="19"/>
        <v>0</v>
      </c>
      <c r="EU51" s="426" t="str">
        <f ca="1">IF(I51=" "," ",IF(F51&lt;OFFSET($BM$9,CL51-1,0,1,1),1,""))</f>
        <v xml:space="preserve"> </v>
      </c>
      <c r="EW51" s="427"/>
    </row>
    <row r="52" spans="1:153" ht="17.100000000000001" customHeight="1" thickBot="1">
      <c r="A52" s="2685"/>
      <c r="B52" s="689" t="s">
        <v>246</v>
      </c>
      <c r="C52" s="684" t="str">
        <f>IF(OR(F52=0,I52="",I52=" ")," ",$V52)</f>
        <v xml:space="preserve"> </v>
      </c>
      <c r="D52" s="1033"/>
      <c r="E52" s="1360" t="s">
        <v>8</v>
      </c>
      <c r="F52" s="202"/>
      <c r="G52" s="1416"/>
      <c r="H52" s="1417" t="str">
        <f ca="1">IF(OR(F52=0,Z52="E",Z52="f")," ",'Project Demand'!E$55)</f>
        <v xml:space="preserve"> </v>
      </c>
      <c r="I52" s="631" t="str">
        <f>IF($I$6&lt;&gt;$BG$8," ",AB52)</f>
        <v xml:space="preserve"> </v>
      </c>
      <c r="J52" s="44" t="str">
        <f ca="1">IF(OR(I52=" ",I52="")," ",OFFSET($BO$9,CL52-1,0-4,1,1))</f>
        <v xml:space="preserve"> </v>
      </c>
      <c r="K52" s="55" t="str">
        <f>IF(OR(I52=" ",I52="")," ",IF(OR(Z52="e",Z52="h"),"SD",IF(BG$24=BH$11,BH$13,BG$24)))</f>
        <v xml:space="preserve"> </v>
      </c>
      <c r="L52" s="49">
        <f ca="1">CW52</f>
        <v>0</v>
      </c>
      <c r="M52" s="49">
        <f ca="1">CY52</f>
        <v>0</v>
      </c>
      <c r="N52" s="50">
        <f t="shared" ca="1" si="41"/>
        <v>0</v>
      </c>
      <c r="O52" s="126">
        <f t="shared" ca="1" si="41"/>
        <v>0</v>
      </c>
      <c r="P52" s="140"/>
      <c r="Q52" s="752" t="str">
        <f ca="1">IF(AND(OR(Z52="t",Z52="f"),K52=$BH$11),"No Floor!  Change Floor Type",IF(OR(I52=" ",I52="")," ",IF(F52&lt;OFFSET($BM$9,CL52-1,0,1,1),"check L(m)",DE52&amp;IF(AND(DP52&gt;=CY52,DR52&gt;=DB52),IF(AND(ED52&gt;=DP52,EF52&gt;=DR52),CONCATENATE(DS52," will provide same result"),CONCATENATE(CO52," will provide same result")),IF((DP52&gt;=CY52),CONCATENATE(CO52," provides same result in WIND"),IF((DR52&gt;=DB52),CONCATENATE(CO52," provides same result in EQ"),""))))))&amp;IF(ISERROR(FIND("pile",I52,1)),"",IF(INT(F52)&lt;&gt;F52,"Pile!  Use Whole Numbers Only",""))</f>
        <v xml:space="preserve"> </v>
      </c>
      <c r="R52" s="52"/>
      <c r="S52" s="1372"/>
      <c r="T52" s="1372"/>
      <c r="U52" s="1377"/>
      <c r="V52" s="52" t="str">
        <f ca="1">IF(AND(B$5=$BF$9,OR(I52=BH$16,I52=BH$17))," ",IF(ISNUMBER(B$50),(CONCATENATE(B$50,".",W52)),(CONCATENATE(B$50,W52))))</f>
        <v>T0</v>
      </c>
      <c r="W52" s="9">
        <f ca="1">W51+X52</f>
        <v>0</v>
      </c>
      <c r="X52" s="9">
        <f>IF(AND(B$5=$BF$9,OR($I52=$BH$16,$I52=$BH$17,$I52=" ",$I52="",$F52=0)),0,IF(OR($I52=" ",$I52="",$F52=0),0,1))</f>
        <v>0</v>
      </c>
      <c r="Y52" s="896"/>
      <c r="Z52" s="52" t="str">
        <f ca="1">IF(I52=" "," ",OFFSET($BM$9,$CL52-1,8,1,1))</f>
        <v xml:space="preserve"> </v>
      </c>
      <c r="AA52" s="51" t="str">
        <f>IF(G52&gt;=45,"WA","")</f>
        <v/>
      </c>
      <c r="AB52" s="1364" t="str">
        <f>IF(OR(E52=" ",E52="")," ",(IF(F52&lt;&gt;"",IF(OR(D52=$BG$12,D52=$BG$13),IF(E52&lt;&gt;$BG$17,$BF$20,$BF$21),IF(E52&lt;&gt;$BG$17,$BF$20,$BF$21))," ")))</f>
        <v xml:space="preserve"> </v>
      </c>
      <c r="AC52" s="1"/>
      <c r="AJ52" s="2"/>
      <c r="AK52" s="63" t="str">
        <f>'Custom Elements'!B13</f>
        <v xml:space="preserve">  </v>
      </c>
      <c r="AL52" s="860" t="str">
        <f>'Custom Elements'!C13</f>
        <v>Custom5</v>
      </c>
      <c r="AM52" s="11">
        <f>'Custom Elements'!D13</f>
        <v>9.9999999999999996E-76</v>
      </c>
      <c r="AN52" s="7">
        <f>'Custom Elements'!E13</f>
        <v>0</v>
      </c>
      <c r="AO52" s="7">
        <f>'Custom Elements'!F13</f>
        <v>0</v>
      </c>
      <c r="AP52" s="762" t="str">
        <f>'Custom Elements'!G13</f>
        <v>B</v>
      </c>
      <c r="AQ52" s="1777" t="str">
        <f>'Custom Elements'!H13</f>
        <v>Single</v>
      </c>
      <c r="AR52" s="1775" t="str">
        <f>'Custom Elements'!I13</f>
        <v>Yes</v>
      </c>
      <c r="AS52" s="442" t="str">
        <f>'Custom Elements'!J13</f>
        <v>Yes</v>
      </c>
      <c r="AT52" s="1150"/>
      <c r="AU52"/>
      <c r="AW52"/>
      <c r="AY52"/>
      <c r="AZ52" s="442" t="str">
        <f>IF(AND('Custom Elements'!J13="Yes",'Custom Elements'!I13="Yes"),"T",IF('Custom Elements'!J13="Yes","F",IF('Custom Elements'!I13="Yes","H","E")))</f>
        <v>T</v>
      </c>
      <c r="BA52" s="47"/>
      <c r="BB52" s="47"/>
      <c r="BC52" s="47"/>
      <c r="BD52" s="638"/>
      <c r="BF52" s="599" t="str">
        <f>'Custom Elements'!C28</f>
        <v>Custom20</v>
      </c>
      <c r="BI52" s="759"/>
      <c r="BJ52" s="897">
        <f t="shared" si="37"/>
        <v>44</v>
      </c>
      <c r="BK52" s="1220"/>
      <c r="BL52" s="766"/>
      <c r="BM52" s="455">
        <f>Table!D6</f>
        <v>0.8</v>
      </c>
      <c r="BN52" s="455">
        <f>BM53</f>
        <v>1.2</v>
      </c>
      <c r="BO52" s="455">
        <f>Table!E6</f>
        <v>72</v>
      </c>
      <c r="BP52" s="925">
        <f>Table!F6</f>
        <v>61</v>
      </c>
      <c r="BR52" s="764"/>
      <c r="BS52" s="455"/>
      <c r="BT52" s="455"/>
      <c r="BU52" s="925" t="s">
        <v>242</v>
      </c>
      <c r="BV52" s="895"/>
      <c r="BW52" s="912"/>
      <c r="BX52" s="925" t="str">
        <f>Table!H5</f>
        <v>Single</v>
      </c>
      <c r="CH52" s="764">
        <f>IF(BN52=999,0,(BO53-BO52)/(BN52-BM52))</f>
        <v>0</v>
      </c>
      <c r="CI52" s="925">
        <f>IF(BN52=999,0,(BP53-BP52)/(BN52-BM52))</f>
        <v>7.5000000000000018</v>
      </c>
      <c r="CJ52" s="759"/>
      <c r="CK52" s="188"/>
      <c r="CL52" s="979">
        <f>VLOOKUP(I52,Prodlink,2,0)</f>
        <v>0</v>
      </c>
      <c r="CN52" s="497">
        <f t="shared" ca="1" si="35"/>
        <v>0</v>
      </c>
      <c r="CO52" s="497">
        <f ca="1">OFFSET($CH$9,CL52-1,-15,1,1)</f>
        <v>0</v>
      </c>
      <c r="CQ52" s="51">
        <v>0</v>
      </c>
      <c r="CR52" s="51">
        <f t="shared" ca="1" si="42"/>
        <v>10000</v>
      </c>
      <c r="CS52" s="51">
        <f ca="1">IF(F52&lt;OFFSET($BM$9,CL52-1,0,1,1),0,IF(F52&lt;OFFSET($BN$9,CL52-1,0,1,1),((F52-OFFSET($BM$9,CL52-1,0,1,1))*OFFSET($CH$9,CL52-1,0,1,1))+OFFSET($BO$9,CL52-1,CQ52,1,1),IF(F52&lt;OFFSET($BN$9,CL52+0,0,1,1),((F52-OFFSET($BM$9,CL52+0,0,1,1))*OFFSET($CH$9,CL52+0,0,1,1))+OFFSET($BO$9,CL52+0,CQ52,1,1),IF(F52&lt;OFFSET($BN$9,CL52+1,0,1,1),((F52-OFFSET($BM$9,CL52+1,0,1,1))*OFFSET($CH$9,CL52+1,0,1,1))+OFFSET($BO$9,CL52+1,CQ52,1,1),IF(F52&lt;OFFSET($BN$9,CL52+2,0,1,1),((F52-OFFSET($BM$9,CL52+2,0,1,1))*OFFSET($CH$9,CL52+2,0,1,1))+OFFSET($BO$9,CL52+2,CQ52,1,1),IF(F52&lt;OFFSET($BN$9,CL52+3,0,1,1),((F52-OFFSET($BM$9,CL52+3,0,1,1))*OFFSET($CH$9,CL52+3,0,1,1))+OFFSET($BO$9,CL52+3,CQ52,1,1),0))))))</f>
        <v>0</v>
      </c>
      <c r="CT52" s="51">
        <f ca="1">IF($F52&lt;OFFSET($BM$9,$CL52-1,0,1,1),0,IF($F52&lt;OFFSET($BN$9,$CL52-1,0,1,1),IF(AND($H52&gt;2.4,Z52&lt;&gt;"e",Z52&lt;&gt;"f"),CX52*2.4/$H52,CX52),IF($F52&lt;OFFSET($BN$9,$CL52+0,0,1,1),IF(AND($H52&gt;2.4,Z52&lt;&gt;"e",Z52&lt;&gt;"f"),CX52*2.4/$H52,CX52),IF($F52&lt;OFFSET($BN$9,$CL52+1,0,1,1),IF(AND($H52&gt;2.4,Z52&lt;&gt;"e",Z52&lt;&gt;"f"),CX52*2.4/$H52,CX52),IF($F52&lt;OFFSET($BN$9,CL52+2,0,1,1),IF(AND($H52&gt;2.4,Z52&lt;&gt;"e",Z52&lt;&gt;"f"),CX52*2.4/$H52,CX52),IF($F52&lt;OFFSET($BN$9,CL52+3,0,1,1),IF(AND($H52&gt;2.4,Z52&lt;&gt;"e",Z52&lt;&gt;"f"),CX52*2.4/$H52,CX52),0)))))*COS(RADIANS($G52)))</f>
        <v>0</v>
      </c>
      <c r="CU52" s="51">
        <f ca="1">IF(F52&lt;OFFSET($BM$9,CL52-1,0,1,1),0,IF(F52&lt;OFFSET($BN$9,CL52-1,0,1,1),((F52-OFFSET($BM$9,CL52-1,0,1,1))*OFFSET($CI$9,CL52-1,0,1,1))+OFFSET($BP$9,CL52-1,CQ52,1,1),IF(F52&lt;OFFSET($BN$9,CL52+0,0,1,1),((F52-OFFSET($BM$9,CL52+0,0,1,1))*OFFSET($CI$9,CL52+0,0,1,1))+OFFSET($BP$9,CL52+0,CQ52,1,1),IF(F52&lt;OFFSET($BN$9,CL52+1,0,1,1),((F52-OFFSET($BM$9,CL52+1,0,1,1))*OFFSET($CI$9,CL52+1,0,1,1))+OFFSET($BP$9,CL52+1,CQ52,1,1),IF(F52&lt;OFFSET($BN$9,CL52+2,0,1,1),((F52-OFFSET($BM$9,CL52+2,0,1,1))*OFFSET($CI$9,CL52+2,0,1,1))+OFFSET($BP$9,CL52+2,CQ52,1,1),IF(F52&lt;OFFSET($BN$9,CL52+3,0,1,1),((F52-OFFSET($BM$9,CL52+3,0,1,1))*OFFSET($CI$9,CL52+3,0,1,1))+OFFSET($BP$9,CL52+3,CQ52,1,1),0))))))</f>
        <v>0</v>
      </c>
      <c r="CV52" s="51">
        <f ca="1">IF($F52&lt;OFFSET($BM$9,$CL52-1,0,1,1),0,IF($F52&lt;OFFSET($BN$9,$CL52-1,0,1,1),IF(AND($H52&gt;2.4,Z52&lt;&gt;"e",Z52&lt;&gt;"f"),CZ52*2.4/$H52,CZ52),IF($F52&lt;OFFSET($BN$9,$CL52+0,0,1,1),IF(AND($H52&gt;2.4,Z52&lt;&gt;"e",Z52&lt;&gt;"f"),CZ52*2.4/$H52,CZ52),IF($F52&lt;OFFSET($BN$9,$CL52+1,0,1,1),IF(AND($H52&gt;2.4,Z52&lt;&gt;"e",Z52&lt;&gt;"f"),CZ52*2.4/$H52,CZ52),IF($F52&lt;OFFSET($BN$9,$CL52+2,0,1,1),IF(AND($H52&gt;2.4,Z52&lt;&gt;"e",Z52&lt;&gt;"f"),CZ52*2.4/$H52,CZ52),IF($F52&lt;OFFSET($BN$9,$CL52+3,0,1,1),IF(AND($H52&gt;2.4,Z52&lt;&gt;"e",Z52&lt;&gt;"f"),CZ52*2.4/$H52,CZ52),0)))))*COS(RADIANS($G52)))</f>
        <v>0</v>
      </c>
      <c r="CW52" s="51">
        <f t="shared" ca="1" si="18"/>
        <v>0</v>
      </c>
      <c r="CX52" s="51">
        <f ca="1">IF(CS52&gt;$CR52,$CR52,CS52)</f>
        <v>0</v>
      </c>
      <c r="CY52" s="51">
        <f ca="1">CW52*F52</f>
        <v>0</v>
      </c>
      <c r="CZ52" s="51">
        <f ca="1">IF($CU52&gt;$CR52,$CR52,$CU52)</f>
        <v>0</v>
      </c>
      <c r="DA52" s="51">
        <f ca="1">IF(CV52&gt;CR52,CR52,CV52)</f>
        <v>0</v>
      </c>
      <c r="DB52" s="51">
        <f ca="1">DA52*F52</f>
        <v>0</v>
      </c>
      <c r="DC52" s="993">
        <v>1</v>
      </c>
      <c r="DD52" s="758" t="str">
        <f>IF(OR(D52=BG$12,D52=BG$13),"External",IF(D52=BG$14,"Internal"," "))</f>
        <v xml:space="preserve"> </v>
      </c>
      <c r="DE52" s="51" t="str">
        <f t="shared" ca="1" si="4"/>
        <v/>
      </c>
      <c r="DF52" s="52" t="str">
        <f t="shared" ca="1" si="5"/>
        <v xml:space="preserve"> </v>
      </c>
      <c r="DG52" s="51">
        <f ca="1">IF(F52&lt;OFFSET($BM$9,CN52-1,0,1,1),0,IF(F52&lt;OFFSET($BN$9,CN52-1,0,1,1),((F52-OFFSET($BM$9,CN52-1,0,1,1))*OFFSET($CH$9,CN52-1,0,1,1))+OFFSET($BO$9,CN52-1,CQ52,1,1),IF(F52&lt;OFFSET($BN$9,CN52+0,0,1,1),((F52-OFFSET($BM$9,CN52+0,0,1,1))*OFFSET($CH$9,CN52+0,0,1,1))+OFFSET($BO$9,CN52+0,CQ52,1,1),IF(F52&lt;OFFSET($BN$9,CN52+1,0,1,1),((F52-OFFSET($BM$9,CN52+1,0,1,1))*OFFSET($CH$9,CN52+1,0,1,1))+OFFSET($BO$9,CN52+1,CQ52,1,1),IF(F52&lt;OFFSET($BN$9,CN52+2,0,1,1),((F52-OFFSET($BM$9,CN52+2,0,1,1))*OFFSET($CH$9,CN52+2,0,1,1))+OFFSET($BO$9,CN52+2,CQ52,1,1),IF(F52&lt;OFFSET($BN$9,CN52+3,0,1,1),((F52-OFFSET($BM$9,CN52+3,0,1,1))*OFFSET($CH$9,CN52+3,0,1,1))+OFFSET($BO$9,CN52+3,CQ52,1,1),0))))))</f>
        <v>0</v>
      </c>
      <c r="DH52" s="51">
        <f ca="1">IF($F52&lt;OFFSET($BM$9,$CN52-1,0,1,1),0,IF($F52&lt;OFFSET($BN$9,$CN52-1,0,1,1),IF(AND($H52&gt;2.4,Z52&lt;&gt;"e",Z52&lt;&gt;"f"),DL52*2.4/$H52,DL52),IF($F52&lt;OFFSET($BN$9,$CN52+0,0,1,1),IF(AND($H52&gt;2.4,Z52&lt;&gt;"e",Z52&lt;&gt;"f"),DL52*2.4/$H52,DL52),IF($F52&lt;OFFSET($BN$9,$CN52+1,0,1,1),IF(AND($H52&gt;2.4,Z52&lt;&gt;"e",Z52&lt;&gt;"f"),DL52*2.4/$H52,DL52),IF($F52&lt;OFFSET($BN$9,$CN52+2,0,1,1),IF(AND($H52&gt;2.4,Z52&lt;&gt;"e",Z52&lt;&gt;"f"),DL52*2.4/$H52,DL52),IF($F52&lt;OFFSET($BN$9,$CN52+3,0,1,1),IF(AND($H52&gt;2.4,Z52&lt;&gt;"e",Z52&lt;&gt;"f"),DL52*2.4/$H52,DL52),0)))))*COS(RADIANS($G52)))</f>
        <v>0</v>
      </c>
      <c r="DI52" s="51">
        <f ca="1">IF(F52&lt;OFFSET($BM$9,CN52-1,0,1,1),0,IF(F52&lt;OFFSET($BN$9,CN52-1,0,1,1),((F52-OFFSET($BM$9,CN52-1,0,1,1))*OFFSET($CI$9,CN52-1,0,1,1))+OFFSET($BP$9,CN52-1,CQ52,1,1),IF(F52&lt;OFFSET($BN$9,CN52+0,0,1,1),((F52-OFFSET($BM$9,CN52+0,0,1,1))*OFFSET($CI$9,CN52+0,0,1,1))+OFFSET($BP$9,CN52+0,CQ52,1,1),IF(F52&lt;OFFSET($BN$9,CN52+1,0,1,1),((F52-OFFSET($BM$9,CN52+1,0,1,1))*OFFSET($CI$9,CN52+1,0,1,1))+OFFSET($BP$9,CN52+1,CQ52,1,1),IF(F52&lt;OFFSET($BN$9,CN52+2,0,1,1),((F52-OFFSET($BM$9,CN52+2,0,1,1))*OFFSET($CI$9,CN52+2,0,1,1))+OFFSET($BP$9,CN52+2,CQ52,1,1),IF(F52&lt;OFFSET($BN$9,CN52+3,0,1,1),((F52-OFFSET($BM$9,CN52+3,0,1,1))*OFFSET($CI$9,CN52+3,0,1,1))+OFFSET($BP$9,CN52+3,CQ52,1,1),0))))))</f>
        <v>0</v>
      </c>
      <c r="DJ52" s="51">
        <f ca="1">IF($F52&lt;OFFSET($BM$9,$CN52-1,0,1,1),0,IF($F52&lt;OFFSET($BN$9,$CN52-1,0,1,1),IF(AND($H52&gt;2.4,Z52&lt;&gt;"e",Z52&lt;&gt;"f"),DN52*2.4/$H52,DN52),IF($F52&lt;OFFSET($BN$9,$CN52+0,0,1,1),IF(AND($H52&gt;2.4,Z52&lt;&gt;"e",Z52&lt;&gt;"f"),DN52*2.4/$H52,DN52),IF($F52&lt;OFFSET($BN$9,$CN52+1,0,1,1),IF(AND($H52&gt;2.4,Z52&lt;&gt;"e",Z52&lt;&gt;"f"),DN52*2.4/$H52,DN52),IF($F52&lt;OFFSET($BN$9,$CN52+2,0,1,1),IF(AND($H52&gt;2.4,Z52&lt;&gt;"e",Z52&lt;&gt;"f"),DN52*2.4/$H52,DN52),IF($F52&lt;OFFSET($BN$9,$CN52+3,0,1,1),IF(AND($H52&gt;2.4,Z52&lt;&gt;"e",Z52&lt;&gt;"f"),DN52*2.4/$H52,DN52),0)))))*COS(RADIANS($G52)))</f>
        <v>0</v>
      </c>
      <c r="DK52" s="51"/>
      <c r="DL52" s="51">
        <f ca="1">IF(DG52&gt;$CR52,$CR52,DG52)</f>
        <v>0</v>
      </c>
      <c r="DM52" s="51"/>
      <c r="DN52" s="51">
        <f ca="1">IF(DI52&gt;$CR52,$CR52,DI52)</f>
        <v>0</v>
      </c>
      <c r="DO52" s="435">
        <f ca="1">IF(DH52&gt;$CR52,$CR52,DH52)</f>
        <v>0</v>
      </c>
      <c r="DP52" s="435">
        <f ca="1">DO52*F52</f>
        <v>0</v>
      </c>
      <c r="DQ52" s="436">
        <f ca="1">IF(DJ52&gt;$CR52,$CR52,DJ52)</f>
        <v>0</v>
      </c>
      <c r="DR52" s="437">
        <f ca="1">DQ52*F52</f>
        <v>0</v>
      </c>
      <c r="DS52" s="426">
        <f ca="1">OFFSET($CH$9,CL52-1,-15,1,1)</f>
        <v>0</v>
      </c>
      <c r="DT52" s="426">
        <f t="shared" ca="1" si="36"/>
        <v>0</v>
      </c>
      <c r="DU52" s="188">
        <f ca="1">IF(F52&lt;OFFSET($BM$9,DT52-1,0,1,1),0,IF(F52&lt;OFFSET($BN$9,DT52-1,0,1,1),((F52-OFFSET($BM$9,DT52-1,0,1,1))*OFFSET($CH$9,DT52-1,0,1,1))+OFFSET($BO$9,DT52-1,CQ52,1,1),IF(F52&lt;OFFSET($BN$9,DT52+0,0,1,1),((F52-OFFSET($BM$9,DT52+0,0,1,1))*OFFSET($CH$9,DT52+0,0,1,1))+OFFSET($BO$9,DT52+0,CQ52,1,1),IF(F52&lt;OFFSET($BN$9,DT52+1,0,1,1),((F52-OFFSET($BM$9,DT52+1,0,1,1))*OFFSET($CH$9,DT52+1,0,1,1))+OFFSET($BO$9,DT52+1,CQ52,1,1),IF(F52&lt;OFFSET($BN$9,DT52+2,0,1,1),((F52-OFFSET($BM$9,DT52+2,0,1,1))*OFFSET($CH$9,DT52+2,0,1,1))+OFFSET($BO$9,DT52+2,CQ52,1,1),IF(F52&lt;OFFSET($BN$9,DT52+3,0,1,1),((F52-OFFSET($BM$9,DT52+3,0,1,1))*OFFSET($CH$9,DT52+3,0,1,1))+OFFSET($BO$9,DT52+3,CQ52,1,1),0))))))</f>
        <v>0</v>
      </c>
      <c r="DV52" s="51">
        <f ca="1">IF($F52&lt;OFFSET($BM$9,$DT52-1,0,1,1),0,IF($F52&lt;OFFSET($BN$9,$DT52-1,0,1,1),IF(AND($H52&gt;2.4,Z52&lt;&gt;"e",Z52&lt;&gt;"f"),DZ52*2.4/$H52,DZ52),IF($F52&lt;OFFSET($BN$9,$DT52+0,0,1,1),IF(AND($H52&gt;2.4,Z52&lt;&gt;"e",Z52&lt;&gt;"f"),DZ52*2.4/$H52,DZ52),IF($F52&lt;OFFSET($BN$9,$DT52+1,0,1,1),IF(AND($H52&gt;2.4,Z52&lt;&gt;"e",Z52&lt;&gt;"f"),DZ52*2.4/$H52,DZ52),IF($F52&lt;OFFSET($BN$9,$DT52+2,0,1,1),IF(AND($H52&gt;2.4,Z52&lt;&gt;"e",Z52&lt;&gt;"f"),DZ52*2.4/$H52,DZ52),IF($F52&lt;OFFSET($BN$9,$DT52+3,0,1,1),IF(AND($H52&gt;2.4,Z52&lt;&gt;"e",Z52&lt;&gt;"f"),DZ52*2.4/$H52,DZ52),0)))))*COS(RADIANS($G52)))</f>
        <v>0</v>
      </c>
      <c r="DW52" s="188">
        <f ca="1">IF(F52&lt;OFFSET($BM$9,DT52-1,0,1,1),0,IF(F52&lt;OFFSET($BN$9,DT52-1,0,1,1),((F52-OFFSET($BM$9,DT52-1,0,1,1))*OFFSET($CI$9,DT52-1,0,1,1))+OFFSET($BP$9,DT52-1,CQ52,1,1),IF(F52&lt;OFFSET($BN$9,DT52+0,0,1,1),((F52-OFFSET($BM$9,DT52+0,0,1,1))*OFFSET($CI$9,DT52+0,0,1,1))+OFFSET($BP$9,DT52+0,CQ52,1,1),IF(F52&lt;OFFSET($BN$9,DT52+1,0,1,1),((F52-OFFSET($BM$9,DT52+1,0,1,1))*OFFSET($CI$9,DT52+1,0,1,1))+OFFSET($BP$9,DT52+1,CQ52,1,1),IF(F52&lt;OFFSET($BN$9,DT52+2,0,1,1),((F52-OFFSET($BM$9,DT52+2,0,1,1))*OFFSET($CI$9,DT52+2,0,1,1))+OFFSET($BP$9,DT52+2,CQ52,1,1),IF(F52&lt;OFFSET($BN$9,DT52+3,0,1,1),((F52-OFFSET($BM$9,DT52+3,0,1,1))*OFFSET($CI$9,DT52+3,0,1,1))+OFFSET($BP$9,DT52+3,CQ52,1,1),0))))))</f>
        <v>0</v>
      </c>
      <c r="DX52" s="51">
        <f ca="1">IF($F52&lt;OFFSET($BM$9,$DT52-1,0,1,1),0,IF($F52&lt;OFFSET($BN$9,$DT52-1,0,1,1),IF(AND($H52&gt;2.4,Z52&lt;&gt;"e",Z52&lt;&gt;"f"),EB52*2.4/$H52,EB52),IF($F52&lt;OFFSET($BN$9,$DT52+0,0,1,1),IF(AND($H52&gt;2.4,Z52&lt;&gt;"e",Z52&lt;&gt;"f"),EB52*2.4/$H52,EB52),IF($F52&lt;OFFSET($BN$9,$DT52+1,0,1,1),IF(AND($H52&gt;2.4,Z52&lt;&gt;"e",Z52&lt;&gt;"f"),EB52*2.4/$H52,EB52),IF($F52&lt;OFFSET($BN$9,$DT52+2,0,1,1),IF(AND($H52&gt;2.4,Z52&lt;&gt;"e",Z52&lt;&gt;"f"),EB52*2.4/$H52,EB52),IF($F52&lt;OFFSET($BN$9,$DT52+3,0,1,1),IF(AND($H52&gt;2.4,Z52&lt;&gt;"e",Z52&lt;&gt;"f"),EB52*2.4/$H52,EB52),0)))))*COS(RADIANS($G52)))</f>
        <v>0</v>
      </c>
      <c r="DY52" s="188"/>
      <c r="DZ52" s="188">
        <f ca="1">IF(DU52&gt;$CR52,$CR52,DU52)</f>
        <v>0</v>
      </c>
      <c r="EA52" s="188"/>
      <c r="EB52" s="188">
        <f ca="1">IF(DW52&gt;$CR52,$CR52,DW52)</f>
        <v>0</v>
      </c>
      <c r="EC52" s="435">
        <f ca="1">IF(DV52&gt;$CR52,$CR52,DV52)</f>
        <v>0</v>
      </c>
      <c r="ED52" s="435">
        <f ca="1">EC52*F52</f>
        <v>0</v>
      </c>
      <c r="EE52" s="436">
        <f ca="1">IF(DX52&gt;$CR52,$CR52,DX52)</f>
        <v>0</v>
      </c>
      <c r="EF52" s="437">
        <f ca="1">EE52*F52</f>
        <v>0</v>
      </c>
      <c r="EG52" s="613" t="str">
        <f>IF(D52=BG$12,BG$12,"")</f>
        <v/>
      </c>
      <c r="EH52" s="614" t="str">
        <f>IF(D52=BG$13,BG$13,"")</f>
        <v/>
      </c>
      <c r="EI52" s="611">
        <f>IF(EG52=BG$12,M52,0)</f>
        <v>0</v>
      </c>
      <c r="EJ52" s="451">
        <f>IF(EG52=BG$12,O52,0)</f>
        <v>0</v>
      </c>
      <c r="EK52" s="451">
        <f>IF(EH52=BG$13,M52,0)</f>
        <v>0</v>
      </c>
      <c r="EL52" s="612">
        <f>IF(EH52=BG$13,O52,0)</f>
        <v>0</v>
      </c>
      <c r="EM52" s="426" t="str">
        <f ca="1">IF(AND(Z52&lt;&gt;"t",Z52&lt;&gt;"f"),"",IF(AND(EN52=$BH$11,K52&lt;&gt;EN52),EM$4,IF(AND(EN52=$BH$12,K52=$BH$13),EM$4,IF(AND(EN52=$BH$12,K52=$BH$14),EM$4,IF(AND(EN52=$BH$13,K52=$BH$14),$EM$4,IF(EN52=$BH$14,$EM$4,""))))))</f>
        <v/>
      </c>
      <c r="EN52" s="489" t="str">
        <f>BG$24</f>
        <v>Earth</v>
      </c>
      <c r="EO52" s="426" t="str">
        <f>K52</f>
        <v xml:space="preserve"> </v>
      </c>
      <c r="EP52" s="497" t="str">
        <f ca="1">IF(AND(Z52&lt;&gt;"t",Z52&lt;&gt;"f"),"",IF(AND(EN52=$BH$14,K52&lt;&gt;EN52),EP$4,IF(AND(EN52=$BH$13,K52=$BH$12),EP$4,IF(AND(EN52=$BH$13,K52=$BH$11),EP$4,IF(AND(EN52=$BH$12,K52=$BH$11),$EP$4,IF(EN52=$BH$11,"Earth",""))))))</f>
        <v/>
      </c>
      <c r="EQ52" s="430" t="str">
        <f ca="1">IF(Z52&lt;&gt;"t","",IF(EQ$5=2,IF(K52&lt;&gt;BH$11,EQ$7," ")))</f>
        <v/>
      </c>
      <c r="ER52" s="439" t="str">
        <f ca="1">IF(H52=0," ",H52)</f>
        <v xml:space="preserve"> </v>
      </c>
      <c r="ES52" s="440" t="str">
        <f ca="1">IF(ER52&lt;&gt;" ",IF(ER52&lt;&gt;ER$7,"Changed",""),"")</f>
        <v/>
      </c>
      <c r="ET52" s="440">
        <f t="shared" ca="1" si="19"/>
        <v>0</v>
      </c>
      <c r="EU52" s="426" t="str">
        <f ca="1">IF(I52=" "," ",IF(F52&lt;OFFSET($BM$9,CL52-1,0,1,1),1,""))</f>
        <v xml:space="preserve"> </v>
      </c>
      <c r="EW52" s="427"/>
    </row>
    <row r="53" spans="1:153" ht="17.100000000000001" customHeight="1">
      <c r="A53" s="2685"/>
      <c r="B53" s="689" t="s">
        <v>246</v>
      </c>
      <c r="C53" s="684" t="str">
        <f>IF(OR(F53=0,I53="",I53=" ")," ",$V53)</f>
        <v xml:space="preserve"> </v>
      </c>
      <c r="D53" s="1033"/>
      <c r="E53" s="1360" t="s">
        <v>8</v>
      </c>
      <c r="F53" s="202"/>
      <c r="G53" s="1416"/>
      <c r="H53" s="1417" t="str">
        <f ca="1">IF(OR(F53=0,Z53="E",Z53="f")," ",'Project Demand'!E$55)</f>
        <v xml:space="preserve"> </v>
      </c>
      <c r="I53" s="631" t="str">
        <f>IF($I$6&lt;&gt;$BG$8," ",AB53)</f>
        <v xml:space="preserve"> </v>
      </c>
      <c r="J53" s="44" t="str">
        <f ca="1">IF(OR(I53=" ",I53="")," ",OFFSET($BO$9,CL53-1,0-4,1,1))</f>
        <v xml:space="preserve"> </v>
      </c>
      <c r="K53" s="55" t="str">
        <f>IF(OR(I53=" ",I53="")," ",IF(OR(Z53="e",Z53="h"),"SD",IF(BG$24=BH$11,BH$13,BG$24)))</f>
        <v xml:space="preserve"> </v>
      </c>
      <c r="L53" s="49">
        <f ca="1">CW53</f>
        <v>0</v>
      </c>
      <c r="M53" s="49">
        <f ca="1">CY53</f>
        <v>0</v>
      </c>
      <c r="N53" s="50">
        <f t="shared" ca="1" si="41"/>
        <v>0</v>
      </c>
      <c r="O53" s="126">
        <f t="shared" ca="1" si="41"/>
        <v>0</v>
      </c>
      <c r="P53" s="140"/>
      <c r="Q53" s="752" t="str">
        <f ca="1">IF(AND(OR(Z53="t",Z53="f"),K53=$BH$11),"No Floor!  Change Floor Type",IF(OR(I53=" ",I53="")," ",IF(F53&lt;OFFSET($BM$9,CL53-1,0,1,1),"check L(m)",DE53&amp;IF(AND(DP53&gt;=CY53,DR53&gt;=DB53),IF(AND(ED53&gt;=DP53,EF53&gt;=DR53),CONCATENATE(DS53," will provide same result"),CONCATENATE(CO53," will provide same result")),IF((DP53&gt;=CY53),CONCATENATE(CO53," provides same result in WIND"),IF((DR53&gt;=DB53),CONCATENATE(CO53," provides same result in EQ"),""))))))&amp;IF(ISERROR(FIND("pile",I53,1)),"",IF(INT(F53)&lt;&gt;F53,"Pile!  Use Whole Numbers Only",""))</f>
        <v xml:space="preserve"> </v>
      </c>
      <c r="R53" s="52"/>
      <c r="S53" s="1372"/>
      <c r="T53" s="1372"/>
      <c r="U53" s="1377"/>
      <c r="V53" s="52" t="str">
        <f ca="1">IF(AND(B$5=$BF$9,OR(I53=BH$16,I53=BH$17))," ",IF(ISNUMBER(B$50),(CONCATENATE(B$50,".",W53)),(CONCATENATE(B$50,W53))))</f>
        <v>T0</v>
      </c>
      <c r="W53" s="9">
        <f ca="1">W52+X53</f>
        <v>0</v>
      </c>
      <c r="X53" s="9">
        <f>IF(AND(B$5=$BF$9,OR($I53=$BH$16,$I53=$BH$17,$I53=" ",$I53="",$F53=0)),0,IF(OR($I53=" ",$I53="",$F53=0),0,1))</f>
        <v>0</v>
      </c>
      <c r="Y53" s="896"/>
      <c r="Z53" s="52" t="str">
        <f ca="1">IF(I53=" "," ",OFFSET($BM$9,$CL53-1,8,1,1))</f>
        <v xml:space="preserve"> </v>
      </c>
      <c r="AA53" s="51" t="str">
        <f>IF(G53&gt;=45,"WA","")</f>
        <v/>
      </c>
      <c r="AB53" s="1364" t="str">
        <f>IF(OR(E53=" ",E53="")," ",(IF(F53&lt;&gt;"",IF(OR(D53=$BG$12,D53=$BG$13),IF(E53&lt;&gt;$BG$17,$BF$20,$BF$21),IF(E53&lt;&gt;$BG$17,$BF$20,$BF$21))," ")))</f>
        <v xml:space="preserve"> </v>
      </c>
      <c r="AC53" s="1"/>
      <c r="AJ53" s="2"/>
      <c r="AK53" s="63" t="str">
        <f>'Custom Elements'!B14</f>
        <v xml:space="preserve">  </v>
      </c>
      <c r="AL53" s="860" t="str">
        <f>'Custom Elements'!C14</f>
        <v>Custom6</v>
      </c>
      <c r="AM53" s="11">
        <f>'Custom Elements'!D14</f>
        <v>9.9999999999999996E-76</v>
      </c>
      <c r="AN53" s="7">
        <f>'Custom Elements'!E14</f>
        <v>0</v>
      </c>
      <c r="AO53" s="7">
        <f>'Custom Elements'!F14</f>
        <v>0</v>
      </c>
      <c r="AP53" s="762" t="str">
        <f>'Custom Elements'!G14</f>
        <v>B</v>
      </c>
      <c r="AQ53" s="1777" t="str">
        <f>'Custom Elements'!H14</f>
        <v>Single</v>
      </c>
      <c r="AR53" s="1775" t="str">
        <f>'Custom Elements'!I14</f>
        <v>Yes</v>
      </c>
      <c r="AS53" s="442" t="str">
        <f>'Custom Elements'!J14</f>
        <v>Yes</v>
      </c>
      <c r="AT53" s="1150"/>
      <c r="AU53"/>
      <c r="AW53"/>
      <c r="AY53"/>
      <c r="AZ53" s="442" t="str">
        <f>IF(AND('Custom Elements'!J14="Yes",'Custom Elements'!I14="Yes"),"T",IF('Custom Elements'!J14="Yes","F",IF('Custom Elements'!I14="Yes","H","E")))</f>
        <v>T</v>
      </c>
      <c r="BA53" s="47"/>
      <c r="BB53" s="47"/>
      <c r="BC53" s="47"/>
      <c r="BD53" s="638"/>
      <c r="BF53" s="974" t="s">
        <v>8</v>
      </c>
      <c r="BI53" s="759"/>
      <c r="BJ53" s="897">
        <f t="shared" si="37"/>
        <v>45</v>
      </c>
      <c r="BK53" s="1220"/>
      <c r="BL53" s="766"/>
      <c r="BM53" s="455">
        <f>Table!D7</f>
        <v>1.2</v>
      </c>
      <c r="BN53" s="455">
        <f>BM54</f>
        <v>1.8</v>
      </c>
      <c r="BO53" s="455">
        <f>Table!E7</f>
        <v>72</v>
      </c>
      <c r="BP53" s="925">
        <f>Table!F7</f>
        <v>64</v>
      </c>
      <c r="BR53" s="764"/>
      <c r="BS53" s="455"/>
      <c r="BT53" s="455"/>
      <c r="BU53" s="925" t="s">
        <v>242</v>
      </c>
      <c r="BV53" s="913"/>
      <c r="BW53" s="912"/>
      <c r="BX53" s="925" t="str">
        <f>Table!H5</f>
        <v>Single</v>
      </c>
      <c r="CH53" s="764">
        <f>IF(BN53=999,0,(BO54-BO53)/(BN53-BM53))</f>
        <v>18.333333333333332</v>
      </c>
      <c r="CI53" s="925">
        <f>IF(BN53=999,0,(BP54-BP53)/(BN53-BM53))</f>
        <v>0</v>
      </c>
      <c r="CJ53" s="759"/>
      <c r="CK53" s="188"/>
      <c r="CL53" s="979">
        <f>VLOOKUP(I53,Prodlink,2,0)</f>
        <v>0</v>
      </c>
      <c r="CN53" s="497">
        <f t="shared" ca="1" si="35"/>
        <v>0</v>
      </c>
      <c r="CO53" s="497">
        <f ca="1">OFFSET($CH$9,CL53-1,-15,1,1)</f>
        <v>0</v>
      </c>
      <c r="CQ53" s="51">
        <v>0</v>
      </c>
      <c r="CR53" s="51">
        <f t="shared" ca="1" si="42"/>
        <v>10000</v>
      </c>
      <c r="CS53" s="51">
        <f ca="1">IF(F53&lt;OFFSET($BM$9,CL53-1,0,1,1),0,IF(F53&lt;OFFSET($BN$9,CL53-1,0,1,1),((F53-OFFSET($BM$9,CL53-1,0,1,1))*OFFSET($CH$9,CL53-1,0,1,1))+OFFSET($BO$9,CL53-1,CQ53,1,1),IF(F53&lt;OFFSET($BN$9,CL53+0,0,1,1),((F53-OFFSET($BM$9,CL53+0,0,1,1))*OFFSET($CH$9,CL53+0,0,1,1))+OFFSET($BO$9,CL53+0,CQ53,1,1),IF(F53&lt;OFFSET($BN$9,CL53+1,0,1,1),((F53-OFFSET($BM$9,CL53+1,0,1,1))*OFFSET($CH$9,CL53+1,0,1,1))+OFFSET($BO$9,CL53+1,CQ53,1,1),IF(F53&lt;OFFSET($BN$9,CL53+2,0,1,1),((F53-OFFSET($BM$9,CL53+2,0,1,1))*OFFSET($CH$9,CL53+2,0,1,1))+OFFSET($BO$9,CL53+2,CQ53,1,1),IF(F53&lt;OFFSET($BN$9,CL53+3,0,1,1),((F53-OFFSET($BM$9,CL53+3,0,1,1))*OFFSET($CH$9,CL53+3,0,1,1))+OFFSET($BO$9,CL53+3,CQ53,1,1),0))))))</f>
        <v>0</v>
      </c>
      <c r="CT53" s="51">
        <f ca="1">IF($F53&lt;OFFSET($BM$9,$CL53-1,0,1,1),0,IF($F53&lt;OFFSET($BN$9,$CL53-1,0,1,1),IF(AND($H53&gt;2.4,Z53&lt;&gt;"e",Z53&lt;&gt;"f"),CX53*2.4/$H53,CX53),IF($F53&lt;OFFSET($BN$9,$CL53+0,0,1,1),IF(AND($H53&gt;2.4,Z53&lt;&gt;"e",Z53&lt;&gt;"f"),CX53*2.4/$H53,CX53),IF($F53&lt;OFFSET($BN$9,$CL53+1,0,1,1),IF(AND($H53&gt;2.4,Z53&lt;&gt;"e",Z53&lt;&gt;"f"),CX53*2.4/$H53,CX53),IF($F53&lt;OFFSET($BN$9,CL53+2,0,1,1),IF(AND($H53&gt;2.4,Z53&lt;&gt;"e",Z53&lt;&gt;"f"),CX53*2.4/$H53,CX53),IF($F53&lt;OFFSET($BN$9,CL53+3,0,1,1),IF(AND($H53&gt;2.4,Z53&lt;&gt;"e",Z53&lt;&gt;"f"),CX53*2.4/$H53,CX53),0)))))*COS(RADIANS($G53)))</f>
        <v>0</v>
      </c>
      <c r="CU53" s="51">
        <f ca="1">IF(F53&lt;OFFSET($BM$9,CL53-1,0,1,1),0,IF(F53&lt;OFFSET($BN$9,CL53-1,0,1,1),((F53-OFFSET($BM$9,CL53-1,0,1,1))*OFFSET($CI$9,CL53-1,0,1,1))+OFFSET($BP$9,CL53-1,CQ53,1,1),IF(F53&lt;OFFSET($BN$9,CL53+0,0,1,1),((F53-OFFSET($BM$9,CL53+0,0,1,1))*OFFSET($CI$9,CL53+0,0,1,1))+OFFSET($BP$9,CL53+0,CQ53,1,1),IF(F53&lt;OFFSET($BN$9,CL53+1,0,1,1),((F53-OFFSET($BM$9,CL53+1,0,1,1))*OFFSET($CI$9,CL53+1,0,1,1))+OFFSET($BP$9,CL53+1,CQ53,1,1),IF(F53&lt;OFFSET($BN$9,CL53+2,0,1,1),((F53-OFFSET($BM$9,CL53+2,0,1,1))*OFFSET($CI$9,CL53+2,0,1,1))+OFFSET($BP$9,CL53+2,CQ53,1,1),IF(F53&lt;OFFSET($BN$9,CL53+3,0,1,1),((F53-OFFSET($BM$9,CL53+3,0,1,1))*OFFSET($CI$9,CL53+3,0,1,1))+OFFSET($BP$9,CL53+3,CQ53,1,1),0))))))</f>
        <v>0</v>
      </c>
      <c r="CV53" s="51">
        <f ca="1">IF($F53&lt;OFFSET($BM$9,$CL53-1,0,1,1),0,IF($F53&lt;OFFSET($BN$9,$CL53-1,0,1,1),IF(AND($H53&gt;2.4,Z53&lt;&gt;"e",Z53&lt;&gt;"f"),CZ53*2.4/$H53,CZ53),IF($F53&lt;OFFSET($BN$9,$CL53+0,0,1,1),IF(AND($H53&gt;2.4,Z53&lt;&gt;"e",Z53&lt;&gt;"f"),CZ53*2.4/$H53,CZ53),IF($F53&lt;OFFSET($BN$9,$CL53+1,0,1,1),IF(AND($H53&gt;2.4,Z53&lt;&gt;"e",Z53&lt;&gt;"f"),CZ53*2.4/$H53,CZ53),IF($F53&lt;OFFSET($BN$9,$CL53+2,0,1,1),IF(AND($H53&gt;2.4,Z53&lt;&gt;"e",Z53&lt;&gt;"f"),CZ53*2.4/$H53,CZ53),IF($F53&lt;OFFSET($BN$9,$CL53+3,0,1,1),IF(AND($H53&gt;2.4,Z53&lt;&gt;"e",Z53&lt;&gt;"f"),CZ53*2.4/$H53,CZ53),0)))))*COS(RADIANS($G53)))</f>
        <v>0</v>
      </c>
      <c r="CW53" s="51">
        <f t="shared" ca="1" si="18"/>
        <v>0</v>
      </c>
      <c r="CX53" s="51">
        <f ca="1">IF(CS53&gt;$CR53,$CR53,CS53)</f>
        <v>0</v>
      </c>
      <c r="CY53" s="51">
        <f ca="1">CW53*F53</f>
        <v>0</v>
      </c>
      <c r="CZ53" s="51">
        <f ca="1">IF($CU53&gt;$CR53,$CR53,$CU53)</f>
        <v>0</v>
      </c>
      <c r="DA53" s="51">
        <f ca="1">IF(CV53&gt;CR53,CR53,CV53)</f>
        <v>0</v>
      </c>
      <c r="DB53" s="51">
        <f ca="1">DA53*F53</f>
        <v>0</v>
      </c>
      <c r="DC53" s="993">
        <v>1</v>
      </c>
      <c r="DD53" s="758" t="str">
        <f>IF(OR(D53=BG$12,D53=BG$13),"External",IF(D53=BG$14,"Internal"," "))</f>
        <v xml:space="preserve"> </v>
      </c>
      <c r="DE53" s="51" t="str">
        <f t="shared" ca="1" si="4"/>
        <v/>
      </c>
      <c r="DF53" s="52" t="str">
        <f t="shared" ca="1" si="5"/>
        <v xml:space="preserve"> </v>
      </c>
      <c r="DG53" s="51">
        <f ca="1">IF(F53&lt;OFFSET($BM$9,CN53-1,0,1,1),0,IF(F53&lt;OFFSET($BN$9,CN53-1,0,1,1),((F53-OFFSET($BM$9,CN53-1,0,1,1))*OFFSET($CH$9,CN53-1,0,1,1))+OFFSET($BO$9,CN53-1,CQ53,1,1),IF(F53&lt;OFFSET($BN$9,CN53+0,0,1,1),((F53-OFFSET($BM$9,CN53+0,0,1,1))*OFFSET($CH$9,CN53+0,0,1,1))+OFFSET($BO$9,CN53+0,CQ53,1,1),IF(F53&lt;OFFSET($BN$9,CN53+1,0,1,1),((F53-OFFSET($BM$9,CN53+1,0,1,1))*OFFSET($CH$9,CN53+1,0,1,1))+OFFSET($BO$9,CN53+1,CQ53,1,1),IF(F53&lt;OFFSET($BN$9,CN53+2,0,1,1),((F53-OFFSET($BM$9,CN53+2,0,1,1))*OFFSET($CH$9,CN53+2,0,1,1))+OFFSET($BO$9,CN53+2,CQ53,1,1),IF(F53&lt;OFFSET($BN$9,CN53+3,0,1,1),((F53-OFFSET($BM$9,CN53+3,0,1,1))*OFFSET($CH$9,CN53+3,0,1,1))+OFFSET($BO$9,CN53+3,CQ53,1,1),0))))))</f>
        <v>0</v>
      </c>
      <c r="DH53" s="51">
        <f ca="1">IF($F53&lt;OFFSET($BM$9,$CN53-1,0,1,1),0,IF($F53&lt;OFFSET($BN$9,$CN53-1,0,1,1),IF(AND($H53&gt;2.4,Z53&lt;&gt;"e",Z53&lt;&gt;"f"),DL53*2.4/$H53,DL53),IF($F53&lt;OFFSET($BN$9,$CN53+0,0,1,1),IF(AND($H53&gt;2.4,Z53&lt;&gt;"e",Z53&lt;&gt;"f"),DL53*2.4/$H53,DL53),IF($F53&lt;OFFSET($BN$9,$CN53+1,0,1,1),IF(AND($H53&gt;2.4,Z53&lt;&gt;"e",Z53&lt;&gt;"f"),DL53*2.4/$H53,DL53),IF($F53&lt;OFFSET($BN$9,$CN53+2,0,1,1),IF(AND($H53&gt;2.4,Z53&lt;&gt;"e",Z53&lt;&gt;"f"),DL53*2.4/$H53,DL53),IF($F53&lt;OFFSET($BN$9,$CN53+3,0,1,1),IF(AND($H53&gt;2.4,Z53&lt;&gt;"e",Z53&lt;&gt;"f"),DL53*2.4/$H53,DL53),0)))))*COS(RADIANS($G53)))</f>
        <v>0</v>
      </c>
      <c r="DI53" s="51">
        <f ca="1">IF(F53&lt;OFFSET($BM$9,CN53-1,0,1,1),0,IF(F53&lt;OFFSET($BN$9,CN53-1,0,1,1),((F53-OFFSET($BM$9,CN53-1,0,1,1))*OFFSET($CI$9,CN53-1,0,1,1))+OFFSET($BP$9,CN53-1,CQ53,1,1),IF(F53&lt;OFFSET($BN$9,CN53+0,0,1,1),((F53-OFFSET($BM$9,CN53+0,0,1,1))*OFFSET($CI$9,CN53+0,0,1,1))+OFFSET($BP$9,CN53+0,CQ53,1,1),IF(F53&lt;OFFSET($BN$9,CN53+1,0,1,1),((F53-OFFSET($BM$9,CN53+1,0,1,1))*OFFSET($CI$9,CN53+1,0,1,1))+OFFSET($BP$9,CN53+1,CQ53,1,1),IF(F53&lt;OFFSET($BN$9,CN53+2,0,1,1),((F53-OFFSET($BM$9,CN53+2,0,1,1))*OFFSET($CI$9,CN53+2,0,1,1))+OFFSET($BP$9,CN53+2,CQ53,1,1),IF(F53&lt;OFFSET($BN$9,CN53+3,0,1,1),((F53-OFFSET($BM$9,CN53+3,0,1,1))*OFFSET($CI$9,CN53+3,0,1,1))+OFFSET($BP$9,CN53+3,CQ53,1,1),0))))))</f>
        <v>0</v>
      </c>
      <c r="DJ53" s="51">
        <f ca="1">IF($F53&lt;OFFSET($BM$9,$CN53-1,0,1,1),0,IF($F53&lt;OFFSET($BN$9,$CN53-1,0,1,1),IF(AND($H53&gt;2.4,Z53&lt;&gt;"e",Z53&lt;&gt;"f"),DN53*2.4/$H53,DN53),IF($F53&lt;OFFSET($BN$9,$CN53+0,0,1,1),IF(AND($H53&gt;2.4,Z53&lt;&gt;"e",Z53&lt;&gt;"f"),DN53*2.4/$H53,DN53),IF($F53&lt;OFFSET($BN$9,$CN53+1,0,1,1),IF(AND($H53&gt;2.4,Z53&lt;&gt;"e",Z53&lt;&gt;"f"),DN53*2.4/$H53,DN53),IF($F53&lt;OFFSET($BN$9,$CN53+2,0,1,1),IF(AND($H53&gt;2.4,Z53&lt;&gt;"e",Z53&lt;&gt;"f"),DN53*2.4/$H53,DN53),IF($F53&lt;OFFSET($BN$9,$CN53+3,0,1,1),IF(AND($H53&gt;2.4,Z53&lt;&gt;"e",Z53&lt;&gt;"f"),DN53*2.4/$H53,DN53),0)))))*COS(RADIANS($G53)))</f>
        <v>0</v>
      </c>
      <c r="DK53" s="51"/>
      <c r="DL53" s="51">
        <f ca="1">IF(DG53&gt;$CR53,$CR53,DG53)</f>
        <v>0</v>
      </c>
      <c r="DM53" s="51"/>
      <c r="DN53" s="51">
        <f ca="1">IF(DI53&gt;$CR53,$CR53,DI53)</f>
        <v>0</v>
      </c>
      <c r="DO53" s="435">
        <f ca="1">IF(DH53&gt;$CR53,$CR53,DH53)</f>
        <v>0</v>
      </c>
      <c r="DP53" s="435">
        <f ca="1">DO53*F53</f>
        <v>0</v>
      </c>
      <c r="DQ53" s="436">
        <f ca="1">IF(DJ53&gt;$CR53,$CR53,DJ53)</f>
        <v>0</v>
      </c>
      <c r="DR53" s="437">
        <f ca="1">DQ53*F53</f>
        <v>0</v>
      </c>
      <c r="DS53" s="426">
        <f ca="1">OFFSET($CH$9,CL53-1,-15,1,1)</f>
        <v>0</v>
      </c>
      <c r="DT53" s="426">
        <f t="shared" ca="1" si="36"/>
        <v>0</v>
      </c>
      <c r="DU53" s="188">
        <f ca="1">IF(F53&lt;OFFSET($BM$9,DT53-1,0,1,1),0,IF(F53&lt;OFFSET($BN$9,DT53-1,0,1,1),((F53-OFFSET($BM$9,DT53-1,0,1,1))*OFFSET($CH$9,DT53-1,0,1,1))+OFFSET($BO$9,DT53-1,CQ53,1,1),IF(F53&lt;OFFSET($BN$9,DT53+0,0,1,1),((F53-OFFSET($BM$9,DT53+0,0,1,1))*OFFSET($CH$9,DT53+0,0,1,1))+OFFSET($BO$9,DT53+0,CQ53,1,1),IF(F53&lt;OFFSET($BN$9,DT53+1,0,1,1),((F53-OFFSET($BM$9,DT53+1,0,1,1))*OFFSET($CH$9,DT53+1,0,1,1))+OFFSET($BO$9,DT53+1,CQ53,1,1),IF(F53&lt;OFFSET($BN$9,DT53+2,0,1,1),((F53-OFFSET($BM$9,DT53+2,0,1,1))*OFFSET($CH$9,DT53+2,0,1,1))+OFFSET($BO$9,DT53+2,CQ53,1,1),IF(F53&lt;OFFSET($BN$9,DT53+3,0,1,1),((F53-OFFSET($BM$9,DT53+3,0,1,1))*OFFSET($CH$9,DT53+3,0,1,1))+OFFSET($BO$9,DT53+3,CQ53,1,1),0))))))</f>
        <v>0</v>
      </c>
      <c r="DV53" s="51">
        <f ca="1">IF($F53&lt;OFFSET($BM$9,$DT53-1,0,1,1),0,IF($F53&lt;OFFSET($BN$9,$DT53-1,0,1,1),IF(AND($H53&gt;2.4,Z53&lt;&gt;"e",Z53&lt;&gt;"f"),DZ53*2.4/$H53,DZ53),IF($F53&lt;OFFSET($BN$9,$DT53+0,0,1,1),IF(AND($H53&gt;2.4,Z53&lt;&gt;"e",Z53&lt;&gt;"f"),DZ53*2.4/$H53,DZ53),IF($F53&lt;OFFSET($BN$9,$DT53+1,0,1,1),IF(AND($H53&gt;2.4,Z53&lt;&gt;"e",Z53&lt;&gt;"f"),DZ53*2.4/$H53,DZ53),IF($F53&lt;OFFSET($BN$9,$DT53+2,0,1,1),IF(AND($H53&gt;2.4,Z53&lt;&gt;"e",Z53&lt;&gt;"f"),DZ53*2.4/$H53,DZ53),IF($F53&lt;OFFSET($BN$9,$DT53+3,0,1,1),IF(AND($H53&gt;2.4,Z53&lt;&gt;"e",Z53&lt;&gt;"f"),DZ53*2.4/$H53,DZ53),0)))))*COS(RADIANS($G53)))</f>
        <v>0</v>
      </c>
      <c r="DW53" s="188">
        <f ca="1">IF(F53&lt;OFFSET($BM$9,DT53-1,0,1,1),0,IF(F53&lt;OFFSET($BN$9,DT53-1,0,1,1),((F53-OFFSET($BM$9,DT53-1,0,1,1))*OFFSET($CI$9,DT53-1,0,1,1))+OFFSET($BP$9,DT53-1,CQ53,1,1),IF(F53&lt;OFFSET($BN$9,DT53+0,0,1,1),((F53-OFFSET($BM$9,DT53+0,0,1,1))*OFFSET($CI$9,DT53+0,0,1,1))+OFFSET($BP$9,DT53+0,CQ53,1,1),IF(F53&lt;OFFSET($BN$9,DT53+1,0,1,1),((F53-OFFSET($BM$9,DT53+1,0,1,1))*OFFSET($CI$9,DT53+1,0,1,1))+OFFSET($BP$9,DT53+1,CQ53,1,1),IF(F53&lt;OFFSET($BN$9,DT53+2,0,1,1),((F53-OFFSET($BM$9,DT53+2,0,1,1))*OFFSET($CI$9,DT53+2,0,1,1))+OFFSET($BP$9,DT53+2,CQ53,1,1),IF(F53&lt;OFFSET($BN$9,DT53+3,0,1,1),((F53-OFFSET($BM$9,DT53+3,0,1,1))*OFFSET($CI$9,DT53+3,0,1,1))+OFFSET($BP$9,DT53+3,CQ53,1,1),0))))))</f>
        <v>0</v>
      </c>
      <c r="DX53" s="51">
        <f ca="1">IF($F53&lt;OFFSET($BM$9,$DT53-1,0,1,1),0,IF($F53&lt;OFFSET($BN$9,$DT53-1,0,1,1),IF(AND($H53&gt;2.4,Z53&lt;&gt;"e",Z53&lt;&gt;"f"),EB53*2.4/$H53,EB53),IF($F53&lt;OFFSET($BN$9,$DT53+0,0,1,1),IF(AND($H53&gt;2.4,Z53&lt;&gt;"e",Z53&lt;&gt;"f"),EB53*2.4/$H53,EB53),IF($F53&lt;OFFSET($BN$9,$DT53+1,0,1,1),IF(AND($H53&gt;2.4,Z53&lt;&gt;"e",Z53&lt;&gt;"f"),EB53*2.4/$H53,EB53),IF($F53&lt;OFFSET($BN$9,$DT53+2,0,1,1),IF(AND($H53&gt;2.4,Z53&lt;&gt;"e",Z53&lt;&gt;"f"),EB53*2.4/$H53,EB53),IF($F53&lt;OFFSET($BN$9,$DT53+3,0,1,1),IF(AND($H53&gt;2.4,Z53&lt;&gt;"e",Z53&lt;&gt;"f"),EB53*2.4/$H53,EB53),0)))))*COS(RADIANS($G53)))</f>
        <v>0</v>
      </c>
      <c r="DY53" s="188"/>
      <c r="DZ53" s="188">
        <f ca="1">IF(DU53&gt;$CR53,$CR53,DU53)</f>
        <v>0</v>
      </c>
      <c r="EA53" s="188"/>
      <c r="EB53" s="188">
        <f ca="1">IF(DW53&gt;$CR53,$CR53,DW53)</f>
        <v>0</v>
      </c>
      <c r="EC53" s="435">
        <f ca="1">IF(DV53&gt;$CR53,$CR53,DV53)</f>
        <v>0</v>
      </c>
      <c r="ED53" s="435">
        <f ca="1">EC53*F53</f>
        <v>0</v>
      </c>
      <c r="EE53" s="436">
        <f ca="1">IF(DX53&gt;$CR53,$CR53,DX53)</f>
        <v>0</v>
      </c>
      <c r="EF53" s="437">
        <f ca="1">EE53*F53</f>
        <v>0</v>
      </c>
      <c r="EG53" s="613" t="str">
        <f>IF(D53=BG$12,BG$12,"")</f>
        <v/>
      </c>
      <c r="EH53" s="614" t="str">
        <f>IF(D53=BG$13,BG$13,"")</f>
        <v/>
      </c>
      <c r="EI53" s="611">
        <f>IF(EG53=BG$12,M53,0)</f>
        <v>0</v>
      </c>
      <c r="EJ53" s="451">
        <f>IF(EG53=BG$12,O53,0)</f>
        <v>0</v>
      </c>
      <c r="EK53" s="451">
        <f>IF(EH53=BG$13,M53,0)</f>
        <v>0</v>
      </c>
      <c r="EL53" s="612">
        <f>IF(EH53=BG$13,O53,0)</f>
        <v>0</v>
      </c>
      <c r="EM53" s="426" t="str">
        <f ca="1">IF(AND(Z53&lt;&gt;"t",Z53&lt;&gt;"f"),"",IF(AND(EN53=$BH$11,K53&lt;&gt;EN53),EM$4,IF(AND(EN53=$BH$12,K53=$BH$13),EM$4,IF(AND(EN53=$BH$12,K53=$BH$14),EM$4,IF(AND(EN53=$BH$13,K53=$BH$14),$EM$4,IF(EN53=$BH$14,$EM$4,""))))))</f>
        <v/>
      </c>
      <c r="EN53" s="489" t="str">
        <f>BG$24</f>
        <v>Earth</v>
      </c>
      <c r="EO53" s="426" t="str">
        <f>K53</f>
        <v xml:space="preserve"> </v>
      </c>
      <c r="EP53" s="497" t="str">
        <f ca="1">IF(AND(Z53&lt;&gt;"t",Z53&lt;&gt;"f"),"",IF(AND(EN53=$BH$14,K53&lt;&gt;EN53),EP$4,IF(AND(EN53=$BH$13,K53=$BH$12),EP$4,IF(AND(EN53=$BH$13,K53=$BH$11),EP$4,IF(AND(EN53=$BH$12,K53=$BH$11),$EP$4,IF(EN53=$BH$11,"Earth",""))))))</f>
        <v/>
      </c>
      <c r="EQ53" s="430" t="str">
        <f ca="1">IF(Z53&lt;&gt;"t","",IF(EQ$5=2,IF(K53&lt;&gt;BH$11,EQ$7," ")))</f>
        <v/>
      </c>
      <c r="ER53" s="439" t="str">
        <f ca="1">IF(H53=0," ",H53)</f>
        <v xml:space="preserve"> </v>
      </c>
      <c r="ES53" s="440" t="str">
        <f ca="1">IF(ER53&lt;&gt;" ",IF(ER53&lt;&gt;ER$7,"Changed",""),"")</f>
        <v/>
      </c>
      <c r="ET53" s="440">
        <f t="shared" ca="1" si="19"/>
        <v>0</v>
      </c>
      <c r="EU53" s="426" t="str">
        <f ca="1">IF(I53=" "," ",IF(F53&lt;OFFSET($BM$9,CL53-1,0,1,1),1,""))</f>
        <v xml:space="preserve"> </v>
      </c>
      <c r="EW53" s="427"/>
    </row>
    <row r="54" spans="1:153" ht="17.100000000000001" customHeight="1" thickBot="1">
      <c r="A54" s="2685"/>
      <c r="B54" s="689" t="s">
        <v>246</v>
      </c>
      <c r="C54" s="684" t="str">
        <f>IF(OR(F54=0,I54="",I54=" ")," ",$V54)</f>
        <v xml:space="preserve"> </v>
      </c>
      <c r="D54" s="1033"/>
      <c r="E54" s="1360" t="s">
        <v>8</v>
      </c>
      <c r="F54" s="202"/>
      <c r="G54" s="1416"/>
      <c r="H54" s="1417" t="str">
        <f ca="1">IF(OR(F54=0,Z54="E",Z54="f")," ",'Project Demand'!E$55)</f>
        <v xml:space="preserve"> </v>
      </c>
      <c r="I54" s="631" t="str">
        <f>IF($I$6&lt;&gt;$BG$8," ",AB54)</f>
        <v xml:space="preserve"> </v>
      </c>
      <c r="J54" s="44" t="str">
        <f ca="1">IF(OR(I54=" ",I54="")," ",OFFSET($BO$9,CL54-1,0-4,1,1))</f>
        <v xml:space="preserve"> </v>
      </c>
      <c r="K54" s="55" t="str">
        <f>IF(OR(I54=" ",I54="")," ",IF(OR(Z54="e",Z54="h"),"SD",IF(BG$24=BH$11,BH$13,BG$24)))</f>
        <v xml:space="preserve"> </v>
      </c>
      <c r="L54" s="49">
        <f ca="1">CW54</f>
        <v>0</v>
      </c>
      <c r="M54" s="49">
        <f ca="1">CY54</f>
        <v>0</v>
      </c>
      <c r="N54" s="50">
        <f t="shared" ca="1" si="41"/>
        <v>0</v>
      </c>
      <c r="O54" s="126">
        <f t="shared" ca="1" si="41"/>
        <v>0</v>
      </c>
      <c r="P54" s="140"/>
      <c r="Q54" s="752" t="str">
        <f ca="1">IF(AND(OR(Z54="t",Z54="f"),K54=$BH$11),"No Floor!  Change Floor Type",IF(OR(I54=" ",I54="")," ",IF(F54&lt;OFFSET($BM$9,CL54-1,0,1,1),"check L(m)",DE54&amp;IF(AND(DP54&gt;=CY54,DR54&gt;=DB54),IF(AND(ED54&gt;=DP54,EF54&gt;=DR54),CONCATENATE(DS54," will provide same result"),CONCATENATE(CO54," will provide same result")),IF((DP54&gt;=CY54),CONCATENATE(CO54," provides same result in WIND"),IF((DR54&gt;=DB54),CONCATENATE(CO54," provides same result in EQ"),""))))))&amp;IF(ISERROR(FIND("pile",I54,1)),"",IF(INT(F54)&lt;&gt;F54,"Pile!  Use Whole Numbers Only",""))</f>
        <v xml:space="preserve"> </v>
      </c>
      <c r="R54" s="52"/>
      <c r="S54" s="1372"/>
      <c r="T54" s="1372"/>
      <c r="U54" s="1377"/>
      <c r="V54" s="52" t="str">
        <f ca="1">IF(AND(B$5=$BF$9,OR(I54=BH$16,I54=BH$17))," ",IF(ISNUMBER(B$50),(CONCATENATE(B$50,".",W54)),(CONCATENATE(B$50,W54))))</f>
        <v>T0</v>
      </c>
      <c r="W54" s="9">
        <f ca="1">W53+X54</f>
        <v>0</v>
      </c>
      <c r="X54" s="9">
        <f>IF(AND(B$5=$BF$9,OR($I54=$BH$16,$I54=$BH$17,$I54=" ",$I54="",$F54=0)),0,IF(OR($I54=" ",$I54="",$F54=0),0,1))</f>
        <v>0</v>
      </c>
      <c r="Y54" s="896"/>
      <c r="Z54" s="52" t="str">
        <f ca="1">IF(I54=" "," ",OFFSET($BM$9,$CL54-1,8,1,1))</f>
        <v xml:space="preserve"> </v>
      </c>
      <c r="AA54" s="51" t="str">
        <f>IF(G54&gt;=45,"WA","")</f>
        <v/>
      </c>
      <c r="AB54" s="1364" t="str">
        <f>IF(OR(E54=" ",E54="")," ",(IF(F54&lt;&gt;"",IF(OR(D54=$BG$12,D54=$BG$13),IF(E54&lt;&gt;$BG$17,$BF$20,$BF$21),IF(E54&lt;&gt;$BG$17,$BF$20,$BF$21))," ")))</f>
        <v xml:space="preserve"> </v>
      </c>
      <c r="AC54" s="1"/>
      <c r="AJ54" s="2"/>
      <c r="AK54" s="63" t="str">
        <f>'Custom Elements'!B15</f>
        <v xml:space="preserve">  </v>
      </c>
      <c r="AL54" s="860" t="str">
        <f>'Custom Elements'!C15</f>
        <v>Custom7</v>
      </c>
      <c r="AM54" s="11">
        <f>'Custom Elements'!D15</f>
        <v>9.9999999999999996E-76</v>
      </c>
      <c r="AN54" s="7">
        <f>'Custom Elements'!E15</f>
        <v>0</v>
      </c>
      <c r="AO54" s="7">
        <f>'Custom Elements'!F15</f>
        <v>0</v>
      </c>
      <c r="AP54" s="762" t="str">
        <f>'Custom Elements'!G15</f>
        <v>B</v>
      </c>
      <c r="AQ54" s="1777" t="str">
        <f>'Custom Elements'!H15</f>
        <v>Single</v>
      </c>
      <c r="AR54" s="1775" t="str">
        <f>'Custom Elements'!I15</f>
        <v>Yes</v>
      </c>
      <c r="AS54" s="442" t="str">
        <f>'Custom Elements'!J15</f>
        <v>Yes</v>
      </c>
      <c r="AT54" s="1150"/>
      <c r="AU54"/>
      <c r="AW54"/>
      <c r="AY54"/>
      <c r="AZ54" s="442" t="str">
        <f>IF(AND('Custom Elements'!J15="Yes",'Custom Elements'!I15="Yes"),"T",IF('Custom Elements'!J15="Yes","F",IF('Custom Elements'!I15="Yes","H","E")))</f>
        <v>T</v>
      </c>
      <c r="BA54" s="47"/>
      <c r="BB54" s="47"/>
      <c r="BC54" s="47"/>
      <c r="BD54" s="638"/>
      <c r="BE54" s="2714" t="s">
        <v>956</v>
      </c>
      <c r="BF54" s="2714"/>
      <c r="BG54" s="2714"/>
      <c r="BH54" s="2714"/>
      <c r="BI54" s="759"/>
      <c r="BJ54" s="897">
        <f t="shared" si="37"/>
        <v>46</v>
      </c>
      <c r="BK54" s="1221"/>
      <c r="BL54" s="767"/>
      <c r="BM54" s="776">
        <f>Table!D8</f>
        <v>1.8</v>
      </c>
      <c r="BN54" s="776">
        <v>999</v>
      </c>
      <c r="BO54" s="776">
        <f>Table!E8</f>
        <v>83</v>
      </c>
      <c r="BP54" s="926">
        <f>Table!F8</f>
        <v>64</v>
      </c>
      <c r="BQ54" s="1183"/>
      <c r="BR54" s="908"/>
      <c r="BS54" s="776"/>
      <c r="BT54" s="776"/>
      <c r="BU54" s="926" t="s">
        <v>242</v>
      </c>
      <c r="BV54" s="433"/>
      <c r="BW54" s="914"/>
      <c r="BX54" s="926" t="str">
        <f>Table!H5</f>
        <v>Single</v>
      </c>
      <c r="CH54" s="908">
        <f>IF(BN54=999,0,(BO55-BO54)/(BN54-BM54))</f>
        <v>0</v>
      </c>
      <c r="CI54" s="926">
        <f>IF(BN54=999,0,(BP55-BP54)/(BN54-BM54))</f>
        <v>0</v>
      </c>
      <c r="CJ54" s="759"/>
      <c r="CK54" s="188"/>
      <c r="CL54" s="979">
        <f>VLOOKUP(I54,Prodlink,2,0)</f>
        <v>0</v>
      </c>
      <c r="CN54" s="497">
        <f t="shared" ca="1" si="35"/>
        <v>0</v>
      </c>
      <c r="CO54" s="497">
        <f ca="1">OFFSET($CH$9,CL54-1,-15,1,1)</f>
        <v>0</v>
      </c>
      <c r="CQ54" s="51">
        <v>0</v>
      </c>
      <c r="CR54" s="51">
        <f t="shared" ca="1" si="42"/>
        <v>10000</v>
      </c>
      <c r="CS54" s="51">
        <f ca="1">IF(F54&lt;OFFSET($BM$9,CL54-1,0,1,1),0,IF(F54&lt;OFFSET($BN$9,CL54-1,0,1,1),((F54-OFFSET($BM$9,CL54-1,0,1,1))*OFFSET($CH$9,CL54-1,0,1,1))+OFFSET($BO$9,CL54-1,CQ54,1,1),IF(F54&lt;OFFSET($BN$9,CL54+0,0,1,1),((F54-OFFSET($BM$9,CL54+0,0,1,1))*OFFSET($CH$9,CL54+0,0,1,1))+OFFSET($BO$9,CL54+0,CQ54,1,1),IF(F54&lt;OFFSET($BN$9,CL54+1,0,1,1),((F54-OFFSET($BM$9,CL54+1,0,1,1))*OFFSET($CH$9,CL54+1,0,1,1))+OFFSET($BO$9,CL54+1,CQ54,1,1),IF(F54&lt;OFFSET($BN$9,CL54+2,0,1,1),((F54-OFFSET($BM$9,CL54+2,0,1,1))*OFFSET($CH$9,CL54+2,0,1,1))+OFFSET($BO$9,CL54+2,CQ54,1,1),IF(F54&lt;OFFSET($BN$9,CL54+3,0,1,1),((F54-OFFSET($BM$9,CL54+3,0,1,1))*OFFSET($CH$9,CL54+3,0,1,1))+OFFSET($BO$9,CL54+3,CQ54,1,1),0))))))</f>
        <v>0</v>
      </c>
      <c r="CT54" s="51">
        <f ca="1">IF($F54&lt;OFFSET($BM$9,$CL54-1,0,1,1),0,IF($F54&lt;OFFSET($BN$9,$CL54-1,0,1,1),IF(AND($H54&gt;2.4,Z54&lt;&gt;"e",Z54&lt;&gt;"f"),CX54*2.4/$H54,CX54),IF($F54&lt;OFFSET($BN$9,$CL54+0,0,1,1),IF(AND($H54&gt;2.4,Z54&lt;&gt;"e",Z54&lt;&gt;"f"),CX54*2.4/$H54,CX54),IF($F54&lt;OFFSET($BN$9,$CL54+1,0,1,1),IF(AND($H54&gt;2.4,Z54&lt;&gt;"e",Z54&lt;&gt;"f"),CX54*2.4/$H54,CX54),IF($F54&lt;OFFSET($BN$9,CL54+2,0,1,1),IF(AND($H54&gt;2.4,Z54&lt;&gt;"e",Z54&lt;&gt;"f"),CX54*2.4/$H54,CX54),IF($F54&lt;OFFSET($BN$9,CL54+3,0,1,1),IF(AND($H54&gt;2.4,Z54&lt;&gt;"e",Z54&lt;&gt;"f"),CX54*2.4/$H54,CX54),0)))))*COS(RADIANS($G54)))</f>
        <v>0</v>
      </c>
      <c r="CU54" s="51">
        <f ca="1">IF(F54&lt;OFFSET($BM$9,CL54-1,0,1,1),0,IF(F54&lt;OFFSET($BN$9,CL54-1,0,1,1),((F54-OFFSET($BM$9,CL54-1,0,1,1))*OFFSET($CI$9,CL54-1,0,1,1))+OFFSET($BP$9,CL54-1,CQ54,1,1),IF(F54&lt;OFFSET($BN$9,CL54+0,0,1,1),((F54-OFFSET($BM$9,CL54+0,0,1,1))*OFFSET($CI$9,CL54+0,0,1,1))+OFFSET($BP$9,CL54+0,CQ54,1,1),IF(F54&lt;OFFSET($BN$9,CL54+1,0,1,1),((F54-OFFSET($BM$9,CL54+1,0,1,1))*OFFSET($CI$9,CL54+1,0,1,1))+OFFSET($BP$9,CL54+1,CQ54,1,1),IF(F54&lt;OFFSET($BN$9,CL54+2,0,1,1),((F54-OFFSET($BM$9,CL54+2,0,1,1))*OFFSET($CI$9,CL54+2,0,1,1))+OFFSET($BP$9,CL54+2,CQ54,1,1),IF(F54&lt;OFFSET($BN$9,CL54+3,0,1,1),((F54-OFFSET($BM$9,CL54+3,0,1,1))*OFFSET($CI$9,CL54+3,0,1,1))+OFFSET($BP$9,CL54+3,CQ54,1,1),0))))))</f>
        <v>0</v>
      </c>
      <c r="CV54" s="51">
        <f ca="1">IF($F54&lt;OFFSET($BM$9,$CL54-1,0,1,1),0,IF($F54&lt;OFFSET($BN$9,$CL54-1,0,1,1),IF(AND($H54&gt;2.4,Z54&lt;&gt;"e",Z54&lt;&gt;"f"),CZ54*2.4/$H54,CZ54),IF($F54&lt;OFFSET($BN$9,$CL54+0,0,1,1),IF(AND($H54&gt;2.4,Z54&lt;&gt;"e",Z54&lt;&gt;"f"),CZ54*2.4/$H54,CZ54),IF($F54&lt;OFFSET($BN$9,$CL54+1,0,1,1),IF(AND($H54&gt;2.4,Z54&lt;&gt;"e",Z54&lt;&gt;"f"),CZ54*2.4/$H54,CZ54),IF($F54&lt;OFFSET($BN$9,$CL54+2,0,1,1),IF(AND($H54&gt;2.4,Z54&lt;&gt;"e",Z54&lt;&gt;"f"),CZ54*2.4/$H54,CZ54),IF($F54&lt;OFFSET($BN$9,$CL54+3,0,1,1),IF(AND($H54&gt;2.4,Z54&lt;&gt;"e",Z54&lt;&gt;"f"),CZ54*2.4/$H54,CZ54),0)))))*COS(RADIANS($G54)))</f>
        <v>0</v>
      </c>
      <c r="CW54" s="51">
        <f t="shared" ca="1" si="18"/>
        <v>0</v>
      </c>
      <c r="CX54" s="51">
        <f ca="1">IF(CS54&gt;$CR54,$CR54,CS54)</f>
        <v>0</v>
      </c>
      <c r="CY54" s="51">
        <f ca="1">CW54*F54</f>
        <v>0</v>
      </c>
      <c r="CZ54" s="51">
        <f ca="1">IF($CU54&gt;$CR54,$CR54,$CU54)</f>
        <v>0</v>
      </c>
      <c r="DA54" s="51">
        <f ca="1">IF(CV54&gt;CR54,CR54,CV54)</f>
        <v>0</v>
      </c>
      <c r="DB54" s="51">
        <f ca="1">DA54*F54</f>
        <v>0</v>
      </c>
      <c r="DC54" s="993">
        <v>1</v>
      </c>
      <c r="DD54" s="758" t="str">
        <f>IF(OR(D54=BG$12,D54=BG$13),"External",IF(D54=BG$14,"Internal"," "))</f>
        <v xml:space="preserve"> </v>
      </c>
      <c r="DE54" s="51" t="str">
        <f t="shared" ca="1" si="4"/>
        <v/>
      </c>
      <c r="DF54" s="52" t="str">
        <f t="shared" ca="1" si="5"/>
        <v xml:space="preserve"> </v>
      </c>
      <c r="DG54" s="51">
        <f ca="1">IF(F54&lt;OFFSET($BM$9,CN54-1,0,1,1),0,IF(F54&lt;OFFSET($BN$9,CN54-1,0,1,1),((F54-OFFSET($BM$9,CN54-1,0,1,1))*OFFSET($CH$9,CN54-1,0,1,1))+OFFSET($BO$9,CN54-1,CQ54,1,1),IF(F54&lt;OFFSET($BN$9,CN54+0,0,1,1),((F54-OFFSET($BM$9,CN54+0,0,1,1))*OFFSET($CH$9,CN54+0,0,1,1))+OFFSET($BO$9,CN54+0,CQ54,1,1),IF(F54&lt;OFFSET($BN$9,CN54+1,0,1,1),((F54-OFFSET($BM$9,CN54+1,0,1,1))*OFFSET($CH$9,CN54+1,0,1,1))+OFFSET($BO$9,CN54+1,CQ54,1,1),IF(F54&lt;OFFSET($BN$9,CN54+2,0,1,1),((F54-OFFSET($BM$9,CN54+2,0,1,1))*OFFSET($CH$9,CN54+2,0,1,1))+OFFSET($BO$9,CN54+2,CQ54,1,1),IF(F54&lt;OFFSET($BN$9,CN54+3,0,1,1),((F54-OFFSET($BM$9,CN54+3,0,1,1))*OFFSET($CH$9,CN54+3,0,1,1))+OFFSET($BO$9,CN54+3,CQ54,1,1),0))))))</f>
        <v>0</v>
      </c>
      <c r="DH54" s="51">
        <f ca="1">IF($F54&lt;OFFSET($BM$9,$CN54-1,0,1,1),0,IF($F54&lt;OFFSET($BN$9,$CN54-1,0,1,1),IF(AND($H54&gt;2.4,Z54&lt;&gt;"e",Z54&lt;&gt;"f"),DL54*2.4/$H54,DL54),IF($F54&lt;OFFSET($BN$9,$CN54+0,0,1,1),IF(AND($H54&gt;2.4,Z54&lt;&gt;"e",Z54&lt;&gt;"f"),DL54*2.4/$H54,DL54),IF($F54&lt;OFFSET($BN$9,$CN54+1,0,1,1),IF(AND($H54&gt;2.4,Z54&lt;&gt;"e",Z54&lt;&gt;"f"),DL54*2.4/$H54,DL54),IF($F54&lt;OFFSET($BN$9,$CN54+2,0,1,1),IF(AND($H54&gt;2.4,Z54&lt;&gt;"e",Z54&lt;&gt;"f"),DL54*2.4/$H54,DL54),IF($F54&lt;OFFSET($BN$9,$CN54+3,0,1,1),IF(AND($H54&gt;2.4,Z54&lt;&gt;"e",Z54&lt;&gt;"f"),DL54*2.4/$H54,DL54),0)))))*COS(RADIANS($G54)))</f>
        <v>0</v>
      </c>
      <c r="DI54" s="51">
        <f ca="1">IF(F54&lt;OFFSET($BM$9,CN54-1,0,1,1),0,IF(F54&lt;OFFSET($BN$9,CN54-1,0,1,1),((F54-OFFSET($BM$9,CN54-1,0,1,1))*OFFSET($CI$9,CN54-1,0,1,1))+OFFSET($BP$9,CN54-1,CQ54,1,1),IF(F54&lt;OFFSET($BN$9,CN54+0,0,1,1),((F54-OFFSET($BM$9,CN54+0,0,1,1))*OFFSET($CI$9,CN54+0,0,1,1))+OFFSET($BP$9,CN54+0,CQ54,1,1),IF(F54&lt;OFFSET($BN$9,CN54+1,0,1,1),((F54-OFFSET($BM$9,CN54+1,0,1,1))*OFFSET($CI$9,CN54+1,0,1,1))+OFFSET($BP$9,CN54+1,CQ54,1,1),IF(F54&lt;OFFSET($BN$9,CN54+2,0,1,1),((F54-OFFSET($BM$9,CN54+2,0,1,1))*OFFSET($CI$9,CN54+2,0,1,1))+OFFSET($BP$9,CN54+2,CQ54,1,1),IF(F54&lt;OFFSET($BN$9,CN54+3,0,1,1),((F54-OFFSET($BM$9,CN54+3,0,1,1))*OFFSET($CI$9,CN54+3,0,1,1))+OFFSET($BP$9,CN54+3,CQ54,1,1),0))))))</f>
        <v>0</v>
      </c>
      <c r="DJ54" s="51">
        <f ca="1">IF($F54&lt;OFFSET($BM$9,$CN54-1,0,1,1),0,IF($F54&lt;OFFSET($BN$9,$CN54-1,0,1,1),IF(AND($H54&gt;2.4,Z54&lt;&gt;"e",Z54&lt;&gt;"f"),DN54*2.4/$H54,DN54),IF($F54&lt;OFFSET($BN$9,$CN54+0,0,1,1),IF(AND($H54&gt;2.4,Z54&lt;&gt;"e",Z54&lt;&gt;"f"),DN54*2.4/$H54,DN54),IF($F54&lt;OFFSET($BN$9,$CN54+1,0,1,1),IF(AND($H54&gt;2.4,Z54&lt;&gt;"e",Z54&lt;&gt;"f"),DN54*2.4/$H54,DN54),IF($F54&lt;OFFSET($BN$9,$CN54+2,0,1,1),IF(AND($H54&gt;2.4,Z54&lt;&gt;"e",Z54&lt;&gt;"f"),DN54*2.4/$H54,DN54),IF($F54&lt;OFFSET($BN$9,$CN54+3,0,1,1),IF(AND($H54&gt;2.4,Z54&lt;&gt;"e",Z54&lt;&gt;"f"),DN54*2.4/$H54,DN54),0)))))*COS(RADIANS($G54)))</f>
        <v>0</v>
      </c>
      <c r="DK54" s="51"/>
      <c r="DL54" s="51">
        <f ca="1">IF(DG54&gt;$CR54,$CR54,DG54)</f>
        <v>0</v>
      </c>
      <c r="DM54" s="51"/>
      <c r="DN54" s="51">
        <f ca="1">IF(DI54&gt;$CR54,$CR54,DI54)</f>
        <v>0</v>
      </c>
      <c r="DO54" s="435">
        <f ca="1">IF(DH54&gt;$CR54,$CR54,DH54)</f>
        <v>0</v>
      </c>
      <c r="DP54" s="435">
        <f ca="1">DO54*F54</f>
        <v>0</v>
      </c>
      <c r="DQ54" s="436">
        <f ca="1">IF(DJ54&gt;$CR54,$CR54,DJ54)</f>
        <v>0</v>
      </c>
      <c r="DR54" s="437">
        <f ca="1">DQ54*F54</f>
        <v>0</v>
      </c>
      <c r="DS54" s="426">
        <f ca="1">OFFSET($CH$9,CL54-1,-15,1,1)</f>
        <v>0</v>
      </c>
      <c r="DT54" s="426">
        <f t="shared" ca="1" si="36"/>
        <v>0</v>
      </c>
      <c r="DU54" s="188">
        <f ca="1">IF(F54&lt;OFFSET($BM$9,DT54-1,0,1,1),0,IF(F54&lt;OFFSET($BN$9,DT54-1,0,1,1),((F54-OFFSET($BM$9,DT54-1,0,1,1))*OFFSET($CH$9,DT54-1,0,1,1))+OFFSET($BO$9,DT54-1,CQ54,1,1),IF(F54&lt;OFFSET($BN$9,DT54+0,0,1,1),((F54-OFFSET($BM$9,DT54+0,0,1,1))*OFFSET($CH$9,DT54+0,0,1,1))+OFFSET($BO$9,DT54+0,CQ54,1,1),IF(F54&lt;OFFSET($BN$9,DT54+1,0,1,1),((F54-OFFSET($BM$9,DT54+1,0,1,1))*OFFSET($CH$9,DT54+1,0,1,1))+OFFSET($BO$9,DT54+1,CQ54,1,1),IF(F54&lt;OFFSET($BN$9,DT54+2,0,1,1),((F54-OFFSET($BM$9,DT54+2,0,1,1))*OFFSET($CH$9,DT54+2,0,1,1))+OFFSET($BO$9,DT54+2,CQ54,1,1),IF(F54&lt;OFFSET($BN$9,DT54+3,0,1,1),((F54-OFFSET($BM$9,DT54+3,0,1,1))*OFFSET($CH$9,DT54+3,0,1,1))+OFFSET($BO$9,DT54+3,CQ54,1,1),0))))))</f>
        <v>0</v>
      </c>
      <c r="DV54" s="51">
        <f ca="1">IF($F54&lt;OFFSET($BM$9,$DT54-1,0,1,1),0,IF($F54&lt;OFFSET($BN$9,$DT54-1,0,1,1),IF(AND($H54&gt;2.4,Z54&lt;&gt;"e",Z54&lt;&gt;"f"),DZ54*2.4/$H54,DZ54),IF($F54&lt;OFFSET($BN$9,$DT54+0,0,1,1),IF(AND($H54&gt;2.4,Z54&lt;&gt;"e",Z54&lt;&gt;"f"),DZ54*2.4/$H54,DZ54),IF($F54&lt;OFFSET($BN$9,$DT54+1,0,1,1),IF(AND($H54&gt;2.4,Z54&lt;&gt;"e",Z54&lt;&gt;"f"),DZ54*2.4/$H54,DZ54),IF($F54&lt;OFFSET($BN$9,$DT54+2,0,1,1),IF(AND($H54&gt;2.4,Z54&lt;&gt;"e",Z54&lt;&gt;"f"),DZ54*2.4/$H54,DZ54),IF($F54&lt;OFFSET($BN$9,$DT54+3,0,1,1),IF(AND($H54&gt;2.4,Z54&lt;&gt;"e",Z54&lt;&gt;"f"),DZ54*2.4/$H54,DZ54),0)))))*COS(RADIANS($G54)))</f>
        <v>0</v>
      </c>
      <c r="DW54" s="188">
        <f ca="1">IF(F54&lt;OFFSET($BM$9,DT54-1,0,1,1),0,IF(F54&lt;OFFSET($BN$9,DT54-1,0,1,1),((F54-OFFSET($BM$9,DT54-1,0,1,1))*OFFSET($CI$9,DT54-1,0,1,1))+OFFSET($BP$9,DT54-1,CQ54,1,1),IF(F54&lt;OFFSET($BN$9,DT54+0,0,1,1),((F54-OFFSET($BM$9,DT54+0,0,1,1))*OFFSET($CI$9,DT54+0,0,1,1))+OFFSET($BP$9,DT54+0,CQ54,1,1),IF(F54&lt;OFFSET($BN$9,DT54+1,0,1,1),((F54-OFFSET($BM$9,DT54+1,0,1,1))*OFFSET($CI$9,DT54+1,0,1,1))+OFFSET($BP$9,DT54+1,CQ54,1,1),IF(F54&lt;OFFSET($BN$9,DT54+2,0,1,1),((F54-OFFSET($BM$9,DT54+2,0,1,1))*OFFSET($CI$9,DT54+2,0,1,1))+OFFSET($BP$9,DT54+2,CQ54,1,1),IF(F54&lt;OFFSET($BN$9,DT54+3,0,1,1),((F54-OFFSET($BM$9,DT54+3,0,1,1))*OFFSET($CI$9,DT54+3,0,1,1))+OFFSET($BP$9,DT54+3,CQ54,1,1),0))))))</f>
        <v>0</v>
      </c>
      <c r="DX54" s="51">
        <f ca="1">IF($F54&lt;OFFSET($BM$9,$DT54-1,0,1,1),0,IF($F54&lt;OFFSET($BN$9,$DT54-1,0,1,1),IF(AND($H54&gt;2.4,Z54&lt;&gt;"e",Z54&lt;&gt;"f"),EB54*2.4/$H54,EB54),IF($F54&lt;OFFSET($BN$9,$DT54+0,0,1,1),IF(AND($H54&gt;2.4,Z54&lt;&gt;"e",Z54&lt;&gt;"f"),EB54*2.4/$H54,EB54),IF($F54&lt;OFFSET($BN$9,$DT54+1,0,1,1),IF(AND($H54&gt;2.4,Z54&lt;&gt;"e",Z54&lt;&gt;"f"),EB54*2.4/$H54,EB54),IF($F54&lt;OFFSET($BN$9,$DT54+2,0,1,1),IF(AND($H54&gt;2.4,Z54&lt;&gt;"e",Z54&lt;&gt;"f"),EB54*2.4/$H54,EB54),IF($F54&lt;OFFSET($BN$9,$DT54+3,0,1,1),IF(AND($H54&gt;2.4,Z54&lt;&gt;"e",Z54&lt;&gt;"f"),EB54*2.4/$H54,EB54),0)))))*COS(RADIANS($G54)))</f>
        <v>0</v>
      </c>
      <c r="DY54" s="188"/>
      <c r="DZ54" s="188">
        <f ca="1">IF(DU54&gt;$CR54,$CR54,DU54)</f>
        <v>0</v>
      </c>
      <c r="EA54" s="188"/>
      <c r="EB54" s="188">
        <f ca="1">IF(DW54&gt;$CR54,$CR54,DW54)</f>
        <v>0</v>
      </c>
      <c r="EC54" s="435">
        <f ca="1">IF(DV54&gt;$CR54,$CR54,DV54)</f>
        <v>0</v>
      </c>
      <c r="ED54" s="435">
        <f ca="1">EC54*F54</f>
        <v>0</v>
      </c>
      <c r="EE54" s="436">
        <f ca="1">IF(DX54&gt;$CR54,$CR54,DX54)</f>
        <v>0</v>
      </c>
      <c r="EF54" s="437">
        <f ca="1">EE54*F54</f>
        <v>0</v>
      </c>
      <c r="EG54" s="613" t="str">
        <f>IF(D54=BG$12,BG$12,"")</f>
        <v/>
      </c>
      <c r="EH54" s="614" t="str">
        <f>IF(D54=BG$13,BG$13,"")</f>
        <v/>
      </c>
      <c r="EI54" s="611">
        <f>IF(EG54=BG$12,M54,0)</f>
        <v>0</v>
      </c>
      <c r="EJ54" s="451">
        <f>IF(EG54=BG$12,O54,0)</f>
        <v>0</v>
      </c>
      <c r="EK54" s="451">
        <f>IF(EH54=BG$13,M54,0)</f>
        <v>0</v>
      </c>
      <c r="EL54" s="612">
        <f>IF(EH54=BG$13,O54,0)</f>
        <v>0</v>
      </c>
      <c r="EM54" s="426" t="str">
        <f ca="1">IF(AND(Z54&lt;&gt;"t",Z54&lt;&gt;"f"),"",IF(AND(EN54=$BH$11,K54&lt;&gt;EN54),EM$4,IF(AND(EN54=$BH$12,K54=$BH$13),EM$4,IF(AND(EN54=$BH$12,K54=$BH$14),EM$4,IF(AND(EN54=$BH$13,K54=$BH$14),$EM$4,IF(EN54=$BH$14,$EM$4,""))))))</f>
        <v/>
      </c>
      <c r="EN54" s="489" t="str">
        <f>BG$24</f>
        <v>Earth</v>
      </c>
      <c r="EO54" s="426" t="str">
        <f>K54</f>
        <v xml:space="preserve"> </v>
      </c>
      <c r="EP54" s="497" t="str">
        <f ca="1">IF(AND(Z54&lt;&gt;"t",Z54&lt;&gt;"f"),"",IF(AND(EN54=$BH$14,K54&lt;&gt;EN54),EP$4,IF(AND(EN54=$BH$13,K54=$BH$12),EP$4,IF(AND(EN54=$BH$13,K54=$BH$11),EP$4,IF(AND(EN54=$BH$12,K54=$BH$11),$EP$4,IF(EN54=$BH$11,"Earth",""))))))</f>
        <v/>
      </c>
      <c r="EQ54" s="430" t="str">
        <f ca="1">IF(Z54&lt;&gt;"t","",IF(EQ$5=2,IF(K54&lt;&gt;BH$11,EQ$7," ")))</f>
        <v/>
      </c>
      <c r="ER54" s="439" t="str">
        <f ca="1">IF(H54=0," ",H54)</f>
        <v xml:space="preserve"> </v>
      </c>
      <c r="ES54" s="440" t="str">
        <f ca="1">IF(ER54&lt;&gt;" ",IF(ER54&lt;&gt;ER$7,"Changed",""),"")</f>
        <v/>
      </c>
      <c r="ET54" s="440">
        <f t="shared" ca="1" si="19"/>
        <v>0</v>
      </c>
      <c r="EU54" s="426" t="str">
        <f ca="1">IF(I54=" "," ",IF(F54&lt;OFFSET($BM$9,CL54-1,0,1,1),1,""))</f>
        <v xml:space="preserve"> </v>
      </c>
      <c r="EW54" s="427"/>
    </row>
    <row r="55" spans="1:153" ht="17.100000000000001" customHeight="1" thickBot="1">
      <c r="A55" s="2685"/>
      <c r="B55" s="2686" t="s">
        <v>8</v>
      </c>
      <c r="C55" s="2687"/>
      <c r="D55" s="1461" t="s">
        <v>8</v>
      </c>
      <c r="E55" s="659"/>
      <c r="F55" s="659"/>
      <c r="G55" s="659"/>
      <c r="H55" s="659"/>
      <c r="I55" s="1462"/>
      <c r="J55" s="1365" t="str">
        <f ca="1">(CONCATENATE(B50,$BE$54))</f>
        <v>T  Line:  Min. Requirement</v>
      </c>
      <c r="K55" s="23"/>
      <c r="L55" s="1019">
        <f ca="1">L$5</f>
        <v>0</v>
      </c>
      <c r="M55" s="48">
        <f ca="1">IF(B50=B44,SUM(M50:M54)+M49,SUM(M50:M54))</f>
        <v>0</v>
      </c>
      <c r="N55" s="1019">
        <f ca="1">N$5</f>
        <v>0</v>
      </c>
      <c r="O55" s="125">
        <f ca="1">IF(B50=B44,SUM(O50:O54)+O49,SUM(O50:O54))</f>
        <v>0</v>
      </c>
      <c r="P55" s="139"/>
      <c r="Q55" s="42" t="str">
        <f ca="1">IF(B50=B56,"",IF(AND(M55&gt;0,L55=L$5,OR(M55&lt;$M$105,M55&lt;$BF$3)),"Achieved &lt; Min Req per Line",IF(AND(O55&gt;0,N55=N$5,OR(O55&lt;$O$105,O55&lt;$BF$3)),"Achieved &lt; Min Req per Line",IF(AND(M55&gt;0,L55&gt;M55),"More Required on this line",IF(AND(O55&gt;0,N55&gt;O55),"More Required on this line",IF(AND(L55&gt;0,L55&lt;$BF$3),$BE$59,IF(AND(N55&gt;0,N55&lt;$BF$3),$BE$59,"")))))))</f>
        <v/>
      </c>
      <c r="R55" s="52"/>
      <c r="S55" s="52"/>
      <c r="T55" s="52"/>
      <c r="U55" s="1378"/>
      <c r="V55" s="52"/>
      <c r="W55" s="898"/>
      <c r="X55" s="898"/>
      <c r="Y55" s="896"/>
      <c r="Z55" s="52"/>
      <c r="AA55" s="51"/>
      <c r="AB55" s="1364"/>
      <c r="AJ55" s="2"/>
      <c r="AK55" s="63" t="str">
        <f>'Custom Elements'!B16</f>
        <v xml:space="preserve">  </v>
      </c>
      <c r="AL55" s="860" t="str">
        <f>'Custom Elements'!C16</f>
        <v>Custom8</v>
      </c>
      <c r="AM55" s="11">
        <f>'Custom Elements'!D16</f>
        <v>9.9999999999999996E-76</v>
      </c>
      <c r="AN55" s="7">
        <f>'Custom Elements'!E16</f>
        <v>0</v>
      </c>
      <c r="AO55" s="7">
        <f>'Custom Elements'!F16</f>
        <v>0</v>
      </c>
      <c r="AP55" s="762" t="str">
        <f>'Custom Elements'!G16</f>
        <v>B</v>
      </c>
      <c r="AQ55" s="1777" t="str">
        <f>'Custom Elements'!H16</f>
        <v>Single</v>
      </c>
      <c r="AR55" s="1775" t="str">
        <f>'Custom Elements'!I16</f>
        <v>Yes</v>
      </c>
      <c r="AS55" s="442" t="str">
        <f>'Custom Elements'!J16</f>
        <v>Yes</v>
      </c>
      <c r="AT55" s="1150"/>
      <c r="AU55"/>
      <c r="AW55"/>
      <c r="AY55"/>
      <c r="AZ55" s="442" t="str">
        <f>IF(AND('Custom Elements'!J16="Yes",'Custom Elements'!I16="Yes"),"T",IF('Custom Elements'!J16="Yes","F",IF('Custom Elements'!I16="Yes","H","E")))</f>
        <v>T</v>
      </c>
      <c r="BA55" s="47"/>
      <c r="BB55" s="47"/>
      <c r="BC55" s="47"/>
      <c r="BD55" s="638"/>
      <c r="BE55" s="1020"/>
      <c r="BF55" s="1020"/>
      <c r="BG55" s="1020"/>
      <c r="BH55" s="479"/>
      <c r="BI55" s="759"/>
      <c r="BJ55" s="897">
        <f t="shared" si="37"/>
        <v>47</v>
      </c>
      <c r="BK55" s="1213"/>
      <c r="BL55" s="1214"/>
      <c r="BM55" s="1215"/>
      <c r="BN55" s="1215"/>
      <c r="BO55" s="1215"/>
      <c r="BP55" s="1215"/>
      <c r="BQ55" s="1216"/>
      <c r="BR55" s="1215"/>
      <c r="BS55" s="1215"/>
      <c r="BT55" s="1215"/>
      <c r="BU55" s="1215"/>
      <c r="BV55" s="1216"/>
      <c r="BW55" s="1217"/>
      <c r="BX55" s="1215"/>
      <c r="BY55" s="1216"/>
      <c r="BZ55" s="1216"/>
      <c r="CA55" s="1216"/>
      <c r="CB55" s="1216"/>
      <c r="CC55" s="1216"/>
      <c r="CD55" s="1216"/>
      <c r="CE55" s="1216"/>
      <c r="CF55" s="1216"/>
      <c r="CG55" s="1216"/>
      <c r="CH55" s="1215"/>
      <c r="CI55" s="1218"/>
      <c r="CJ55" s="759"/>
      <c r="CK55" s="188"/>
      <c r="CL55" s="979"/>
      <c r="CN55" s="497"/>
      <c r="CO55" s="497"/>
      <c r="CQ55" s="51"/>
      <c r="CR55" s="51"/>
      <c r="CS55" s="51"/>
      <c r="CT55" s="51" t="s">
        <v>8</v>
      </c>
      <c r="CU55" s="51"/>
      <c r="CV55" s="51" t="s">
        <v>8</v>
      </c>
      <c r="CW55" s="51"/>
      <c r="CX55" s="51"/>
      <c r="CY55" s="51"/>
      <c r="CZ55" s="51"/>
      <c r="DD55" s="758"/>
      <c r="DF55" s="52"/>
      <c r="DG55" s="51"/>
      <c r="DH55" s="51"/>
      <c r="DI55" s="51"/>
      <c r="DJ55" s="51"/>
      <c r="DK55" s="51"/>
      <c r="DL55" s="51"/>
      <c r="DM55" s="51"/>
      <c r="DN55" s="51"/>
      <c r="DO55" s="435"/>
      <c r="DP55" s="435"/>
      <c r="DQ55" s="868"/>
      <c r="DR55" s="868"/>
      <c r="DU55" s="188"/>
      <c r="DV55" s="188" t="s">
        <v>8</v>
      </c>
      <c r="DW55" s="188"/>
      <c r="DX55" s="188" t="s">
        <v>8</v>
      </c>
      <c r="DY55" s="188"/>
      <c r="DZ55" s="188"/>
      <c r="EA55" s="188"/>
      <c r="EB55" s="188"/>
      <c r="EC55" s="435"/>
      <c r="ED55" s="435"/>
      <c r="EE55" s="868"/>
      <c r="EF55" s="868"/>
      <c r="EG55" s="613"/>
      <c r="EH55" s="614"/>
      <c r="EI55" s="613"/>
      <c r="EJ55" s="435"/>
      <c r="EK55" s="451"/>
      <c r="EL55" s="612"/>
      <c r="EN55" s="438"/>
      <c r="EP55" s="497"/>
      <c r="ER55" s="441"/>
      <c r="ES55" s="440"/>
      <c r="ET55" s="440"/>
      <c r="EW55" s="427"/>
    </row>
    <row r="56" spans="1:153" ht="17.100000000000001" customHeight="1" thickBot="1">
      <c r="A56" s="2685"/>
      <c r="B56" s="1369" t="str">
        <f ca="1">S56</f>
        <v>U</v>
      </c>
      <c r="C56" s="684" t="str">
        <f>IF(OR(F56=0,I56="",I56=" ")," ",$V56)</f>
        <v xml:space="preserve"> </v>
      </c>
      <c r="D56" s="1033"/>
      <c r="E56" s="1360" t="s">
        <v>8</v>
      </c>
      <c r="F56" s="202"/>
      <c r="G56" s="1416"/>
      <c r="H56" s="1417" t="str">
        <f ca="1">IF(OR(F56=0,Z56="E",Z56="f")," ",'Project Demand'!E$55)</f>
        <v xml:space="preserve"> </v>
      </c>
      <c r="I56" s="631" t="str">
        <f>IF($I$6&lt;&gt;$BG$8," ",AB56)</f>
        <v xml:space="preserve"> </v>
      </c>
      <c r="J56" s="43" t="str">
        <f ca="1">IF(OR(I56=" ",I56="")," ",OFFSET($BO$9,CL56-1,0-4,1,1))</f>
        <v xml:space="preserve"> </v>
      </c>
      <c r="K56" s="55" t="str">
        <f>IF(OR(I56=" ",I56="")," ",IF(OR(Z56="e",Z56="h"),"SD",IF(BG$24=BH$11,BH$13,BG$24)))</f>
        <v xml:space="preserve"> </v>
      </c>
      <c r="L56" s="49">
        <f ca="1">CW56</f>
        <v>0</v>
      </c>
      <c r="M56" s="49">
        <f ca="1">CY56</f>
        <v>0</v>
      </c>
      <c r="N56" s="50">
        <f t="shared" ref="N56:O60" ca="1" si="43">DA56</f>
        <v>0</v>
      </c>
      <c r="O56" s="126">
        <f t="shared" ca="1" si="43"/>
        <v>0</v>
      </c>
      <c r="P56" s="140"/>
      <c r="Q56" s="752" t="str">
        <f ca="1">IF(AND(OR(Z56="t",Z56="f"),K56=$BH$11),"No Floor!  Change Floor Type",IF(OR(I56=" ",I56="")," ",IF(F56&lt;OFFSET($BM$9,CL56-1,0,1,1),"check L(m)",DE56&amp;IF(AND(DP56&gt;=CY56,DR56&gt;=DB56),IF(AND(ED56&gt;=DP56,EF56&gt;=DR56),CONCATENATE(DS56," will provide same result"),CONCATENATE(CO56," will provide same result")),IF((DP56&gt;=CY56),CONCATENATE(CO56," provides same result in WIND"),IF((DR56&gt;=DB56),CONCATENATE(CO56," provides same result in EQ"),""))))))&amp;IF(ISERROR(FIND("pile",I56,1)),"",IF(INT(F56)&lt;&gt;F56,"Pile!  Use Whole Numbers Only",""))</f>
        <v xml:space="preserve"> </v>
      </c>
      <c r="R56" s="52">
        <f ca="1">IF(T50&lt;&gt;2,(COLUMN(INDIRECT(B50&amp;1))+1),U56)</f>
        <v>21</v>
      </c>
      <c r="S56" s="1372" t="str">
        <f ca="1">SUBSTITUTE(ADDRESS(1,R56,4),"1","")</f>
        <v>U</v>
      </c>
      <c r="T56" s="451">
        <f ca="1">IF(AND(ISTEXT(B56),SUBSTITUTE(SUBSTITUTE(SUBSTITUTE(SUBSTITUTE(SUBSTITUTE(SUBSTITUTE(SUBSTITUTE(SUBSTITUTE(SUBSTITUTE(SUBSTITUTE(SUBSTITUTE(SUBSTITUTE(SUBSTITUTE(SUBSTITUTE(SUBSTITUTE(SUBSTITUTE(SUBSTITUTE(SUBSTITUTE(SUBSTITUTE(SUBSTITUTE(SUBSTITUTE(SUBSTITUTE(SUBSTITUTE(SUBSTITUTE(SUBSTITUTE(SUBSTITUTE(LOWER(B56),"a",),"b",),"c",),"d",),"e",),"f",),"g",),"h",),"i",),"j",),"k",),"l",),"m",),"n",),"o",),"p",),"q",),"r",),"s",),"t",),"u",),"v",),"w",),"x",),"y",),"z",)=""),1,2)</f>
        <v>1</v>
      </c>
      <c r="U56" s="1377">
        <v>21</v>
      </c>
      <c r="V56" s="52" t="str">
        <f ca="1">IF(AND(B$5=$BF$9,OR(I56=BH$16,I56=BH$17))," ",IF(ISNUMBER(B$56),(CONCATENATE(B$56,".",W56)),(CONCATENATE(B$56,W56))))</f>
        <v>U0</v>
      </c>
      <c r="W56" s="9">
        <f ca="1">IF(B50=B56,W54+X56,X56)</f>
        <v>0</v>
      </c>
      <c r="X56" s="9">
        <f>IF(AND(B$5=$BF$9,OR($I56=$BH$16,$I56=$BH$17,$I56=" ",$I56="",$F56=0)),0,IF(OR($I56=" ",$I56="",$F56=0),0,1))</f>
        <v>0</v>
      </c>
      <c r="Y56" s="896">
        <f ca="1">IF(AND(M61&gt;0,B56&lt;&gt;B62),1,0)</f>
        <v>0</v>
      </c>
      <c r="Z56" s="52" t="str">
        <f ca="1">IF(I56=" "," ",OFFSET($BM$9,$CL56-1,8,1,1))</f>
        <v xml:space="preserve"> </v>
      </c>
      <c r="AA56" s="51" t="str">
        <f>IF(G56&gt;=45,"WA","")</f>
        <v/>
      </c>
      <c r="AB56" s="1364" t="str">
        <f>IF(OR(E56=" ",E56="")," ",(IF(F56&lt;&gt;"",IF(OR(D56=$BG$12,D56=$BG$13),IF(E56&lt;&gt;$BG$17,$BF$20,$BF$21),IF(E56&lt;&gt;$BG$17,$BF$20,$BF$21))," ")))</f>
        <v xml:space="preserve"> </v>
      </c>
      <c r="AC56" s="1"/>
      <c r="AJ56" s="2"/>
      <c r="AK56" s="63" t="str">
        <f>'Custom Elements'!B17</f>
        <v xml:space="preserve">  </v>
      </c>
      <c r="AL56" s="860" t="str">
        <f>'Custom Elements'!C17</f>
        <v>Custom9</v>
      </c>
      <c r="AM56" s="11">
        <f>'Custom Elements'!D17</f>
        <v>9.9999999999999996E-76</v>
      </c>
      <c r="AN56" s="7">
        <f>'Custom Elements'!E17</f>
        <v>0</v>
      </c>
      <c r="AO56" s="7">
        <f>'Custom Elements'!F17</f>
        <v>0</v>
      </c>
      <c r="AP56" s="762" t="str">
        <f>'Custom Elements'!G17</f>
        <v>B</v>
      </c>
      <c r="AQ56" s="1777" t="str">
        <f>'Custom Elements'!H17</f>
        <v>Single</v>
      </c>
      <c r="AR56" s="1775" t="str">
        <f>'Custom Elements'!I17</f>
        <v>Yes</v>
      </c>
      <c r="AS56" s="442" t="str">
        <f>'Custom Elements'!J17</f>
        <v>Yes</v>
      </c>
      <c r="AT56" s="1150"/>
      <c r="AU56"/>
      <c r="AW56"/>
      <c r="AY56"/>
      <c r="AZ56" s="442" t="str">
        <f>IF(AND('Custom Elements'!J17="Yes",'Custom Elements'!I17="Yes"),"T",IF('Custom Elements'!J17="Yes","F",IF('Custom Elements'!I17="Yes","H","E")))</f>
        <v>T</v>
      </c>
      <c r="BA56" s="47"/>
      <c r="BB56" s="47"/>
      <c r="BC56" s="47"/>
      <c r="BD56" s="638"/>
      <c r="BE56" s="1020"/>
      <c r="BF56" s="1020"/>
      <c r="BG56" s="1020"/>
      <c r="BH56" s="479"/>
      <c r="BI56" s="759"/>
      <c r="BJ56" s="897">
        <f t="shared" si="37"/>
        <v>48</v>
      </c>
      <c r="BK56" s="768" t="str">
        <f>BK50</f>
        <v xml:space="preserve">EPB </v>
      </c>
      <c r="BL56" s="765" t="str">
        <f>Table!C10</f>
        <v>ESSN</v>
      </c>
      <c r="BM56" s="454">
        <f>Table!D10</f>
        <v>0.4</v>
      </c>
      <c r="BN56" s="454">
        <f>BM57</f>
        <v>0.6</v>
      </c>
      <c r="BO56" s="454">
        <f>Table!E10</f>
        <v>79</v>
      </c>
      <c r="BP56" s="924">
        <f>Table!F10</f>
        <v>74</v>
      </c>
      <c r="BQ56" s="920"/>
      <c r="BR56" s="768" t="str">
        <f>Table!G10</f>
        <v>ES-N</v>
      </c>
      <c r="BS56" s="454" t="str">
        <f>Table!G11</f>
        <v>ES-N</v>
      </c>
      <c r="BT56" s="454" t="str">
        <f>Table!H10</f>
        <v>I</v>
      </c>
      <c r="BU56" s="924" t="s">
        <v>242</v>
      </c>
      <c r="BV56" s="1230" t="str">
        <f>Table!AI78</f>
        <v>ESSN</v>
      </c>
      <c r="BW56" s="1229">
        <f>BJ56</f>
        <v>48</v>
      </c>
      <c r="BX56" s="924" t="str">
        <f>Table!H11</f>
        <v>Double</v>
      </c>
      <c r="CH56" s="768">
        <f>IF(BN56=999,0,(BO57-BO56)/(BN56-BM56))</f>
        <v>55.000000000000014</v>
      </c>
      <c r="CI56" s="924">
        <f>IF(BN56=999,0,(BP57-BP56)/(BN56-BM56))</f>
        <v>45.000000000000007</v>
      </c>
      <c r="CJ56" s="759"/>
      <c r="CK56" s="188"/>
      <c r="CL56" s="979">
        <f>VLOOKUP(I56,Prodlink,2,0)</f>
        <v>0</v>
      </c>
      <c r="CN56" s="497">
        <f t="shared" ca="1" si="35"/>
        <v>0</v>
      </c>
      <c r="CO56" s="497">
        <f ca="1">OFFSET($CH$9,CL56-1,-15,1,1)</f>
        <v>0</v>
      </c>
      <c r="CQ56" s="51">
        <v>0</v>
      </c>
      <c r="CR56" s="51">
        <f ca="1">IF(AND(Z56&lt;&gt;"t",Z56&lt;&gt;"f"),10000,IF(K56=$BH$11,0,IF(K56=$BH$12,$BH$23,IF(K56=$BH$13,$BH$24,10000))))</f>
        <v>10000</v>
      </c>
      <c r="CS56" s="51">
        <f ca="1">IF(F56&lt;OFFSET($BM$9,CL56-1,0,1,1),0,IF(F56&lt;OFFSET($BN$9,CL56-1,0,1,1),((F56-OFFSET($BM$9,CL56-1,0,1,1))*OFFSET($CH$9,CL56-1,0,1,1))+OFFSET($BO$9,CL56-1,CQ56,1,1),IF(F56&lt;OFFSET($BN$9,CL56+0,0,1,1),((F56-OFFSET($BM$9,CL56+0,0,1,1))*OFFSET($CH$9,CL56+0,0,1,1))+OFFSET($BO$9,CL56+0,CQ56,1,1),IF(F56&lt;OFFSET($BN$9,CL56+1,0,1,1),((F56-OFFSET($BM$9,CL56+1,0,1,1))*OFFSET($CH$9,CL56+1,0,1,1))+OFFSET($BO$9,CL56+1,CQ56,1,1),IF(F56&lt;OFFSET($BN$9,CL56+2,0,1,1),((F56-OFFSET($BM$9,CL56+2,0,1,1))*OFFSET($CH$9,CL56+2,0,1,1))+OFFSET($BO$9,CL56+2,CQ56,1,1),IF(F56&lt;OFFSET($BN$9,CL56+3,0,1,1),((F56-OFFSET($BM$9,CL56+3,0,1,1))*OFFSET($CH$9,CL56+3,0,1,1))+OFFSET($BO$9,CL56+3,CQ56,1,1),0))))))</f>
        <v>0</v>
      </c>
      <c r="CT56" s="51">
        <f ca="1">IF($F56&lt;OFFSET($BM$9,$CL56-1,0,1,1),0,IF($F56&lt;OFFSET($BN$9,$CL56-1,0,1,1),IF(AND($H56&gt;2.4,Z56&lt;&gt;"e",Z56&lt;&gt;"f"),CX56*2.4/$H56,CX56),IF($F56&lt;OFFSET($BN$9,$CL56+0,0,1,1),IF(AND($H56&gt;2.4,Z56&lt;&gt;"e",Z56&lt;&gt;"f"),CX56*2.4/$H56,CX56),IF($F56&lt;OFFSET($BN$9,$CL56+1,0,1,1),IF(AND($H56&gt;2.4,Z56&lt;&gt;"e",Z56&lt;&gt;"f"),CX56*2.4/$H56,CX56),IF($F56&lt;OFFSET($BN$9,CL56+2,0,1,1),IF(AND($H56&gt;2.4,Z56&lt;&gt;"e",Z56&lt;&gt;"f"),CX56*2.4/$H56,CX56),IF($F56&lt;OFFSET($BN$9,CL56+3,0,1,1),IF(AND($H56&gt;2.4,Z56&lt;&gt;"e",Z56&lt;&gt;"f"),CX56*2.4/$H56,CX56),0)))))*COS(RADIANS($G56)))</f>
        <v>0</v>
      </c>
      <c r="CU56" s="51">
        <f ca="1">IF(F56&lt;OFFSET($BM$9,CL56-1,0,1,1),0,IF(F56&lt;OFFSET($BN$9,CL56-1,0,1,1),((F56-OFFSET($BM$9,CL56-1,0,1,1))*OFFSET($CI$9,CL56-1,0,1,1))+OFFSET($BP$9,CL56-1,CQ56,1,1),IF(F56&lt;OFFSET($BN$9,CL56+0,0,1,1),((F56-OFFSET($BM$9,CL56+0,0,1,1))*OFFSET($CI$9,CL56+0,0,1,1))+OFFSET($BP$9,CL56+0,CQ56,1,1),IF(F56&lt;OFFSET($BN$9,CL56+1,0,1,1),((F56-OFFSET($BM$9,CL56+1,0,1,1))*OFFSET($CI$9,CL56+1,0,1,1))+OFFSET($BP$9,CL56+1,CQ56,1,1),IF(F56&lt;OFFSET($BN$9,CL56+2,0,1,1),((F56-OFFSET($BM$9,CL56+2,0,1,1))*OFFSET($CI$9,CL56+2,0,1,1))+OFFSET($BP$9,CL56+2,CQ56,1,1),IF(F56&lt;OFFSET($BN$9,CL56+3,0,1,1),((F56-OFFSET($BM$9,CL56+3,0,1,1))*OFFSET($CI$9,CL56+3,0,1,1))+OFFSET($BP$9,CL56+3,CQ56,1,1),0))))))</f>
        <v>0</v>
      </c>
      <c r="CV56" s="51">
        <f ca="1">IF($F56&lt;OFFSET($BM$9,$CL56-1,0,1,1),0,IF($F56&lt;OFFSET($BN$9,$CL56-1,0,1,1),IF(AND($H56&gt;2.4,Z56&lt;&gt;"e",Z56&lt;&gt;"f"),CZ56*2.4/$H56,CZ56),IF($F56&lt;OFFSET($BN$9,$CL56+0,0,1,1),IF(AND($H56&gt;2.4,Z56&lt;&gt;"e",Z56&lt;&gt;"f"),CZ56*2.4/$H56,CZ56),IF($F56&lt;OFFSET($BN$9,$CL56+1,0,1,1),IF(AND($H56&gt;2.4,Z56&lt;&gt;"e",Z56&lt;&gt;"f"),CZ56*2.4/$H56,CZ56),IF($F56&lt;OFFSET($BN$9,$CL56+2,0,1,1),IF(AND($H56&gt;2.4,Z56&lt;&gt;"e",Z56&lt;&gt;"f"),CZ56*2.4/$H56,CZ56),IF($F56&lt;OFFSET($BN$9,$CL56+3,0,1,1),IF(AND($H56&gt;2.4,Z56&lt;&gt;"e",Z56&lt;&gt;"f"),CZ56*2.4/$H56,CZ56),0)))))*COS(RADIANS($G56)))</f>
        <v>0</v>
      </c>
      <c r="CW56" s="51">
        <f t="shared" ca="1" si="18"/>
        <v>0</v>
      </c>
      <c r="CX56" s="51">
        <f ca="1">IF(CS56&gt;$CR56,$CR56,CS56)</f>
        <v>0</v>
      </c>
      <c r="CY56" s="51">
        <f ca="1">CW56*F56</f>
        <v>0</v>
      </c>
      <c r="CZ56" s="51">
        <f ca="1">IF($CU56&gt;$CR56,$CR56,$CU56)</f>
        <v>0</v>
      </c>
      <c r="DA56" s="51">
        <f ca="1">IF(CV56&gt;CR56,CR56,CV56)</f>
        <v>0</v>
      </c>
      <c r="DB56" s="51">
        <f ca="1">DA56*F56</f>
        <v>0</v>
      </c>
      <c r="DC56" s="993">
        <v>1</v>
      </c>
      <c r="DD56" s="758" t="str">
        <f>IF(OR(D56=BG$12,D56=BG$13),"External",IF(D56=BG$14,"Internal"," "))</f>
        <v xml:space="preserve"> </v>
      </c>
      <c r="DE56" s="51" t="str">
        <f t="shared" ca="1" si="4"/>
        <v/>
      </c>
      <c r="DF56" s="52" t="str">
        <f t="shared" ca="1" si="5"/>
        <v xml:space="preserve"> </v>
      </c>
      <c r="DG56" s="51">
        <f ca="1">IF(F56&lt;OFFSET($BM$9,CN56-1,0,1,1),0,IF(F56&lt;OFFSET($BN$9,CN56-1,0,1,1),((F56-OFFSET($BM$9,CN56-1,0,1,1))*OFFSET($CH$9,CN56-1,0,1,1))+OFFSET($BO$9,CN56-1,CQ56,1,1),IF(F56&lt;OFFSET($BN$9,CN56+0,0,1,1),((F56-OFFSET($BM$9,CN56+0,0,1,1))*OFFSET($CH$9,CN56+0,0,1,1))+OFFSET($BO$9,CN56+0,CQ56,1,1),IF(F56&lt;OFFSET($BN$9,CN56+1,0,1,1),((F56-OFFSET($BM$9,CN56+1,0,1,1))*OFFSET($CH$9,CN56+1,0,1,1))+OFFSET($BO$9,CN56+1,CQ56,1,1),IF(F56&lt;OFFSET($BN$9,CN56+2,0,1,1),((F56-OFFSET($BM$9,CN56+2,0,1,1))*OFFSET($CH$9,CN56+2,0,1,1))+OFFSET($BO$9,CN56+2,CQ56,1,1),IF(F56&lt;OFFSET($BN$9,CN56+3,0,1,1),((F56-OFFSET($BM$9,CN56+3,0,1,1))*OFFSET($CH$9,CN56+3,0,1,1))+OFFSET($BO$9,CN56+3,CQ56,1,1),0))))))</f>
        <v>0</v>
      </c>
      <c r="DH56" s="51">
        <f ca="1">IF($F56&lt;OFFSET($BM$9,$CN56-1,0,1,1),0,IF($F56&lt;OFFSET($BN$9,$CN56-1,0,1,1),IF(AND($H56&gt;2.4,Z56&lt;&gt;"e",Z56&lt;&gt;"f"),DL56*2.4/$H56,DL56),IF($F56&lt;OFFSET($BN$9,$CN56+0,0,1,1),IF(AND($H56&gt;2.4,Z56&lt;&gt;"e",Z56&lt;&gt;"f"),DL56*2.4/$H56,DL56),IF($F56&lt;OFFSET($BN$9,$CN56+1,0,1,1),IF(AND($H56&gt;2.4,Z56&lt;&gt;"e",Z56&lt;&gt;"f"),DL56*2.4/$H56,DL56),IF($F56&lt;OFFSET($BN$9,$CN56+2,0,1,1),IF(AND($H56&gt;2.4,Z56&lt;&gt;"e",Z56&lt;&gt;"f"),DL56*2.4/$H56,DL56),IF($F56&lt;OFFSET($BN$9,$CN56+3,0,1,1),IF(AND($H56&gt;2.4,Z56&lt;&gt;"e",Z56&lt;&gt;"f"),DL56*2.4/$H56,DL56),0)))))*COS(RADIANS($G56)))</f>
        <v>0</v>
      </c>
      <c r="DI56" s="51">
        <f ca="1">IF(F56&lt;OFFSET($BM$9,CN56-1,0,1,1),0,IF(F56&lt;OFFSET($BN$9,CN56-1,0,1,1),((F56-OFFSET($BM$9,CN56-1,0,1,1))*OFFSET($CI$9,CN56-1,0,1,1))+OFFSET($BP$9,CN56-1,CQ56,1,1),IF(F56&lt;OFFSET($BN$9,CN56+0,0,1,1),((F56-OFFSET($BM$9,CN56+0,0,1,1))*OFFSET($CI$9,CN56+0,0,1,1))+OFFSET($BP$9,CN56+0,CQ56,1,1),IF(F56&lt;OFFSET($BN$9,CN56+1,0,1,1),((F56-OFFSET($BM$9,CN56+1,0,1,1))*OFFSET($CI$9,CN56+1,0,1,1))+OFFSET($BP$9,CN56+1,CQ56,1,1),IF(F56&lt;OFFSET($BN$9,CN56+2,0,1,1),((F56-OFFSET($BM$9,CN56+2,0,1,1))*OFFSET($CI$9,CN56+2,0,1,1))+OFFSET($BP$9,CN56+2,CQ56,1,1),IF(F56&lt;OFFSET($BN$9,CN56+3,0,1,1),((F56-OFFSET($BM$9,CN56+3,0,1,1))*OFFSET($CI$9,CN56+3,0,1,1))+OFFSET($BP$9,CN56+3,CQ56,1,1),0))))))</f>
        <v>0</v>
      </c>
      <c r="DJ56" s="51">
        <f ca="1">IF($F56&lt;OFFSET($BM$9,$CN56-1,0,1,1),0,IF($F56&lt;OFFSET($BN$9,$CN56-1,0,1,1),IF(AND($H56&gt;2.4,Z56&lt;&gt;"e",Z56&lt;&gt;"f"),DN56*2.4/$H56,DN56),IF($F56&lt;OFFSET($BN$9,$CN56+0,0,1,1),IF(AND($H56&gt;2.4,Z56&lt;&gt;"e",Z56&lt;&gt;"f"),DN56*2.4/$H56,DN56),IF($F56&lt;OFFSET($BN$9,$CN56+1,0,1,1),IF(AND($H56&gt;2.4,Z56&lt;&gt;"e",Z56&lt;&gt;"f"),DN56*2.4/$H56,DN56),IF($F56&lt;OFFSET($BN$9,$CN56+2,0,1,1),IF(AND($H56&gt;2.4,Z56&lt;&gt;"e",Z56&lt;&gt;"f"),DN56*2.4/$H56,DN56),IF($F56&lt;OFFSET($BN$9,$CN56+3,0,1,1),IF(AND($H56&gt;2.4,Z56&lt;&gt;"e",Z56&lt;&gt;"f"),DN56*2.4/$H56,DN56),0)))))*COS(RADIANS($G56)))</f>
        <v>0</v>
      </c>
      <c r="DK56" s="51"/>
      <c r="DL56" s="51">
        <f ca="1">IF(DG56&gt;$CR56,$CR56,DG56)</f>
        <v>0</v>
      </c>
      <c r="DM56" s="51"/>
      <c r="DN56" s="51">
        <f ca="1">IF(DI56&gt;$CR56,$CR56,DI56)</f>
        <v>0</v>
      </c>
      <c r="DO56" s="435">
        <f ca="1">IF(DH56&gt;$CR56,$CR56,DH56)</f>
        <v>0</v>
      </c>
      <c r="DP56" s="435">
        <f ca="1">DO56*F56</f>
        <v>0</v>
      </c>
      <c r="DQ56" s="436">
        <f ca="1">IF(DJ56&gt;$CR56,$CR56,DJ56)</f>
        <v>0</v>
      </c>
      <c r="DR56" s="437">
        <f ca="1">DQ56*F56</f>
        <v>0</v>
      </c>
      <c r="DS56" s="426">
        <f ca="1">OFFSET($CH$9,CL56-1,-15,1,1)</f>
        <v>0</v>
      </c>
      <c r="DT56" s="426">
        <f t="shared" ca="1" si="36"/>
        <v>0</v>
      </c>
      <c r="DU56" s="188">
        <f ca="1">IF(F56&lt;OFFSET($BM$9,DT56-1,0,1,1),0,IF(F56&lt;OFFSET($BN$9,DT56-1,0,1,1),((F56-OFFSET($BM$9,DT56-1,0,1,1))*OFFSET($CH$9,DT56-1,0,1,1))+OFFSET($BO$9,DT56-1,CQ56,1,1),IF(F56&lt;OFFSET($BN$9,DT56+0,0,1,1),((F56-OFFSET($BM$9,DT56+0,0,1,1))*OFFSET($CH$9,DT56+0,0,1,1))+OFFSET($BO$9,DT56+0,CQ56,1,1),IF(F56&lt;OFFSET($BN$9,DT56+1,0,1,1),((F56-OFFSET($BM$9,DT56+1,0,1,1))*OFFSET($CH$9,DT56+1,0,1,1))+OFFSET($BO$9,DT56+1,CQ56,1,1),IF(F56&lt;OFFSET($BN$9,DT56+2,0,1,1),((F56-OFFSET($BM$9,DT56+2,0,1,1))*OFFSET($CH$9,DT56+2,0,1,1))+OFFSET($BO$9,DT56+2,CQ56,1,1),IF(F56&lt;OFFSET($BN$9,DT56+3,0,1,1),((F56-OFFSET($BM$9,DT56+3,0,1,1))*OFFSET($CH$9,DT56+3,0,1,1))+OFFSET($BO$9,DT56+3,CQ56,1,1),0))))))</f>
        <v>0</v>
      </c>
      <c r="DV56" s="51">
        <f ca="1">IF($F56&lt;OFFSET($BM$9,$DT56-1,0,1,1),0,IF($F56&lt;OFFSET($BN$9,$DT56-1,0,1,1),IF(AND($H56&gt;2.4,Z56&lt;&gt;"e",Z56&lt;&gt;"f"),DZ56*2.4/$H56,DZ56),IF($F56&lt;OFFSET($BN$9,$DT56+0,0,1,1),IF(AND($H56&gt;2.4,Z56&lt;&gt;"e",Z56&lt;&gt;"f"),DZ56*2.4/$H56,DZ56),IF($F56&lt;OFFSET($BN$9,$DT56+1,0,1,1),IF(AND($H56&gt;2.4,Z56&lt;&gt;"e",Z56&lt;&gt;"f"),DZ56*2.4/$H56,DZ56),IF($F56&lt;OFFSET($BN$9,$DT56+2,0,1,1),IF(AND($H56&gt;2.4,Z56&lt;&gt;"e",Z56&lt;&gt;"f"),DZ56*2.4/$H56,DZ56),IF($F56&lt;OFFSET($BN$9,$DT56+3,0,1,1),IF(AND($H56&gt;2.4,Z56&lt;&gt;"e",Z56&lt;&gt;"f"),DZ56*2.4/$H56,DZ56),0)))))*COS(RADIANS($G56)))</f>
        <v>0</v>
      </c>
      <c r="DW56" s="188">
        <f ca="1">IF(F56&lt;OFFSET($BM$9,DT56-1,0,1,1),0,IF(F56&lt;OFFSET($BN$9,DT56-1,0,1,1),((F56-OFFSET($BM$9,DT56-1,0,1,1))*OFFSET($CI$9,DT56-1,0,1,1))+OFFSET($BP$9,DT56-1,CQ56,1,1),IF(F56&lt;OFFSET($BN$9,DT56+0,0,1,1),((F56-OFFSET($BM$9,DT56+0,0,1,1))*OFFSET($CI$9,DT56+0,0,1,1))+OFFSET($BP$9,DT56+0,CQ56,1,1),IF(F56&lt;OFFSET($BN$9,DT56+1,0,1,1),((F56-OFFSET($BM$9,DT56+1,0,1,1))*OFFSET($CI$9,DT56+1,0,1,1))+OFFSET($BP$9,DT56+1,CQ56,1,1),IF(F56&lt;OFFSET($BN$9,DT56+2,0,1,1),((F56-OFFSET($BM$9,DT56+2,0,1,1))*OFFSET($CI$9,DT56+2,0,1,1))+OFFSET($BP$9,DT56+2,CQ56,1,1),IF(F56&lt;OFFSET($BN$9,DT56+3,0,1,1),((F56-OFFSET($BM$9,DT56+3,0,1,1))*OFFSET($CI$9,DT56+3,0,1,1))+OFFSET($BP$9,DT56+3,CQ56,1,1),0))))))</f>
        <v>0</v>
      </c>
      <c r="DX56" s="51">
        <f ca="1">IF($F56&lt;OFFSET($BM$9,$DT56-1,0,1,1),0,IF($F56&lt;OFFSET($BN$9,$DT56-1,0,1,1),IF(AND($H56&gt;2.4,Z56&lt;&gt;"e",Z56&lt;&gt;"f"),EB56*2.4/$H56,EB56),IF($F56&lt;OFFSET($BN$9,$DT56+0,0,1,1),IF(AND($H56&gt;2.4,Z56&lt;&gt;"e",Z56&lt;&gt;"f"),EB56*2.4/$H56,EB56),IF($F56&lt;OFFSET($BN$9,$DT56+1,0,1,1),IF(AND($H56&gt;2.4,Z56&lt;&gt;"e",Z56&lt;&gt;"f"),EB56*2.4/$H56,EB56),IF($F56&lt;OFFSET($BN$9,$DT56+2,0,1,1),IF(AND($H56&gt;2.4,Z56&lt;&gt;"e",Z56&lt;&gt;"f"),EB56*2.4/$H56,EB56),IF($F56&lt;OFFSET($BN$9,$DT56+3,0,1,1),IF(AND($H56&gt;2.4,Z56&lt;&gt;"e",Z56&lt;&gt;"f"),EB56*2.4/$H56,EB56),0)))))*COS(RADIANS($G56)))</f>
        <v>0</v>
      </c>
      <c r="DY56" s="188"/>
      <c r="DZ56" s="188">
        <f ca="1">IF(DU56&gt;$CR56,$CR56,DU56)</f>
        <v>0</v>
      </c>
      <c r="EA56" s="188"/>
      <c r="EB56" s="188">
        <f ca="1">IF(DW56&gt;$CR56,$CR56,DW56)</f>
        <v>0</v>
      </c>
      <c r="EC56" s="435">
        <f ca="1">IF(DV56&gt;$CR56,$CR56,DV56)</f>
        <v>0</v>
      </c>
      <c r="ED56" s="435">
        <f ca="1">EC56*F56</f>
        <v>0</v>
      </c>
      <c r="EE56" s="436">
        <f ca="1">IF(DX56&gt;$CR56,$CR56,DX56)</f>
        <v>0</v>
      </c>
      <c r="EF56" s="437">
        <f ca="1">EE56*F56</f>
        <v>0</v>
      </c>
      <c r="EG56" s="613" t="str">
        <f>IF(D56=BG$12,BG$12,"")</f>
        <v/>
      </c>
      <c r="EH56" s="614" t="str">
        <f>IF(D56=BG$13,BG$13,"")</f>
        <v/>
      </c>
      <c r="EI56" s="611">
        <f>IF(EG56=BG$12,M56,0)</f>
        <v>0</v>
      </c>
      <c r="EJ56" s="451">
        <f>IF(EG56=BG$12,O56,0)</f>
        <v>0</v>
      </c>
      <c r="EK56" s="451">
        <f>IF(EH56=BG$13,M56,0)</f>
        <v>0</v>
      </c>
      <c r="EL56" s="612">
        <f>IF(EH56=BG$13,O56,0)</f>
        <v>0</v>
      </c>
      <c r="EM56" s="426" t="str">
        <f ca="1">IF(AND(Z56&lt;&gt;"t",Z56&lt;&gt;"f"),"",IF(AND(EN56=$BH$11,K56&lt;&gt;EN56),EM$4,IF(AND(EN56=$BH$12,K56=$BH$13),EM$4,IF(AND(EN56=$BH$12,K56=$BH$14),EM$4,IF(AND(EN56=$BH$13,K56=$BH$14),$EM$4,IF(EN56=$BH$14,$EM$4,""))))))</f>
        <v/>
      </c>
      <c r="EN56" s="489" t="str">
        <f>BG$24</f>
        <v>Earth</v>
      </c>
      <c r="EO56" s="426" t="str">
        <f>K56</f>
        <v xml:space="preserve"> </v>
      </c>
      <c r="EP56" s="497" t="str">
        <f ca="1">IF(AND(Z56&lt;&gt;"t",Z56&lt;&gt;"f"),"",IF(AND(EN56=$BH$14,K56&lt;&gt;EN56),EP$4,IF(AND(EN56=$BH$13,K56=$BH$12),EP$4,IF(AND(EN56=$BH$13,K56=$BH$11),EP$4,IF(AND(EN56=$BH$12,K56=$BH$11),$EP$4,IF(EN56=$BH$11,"Earth",""))))))</f>
        <v/>
      </c>
      <c r="EQ56" s="430" t="str">
        <f ca="1">IF(Z56&lt;&gt;"t","",IF(EQ$5=2,IF(K56&lt;&gt;BH$11,EQ$7," ")))</f>
        <v/>
      </c>
      <c r="ER56" s="439" t="str">
        <f ca="1">IF(H56=0," ",H56)</f>
        <v xml:space="preserve"> </v>
      </c>
      <c r="ES56" s="440" t="str">
        <f ca="1">IF(ER56&lt;&gt;" ",IF(ER56&lt;&gt;ER$7,"Changed",""),"")</f>
        <v/>
      </c>
      <c r="ET56" s="440">
        <f t="shared" ca="1" si="19"/>
        <v>0</v>
      </c>
      <c r="EU56" s="426" t="str">
        <f ca="1">IF(I56=" "," ",IF(F56&lt;OFFSET($BM$9,CL56-1,0,1,1),1,""))</f>
        <v xml:space="preserve"> </v>
      </c>
      <c r="EW56" s="427"/>
    </row>
    <row r="57" spans="1:153" ht="17.100000000000001" customHeight="1">
      <c r="A57" s="2685"/>
      <c r="B57" s="689" t="s">
        <v>246</v>
      </c>
      <c r="C57" s="684" t="str">
        <f>IF(OR(F57=0,I57="",I57=" ")," ",$V57)</f>
        <v xml:space="preserve"> </v>
      </c>
      <c r="D57" s="1033"/>
      <c r="E57" s="1360" t="s">
        <v>8</v>
      </c>
      <c r="F57" s="202"/>
      <c r="G57" s="1416"/>
      <c r="H57" s="1417" t="str">
        <f ca="1">IF(OR(F57=0,Z57="E",Z57="f")," ",'Project Demand'!E$55)</f>
        <v xml:space="preserve"> </v>
      </c>
      <c r="I57" s="631" t="str">
        <f>IF($I$6&lt;&gt;$BG$8," ",AB57)</f>
        <v xml:space="preserve"> </v>
      </c>
      <c r="J57" s="44" t="str">
        <f ca="1">IF(OR(I57=" ",I57="")," ",OFFSET($BO$9,CL57-1,0-4,1,1))</f>
        <v xml:space="preserve"> </v>
      </c>
      <c r="K57" s="55" t="str">
        <f>IF(OR(I57=" ",I57="")," ",IF(OR(Z57="e",Z57="h"),"SD",IF(BG$24=BH$11,BH$13,BG$24)))</f>
        <v xml:space="preserve"> </v>
      </c>
      <c r="L57" s="49">
        <f ca="1">CW57</f>
        <v>0</v>
      </c>
      <c r="M57" s="49">
        <f ca="1">CY57</f>
        <v>0</v>
      </c>
      <c r="N57" s="50">
        <f t="shared" ca="1" si="43"/>
        <v>0</v>
      </c>
      <c r="O57" s="126">
        <f t="shared" ca="1" si="43"/>
        <v>0</v>
      </c>
      <c r="P57" s="140"/>
      <c r="Q57" s="752" t="str">
        <f ca="1">IF(AND(OR(Z57="t",Z57="f"),K57=$BH$11),"No Floor!  Change Floor Type",IF(OR(I57=" ",I57="")," ",IF(F57&lt;OFFSET($BM$9,CL57-1,0,1,1),"check L(m)",DE57&amp;IF(AND(DP57&gt;=CY57,DR57&gt;=DB57),IF(AND(ED57&gt;=DP57,EF57&gt;=DR57),CONCATENATE(DS57," will provide same result"),CONCATENATE(CO57," will provide same result")),IF((DP57&gt;=CY57),CONCATENATE(CO57," provides same result in WIND"),IF((DR57&gt;=DB57),CONCATENATE(CO57," provides same result in EQ"),""))))))&amp;IF(ISERROR(FIND("pile",I57,1)),"",IF(INT(F57)&lt;&gt;F57,"Pile!  Use Whole Numbers Only",""))</f>
        <v xml:space="preserve"> </v>
      </c>
      <c r="R57" s="52"/>
      <c r="S57" s="1372"/>
      <c r="T57" s="1372"/>
      <c r="U57" s="1377"/>
      <c r="V57" s="52" t="str">
        <f ca="1">IF(AND(B$5=$BF$9,OR(I57=BH$16,I57=BH$17))," ",IF(ISNUMBER(B$56),(CONCATENATE(B$56,".",W57)),(CONCATENATE(B$56,W57))))</f>
        <v>U0</v>
      </c>
      <c r="W57" s="9">
        <f ca="1">W56+X57</f>
        <v>0</v>
      </c>
      <c r="X57" s="9">
        <f>IF(AND(B$5=$BF$9,OR($I57=$BH$16,$I57=$BH$17,$I57=" ",$I57="",$F57=0)),0,IF(OR($I57=" ",$I57="",$F57=0),0,1))</f>
        <v>0</v>
      </c>
      <c r="Y57" s="896"/>
      <c r="Z57" s="52" t="str">
        <f ca="1">IF(I57=" "," ",OFFSET($BM$9,$CL57-1,8,1,1))</f>
        <v xml:space="preserve"> </v>
      </c>
      <c r="AA57" s="51" t="str">
        <f>IF(G57&gt;=45,"WA","")</f>
        <v/>
      </c>
      <c r="AB57" s="1364" t="str">
        <f>IF(OR(E57=" ",E57="")," ",(IF(F57&lt;&gt;"",IF(OR(D57=$BG$12,D57=$BG$13),IF(E57&lt;&gt;$BG$17,$BF$20,$BF$21),IF(E57&lt;&gt;$BG$17,$BF$20,$BF$21))," ")))</f>
        <v xml:space="preserve"> </v>
      </c>
      <c r="AC57" s="1"/>
      <c r="AJ57" s="2"/>
      <c r="AK57" s="63" t="str">
        <f>'Custom Elements'!B18</f>
        <v xml:space="preserve">  </v>
      </c>
      <c r="AL57" s="860" t="str">
        <f>'Custom Elements'!C18</f>
        <v>Custom10</v>
      </c>
      <c r="AM57" s="11">
        <f>'Custom Elements'!D18</f>
        <v>9.9999999999999996E-76</v>
      </c>
      <c r="AN57" s="7">
        <f>'Custom Elements'!E18</f>
        <v>0</v>
      </c>
      <c r="AO57" s="7">
        <f>'Custom Elements'!F18</f>
        <v>0</v>
      </c>
      <c r="AP57" s="762" t="str">
        <f>'Custom Elements'!G18</f>
        <v>B</v>
      </c>
      <c r="AQ57" s="1777" t="str">
        <f>'Custom Elements'!H18</f>
        <v>Single</v>
      </c>
      <c r="AR57" s="1775" t="str">
        <f>'Custom Elements'!I18</f>
        <v>Yes</v>
      </c>
      <c r="AS57" s="442" t="str">
        <f>'Custom Elements'!J18</f>
        <v>Yes</v>
      </c>
      <c r="AT57" s="1155"/>
      <c r="AU57"/>
      <c r="AW57"/>
      <c r="AY57"/>
      <c r="AZ57" s="442" t="str">
        <f>IF(AND('Custom Elements'!J18="Yes",'Custom Elements'!I18="Yes"),"T",IF('Custom Elements'!J18="Yes","F",IF('Custom Elements'!I18="Yes","H","E")))</f>
        <v>T</v>
      </c>
      <c r="BA57" s="47"/>
      <c r="BB57" s="47"/>
      <c r="BC57" s="47"/>
      <c r="BD57" s="638"/>
      <c r="BE57" s="2715" t="s">
        <v>822</v>
      </c>
      <c r="BF57" s="2716"/>
      <c r="BG57" s="2716"/>
      <c r="BH57" s="479"/>
      <c r="BI57" s="759"/>
      <c r="BJ57" s="897">
        <f t="shared" si="37"/>
        <v>49</v>
      </c>
      <c r="BK57" s="764"/>
      <c r="BL57" s="766"/>
      <c r="BM57" s="455">
        <f>Table!D11</f>
        <v>0.6</v>
      </c>
      <c r="BN57" s="455">
        <f>BM58</f>
        <v>0.8</v>
      </c>
      <c r="BO57" s="455">
        <f>Table!E11</f>
        <v>90</v>
      </c>
      <c r="BP57" s="925">
        <f>Table!F11</f>
        <v>83</v>
      </c>
      <c r="BR57" s="764"/>
      <c r="BS57" s="455"/>
      <c r="BT57" s="455"/>
      <c r="BU57" s="925" t="s">
        <v>242</v>
      </c>
      <c r="BV57" s="895"/>
      <c r="BW57" s="912"/>
      <c r="BX57" s="925" t="str">
        <f>Table!H11</f>
        <v>Double</v>
      </c>
      <c r="CH57" s="764">
        <f>IF(BN57=999,0,(BO58-BO57)/(BN57-BM57))</f>
        <v>14.999999999999995</v>
      </c>
      <c r="CI57" s="925">
        <f>IF(BN57=999,0,(BP58-BP57)/(BN57-BM57))</f>
        <v>0</v>
      </c>
      <c r="CJ57" s="759"/>
      <c r="CK57" s="188"/>
      <c r="CL57" s="979">
        <f>VLOOKUP(I57,Prodlink,2,0)</f>
        <v>0</v>
      </c>
      <c r="CN57" s="497">
        <f t="shared" ca="1" si="35"/>
        <v>0</v>
      </c>
      <c r="CO57" s="497">
        <f ca="1">OFFSET($CH$9,CL57-1,-15,1,1)</f>
        <v>0</v>
      </c>
      <c r="CQ57" s="51">
        <v>0</v>
      </c>
      <c r="CR57" s="51">
        <f t="shared" ref="CR57:CR60" ca="1" si="44">IF(AND(Z57&lt;&gt;"t",Z57&lt;&gt;"f"),10000,IF(K57=$BH$11,0,IF(K57=$BH$12,$BH$23,IF(K57=$BH$13,$BH$24,10000))))</f>
        <v>10000</v>
      </c>
      <c r="CS57" s="51">
        <f ca="1">IF(F57&lt;OFFSET($BM$9,CL57-1,0,1,1),0,IF(F57&lt;OFFSET($BN$9,CL57-1,0,1,1),((F57-OFFSET($BM$9,CL57-1,0,1,1))*OFFSET($CH$9,CL57-1,0,1,1))+OFFSET($BO$9,CL57-1,CQ57,1,1),IF(F57&lt;OFFSET($BN$9,CL57+0,0,1,1),((F57-OFFSET($BM$9,CL57+0,0,1,1))*OFFSET($CH$9,CL57+0,0,1,1))+OFFSET($BO$9,CL57+0,CQ57,1,1),IF(F57&lt;OFFSET($BN$9,CL57+1,0,1,1),((F57-OFFSET($BM$9,CL57+1,0,1,1))*OFFSET($CH$9,CL57+1,0,1,1))+OFFSET($BO$9,CL57+1,CQ57,1,1),IF(F57&lt;OFFSET($BN$9,CL57+2,0,1,1),((F57-OFFSET($BM$9,CL57+2,0,1,1))*OFFSET($CH$9,CL57+2,0,1,1))+OFFSET($BO$9,CL57+2,CQ57,1,1),IF(F57&lt;OFFSET($BN$9,CL57+3,0,1,1),((F57-OFFSET($BM$9,CL57+3,0,1,1))*OFFSET($CH$9,CL57+3,0,1,1))+OFFSET($BO$9,CL57+3,CQ57,1,1),0))))))</f>
        <v>0</v>
      </c>
      <c r="CT57" s="51">
        <f ca="1">IF($F57&lt;OFFSET($BM$9,$CL57-1,0,1,1),0,IF($F57&lt;OFFSET($BN$9,$CL57-1,0,1,1),IF(AND($H57&gt;2.4,Z57&lt;&gt;"e",Z57&lt;&gt;"f"),CX57*2.4/$H57,CX57),IF($F57&lt;OFFSET($BN$9,$CL57+0,0,1,1),IF(AND($H57&gt;2.4,Z57&lt;&gt;"e",Z57&lt;&gt;"f"),CX57*2.4/$H57,CX57),IF($F57&lt;OFFSET($BN$9,$CL57+1,0,1,1),IF(AND($H57&gt;2.4,Z57&lt;&gt;"e",Z57&lt;&gt;"f"),CX57*2.4/$H57,CX57),IF($F57&lt;OFFSET($BN$9,CL57+2,0,1,1),IF(AND($H57&gt;2.4,Z57&lt;&gt;"e",Z57&lt;&gt;"f"),CX57*2.4/$H57,CX57),IF($F57&lt;OFFSET($BN$9,CL57+3,0,1,1),IF(AND($H57&gt;2.4,Z57&lt;&gt;"e",Z57&lt;&gt;"f"),CX57*2.4/$H57,CX57),0)))))*COS(RADIANS($G57)))</f>
        <v>0</v>
      </c>
      <c r="CU57" s="51">
        <f ca="1">IF(F57&lt;OFFSET($BM$9,CL57-1,0,1,1),0,IF(F57&lt;OFFSET($BN$9,CL57-1,0,1,1),((F57-OFFSET($BM$9,CL57-1,0,1,1))*OFFSET($CI$9,CL57-1,0,1,1))+OFFSET($BP$9,CL57-1,CQ57,1,1),IF(F57&lt;OFFSET($BN$9,CL57+0,0,1,1),((F57-OFFSET($BM$9,CL57+0,0,1,1))*OFFSET($CI$9,CL57+0,0,1,1))+OFFSET($BP$9,CL57+0,CQ57,1,1),IF(F57&lt;OFFSET($BN$9,CL57+1,0,1,1),((F57-OFFSET($BM$9,CL57+1,0,1,1))*OFFSET($CI$9,CL57+1,0,1,1))+OFFSET($BP$9,CL57+1,CQ57,1,1),IF(F57&lt;OFFSET($BN$9,CL57+2,0,1,1),((F57-OFFSET($BM$9,CL57+2,0,1,1))*OFFSET($CI$9,CL57+2,0,1,1))+OFFSET($BP$9,CL57+2,CQ57,1,1),IF(F57&lt;OFFSET($BN$9,CL57+3,0,1,1),((F57-OFFSET($BM$9,CL57+3,0,1,1))*OFFSET($CI$9,CL57+3,0,1,1))+OFFSET($BP$9,CL57+3,CQ57,1,1),0))))))</f>
        <v>0</v>
      </c>
      <c r="CV57" s="51">
        <f ca="1">IF($F57&lt;OFFSET($BM$9,$CL57-1,0,1,1),0,IF($F57&lt;OFFSET($BN$9,$CL57-1,0,1,1),IF(AND($H57&gt;2.4,Z57&lt;&gt;"e",Z57&lt;&gt;"f"),CZ57*2.4/$H57,CZ57),IF($F57&lt;OFFSET($BN$9,$CL57+0,0,1,1),IF(AND($H57&gt;2.4,Z57&lt;&gt;"e",Z57&lt;&gt;"f"),CZ57*2.4/$H57,CZ57),IF($F57&lt;OFFSET($BN$9,$CL57+1,0,1,1),IF(AND($H57&gt;2.4,Z57&lt;&gt;"e",Z57&lt;&gt;"f"),CZ57*2.4/$H57,CZ57),IF($F57&lt;OFFSET($BN$9,$CL57+2,0,1,1),IF(AND($H57&gt;2.4,Z57&lt;&gt;"e",Z57&lt;&gt;"f"),CZ57*2.4/$H57,CZ57),IF($F57&lt;OFFSET($BN$9,$CL57+3,0,1,1),IF(AND($H57&gt;2.4,Z57&lt;&gt;"e",Z57&lt;&gt;"f"),CZ57*2.4/$H57,CZ57),0)))))*COS(RADIANS($G57)))</f>
        <v>0</v>
      </c>
      <c r="CW57" s="51">
        <f t="shared" ca="1" si="18"/>
        <v>0</v>
      </c>
      <c r="CX57" s="51">
        <f ca="1">IF(CS57&gt;$CR57,$CR57,CS57)</f>
        <v>0</v>
      </c>
      <c r="CY57" s="51">
        <f ca="1">CW57*F57</f>
        <v>0</v>
      </c>
      <c r="CZ57" s="51">
        <f ca="1">IF($CU57&gt;$CR57,$CR57,$CU57)</f>
        <v>0</v>
      </c>
      <c r="DA57" s="51">
        <f ca="1">IF(CV57&gt;CR57,CR57,CV57)</f>
        <v>0</v>
      </c>
      <c r="DB57" s="51">
        <f ca="1">DA57*F57</f>
        <v>0</v>
      </c>
      <c r="DC57" s="993">
        <v>1</v>
      </c>
      <c r="DD57" s="758" t="str">
        <f>IF(OR(D57=BG$12,D57=BG$13),"External",IF(D57=BG$14,"Internal"," "))</f>
        <v xml:space="preserve"> </v>
      </c>
      <c r="DE57" s="51" t="str">
        <f t="shared" ca="1" si="4"/>
        <v/>
      </c>
      <c r="DF57" s="52" t="str">
        <f t="shared" ca="1" si="5"/>
        <v xml:space="preserve"> </v>
      </c>
      <c r="DG57" s="51">
        <f ca="1">IF(F57&lt;OFFSET($BM$9,CN57-1,0,1,1),0,IF(F57&lt;OFFSET($BN$9,CN57-1,0,1,1),((F57-OFFSET($BM$9,CN57-1,0,1,1))*OFFSET($CH$9,CN57-1,0,1,1))+OFFSET($BO$9,CN57-1,CQ57,1,1),IF(F57&lt;OFFSET($BN$9,CN57+0,0,1,1),((F57-OFFSET($BM$9,CN57+0,0,1,1))*OFFSET($CH$9,CN57+0,0,1,1))+OFFSET($BO$9,CN57+0,CQ57,1,1),IF(F57&lt;OFFSET($BN$9,CN57+1,0,1,1),((F57-OFFSET($BM$9,CN57+1,0,1,1))*OFFSET($CH$9,CN57+1,0,1,1))+OFFSET($BO$9,CN57+1,CQ57,1,1),IF(F57&lt;OFFSET($BN$9,CN57+2,0,1,1),((F57-OFFSET($BM$9,CN57+2,0,1,1))*OFFSET($CH$9,CN57+2,0,1,1))+OFFSET($BO$9,CN57+2,CQ57,1,1),IF(F57&lt;OFFSET($BN$9,CN57+3,0,1,1),((F57-OFFSET($BM$9,CN57+3,0,1,1))*OFFSET($CH$9,CN57+3,0,1,1))+OFFSET($BO$9,CN57+3,CQ57,1,1),0))))))</f>
        <v>0</v>
      </c>
      <c r="DH57" s="51">
        <f ca="1">IF($F57&lt;OFFSET($BM$9,$CN57-1,0,1,1),0,IF($F57&lt;OFFSET($BN$9,$CN57-1,0,1,1),IF(AND($H57&gt;2.4,Z57&lt;&gt;"e",Z57&lt;&gt;"f"),DL57*2.4/$H57,DL57),IF($F57&lt;OFFSET($BN$9,$CN57+0,0,1,1),IF(AND($H57&gt;2.4,Z57&lt;&gt;"e",Z57&lt;&gt;"f"),DL57*2.4/$H57,DL57),IF($F57&lt;OFFSET($BN$9,$CN57+1,0,1,1),IF(AND($H57&gt;2.4,Z57&lt;&gt;"e",Z57&lt;&gt;"f"),DL57*2.4/$H57,DL57),IF($F57&lt;OFFSET($BN$9,$CN57+2,0,1,1),IF(AND($H57&gt;2.4,Z57&lt;&gt;"e",Z57&lt;&gt;"f"),DL57*2.4/$H57,DL57),IF($F57&lt;OFFSET($BN$9,$CN57+3,0,1,1),IF(AND($H57&gt;2.4,Z57&lt;&gt;"e",Z57&lt;&gt;"f"),DL57*2.4/$H57,DL57),0)))))*COS(RADIANS($G57)))</f>
        <v>0</v>
      </c>
      <c r="DI57" s="51">
        <f ca="1">IF(F57&lt;OFFSET($BM$9,CN57-1,0,1,1),0,IF(F57&lt;OFFSET($BN$9,CN57-1,0,1,1),((F57-OFFSET($BM$9,CN57-1,0,1,1))*OFFSET($CI$9,CN57-1,0,1,1))+OFFSET($BP$9,CN57-1,CQ57,1,1),IF(F57&lt;OFFSET($BN$9,CN57+0,0,1,1),((F57-OFFSET($BM$9,CN57+0,0,1,1))*OFFSET($CI$9,CN57+0,0,1,1))+OFFSET($BP$9,CN57+0,CQ57,1,1),IF(F57&lt;OFFSET($BN$9,CN57+1,0,1,1),((F57-OFFSET($BM$9,CN57+1,0,1,1))*OFFSET($CI$9,CN57+1,0,1,1))+OFFSET($BP$9,CN57+1,CQ57,1,1),IF(F57&lt;OFFSET($BN$9,CN57+2,0,1,1),((F57-OFFSET($BM$9,CN57+2,0,1,1))*OFFSET($CI$9,CN57+2,0,1,1))+OFFSET($BP$9,CN57+2,CQ57,1,1),IF(F57&lt;OFFSET($BN$9,CN57+3,0,1,1),((F57-OFFSET($BM$9,CN57+3,0,1,1))*OFFSET($CI$9,CN57+3,0,1,1))+OFFSET($BP$9,CN57+3,CQ57,1,1),0))))))</f>
        <v>0</v>
      </c>
      <c r="DJ57" s="51">
        <f ca="1">IF($F57&lt;OFFSET($BM$9,$CN57-1,0,1,1),0,IF($F57&lt;OFFSET($BN$9,$CN57-1,0,1,1),IF(AND($H57&gt;2.4,Z57&lt;&gt;"e",Z57&lt;&gt;"f"),DN57*2.4/$H57,DN57),IF($F57&lt;OFFSET($BN$9,$CN57+0,0,1,1),IF(AND($H57&gt;2.4,Z57&lt;&gt;"e",Z57&lt;&gt;"f"),DN57*2.4/$H57,DN57),IF($F57&lt;OFFSET($BN$9,$CN57+1,0,1,1),IF(AND($H57&gt;2.4,Z57&lt;&gt;"e",Z57&lt;&gt;"f"),DN57*2.4/$H57,DN57),IF($F57&lt;OFFSET($BN$9,$CN57+2,0,1,1),IF(AND($H57&gt;2.4,Z57&lt;&gt;"e",Z57&lt;&gt;"f"),DN57*2.4/$H57,DN57),IF($F57&lt;OFFSET($BN$9,$CN57+3,0,1,1),IF(AND($H57&gt;2.4,Z57&lt;&gt;"e",Z57&lt;&gt;"f"),DN57*2.4/$H57,DN57),0)))))*COS(RADIANS($G57)))</f>
        <v>0</v>
      </c>
      <c r="DK57" s="51"/>
      <c r="DL57" s="51">
        <f ca="1">IF(DG57&gt;$CR57,$CR57,DG57)</f>
        <v>0</v>
      </c>
      <c r="DM57" s="51"/>
      <c r="DN57" s="51">
        <f ca="1">IF(DI57&gt;$CR57,$CR57,DI57)</f>
        <v>0</v>
      </c>
      <c r="DO57" s="435">
        <f ca="1">IF(DH57&gt;$CR57,$CR57,DH57)</f>
        <v>0</v>
      </c>
      <c r="DP57" s="435">
        <f ca="1">DO57*F57</f>
        <v>0</v>
      </c>
      <c r="DQ57" s="436">
        <f ca="1">IF(DJ57&gt;$CR57,$CR57,DJ57)</f>
        <v>0</v>
      </c>
      <c r="DR57" s="437">
        <f ca="1">DQ57*F57</f>
        <v>0</v>
      </c>
      <c r="DS57" s="426">
        <f ca="1">OFFSET($CH$9,CL57-1,-15,1,1)</f>
        <v>0</v>
      </c>
      <c r="DT57" s="426">
        <f t="shared" ca="1" si="36"/>
        <v>0</v>
      </c>
      <c r="DU57" s="188">
        <f ca="1">IF(F57&lt;OFFSET($BM$9,DT57-1,0,1,1),0,IF(F57&lt;OFFSET($BN$9,DT57-1,0,1,1),((F57-OFFSET($BM$9,DT57-1,0,1,1))*OFFSET($CH$9,DT57-1,0,1,1))+OFFSET($BO$9,DT57-1,CQ57,1,1),IF(F57&lt;OFFSET($BN$9,DT57+0,0,1,1),((F57-OFFSET($BM$9,DT57+0,0,1,1))*OFFSET($CH$9,DT57+0,0,1,1))+OFFSET($BO$9,DT57+0,CQ57,1,1),IF(F57&lt;OFFSET($BN$9,DT57+1,0,1,1),((F57-OFFSET($BM$9,DT57+1,0,1,1))*OFFSET($CH$9,DT57+1,0,1,1))+OFFSET($BO$9,DT57+1,CQ57,1,1),IF(F57&lt;OFFSET($BN$9,DT57+2,0,1,1),((F57-OFFSET($BM$9,DT57+2,0,1,1))*OFFSET($CH$9,DT57+2,0,1,1))+OFFSET($BO$9,DT57+2,CQ57,1,1),IF(F57&lt;OFFSET($BN$9,DT57+3,0,1,1),((F57-OFFSET($BM$9,DT57+3,0,1,1))*OFFSET($CH$9,DT57+3,0,1,1))+OFFSET($BO$9,DT57+3,CQ57,1,1),0))))))</f>
        <v>0</v>
      </c>
      <c r="DV57" s="51">
        <f ca="1">IF($F57&lt;OFFSET($BM$9,$DT57-1,0,1,1),0,IF($F57&lt;OFFSET($BN$9,$DT57-1,0,1,1),IF(AND($H57&gt;2.4,Z57&lt;&gt;"e",Z57&lt;&gt;"f"),DZ57*2.4/$H57,DZ57),IF($F57&lt;OFFSET($BN$9,$DT57+0,0,1,1),IF(AND($H57&gt;2.4,Z57&lt;&gt;"e",Z57&lt;&gt;"f"),DZ57*2.4/$H57,DZ57),IF($F57&lt;OFFSET($BN$9,$DT57+1,0,1,1),IF(AND($H57&gt;2.4,Z57&lt;&gt;"e",Z57&lt;&gt;"f"),DZ57*2.4/$H57,DZ57),IF($F57&lt;OFFSET($BN$9,$DT57+2,0,1,1),IF(AND($H57&gt;2.4,Z57&lt;&gt;"e",Z57&lt;&gt;"f"),DZ57*2.4/$H57,DZ57),IF($F57&lt;OFFSET($BN$9,$DT57+3,0,1,1),IF(AND($H57&gt;2.4,Z57&lt;&gt;"e",Z57&lt;&gt;"f"),DZ57*2.4/$H57,DZ57),0)))))*COS(RADIANS($G57)))</f>
        <v>0</v>
      </c>
      <c r="DW57" s="188">
        <f ca="1">IF(F57&lt;OFFSET($BM$9,DT57-1,0,1,1),0,IF(F57&lt;OFFSET($BN$9,DT57-1,0,1,1),((F57-OFFSET($BM$9,DT57-1,0,1,1))*OFFSET($CI$9,DT57-1,0,1,1))+OFFSET($BP$9,DT57-1,CQ57,1,1),IF(F57&lt;OFFSET($BN$9,DT57+0,0,1,1),((F57-OFFSET($BM$9,DT57+0,0,1,1))*OFFSET($CI$9,DT57+0,0,1,1))+OFFSET($BP$9,DT57+0,CQ57,1,1),IF(F57&lt;OFFSET($BN$9,DT57+1,0,1,1),((F57-OFFSET($BM$9,DT57+1,0,1,1))*OFFSET($CI$9,DT57+1,0,1,1))+OFFSET($BP$9,DT57+1,CQ57,1,1),IF(F57&lt;OFFSET($BN$9,DT57+2,0,1,1),((F57-OFFSET($BM$9,DT57+2,0,1,1))*OFFSET($CI$9,DT57+2,0,1,1))+OFFSET($BP$9,DT57+2,CQ57,1,1),IF(F57&lt;OFFSET($BN$9,DT57+3,0,1,1),((F57-OFFSET($BM$9,DT57+3,0,1,1))*OFFSET($CI$9,DT57+3,0,1,1))+OFFSET($BP$9,DT57+3,CQ57,1,1),0))))))</f>
        <v>0</v>
      </c>
      <c r="DX57" s="51">
        <f ca="1">IF($F57&lt;OFFSET($BM$9,$DT57-1,0,1,1),0,IF($F57&lt;OFFSET($BN$9,$DT57-1,0,1,1),IF(AND($H57&gt;2.4,Z57&lt;&gt;"e",Z57&lt;&gt;"f"),EB57*2.4/$H57,EB57),IF($F57&lt;OFFSET($BN$9,$DT57+0,0,1,1),IF(AND($H57&gt;2.4,Z57&lt;&gt;"e",Z57&lt;&gt;"f"),EB57*2.4/$H57,EB57),IF($F57&lt;OFFSET($BN$9,$DT57+1,0,1,1),IF(AND($H57&gt;2.4,Z57&lt;&gt;"e",Z57&lt;&gt;"f"),EB57*2.4/$H57,EB57),IF($F57&lt;OFFSET($BN$9,$DT57+2,0,1,1),IF(AND($H57&gt;2.4,Z57&lt;&gt;"e",Z57&lt;&gt;"f"),EB57*2.4/$H57,EB57),IF($F57&lt;OFFSET($BN$9,$DT57+3,0,1,1),IF(AND($H57&gt;2.4,Z57&lt;&gt;"e",Z57&lt;&gt;"f"),EB57*2.4/$H57,EB57),0)))))*COS(RADIANS($G57)))</f>
        <v>0</v>
      </c>
      <c r="DY57" s="188"/>
      <c r="DZ57" s="188">
        <f ca="1">IF(DU57&gt;$CR57,$CR57,DU57)</f>
        <v>0</v>
      </c>
      <c r="EA57" s="188"/>
      <c r="EB57" s="188">
        <f ca="1">IF(DW57&gt;$CR57,$CR57,DW57)</f>
        <v>0</v>
      </c>
      <c r="EC57" s="435">
        <f ca="1">IF(DV57&gt;$CR57,$CR57,DV57)</f>
        <v>0</v>
      </c>
      <c r="ED57" s="435">
        <f ca="1">EC57*F57</f>
        <v>0</v>
      </c>
      <c r="EE57" s="436">
        <f ca="1">IF(DX57&gt;$CR57,$CR57,DX57)</f>
        <v>0</v>
      </c>
      <c r="EF57" s="437">
        <f ca="1">EE57*F57</f>
        <v>0</v>
      </c>
      <c r="EG57" s="613" t="str">
        <f>IF(D57=BG$12,BG$12,"")</f>
        <v/>
      </c>
      <c r="EH57" s="614" t="str">
        <f>IF(D57=BG$13,BG$13,"")</f>
        <v/>
      </c>
      <c r="EI57" s="611">
        <f>IF(EG57=BG$12,M57,0)</f>
        <v>0</v>
      </c>
      <c r="EJ57" s="451">
        <f>IF(EG57=BG$12,O57,0)</f>
        <v>0</v>
      </c>
      <c r="EK57" s="451">
        <f>IF(EH57=BG$13,M57,0)</f>
        <v>0</v>
      </c>
      <c r="EL57" s="612">
        <f>IF(EH57=BG$13,O57,0)</f>
        <v>0</v>
      </c>
      <c r="EM57" s="426" t="str">
        <f ca="1">IF(AND(Z57&lt;&gt;"t",Z57&lt;&gt;"f"),"",IF(AND(EN57=$BH$11,K57&lt;&gt;EN57),EM$4,IF(AND(EN57=$BH$12,K57=$BH$13),EM$4,IF(AND(EN57=$BH$12,K57=$BH$14),EM$4,IF(AND(EN57=$BH$13,K57=$BH$14),$EM$4,IF(EN57=$BH$14,$EM$4,""))))))</f>
        <v/>
      </c>
      <c r="EN57" s="489" t="str">
        <f>BG$24</f>
        <v>Earth</v>
      </c>
      <c r="EO57" s="426" t="str">
        <f>K57</f>
        <v xml:space="preserve"> </v>
      </c>
      <c r="EP57" s="497" t="str">
        <f ca="1">IF(AND(Z57&lt;&gt;"t",Z57&lt;&gt;"f"),"",IF(AND(EN57=$BH$14,K57&lt;&gt;EN57),EP$4,IF(AND(EN57=$BH$13,K57=$BH$12),EP$4,IF(AND(EN57=$BH$13,K57=$BH$11),EP$4,IF(AND(EN57=$BH$12,K57=$BH$11),$EP$4,IF(EN57=$BH$11,"Earth",""))))))</f>
        <v/>
      </c>
      <c r="EQ57" s="430" t="str">
        <f ca="1">IF(Z57&lt;&gt;"t","",IF(EQ$5=2,IF(K57&lt;&gt;BH$11,EQ$7," ")))</f>
        <v/>
      </c>
      <c r="ER57" s="439" t="str">
        <f ca="1">IF(H57=0," ",H57)</f>
        <v xml:space="preserve"> </v>
      </c>
      <c r="ES57" s="440" t="str">
        <f ca="1">IF(ER57&lt;&gt;" ",IF(ER57&lt;&gt;ER$7,"Changed",""),"")</f>
        <v/>
      </c>
      <c r="ET57" s="440">
        <f t="shared" ca="1" si="19"/>
        <v>0</v>
      </c>
      <c r="EU57" s="426" t="str">
        <f ca="1">IF(I57=" "," ",IF(F57&lt;OFFSET($BM$9,CL57-1,0,1,1),1,""))</f>
        <v xml:space="preserve"> </v>
      </c>
      <c r="EW57" s="427"/>
    </row>
    <row r="58" spans="1:153" ht="17.100000000000001" customHeight="1">
      <c r="A58" s="2685"/>
      <c r="B58" s="689" t="s">
        <v>246</v>
      </c>
      <c r="C58" s="684" t="str">
        <f>IF(OR(F58=0,I58="",I58=" ")," ",$V58)</f>
        <v xml:space="preserve"> </v>
      </c>
      <c r="D58" s="1033"/>
      <c r="E58" s="1360" t="s">
        <v>8</v>
      </c>
      <c r="F58" s="202"/>
      <c r="G58" s="1416"/>
      <c r="H58" s="1417" t="str">
        <f ca="1">IF(OR(F58=0,Z58="E",Z58="f")," ",'Project Demand'!E$55)</f>
        <v xml:space="preserve"> </v>
      </c>
      <c r="I58" s="631" t="str">
        <f>IF($I$6&lt;&gt;$BG$8," ",AB58)</f>
        <v xml:space="preserve"> </v>
      </c>
      <c r="J58" s="44" t="str">
        <f ca="1">IF(OR(I58=" ",I58="")," ",OFFSET($BO$9,CL58-1,0-4,1,1))</f>
        <v xml:space="preserve"> </v>
      </c>
      <c r="K58" s="55" t="str">
        <f>IF(OR(I58=" ",I58="")," ",IF(OR(Z58="e",Z58="h"),"SD",IF(BG$24=BH$11,BH$13,BG$24)))</f>
        <v xml:space="preserve"> </v>
      </c>
      <c r="L58" s="49">
        <f ca="1">CW58</f>
        <v>0</v>
      </c>
      <c r="M58" s="49">
        <f ca="1">CY58</f>
        <v>0</v>
      </c>
      <c r="N58" s="50">
        <f t="shared" ca="1" si="43"/>
        <v>0</v>
      </c>
      <c r="O58" s="126">
        <f t="shared" ca="1" si="43"/>
        <v>0</v>
      </c>
      <c r="P58" s="140"/>
      <c r="Q58" s="752" t="str">
        <f ca="1">IF(AND(OR(Z58="t",Z58="f"),K58=$BH$11),"No Floor!  Change Floor Type",IF(OR(I58=" ",I58="")," ",IF(F58&lt;OFFSET($BM$9,CL58-1,0,1,1),"check L(m)",DE58&amp;IF(AND(DP58&gt;=CY58,DR58&gt;=DB58),IF(AND(ED58&gt;=DP58,EF58&gt;=DR58),CONCATENATE(DS58," will provide same result"),CONCATENATE(CO58," will provide same result")),IF((DP58&gt;=CY58),CONCATENATE(CO58," provides same result in WIND"),IF((DR58&gt;=DB58),CONCATENATE(CO58," provides same result in EQ"),""))))))&amp;IF(ISERROR(FIND("pile",I58,1)),"",IF(INT(F58)&lt;&gt;F58,"Pile!  Use Whole Numbers Only",""))</f>
        <v xml:space="preserve"> </v>
      </c>
      <c r="R58" s="52"/>
      <c r="S58" s="1372"/>
      <c r="T58" s="1372"/>
      <c r="U58" s="1377"/>
      <c r="V58" s="52" t="str">
        <f ca="1">IF(AND(B$5=$BF$9,OR(I58=BH$16,I58=BH$17))," ",IF(ISNUMBER(B$56),(CONCATENATE(B$56,".",W58)),(CONCATENATE(B$56,W58))))</f>
        <v>U0</v>
      </c>
      <c r="W58" s="9">
        <f ca="1">W57+X58</f>
        <v>0</v>
      </c>
      <c r="X58" s="9">
        <f>IF(AND(B$5=$BF$9,OR($I58=$BH$16,$I58=$BH$17,$I58=" ",$I58="",$F58=0)),0,IF(OR($I58=" ",$I58="",$F58=0),0,1))</f>
        <v>0</v>
      </c>
      <c r="Y58" s="896"/>
      <c r="Z58" s="52" t="str">
        <f ca="1">IF(I58=" "," ",OFFSET($BM$9,$CL58-1,8,1,1))</f>
        <v xml:space="preserve"> </v>
      </c>
      <c r="AA58" s="51" t="str">
        <f>IF(G58&gt;=45,"WA","")</f>
        <v/>
      </c>
      <c r="AB58" s="1364" t="str">
        <f>IF(OR(E58=" ",E58="")," ",(IF(F58&lt;&gt;"",IF(OR(D58=$BG$12,D58=$BG$13),IF(E58&lt;&gt;$BG$17,$BF$20,$BF$21),IF(E58&lt;&gt;$BG$17,$BF$20,$BF$21))," ")))</f>
        <v xml:space="preserve"> </v>
      </c>
      <c r="AC58" s="1"/>
      <c r="AJ58" s="2"/>
      <c r="AK58" s="63" t="str">
        <f>'Custom Elements'!B19</f>
        <v xml:space="preserve">  </v>
      </c>
      <c r="AL58" s="860" t="str">
        <f>'Custom Elements'!C19</f>
        <v>Custom11</v>
      </c>
      <c r="AM58" s="11">
        <f>'Custom Elements'!D19</f>
        <v>9.9999999999999996E-76</v>
      </c>
      <c r="AN58" s="7">
        <f>'Custom Elements'!E19</f>
        <v>0</v>
      </c>
      <c r="AO58" s="7">
        <f>'Custom Elements'!F19</f>
        <v>0</v>
      </c>
      <c r="AP58" s="762" t="str">
        <f>'Custom Elements'!G19</f>
        <v>B</v>
      </c>
      <c r="AQ58" s="1777" t="str">
        <f>'Custom Elements'!H19</f>
        <v>Single</v>
      </c>
      <c r="AR58" s="1775" t="str">
        <f>'Custom Elements'!I19</f>
        <v>Yes</v>
      </c>
      <c r="AS58" s="442" t="str">
        <f>'Custom Elements'!J19</f>
        <v>Yes</v>
      </c>
      <c r="AT58" s="1155"/>
      <c r="AU58"/>
      <c r="AW58"/>
      <c r="AY58"/>
      <c r="AZ58" s="442" t="str">
        <f>IF(AND('Custom Elements'!J19="Yes",'Custom Elements'!I19="Yes"),"T",IF('Custom Elements'!J19="Yes","F",IF('Custom Elements'!I19="Yes","H","E")))</f>
        <v>T</v>
      </c>
      <c r="BA58" s="47"/>
      <c r="BB58" s="47"/>
      <c r="BC58" s="47"/>
      <c r="BD58" s="638"/>
      <c r="BE58" s="2715" t="s">
        <v>827</v>
      </c>
      <c r="BF58" s="2716"/>
      <c r="BG58" s="2716"/>
      <c r="BH58" s="479"/>
      <c r="BI58" s="759"/>
      <c r="BJ58" s="897">
        <f t="shared" si="37"/>
        <v>50</v>
      </c>
      <c r="BK58" s="764"/>
      <c r="BL58" s="766"/>
      <c r="BM58" s="455">
        <f>Table!D12</f>
        <v>0.8</v>
      </c>
      <c r="BN58" s="455">
        <f>BM59</f>
        <v>0.9</v>
      </c>
      <c r="BO58" s="455">
        <f>Table!E12</f>
        <v>93</v>
      </c>
      <c r="BP58" s="925">
        <f>Table!F12</f>
        <v>83</v>
      </c>
      <c r="BR58" s="764"/>
      <c r="BS58" s="455"/>
      <c r="BT58" s="455"/>
      <c r="BU58" s="925" t="s">
        <v>242</v>
      </c>
      <c r="BV58" s="895"/>
      <c r="BW58" s="912"/>
      <c r="BX58" s="925" t="str">
        <f>Table!H11</f>
        <v>Double</v>
      </c>
      <c r="CH58" s="764">
        <f>IF(BN58=999,0,(BO59-BO58)/(BN58-BM58))</f>
        <v>50.000000000000014</v>
      </c>
      <c r="CI58" s="925">
        <f>IF(BN58=999,0,(BP59-BP58)/(BN58-BM58))</f>
        <v>50.000000000000014</v>
      </c>
      <c r="CJ58" s="759"/>
      <c r="CK58" s="188"/>
      <c r="CL58" s="979">
        <f>VLOOKUP(I58,Prodlink,2,0)</f>
        <v>0</v>
      </c>
      <c r="CN58" s="497">
        <f t="shared" ca="1" si="35"/>
        <v>0</v>
      </c>
      <c r="CO58" s="497">
        <f ca="1">OFFSET($CH$9,CL58-1,-15,1,1)</f>
        <v>0</v>
      </c>
      <c r="CQ58" s="51">
        <v>0</v>
      </c>
      <c r="CR58" s="51">
        <f t="shared" ca="1" si="44"/>
        <v>10000</v>
      </c>
      <c r="CS58" s="51">
        <f ca="1">IF(F58&lt;OFFSET($BM$9,CL58-1,0,1,1),0,IF(F58&lt;OFFSET($BN$9,CL58-1,0,1,1),((F58-OFFSET($BM$9,CL58-1,0,1,1))*OFFSET($CH$9,CL58-1,0,1,1))+OFFSET($BO$9,CL58-1,CQ58,1,1),IF(F58&lt;OFFSET($BN$9,CL58+0,0,1,1),((F58-OFFSET($BM$9,CL58+0,0,1,1))*OFFSET($CH$9,CL58+0,0,1,1))+OFFSET($BO$9,CL58+0,CQ58,1,1),IF(F58&lt;OFFSET($BN$9,CL58+1,0,1,1),((F58-OFFSET($BM$9,CL58+1,0,1,1))*OFFSET($CH$9,CL58+1,0,1,1))+OFFSET($BO$9,CL58+1,CQ58,1,1),IF(F58&lt;OFFSET($BN$9,CL58+2,0,1,1),((F58-OFFSET($BM$9,CL58+2,0,1,1))*OFFSET($CH$9,CL58+2,0,1,1))+OFFSET($BO$9,CL58+2,CQ58,1,1),IF(F58&lt;OFFSET($BN$9,CL58+3,0,1,1),((F58-OFFSET($BM$9,CL58+3,0,1,1))*OFFSET($CH$9,CL58+3,0,1,1))+OFFSET($BO$9,CL58+3,CQ58,1,1),0))))))</f>
        <v>0</v>
      </c>
      <c r="CT58" s="51">
        <f ca="1">IF($F58&lt;OFFSET($BM$9,$CL58-1,0,1,1),0,IF($F58&lt;OFFSET($BN$9,$CL58-1,0,1,1),IF(AND($H58&gt;2.4,Z58&lt;&gt;"e",Z58&lt;&gt;"f"),CX58*2.4/$H58,CX58),IF($F58&lt;OFFSET($BN$9,$CL58+0,0,1,1),IF(AND($H58&gt;2.4,Z58&lt;&gt;"e",Z58&lt;&gt;"f"),CX58*2.4/$H58,CX58),IF($F58&lt;OFFSET($BN$9,$CL58+1,0,1,1),IF(AND($H58&gt;2.4,Z58&lt;&gt;"e",Z58&lt;&gt;"f"),CX58*2.4/$H58,CX58),IF($F58&lt;OFFSET($BN$9,CL58+2,0,1,1),IF(AND($H58&gt;2.4,Z58&lt;&gt;"e",Z58&lt;&gt;"f"),CX58*2.4/$H58,CX58),IF($F58&lt;OFFSET($BN$9,CL58+3,0,1,1),IF(AND($H58&gt;2.4,Z58&lt;&gt;"e",Z58&lt;&gt;"f"),CX58*2.4/$H58,CX58),0)))))*COS(RADIANS($G58)))</f>
        <v>0</v>
      </c>
      <c r="CU58" s="51">
        <f ca="1">IF(F58&lt;OFFSET($BM$9,CL58-1,0,1,1),0,IF(F58&lt;OFFSET($BN$9,CL58-1,0,1,1),((F58-OFFSET($BM$9,CL58-1,0,1,1))*OFFSET($CI$9,CL58-1,0,1,1))+OFFSET($BP$9,CL58-1,CQ58,1,1),IF(F58&lt;OFFSET($BN$9,CL58+0,0,1,1),((F58-OFFSET($BM$9,CL58+0,0,1,1))*OFFSET($CI$9,CL58+0,0,1,1))+OFFSET($BP$9,CL58+0,CQ58,1,1),IF(F58&lt;OFFSET($BN$9,CL58+1,0,1,1),((F58-OFFSET($BM$9,CL58+1,0,1,1))*OFFSET($CI$9,CL58+1,0,1,1))+OFFSET($BP$9,CL58+1,CQ58,1,1),IF(F58&lt;OFFSET($BN$9,CL58+2,0,1,1),((F58-OFFSET($BM$9,CL58+2,0,1,1))*OFFSET($CI$9,CL58+2,0,1,1))+OFFSET($BP$9,CL58+2,CQ58,1,1),IF(F58&lt;OFFSET($BN$9,CL58+3,0,1,1),((F58-OFFSET($BM$9,CL58+3,0,1,1))*OFFSET($CI$9,CL58+3,0,1,1))+OFFSET($BP$9,CL58+3,CQ58,1,1),0))))))</f>
        <v>0</v>
      </c>
      <c r="CV58" s="51">
        <f ca="1">IF($F58&lt;OFFSET($BM$9,$CL58-1,0,1,1),0,IF($F58&lt;OFFSET($BN$9,$CL58-1,0,1,1),IF(AND($H58&gt;2.4,Z58&lt;&gt;"e",Z58&lt;&gt;"f"),CZ58*2.4/$H58,CZ58),IF($F58&lt;OFFSET($BN$9,$CL58+0,0,1,1),IF(AND($H58&gt;2.4,Z58&lt;&gt;"e",Z58&lt;&gt;"f"),CZ58*2.4/$H58,CZ58),IF($F58&lt;OFFSET($BN$9,$CL58+1,0,1,1),IF(AND($H58&gt;2.4,Z58&lt;&gt;"e",Z58&lt;&gt;"f"),CZ58*2.4/$H58,CZ58),IF($F58&lt;OFFSET($BN$9,$CL58+2,0,1,1),IF(AND($H58&gt;2.4,Z58&lt;&gt;"e",Z58&lt;&gt;"f"),CZ58*2.4/$H58,CZ58),IF($F58&lt;OFFSET($BN$9,$CL58+3,0,1,1),IF(AND($H58&gt;2.4,Z58&lt;&gt;"e",Z58&lt;&gt;"f"),CZ58*2.4/$H58,CZ58),0)))))*COS(RADIANS($G58)))</f>
        <v>0</v>
      </c>
      <c r="CW58" s="51">
        <f t="shared" ca="1" si="18"/>
        <v>0</v>
      </c>
      <c r="CX58" s="51">
        <f ca="1">IF(CS58&gt;$CR58,$CR58,CS58)</f>
        <v>0</v>
      </c>
      <c r="CY58" s="51">
        <f ca="1">CW58*F58</f>
        <v>0</v>
      </c>
      <c r="CZ58" s="51">
        <f ca="1">IF($CU58&gt;$CR58,$CR58,$CU58)</f>
        <v>0</v>
      </c>
      <c r="DA58" s="51">
        <f ca="1">IF(CV58&gt;CR58,CR58,CV58)</f>
        <v>0</v>
      </c>
      <c r="DB58" s="51">
        <f ca="1">DA58*F58</f>
        <v>0</v>
      </c>
      <c r="DC58" s="993">
        <v>1</v>
      </c>
      <c r="DD58" s="758" t="str">
        <f>IF(OR(D58=BG$12,D58=BG$13),"External",IF(D58=BG$14,"Internal"," "))</f>
        <v xml:space="preserve"> </v>
      </c>
      <c r="DE58" s="51" t="str">
        <f t="shared" ca="1" si="4"/>
        <v/>
      </c>
      <c r="DF58" s="52" t="str">
        <f t="shared" ca="1" si="5"/>
        <v xml:space="preserve"> </v>
      </c>
      <c r="DG58" s="51">
        <f ca="1">IF(F58&lt;OFFSET($BM$9,CN58-1,0,1,1),0,IF(F58&lt;OFFSET($BN$9,CN58-1,0,1,1),((F58-OFFSET($BM$9,CN58-1,0,1,1))*OFFSET($CH$9,CN58-1,0,1,1))+OFFSET($BO$9,CN58-1,CQ58,1,1),IF(F58&lt;OFFSET($BN$9,CN58+0,0,1,1),((F58-OFFSET($BM$9,CN58+0,0,1,1))*OFFSET($CH$9,CN58+0,0,1,1))+OFFSET($BO$9,CN58+0,CQ58,1,1),IF(F58&lt;OFFSET($BN$9,CN58+1,0,1,1),((F58-OFFSET($BM$9,CN58+1,0,1,1))*OFFSET($CH$9,CN58+1,0,1,1))+OFFSET($BO$9,CN58+1,CQ58,1,1),IF(F58&lt;OFFSET($BN$9,CN58+2,0,1,1),((F58-OFFSET($BM$9,CN58+2,0,1,1))*OFFSET($CH$9,CN58+2,0,1,1))+OFFSET($BO$9,CN58+2,CQ58,1,1),IF(F58&lt;OFFSET($BN$9,CN58+3,0,1,1),((F58-OFFSET($BM$9,CN58+3,0,1,1))*OFFSET($CH$9,CN58+3,0,1,1))+OFFSET($BO$9,CN58+3,CQ58,1,1),0))))))</f>
        <v>0</v>
      </c>
      <c r="DH58" s="51">
        <f ca="1">IF($F58&lt;OFFSET($BM$9,$CN58-1,0,1,1),0,IF($F58&lt;OFFSET($BN$9,$CN58-1,0,1,1),IF(AND($H58&gt;2.4,Z58&lt;&gt;"e",Z58&lt;&gt;"f"),DL58*2.4/$H58,DL58),IF($F58&lt;OFFSET($BN$9,$CN58+0,0,1,1),IF(AND($H58&gt;2.4,Z58&lt;&gt;"e",Z58&lt;&gt;"f"),DL58*2.4/$H58,DL58),IF($F58&lt;OFFSET($BN$9,$CN58+1,0,1,1),IF(AND($H58&gt;2.4,Z58&lt;&gt;"e",Z58&lt;&gt;"f"),DL58*2.4/$H58,DL58),IF($F58&lt;OFFSET($BN$9,$CN58+2,0,1,1),IF(AND($H58&gt;2.4,Z58&lt;&gt;"e",Z58&lt;&gt;"f"),DL58*2.4/$H58,DL58),IF($F58&lt;OFFSET($BN$9,$CN58+3,0,1,1),IF(AND($H58&gt;2.4,Z58&lt;&gt;"e",Z58&lt;&gt;"f"),DL58*2.4/$H58,DL58),0)))))*COS(RADIANS($G58)))</f>
        <v>0</v>
      </c>
      <c r="DI58" s="51">
        <f ca="1">IF(F58&lt;OFFSET($BM$9,CN58-1,0,1,1),0,IF(F58&lt;OFFSET($BN$9,CN58-1,0,1,1),((F58-OFFSET($BM$9,CN58-1,0,1,1))*OFFSET($CI$9,CN58-1,0,1,1))+OFFSET($BP$9,CN58-1,CQ58,1,1),IF(F58&lt;OFFSET($BN$9,CN58+0,0,1,1),((F58-OFFSET($BM$9,CN58+0,0,1,1))*OFFSET($CI$9,CN58+0,0,1,1))+OFFSET($BP$9,CN58+0,CQ58,1,1),IF(F58&lt;OFFSET($BN$9,CN58+1,0,1,1),((F58-OFFSET($BM$9,CN58+1,0,1,1))*OFFSET($CI$9,CN58+1,0,1,1))+OFFSET($BP$9,CN58+1,CQ58,1,1),IF(F58&lt;OFFSET($BN$9,CN58+2,0,1,1),((F58-OFFSET($BM$9,CN58+2,0,1,1))*OFFSET($CI$9,CN58+2,0,1,1))+OFFSET($BP$9,CN58+2,CQ58,1,1),IF(F58&lt;OFFSET($BN$9,CN58+3,0,1,1),((F58-OFFSET($BM$9,CN58+3,0,1,1))*OFFSET($CI$9,CN58+3,0,1,1))+OFFSET($BP$9,CN58+3,CQ58,1,1),0))))))</f>
        <v>0</v>
      </c>
      <c r="DJ58" s="51">
        <f ca="1">IF($F58&lt;OFFSET($BM$9,$CN58-1,0,1,1),0,IF($F58&lt;OFFSET($BN$9,$CN58-1,0,1,1),IF(AND($H58&gt;2.4,Z58&lt;&gt;"e",Z58&lt;&gt;"f"),DN58*2.4/$H58,DN58),IF($F58&lt;OFFSET($BN$9,$CN58+0,0,1,1),IF(AND($H58&gt;2.4,Z58&lt;&gt;"e",Z58&lt;&gt;"f"),DN58*2.4/$H58,DN58),IF($F58&lt;OFFSET($BN$9,$CN58+1,0,1,1),IF(AND($H58&gt;2.4,Z58&lt;&gt;"e",Z58&lt;&gt;"f"),DN58*2.4/$H58,DN58),IF($F58&lt;OFFSET($BN$9,$CN58+2,0,1,1),IF(AND($H58&gt;2.4,Z58&lt;&gt;"e",Z58&lt;&gt;"f"),DN58*2.4/$H58,DN58),IF($F58&lt;OFFSET($BN$9,$CN58+3,0,1,1),IF(AND($H58&gt;2.4,Z58&lt;&gt;"e",Z58&lt;&gt;"f"),DN58*2.4/$H58,DN58),0)))))*COS(RADIANS($G58)))</f>
        <v>0</v>
      </c>
      <c r="DK58" s="51"/>
      <c r="DL58" s="51">
        <f ca="1">IF(DG58&gt;$CR58,$CR58,DG58)</f>
        <v>0</v>
      </c>
      <c r="DM58" s="51"/>
      <c r="DN58" s="51">
        <f ca="1">IF(DI58&gt;$CR58,$CR58,DI58)</f>
        <v>0</v>
      </c>
      <c r="DO58" s="435">
        <f ca="1">IF(DH58&gt;$CR58,$CR58,DH58)</f>
        <v>0</v>
      </c>
      <c r="DP58" s="435">
        <f ca="1">DO58*F58</f>
        <v>0</v>
      </c>
      <c r="DQ58" s="436">
        <f ca="1">IF(DJ58&gt;$CR58,$CR58,DJ58)</f>
        <v>0</v>
      </c>
      <c r="DR58" s="437">
        <f ca="1">DQ58*F58</f>
        <v>0</v>
      </c>
      <c r="DS58" s="426">
        <f ca="1">OFFSET($CH$9,CL58-1,-15,1,1)</f>
        <v>0</v>
      </c>
      <c r="DT58" s="426">
        <f t="shared" ca="1" si="36"/>
        <v>0</v>
      </c>
      <c r="DU58" s="188">
        <f ca="1">IF(F58&lt;OFFSET($BM$9,DT58-1,0,1,1),0,IF(F58&lt;OFFSET($BN$9,DT58-1,0,1,1),((F58-OFFSET($BM$9,DT58-1,0,1,1))*OFFSET($CH$9,DT58-1,0,1,1))+OFFSET($BO$9,DT58-1,CQ58,1,1),IF(F58&lt;OFFSET($BN$9,DT58+0,0,1,1),((F58-OFFSET($BM$9,DT58+0,0,1,1))*OFFSET($CH$9,DT58+0,0,1,1))+OFFSET($BO$9,DT58+0,CQ58,1,1),IF(F58&lt;OFFSET($BN$9,DT58+1,0,1,1),((F58-OFFSET($BM$9,DT58+1,0,1,1))*OFFSET($CH$9,DT58+1,0,1,1))+OFFSET($BO$9,DT58+1,CQ58,1,1),IF(F58&lt;OFFSET($BN$9,DT58+2,0,1,1),((F58-OFFSET($BM$9,DT58+2,0,1,1))*OFFSET($CH$9,DT58+2,0,1,1))+OFFSET($BO$9,DT58+2,CQ58,1,1),IF(F58&lt;OFFSET($BN$9,DT58+3,0,1,1),((F58-OFFSET($BM$9,DT58+3,0,1,1))*OFFSET($CH$9,DT58+3,0,1,1))+OFFSET($BO$9,DT58+3,CQ58,1,1),0))))))</f>
        <v>0</v>
      </c>
      <c r="DV58" s="51">
        <f ca="1">IF($F58&lt;OFFSET($BM$9,$DT58-1,0,1,1),0,IF($F58&lt;OFFSET($BN$9,$DT58-1,0,1,1),IF(AND($H58&gt;2.4,Z58&lt;&gt;"e",Z58&lt;&gt;"f"),DZ58*2.4/$H58,DZ58),IF($F58&lt;OFFSET($BN$9,$DT58+0,0,1,1),IF(AND($H58&gt;2.4,Z58&lt;&gt;"e",Z58&lt;&gt;"f"),DZ58*2.4/$H58,DZ58),IF($F58&lt;OFFSET($BN$9,$DT58+1,0,1,1),IF(AND($H58&gt;2.4,Z58&lt;&gt;"e",Z58&lt;&gt;"f"),DZ58*2.4/$H58,DZ58),IF($F58&lt;OFFSET($BN$9,$DT58+2,0,1,1),IF(AND($H58&gt;2.4,Z58&lt;&gt;"e",Z58&lt;&gt;"f"),DZ58*2.4/$H58,DZ58),IF($F58&lt;OFFSET($BN$9,$DT58+3,0,1,1),IF(AND($H58&gt;2.4,Z58&lt;&gt;"e",Z58&lt;&gt;"f"),DZ58*2.4/$H58,DZ58),0)))))*COS(RADIANS($G58)))</f>
        <v>0</v>
      </c>
      <c r="DW58" s="188">
        <f ca="1">IF(F58&lt;OFFSET($BM$9,DT58-1,0,1,1),0,IF(F58&lt;OFFSET($BN$9,DT58-1,0,1,1),((F58-OFFSET($BM$9,DT58-1,0,1,1))*OFFSET($CI$9,DT58-1,0,1,1))+OFFSET($BP$9,DT58-1,CQ58,1,1),IF(F58&lt;OFFSET($BN$9,DT58+0,0,1,1),((F58-OFFSET($BM$9,DT58+0,0,1,1))*OFFSET($CI$9,DT58+0,0,1,1))+OFFSET($BP$9,DT58+0,CQ58,1,1),IF(F58&lt;OFFSET($BN$9,DT58+1,0,1,1),((F58-OFFSET($BM$9,DT58+1,0,1,1))*OFFSET($CI$9,DT58+1,0,1,1))+OFFSET($BP$9,DT58+1,CQ58,1,1),IF(F58&lt;OFFSET($BN$9,DT58+2,0,1,1),((F58-OFFSET($BM$9,DT58+2,0,1,1))*OFFSET($CI$9,DT58+2,0,1,1))+OFFSET($BP$9,DT58+2,CQ58,1,1),IF(F58&lt;OFFSET($BN$9,DT58+3,0,1,1),((F58-OFFSET($BM$9,DT58+3,0,1,1))*OFFSET($CI$9,DT58+3,0,1,1))+OFFSET($BP$9,DT58+3,CQ58,1,1),0))))))</f>
        <v>0</v>
      </c>
      <c r="DX58" s="51">
        <f ca="1">IF($F58&lt;OFFSET($BM$9,$DT58-1,0,1,1),0,IF($F58&lt;OFFSET($BN$9,$DT58-1,0,1,1),IF(AND($H58&gt;2.4,Z58&lt;&gt;"e",Z58&lt;&gt;"f"),EB58*2.4/$H58,EB58),IF($F58&lt;OFFSET($BN$9,$DT58+0,0,1,1),IF(AND($H58&gt;2.4,Z58&lt;&gt;"e",Z58&lt;&gt;"f"),EB58*2.4/$H58,EB58),IF($F58&lt;OFFSET($BN$9,$DT58+1,0,1,1),IF(AND($H58&gt;2.4,Z58&lt;&gt;"e",Z58&lt;&gt;"f"),EB58*2.4/$H58,EB58),IF($F58&lt;OFFSET($BN$9,$DT58+2,0,1,1),IF(AND($H58&gt;2.4,Z58&lt;&gt;"e",Z58&lt;&gt;"f"),EB58*2.4/$H58,EB58),IF($F58&lt;OFFSET($BN$9,$DT58+3,0,1,1),IF(AND($H58&gt;2.4,Z58&lt;&gt;"e",Z58&lt;&gt;"f"),EB58*2.4/$H58,EB58),0)))))*COS(RADIANS($G58)))</f>
        <v>0</v>
      </c>
      <c r="DY58" s="188"/>
      <c r="DZ58" s="188">
        <f ca="1">IF(DU58&gt;$CR58,$CR58,DU58)</f>
        <v>0</v>
      </c>
      <c r="EA58" s="188"/>
      <c r="EB58" s="188">
        <f ca="1">IF(DW58&gt;$CR58,$CR58,DW58)</f>
        <v>0</v>
      </c>
      <c r="EC58" s="435">
        <f ca="1">IF(DV58&gt;$CR58,$CR58,DV58)</f>
        <v>0</v>
      </c>
      <c r="ED58" s="435">
        <f ca="1">EC58*F58</f>
        <v>0</v>
      </c>
      <c r="EE58" s="436">
        <f ca="1">IF(DX58&gt;$CR58,$CR58,DX58)</f>
        <v>0</v>
      </c>
      <c r="EF58" s="437">
        <f ca="1">EE58*F58</f>
        <v>0</v>
      </c>
      <c r="EG58" s="613" t="str">
        <f>IF(D58=BG$12,BG$12,"")</f>
        <v/>
      </c>
      <c r="EH58" s="614" t="str">
        <f>IF(D58=BG$13,BG$13,"")</f>
        <v/>
      </c>
      <c r="EI58" s="611">
        <f>IF(EG58=BG$12,M58,0)</f>
        <v>0</v>
      </c>
      <c r="EJ58" s="451">
        <f>IF(EG58=BG$12,O58,0)</f>
        <v>0</v>
      </c>
      <c r="EK58" s="451">
        <f>IF(EH58=BG$13,M58,0)</f>
        <v>0</v>
      </c>
      <c r="EL58" s="612">
        <f>IF(EH58=BG$13,O58,0)</f>
        <v>0</v>
      </c>
      <c r="EM58" s="426" t="str">
        <f ca="1">IF(AND(Z58&lt;&gt;"t",Z58&lt;&gt;"f"),"",IF(AND(EN58=$BH$11,K58&lt;&gt;EN58),EM$4,IF(AND(EN58=$BH$12,K58=$BH$13),EM$4,IF(AND(EN58=$BH$12,K58=$BH$14),EM$4,IF(AND(EN58=$BH$13,K58=$BH$14),$EM$4,IF(EN58=$BH$14,$EM$4,""))))))</f>
        <v/>
      </c>
      <c r="EN58" s="489" t="str">
        <f>BG$24</f>
        <v>Earth</v>
      </c>
      <c r="EO58" s="426" t="str">
        <f>K58</f>
        <v xml:space="preserve"> </v>
      </c>
      <c r="EP58" s="497" t="str">
        <f ca="1">IF(AND(Z58&lt;&gt;"t",Z58&lt;&gt;"f"),"",IF(AND(EN58=$BH$14,K58&lt;&gt;EN58),EP$4,IF(AND(EN58=$BH$13,K58=$BH$12),EP$4,IF(AND(EN58=$BH$13,K58=$BH$11),EP$4,IF(AND(EN58=$BH$12,K58=$BH$11),$EP$4,IF(EN58=$BH$11,"Earth",""))))))</f>
        <v/>
      </c>
      <c r="EQ58" s="430" t="str">
        <f ca="1">IF(Z58&lt;&gt;"t","",IF(EQ$5=2,IF(K58&lt;&gt;BH$11,EQ$7," ")))</f>
        <v/>
      </c>
      <c r="ER58" s="439" t="str">
        <f ca="1">IF(H58=0," ",H58)</f>
        <v xml:space="preserve"> </v>
      </c>
      <c r="ES58" s="440" t="str">
        <f ca="1">IF(ER58&lt;&gt;" ",IF(ER58&lt;&gt;ER$7,"Changed",""),"")</f>
        <v/>
      </c>
      <c r="ET58" s="440">
        <f t="shared" ca="1" si="19"/>
        <v>0</v>
      </c>
      <c r="EU58" s="426" t="str">
        <f ca="1">IF(I58=" "," ",IF(F58&lt;OFFSET($BM$9,CL58-1,0,1,1),1,""))</f>
        <v xml:space="preserve"> </v>
      </c>
      <c r="EW58" s="427"/>
    </row>
    <row r="59" spans="1:153" ht="17.100000000000001" customHeight="1">
      <c r="A59" s="2685"/>
      <c r="B59" s="689" t="s">
        <v>246</v>
      </c>
      <c r="C59" s="684" t="str">
        <f>IF(OR(F59=0,I59="",I59=" ")," ",$V59)</f>
        <v xml:space="preserve"> </v>
      </c>
      <c r="D59" s="1033"/>
      <c r="E59" s="1360" t="s">
        <v>8</v>
      </c>
      <c r="F59" s="202"/>
      <c r="G59" s="1416"/>
      <c r="H59" s="1417" t="str">
        <f ca="1">IF(OR(F59=0,Z59="E",Z59="f")," ",'Project Demand'!E$55)</f>
        <v xml:space="preserve"> </v>
      </c>
      <c r="I59" s="631" t="str">
        <f>IF($I$6&lt;&gt;$BG$8," ",AB59)</f>
        <v xml:space="preserve"> </v>
      </c>
      <c r="J59" s="44" t="str">
        <f ca="1">IF(OR(I59=" ",I59="")," ",OFFSET($BO$9,CL59-1,0-4,1,1))</f>
        <v xml:space="preserve"> </v>
      </c>
      <c r="K59" s="55" t="str">
        <f>IF(OR(I59=" ",I59="")," ",IF(OR(Z59="e",Z59="h"),"SD",IF(BG$24=BH$11,BH$13,BG$24)))</f>
        <v xml:space="preserve"> </v>
      </c>
      <c r="L59" s="49">
        <f ca="1">CW59</f>
        <v>0</v>
      </c>
      <c r="M59" s="49">
        <f ca="1">CY59</f>
        <v>0</v>
      </c>
      <c r="N59" s="50">
        <f t="shared" ca="1" si="43"/>
        <v>0</v>
      </c>
      <c r="O59" s="126">
        <f t="shared" ca="1" si="43"/>
        <v>0</v>
      </c>
      <c r="P59" s="140"/>
      <c r="Q59" s="752" t="str">
        <f ca="1">IF(AND(OR(Z59="t",Z59="f"),K59=$BH$11),"No Floor!  Change Floor Type",IF(OR(I59=" ",I59="")," ",IF(F59&lt;OFFSET($BM$9,CL59-1,0,1,1),"check L(m)",DE59&amp;IF(AND(DP59&gt;=CY59,DR59&gt;=DB59),IF(AND(ED59&gt;=DP59,EF59&gt;=DR59),CONCATENATE(DS59," will provide same result"),CONCATENATE(CO59," will provide same result")),IF((DP59&gt;=CY59),CONCATENATE(CO59," provides same result in WIND"),IF((DR59&gt;=DB59),CONCATENATE(CO59," provides same result in EQ"),""))))))&amp;IF(ISERROR(FIND("pile",I59,1)),"",IF(INT(F59)&lt;&gt;F59,"Pile!  Use Whole Numbers Only",""))</f>
        <v xml:space="preserve"> </v>
      </c>
      <c r="R59" s="52"/>
      <c r="S59" s="1372"/>
      <c r="T59" s="1372"/>
      <c r="U59" s="1377"/>
      <c r="V59" s="52" t="str">
        <f ca="1">IF(AND(B$5=$BF$9,OR(I59=BH$16,I59=BH$17))," ",IF(ISNUMBER(B$56),(CONCATENATE(B$56,".",W59)),(CONCATENATE(B$56,W59))))</f>
        <v>U0</v>
      </c>
      <c r="W59" s="9">
        <f ca="1">W58+X59</f>
        <v>0</v>
      </c>
      <c r="X59" s="9">
        <f>IF(AND(B$5=$BF$9,OR($I59=$BH$16,$I59=$BH$17,$I59=" ",$I59="",$F59=0)),0,IF(OR($I59=" ",$I59="",$F59=0),0,1))</f>
        <v>0</v>
      </c>
      <c r="Y59" s="896"/>
      <c r="Z59" s="52" t="str">
        <f ca="1">IF(I59=" "," ",OFFSET($BM$9,$CL59-1,8,1,1))</f>
        <v xml:space="preserve"> </v>
      </c>
      <c r="AA59" s="51" t="str">
        <f>IF(G59&gt;=45,"WA","")</f>
        <v/>
      </c>
      <c r="AB59" s="1364" t="str">
        <f>IF(OR(E59=" ",E59="")," ",(IF(F59&lt;&gt;"",IF(OR(D59=$BG$12,D59=$BG$13),IF(E59&lt;&gt;$BG$17,$BF$20,$BF$21),IF(E59&lt;&gt;$BG$17,$BF$20,$BF$21))," ")))</f>
        <v xml:space="preserve"> </v>
      </c>
      <c r="AC59" s="1"/>
      <c r="AJ59" s="2"/>
      <c r="AK59" s="63" t="str">
        <f>'Custom Elements'!B20</f>
        <v xml:space="preserve">  </v>
      </c>
      <c r="AL59" s="860" t="str">
        <f>'Custom Elements'!C20</f>
        <v>Custom12</v>
      </c>
      <c r="AM59" s="11">
        <f>'Custom Elements'!D20</f>
        <v>9.9999999999999996E-76</v>
      </c>
      <c r="AN59" s="7">
        <f>'Custom Elements'!E20</f>
        <v>0</v>
      </c>
      <c r="AO59" s="7">
        <f>'Custom Elements'!F20</f>
        <v>0</v>
      </c>
      <c r="AP59" s="762" t="str">
        <f>'Custom Elements'!G20</f>
        <v>B</v>
      </c>
      <c r="AQ59" s="1777" t="str">
        <f>'Custom Elements'!H20</f>
        <v>Single</v>
      </c>
      <c r="AR59" s="1775" t="str">
        <f>'Custom Elements'!I20</f>
        <v>Yes</v>
      </c>
      <c r="AS59" s="442" t="str">
        <f>'Custom Elements'!J20</f>
        <v>Yes</v>
      </c>
      <c r="AT59" s="1155"/>
      <c r="AU59"/>
      <c r="AW59"/>
      <c r="AY59"/>
      <c r="AZ59" s="442" t="str">
        <f>IF(AND('Custom Elements'!J20="Yes",'Custom Elements'!I20="Yes"),"T",IF('Custom Elements'!J20="Yes","F",IF('Custom Elements'!I20="Yes","H","E")))</f>
        <v>T</v>
      </c>
      <c r="BA59" s="47"/>
      <c r="BB59" s="47"/>
      <c r="BC59" s="47"/>
      <c r="BD59" s="638"/>
      <c r="BE59" s="2717" t="str">
        <f>IF($BE$3=1,BE57,BE58)</f>
        <v>"Min Bu's entered &lt; 100"</v>
      </c>
      <c r="BF59" s="2718"/>
      <c r="BG59" s="2718"/>
      <c r="BH59" s="479"/>
      <c r="BI59" s="759"/>
      <c r="BJ59" s="897">
        <f t="shared" si="37"/>
        <v>51</v>
      </c>
      <c r="BK59" s="764"/>
      <c r="BL59" s="766"/>
      <c r="BM59" s="455">
        <f>Table!D13</f>
        <v>0.9</v>
      </c>
      <c r="BN59" s="455">
        <f>BM60</f>
        <v>1.2</v>
      </c>
      <c r="BO59" s="455">
        <f>Table!E13</f>
        <v>98</v>
      </c>
      <c r="BP59" s="925">
        <f>Table!F13</f>
        <v>88</v>
      </c>
      <c r="BR59" s="764"/>
      <c r="BS59" s="455"/>
      <c r="BT59" s="455"/>
      <c r="BU59" s="925" t="s">
        <v>242</v>
      </c>
      <c r="BV59" s="895"/>
      <c r="BW59" s="912"/>
      <c r="BX59" s="925" t="str">
        <f>Table!H11</f>
        <v>Double</v>
      </c>
      <c r="CH59" s="764">
        <f>IF(BN59=999,0,(BO60-BO59)/(BN59-BM59))</f>
        <v>0</v>
      </c>
      <c r="CI59" s="925">
        <f>IF(BN59=999,0,(BP60-BP59)/(BN59-BM59))</f>
        <v>0</v>
      </c>
      <c r="CJ59" s="759"/>
      <c r="CK59" s="188"/>
      <c r="CL59" s="979">
        <f>VLOOKUP(I59,Prodlink,2,0)</f>
        <v>0</v>
      </c>
      <c r="CN59" s="497">
        <f t="shared" ca="1" si="35"/>
        <v>0</v>
      </c>
      <c r="CO59" s="497">
        <f ca="1">OFFSET($CH$9,CL59-1,-15,1,1)</f>
        <v>0</v>
      </c>
      <c r="CQ59" s="51">
        <v>0</v>
      </c>
      <c r="CR59" s="51">
        <f t="shared" ca="1" si="44"/>
        <v>10000</v>
      </c>
      <c r="CS59" s="51">
        <f ca="1">IF(F59&lt;OFFSET($BM$9,CL59-1,0,1,1),0,IF(F59&lt;OFFSET($BN$9,CL59-1,0,1,1),((F59-OFFSET($BM$9,CL59-1,0,1,1))*OFFSET($CH$9,CL59-1,0,1,1))+OFFSET($BO$9,CL59-1,CQ59,1,1),IF(F59&lt;OFFSET($BN$9,CL59+0,0,1,1),((F59-OFFSET($BM$9,CL59+0,0,1,1))*OFFSET($CH$9,CL59+0,0,1,1))+OFFSET($BO$9,CL59+0,CQ59,1,1),IF(F59&lt;OFFSET($BN$9,CL59+1,0,1,1),((F59-OFFSET($BM$9,CL59+1,0,1,1))*OFFSET($CH$9,CL59+1,0,1,1))+OFFSET($BO$9,CL59+1,CQ59,1,1),IF(F59&lt;OFFSET($BN$9,CL59+2,0,1,1),((F59-OFFSET($BM$9,CL59+2,0,1,1))*OFFSET($CH$9,CL59+2,0,1,1))+OFFSET($BO$9,CL59+2,CQ59,1,1),IF(F59&lt;OFFSET($BN$9,CL59+3,0,1,1),((F59-OFFSET($BM$9,CL59+3,0,1,1))*OFFSET($CH$9,CL59+3,0,1,1))+OFFSET($BO$9,CL59+3,CQ59,1,1),0))))))</f>
        <v>0</v>
      </c>
      <c r="CT59" s="51">
        <f ca="1">IF($F59&lt;OFFSET($BM$9,$CL59-1,0,1,1),0,IF($F59&lt;OFFSET($BN$9,$CL59-1,0,1,1),IF(AND($H59&gt;2.4,Z59&lt;&gt;"e",Z59&lt;&gt;"f"),CX59*2.4/$H59,CX59),IF($F59&lt;OFFSET($BN$9,$CL59+0,0,1,1),IF(AND($H59&gt;2.4,Z59&lt;&gt;"e",Z59&lt;&gt;"f"),CX59*2.4/$H59,CX59),IF($F59&lt;OFFSET($BN$9,$CL59+1,0,1,1),IF(AND($H59&gt;2.4,Z59&lt;&gt;"e",Z59&lt;&gt;"f"),CX59*2.4/$H59,CX59),IF($F59&lt;OFFSET($BN$9,CL59+2,0,1,1),IF(AND($H59&gt;2.4,Z59&lt;&gt;"e",Z59&lt;&gt;"f"),CX59*2.4/$H59,CX59),IF($F59&lt;OFFSET($BN$9,CL59+3,0,1,1),IF(AND($H59&gt;2.4,Z59&lt;&gt;"e",Z59&lt;&gt;"f"),CX59*2.4/$H59,CX59),0)))))*COS(RADIANS($G59)))</f>
        <v>0</v>
      </c>
      <c r="CU59" s="51">
        <f ca="1">IF(F59&lt;OFFSET($BM$9,CL59-1,0,1,1),0,IF(F59&lt;OFFSET($BN$9,CL59-1,0,1,1),((F59-OFFSET($BM$9,CL59-1,0,1,1))*OFFSET($CI$9,CL59-1,0,1,1))+OFFSET($BP$9,CL59-1,CQ59,1,1),IF(F59&lt;OFFSET($BN$9,CL59+0,0,1,1),((F59-OFFSET($BM$9,CL59+0,0,1,1))*OFFSET($CI$9,CL59+0,0,1,1))+OFFSET($BP$9,CL59+0,CQ59,1,1),IF(F59&lt;OFFSET($BN$9,CL59+1,0,1,1),((F59-OFFSET($BM$9,CL59+1,0,1,1))*OFFSET($CI$9,CL59+1,0,1,1))+OFFSET($BP$9,CL59+1,CQ59,1,1),IF(F59&lt;OFFSET($BN$9,CL59+2,0,1,1),((F59-OFFSET($BM$9,CL59+2,0,1,1))*OFFSET($CI$9,CL59+2,0,1,1))+OFFSET($BP$9,CL59+2,CQ59,1,1),IF(F59&lt;OFFSET($BN$9,CL59+3,0,1,1),((F59-OFFSET($BM$9,CL59+3,0,1,1))*OFFSET($CI$9,CL59+3,0,1,1))+OFFSET($BP$9,CL59+3,CQ59,1,1),0))))))</f>
        <v>0</v>
      </c>
      <c r="CV59" s="51">
        <f ca="1">IF($F59&lt;OFFSET($BM$9,$CL59-1,0,1,1),0,IF($F59&lt;OFFSET($BN$9,$CL59-1,0,1,1),IF(AND($H59&gt;2.4,Z59&lt;&gt;"e",Z59&lt;&gt;"f"),CZ59*2.4/$H59,CZ59),IF($F59&lt;OFFSET($BN$9,$CL59+0,0,1,1),IF(AND($H59&gt;2.4,Z59&lt;&gt;"e",Z59&lt;&gt;"f"),CZ59*2.4/$H59,CZ59),IF($F59&lt;OFFSET($BN$9,$CL59+1,0,1,1),IF(AND($H59&gt;2.4,Z59&lt;&gt;"e",Z59&lt;&gt;"f"),CZ59*2.4/$H59,CZ59),IF($F59&lt;OFFSET($BN$9,$CL59+2,0,1,1),IF(AND($H59&gt;2.4,Z59&lt;&gt;"e",Z59&lt;&gt;"f"),CZ59*2.4/$H59,CZ59),IF($F59&lt;OFFSET($BN$9,$CL59+3,0,1,1),IF(AND($H59&gt;2.4,Z59&lt;&gt;"e",Z59&lt;&gt;"f"),CZ59*2.4/$H59,CZ59),0)))))*COS(RADIANS($G59)))</f>
        <v>0</v>
      </c>
      <c r="CW59" s="51">
        <f t="shared" ca="1" si="18"/>
        <v>0</v>
      </c>
      <c r="CX59" s="51">
        <f ca="1">IF(CS59&gt;$CR59,$CR59,CS59)</f>
        <v>0</v>
      </c>
      <c r="CY59" s="51">
        <f ca="1">CW59*F59</f>
        <v>0</v>
      </c>
      <c r="CZ59" s="51">
        <f ca="1">IF($CU59&gt;$CR59,$CR59,$CU59)</f>
        <v>0</v>
      </c>
      <c r="DA59" s="51">
        <f ca="1">IF(CV59&gt;CR59,CR59,CV59)</f>
        <v>0</v>
      </c>
      <c r="DB59" s="51">
        <f ca="1">DA59*F59</f>
        <v>0</v>
      </c>
      <c r="DC59" s="993">
        <v>1</v>
      </c>
      <c r="DD59" s="758" t="str">
        <f>IF(OR(D59=BG$12,D59=BG$13),"External",IF(D59=BG$14,"Internal"," "))</f>
        <v xml:space="preserve"> </v>
      </c>
      <c r="DE59" s="51" t="str">
        <f t="shared" ca="1" si="4"/>
        <v/>
      </c>
      <c r="DF59" s="52" t="str">
        <f t="shared" ca="1" si="5"/>
        <v xml:space="preserve"> </v>
      </c>
      <c r="DG59" s="51">
        <f ca="1">IF(F59&lt;OFFSET($BM$9,CN59-1,0,1,1),0,IF(F59&lt;OFFSET($BN$9,CN59-1,0,1,1),((F59-OFFSET($BM$9,CN59-1,0,1,1))*OFFSET($CH$9,CN59-1,0,1,1))+OFFSET($BO$9,CN59-1,CQ59,1,1),IF(F59&lt;OFFSET($BN$9,CN59+0,0,1,1),((F59-OFFSET($BM$9,CN59+0,0,1,1))*OFFSET($CH$9,CN59+0,0,1,1))+OFFSET($BO$9,CN59+0,CQ59,1,1),IF(F59&lt;OFFSET($BN$9,CN59+1,0,1,1),((F59-OFFSET($BM$9,CN59+1,0,1,1))*OFFSET($CH$9,CN59+1,0,1,1))+OFFSET($BO$9,CN59+1,CQ59,1,1),IF(F59&lt;OFFSET($BN$9,CN59+2,0,1,1),((F59-OFFSET($BM$9,CN59+2,0,1,1))*OFFSET($CH$9,CN59+2,0,1,1))+OFFSET($BO$9,CN59+2,CQ59,1,1),IF(F59&lt;OFFSET($BN$9,CN59+3,0,1,1),((F59-OFFSET($BM$9,CN59+3,0,1,1))*OFFSET($CH$9,CN59+3,0,1,1))+OFFSET($BO$9,CN59+3,CQ59,1,1),0))))))</f>
        <v>0</v>
      </c>
      <c r="DH59" s="51">
        <f ca="1">IF($F59&lt;OFFSET($BM$9,$CN59-1,0,1,1),0,IF($F59&lt;OFFSET($BN$9,$CN59-1,0,1,1),IF(AND($H59&gt;2.4,Z59&lt;&gt;"e",Z59&lt;&gt;"f"),DL59*2.4/$H59,DL59),IF($F59&lt;OFFSET($BN$9,$CN59+0,0,1,1),IF(AND($H59&gt;2.4,Z59&lt;&gt;"e",Z59&lt;&gt;"f"),DL59*2.4/$H59,DL59),IF($F59&lt;OFFSET($BN$9,$CN59+1,0,1,1),IF(AND($H59&gt;2.4,Z59&lt;&gt;"e",Z59&lt;&gt;"f"),DL59*2.4/$H59,DL59),IF($F59&lt;OFFSET($BN$9,$CN59+2,0,1,1),IF(AND($H59&gt;2.4,Z59&lt;&gt;"e",Z59&lt;&gt;"f"),DL59*2.4/$H59,DL59),IF($F59&lt;OFFSET($BN$9,$CN59+3,0,1,1),IF(AND($H59&gt;2.4,Z59&lt;&gt;"e",Z59&lt;&gt;"f"),DL59*2.4/$H59,DL59),0)))))*COS(RADIANS($G59)))</f>
        <v>0</v>
      </c>
      <c r="DI59" s="51">
        <f ca="1">IF(F59&lt;OFFSET($BM$9,CN59-1,0,1,1),0,IF(F59&lt;OFFSET($BN$9,CN59-1,0,1,1),((F59-OFFSET($BM$9,CN59-1,0,1,1))*OFFSET($CI$9,CN59-1,0,1,1))+OFFSET($BP$9,CN59-1,CQ59,1,1),IF(F59&lt;OFFSET($BN$9,CN59+0,0,1,1),((F59-OFFSET($BM$9,CN59+0,0,1,1))*OFFSET($CI$9,CN59+0,0,1,1))+OFFSET($BP$9,CN59+0,CQ59,1,1),IF(F59&lt;OFFSET($BN$9,CN59+1,0,1,1),((F59-OFFSET($BM$9,CN59+1,0,1,1))*OFFSET($CI$9,CN59+1,0,1,1))+OFFSET($BP$9,CN59+1,CQ59,1,1),IF(F59&lt;OFFSET($BN$9,CN59+2,0,1,1),((F59-OFFSET($BM$9,CN59+2,0,1,1))*OFFSET($CI$9,CN59+2,0,1,1))+OFFSET($BP$9,CN59+2,CQ59,1,1),IF(F59&lt;OFFSET($BN$9,CN59+3,0,1,1),((F59-OFFSET($BM$9,CN59+3,0,1,1))*OFFSET($CI$9,CN59+3,0,1,1))+OFFSET($BP$9,CN59+3,CQ59,1,1),0))))))</f>
        <v>0</v>
      </c>
      <c r="DJ59" s="51">
        <f ca="1">IF($F59&lt;OFFSET($BM$9,$CN59-1,0,1,1),0,IF($F59&lt;OFFSET($BN$9,$CN59-1,0,1,1),IF(AND($H59&gt;2.4,Z59&lt;&gt;"e",Z59&lt;&gt;"f"),DN59*2.4/$H59,DN59),IF($F59&lt;OFFSET($BN$9,$CN59+0,0,1,1),IF(AND($H59&gt;2.4,Z59&lt;&gt;"e",Z59&lt;&gt;"f"),DN59*2.4/$H59,DN59),IF($F59&lt;OFFSET($BN$9,$CN59+1,0,1,1),IF(AND($H59&gt;2.4,Z59&lt;&gt;"e",Z59&lt;&gt;"f"),DN59*2.4/$H59,DN59),IF($F59&lt;OFFSET($BN$9,$CN59+2,0,1,1),IF(AND($H59&gt;2.4,Z59&lt;&gt;"e",Z59&lt;&gt;"f"),DN59*2.4/$H59,DN59),IF($F59&lt;OFFSET($BN$9,$CN59+3,0,1,1),IF(AND($H59&gt;2.4,Z59&lt;&gt;"e",Z59&lt;&gt;"f"),DN59*2.4/$H59,DN59),0)))))*COS(RADIANS($G59)))</f>
        <v>0</v>
      </c>
      <c r="DK59" s="51"/>
      <c r="DL59" s="51">
        <f ca="1">IF(DG59&gt;$CR59,$CR59,DG59)</f>
        <v>0</v>
      </c>
      <c r="DM59" s="51"/>
      <c r="DN59" s="51">
        <f ca="1">IF(DI59&gt;$CR59,$CR59,DI59)</f>
        <v>0</v>
      </c>
      <c r="DO59" s="435">
        <f ca="1">IF(DH59&gt;$CR59,$CR59,DH59)</f>
        <v>0</v>
      </c>
      <c r="DP59" s="435">
        <f ca="1">DO59*F59</f>
        <v>0</v>
      </c>
      <c r="DQ59" s="436">
        <f ca="1">IF(DJ59&gt;$CR59,$CR59,DJ59)</f>
        <v>0</v>
      </c>
      <c r="DR59" s="437">
        <f ca="1">DQ59*F59</f>
        <v>0</v>
      </c>
      <c r="DS59" s="426">
        <f ca="1">OFFSET($CH$9,CL59-1,-15,1,1)</f>
        <v>0</v>
      </c>
      <c r="DT59" s="426">
        <f t="shared" ca="1" si="36"/>
        <v>0</v>
      </c>
      <c r="DU59" s="188">
        <f ca="1">IF(F59&lt;OFFSET($BM$9,DT59-1,0,1,1),0,IF(F59&lt;OFFSET($BN$9,DT59-1,0,1,1),((F59-OFFSET($BM$9,DT59-1,0,1,1))*OFFSET($CH$9,DT59-1,0,1,1))+OFFSET($BO$9,DT59-1,CQ59,1,1),IF(F59&lt;OFFSET($BN$9,DT59+0,0,1,1),((F59-OFFSET($BM$9,DT59+0,0,1,1))*OFFSET($CH$9,DT59+0,0,1,1))+OFFSET($BO$9,DT59+0,CQ59,1,1),IF(F59&lt;OFFSET($BN$9,DT59+1,0,1,1),((F59-OFFSET($BM$9,DT59+1,0,1,1))*OFFSET($CH$9,DT59+1,0,1,1))+OFFSET($BO$9,DT59+1,CQ59,1,1),IF(F59&lt;OFFSET($BN$9,DT59+2,0,1,1),((F59-OFFSET($BM$9,DT59+2,0,1,1))*OFFSET($CH$9,DT59+2,0,1,1))+OFFSET($BO$9,DT59+2,CQ59,1,1),IF(F59&lt;OFFSET($BN$9,DT59+3,0,1,1),((F59-OFFSET($BM$9,DT59+3,0,1,1))*OFFSET($CH$9,DT59+3,0,1,1))+OFFSET($BO$9,DT59+3,CQ59,1,1),0))))))</f>
        <v>0</v>
      </c>
      <c r="DV59" s="51">
        <f ca="1">IF($F59&lt;OFFSET($BM$9,$DT59-1,0,1,1),0,IF($F59&lt;OFFSET($BN$9,$DT59-1,0,1,1),IF(AND($H59&gt;2.4,Z59&lt;&gt;"e",Z59&lt;&gt;"f"),DZ59*2.4/$H59,DZ59),IF($F59&lt;OFFSET($BN$9,$DT59+0,0,1,1),IF(AND($H59&gt;2.4,Z59&lt;&gt;"e",Z59&lt;&gt;"f"),DZ59*2.4/$H59,DZ59),IF($F59&lt;OFFSET($BN$9,$DT59+1,0,1,1),IF(AND($H59&gt;2.4,Z59&lt;&gt;"e",Z59&lt;&gt;"f"),DZ59*2.4/$H59,DZ59),IF($F59&lt;OFFSET($BN$9,$DT59+2,0,1,1),IF(AND($H59&gt;2.4,Z59&lt;&gt;"e",Z59&lt;&gt;"f"),DZ59*2.4/$H59,DZ59),IF($F59&lt;OFFSET($BN$9,$DT59+3,0,1,1),IF(AND($H59&gt;2.4,Z59&lt;&gt;"e",Z59&lt;&gt;"f"),DZ59*2.4/$H59,DZ59),0)))))*COS(RADIANS($G59)))</f>
        <v>0</v>
      </c>
      <c r="DW59" s="188">
        <f ca="1">IF(F59&lt;OFFSET($BM$9,DT59-1,0,1,1),0,IF(F59&lt;OFFSET($BN$9,DT59-1,0,1,1),((F59-OFFSET($BM$9,DT59-1,0,1,1))*OFFSET($CI$9,DT59-1,0,1,1))+OFFSET($BP$9,DT59-1,CQ59,1,1),IF(F59&lt;OFFSET($BN$9,DT59+0,0,1,1),((F59-OFFSET($BM$9,DT59+0,0,1,1))*OFFSET($CI$9,DT59+0,0,1,1))+OFFSET($BP$9,DT59+0,CQ59,1,1),IF(F59&lt;OFFSET($BN$9,DT59+1,0,1,1),((F59-OFFSET($BM$9,DT59+1,0,1,1))*OFFSET($CI$9,DT59+1,0,1,1))+OFFSET($BP$9,DT59+1,CQ59,1,1),IF(F59&lt;OFFSET($BN$9,DT59+2,0,1,1),((F59-OFFSET($BM$9,DT59+2,0,1,1))*OFFSET($CI$9,DT59+2,0,1,1))+OFFSET($BP$9,DT59+2,CQ59,1,1),IF(F59&lt;OFFSET($BN$9,DT59+3,0,1,1),((F59-OFFSET($BM$9,DT59+3,0,1,1))*OFFSET($CI$9,DT59+3,0,1,1))+OFFSET($BP$9,DT59+3,CQ59,1,1),0))))))</f>
        <v>0</v>
      </c>
      <c r="DX59" s="51">
        <f ca="1">IF($F59&lt;OFFSET($BM$9,$DT59-1,0,1,1),0,IF($F59&lt;OFFSET($BN$9,$DT59-1,0,1,1),IF(AND($H59&gt;2.4,Z59&lt;&gt;"e",Z59&lt;&gt;"f"),EB59*2.4/$H59,EB59),IF($F59&lt;OFFSET($BN$9,$DT59+0,0,1,1),IF(AND($H59&gt;2.4,Z59&lt;&gt;"e",Z59&lt;&gt;"f"),EB59*2.4/$H59,EB59),IF($F59&lt;OFFSET($BN$9,$DT59+1,0,1,1),IF(AND($H59&gt;2.4,Z59&lt;&gt;"e",Z59&lt;&gt;"f"),EB59*2.4/$H59,EB59),IF($F59&lt;OFFSET($BN$9,$DT59+2,0,1,1),IF(AND($H59&gt;2.4,Z59&lt;&gt;"e",Z59&lt;&gt;"f"),EB59*2.4/$H59,EB59),IF($F59&lt;OFFSET($BN$9,$DT59+3,0,1,1),IF(AND($H59&gt;2.4,Z59&lt;&gt;"e",Z59&lt;&gt;"f"),EB59*2.4/$H59,EB59),0)))))*COS(RADIANS($G59)))</f>
        <v>0</v>
      </c>
      <c r="DY59" s="188"/>
      <c r="DZ59" s="188">
        <f ca="1">IF(DU59&gt;$CR59,$CR59,DU59)</f>
        <v>0</v>
      </c>
      <c r="EA59" s="188"/>
      <c r="EB59" s="188">
        <f ca="1">IF(DW59&gt;$CR59,$CR59,DW59)</f>
        <v>0</v>
      </c>
      <c r="EC59" s="435">
        <f ca="1">IF(DV59&gt;$CR59,$CR59,DV59)</f>
        <v>0</v>
      </c>
      <c r="ED59" s="435">
        <f ca="1">EC59*F59</f>
        <v>0</v>
      </c>
      <c r="EE59" s="436">
        <f ca="1">IF(DX59&gt;$CR59,$CR59,DX59)</f>
        <v>0</v>
      </c>
      <c r="EF59" s="437">
        <f ca="1">EE59*F59</f>
        <v>0</v>
      </c>
      <c r="EG59" s="613" t="str">
        <f>IF(D59=BG$12,BG$12,"")</f>
        <v/>
      </c>
      <c r="EH59" s="614" t="str">
        <f>IF(D59=BG$13,BG$13,"")</f>
        <v/>
      </c>
      <c r="EI59" s="611">
        <f>IF(EG59=BG$12,M59,0)</f>
        <v>0</v>
      </c>
      <c r="EJ59" s="451">
        <f>IF(EG59=BG$12,O59,0)</f>
        <v>0</v>
      </c>
      <c r="EK59" s="451">
        <f>IF(EH59=BG$13,M59,0)</f>
        <v>0</v>
      </c>
      <c r="EL59" s="612">
        <f>IF(EH59=BG$13,O59,0)</f>
        <v>0</v>
      </c>
      <c r="EM59" s="426" t="str">
        <f ca="1">IF(AND(Z59&lt;&gt;"t",Z59&lt;&gt;"f"),"",IF(AND(EN59=$BH$11,K59&lt;&gt;EN59),EM$4,IF(AND(EN59=$BH$12,K59=$BH$13),EM$4,IF(AND(EN59=$BH$12,K59=$BH$14),EM$4,IF(AND(EN59=$BH$13,K59=$BH$14),$EM$4,IF(EN59=$BH$14,$EM$4,""))))))</f>
        <v/>
      </c>
      <c r="EN59" s="489" t="str">
        <f>BG$24</f>
        <v>Earth</v>
      </c>
      <c r="EO59" s="426" t="str">
        <f>K59</f>
        <v xml:space="preserve"> </v>
      </c>
      <c r="EP59" s="497" t="str">
        <f ca="1">IF(AND(Z59&lt;&gt;"t",Z59&lt;&gt;"f"),"",IF(AND(EN59=$BH$14,K59&lt;&gt;EN59),EP$4,IF(AND(EN59=$BH$13,K59=$BH$12),EP$4,IF(AND(EN59=$BH$13,K59=$BH$11),EP$4,IF(AND(EN59=$BH$12,K59=$BH$11),$EP$4,IF(EN59=$BH$11,"Earth",""))))))</f>
        <v/>
      </c>
      <c r="EQ59" s="430" t="str">
        <f ca="1">IF(Z59&lt;&gt;"t","",IF(EQ$5=2,IF(K59&lt;&gt;BH$11,EQ$7," ")))</f>
        <v/>
      </c>
      <c r="ER59" s="439" t="str">
        <f ca="1">IF(H59=0," ",H59)</f>
        <v xml:space="preserve"> </v>
      </c>
      <c r="ES59" s="440" t="str">
        <f ca="1">IF(ER59&lt;&gt;" ",IF(ER59&lt;&gt;ER$7,"Changed",""),"")</f>
        <v/>
      </c>
      <c r="ET59" s="440">
        <f t="shared" ca="1" si="19"/>
        <v>0</v>
      </c>
      <c r="EU59" s="426" t="str">
        <f ca="1">IF(I59=" "," ",IF(F59&lt;OFFSET($BM$9,CL59-1,0,1,1),1,""))</f>
        <v xml:space="preserve"> </v>
      </c>
      <c r="EW59" s="427"/>
    </row>
    <row r="60" spans="1:153" ht="17.100000000000001" customHeight="1" thickBot="1">
      <c r="A60" s="2685"/>
      <c r="B60" s="689" t="s">
        <v>246</v>
      </c>
      <c r="C60" s="684" t="str">
        <f>IF(OR(F60=0,I60="",I60=" ")," ",$V60)</f>
        <v xml:space="preserve"> </v>
      </c>
      <c r="D60" s="1033"/>
      <c r="E60" s="1360" t="s">
        <v>8</v>
      </c>
      <c r="F60" s="202"/>
      <c r="G60" s="1416"/>
      <c r="H60" s="1417" t="str">
        <f ca="1">IF(OR(F60=0,Z60="E",Z60="f")," ",'Project Demand'!E$55)</f>
        <v xml:space="preserve"> </v>
      </c>
      <c r="I60" s="631" t="str">
        <f>IF($I$6&lt;&gt;$BG$8," ",AB60)</f>
        <v xml:space="preserve"> </v>
      </c>
      <c r="J60" s="44" t="str">
        <f ca="1">IF(OR(I60=" ",I60="")," ",OFFSET($BO$9,CL60-1,0-4,1,1))</f>
        <v xml:space="preserve"> </v>
      </c>
      <c r="K60" s="55" t="str">
        <f>IF(OR(I60=" ",I60="")," ",IF(OR(Z60="e",Z60="h"),"SD",IF(BG$24=BH$11,BH$13,BG$24)))</f>
        <v xml:space="preserve"> </v>
      </c>
      <c r="L60" s="49">
        <f ca="1">CW60</f>
        <v>0</v>
      </c>
      <c r="M60" s="49">
        <f ca="1">CY60</f>
        <v>0</v>
      </c>
      <c r="N60" s="50">
        <f t="shared" ca="1" si="43"/>
        <v>0</v>
      </c>
      <c r="O60" s="126">
        <f t="shared" ca="1" si="43"/>
        <v>0</v>
      </c>
      <c r="P60" s="140"/>
      <c r="Q60" s="752" t="str">
        <f ca="1">IF(AND(OR(Z60="t",Z60="f"),K60=$BH$11),"No Floor!  Change Floor Type",IF(OR(I60=" ",I60="")," ",IF(F60&lt;OFFSET($BM$9,CL60-1,0,1,1),"check L(m)",DE60&amp;IF(AND(DP60&gt;=CY60,DR60&gt;=DB60),IF(AND(ED60&gt;=DP60,EF60&gt;=DR60),CONCATENATE(DS60," will provide same result"),CONCATENATE(CO60," will provide same result")),IF((DP60&gt;=CY60),CONCATENATE(CO60," provides same result in WIND"),IF((DR60&gt;=DB60),CONCATENATE(CO60," provides same result in EQ"),""))))))&amp;IF(ISERROR(FIND("pile",I60,1)),"",IF(INT(F60)&lt;&gt;F60,"Pile!  Use Whole Numbers Only",""))</f>
        <v xml:space="preserve"> </v>
      </c>
      <c r="R60" s="52"/>
      <c r="S60" s="1372"/>
      <c r="T60" s="1372"/>
      <c r="U60" s="1377"/>
      <c r="V60" s="52" t="str">
        <f ca="1">IF(AND(B$5=$BF$9,OR(I60=BH$16,I60=BH$17))," ",IF(ISNUMBER(B$56),(CONCATENATE(B$56,".",W60)),(CONCATENATE(B$56,W60))))</f>
        <v>U0</v>
      </c>
      <c r="W60" s="9">
        <f ca="1">W59+X60</f>
        <v>0</v>
      </c>
      <c r="X60" s="9">
        <f>IF(AND(B$5=$BF$9,OR($I60=$BH$16,$I60=$BH$17,$I60=" ",$I60="",$F60=0)),0,IF(OR($I60=" ",$I60="",$F60=0),0,1))</f>
        <v>0</v>
      </c>
      <c r="Y60" s="896"/>
      <c r="Z60" s="52" t="str">
        <f ca="1">IF(I60=" "," ",OFFSET($BM$9,$CL60-1,8,1,1))</f>
        <v xml:space="preserve"> </v>
      </c>
      <c r="AA60" s="51" t="str">
        <f>IF(G60&gt;=45,"WA","")</f>
        <v/>
      </c>
      <c r="AB60" s="1364" t="str">
        <f>IF(OR(E60=" ",E60="")," ",(IF(F60&lt;&gt;"",IF(OR(D60=$BG$12,D60=$BG$13),IF(E60&lt;&gt;$BG$17,$BF$20,$BF$21),IF(E60&lt;&gt;$BG$17,$BF$20,$BF$21))," ")))</f>
        <v xml:space="preserve"> </v>
      </c>
      <c r="AC60" s="1"/>
      <c r="AJ60" s="2"/>
      <c r="AK60" s="63" t="str">
        <f>'Custom Elements'!B21</f>
        <v xml:space="preserve">  </v>
      </c>
      <c r="AL60" s="860" t="str">
        <f>'Custom Elements'!C21</f>
        <v>Custom13</v>
      </c>
      <c r="AM60" s="11">
        <f>'Custom Elements'!D21</f>
        <v>9.9999999999999996E-76</v>
      </c>
      <c r="AN60" s="7">
        <f>'Custom Elements'!E21</f>
        <v>0</v>
      </c>
      <c r="AO60" s="7">
        <f>'Custom Elements'!F21</f>
        <v>0</v>
      </c>
      <c r="AP60" s="762" t="str">
        <f>'Custom Elements'!G21</f>
        <v>B</v>
      </c>
      <c r="AQ60" s="1777" t="str">
        <f>'Custom Elements'!H21</f>
        <v>Single</v>
      </c>
      <c r="AR60" s="1775" t="str">
        <f>'Custom Elements'!I21</f>
        <v>Yes</v>
      </c>
      <c r="AS60" s="442" t="str">
        <f>'Custom Elements'!J21</f>
        <v>Yes</v>
      </c>
      <c r="AT60" s="1155"/>
      <c r="AU60"/>
      <c r="AW60"/>
      <c r="AY60"/>
      <c r="AZ60" s="442" t="str">
        <f>IF(AND('Custom Elements'!J21="Yes",'Custom Elements'!I21="Yes"),"T",IF('Custom Elements'!J21="Yes","F",IF('Custom Elements'!I21="Yes","H","E")))</f>
        <v>T</v>
      </c>
      <c r="BA60" s="47"/>
      <c r="BB60" s="47"/>
      <c r="BC60" s="47"/>
      <c r="BD60" s="638"/>
      <c r="BE60" s="1020"/>
      <c r="BF60" s="1020"/>
      <c r="BG60" s="1020"/>
      <c r="BH60" s="479"/>
      <c r="BI60" s="759"/>
      <c r="BJ60" s="897">
        <f t="shared" si="37"/>
        <v>52</v>
      </c>
      <c r="BK60" s="908"/>
      <c r="BL60" s="767"/>
      <c r="BM60" s="776">
        <f>Table!D14</f>
        <v>1.2</v>
      </c>
      <c r="BN60" s="776">
        <v>999</v>
      </c>
      <c r="BO60" s="776">
        <f>Table!E14</f>
        <v>98</v>
      </c>
      <c r="BP60" s="926">
        <f>Table!F14</f>
        <v>88</v>
      </c>
      <c r="BQ60" s="1183"/>
      <c r="BR60" s="908"/>
      <c r="BS60" s="776"/>
      <c r="BT60" s="776"/>
      <c r="BU60" s="926" t="s">
        <v>242</v>
      </c>
      <c r="BV60" s="433"/>
      <c r="BW60" s="914"/>
      <c r="BX60" s="926" t="str">
        <f>Table!H11</f>
        <v>Double</v>
      </c>
      <c r="CH60" s="908">
        <f>IF(BN60=999,0,(BO61-BO60)/(BN60-BM60))</f>
        <v>0</v>
      </c>
      <c r="CI60" s="926">
        <f>IF(BN60=999,0,(BP61-BP60)/(BN60-BM60))</f>
        <v>0</v>
      </c>
      <c r="CJ60" s="759"/>
      <c r="CK60" s="188"/>
      <c r="CL60" s="979">
        <f>VLOOKUP(I60,Prodlink,2,0)</f>
        <v>0</v>
      </c>
      <c r="CN60" s="497">
        <f t="shared" ca="1" si="35"/>
        <v>0</v>
      </c>
      <c r="CO60" s="497">
        <f ca="1">OFFSET($CH$9,CL60-1,-15,1,1)</f>
        <v>0</v>
      </c>
      <c r="CQ60" s="51">
        <v>0</v>
      </c>
      <c r="CR60" s="51">
        <f t="shared" ca="1" si="44"/>
        <v>10000</v>
      </c>
      <c r="CS60" s="51">
        <f ca="1">IF(F60&lt;OFFSET($BM$9,CL60-1,0,1,1),0,IF(F60&lt;OFFSET($BN$9,CL60-1,0,1,1),((F60-OFFSET($BM$9,CL60-1,0,1,1))*OFFSET($CH$9,CL60-1,0,1,1))+OFFSET($BO$9,CL60-1,CQ60,1,1),IF(F60&lt;OFFSET($BN$9,CL60+0,0,1,1),((F60-OFFSET($BM$9,CL60+0,0,1,1))*OFFSET($CH$9,CL60+0,0,1,1))+OFFSET($BO$9,CL60+0,CQ60,1,1),IF(F60&lt;OFFSET($BN$9,CL60+1,0,1,1),((F60-OFFSET($BM$9,CL60+1,0,1,1))*OFFSET($CH$9,CL60+1,0,1,1))+OFFSET($BO$9,CL60+1,CQ60,1,1),IF(F60&lt;OFFSET($BN$9,CL60+2,0,1,1),((F60-OFFSET($BM$9,CL60+2,0,1,1))*OFFSET($CH$9,CL60+2,0,1,1))+OFFSET($BO$9,CL60+2,CQ60,1,1),IF(F60&lt;OFFSET($BN$9,CL60+3,0,1,1),((F60-OFFSET($BM$9,CL60+3,0,1,1))*OFFSET($CH$9,CL60+3,0,1,1))+OFFSET($BO$9,CL60+3,CQ60,1,1),0))))))</f>
        <v>0</v>
      </c>
      <c r="CT60" s="51">
        <f ca="1">IF($F60&lt;OFFSET($BM$9,$CL60-1,0,1,1),0,IF($F60&lt;OFFSET($BN$9,$CL60-1,0,1,1),IF(AND($H60&gt;2.4,Z60&lt;&gt;"e",Z60&lt;&gt;"f"),CX60*2.4/$H60,CX60),IF($F60&lt;OFFSET($BN$9,$CL60+0,0,1,1),IF(AND($H60&gt;2.4,Z60&lt;&gt;"e",Z60&lt;&gt;"f"),CX60*2.4/$H60,CX60),IF($F60&lt;OFFSET($BN$9,$CL60+1,0,1,1),IF(AND($H60&gt;2.4,Z60&lt;&gt;"e",Z60&lt;&gt;"f"),CX60*2.4/$H60,CX60),IF($F60&lt;OFFSET($BN$9,CL60+2,0,1,1),IF(AND($H60&gt;2.4,Z60&lt;&gt;"e",Z60&lt;&gt;"f"),CX60*2.4/$H60,CX60),IF($F60&lt;OFFSET($BN$9,CL60+3,0,1,1),IF(AND($H60&gt;2.4,Z60&lt;&gt;"e",Z60&lt;&gt;"f"),CX60*2.4/$H60,CX60),0)))))*COS(RADIANS($G60)))</f>
        <v>0</v>
      </c>
      <c r="CU60" s="51">
        <f ca="1">IF(F60&lt;OFFSET($BM$9,CL60-1,0,1,1),0,IF(F60&lt;OFFSET($BN$9,CL60-1,0,1,1),((F60-OFFSET($BM$9,CL60-1,0,1,1))*OFFSET($CI$9,CL60-1,0,1,1))+OFFSET($BP$9,CL60-1,CQ60,1,1),IF(F60&lt;OFFSET($BN$9,CL60+0,0,1,1),((F60-OFFSET($BM$9,CL60+0,0,1,1))*OFFSET($CI$9,CL60+0,0,1,1))+OFFSET($BP$9,CL60+0,CQ60,1,1),IF(F60&lt;OFFSET($BN$9,CL60+1,0,1,1),((F60-OFFSET($BM$9,CL60+1,0,1,1))*OFFSET($CI$9,CL60+1,0,1,1))+OFFSET($BP$9,CL60+1,CQ60,1,1),IF(F60&lt;OFFSET($BN$9,CL60+2,0,1,1),((F60-OFFSET($BM$9,CL60+2,0,1,1))*OFFSET($CI$9,CL60+2,0,1,1))+OFFSET($BP$9,CL60+2,CQ60,1,1),IF(F60&lt;OFFSET($BN$9,CL60+3,0,1,1),((F60-OFFSET($BM$9,CL60+3,0,1,1))*OFFSET($CI$9,CL60+3,0,1,1))+OFFSET($BP$9,CL60+3,CQ60,1,1),0))))))</f>
        <v>0</v>
      </c>
      <c r="CV60" s="51">
        <f ca="1">IF($F60&lt;OFFSET($BM$9,$CL60-1,0,1,1),0,IF($F60&lt;OFFSET($BN$9,$CL60-1,0,1,1),IF(AND($H60&gt;2.4,Z60&lt;&gt;"e",Z60&lt;&gt;"f"),CZ60*2.4/$H60,CZ60),IF($F60&lt;OFFSET($BN$9,$CL60+0,0,1,1),IF(AND($H60&gt;2.4,Z60&lt;&gt;"e",Z60&lt;&gt;"f"),CZ60*2.4/$H60,CZ60),IF($F60&lt;OFFSET($BN$9,$CL60+1,0,1,1),IF(AND($H60&gt;2.4,Z60&lt;&gt;"e",Z60&lt;&gt;"f"),CZ60*2.4/$H60,CZ60),IF($F60&lt;OFFSET($BN$9,$CL60+2,0,1,1),IF(AND($H60&gt;2.4,Z60&lt;&gt;"e",Z60&lt;&gt;"f"),CZ60*2.4/$H60,CZ60),IF($F60&lt;OFFSET($BN$9,$CL60+3,0,1,1),IF(AND($H60&gt;2.4,Z60&lt;&gt;"e",Z60&lt;&gt;"f"),CZ60*2.4/$H60,CZ60),0)))))*COS(RADIANS($G60)))</f>
        <v>0</v>
      </c>
      <c r="CW60" s="51">
        <f t="shared" ca="1" si="18"/>
        <v>0</v>
      </c>
      <c r="CX60" s="51">
        <f ca="1">IF(CS60&gt;$CR60,$CR60,CS60)</f>
        <v>0</v>
      </c>
      <c r="CY60" s="51">
        <f ca="1">CW60*F60</f>
        <v>0</v>
      </c>
      <c r="CZ60" s="51">
        <f ca="1">IF($CU60&gt;$CR60,$CR60,$CU60)</f>
        <v>0</v>
      </c>
      <c r="DA60" s="51">
        <f ca="1">IF(CV60&gt;CR60,CR60,CV60)</f>
        <v>0</v>
      </c>
      <c r="DB60" s="51">
        <f ca="1">DA60*F60</f>
        <v>0</v>
      </c>
      <c r="DC60" s="993">
        <v>1</v>
      </c>
      <c r="DD60" s="758" t="str">
        <f>IF(OR(D60=BG$12,D60=BG$13),"External",IF(D60=BG$14,"Internal"," "))</f>
        <v xml:space="preserve"> </v>
      </c>
      <c r="DE60" s="51" t="str">
        <f t="shared" ca="1" si="4"/>
        <v/>
      </c>
      <c r="DF60" s="52" t="str">
        <f t="shared" ca="1" si="5"/>
        <v xml:space="preserve"> </v>
      </c>
      <c r="DG60" s="51">
        <f ca="1">IF(F60&lt;OFFSET($BM$9,CN60-1,0,1,1),0,IF(F60&lt;OFFSET($BN$9,CN60-1,0,1,1),((F60-OFFSET($BM$9,CN60-1,0,1,1))*OFFSET($CH$9,CN60-1,0,1,1))+OFFSET($BO$9,CN60-1,CQ60,1,1),IF(F60&lt;OFFSET($BN$9,CN60+0,0,1,1),((F60-OFFSET($BM$9,CN60+0,0,1,1))*OFFSET($CH$9,CN60+0,0,1,1))+OFFSET($BO$9,CN60+0,CQ60,1,1),IF(F60&lt;OFFSET($BN$9,CN60+1,0,1,1),((F60-OFFSET($BM$9,CN60+1,0,1,1))*OFFSET($CH$9,CN60+1,0,1,1))+OFFSET($BO$9,CN60+1,CQ60,1,1),IF(F60&lt;OFFSET($BN$9,CN60+2,0,1,1),((F60-OFFSET($BM$9,CN60+2,0,1,1))*OFFSET($CH$9,CN60+2,0,1,1))+OFFSET($BO$9,CN60+2,CQ60,1,1),IF(F60&lt;OFFSET($BN$9,CN60+3,0,1,1),((F60-OFFSET($BM$9,CN60+3,0,1,1))*OFFSET($CH$9,CN60+3,0,1,1))+OFFSET($BO$9,CN60+3,CQ60,1,1),0))))))</f>
        <v>0</v>
      </c>
      <c r="DH60" s="51">
        <f ca="1">IF($F60&lt;OFFSET($BM$9,$CN60-1,0,1,1),0,IF($F60&lt;OFFSET($BN$9,$CN60-1,0,1,1),IF(AND($H60&gt;2.4,Z60&lt;&gt;"e",Z60&lt;&gt;"f"),DL60*2.4/$H60,DL60),IF($F60&lt;OFFSET($BN$9,$CN60+0,0,1,1),IF(AND($H60&gt;2.4,Z60&lt;&gt;"e",Z60&lt;&gt;"f"),DL60*2.4/$H60,DL60),IF($F60&lt;OFFSET($BN$9,$CN60+1,0,1,1),IF(AND($H60&gt;2.4,Z60&lt;&gt;"e",Z60&lt;&gt;"f"),DL60*2.4/$H60,DL60),IF($F60&lt;OFFSET($BN$9,$CN60+2,0,1,1),IF(AND($H60&gt;2.4,Z60&lt;&gt;"e",Z60&lt;&gt;"f"),DL60*2.4/$H60,DL60),IF($F60&lt;OFFSET($BN$9,$CN60+3,0,1,1),IF(AND($H60&gt;2.4,Z60&lt;&gt;"e",Z60&lt;&gt;"f"),DL60*2.4/$H60,DL60),0)))))*COS(RADIANS($G60)))</f>
        <v>0</v>
      </c>
      <c r="DI60" s="51">
        <f ca="1">IF(F60&lt;OFFSET($BM$9,CN60-1,0,1,1),0,IF(F60&lt;OFFSET($BN$9,CN60-1,0,1,1),((F60-OFFSET($BM$9,CN60-1,0,1,1))*OFFSET($CI$9,CN60-1,0,1,1))+OFFSET($BP$9,CN60-1,CQ60,1,1),IF(F60&lt;OFFSET($BN$9,CN60+0,0,1,1),((F60-OFFSET($BM$9,CN60+0,0,1,1))*OFFSET($CI$9,CN60+0,0,1,1))+OFFSET($BP$9,CN60+0,CQ60,1,1),IF(F60&lt;OFFSET($BN$9,CN60+1,0,1,1),((F60-OFFSET($BM$9,CN60+1,0,1,1))*OFFSET($CI$9,CN60+1,0,1,1))+OFFSET($BP$9,CN60+1,CQ60,1,1),IF(F60&lt;OFFSET($BN$9,CN60+2,0,1,1),((F60-OFFSET($BM$9,CN60+2,0,1,1))*OFFSET($CI$9,CN60+2,0,1,1))+OFFSET($BP$9,CN60+2,CQ60,1,1),IF(F60&lt;OFFSET($BN$9,CN60+3,0,1,1),((F60-OFFSET($BM$9,CN60+3,0,1,1))*OFFSET($CI$9,CN60+3,0,1,1))+OFFSET($BP$9,CN60+3,CQ60,1,1),0))))))</f>
        <v>0</v>
      </c>
      <c r="DJ60" s="51">
        <f ca="1">IF($F60&lt;OFFSET($BM$9,$CN60-1,0,1,1),0,IF($F60&lt;OFFSET($BN$9,$CN60-1,0,1,1),IF(AND($H60&gt;2.4,Z60&lt;&gt;"e",Z60&lt;&gt;"f"),DN60*2.4/$H60,DN60),IF($F60&lt;OFFSET($BN$9,$CN60+0,0,1,1),IF(AND($H60&gt;2.4,Z60&lt;&gt;"e",Z60&lt;&gt;"f"),DN60*2.4/$H60,DN60),IF($F60&lt;OFFSET($BN$9,$CN60+1,0,1,1),IF(AND($H60&gt;2.4,Z60&lt;&gt;"e",Z60&lt;&gt;"f"),DN60*2.4/$H60,DN60),IF($F60&lt;OFFSET($BN$9,$CN60+2,0,1,1),IF(AND($H60&gt;2.4,Z60&lt;&gt;"e",Z60&lt;&gt;"f"),DN60*2.4/$H60,DN60),IF($F60&lt;OFFSET($BN$9,$CN60+3,0,1,1),IF(AND($H60&gt;2.4,Z60&lt;&gt;"e",Z60&lt;&gt;"f"),DN60*2.4/$H60,DN60),0)))))*COS(RADIANS($G60)))</f>
        <v>0</v>
      </c>
      <c r="DK60" s="51"/>
      <c r="DL60" s="51">
        <f ca="1">IF(DG60&gt;$CR60,$CR60,DG60)</f>
        <v>0</v>
      </c>
      <c r="DM60" s="51"/>
      <c r="DN60" s="51">
        <f ca="1">IF(DI60&gt;$CR60,$CR60,DI60)</f>
        <v>0</v>
      </c>
      <c r="DO60" s="435">
        <f ca="1">IF(DH60&gt;$CR60,$CR60,DH60)</f>
        <v>0</v>
      </c>
      <c r="DP60" s="435">
        <f ca="1">DO60*F60</f>
        <v>0</v>
      </c>
      <c r="DQ60" s="436">
        <f ca="1">IF(DJ60&gt;$CR60,$CR60,DJ60)</f>
        <v>0</v>
      </c>
      <c r="DR60" s="437">
        <f ca="1">DQ60*F60</f>
        <v>0</v>
      </c>
      <c r="DS60" s="426">
        <f ca="1">OFFSET($CH$9,CL60-1,-15,1,1)</f>
        <v>0</v>
      </c>
      <c r="DT60" s="426">
        <f t="shared" ca="1" si="36"/>
        <v>0</v>
      </c>
      <c r="DU60" s="188">
        <f ca="1">IF(F60&lt;OFFSET($BM$9,DT60-1,0,1,1),0,IF(F60&lt;OFFSET($BN$9,DT60-1,0,1,1),((F60-OFFSET($BM$9,DT60-1,0,1,1))*OFFSET($CH$9,DT60-1,0,1,1))+OFFSET($BO$9,DT60-1,CQ60,1,1),IF(F60&lt;OFFSET($BN$9,DT60+0,0,1,1),((F60-OFFSET($BM$9,DT60+0,0,1,1))*OFFSET($CH$9,DT60+0,0,1,1))+OFFSET($BO$9,DT60+0,CQ60,1,1),IF(F60&lt;OFFSET($BN$9,DT60+1,0,1,1),((F60-OFFSET($BM$9,DT60+1,0,1,1))*OFFSET($CH$9,DT60+1,0,1,1))+OFFSET($BO$9,DT60+1,CQ60,1,1),IF(F60&lt;OFFSET($BN$9,DT60+2,0,1,1),((F60-OFFSET($BM$9,DT60+2,0,1,1))*OFFSET($CH$9,DT60+2,0,1,1))+OFFSET($BO$9,DT60+2,CQ60,1,1),IF(F60&lt;OFFSET($BN$9,DT60+3,0,1,1),((F60-OFFSET($BM$9,DT60+3,0,1,1))*OFFSET($CH$9,DT60+3,0,1,1))+OFFSET($BO$9,DT60+3,CQ60,1,1),0))))))</f>
        <v>0</v>
      </c>
      <c r="DV60" s="51">
        <f ca="1">IF($F60&lt;OFFSET($BM$9,$DT60-1,0,1,1),0,IF($F60&lt;OFFSET($BN$9,$DT60-1,0,1,1),IF(AND($H60&gt;2.4,Z60&lt;&gt;"e",Z60&lt;&gt;"f"),DZ60*2.4/$H60,DZ60),IF($F60&lt;OFFSET($BN$9,$DT60+0,0,1,1),IF(AND($H60&gt;2.4,Z60&lt;&gt;"e",Z60&lt;&gt;"f"),DZ60*2.4/$H60,DZ60),IF($F60&lt;OFFSET($BN$9,$DT60+1,0,1,1),IF(AND($H60&gt;2.4,Z60&lt;&gt;"e",Z60&lt;&gt;"f"),DZ60*2.4/$H60,DZ60),IF($F60&lt;OFFSET($BN$9,$DT60+2,0,1,1),IF(AND($H60&gt;2.4,Z60&lt;&gt;"e",Z60&lt;&gt;"f"),DZ60*2.4/$H60,DZ60),IF($F60&lt;OFFSET($BN$9,$DT60+3,0,1,1),IF(AND($H60&gt;2.4,Z60&lt;&gt;"e",Z60&lt;&gt;"f"),DZ60*2.4/$H60,DZ60),0)))))*COS(RADIANS($G60)))</f>
        <v>0</v>
      </c>
      <c r="DW60" s="188">
        <f ca="1">IF(F60&lt;OFFSET($BM$9,DT60-1,0,1,1),0,IF(F60&lt;OFFSET($BN$9,DT60-1,0,1,1),((F60-OFFSET($BM$9,DT60-1,0,1,1))*OFFSET($CI$9,DT60-1,0,1,1))+OFFSET($BP$9,DT60-1,CQ60,1,1),IF(F60&lt;OFFSET($BN$9,DT60+0,0,1,1),((F60-OFFSET($BM$9,DT60+0,0,1,1))*OFFSET($CI$9,DT60+0,0,1,1))+OFFSET($BP$9,DT60+0,CQ60,1,1),IF(F60&lt;OFFSET($BN$9,DT60+1,0,1,1),((F60-OFFSET($BM$9,DT60+1,0,1,1))*OFFSET($CI$9,DT60+1,0,1,1))+OFFSET($BP$9,DT60+1,CQ60,1,1),IF(F60&lt;OFFSET($BN$9,DT60+2,0,1,1),((F60-OFFSET($BM$9,DT60+2,0,1,1))*OFFSET($CI$9,DT60+2,0,1,1))+OFFSET($BP$9,DT60+2,CQ60,1,1),IF(F60&lt;OFFSET($BN$9,DT60+3,0,1,1),((F60-OFFSET($BM$9,DT60+3,0,1,1))*OFFSET($CI$9,DT60+3,0,1,1))+OFFSET($BP$9,DT60+3,CQ60,1,1),0))))))</f>
        <v>0</v>
      </c>
      <c r="DX60" s="51">
        <f ca="1">IF($F60&lt;OFFSET($BM$9,$DT60-1,0,1,1),0,IF($F60&lt;OFFSET($BN$9,$DT60-1,0,1,1),IF(AND($H60&gt;2.4,Z60&lt;&gt;"e",Z60&lt;&gt;"f"),EB60*2.4/$H60,EB60),IF($F60&lt;OFFSET($BN$9,$DT60+0,0,1,1),IF(AND($H60&gt;2.4,Z60&lt;&gt;"e",Z60&lt;&gt;"f"),EB60*2.4/$H60,EB60),IF($F60&lt;OFFSET($BN$9,$DT60+1,0,1,1),IF(AND($H60&gt;2.4,Z60&lt;&gt;"e",Z60&lt;&gt;"f"),EB60*2.4/$H60,EB60),IF($F60&lt;OFFSET($BN$9,$DT60+2,0,1,1),IF(AND($H60&gt;2.4,Z60&lt;&gt;"e",Z60&lt;&gt;"f"),EB60*2.4/$H60,EB60),IF($F60&lt;OFFSET($BN$9,$DT60+3,0,1,1),IF(AND($H60&gt;2.4,Z60&lt;&gt;"e",Z60&lt;&gt;"f"),EB60*2.4/$H60,EB60),0)))))*COS(RADIANS($G60)))</f>
        <v>0</v>
      </c>
      <c r="DY60" s="188"/>
      <c r="DZ60" s="188">
        <f ca="1">IF(DU60&gt;$CR60,$CR60,DU60)</f>
        <v>0</v>
      </c>
      <c r="EA60" s="188"/>
      <c r="EB60" s="188">
        <f ca="1">IF(DW60&gt;$CR60,$CR60,DW60)</f>
        <v>0</v>
      </c>
      <c r="EC60" s="435">
        <f ca="1">IF(DV60&gt;$CR60,$CR60,DV60)</f>
        <v>0</v>
      </c>
      <c r="ED60" s="435">
        <f ca="1">EC60*F60</f>
        <v>0</v>
      </c>
      <c r="EE60" s="436">
        <f ca="1">IF(DX60&gt;$CR60,$CR60,DX60)</f>
        <v>0</v>
      </c>
      <c r="EF60" s="437">
        <f ca="1">EE60*F60</f>
        <v>0</v>
      </c>
      <c r="EG60" s="613" t="str">
        <f>IF(D60=BG$12,BG$12,"")</f>
        <v/>
      </c>
      <c r="EH60" s="614" t="str">
        <f>IF(D60=BG$13,BG$13,"")</f>
        <v/>
      </c>
      <c r="EI60" s="611">
        <f>IF(EG60=BG$12,M60,0)</f>
        <v>0</v>
      </c>
      <c r="EJ60" s="451">
        <f>IF(EG60=BG$12,O60,0)</f>
        <v>0</v>
      </c>
      <c r="EK60" s="451">
        <f>IF(EH60=BG$13,M60,0)</f>
        <v>0</v>
      </c>
      <c r="EL60" s="612">
        <f>IF(EH60=BG$13,O60,0)</f>
        <v>0</v>
      </c>
      <c r="EM60" s="426" t="str">
        <f ca="1">IF(AND(Z60&lt;&gt;"t",Z60&lt;&gt;"f"),"",IF(AND(EN60=$BH$11,K60&lt;&gt;EN60),EM$4,IF(AND(EN60=$BH$12,K60=$BH$13),EM$4,IF(AND(EN60=$BH$12,K60=$BH$14),EM$4,IF(AND(EN60=$BH$13,K60=$BH$14),$EM$4,IF(EN60=$BH$14,$EM$4,""))))))</f>
        <v/>
      </c>
      <c r="EN60" s="489" t="str">
        <f>BG$24</f>
        <v>Earth</v>
      </c>
      <c r="EO60" s="426" t="str">
        <f>K60</f>
        <v xml:space="preserve"> </v>
      </c>
      <c r="EP60" s="497" t="str">
        <f ca="1">IF(AND(Z60&lt;&gt;"t",Z60&lt;&gt;"f"),"",IF(AND(EN60=$BH$14,K60&lt;&gt;EN60),EP$4,IF(AND(EN60=$BH$13,K60=$BH$12),EP$4,IF(AND(EN60=$BH$13,K60=$BH$11),EP$4,IF(AND(EN60=$BH$12,K60=$BH$11),$EP$4,IF(EN60=$BH$11,"Earth",""))))))</f>
        <v/>
      </c>
      <c r="EQ60" s="430" t="str">
        <f ca="1">IF(Z60&lt;&gt;"t","",IF(EQ$5=2,IF(K60&lt;&gt;BH$11,EQ$7," ")))</f>
        <v/>
      </c>
      <c r="ER60" s="439" t="str">
        <f ca="1">IF(H60=0," ",H60)</f>
        <v xml:space="preserve"> </v>
      </c>
      <c r="ES60" s="440" t="str">
        <f ca="1">IF(ER60&lt;&gt;" ",IF(ER60&lt;&gt;ER$7,"Changed",""),"")</f>
        <v/>
      </c>
      <c r="ET60" s="440">
        <f t="shared" ca="1" si="19"/>
        <v>0</v>
      </c>
      <c r="EU60" s="426" t="str">
        <f ca="1">IF(I60=" "," ",IF(F60&lt;OFFSET($BM$9,CL60-1,0,1,1),1,""))</f>
        <v xml:space="preserve"> </v>
      </c>
      <c r="EW60" s="427"/>
    </row>
    <row r="61" spans="1:153" ht="17.100000000000001" customHeight="1" thickBot="1">
      <c r="A61" s="2685"/>
      <c r="B61" s="2686" t="s">
        <v>8</v>
      </c>
      <c r="C61" s="2687"/>
      <c r="D61" s="1461" t="s">
        <v>8</v>
      </c>
      <c r="E61" s="659"/>
      <c r="F61" s="659"/>
      <c r="G61" s="659"/>
      <c r="H61" s="659"/>
      <c r="I61" s="1462"/>
      <c r="J61" s="1365" t="str">
        <f ca="1">(CONCATENATE(B56,$BE$54))</f>
        <v>U  Line:  Min. Requirement</v>
      </c>
      <c r="K61" s="23"/>
      <c r="L61" s="1019">
        <f ca="1">L$5</f>
        <v>0</v>
      </c>
      <c r="M61" s="48">
        <f ca="1">IF(B56=B50,SUM(M56:M60)+M55,SUM(M56:M60))</f>
        <v>0</v>
      </c>
      <c r="N61" s="1019">
        <f ca="1">N$5</f>
        <v>0</v>
      </c>
      <c r="O61" s="125">
        <f ca="1">IF(B56=B50,SUM(O56:O60)+O55,SUM(O56:O60))</f>
        <v>0</v>
      </c>
      <c r="P61" s="139"/>
      <c r="Q61" s="42" t="str">
        <f ca="1">IF(B56=B62,"",IF(AND(M61&gt;0,L61=L$5,OR(M61&lt;$M$105,M61&lt;$BF$3)),"Achieved &lt; Min Req per Line",IF(AND(O61&gt;0,N61=N$5,OR(O61&lt;$O$105,O61&lt;$BF$3)),"Achieved &lt; Min Req per Line",IF(AND(M61&gt;0,L61&gt;M61),"More Required on this line",IF(AND(O61&gt;0,N61&gt;O61),"More Required on this line",IF(AND(L61&gt;0,L61&lt;$BF$3),$BE$59,IF(AND(N61&gt;0,N61&lt;$BF$3),$BE$59,"")))))))</f>
        <v/>
      </c>
      <c r="R61" s="52"/>
      <c r="S61" s="52"/>
      <c r="T61" s="52"/>
      <c r="U61" s="1378"/>
      <c r="V61" s="52"/>
      <c r="W61" s="9"/>
      <c r="X61" s="9"/>
      <c r="Y61" s="896"/>
      <c r="Z61" s="52"/>
      <c r="AA61" s="51"/>
      <c r="AB61" s="1364"/>
      <c r="AC61"/>
      <c r="AJ61" s="2"/>
      <c r="AK61" s="63" t="str">
        <f>'Custom Elements'!B22</f>
        <v xml:space="preserve">  </v>
      </c>
      <c r="AL61" s="860" t="str">
        <f>'Custom Elements'!C22</f>
        <v>Custom14</v>
      </c>
      <c r="AM61" s="11">
        <f>'Custom Elements'!D22</f>
        <v>9.9999999999999996E-76</v>
      </c>
      <c r="AN61" s="7">
        <f>'Custom Elements'!E22</f>
        <v>0</v>
      </c>
      <c r="AO61" s="7">
        <f>'Custom Elements'!F22</f>
        <v>0</v>
      </c>
      <c r="AP61" s="762" t="str">
        <f>'Custom Elements'!G22</f>
        <v>B</v>
      </c>
      <c r="AQ61" s="1777" t="str">
        <f>'Custom Elements'!H22</f>
        <v>Single</v>
      </c>
      <c r="AR61" s="1775" t="str">
        <f>'Custom Elements'!I22</f>
        <v>Yes</v>
      </c>
      <c r="AS61" s="442" t="str">
        <f>'Custom Elements'!J22</f>
        <v>Yes</v>
      </c>
      <c r="AT61" s="1155"/>
      <c r="AU61"/>
      <c r="AW61"/>
      <c r="AY61"/>
      <c r="AZ61" s="442" t="str">
        <f>IF(AND('Custom Elements'!J22="Yes",'Custom Elements'!I22="Yes"),"T",IF('Custom Elements'!J22="Yes","F",IF('Custom Elements'!I22="Yes","H","E")))</f>
        <v>T</v>
      </c>
      <c r="BA61" s="1"/>
      <c r="BB61" s="1"/>
      <c r="BC61" s="1"/>
      <c r="BD61" s="641"/>
      <c r="BE61" s="2715" t="s">
        <v>861</v>
      </c>
      <c r="BF61" s="2716"/>
      <c r="BG61" s="2838"/>
      <c r="BH61" s="479"/>
      <c r="BI61" s="759"/>
      <c r="BJ61" s="897">
        <f t="shared" si="37"/>
        <v>53</v>
      </c>
      <c r="BK61" s="1231"/>
      <c r="BL61" s="1232"/>
      <c r="BM61" s="1205"/>
      <c r="BN61" s="1205"/>
      <c r="BO61" s="1205"/>
      <c r="BP61" s="1205"/>
      <c r="BQ61" s="1233"/>
      <c r="BR61" s="1205"/>
      <c r="BS61" s="1205"/>
      <c r="BT61" s="1205"/>
      <c r="BU61" s="1206"/>
      <c r="BV61" s="1227">
        <v>0</v>
      </c>
      <c r="BW61" s="1228">
        <v>0</v>
      </c>
      <c r="CH61" s="970"/>
      <c r="CI61" s="971"/>
      <c r="CJ61" s="759"/>
      <c r="CK61" s="188"/>
      <c r="CL61" s="979"/>
      <c r="CN61" s="497"/>
      <c r="CO61" s="497"/>
      <c r="CQ61" s="51"/>
      <c r="CR61" s="51"/>
      <c r="CS61" s="51"/>
      <c r="CT61" s="51" t="s">
        <v>8</v>
      </c>
      <c r="CU61" s="51"/>
      <c r="CV61" s="51" t="s">
        <v>8</v>
      </c>
      <c r="CW61" s="51"/>
      <c r="CX61" s="51"/>
      <c r="CY61" s="51"/>
      <c r="CZ61" s="51"/>
      <c r="DD61" s="758"/>
      <c r="DF61" s="52"/>
      <c r="DG61" s="51"/>
      <c r="DH61" s="51"/>
      <c r="DI61" s="51"/>
      <c r="DJ61" s="51"/>
      <c r="DK61" s="51"/>
      <c r="DL61" s="51"/>
      <c r="DM61" s="51"/>
      <c r="DN61" s="51"/>
      <c r="DO61" s="435"/>
      <c r="DP61" s="435"/>
      <c r="DQ61" s="868"/>
      <c r="DR61" s="868"/>
      <c r="DU61" s="188"/>
      <c r="DV61" s="188" t="s">
        <v>8</v>
      </c>
      <c r="DW61" s="188"/>
      <c r="DX61" s="188" t="s">
        <v>8</v>
      </c>
      <c r="DY61" s="188"/>
      <c r="DZ61" s="188"/>
      <c r="EA61" s="188"/>
      <c r="EB61" s="188"/>
      <c r="EC61" s="435"/>
      <c r="ED61" s="435"/>
      <c r="EE61" s="868"/>
      <c r="EF61" s="868"/>
      <c r="EG61" s="613"/>
      <c r="EH61" s="614"/>
      <c r="EI61" s="613"/>
      <c r="EJ61" s="435"/>
      <c r="EK61" s="451"/>
      <c r="EL61" s="612"/>
      <c r="EN61" s="438"/>
      <c r="EP61" s="497"/>
      <c r="ER61" s="441"/>
      <c r="ES61" s="440"/>
      <c r="ET61" s="440"/>
      <c r="EW61" s="427"/>
    </row>
    <row r="62" spans="1:153" ht="17.100000000000001" customHeight="1" thickBot="1">
      <c r="A62" s="2685"/>
      <c r="B62" s="1369" t="str">
        <f ca="1">S62</f>
        <v>V</v>
      </c>
      <c r="C62" s="684" t="str">
        <f>IF(OR(F62=0,I62="",I62=" ")," ",$V62)</f>
        <v xml:space="preserve"> </v>
      </c>
      <c r="D62" s="1033"/>
      <c r="E62" s="1360" t="s">
        <v>8</v>
      </c>
      <c r="F62" s="202"/>
      <c r="G62" s="1416"/>
      <c r="H62" s="1417" t="str">
        <f ca="1">IF(OR(F62=0,Z62="E",Z62="f")," ",'Project Demand'!E$55)</f>
        <v xml:space="preserve"> </v>
      </c>
      <c r="I62" s="631" t="str">
        <f>IF($I$6&lt;&gt;$BG$8," ",AB62)</f>
        <v xml:space="preserve"> </v>
      </c>
      <c r="J62" s="43" t="str">
        <f ca="1">IF(OR(I62=" ",I62="")," ",OFFSET($BO$9,CL62-1,0-4,1,1))</f>
        <v xml:space="preserve"> </v>
      </c>
      <c r="K62" s="55" t="str">
        <f>IF(OR(I62=" ",I62="")," ",IF(OR(Z62="e",Z62="h"),"SD",IF(BG$24=BH$11,BH$13,BG$24)))</f>
        <v xml:space="preserve"> </v>
      </c>
      <c r="L62" s="49">
        <f ca="1">CW62</f>
        <v>0</v>
      </c>
      <c r="M62" s="49">
        <f ca="1">CY62</f>
        <v>0</v>
      </c>
      <c r="N62" s="50">
        <f t="shared" ref="N62:O66" ca="1" si="45">DA62</f>
        <v>0</v>
      </c>
      <c r="O62" s="126">
        <f t="shared" ca="1" si="45"/>
        <v>0</v>
      </c>
      <c r="P62" s="140"/>
      <c r="Q62" s="752" t="str">
        <f ca="1">IF(AND(OR(Z62="t",Z62="f"),K62=$BH$11),"No Floor!  Change Floor Type",IF(OR(I62=" ",I62="")," ",IF(F62&lt;OFFSET($BM$9,CL62-1,0,1,1),"check L(m)",DE62&amp;IF(AND(DP62&gt;=CY62,DR62&gt;=DB62),IF(AND(ED62&gt;=DP62,EF62&gt;=DR62),CONCATENATE(DS62," will provide same result"),CONCATENATE(CO62," will provide same result")),IF((DP62&gt;=CY62),CONCATENATE(CO62," provides same result in WIND"),IF((DR62&gt;=DB62),CONCATENATE(CO62," provides same result in EQ"),""))))))&amp;IF(ISERROR(FIND("pile",I62,1)),"",IF(INT(F62)&lt;&gt;F62,"Pile!  Use Whole Numbers Only",""))</f>
        <v xml:space="preserve"> </v>
      </c>
      <c r="R62" s="52">
        <f ca="1">IF(T56&lt;&gt;2,(COLUMN(INDIRECT(B56&amp;1))+1),U62)</f>
        <v>22</v>
      </c>
      <c r="S62" s="1372" t="str">
        <f ca="1">SUBSTITUTE(ADDRESS(1,R62,4),"1","")</f>
        <v>V</v>
      </c>
      <c r="T62" s="451">
        <f ca="1">IF(AND(ISTEXT(B62),SUBSTITUTE(SUBSTITUTE(SUBSTITUTE(SUBSTITUTE(SUBSTITUTE(SUBSTITUTE(SUBSTITUTE(SUBSTITUTE(SUBSTITUTE(SUBSTITUTE(SUBSTITUTE(SUBSTITUTE(SUBSTITUTE(SUBSTITUTE(SUBSTITUTE(SUBSTITUTE(SUBSTITUTE(SUBSTITUTE(SUBSTITUTE(SUBSTITUTE(SUBSTITUTE(SUBSTITUTE(SUBSTITUTE(SUBSTITUTE(SUBSTITUTE(SUBSTITUTE(LOWER(B62),"a",),"b",),"c",),"d",),"e",),"f",),"g",),"h",),"i",),"j",),"k",),"l",),"m",),"n",),"o",),"p",),"q",),"r",),"s",),"t",),"u",),"v",),"w",),"x",),"y",),"z",)=""),1,2)</f>
        <v>1</v>
      </c>
      <c r="U62" s="1377">
        <v>22</v>
      </c>
      <c r="V62" s="52" t="str">
        <f ca="1">IF(AND(B$5=$BF$9,OR(I62=BH$16,I62=BH$17))," ",IF(ISNUMBER(B$62),(CONCATENATE(B$62,".",W62)),(CONCATENATE(B$62,W62))))</f>
        <v>V0</v>
      </c>
      <c r="W62" s="9">
        <f ca="1">IF(B56=B62,W60+X62,X62)</f>
        <v>0</v>
      </c>
      <c r="X62" s="9">
        <f>IF(AND(B$5=$BF$9,OR($I62=$BH$16,$I62=$BH$17,$I62=" ",$I62="",$F62=0)),0,IF(OR($I62=" ",$I62="",$F62=0),0,1))</f>
        <v>0</v>
      </c>
      <c r="Y62" s="896">
        <f ca="1">IF(AND(M67&gt;0,B62&lt;&gt;B68),1,0)</f>
        <v>0</v>
      </c>
      <c r="Z62" s="52" t="str">
        <f ca="1">IF(I62=" "," ",OFFSET($BM$9,$CL62-1,8,1,1))</f>
        <v xml:space="preserve"> </v>
      </c>
      <c r="AA62" s="51" t="str">
        <f>IF(G62&gt;=45,"WA","")</f>
        <v/>
      </c>
      <c r="AB62" s="1364" t="str">
        <f>IF(OR(E62=" ",E62="")," ",(IF(F62&lt;&gt;"",IF(OR(D62=$BG$12,D62=$BG$13),IF(E62&lt;&gt;$BG$17,$BF$20,$BF$21),IF(E62&lt;&gt;$BG$17,$BF$20,$BF$21))," ")))</f>
        <v xml:space="preserve"> </v>
      </c>
      <c r="AC62" s="1"/>
      <c r="AJ62" s="2"/>
      <c r="AK62" s="63" t="str">
        <f>'Custom Elements'!B23</f>
        <v xml:space="preserve">  </v>
      </c>
      <c r="AL62" s="860" t="str">
        <f>'Custom Elements'!C23</f>
        <v>Custom15</v>
      </c>
      <c r="AM62" s="11">
        <f>'Custom Elements'!D23</f>
        <v>9.9999999999999996E-76</v>
      </c>
      <c r="AN62" s="7">
        <f>'Custom Elements'!E23</f>
        <v>0</v>
      </c>
      <c r="AO62" s="7">
        <f>'Custom Elements'!F23</f>
        <v>0</v>
      </c>
      <c r="AP62" s="762" t="str">
        <f>'Custom Elements'!G23</f>
        <v>B</v>
      </c>
      <c r="AQ62" s="1777" t="str">
        <f>'Custom Elements'!H23</f>
        <v>Single</v>
      </c>
      <c r="AR62" s="1775" t="str">
        <f>'Custom Elements'!I23</f>
        <v>Yes</v>
      </c>
      <c r="AS62" s="442" t="str">
        <f>'Custom Elements'!J23</f>
        <v>Yes</v>
      </c>
      <c r="AT62" s="1155"/>
      <c r="AU62"/>
      <c r="AW62"/>
      <c r="AY62"/>
      <c r="AZ62" s="442" t="str">
        <f>IF(AND('Custom Elements'!J23="Yes",'Custom Elements'!I23="Yes"),"T",IF('Custom Elements'!J23="Yes","F",IF('Custom Elements'!I23="Yes","H","E")))</f>
        <v>T</v>
      </c>
      <c r="BA62" s="1"/>
      <c r="BB62" s="1"/>
      <c r="BC62" s="1"/>
      <c r="BD62" s="641"/>
      <c r="BE62" s="2715" t="s">
        <v>905</v>
      </c>
      <c r="BF62" s="2716"/>
      <c r="BG62" s="2838"/>
      <c r="BH62" s="479"/>
      <c r="BI62" s="759"/>
      <c r="BJ62" s="897">
        <f t="shared" si="37"/>
        <v>54</v>
      </c>
      <c r="BK62" s="768" t="str">
        <f>BK56</f>
        <v xml:space="preserve">EPB </v>
      </c>
      <c r="BL62" s="765" t="str">
        <f>Table!O4</f>
        <v>ES-H</v>
      </c>
      <c r="BM62" s="454">
        <f>Table!P4</f>
        <v>0.4</v>
      </c>
      <c r="BN62" s="454">
        <f>BM63</f>
        <v>0.6</v>
      </c>
      <c r="BO62" s="454">
        <f>Table!Q4</f>
        <v>75</v>
      </c>
      <c r="BP62" s="924">
        <f>Table!R4</f>
        <v>75</v>
      </c>
      <c r="BQ62" s="920"/>
      <c r="BR62" s="768" t="str">
        <f>Table!S4</f>
        <v>ES-N</v>
      </c>
      <c r="BS62" s="454" t="str">
        <f>Table!S5</f>
        <v>ES-N</v>
      </c>
      <c r="BT62" s="454" t="str">
        <f>Table!T4</f>
        <v>B</v>
      </c>
      <c r="BU62" s="924" t="s">
        <v>242</v>
      </c>
      <c r="BV62" s="1230" t="str">
        <f>Table!AI74</f>
        <v>ES-H</v>
      </c>
      <c r="BW62" s="1229">
        <f>BJ62</f>
        <v>54</v>
      </c>
      <c r="BX62" s="924" t="str">
        <f>Table!T5</f>
        <v>Single</v>
      </c>
      <c r="CH62" s="768">
        <f>IF(BN62=999,0,(BO63-BO62)/(BN62-BM62))</f>
        <v>100.00000000000003</v>
      </c>
      <c r="CI62" s="924">
        <f>IF(BN62=999,0,(BP63-BP62)/(BN62-BM62))</f>
        <v>25.000000000000007</v>
      </c>
      <c r="CJ62" s="759"/>
      <c r="CK62" s="188"/>
      <c r="CL62" s="979">
        <f>VLOOKUP(I62,Prodlink,2,0)</f>
        <v>0</v>
      </c>
      <c r="CN62" s="497">
        <f t="shared" ca="1" si="35"/>
        <v>0</v>
      </c>
      <c r="CO62" s="497">
        <f ca="1">OFFSET($CH$9,CL62-1,-15,1,1)</f>
        <v>0</v>
      </c>
      <c r="CQ62" s="51">
        <v>0</v>
      </c>
      <c r="CR62" s="51">
        <f ca="1">IF(AND(Z62&lt;&gt;"t",Z62&lt;&gt;"f"),10000,IF(K62=$BH$11,0,IF(K62=$BH$12,$BH$23,IF(K62=$BH$13,$BH$24,10000))))</f>
        <v>10000</v>
      </c>
      <c r="CS62" s="51">
        <f ca="1">IF(F62&lt;OFFSET($BM$9,CL62-1,0,1,1),0,IF(F62&lt;OFFSET($BN$9,CL62-1,0,1,1),((F62-OFFSET($BM$9,CL62-1,0,1,1))*OFFSET($CH$9,CL62-1,0,1,1))+OFFSET($BO$9,CL62-1,CQ62,1,1),IF(F62&lt;OFFSET($BN$9,CL62+0,0,1,1),((F62-OFFSET($BM$9,CL62+0,0,1,1))*OFFSET($CH$9,CL62+0,0,1,1))+OFFSET($BO$9,CL62+0,CQ62,1,1),IF(F62&lt;OFFSET($BN$9,CL62+1,0,1,1),((F62-OFFSET($BM$9,CL62+1,0,1,1))*OFFSET($CH$9,CL62+1,0,1,1))+OFFSET($BO$9,CL62+1,CQ62,1,1),IF(F62&lt;OFFSET($BN$9,CL62+2,0,1,1),((F62-OFFSET($BM$9,CL62+2,0,1,1))*OFFSET($CH$9,CL62+2,0,1,1))+OFFSET($BO$9,CL62+2,CQ62,1,1),IF(F62&lt;OFFSET($BN$9,CL62+3,0,1,1),((F62-OFFSET($BM$9,CL62+3,0,1,1))*OFFSET($CH$9,CL62+3,0,1,1))+OFFSET($BO$9,CL62+3,CQ62,1,1),0))))))</f>
        <v>0</v>
      </c>
      <c r="CT62" s="51">
        <f ca="1">IF($F62&lt;OFFSET($BM$9,$CL62-1,0,1,1),0,IF($F62&lt;OFFSET($BN$9,$CL62-1,0,1,1),IF(AND($H62&gt;2.4,Z62&lt;&gt;"e",Z62&lt;&gt;"f"),CX62*2.4/$H62,CX62),IF($F62&lt;OFFSET($BN$9,$CL62+0,0,1,1),IF(AND($H62&gt;2.4,Z62&lt;&gt;"e",Z62&lt;&gt;"f"),CX62*2.4/$H62,CX62),IF($F62&lt;OFFSET($BN$9,$CL62+1,0,1,1),IF(AND($H62&gt;2.4,Z62&lt;&gt;"e",Z62&lt;&gt;"f"),CX62*2.4/$H62,CX62),IF($F62&lt;OFFSET($BN$9,CL62+2,0,1,1),IF(AND($H62&gt;2.4,Z62&lt;&gt;"e",Z62&lt;&gt;"f"),CX62*2.4/$H62,CX62),IF($F62&lt;OFFSET($BN$9,CL62+3,0,1,1),IF(AND($H62&gt;2.4,Z62&lt;&gt;"e",Z62&lt;&gt;"f"),CX62*2.4/$H62,CX62),0)))))*COS(RADIANS($G62)))</f>
        <v>0</v>
      </c>
      <c r="CU62" s="51">
        <f ca="1">IF(F62&lt;OFFSET($BM$9,CL62-1,0,1,1),0,IF(F62&lt;OFFSET($BN$9,CL62-1,0,1,1),((F62-OFFSET($BM$9,CL62-1,0,1,1))*OFFSET($CI$9,CL62-1,0,1,1))+OFFSET($BP$9,CL62-1,CQ62,1,1),IF(F62&lt;OFFSET($BN$9,CL62+0,0,1,1),((F62-OFFSET($BM$9,CL62+0,0,1,1))*OFFSET($CI$9,CL62+0,0,1,1))+OFFSET($BP$9,CL62+0,CQ62,1,1),IF(F62&lt;OFFSET($BN$9,CL62+1,0,1,1),((F62-OFFSET($BM$9,CL62+1,0,1,1))*OFFSET($CI$9,CL62+1,0,1,1))+OFFSET($BP$9,CL62+1,CQ62,1,1),IF(F62&lt;OFFSET($BN$9,CL62+2,0,1,1),((F62-OFFSET($BM$9,CL62+2,0,1,1))*OFFSET($CI$9,CL62+2,0,1,1))+OFFSET($BP$9,CL62+2,CQ62,1,1),IF(F62&lt;OFFSET($BN$9,CL62+3,0,1,1),((F62-OFFSET($BM$9,CL62+3,0,1,1))*OFFSET($CI$9,CL62+3,0,1,1))+OFFSET($BP$9,CL62+3,CQ62,1,1),0))))))</f>
        <v>0</v>
      </c>
      <c r="CV62" s="51">
        <f ca="1">IF($F62&lt;OFFSET($BM$9,$CL62-1,0,1,1),0,IF($F62&lt;OFFSET($BN$9,$CL62-1,0,1,1),IF(AND($H62&gt;2.4,Z62&lt;&gt;"e",Z62&lt;&gt;"f"),CZ62*2.4/$H62,CZ62),IF($F62&lt;OFFSET($BN$9,$CL62+0,0,1,1),IF(AND($H62&gt;2.4,Z62&lt;&gt;"e",Z62&lt;&gt;"f"),CZ62*2.4/$H62,CZ62),IF($F62&lt;OFFSET($BN$9,$CL62+1,0,1,1),IF(AND($H62&gt;2.4,Z62&lt;&gt;"e",Z62&lt;&gt;"f"),CZ62*2.4/$H62,CZ62),IF($F62&lt;OFFSET($BN$9,$CL62+2,0,1,1),IF(AND($H62&gt;2.4,Z62&lt;&gt;"e",Z62&lt;&gt;"f"),CZ62*2.4/$H62,CZ62),IF($F62&lt;OFFSET($BN$9,$CL62+3,0,1,1),IF(AND($H62&gt;2.4,Z62&lt;&gt;"e",Z62&lt;&gt;"f"),CZ62*2.4/$H62,CZ62),0)))))*COS(RADIANS($G62)))</f>
        <v>0</v>
      </c>
      <c r="CW62" s="51">
        <f t="shared" ca="1" si="18"/>
        <v>0</v>
      </c>
      <c r="CX62" s="51">
        <f ca="1">IF(CS62&gt;$CR62,$CR62,CS62)</f>
        <v>0</v>
      </c>
      <c r="CY62" s="51">
        <f ca="1">CW62*F62</f>
        <v>0</v>
      </c>
      <c r="CZ62" s="51">
        <f ca="1">IF($CU62&gt;$CR62,$CR62,$CU62)</f>
        <v>0</v>
      </c>
      <c r="DA62" s="51">
        <f ca="1">IF(CV62&gt;CR62,CR62,CV62)</f>
        <v>0</v>
      </c>
      <c r="DB62" s="51">
        <f ca="1">DA62*F62</f>
        <v>0</v>
      </c>
      <c r="DC62" s="993">
        <v>1</v>
      </c>
      <c r="DD62" s="758" t="str">
        <f>IF(OR(D62=BG$12,D62=BG$13),"External",IF(D62=BG$14,"Internal"," "))</f>
        <v xml:space="preserve"> </v>
      </c>
      <c r="DE62" s="51" t="str">
        <f t="shared" ca="1" si="4"/>
        <v/>
      </c>
      <c r="DF62" s="52" t="str">
        <f t="shared" ca="1" si="5"/>
        <v xml:space="preserve"> </v>
      </c>
      <c r="DG62" s="51">
        <f ca="1">IF(F62&lt;OFFSET($BM$9,CN62-1,0,1,1),0,IF(F62&lt;OFFSET($BN$9,CN62-1,0,1,1),((F62-OFFSET($BM$9,CN62-1,0,1,1))*OFFSET($CH$9,CN62-1,0,1,1))+OFFSET($BO$9,CN62-1,CQ62,1,1),IF(F62&lt;OFFSET($BN$9,CN62+0,0,1,1),((F62-OFFSET($BM$9,CN62+0,0,1,1))*OFFSET($CH$9,CN62+0,0,1,1))+OFFSET($BO$9,CN62+0,CQ62,1,1),IF(F62&lt;OFFSET($BN$9,CN62+1,0,1,1),((F62-OFFSET($BM$9,CN62+1,0,1,1))*OFFSET($CH$9,CN62+1,0,1,1))+OFFSET($BO$9,CN62+1,CQ62,1,1),IF(F62&lt;OFFSET($BN$9,CN62+2,0,1,1),((F62-OFFSET($BM$9,CN62+2,0,1,1))*OFFSET($CH$9,CN62+2,0,1,1))+OFFSET($BO$9,CN62+2,CQ62,1,1),IF(F62&lt;OFFSET($BN$9,CN62+3,0,1,1),((F62-OFFSET($BM$9,CN62+3,0,1,1))*OFFSET($CH$9,CN62+3,0,1,1))+OFFSET($BO$9,CN62+3,CQ62,1,1),0))))))</f>
        <v>0</v>
      </c>
      <c r="DH62" s="51">
        <f ca="1">IF($F62&lt;OFFSET($BM$9,$CN62-1,0,1,1),0,IF($F62&lt;OFFSET($BN$9,$CN62-1,0,1,1),IF(AND($H62&gt;2.4,Z62&lt;&gt;"e",Z62&lt;&gt;"f"),DL62*2.4/$H62,DL62),IF($F62&lt;OFFSET($BN$9,$CN62+0,0,1,1),IF(AND($H62&gt;2.4,Z62&lt;&gt;"e",Z62&lt;&gt;"f"),DL62*2.4/$H62,DL62),IF($F62&lt;OFFSET($BN$9,$CN62+1,0,1,1),IF(AND($H62&gt;2.4,Z62&lt;&gt;"e",Z62&lt;&gt;"f"),DL62*2.4/$H62,DL62),IF($F62&lt;OFFSET($BN$9,$CN62+2,0,1,1),IF(AND($H62&gt;2.4,Z62&lt;&gt;"e",Z62&lt;&gt;"f"),DL62*2.4/$H62,DL62),IF($F62&lt;OFFSET($BN$9,$CN62+3,0,1,1),IF(AND($H62&gt;2.4,Z62&lt;&gt;"e",Z62&lt;&gt;"f"),DL62*2.4/$H62,DL62),0)))))*COS(RADIANS($G62)))</f>
        <v>0</v>
      </c>
      <c r="DI62" s="51">
        <f ca="1">IF(F62&lt;OFFSET($BM$9,CN62-1,0,1,1),0,IF(F62&lt;OFFSET($BN$9,CN62-1,0,1,1),((F62-OFFSET($BM$9,CN62-1,0,1,1))*OFFSET($CI$9,CN62-1,0,1,1))+OFFSET($BP$9,CN62-1,CQ62,1,1),IF(F62&lt;OFFSET($BN$9,CN62+0,0,1,1),((F62-OFFSET($BM$9,CN62+0,0,1,1))*OFFSET($CI$9,CN62+0,0,1,1))+OFFSET($BP$9,CN62+0,CQ62,1,1),IF(F62&lt;OFFSET($BN$9,CN62+1,0,1,1),((F62-OFFSET($BM$9,CN62+1,0,1,1))*OFFSET($CI$9,CN62+1,0,1,1))+OFFSET($BP$9,CN62+1,CQ62,1,1),IF(F62&lt;OFFSET($BN$9,CN62+2,0,1,1),((F62-OFFSET($BM$9,CN62+2,0,1,1))*OFFSET($CI$9,CN62+2,0,1,1))+OFFSET($BP$9,CN62+2,CQ62,1,1),IF(F62&lt;OFFSET($BN$9,CN62+3,0,1,1),((F62-OFFSET($BM$9,CN62+3,0,1,1))*OFFSET($CI$9,CN62+3,0,1,1))+OFFSET($BP$9,CN62+3,CQ62,1,1),0))))))</f>
        <v>0</v>
      </c>
      <c r="DJ62" s="51">
        <f ca="1">IF($F62&lt;OFFSET($BM$9,$CN62-1,0,1,1),0,IF($F62&lt;OFFSET($BN$9,$CN62-1,0,1,1),IF(AND($H62&gt;2.4,Z62&lt;&gt;"e",Z62&lt;&gt;"f"),DN62*2.4/$H62,DN62),IF($F62&lt;OFFSET($BN$9,$CN62+0,0,1,1),IF(AND($H62&gt;2.4,Z62&lt;&gt;"e",Z62&lt;&gt;"f"),DN62*2.4/$H62,DN62),IF($F62&lt;OFFSET($BN$9,$CN62+1,0,1,1),IF(AND($H62&gt;2.4,Z62&lt;&gt;"e",Z62&lt;&gt;"f"),DN62*2.4/$H62,DN62),IF($F62&lt;OFFSET($BN$9,$CN62+2,0,1,1),IF(AND($H62&gt;2.4,Z62&lt;&gt;"e",Z62&lt;&gt;"f"),DN62*2.4/$H62,DN62),IF($F62&lt;OFFSET($BN$9,$CN62+3,0,1,1),IF(AND($H62&gt;2.4,Z62&lt;&gt;"e",Z62&lt;&gt;"f"),DN62*2.4/$H62,DN62),0)))))*COS(RADIANS($G62)))</f>
        <v>0</v>
      </c>
      <c r="DK62" s="51"/>
      <c r="DL62" s="51">
        <f ca="1">IF(DG62&gt;$CR62,$CR62,DG62)</f>
        <v>0</v>
      </c>
      <c r="DM62" s="51"/>
      <c r="DN62" s="51">
        <f ca="1">IF(DI62&gt;$CR62,$CR62,DI62)</f>
        <v>0</v>
      </c>
      <c r="DO62" s="435">
        <f ca="1">IF(DH62&gt;$CR62,$CR62,DH62)</f>
        <v>0</v>
      </c>
      <c r="DP62" s="435">
        <f ca="1">DO62*F62</f>
        <v>0</v>
      </c>
      <c r="DQ62" s="436">
        <f ca="1">IF(DJ62&gt;$CR62,$CR62,DJ62)</f>
        <v>0</v>
      </c>
      <c r="DR62" s="437">
        <f ca="1">DQ62*F62</f>
        <v>0</v>
      </c>
      <c r="DS62" s="426">
        <f ca="1">OFFSET($CH$9,CL62-1,-15,1,1)</f>
        <v>0</v>
      </c>
      <c r="DT62" s="426">
        <f t="shared" ca="1" si="36"/>
        <v>0</v>
      </c>
      <c r="DU62" s="188">
        <f ca="1">IF(F62&lt;OFFSET($BM$9,DT62-1,0,1,1),0,IF(F62&lt;OFFSET($BN$9,DT62-1,0,1,1),((F62-OFFSET($BM$9,DT62-1,0,1,1))*OFFSET($CH$9,DT62-1,0,1,1))+OFFSET($BO$9,DT62-1,CQ62,1,1),IF(F62&lt;OFFSET($BN$9,DT62+0,0,1,1),((F62-OFFSET($BM$9,DT62+0,0,1,1))*OFFSET($CH$9,DT62+0,0,1,1))+OFFSET($BO$9,DT62+0,CQ62,1,1),IF(F62&lt;OFFSET($BN$9,DT62+1,0,1,1),((F62-OFFSET($BM$9,DT62+1,0,1,1))*OFFSET($CH$9,DT62+1,0,1,1))+OFFSET($BO$9,DT62+1,CQ62,1,1),IF(F62&lt;OFFSET($BN$9,DT62+2,0,1,1),((F62-OFFSET($BM$9,DT62+2,0,1,1))*OFFSET($CH$9,DT62+2,0,1,1))+OFFSET($BO$9,DT62+2,CQ62,1,1),IF(F62&lt;OFFSET($BN$9,DT62+3,0,1,1),((F62-OFFSET($BM$9,DT62+3,0,1,1))*OFFSET($CH$9,DT62+3,0,1,1))+OFFSET($BO$9,DT62+3,CQ62,1,1),0))))))</f>
        <v>0</v>
      </c>
      <c r="DV62" s="51">
        <f ca="1">IF($F62&lt;OFFSET($BM$9,$DT62-1,0,1,1),0,IF($F62&lt;OFFSET($BN$9,$DT62-1,0,1,1),IF(AND($H62&gt;2.4,Z62&lt;&gt;"e",Z62&lt;&gt;"f"),DZ62*2.4/$H62,DZ62),IF($F62&lt;OFFSET($BN$9,$DT62+0,0,1,1),IF(AND($H62&gt;2.4,Z62&lt;&gt;"e",Z62&lt;&gt;"f"),DZ62*2.4/$H62,DZ62),IF($F62&lt;OFFSET($BN$9,$DT62+1,0,1,1),IF(AND($H62&gt;2.4,Z62&lt;&gt;"e",Z62&lt;&gt;"f"),DZ62*2.4/$H62,DZ62),IF($F62&lt;OFFSET($BN$9,$DT62+2,0,1,1),IF(AND($H62&gt;2.4,Z62&lt;&gt;"e",Z62&lt;&gt;"f"),DZ62*2.4/$H62,DZ62),IF($F62&lt;OFFSET($BN$9,$DT62+3,0,1,1),IF(AND($H62&gt;2.4,Z62&lt;&gt;"e",Z62&lt;&gt;"f"),DZ62*2.4/$H62,DZ62),0)))))*COS(RADIANS($G62)))</f>
        <v>0</v>
      </c>
      <c r="DW62" s="188">
        <f ca="1">IF(F62&lt;OFFSET($BM$9,DT62-1,0,1,1),0,IF(F62&lt;OFFSET($BN$9,DT62-1,0,1,1),((F62-OFFSET($BM$9,DT62-1,0,1,1))*OFFSET($CI$9,DT62-1,0,1,1))+OFFSET($BP$9,DT62-1,CQ62,1,1),IF(F62&lt;OFFSET($BN$9,DT62+0,0,1,1),((F62-OFFSET($BM$9,DT62+0,0,1,1))*OFFSET($CI$9,DT62+0,0,1,1))+OFFSET($BP$9,DT62+0,CQ62,1,1),IF(F62&lt;OFFSET($BN$9,DT62+1,0,1,1),((F62-OFFSET($BM$9,DT62+1,0,1,1))*OFFSET($CI$9,DT62+1,0,1,1))+OFFSET($BP$9,DT62+1,CQ62,1,1),IF(F62&lt;OFFSET($BN$9,DT62+2,0,1,1),((F62-OFFSET($BM$9,DT62+2,0,1,1))*OFFSET($CI$9,DT62+2,0,1,1))+OFFSET($BP$9,DT62+2,CQ62,1,1),IF(F62&lt;OFFSET($BN$9,DT62+3,0,1,1),((F62-OFFSET($BM$9,DT62+3,0,1,1))*OFFSET($CI$9,DT62+3,0,1,1))+OFFSET($BP$9,DT62+3,CQ62,1,1),0))))))</f>
        <v>0</v>
      </c>
      <c r="DX62" s="51">
        <f ca="1">IF($F62&lt;OFFSET($BM$9,$DT62-1,0,1,1),0,IF($F62&lt;OFFSET($BN$9,$DT62-1,0,1,1),IF(AND($H62&gt;2.4,Z62&lt;&gt;"e",Z62&lt;&gt;"f"),EB62*2.4/$H62,EB62),IF($F62&lt;OFFSET($BN$9,$DT62+0,0,1,1),IF(AND($H62&gt;2.4,Z62&lt;&gt;"e",Z62&lt;&gt;"f"),EB62*2.4/$H62,EB62),IF($F62&lt;OFFSET($BN$9,$DT62+1,0,1,1),IF(AND($H62&gt;2.4,Z62&lt;&gt;"e",Z62&lt;&gt;"f"),EB62*2.4/$H62,EB62),IF($F62&lt;OFFSET($BN$9,$DT62+2,0,1,1),IF(AND($H62&gt;2.4,Z62&lt;&gt;"e",Z62&lt;&gt;"f"),EB62*2.4/$H62,EB62),IF($F62&lt;OFFSET($BN$9,$DT62+3,0,1,1),IF(AND($H62&gt;2.4,Z62&lt;&gt;"e",Z62&lt;&gt;"f"),EB62*2.4/$H62,EB62),0)))))*COS(RADIANS($G62)))</f>
        <v>0</v>
      </c>
      <c r="DY62" s="188"/>
      <c r="DZ62" s="188">
        <f ca="1">IF(DU62&gt;$CR62,$CR62,DU62)</f>
        <v>0</v>
      </c>
      <c r="EA62" s="188"/>
      <c r="EB62" s="188">
        <f ca="1">IF(DW62&gt;$CR62,$CR62,DW62)</f>
        <v>0</v>
      </c>
      <c r="EC62" s="435">
        <f ca="1">IF(DV62&gt;$CR62,$CR62,DV62)</f>
        <v>0</v>
      </c>
      <c r="ED62" s="435">
        <f ca="1">EC62*F62</f>
        <v>0</v>
      </c>
      <c r="EE62" s="436">
        <f ca="1">IF(DX62&gt;$CR62,$CR62,DX62)</f>
        <v>0</v>
      </c>
      <c r="EF62" s="437">
        <f ca="1">EE62*F62</f>
        <v>0</v>
      </c>
      <c r="EG62" s="613" t="str">
        <f>IF(D62=BG$12,BG$12,"")</f>
        <v/>
      </c>
      <c r="EH62" s="614" t="str">
        <f>IF(D62=BG$13,BG$13,"")</f>
        <v/>
      </c>
      <c r="EI62" s="611">
        <f>IF(EG62=BG$12,M62,0)</f>
        <v>0</v>
      </c>
      <c r="EJ62" s="451">
        <f>IF(EG62=BG$12,O62,0)</f>
        <v>0</v>
      </c>
      <c r="EK62" s="451">
        <f>IF(EH62=BG$13,M62,0)</f>
        <v>0</v>
      </c>
      <c r="EL62" s="612">
        <f>IF(EH62=BG$13,O62,0)</f>
        <v>0</v>
      </c>
      <c r="EM62" s="426" t="str">
        <f ca="1">IF(AND(Z62&lt;&gt;"t",Z62&lt;&gt;"f"),"",IF(AND(EN62=$BH$11,K62&lt;&gt;EN62),EM$4,IF(AND(EN62=$BH$12,K62=$BH$13),EM$4,IF(AND(EN62=$BH$12,K62=$BH$14),EM$4,IF(AND(EN62=$BH$13,K62=$BH$14),$EM$4,IF(EN62=$BH$14,$EM$4,""))))))</f>
        <v/>
      </c>
      <c r="EN62" s="489" t="str">
        <f>BG$24</f>
        <v>Earth</v>
      </c>
      <c r="EO62" s="426" t="str">
        <f>K62</f>
        <v xml:space="preserve"> </v>
      </c>
      <c r="EP62" s="497" t="str">
        <f ca="1">IF(AND(Z62&lt;&gt;"t",Z62&lt;&gt;"f"),"",IF(AND(EN62=$BH$14,K62&lt;&gt;EN62),EP$4,IF(AND(EN62=$BH$13,K62=$BH$12),EP$4,IF(AND(EN62=$BH$13,K62=$BH$11),EP$4,IF(AND(EN62=$BH$12,K62=$BH$11),$EP$4,IF(EN62=$BH$11,"Earth",""))))))</f>
        <v/>
      </c>
      <c r="EQ62" s="430" t="str">
        <f ca="1">IF(Z62&lt;&gt;"t","",IF(EQ$5=2,IF(K62&lt;&gt;BH$11,EQ$7," ")))</f>
        <v/>
      </c>
      <c r="ER62" s="439" t="str">
        <f ca="1">IF(H62=0," ",H62)</f>
        <v xml:space="preserve"> </v>
      </c>
      <c r="ES62" s="440" t="str">
        <f ca="1">IF(ER62&lt;&gt;" ",IF(ER62&lt;&gt;ER$7,"Changed",""),"")</f>
        <v/>
      </c>
      <c r="ET62" s="440">
        <f t="shared" ca="1" si="19"/>
        <v>0</v>
      </c>
      <c r="EU62" s="426" t="str">
        <f ca="1">IF(I62=" "," ",IF(F62&lt;OFFSET($BM$9,CL62-1,0,1,1),1,""))</f>
        <v xml:space="preserve"> </v>
      </c>
      <c r="EW62" s="427"/>
    </row>
    <row r="63" spans="1:153" ht="17.100000000000001" customHeight="1" thickBot="1">
      <c r="A63" s="2685"/>
      <c r="B63" s="689" t="s">
        <v>246</v>
      </c>
      <c r="C63" s="684" t="str">
        <f>IF(OR(F63=0,I63="",I63=" ")," ",$V63)</f>
        <v xml:space="preserve"> </v>
      </c>
      <c r="D63" s="1033"/>
      <c r="E63" s="1360" t="s">
        <v>8</v>
      </c>
      <c r="F63" s="202"/>
      <c r="G63" s="1416"/>
      <c r="H63" s="1417" t="str">
        <f ca="1">IF(OR(F63=0,Z63="E",Z63="f")," ",'Project Demand'!E$55)</f>
        <v xml:space="preserve"> </v>
      </c>
      <c r="I63" s="631" t="str">
        <f>IF($I$6&lt;&gt;$BG$8," ",AB63)</f>
        <v xml:space="preserve"> </v>
      </c>
      <c r="J63" s="44" t="str">
        <f ca="1">IF(OR(I63=" ",I63="")," ",OFFSET($BO$9,CL63-1,0-4,1,1))</f>
        <v xml:space="preserve"> </v>
      </c>
      <c r="K63" s="55" t="str">
        <f>IF(OR(I63=" ",I63="")," ",IF(OR(Z63="e",Z63="h"),"SD",IF(BG$24=BH$11,BH$13,BG$24)))</f>
        <v xml:space="preserve"> </v>
      </c>
      <c r="L63" s="49">
        <f ca="1">CW63</f>
        <v>0</v>
      </c>
      <c r="M63" s="49">
        <f ca="1">CY63</f>
        <v>0</v>
      </c>
      <c r="N63" s="50">
        <f t="shared" ca="1" si="45"/>
        <v>0</v>
      </c>
      <c r="O63" s="126">
        <f t="shared" ca="1" si="45"/>
        <v>0</v>
      </c>
      <c r="P63" s="140"/>
      <c r="Q63" s="752" t="str">
        <f ca="1">IF(AND(OR(Z63="t",Z63="f"),K63=$BH$11),"No Floor!  Change Floor Type",IF(OR(I63=" ",I63="")," ",IF(F63&lt;OFFSET($BM$9,CL63-1,0,1,1),"check L(m)",DE63&amp;IF(AND(DP63&gt;=CY63,DR63&gt;=DB63),IF(AND(ED63&gt;=DP63,EF63&gt;=DR63),CONCATENATE(DS63," will provide same result"),CONCATENATE(CO63," will provide same result")),IF((DP63&gt;=CY63),CONCATENATE(CO63," provides same result in WIND"),IF((DR63&gt;=DB63),CONCATENATE(CO63," provides same result in EQ"),""))))))&amp;IF(ISERROR(FIND("pile",I63,1)),"",IF(INT(F63)&lt;&gt;F63,"Pile!  Use Whole Numbers Only",""))</f>
        <v xml:space="preserve"> </v>
      </c>
      <c r="R63" s="52"/>
      <c r="S63" s="1372"/>
      <c r="T63" s="1372"/>
      <c r="U63" s="1377"/>
      <c r="V63" s="52" t="str">
        <f ca="1">IF(AND(B$5=$BF$9,OR(I63=BH$16,I63=BH$17))," ",IF(ISNUMBER(B$62),(CONCATENATE(B$62,".",W63)),(CONCATENATE(B$62,W63))))</f>
        <v>V0</v>
      </c>
      <c r="W63" s="9">
        <f ca="1">W62+X63</f>
        <v>0</v>
      </c>
      <c r="X63" s="9">
        <f>IF(AND(B$5=$BF$9,OR($I63=$BH$16,$I63=$BH$17,$I63=" ",$I63="",$F63=0)),0,IF(OR($I63=" ",$I63="",$F63=0),0,1))</f>
        <v>0</v>
      </c>
      <c r="Y63" s="896"/>
      <c r="Z63" s="52" t="str">
        <f ca="1">IF(I63=" "," ",OFFSET($BM$9,$CL63-1,8,1,1))</f>
        <v xml:space="preserve"> </v>
      </c>
      <c r="AA63" s="51" t="str">
        <f>IF(G63&gt;=45,"WA","")</f>
        <v/>
      </c>
      <c r="AB63" s="1364" t="str">
        <f>IF(OR(E63=" ",E63="")," ",(IF(F63&lt;&gt;"",IF(OR(D63=$BG$12,D63=$BG$13),IF(E63&lt;&gt;$BG$17,$BF$20,$BF$21),IF(E63&lt;&gt;$BG$17,$BF$20,$BF$21))," ")))</f>
        <v xml:space="preserve"> </v>
      </c>
      <c r="AC63" s="1"/>
      <c r="AJ63" s="2"/>
      <c r="AK63" s="63" t="str">
        <f>'Custom Elements'!B24</f>
        <v xml:space="preserve">  </v>
      </c>
      <c r="AL63" s="860" t="str">
        <f>'Custom Elements'!C24</f>
        <v>Custom16</v>
      </c>
      <c r="AM63" s="11">
        <f>'Custom Elements'!D24</f>
        <v>9.9999999999999996E-76</v>
      </c>
      <c r="AN63" s="7">
        <f>'Custom Elements'!E24</f>
        <v>0</v>
      </c>
      <c r="AO63" s="7">
        <f>'Custom Elements'!F24</f>
        <v>0</v>
      </c>
      <c r="AP63" s="762" t="str">
        <f>'Custom Elements'!G24</f>
        <v>B</v>
      </c>
      <c r="AQ63" s="1777" t="str">
        <f>'Custom Elements'!H24</f>
        <v>Single</v>
      </c>
      <c r="AR63" s="1775" t="str">
        <f>'Custom Elements'!I24</f>
        <v>Yes</v>
      </c>
      <c r="AS63" s="442" t="str">
        <f>'Custom Elements'!J24</f>
        <v>Yes</v>
      </c>
      <c r="AT63" s="1155"/>
      <c r="AU63"/>
      <c r="AW63"/>
      <c r="AY63"/>
      <c r="AZ63" s="442" t="str">
        <f>IF(AND('Custom Elements'!J24="Yes",'Custom Elements'!I24="Yes"),"T",IF('Custom Elements'!J24="Yes","F",IF('Custom Elements'!I24="Yes","H","E")))</f>
        <v>T</v>
      </c>
      <c r="BA63" s="1"/>
      <c r="BB63" s="1"/>
      <c r="BC63" s="1"/>
      <c r="BD63" s="641"/>
      <c r="BE63" s="1020"/>
      <c r="BF63" s="1020"/>
      <c r="BG63" s="1020"/>
      <c r="BH63" s="479"/>
      <c r="BI63" s="759"/>
      <c r="BJ63" s="897">
        <f t="shared" si="37"/>
        <v>55</v>
      </c>
      <c r="BK63" s="764"/>
      <c r="BL63" s="766"/>
      <c r="BM63" s="455">
        <f>Table!P5</f>
        <v>0.6</v>
      </c>
      <c r="BN63" s="455">
        <f>BM64</f>
        <v>0.8</v>
      </c>
      <c r="BO63" s="455">
        <f>Table!Q5</f>
        <v>95</v>
      </c>
      <c r="BP63" s="925">
        <f>Table!R5</f>
        <v>80</v>
      </c>
      <c r="BR63" s="764"/>
      <c r="BS63" s="455"/>
      <c r="BT63" s="455"/>
      <c r="BU63" s="925" t="s">
        <v>242</v>
      </c>
      <c r="BV63" s="895"/>
      <c r="BW63" s="912"/>
      <c r="BX63" s="925" t="str">
        <f>Table!T5</f>
        <v>Single</v>
      </c>
      <c r="CH63" s="764">
        <f>IF(BN63=999,0,(BO64-BO63)/(BN63-BM63))</f>
        <v>0</v>
      </c>
      <c r="CI63" s="925">
        <f>IF(BN63=999,0,(BP64-BP63)/(BN63-BM63))</f>
        <v>14.999999999999995</v>
      </c>
      <c r="CJ63" s="759"/>
      <c r="CK63" s="188"/>
      <c r="CL63" s="979">
        <f>VLOOKUP(I63,Prodlink,2,0)</f>
        <v>0</v>
      </c>
      <c r="CN63" s="497">
        <f t="shared" ca="1" si="35"/>
        <v>0</v>
      </c>
      <c r="CO63" s="497">
        <f ca="1">OFFSET($CH$9,CL63-1,-15,1,1)</f>
        <v>0</v>
      </c>
      <c r="CQ63" s="51">
        <v>0</v>
      </c>
      <c r="CR63" s="51">
        <f t="shared" ref="CR63:CR66" ca="1" si="46">IF(AND(Z63&lt;&gt;"t",Z63&lt;&gt;"f"),10000,IF(K63=$BH$11,0,IF(K63=$BH$12,$BH$23,IF(K63=$BH$13,$BH$24,10000))))</f>
        <v>10000</v>
      </c>
      <c r="CS63" s="51">
        <f ca="1">IF(F63&lt;OFFSET($BM$9,CL63-1,0,1,1),0,IF(F63&lt;OFFSET($BN$9,CL63-1,0,1,1),((F63-OFFSET($BM$9,CL63-1,0,1,1))*OFFSET($CH$9,CL63-1,0,1,1))+OFFSET($BO$9,CL63-1,CQ63,1,1),IF(F63&lt;OFFSET($BN$9,CL63+0,0,1,1),((F63-OFFSET($BM$9,CL63+0,0,1,1))*OFFSET($CH$9,CL63+0,0,1,1))+OFFSET($BO$9,CL63+0,CQ63,1,1),IF(F63&lt;OFFSET($BN$9,CL63+1,0,1,1),((F63-OFFSET($BM$9,CL63+1,0,1,1))*OFFSET($CH$9,CL63+1,0,1,1))+OFFSET($BO$9,CL63+1,CQ63,1,1),IF(F63&lt;OFFSET($BN$9,CL63+2,0,1,1),((F63-OFFSET($BM$9,CL63+2,0,1,1))*OFFSET($CH$9,CL63+2,0,1,1))+OFFSET($BO$9,CL63+2,CQ63,1,1),IF(F63&lt;OFFSET($BN$9,CL63+3,0,1,1),((F63-OFFSET($BM$9,CL63+3,0,1,1))*OFFSET($CH$9,CL63+3,0,1,1))+OFFSET($BO$9,CL63+3,CQ63,1,1),0))))))</f>
        <v>0</v>
      </c>
      <c r="CT63" s="51">
        <f ca="1">IF($F63&lt;OFFSET($BM$9,$CL63-1,0,1,1),0,IF($F63&lt;OFFSET($BN$9,$CL63-1,0,1,1),IF(AND($H63&gt;2.4,Z63&lt;&gt;"e",Z63&lt;&gt;"f"),CX63*2.4/$H63,CX63),IF($F63&lt;OFFSET($BN$9,$CL63+0,0,1,1),IF(AND($H63&gt;2.4,Z63&lt;&gt;"e",Z63&lt;&gt;"f"),CX63*2.4/$H63,CX63),IF($F63&lt;OFFSET($BN$9,$CL63+1,0,1,1),IF(AND($H63&gt;2.4,Z63&lt;&gt;"e",Z63&lt;&gt;"f"),CX63*2.4/$H63,CX63),IF($F63&lt;OFFSET($BN$9,CL63+2,0,1,1),IF(AND($H63&gt;2.4,Z63&lt;&gt;"e",Z63&lt;&gt;"f"),CX63*2.4/$H63,CX63),IF($F63&lt;OFFSET($BN$9,CL63+3,0,1,1),IF(AND($H63&gt;2.4,Z63&lt;&gt;"e",Z63&lt;&gt;"f"),CX63*2.4/$H63,CX63),0)))))*COS(RADIANS($G63)))</f>
        <v>0</v>
      </c>
      <c r="CU63" s="51">
        <f ca="1">IF(F63&lt;OFFSET($BM$9,CL63-1,0,1,1),0,IF(F63&lt;OFFSET($BN$9,CL63-1,0,1,1),((F63-OFFSET($BM$9,CL63-1,0,1,1))*OFFSET($CI$9,CL63-1,0,1,1))+OFFSET($BP$9,CL63-1,CQ63,1,1),IF(F63&lt;OFFSET($BN$9,CL63+0,0,1,1),((F63-OFFSET($BM$9,CL63+0,0,1,1))*OFFSET($CI$9,CL63+0,0,1,1))+OFFSET($BP$9,CL63+0,CQ63,1,1),IF(F63&lt;OFFSET($BN$9,CL63+1,0,1,1),((F63-OFFSET($BM$9,CL63+1,0,1,1))*OFFSET($CI$9,CL63+1,0,1,1))+OFFSET($BP$9,CL63+1,CQ63,1,1),IF(F63&lt;OFFSET($BN$9,CL63+2,0,1,1),((F63-OFFSET($BM$9,CL63+2,0,1,1))*OFFSET($CI$9,CL63+2,0,1,1))+OFFSET($BP$9,CL63+2,CQ63,1,1),IF(F63&lt;OFFSET($BN$9,CL63+3,0,1,1),((F63-OFFSET($BM$9,CL63+3,0,1,1))*OFFSET($CI$9,CL63+3,0,1,1))+OFFSET($BP$9,CL63+3,CQ63,1,1),0))))))</f>
        <v>0</v>
      </c>
      <c r="CV63" s="51">
        <f ca="1">IF($F63&lt;OFFSET($BM$9,$CL63-1,0,1,1),0,IF($F63&lt;OFFSET($BN$9,$CL63-1,0,1,1),IF(AND($H63&gt;2.4,Z63&lt;&gt;"e",Z63&lt;&gt;"f"),CZ63*2.4/$H63,CZ63),IF($F63&lt;OFFSET($BN$9,$CL63+0,0,1,1),IF(AND($H63&gt;2.4,Z63&lt;&gt;"e",Z63&lt;&gt;"f"),CZ63*2.4/$H63,CZ63),IF($F63&lt;OFFSET($BN$9,$CL63+1,0,1,1),IF(AND($H63&gt;2.4,Z63&lt;&gt;"e",Z63&lt;&gt;"f"),CZ63*2.4/$H63,CZ63),IF($F63&lt;OFFSET($BN$9,$CL63+2,0,1,1),IF(AND($H63&gt;2.4,Z63&lt;&gt;"e",Z63&lt;&gt;"f"),CZ63*2.4/$H63,CZ63),IF($F63&lt;OFFSET($BN$9,$CL63+3,0,1,1),IF(AND($H63&gt;2.4,Z63&lt;&gt;"e",Z63&lt;&gt;"f"),CZ63*2.4/$H63,CZ63),0)))))*COS(RADIANS($G63)))</f>
        <v>0</v>
      </c>
      <c r="CW63" s="51">
        <f t="shared" ca="1" si="18"/>
        <v>0</v>
      </c>
      <c r="CX63" s="51">
        <f ca="1">IF(CS63&gt;$CR63,$CR63,CS63)</f>
        <v>0</v>
      </c>
      <c r="CY63" s="51">
        <f ca="1">CW63*F63</f>
        <v>0</v>
      </c>
      <c r="CZ63" s="51">
        <f ca="1">IF($CU63&gt;$CR63,$CR63,$CU63)</f>
        <v>0</v>
      </c>
      <c r="DA63" s="51">
        <f ca="1">IF(CV63&gt;CR63,CR63,CV63)</f>
        <v>0</v>
      </c>
      <c r="DB63" s="51">
        <f ca="1">DA63*F63</f>
        <v>0</v>
      </c>
      <c r="DC63" s="993">
        <v>1</v>
      </c>
      <c r="DD63" s="758" t="str">
        <f>IF(OR(D63=BG$12,D63=BG$13),"External",IF(D63=BG$14,"Internal"," "))</f>
        <v xml:space="preserve"> </v>
      </c>
      <c r="DE63" s="51" t="str">
        <f t="shared" ca="1" si="4"/>
        <v/>
      </c>
      <c r="DF63" s="52" t="str">
        <f t="shared" ca="1" si="5"/>
        <v xml:space="preserve"> </v>
      </c>
      <c r="DG63" s="51">
        <f ca="1">IF(F63&lt;OFFSET($BM$9,CN63-1,0,1,1),0,IF(F63&lt;OFFSET($BN$9,CN63-1,0,1,1),((F63-OFFSET($BM$9,CN63-1,0,1,1))*OFFSET($CH$9,CN63-1,0,1,1))+OFFSET($BO$9,CN63-1,CQ63,1,1),IF(F63&lt;OFFSET($BN$9,CN63+0,0,1,1),((F63-OFFSET($BM$9,CN63+0,0,1,1))*OFFSET($CH$9,CN63+0,0,1,1))+OFFSET($BO$9,CN63+0,CQ63,1,1),IF(F63&lt;OFFSET($BN$9,CN63+1,0,1,1),((F63-OFFSET($BM$9,CN63+1,0,1,1))*OFFSET($CH$9,CN63+1,0,1,1))+OFFSET($BO$9,CN63+1,CQ63,1,1),IF(F63&lt;OFFSET($BN$9,CN63+2,0,1,1),((F63-OFFSET($BM$9,CN63+2,0,1,1))*OFFSET($CH$9,CN63+2,0,1,1))+OFFSET($BO$9,CN63+2,CQ63,1,1),IF(F63&lt;OFFSET($BN$9,CN63+3,0,1,1),((F63-OFFSET($BM$9,CN63+3,0,1,1))*OFFSET($CH$9,CN63+3,0,1,1))+OFFSET($BO$9,CN63+3,CQ63,1,1),0))))))</f>
        <v>0</v>
      </c>
      <c r="DH63" s="51">
        <f ca="1">IF($F63&lt;OFFSET($BM$9,$CN63-1,0,1,1),0,IF($F63&lt;OFFSET($BN$9,$CN63-1,0,1,1),IF(AND($H63&gt;2.4,Z63&lt;&gt;"e",Z63&lt;&gt;"f"),DL63*2.4/$H63,DL63),IF($F63&lt;OFFSET($BN$9,$CN63+0,0,1,1),IF(AND($H63&gt;2.4,Z63&lt;&gt;"e",Z63&lt;&gt;"f"),DL63*2.4/$H63,DL63),IF($F63&lt;OFFSET($BN$9,$CN63+1,0,1,1),IF(AND($H63&gt;2.4,Z63&lt;&gt;"e",Z63&lt;&gt;"f"),DL63*2.4/$H63,DL63),IF($F63&lt;OFFSET($BN$9,$CN63+2,0,1,1),IF(AND($H63&gt;2.4,Z63&lt;&gt;"e",Z63&lt;&gt;"f"),DL63*2.4/$H63,DL63),IF($F63&lt;OFFSET($BN$9,$CN63+3,0,1,1),IF(AND($H63&gt;2.4,Z63&lt;&gt;"e",Z63&lt;&gt;"f"),DL63*2.4/$H63,DL63),0)))))*COS(RADIANS($G63)))</f>
        <v>0</v>
      </c>
      <c r="DI63" s="51">
        <f ca="1">IF(F63&lt;OFFSET($BM$9,CN63-1,0,1,1),0,IF(F63&lt;OFFSET($BN$9,CN63-1,0,1,1),((F63-OFFSET($BM$9,CN63-1,0,1,1))*OFFSET($CI$9,CN63-1,0,1,1))+OFFSET($BP$9,CN63-1,CQ63,1,1),IF(F63&lt;OFFSET($BN$9,CN63+0,0,1,1),((F63-OFFSET($BM$9,CN63+0,0,1,1))*OFFSET($CI$9,CN63+0,0,1,1))+OFFSET($BP$9,CN63+0,CQ63,1,1),IF(F63&lt;OFFSET($BN$9,CN63+1,0,1,1),((F63-OFFSET($BM$9,CN63+1,0,1,1))*OFFSET($CI$9,CN63+1,0,1,1))+OFFSET($BP$9,CN63+1,CQ63,1,1),IF(F63&lt;OFFSET($BN$9,CN63+2,0,1,1),((F63-OFFSET($BM$9,CN63+2,0,1,1))*OFFSET($CI$9,CN63+2,0,1,1))+OFFSET($BP$9,CN63+2,CQ63,1,1),IF(F63&lt;OFFSET($BN$9,CN63+3,0,1,1),((F63-OFFSET($BM$9,CN63+3,0,1,1))*OFFSET($CI$9,CN63+3,0,1,1))+OFFSET($BP$9,CN63+3,CQ63,1,1),0))))))</f>
        <v>0</v>
      </c>
      <c r="DJ63" s="51">
        <f ca="1">IF($F63&lt;OFFSET($BM$9,$CN63-1,0,1,1),0,IF($F63&lt;OFFSET($BN$9,$CN63-1,0,1,1),IF(AND($H63&gt;2.4,Z63&lt;&gt;"e",Z63&lt;&gt;"f"),DN63*2.4/$H63,DN63),IF($F63&lt;OFFSET($BN$9,$CN63+0,0,1,1),IF(AND($H63&gt;2.4,Z63&lt;&gt;"e",Z63&lt;&gt;"f"),DN63*2.4/$H63,DN63),IF($F63&lt;OFFSET($BN$9,$CN63+1,0,1,1),IF(AND($H63&gt;2.4,Z63&lt;&gt;"e",Z63&lt;&gt;"f"),DN63*2.4/$H63,DN63),IF($F63&lt;OFFSET($BN$9,$CN63+2,0,1,1),IF(AND($H63&gt;2.4,Z63&lt;&gt;"e",Z63&lt;&gt;"f"),DN63*2.4/$H63,DN63),IF($F63&lt;OFFSET($BN$9,$CN63+3,0,1,1),IF(AND($H63&gt;2.4,Z63&lt;&gt;"e",Z63&lt;&gt;"f"),DN63*2.4/$H63,DN63),0)))))*COS(RADIANS($G63)))</f>
        <v>0</v>
      </c>
      <c r="DK63" s="51"/>
      <c r="DL63" s="51">
        <f ca="1">IF(DG63&gt;$CR63,$CR63,DG63)</f>
        <v>0</v>
      </c>
      <c r="DM63" s="51"/>
      <c r="DN63" s="51">
        <f ca="1">IF(DI63&gt;$CR63,$CR63,DI63)</f>
        <v>0</v>
      </c>
      <c r="DO63" s="435">
        <f ca="1">IF(DH63&gt;$CR63,$CR63,DH63)</f>
        <v>0</v>
      </c>
      <c r="DP63" s="435">
        <f ca="1">DO63*F63</f>
        <v>0</v>
      </c>
      <c r="DQ63" s="436">
        <f ca="1">IF(DJ63&gt;$CR63,$CR63,DJ63)</f>
        <v>0</v>
      </c>
      <c r="DR63" s="437">
        <f ca="1">DQ63*F63</f>
        <v>0</v>
      </c>
      <c r="DS63" s="426">
        <f ca="1">OFFSET($CH$9,CL63-1,-15,1,1)</f>
        <v>0</v>
      </c>
      <c r="DT63" s="426">
        <f t="shared" ca="1" si="36"/>
        <v>0</v>
      </c>
      <c r="DU63" s="188">
        <f ca="1">IF(F63&lt;OFFSET($BM$9,DT63-1,0,1,1),0,IF(F63&lt;OFFSET($BN$9,DT63-1,0,1,1),((F63-OFFSET($BM$9,DT63-1,0,1,1))*OFFSET($CH$9,DT63-1,0,1,1))+OFFSET($BO$9,DT63-1,CQ63,1,1),IF(F63&lt;OFFSET($BN$9,DT63+0,0,1,1),((F63-OFFSET($BM$9,DT63+0,0,1,1))*OFFSET($CH$9,DT63+0,0,1,1))+OFFSET($BO$9,DT63+0,CQ63,1,1),IF(F63&lt;OFFSET($BN$9,DT63+1,0,1,1),((F63-OFFSET($BM$9,DT63+1,0,1,1))*OFFSET($CH$9,DT63+1,0,1,1))+OFFSET($BO$9,DT63+1,CQ63,1,1),IF(F63&lt;OFFSET($BN$9,DT63+2,0,1,1),((F63-OFFSET($BM$9,DT63+2,0,1,1))*OFFSET($CH$9,DT63+2,0,1,1))+OFFSET($BO$9,DT63+2,CQ63,1,1),IF(F63&lt;OFFSET($BN$9,DT63+3,0,1,1),((F63-OFFSET($BM$9,DT63+3,0,1,1))*OFFSET($CH$9,DT63+3,0,1,1))+OFFSET($BO$9,DT63+3,CQ63,1,1),0))))))</f>
        <v>0</v>
      </c>
      <c r="DV63" s="51">
        <f ca="1">IF($F63&lt;OFFSET($BM$9,$DT63-1,0,1,1),0,IF($F63&lt;OFFSET($BN$9,$DT63-1,0,1,1),IF(AND($H63&gt;2.4,Z63&lt;&gt;"e",Z63&lt;&gt;"f"),DZ63*2.4/$H63,DZ63),IF($F63&lt;OFFSET($BN$9,$DT63+0,0,1,1),IF(AND($H63&gt;2.4,Z63&lt;&gt;"e",Z63&lt;&gt;"f"),DZ63*2.4/$H63,DZ63),IF($F63&lt;OFFSET($BN$9,$DT63+1,0,1,1),IF(AND($H63&gt;2.4,Z63&lt;&gt;"e",Z63&lt;&gt;"f"),DZ63*2.4/$H63,DZ63),IF($F63&lt;OFFSET($BN$9,$DT63+2,0,1,1),IF(AND($H63&gt;2.4,Z63&lt;&gt;"e",Z63&lt;&gt;"f"),DZ63*2.4/$H63,DZ63),IF($F63&lt;OFFSET($BN$9,$DT63+3,0,1,1),IF(AND($H63&gt;2.4,Z63&lt;&gt;"e",Z63&lt;&gt;"f"),DZ63*2.4/$H63,DZ63),0)))))*COS(RADIANS($G63)))</f>
        <v>0</v>
      </c>
      <c r="DW63" s="188">
        <f ca="1">IF(F63&lt;OFFSET($BM$9,DT63-1,0,1,1),0,IF(F63&lt;OFFSET($BN$9,DT63-1,0,1,1),((F63-OFFSET($BM$9,DT63-1,0,1,1))*OFFSET($CI$9,DT63-1,0,1,1))+OFFSET($BP$9,DT63-1,CQ63,1,1),IF(F63&lt;OFFSET($BN$9,DT63+0,0,1,1),((F63-OFFSET($BM$9,DT63+0,0,1,1))*OFFSET($CI$9,DT63+0,0,1,1))+OFFSET($BP$9,DT63+0,CQ63,1,1),IF(F63&lt;OFFSET($BN$9,DT63+1,0,1,1),((F63-OFFSET($BM$9,DT63+1,0,1,1))*OFFSET($CI$9,DT63+1,0,1,1))+OFFSET($BP$9,DT63+1,CQ63,1,1),IF(F63&lt;OFFSET($BN$9,DT63+2,0,1,1),((F63-OFFSET($BM$9,DT63+2,0,1,1))*OFFSET($CI$9,DT63+2,0,1,1))+OFFSET($BP$9,DT63+2,CQ63,1,1),IF(F63&lt;OFFSET($BN$9,DT63+3,0,1,1),((F63-OFFSET($BM$9,DT63+3,0,1,1))*OFFSET($CI$9,DT63+3,0,1,1))+OFFSET($BP$9,DT63+3,CQ63,1,1),0))))))</f>
        <v>0</v>
      </c>
      <c r="DX63" s="51">
        <f ca="1">IF($F63&lt;OFFSET($BM$9,$DT63-1,0,1,1),0,IF($F63&lt;OFFSET($BN$9,$DT63-1,0,1,1),IF(AND($H63&gt;2.4,Z63&lt;&gt;"e",Z63&lt;&gt;"f"),EB63*2.4/$H63,EB63),IF($F63&lt;OFFSET($BN$9,$DT63+0,0,1,1),IF(AND($H63&gt;2.4,Z63&lt;&gt;"e",Z63&lt;&gt;"f"),EB63*2.4/$H63,EB63),IF($F63&lt;OFFSET($BN$9,$DT63+1,0,1,1),IF(AND($H63&gt;2.4,Z63&lt;&gt;"e",Z63&lt;&gt;"f"),EB63*2.4/$H63,EB63),IF($F63&lt;OFFSET($BN$9,$DT63+2,0,1,1),IF(AND($H63&gt;2.4,Z63&lt;&gt;"e",Z63&lt;&gt;"f"),EB63*2.4/$H63,EB63),IF($F63&lt;OFFSET($BN$9,$DT63+3,0,1,1),IF(AND($H63&gt;2.4,Z63&lt;&gt;"e",Z63&lt;&gt;"f"),EB63*2.4/$H63,EB63),0)))))*COS(RADIANS($G63)))</f>
        <v>0</v>
      </c>
      <c r="DY63" s="188"/>
      <c r="DZ63" s="188">
        <f ca="1">IF(DU63&gt;$CR63,$CR63,DU63)</f>
        <v>0</v>
      </c>
      <c r="EA63" s="188"/>
      <c r="EB63" s="188">
        <f ca="1">IF(DW63&gt;$CR63,$CR63,DW63)</f>
        <v>0</v>
      </c>
      <c r="EC63" s="435">
        <f ca="1">IF(DV63&gt;$CR63,$CR63,DV63)</f>
        <v>0</v>
      </c>
      <c r="ED63" s="435">
        <f ca="1">EC63*F63</f>
        <v>0</v>
      </c>
      <c r="EE63" s="436">
        <f ca="1">IF(DX63&gt;$CR63,$CR63,DX63)</f>
        <v>0</v>
      </c>
      <c r="EF63" s="437">
        <f ca="1">EE63*F63</f>
        <v>0</v>
      </c>
      <c r="EG63" s="613" t="str">
        <f>IF(D63=BG$12,BG$12,"")</f>
        <v/>
      </c>
      <c r="EH63" s="614" t="str">
        <f>IF(D63=BG$13,BG$13,"")</f>
        <v/>
      </c>
      <c r="EI63" s="611">
        <f>IF(EG63=BG$12,M63,0)</f>
        <v>0</v>
      </c>
      <c r="EJ63" s="451">
        <f>IF(EG63=BG$12,O63,0)</f>
        <v>0</v>
      </c>
      <c r="EK63" s="451">
        <f>IF(EH63=BG$13,M63,0)</f>
        <v>0</v>
      </c>
      <c r="EL63" s="612">
        <f>IF(EH63=BG$13,O63,0)</f>
        <v>0</v>
      </c>
      <c r="EM63" s="426" t="str">
        <f ca="1">IF(AND(Z63&lt;&gt;"t",Z63&lt;&gt;"f"),"",IF(AND(EN63=$BH$11,K63&lt;&gt;EN63),EM$4,IF(AND(EN63=$BH$12,K63=$BH$13),EM$4,IF(AND(EN63=$BH$12,K63=$BH$14),EM$4,IF(AND(EN63=$BH$13,K63=$BH$14),$EM$4,IF(EN63=$BH$14,$EM$4,""))))))</f>
        <v/>
      </c>
      <c r="EN63" s="489" t="str">
        <f>BG$24</f>
        <v>Earth</v>
      </c>
      <c r="EO63" s="426" t="str">
        <f>K63</f>
        <v xml:space="preserve"> </v>
      </c>
      <c r="EP63" s="497" t="str">
        <f ca="1">IF(AND(Z63&lt;&gt;"t",Z63&lt;&gt;"f"),"",IF(AND(EN63=$BH$14,K63&lt;&gt;EN63),EP$4,IF(AND(EN63=$BH$13,K63=$BH$12),EP$4,IF(AND(EN63=$BH$13,K63=$BH$11),EP$4,IF(AND(EN63=$BH$12,K63=$BH$11),$EP$4,IF(EN63=$BH$11,"Earth",""))))))</f>
        <v/>
      </c>
      <c r="EQ63" s="430" t="str">
        <f ca="1">IF(Z63&lt;&gt;"t","",IF(EQ$5=2,IF(K63&lt;&gt;BH$11,EQ$7," ")))</f>
        <v/>
      </c>
      <c r="ER63" s="439" t="str">
        <f ca="1">IF(H63=0," ",H63)</f>
        <v xml:space="preserve"> </v>
      </c>
      <c r="ES63" s="440" t="str">
        <f ca="1">IF(ER63&lt;&gt;" ",IF(ER63&lt;&gt;ER$7,"Changed",""),"")</f>
        <v/>
      </c>
      <c r="ET63" s="440">
        <f t="shared" ca="1" si="19"/>
        <v>0</v>
      </c>
      <c r="EU63" s="426" t="str">
        <f ca="1">IF(I63=" "," ",IF(F63&lt;OFFSET($BM$9,CL63-1,0,1,1),1,""))</f>
        <v xml:space="preserve"> </v>
      </c>
      <c r="EW63" s="427"/>
    </row>
    <row r="64" spans="1:153" ht="17.100000000000001" customHeight="1">
      <c r="A64" s="2685"/>
      <c r="B64" s="689" t="s">
        <v>246</v>
      </c>
      <c r="C64" s="684" t="str">
        <f>IF(OR(F64=0,I64="",I64=" ")," ",$V64)</f>
        <v xml:space="preserve"> </v>
      </c>
      <c r="D64" s="1033"/>
      <c r="E64" s="1360" t="s">
        <v>8</v>
      </c>
      <c r="F64" s="202"/>
      <c r="G64" s="1416"/>
      <c r="H64" s="1417" t="str">
        <f ca="1">IF(OR(F64=0,Z64="E",Z64="f")," ",'Project Demand'!E$55)</f>
        <v xml:space="preserve"> </v>
      </c>
      <c r="I64" s="631" t="str">
        <f>IF($I$6&lt;&gt;$BG$8," ",AB64)</f>
        <v xml:space="preserve"> </v>
      </c>
      <c r="J64" s="44" t="str">
        <f ca="1">IF(OR(I64=" ",I64="")," ",OFFSET($BO$9,CL64-1,0-4,1,1))</f>
        <v xml:space="preserve"> </v>
      </c>
      <c r="K64" s="55" t="str">
        <f>IF(OR(I64=" ",I64="")," ",IF(OR(Z64="e",Z64="h"),"SD",IF(BG$24=BH$11,BH$13,BG$24)))</f>
        <v xml:space="preserve"> </v>
      </c>
      <c r="L64" s="49">
        <f ca="1">CW64</f>
        <v>0</v>
      </c>
      <c r="M64" s="49">
        <f ca="1">CY64</f>
        <v>0</v>
      </c>
      <c r="N64" s="50">
        <f t="shared" ca="1" si="45"/>
        <v>0</v>
      </c>
      <c r="O64" s="126">
        <f t="shared" ca="1" si="45"/>
        <v>0</v>
      </c>
      <c r="P64" s="140"/>
      <c r="Q64" s="752" t="str">
        <f ca="1">IF(AND(OR(Z64="t",Z64="f"),K64=$BH$11),"No Floor!  Change Floor Type",IF(OR(I64=" ",I64="")," ",IF(F64&lt;OFFSET($BM$9,CL64-1,0,1,1),"check L(m)",DE64&amp;IF(AND(DP64&gt;=CY64,DR64&gt;=DB64),IF(AND(ED64&gt;=DP64,EF64&gt;=DR64),CONCATENATE(DS64," will provide same result"),CONCATENATE(CO64," will provide same result")),IF((DP64&gt;=CY64),CONCATENATE(CO64," provides same result in WIND"),IF((DR64&gt;=DB64),CONCATENATE(CO64," provides same result in EQ"),""))))))&amp;IF(ISERROR(FIND("pile",I64,1)),"",IF(INT(F64)&lt;&gt;F64,"Pile!  Use Whole Numbers Only",""))</f>
        <v xml:space="preserve"> </v>
      </c>
      <c r="R64" s="52"/>
      <c r="S64" s="1372"/>
      <c r="T64" s="1372"/>
      <c r="U64" s="1377"/>
      <c r="V64" s="52" t="str">
        <f ca="1">IF(AND(B$5=$BF$9,OR(I64=BH$16,I64=BH$17))," ",IF(ISNUMBER(B$62),(CONCATENATE(B$62,".",W64)),(CONCATENATE(B$62,W64))))</f>
        <v>V0</v>
      </c>
      <c r="W64" s="9">
        <f ca="1">W63+X64</f>
        <v>0</v>
      </c>
      <c r="X64" s="9">
        <f>IF(AND(B$5=$BF$9,OR($I64=$BH$16,$I64=$BH$17,$I64=" ",$I64="",$F64=0)),0,IF(OR($I64=" ",$I64="",$F64=0),0,1))</f>
        <v>0</v>
      </c>
      <c r="Y64" s="896"/>
      <c r="Z64" s="52" t="str">
        <f ca="1">IF(I64=" "," ",OFFSET($BM$9,$CL64-1,8,1,1))</f>
        <v xml:space="preserve"> </v>
      </c>
      <c r="AA64" s="51" t="str">
        <f>IF(G64&gt;=45,"WA","")</f>
        <v/>
      </c>
      <c r="AB64" s="1364" t="str">
        <f>IF(OR(E64=" ",E64="")," ",(IF(F64&lt;&gt;"",IF(OR(D64=$BG$12,D64=$BG$13),IF(E64&lt;&gt;$BG$17,$BF$20,$BF$21),IF(E64&lt;&gt;$BG$17,$BF$20,$BF$21))," ")))</f>
        <v xml:space="preserve"> </v>
      </c>
      <c r="AC64" s="1"/>
      <c r="AJ64" s="2"/>
      <c r="AK64" s="63" t="str">
        <f>'Custom Elements'!B25</f>
        <v xml:space="preserve">  </v>
      </c>
      <c r="AL64" s="860" t="str">
        <f>'Custom Elements'!C25</f>
        <v>Custom17</v>
      </c>
      <c r="AM64" s="11">
        <f>'Custom Elements'!D25</f>
        <v>9.9999999999999996E-76</v>
      </c>
      <c r="AN64" s="7">
        <f>'Custom Elements'!E25</f>
        <v>0</v>
      </c>
      <c r="AO64" s="7">
        <f>'Custom Elements'!F25</f>
        <v>0</v>
      </c>
      <c r="AP64" s="762" t="str">
        <f>'Custom Elements'!G25</f>
        <v>B</v>
      </c>
      <c r="AQ64" s="1777" t="str">
        <f>'Custom Elements'!H25</f>
        <v>Single</v>
      </c>
      <c r="AR64" s="1775" t="str">
        <f>'Custom Elements'!I25</f>
        <v>Yes</v>
      </c>
      <c r="AS64" s="442" t="str">
        <f>'Custom Elements'!J25</f>
        <v>Yes</v>
      </c>
      <c r="AT64" s="1155"/>
      <c r="AU64"/>
      <c r="AW64"/>
      <c r="AY64"/>
      <c r="AZ64" s="442" t="str">
        <f>IF(AND('Custom Elements'!J25="Yes",'Custom Elements'!I25="Yes"),"T",IF('Custom Elements'!J25="Yes","F",IF('Custom Elements'!I25="Yes","H","E")))</f>
        <v>T</v>
      </c>
      <c r="BA64" s="1"/>
      <c r="BB64" s="1"/>
      <c r="BC64" s="1"/>
      <c r="BD64" s="641"/>
      <c r="BE64" s="1023" t="s">
        <v>906</v>
      </c>
      <c r="BF64" s="1024"/>
      <c r="BG64" s="1025"/>
      <c r="BH64" s="479"/>
      <c r="BI64" s="759"/>
      <c r="BJ64" s="897">
        <f t="shared" si="37"/>
        <v>56</v>
      </c>
      <c r="BK64" s="764"/>
      <c r="BL64" s="766"/>
      <c r="BM64" s="455">
        <f>Table!P6</f>
        <v>0.8</v>
      </c>
      <c r="BN64" s="455">
        <f>BM65</f>
        <v>1.2</v>
      </c>
      <c r="BO64" s="455">
        <f>Table!Q6</f>
        <v>95</v>
      </c>
      <c r="BP64" s="925">
        <f>Table!R6</f>
        <v>83</v>
      </c>
      <c r="BR64" s="764"/>
      <c r="BS64" s="455"/>
      <c r="BT64" s="455"/>
      <c r="BU64" s="925" t="s">
        <v>242</v>
      </c>
      <c r="BV64" s="895"/>
      <c r="BW64" s="912"/>
      <c r="BX64" s="925" t="str">
        <f>Table!T5</f>
        <v>Single</v>
      </c>
      <c r="CH64" s="764">
        <f>IF(BN64=999,0,(BO65-BO64)/(BN64-BM64))</f>
        <v>0</v>
      </c>
      <c r="CI64" s="925">
        <f>IF(BN64=999,0,(BP65-BP64)/(BN64-BM64))</f>
        <v>2.5000000000000004</v>
      </c>
      <c r="CJ64" s="759"/>
      <c r="CK64" s="188"/>
      <c r="CL64" s="979">
        <f>VLOOKUP(I64,Prodlink,2,0)</f>
        <v>0</v>
      </c>
      <c r="CN64" s="497">
        <f t="shared" ca="1" si="35"/>
        <v>0</v>
      </c>
      <c r="CO64" s="497">
        <f ca="1">OFFSET($CH$9,CL64-1,-15,1,1)</f>
        <v>0</v>
      </c>
      <c r="CQ64" s="51">
        <v>0</v>
      </c>
      <c r="CR64" s="51">
        <f t="shared" ca="1" si="46"/>
        <v>10000</v>
      </c>
      <c r="CS64" s="51">
        <f ca="1">IF(F64&lt;OFFSET($BM$9,CL64-1,0,1,1),0,IF(F64&lt;OFFSET($BN$9,CL64-1,0,1,1),((F64-OFFSET($BM$9,CL64-1,0,1,1))*OFFSET($CH$9,CL64-1,0,1,1))+OFFSET($BO$9,CL64-1,CQ64,1,1),IF(F64&lt;OFFSET($BN$9,CL64+0,0,1,1),((F64-OFFSET($BM$9,CL64+0,0,1,1))*OFFSET($CH$9,CL64+0,0,1,1))+OFFSET($BO$9,CL64+0,CQ64,1,1),IF(F64&lt;OFFSET($BN$9,CL64+1,0,1,1),((F64-OFFSET($BM$9,CL64+1,0,1,1))*OFFSET($CH$9,CL64+1,0,1,1))+OFFSET($BO$9,CL64+1,CQ64,1,1),IF(F64&lt;OFFSET($BN$9,CL64+2,0,1,1),((F64-OFFSET($BM$9,CL64+2,0,1,1))*OFFSET($CH$9,CL64+2,0,1,1))+OFFSET($BO$9,CL64+2,CQ64,1,1),IF(F64&lt;OFFSET($BN$9,CL64+3,0,1,1),((F64-OFFSET($BM$9,CL64+3,0,1,1))*OFFSET($CH$9,CL64+3,0,1,1))+OFFSET($BO$9,CL64+3,CQ64,1,1),0))))))</f>
        <v>0</v>
      </c>
      <c r="CT64" s="51">
        <f ca="1">IF($F64&lt;OFFSET($BM$9,$CL64-1,0,1,1),0,IF($F64&lt;OFFSET($BN$9,$CL64-1,0,1,1),IF(AND($H64&gt;2.4,Z64&lt;&gt;"e",Z64&lt;&gt;"f"),CX64*2.4/$H64,CX64),IF($F64&lt;OFFSET($BN$9,$CL64+0,0,1,1),IF(AND($H64&gt;2.4,Z64&lt;&gt;"e",Z64&lt;&gt;"f"),CX64*2.4/$H64,CX64),IF($F64&lt;OFFSET($BN$9,$CL64+1,0,1,1),IF(AND($H64&gt;2.4,Z64&lt;&gt;"e",Z64&lt;&gt;"f"),CX64*2.4/$H64,CX64),IF($F64&lt;OFFSET($BN$9,CL64+2,0,1,1),IF(AND($H64&gt;2.4,Z64&lt;&gt;"e",Z64&lt;&gt;"f"),CX64*2.4/$H64,CX64),IF($F64&lt;OFFSET($BN$9,CL64+3,0,1,1),IF(AND($H64&gt;2.4,Z64&lt;&gt;"e",Z64&lt;&gt;"f"),CX64*2.4/$H64,CX64),0)))))*COS(RADIANS($G64)))</f>
        <v>0</v>
      </c>
      <c r="CU64" s="51">
        <f ca="1">IF(F64&lt;OFFSET($BM$9,CL64-1,0,1,1),0,IF(F64&lt;OFFSET($BN$9,CL64-1,0,1,1),((F64-OFFSET($BM$9,CL64-1,0,1,1))*OFFSET($CI$9,CL64-1,0,1,1))+OFFSET($BP$9,CL64-1,CQ64,1,1),IF(F64&lt;OFFSET($BN$9,CL64+0,0,1,1),((F64-OFFSET($BM$9,CL64+0,0,1,1))*OFFSET($CI$9,CL64+0,0,1,1))+OFFSET($BP$9,CL64+0,CQ64,1,1),IF(F64&lt;OFFSET($BN$9,CL64+1,0,1,1),((F64-OFFSET($BM$9,CL64+1,0,1,1))*OFFSET($CI$9,CL64+1,0,1,1))+OFFSET($BP$9,CL64+1,CQ64,1,1),IF(F64&lt;OFFSET($BN$9,CL64+2,0,1,1),((F64-OFFSET($BM$9,CL64+2,0,1,1))*OFFSET($CI$9,CL64+2,0,1,1))+OFFSET($BP$9,CL64+2,CQ64,1,1),IF(F64&lt;OFFSET($BN$9,CL64+3,0,1,1),((F64-OFFSET($BM$9,CL64+3,0,1,1))*OFFSET($CI$9,CL64+3,0,1,1))+OFFSET($BP$9,CL64+3,CQ64,1,1),0))))))</f>
        <v>0</v>
      </c>
      <c r="CV64" s="51">
        <f ca="1">IF($F64&lt;OFFSET($BM$9,$CL64-1,0,1,1),0,IF($F64&lt;OFFSET($BN$9,$CL64-1,0,1,1),IF(AND($H64&gt;2.4,Z64&lt;&gt;"e",Z64&lt;&gt;"f"),CZ64*2.4/$H64,CZ64),IF($F64&lt;OFFSET($BN$9,$CL64+0,0,1,1),IF(AND($H64&gt;2.4,Z64&lt;&gt;"e",Z64&lt;&gt;"f"),CZ64*2.4/$H64,CZ64),IF($F64&lt;OFFSET($BN$9,$CL64+1,0,1,1),IF(AND($H64&gt;2.4,Z64&lt;&gt;"e",Z64&lt;&gt;"f"),CZ64*2.4/$H64,CZ64),IF($F64&lt;OFFSET($BN$9,$CL64+2,0,1,1),IF(AND($H64&gt;2.4,Z64&lt;&gt;"e",Z64&lt;&gt;"f"),CZ64*2.4/$H64,CZ64),IF($F64&lt;OFFSET($BN$9,$CL64+3,0,1,1),IF(AND($H64&gt;2.4,Z64&lt;&gt;"e",Z64&lt;&gt;"f"),CZ64*2.4/$H64,CZ64),0)))))*COS(RADIANS($G64)))</f>
        <v>0</v>
      </c>
      <c r="CW64" s="51">
        <f t="shared" ca="1" si="18"/>
        <v>0</v>
      </c>
      <c r="CX64" s="51">
        <f ca="1">IF(CS64&gt;$CR64,$CR64,CS64)</f>
        <v>0</v>
      </c>
      <c r="CY64" s="51">
        <f ca="1">CW64*F64</f>
        <v>0</v>
      </c>
      <c r="CZ64" s="51">
        <f ca="1">IF($CU64&gt;$CR64,$CR64,$CU64)</f>
        <v>0</v>
      </c>
      <c r="DA64" s="51">
        <f ca="1">IF(CV64&gt;CR64,CR64,CV64)</f>
        <v>0</v>
      </c>
      <c r="DB64" s="51">
        <f ca="1">DA64*F64</f>
        <v>0</v>
      </c>
      <c r="DC64" s="993">
        <v>1</v>
      </c>
      <c r="DD64" s="758" t="str">
        <f>IF(OR(D64=BG$12,D64=BG$13),"External",IF(D64=BG$14,"Internal"," "))</f>
        <v xml:space="preserve"> </v>
      </c>
      <c r="DE64" s="51" t="str">
        <f t="shared" ca="1" si="4"/>
        <v/>
      </c>
      <c r="DF64" s="52" t="str">
        <f t="shared" ca="1" si="5"/>
        <v xml:space="preserve"> </v>
      </c>
      <c r="DG64" s="51">
        <f ca="1">IF(F64&lt;OFFSET($BM$9,CN64-1,0,1,1),0,IF(F64&lt;OFFSET($BN$9,CN64-1,0,1,1),((F64-OFFSET($BM$9,CN64-1,0,1,1))*OFFSET($CH$9,CN64-1,0,1,1))+OFFSET($BO$9,CN64-1,CQ64,1,1),IF(F64&lt;OFFSET($BN$9,CN64+0,0,1,1),((F64-OFFSET($BM$9,CN64+0,0,1,1))*OFFSET($CH$9,CN64+0,0,1,1))+OFFSET($BO$9,CN64+0,CQ64,1,1),IF(F64&lt;OFFSET($BN$9,CN64+1,0,1,1),((F64-OFFSET($BM$9,CN64+1,0,1,1))*OFFSET($CH$9,CN64+1,0,1,1))+OFFSET($BO$9,CN64+1,CQ64,1,1),IF(F64&lt;OFFSET($BN$9,CN64+2,0,1,1),((F64-OFFSET($BM$9,CN64+2,0,1,1))*OFFSET($CH$9,CN64+2,0,1,1))+OFFSET($BO$9,CN64+2,CQ64,1,1),IF(F64&lt;OFFSET($BN$9,CN64+3,0,1,1),((F64-OFFSET($BM$9,CN64+3,0,1,1))*OFFSET($CH$9,CN64+3,0,1,1))+OFFSET($BO$9,CN64+3,CQ64,1,1),0))))))</f>
        <v>0</v>
      </c>
      <c r="DH64" s="51">
        <f ca="1">IF($F64&lt;OFFSET($BM$9,$CN64-1,0,1,1),0,IF($F64&lt;OFFSET($BN$9,$CN64-1,0,1,1),IF(AND($H64&gt;2.4,Z64&lt;&gt;"e",Z64&lt;&gt;"f"),DL64*2.4/$H64,DL64),IF($F64&lt;OFFSET($BN$9,$CN64+0,0,1,1),IF(AND($H64&gt;2.4,Z64&lt;&gt;"e",Z64&lt;&gt;"f"),DL64*2.4/$H64,DL64),IF($F64&lt;OFFSET($BN$9,$CN64+1,0,1,1),IF(AND($H64&gt;2.4,Z64&lt;&gt;"e",Z64&lt;&gt;"f"),DL64*2.4/$H64,DL64),IF($F64&lt;OFFSET($BN$9,$CN64+2,0,1,1),IF(AND($H64&gt;2.4,Z64&lt;&gt;"e",Z64&lt;&gt;"f"),DL64*2.4/$H64,DL64),IF($F64&lt;OFFSET($BN$9,$CN64+3,0,1,1),IF(AND($H64&gt;2.4,Z64&lt;&gt;"e",Z64&lt;&gt;"f"),DL64*2.4/$H64,DL64),0)))))*COS(RADIANS($G64)))</f>
        <v>0</v>
      </c>
      <c r="DI64" s="51">
        <f ca="1">IF(F64&lt;OFFSET($BM$9,CN64-1,0,1,1),0,IF(F64&lt;OFFSET($BN$9,CN64-1,0,1,1),((F64-OFFSET($BM$9,CN64-1,0,1,1))*OFFSET($CI$9,CN64-1,0,1,1))+OFFSET($BP$9,CN64-1,CQ64,1,1),IF(F64&lt;OFFSET($BN$9,CN64+0,0,1,1),((F64-OFFSET($BM$9,CN64+0,0,1,1))*OFFSET($CI$9,CN64+0,0,1,1))+OFFSET($BP$9,CN64+0,CQ64,1,1),IF(F64&lt;OFFSET($BN$9,CN64+1,0,1,1),((F64-OFFSET($BM$9,CN64+1,0,1,1))*OFFSET($CI$9,CN64+1,0,1,1))+OFFSET($BP$9,CN64+1,CQ64,1,1),IF(F64&lt;OFFSET($BN$9,CN64+2,0,1,1),((F64-OFFSET($BM$9,CN64+2,0,1,1))*OFFSET($CI$9,CN64+2,0,1,1))+OFFSET($BP$9,CN64+2,CQ64,1,1),IF(F64&lt;OFFSET($BN$9,CN64+3,0,1,1),((F64-OFFSET($BM$9,CN64+3,0,1,1))*OFFSET($CI$9,CN64+3,0,1,1))+OFFSET($BP$9,CN64+3,CQ64,1,1),0))))))</f>
        <v>0</v>
      </c>
      <c r="DJ64" s="51">
        <f ca="1">IF($F64&lt;OFFSET($BM$9,$CN64-1,0,1,1),0,IF($F64&lt;OFFSET($BN$9,$CN64-1,0,1,1),IF(AND($H64&gt;2.4,Z64&lt;&gt;"e",Z64&lt;&gt;"f"),DN64*2.4/$H64,DN64),IF($F64&lt;OFFSET($BN$9,$CN64+0,0,1,1),IF(AND($H64&gt;2.4,Z64&lt;&gt;"e",Z64&lt;&gt;"f"),DN64*2.4/$H64,DN64),IF($F64&lt;OFFSET($BN$9,$CN64+1,0,1,1),IF(AND($H64&gt;2.4,Z64&lt;&gt;"e",Z64&lt;&gt;"f"),DN64*2.4/$H64,DN64),IF($F64&lt;OFFSET($BN$9,$CN64+2,0,1,1),IF(AND($H64&gt;2.4,Z64&lt;&gt;"e",Z64&lt;&gt;"f"),DN64*2.4/$H64,DN64),IF($F64&lt;OFFSET($BN$9,$CN64+3,0,1,1),IF(AND($H64&gt;2.4,Z64&lt;&gt;"e",Z64&lt;&gt;"f"),DN64*2.4/$H64,DN64),0)))))*COS(RADIANS($G64)))</f>
        <v>0</v>
      </c>
      <c r="DK64" s="51"/>
      <c r="DL64" s="51">
        <f ca="1">IF(DG64&gt;$CR64,$CR64,DG64)</f>
        <v>0</v>
      </c>
      <c r="DM64" s="51"/>
      <c r="DN64" s="51">
        <f ca="1">IF(DI64&gt;$CR64,$CR64,DI64)</f>
        <v>0</v>
      </c>
      <c r="DO64" s="435">
        <f ca="1">IF(DH64&gt;$CR64,$CR64,DH64)</f>
        <v>0</v>
      </c>
      <c r="DP64" s="435">
        <f ca="1">DO64*F64</f>
        <v>0</v>
      </c>
      <c r="DQ64" s="436">
        <f ca="1">IF(DJ64&gt;$CR64,$CR64,DJ64)</f>
        <v>0</v>
      </c>
      <c r="DR64" s="437">
        <f ca="1">DQ64*F64</f>
        <v>0</v>
      </c>
      <c r="DS64" s="426">
        <f ca="1">OFFSET($CH$9,CL64-1,-15,1,1)</f>
        <v>0</v>
      </c>
      <c r="DT64" s="426">
        <f t="shared" ca="1" si="36"/>
        <v>0</v>
      </c>
      <c r="DU64" s="188">
        <f ca="1">IF(F64&lt;OFFSET($BM$9,DT64-1,0,1,1),0,IF(F64&lt;OFFSET($BN$9,DT64-1,0,1,1),((F64-OFFSET($BM$9,DT64-1,0,1,1))*OFFSET($CH$9,DT64-1,0,1,1))+OFFSET($BO$9,DT64-1,CQ64,1,1),IF(F64&lt;OFFSET($BN$9,DT64+0,0,1,1),((F64-OFFSET($BM$9,DT64+0,0,1,1))*OFFSET($CH$9,DT64+0,0,1,1))+OFFSET($BO$9,DT64+0,CQ64,1,1),IF(F64&lt;OFFSET($BN$9,DT64+1,0,1,1),((F64-OFFSET($BM$9,DT64+1,0,1,1))*OFFSET($CH$9,DT64+1,0,1,1))+OFFSET($BO$9,DT64+1,CQ64,1,1),IF(F64&lt;OFFSET($BN$9,DT64+2,0,1,1),((F64-OFFSET($BM$9,DT64+2,0,1,1))*OFFSET($CH$9,DT64+2,0,1,1))+OFFSET($BO$9,DT64+2,CQ64,1,1),IF(F64&lt;OFFSET($BN$9,DT64+3,0,1,1),((F64-OFFSET($BM$9,DT64+3,0,1,1))*OFFSET($CH$9,DT64+3,0,1,1))+OFFSET($BO$9,DT64+3,CQ64,1,1),0))))))</f>
        <v>0</v>
      </c>
      <c r="DV64" s="51">
        <f ca="1">IF($F64&lt;OFFSET($BM$9,$DT64-1,0,1,1),0,IF($F64&lt;OFFSET($BN$9,$DT64-1,0,1,1),IF(AND($H64&gt;2.4,Z64&lt;&gt;"e",Z64&lt;&gt;"f"),DZ64*2.4/$H64,DZ64),IF($F64&lt;OFFSET($BN$9,$DT64+0,0,1,1),IF(AND($H64&gt;2.4,Z64&lt;&gt;"e",Z64&lt;&gt;"f"),DZ64*2.4/$H64,DZ64),IF($F64&lt;OFFSET($BN$9,$DT64+1,0,1,1),IF(AND($H64&gt;2.4,Z64&lt;&gt;"e",Z64&lt;&gt;"f"),DZ64*2.4/$H64,DZ64),IF($F64&lt;OFFSET($BN$9,$DT64+2,0,1,1),IF(AND($H64&gt;2.4,Z64&lt;&gt;"e",Z64&lt;&gt;"f"),DZ64*2.4/$H64,DZ64),IF($F64&lt;OFFSET($BN$9,$DT64+3,0,1,1),IF(AND($H64&gt;2.4,Z64&lt;&gt;"e",Z64&lt;&gt;"f"),DZ64*2.4/$H64,DZ64),0)))))*COS(RADIANS($G64)))</f>
        <v>0</v>
      </c>
      <c r="DW64" s="188">
        <f ca="1">IF(F64&lt;OFFSET($BM$9,DT64-1,0,1,1),0,IF(F64&lt;OFFSET($BN$9,DT64-1,0,1,1),((F64-OFFSET($BM$9,DT64-1,0,1,1))*OFFSET($CI$9,DT64-1,0,1,1))+OFFSET($BP$9,DT64-1,CQ64,1,1),IF(F64&lt;OFFSET($BN$9,DT64+0,0,1,1),((F64-OFFSET($BM$9,DT64+0,0,1,1))*OFFSET($CI$9,DT64+0,0,1,1))+OFFSET($BP$9,DT64+0,CQ64,1,1),IF(F64&lt;OFFSET($BN$9,DT64+1,0,1,1),((F64-OFFSET($BM$9,DT64+1,0,1,1))*OFFSET($CI$9,DT64+1,0,1,1))+OFFSET($BP$9,DT64+1,CQ64,1,1),IF(F64&lt;OFFSET($BN$9,DT64+2,0,1,1),((F64-OFFSET($BM$9,DT64+2,0,1,1))*OFFSET($CI$9,DT64+2,0,1,1))+OFFSET($BP$9,DT64+2,CQ64,1,1),IF(F64&lt;OFFSET($BN$9,DT64+3,0,1,1),((F64-OFFSET($BM$9,DT64+3,0,1,1))*OFFSET($CI$9,DT64+3,0,1,1))+OFFSET($BP$9,DT64+3,CQ64,1,1),0))))))</f>
        <v>0</v>
      </c>
      <c r="DX64" s="51">
        <f ca="1">IF($F64&lt;OFFSET($BM$9,$DT64-1,0,1,1),0,IF($F64&lt;OFFSET($BN$9,$DT64-1,0,1,1),IF(AND($H64&gt;2.4,Z64&lt;&gt;"e",Z64&lt;&gt;"f"),EB64*2.4/$H64,EB64),IF($F64&lt;OFFSET($BN$9,$DT64+0,0,1,1),IF(AND($H64&gt;2.4,Z64&lt;&gt;"e",Z64&lt;&gt;"f"),EB64*2.4/$H64,EB64),IF($F64&lt;OFFSET($BN$9,$DT64+1,0,1,1),IF(AND($H64&gt;2.4,Z64&lt;&gt;"e",Z64&lt;&gt;"f"),EB64*2.4/$H64,EB64),IF($F64&lt;OFFSET($BN$9,$DT64+2,0,1,1),IF(AND($H64&gt;2.4,Z64&lt;&gt;"e",Z64&lt;&gt;"f"),EB64*2.4/$H64,EB64),IF($F64&lt;OFFSET($BN$9,$DT64+3,0,1,1),IF(AND($H64&gt;2.4,Z64&lt;&gt;"e",Z64&lt;&gt;"f"),EB64*2.4/$H64,EB64),0)))))*COS(RADIANS($G64)))</f>
        <v>0</v>
      </c>
      <c r="DY64" s="188"/>
      <c r="DZ64" s="188">
        <f ca="1">IF(DU64&gt;$CR64,$CR64,DU64)</f>
        <v>0</v>
      </c>
      <c r="EA64" s="188"/>
      <c r="EB64" s="188">
        <f ca="1">IF(DW64&gt;$CR64,$CR64,DW64)</f>
        <v>0</v>
      </c>
      <c r="EC64" s="435">
        <f ca="1">IF(DV64&gt;$CR64,$CR64,DV64)</f>
        <v>0</v>
      </c>
      <c r="ED64" s="435">
        <f ca="1">EC64*F64</f>
        <v>0</v>
      </c>
      <c r="EE64" s="436">
        <f ca="1">IF(DX64&gt;$CR64,$CR64,DX64)</f>
        <v>0</v>
      </c>
      <c r="EF64" s="437">
        <f ca="1">EE64*F64</f>
        <v>0</v>
      </c>
      <c r="EG64" s="613" t="str">
        <f>IF(D64=BG$12,BG$12,"")</f>
        <v/>
      </c>
      <c r="EH64" s="614" t="str">
        <f>IF(D64=BG$13,BG$13,"")</f>
        <v/>
      </c>
      <c r="EI64" s="611">
        <f>IF(EG64=BG$12,M64,0)</f>
        <v>0</v>
      </c>
      <c r="EJ64" s="451">
        <f>IF(EG64=BG$12,O64,0)</f>
        <v>0</v>
      </c>
      <c r="EK64" s="451">
        <f>IF(EH64=BG$13,M64,0)</f>
        <v>0</v>
      </c>
      <c r="EL64" s="612">
        <f>IF(EH64=BG$13,O64,0)</f>
        <v>0</v>
      </c>
      <c r="EM64" s="426" t="str">
        <f ca="1">IF(AND(Z64&lt;&gt;"t",Z64&lt;&gt;"f"),"",IF(AND(EN64=$BH$11,K64&lt;&gt;EN64),EM$4,IF(AND(EN64=$BH$12,K64=$BH$13),EM$4,IF(AND(EN64=$BH$12,K64=$BH$14),EM$4,IF(AND(EN64=$BH$13,K64=$BH$14),$EM$4,IF(EN64=$BH$14,$EM$4,""))))))</f>
        <v/>
      </c>
      <c r="EN64" s="489" t="str">
        <f>BG$24</f>
        <v>Earth</v>
      </c>
      <c r="EO64" s="426" t="str">
        <f>K64</f>
        <v xml:space="preserve"> </v>
      </c>
      <c r="EP64" s="497" t="str">
        <f ca="1">IF(AND(Z64&lt;&gt;"t",Z64&lt;&gt;"f"),"",IF(AND(EN64=$BH$14,K64&lt;&gt;EN64),EP$4,IF(AND(EN64=$BH$13,K64=$BH$12),EP$4,IF(AND(EN64=$BH$13,K64=$BH$11),EP$4,IF(AND(EN64=$BH$12,K64=$BH$11),$EP$4,IF(EN64=$BH$11,"Earth",""))))))</f>
        <v/>
      </c>
      <c r="EQ64" s="430" t="str">
        <f ca="1">IF(Z64&lt;&gt;"t","",IF(EQ$5=2,IF(K64&lt;&gt;BH$11,EQ$7," ")))</f>
        <v/>
      </c>
      <c r="ER64" s="439" t="str">
        <f ca="1">IF(H64=0," ",H64)</f>
        <v xml:space="preserve"> </v>
      </c>
      <c r="ES64" s="440" t="str">
        <f ca="1">IF(ER64&lt;&gt;" ",IF(ER64&lt;&gt;ER$7,"Changed",""),"")</f>
        <v/>
      </c>
      <c r="ET64" s="440">
        <f t="shared" ca="1" si="19"/>
        <v>0</v>
      </c>
      <c r="EU64" s="426" t="str">
        <f ca="1">IF(I64=" "," ",IF(F64&lt;OFFSET($BM$9,CL64-1,0,1,1),1,""))</f>
        <v xml:space="preserve"> </v>
      </c>
      <c r="EW64" s="427"/>
    </row>
    <row r="65" spans="1:153" ht="17.100000000000001" customHeight="1">
      <c r="A65" s="2685"/>
      <c r="B65" s="689" t="s">
        <v>246</v>
      </c>
      <c r="C65" s="684" t="str">
        <f>IF(OR(F65=0,I65="",I65=" ")," ",$V65)</f>
        <v xml:space="preserve"> </v>
      </c>
      <c r="D65" s="1033"/>
      <c r="E65" s="1360" t="s">
        <v>8</v>
      </c>
      <c r="F65" s="202"/>
      <c r="G65" s="1416"/>
      <c r="H65" s="1417" t="str">
        <f ca="1">IF(OR(F65=0,Z65="E",Z65="f")," ",'Project Demand'!E$55)</f>
        <v xml:space="preserve"> </v>
      </c>
      <c r="I65" s="631" t="str">
        <f>IF($I$6&lt;&gt;$BG$8," ",AB65)</f>
        <v xml:space="preserve"> </v>
      </c>
      <c r="J65" s="44" t="str">
        <f ca="1">IF(OR(I65=" ",I65="")," ",OFFSET($BO$9,CL65-1,0-4,1,1))</f>
        <v xml:space="preserve"> </v>
      </c>
      <c r="K65" s="55" t="str">
        <f>IF(OR(I65=" ",I65="")," ",IF(OR(Z65="e",Z65="h"),"SD",IF(BG$24=BH$11,BH$13,BG$24)))</f>
        <v xml:space="preserve"> </v>
      </c>
      <c r="L65" s="49">
        <f ca="1">CW65</f>
        <v>0</v>
      </c>
      <c r="M65" s="49">
        <f ca="1">CY65</f>
        <v>0</v>
      </c>
      <c r="N65" s="50">
        <f t="shared" ca="1" si="45"/>
        <v>0</v>
      </c>
      <c r="O65" s="126">
        <f t="shared" ca="1" si="45"/>
        <v>0</v>
      </c>
      <c r="P65" s="140"/>
      <c r="Q65" s="752" t="str">
        <f ca="1">IF(AND(OR(Z65="t",Z65="f"),K65=$BH$11),"No Floor!  Change Floor Type",IF(OR(I65=" ",I65="")," ",IF(F65&lt;OFFSET($BM$9,CL65-1,0,1,1),"check L(m)",DE65&amp;IF(AND(DP65&gt;=CY65,DR65&gt;=DB65),IF(AND(ED65&gt;=DP65,EF65&gt;=DR65),CONCATENATE(DS65," will provide same result"),CONCATENATE(CO65," will provide same result")),IF((DP65&gt;=CY65),CONCATENATE(CO65," provides same result in WIND"),IF((DR65&gt;=DB65),CONCATENATE(CO65," provides same result in EQ"),""))))))&amp;IF(ISERROR(FIND("pile",I65,1)),"",IF(INT(F65)&lt;&gt;F65,"Pile!  Use Whole Numbers Only",""))</f>
        <v xml:space="preserve"> </v>
      </c>
      <c r="R65" s="52"/>
      <c r="S65" s="1372"/>
      <c r="T65" s="1372"/>
      <c r="U65" s="1377"/>
      <c r="V65" s="52" t="str">
        <f ca="1">IF(AND(B$5=$BF$9,OR(I65=BH$16,I65=BH$17))," ",IF(ISNUMBER(B$62),(CONCATENATE(B$62,".",W65)),(CONCATENATE(B$62,W65))))</f>
        <v>V0</v>
      </c>
      <c r="W65" s="9">
        <f ca="1">W64+X65</f>
        <v>0</v>
      </c>
      <c r="X65" s="9">
        <f>IF(AND(B$5=$BF$9,OR($I65=$BH$16,$I65=$BH$17,$I65=" ",$I65="",$F65=0)),0,IF(OR($I65=" ",$I65="",$F65=0),0,1))</f>
        <v>0</v>
      </c>
      <c r="Y65" s="896"/>
      <c r="Z65" s="52" t="str">
        <f ca="1">IF(I65=" "," ",OFFSET($BM$9,$CL65-1,8,1,1))</f>
        <v xml:space="preserve"> </v>
      </c>
      <c r="AA65" s="51" t="str">
        <f>IF(G65&gt;=45,"WA","")</f>
        <v/>
      </c>
      <c r="AB65" s="1364" t="str">
        <f>IF(OR(E65=" ",E65="")," ",(IF(F65&lt;&gt;"",IF(OR(D65=$BG$12,D65=$BG$13),IF(E65&lt;&gt;$BG$17,$BF$20,$BF$21),IF(E65&lt;&gt;$BG$17,$BF$20,$BF$21))," ")))</f>
        <v xml:space="preserve"> </v>
      </c>
      <c r="AC65" s="1"/>
      <c r="AJ65" s="2"/>
      <c r="AK65" s="63" t="str">
        <f>'Custom Elements'!B26</f>
        <v xml:space="preserve">  </v>
      </c>
      <c r="AL65" s="860" t="str">
        <f>'Custom Elements'!C26</f>
        <v>Custom18</v>
      </c>
      <c r="AM65" s="11">
        <f>'Custom Elements'!D26</f>
        <v>9.9999999999999996E-76</v>
      </c>
      <c r="AN65" s="7">
        <f>'Custom Elements'!E26</f>
        <v>0</v>
      </c>
      <c r="AO65" s="7">
        <f>'Custom Elements'!F26</f>
        <v>0</v>
      </c>
      <c r="AP65" s="762" t="str">
        <f>'Custom Elements'!G26</f>
        <v>B</v>
      </c>
      <c r="AQ65" s="1777" t="str">
        <f>'Custom Elements'!H26</f>
        <v>Single</v>
      </c>
      <c r="AR65" s="1775" t="str">
        <f>'Custom Elements'!I26</f>
        <v>Yes</v>
      </c>
      <c r="AS65" s="442" t="str">
        <f>'Custom Elements'!J26</f>
        <v>Yes</v>
      </c>
      <c r="AT65" s="1155"/>
      <c r="AU65"/>
      <c r="AW65"/>
      <c r="AY65"/>
      <c r="AZ65" s="442" t="str">
        <f>IF(AND('Custom Elements'!J26="Yes",'Custom Elements'!I26="Yes"),"T",IF('Custom Elements'!J26="Yes","F",IF('Custom Elements'!I26="Yes","H","E")))</f>
        <v>T</v>
      </c>
      <c r="BA65" s="1"/>
      <c r="BB65" s="1"/>
      <c r="BC65" s="1"/>
      <c r="BD65" s="641"/>
      <c r="BE65" s="1026" t="s">
        <v>904</v>
      </c>
      <c r="BF65" s="640"/>
      <c r="BG65" s="1027"/>
      <c r="BH65" s="479"/>
      <c r="BI65" s="759"/>
      <c r="BJ65" s="897">
        <f t="shared" si="37"/>
        <v>57</v>
      </c>
      <c r="BK65" s="764"/>
      <c r="BL65" s="766"/>
      <c r="BM65" s="455">
        <f>Table!P7</f>
        <v>1.2</v>
      </c>
      <c r="BN65" s="455">
        <f>BM66</f>
        <v>1.8</v>
      </c>
      <c r="BO65" s="455">
        <f>Table!Q7</f>
        <v>95</v>
      </c>
      <c r="BP65" s="925">
        <f>Table!R7</f>
        <v>84</v>
      </c>
      <c r="BR65" s="764"/>
      <c r="BS65" s="455"/>
      <c r="BT65" s="455"/>
      <c r="BU65" s="925" t="s">
        <v>242</v>
      </c>
      <c r="BV65" s="895"/>
      <c r="BW65" s="912"/>
      <c r="BX65" s="925" t="str">
        <f>Table!T5</f>
        <v>Single</v>
      </c>
      <c r="CH65" s="764">
        <f>IF(BN65=999,0,(BO66-BO65)/(BN65-BM65))</f>
        <v>24.999999999999996</v>
      </c>
      <c r="CI65" s="925">
        <f>IF(BN65=999,0,(BP66-BP65)/(BN65-BM65))</f>
        <v>0</v>
      </c>
      <c r="CJ65" s="759"/>
      <c r="CK65" s="188"/>
      <c r="CL65" s="979">
        <f>VLOOKUP(I65,Prodlink,2,0)</f>
        <v>0</v>
      </c>
      <c r="CN65" s="497">
        <f t="shared" ca="1" si="35"/>
        <v>0</v>
      </c>
      <c r="CO65" s="497">
        <f ca="1">OFFSET($CH$9,CL65-1,-15,1,1)</f>
        <v>0</v>
      </c>
      <c r="CQ65" s="51">
        <v>0</v>
      </c>
      <c r="CR65" s="51">
        <f t="shared" ca="1" si="46"/>
        <v>10000</v>
      </c>
      <c r="CS65" s="51">
        <f ca="1">IF(F65&lt;OFFSET($BM$9,CL65-1,0,1,1),0,IF(F65&lt;OFFSET($BN$9,CL65-1,0,1,1),((F65-OFFSET($BM$9,CL65-1,0,1,1))*OFFSET($CH$9,CL65-1,0,1,1))+OFFSET($BO$9,CL65-1,CQ65,1,1),IF(F65&lt;OFFSET($BN$9,CL65+0,0,1,1),((F65-OFFSET($BM$9,CL65+0,0,1,1))*OFFSET($CH$9,CL65+0,0,1,1))+OFFSET($BO$9,CL65+0,CQ65,1,1),IF(F65&lt;OFFSET($BN$9,CL65+1,0,1,1),((F65-OFFSET($BM$9,CL65+1,0,1,1))*OFFSET($CH$9,CL65+1,0,1,1))+OFFSET($BO$9,CL65+1,CQ65,1,1),IF(F65&lt;OFFSET($BN$9,CL65+2,0,1,1),((F65-OFFSET($BM$9,CL65+2,0,1,1))*OFFSET($CH$9,CL65+2,0,1,1))+OFFSET($BO$9,CL65+2,CQ65,1,1),IF(F65&lt;OFFSET($BN$9,CL65+3,0,1,1),((F65-OFFSET($BM$9,CL65+3,0,1,1))*OFFSET($CH$9,CL65+3,0,1,1))+OFFSET($BO$9,CL65+3,CQ65,1,1),0))))))</f>
        <v>0</v>
      </c>
      <c r="CT65" s="51">
        <f ca="1">IF($F65&lt;OFFSET($BM$9,$CL65-1,0,1,1),0,IF($F65&lt;OFFSET($BN$9,$CL65-1,0,1,1),IF(AND($H65&gt;2.4,Z65&lt;&gt;"e",Z65&lt;&gt;"f"),CX65*2.4/$H65,CX65),IF($F65&lt;OFFSET($BN$9,$CL65+0,0,1,1),IF(AND($H65&gt;2.4,Z65&lt;&gt;"e",Z65&lt;&gt;"f"),CX65*2.4/$H65,CX65),IF($F65&lt;OFFSET($BN$9,$CL65+1,0,1,1),IF(AND($H65&gt;2.4,Z65&lt;&gt;"e",Z65&lt;&gt;"f"),CX65*2.4/$H65,CX65),IF($F65&lt;OFFSET($BN$9,CL65+2,0,1,1),IF(AND($H65&gt;2.4,Z65&lt;&gt;"e",Z65&lt;&gt;"f"),CX65*2.4/$H65,CX65),IF($F65&lt;OFFSET($BN$9,CL65+3,0,1,1),IF(AND($H65&gt;2.4,Z65&lt;&gt;"e",Z65&lt;&gt;"f"),CX65*2.4/$H65,CX65),0)))))*COS(RADIANS($G65)))</f>
        <v>0</v>
      </c>
      <c r="CU65" s="51">
        <f ca="1">IF(F65&lt;OFFSET($BM$9,CL65-1,0,1,1),0,IF(F65&lt;OFFSET($BN$9,CL65-1,0,1,1),((F65-OFFSET($BM$9,CL65-1,0,1,1))*OFFSET($CI$9,CL65-1,0,1,1))+OFFSET($BP$9,CL65-1,CQ65,1,1),IF(F65&lt;OFFSET($BN$9,CL65+0,0,1,1),((F65-OFFSET($BM$9,CL65+0,0,1,1))*OFFSET($CI$9,CL65+0,0,1,1))+OFFSET($BP$9,CL65+0,CQ65,1,1),IF(F65&lt;OFFSET($BN$9,CL65+1,0,1,1),((F65-OFFSET($BM$9,CL65+1,0,1,1))*OFFSET($CI$9,CL65+1,0,1,1))+OFFSET($BP$9,CL65+1,CQ65,1,1),IF(F65&lt;OFFSET($BN$9,CL65+2,0,1,1),((F65-OFFSET($BM$9,CL65+2,0,1,1))*OFFSET($CI$9,CL65+2,0,1,1))+OFFSET($BP$9,CL65+2,CQ65,1,1),IF(F65&lt;OFFSET($BN$9,CL65+3,0,1,1),((F65-OFFSET($BM$9,CL65+3,0,1,1))*OFFSET($CI$9,CL65+3,0,1,1))+OFFSET($BP$9,CL65+3,CQ65,1,1),0))))))</f>
        <v>0</v>
      </c>
      <c r="CV65" s="51">
        <f ca="1">IF($F65&lt;OFFSET($BM$9,$CL65-1,0,1,1),0,IF($F65&lt;OFFSET($BN$9,$CL65-1,0,1,1),IF(AND($H65&gt;2.4,Z65&lt;&gt;"e",Z65&lt;&gt;"f"),CZ65*2.4/$H65,CZ65),IF($F65&lt;OFFSET($BN$9,$CL65+0,0,1,1),IF(AND($H65&gt;2.4,Z65&lt;&gt;"e",Z65&lt;&gt;"f"),CZ65*2.4/$H65,CZ65),IF($F65&lt;OFFSET($BN$9,$CL65+1,0,1,1),IF(AND($H65&gt;2.4,Z65&lt;&gt;"e",Z65&lt;&gt;"f"),CZ65*2.4/$H65,CZ65),IF($F65&lt;OFFSET($BN$9,$CL65+2,0,1,1),IF(AND($H65&gt;2.4,Z65&lt;&gt;"e",Z65&lt;&gt;"f"),CZ65*2.4/$H65,CZ65),IF($F65&lt;OFFSET($BN$9,$CL65+3,0,1,1),IF(AND($H65&gt;2.4,Z65&lt;&gt;"e",Z65&lt;&gt;"f"),CZ65*2.4/$H65,CZ65),0)))))*COS(RADIANS($G65)))</f>
        <v>0</v>
      </c>
      <c r="CW65" s="51">
        <f t="shared" ca="1" si="18"/>
        <v>0</v>
      </c>
      <c r="CX65" s="51">
        <f ca="1">IF(CS65&gt;$CR65,$CR65,CS65)</f>
        <v>0</v>
      </c>
      <c r="CY65" s="51">
        <f ca="1">CW65*F65</f>
        <v>0</v>
      </c>
      <c r="CZ65" s="51">
        <f ca="1">IF($CU65&gt;$CR65,$CR65,$CU65)</f>
        <v>0</v>
      </c>
      <c r="DA65" s="51">
        <f ca="1">IF(CV65&gt;CR65,CR65,CV65)</f>
        <v>0</v>
      </c>
      <c r="DB65" s="51">
        <f ca="1">DA65*F65</f>
        <v>0</v>
      </c>
      <c r="DC65" s="993">
        <v>1</v>
      </c>
      <c r="DD65" s="758" t="str">
        <f>IF(OR(D65=BG$12,D65=BG$13),"External",IF(D65=BG$14,"Internal"," "))</f>
        <v xml:space="preserve"> </v>
      </c>
      <c r="DE65" s="51" t="str">
        <f t="shared" ca="1" si="4"/>
        <v/>
      </c>
      <c r="DF65" s="52" t="str">
        <f t="shared" ca="1" si="5"/>
        <v xml:space="preserve"> </v>
      </c>
      <c r="DG65" s="51">
        <f ca="1">IF(F65&lt;OFFSET($BM$9,CN65-1,0,1,1),0,IF(F65&lt;OFFSET($BN$9,CN65-1,0,1,1),((F65-OFFSET($BM$9,CN65-1,0,1,1))*OFFSET($CH$9,CN65-1,0,1,1))+OFFSET($BO$9,CN65-1,CQ65,1,1),IF(F65&lt;OFFSET($BN$9,CN65+0,0,1,1),((F65-OFFSET($BM$9,CN65+0,0,1,1))*OFFSET($CH$9,CN65+0,0,1,1))+OFFSET($BO$9,CN65+0,CQ65,1,1),IF(F65&lt;OFFSET($BN$9,CN65+1,0,1,1),((F65-OFFSET($BM$9,CN65+1,0,1,1))*OFFSET($CH$9,CN65+1,0,1,1))+OFFSET($BO$9,CN65+1,CQ65,1,1),IF(F65&lt;OFFSET($BN$9,CN65+2,0,1,1),((F65-OFFSET($BM$9,CN65+2,0,1,1))*OFFSET($CH$9,CN65+2,0,1,1))+OFFSET($BO$9,CN65+2,CQ65,1,1),IF(F65&lt;OFFSET($BN$9,CN65+3,0,1,1),((F65-OFFSET($BM$9,CN65+3,0,1,1))*OFFSET($CH$9,CN65+3,0,1,1))+OFFSET($BO$9,CN65+3,CQ65,1,1),0))))))</f>
        <v>0</v>
      </c>
      <c r="DH65" s="51">
        <f ca="1">IF($F65&lt;OFFSET($BM$9,$CN65-1,0,1,1),0,IF($F65&lt;OFFSET($BN$9,$CN65-1,0,1,1),IF(AND($H65&gt;2.4,Z65&lt;&gt;"e",Z65&lt;&gt;"f"),DL65*2.4/$H65,DL65),IF($F65&lt;OFFSET($BN$9,$CN65+0,0,1,1),IF(AND($H65&gt;2.4,Z65&lt;&gt;"e",Z65&lt;&gt;"f"),DL65*2.4/$H65,DL65),IF($F65&lt;OFFSET($BN$9,$CN65+1,0,1,1),IF(AND($H65&gt;2.4,Z65&lt;&gt;"e",Z65&lt;&gt;"f"),DL65*2.4/$H65,DL65),IF($F65&lt;OFFSET($BN$9,$CN65+2,0,1,1),IF(AND($H65&gt;2.4,Z65&lt;&gt;"e",Z65&lt;&gt;"f"),DL65*2.4/$H65,DL65),IF($F65&lt;OFFSET($BN$9,$CN65+3,0,1,1),IF(AND($H65&gt;2.4,Z65&lt;&gt;"e",Z65&lt;&gt;"f"),DL65*2.4/$H65,DL65),0)))))*COS(RADIANS($G65)))</f>
        <v>0</v>
      </c>
      <c r="DI65" s="51">
        <f ca="1">IF(F65&lt;OFFSET($BM$9,CN65-1,0,1,1),0,IF(F65&lt;OFFSET($BN$9,CN65-1,0,1,1),((F65-OFFSET($BM$9,CN65-1,0,1,1))*OFFSET($CI$9,CN65-1,0,1,1))+OFFSET($BP$9,CN65-1,CQ65,1,1),IF(F65&lt;OFFSET($BN$9,CN65+0,0,1,1),((F65-OFFSET($BM$9,CN65+0,0,1,1))*OFFSET($CI$9,CN65+0,0,1,1))+OFFSET($BP$9,CN65+0,CQ65,1,1),IF(F65&lt;OFFSET($BN$9,CN65+1,0,1,1),((F65-OFFSET($BM$9,CN65+1,0,1,1))*OFFSET($CI$9,CN65+1,0,1,1))+OFFSET($BP$9,CN65+1,CQ65,1,1),IF(F65&lt;OFFSET($BN$9,CN65+2,0,1,1),((F65-OFFSET($BM$9,CN65+2,0,1,1))*OFFSET($CI$9,CN65+2,0,1,1))+OFFSET($BP$9,CN65+2,CQ65,1,1),IF(F65&lt;OFFSET($BN$9,CN65+3,0,1,1),((F65-OFFSET($BM$9,CN65+3,0,1,1))*OFFSET($CI$9,CN65+3,0,1,1))+OFFSET($BP$9,CN65+3,CQ65,1,1),0))))))</f>
        <v>0</v>
      </c>
      <c r="DJ65" s="51">
        <f ca="1">IF($F65&lt;OFFSET($BM$9,$CN65-1,0,1,1),0,IF($F65&lt;OFFSET($BN$9,$CN65-1,0,1,1),IF(AND($H65&gt;2.4,Z65&lt;&gt;"e",Z65&lt;&gt;"f"),DN65*2.4/$H65,DN65),IF($F65&lt;OFFSET($BN$9,$CN65+0,0,1,1),IF(AND($H65&gt;2.4,Z65&lt;&gt;"e",Z65&lt;&gt;"f"),DN65*2.4/$H65,DN65),IF($F65&lt;OFFSET($BN$9,$CN65+1,0,1,1),IF(AND($H65&gt;2.4,Z65&lt;&gt;"e",Z65&lt;&gt;"f"),DN65*2.4/$H65,DN65),IF($F65&lt;OFFSET($BN$9,$CN65+2,0,1,1),IF(AND($H65&gt;2.4,Z65&lt;&gt;"e",Z65&lt;&gt;"f"),DN65*2.4/$H65,DN65),IF($F65&lt;OFFSET($BN$9,$CN65+3,0,1,1),IF(AND($H65&gt;2.4,Z65&lt;&gt;"e",Z65&lt;&gt;"f"),DN65*2.4/$H65,DN65),0)))))*COS(RADIANS($G65)))</f>
        <v>0</v>
      </c>
      <c r="DK65" s="51"/>
      <c r="DL65" s="51">
        <f ca="1">IF(DG65&gt;$CR65,$CR65,DG65)</f>
        <v>0</v>
      </c>
      <c r="DM65" s="51"/>
      <c r="DN65" s="51">
        <f ca="1">IF(DI65&gt;$CR65,$CR65,DI65)</f>
        <v>0</v>
      </c>
      <c r="DO65" s="435">
        <f ca="1">IF(DH65&gt;$CR65,$CR65,DH65)</f>
        <v>0</v>
      </c>
      <c r="DP65" s="435">
        <f ca="1">DO65*F65</f>
        <v>0</v>
      </c>
      <c r="DQ65" s="436">
        <f ca="1">IF(DJ65&gt;$CR65,$CR65,DJ65)</f>
        <v>0</v>
      </c>
      <c r="DR65" s="437">
        <f ca="1">DQ65*F65</f>
        <v>0</v>
      </c>
      <c r="DS65" s="426">
        <f ca="1">OFFSET($CH$9,CL65-1,-15,1,1)</f>
        <v>0</v>
      </c>
      <c r="DT65" s="426">
        <f t="shared" ca="1" si="36"/>
        <v>0</v>
      </c>
      <c r="DU65" s="188">
        <f ca="1">IF(F65&lt;OFFSET($BM$9,DT65-1,0,1,1),0,IF(F65&lt;OFFSET($BN$9,DT65-1,0,1,1),((F65-OFFSET($BM$9,DT65-1,0,1,1))*OFFSET($CH$9,DT65-1,0,1,1))+OFFSET($BO$9,DT65-1,CQ65,1,1),IF(F65&lt;OFFSET($BN$9,DT65+0,0,1,1),((F65-OFFSET($BM$9,DT65+0,0,1,1))*OFFSET($CH$9,DT65+0,0,1,1))+OFFSET($BO$9,DT65+0,CQ65,1,1),IF(F65&lt;OFFSET($BN$9,DT65+1,0,1,1),((F65-OFFSET($BM$9,DT65+1,0,1,1))*OFFSET($CH$9,DT65+1,0,1,1))+OFFSET($BO$9,DT65+1,CQ65,1,1),IF(F65&lt;OFFSET($BN$9,DT65+2,0,1,1),((F65-OFFSET($BM$9,DT65+2,0,1,1))*OFFSET($CH$9,DT65+2,0,1,1))+OFFSET($BO$9,DT65+2,CQ65,1,1),IF(F65&lt;OFFSET($BN$9,DT65+3,0,1,1),((F65-OFFSET($BM$9,DT65+3,0,1,1))*OFFSET($CH$9,DT65+3,0,1,1))+OFFSET($BO$9,DT65+3,CQ65,1,1),0))))))</f>
        <v>0</v>
      </c>
      <c r="DV65" s="51">
        <f ca="1">IF($F65&lt;OFFSET($BM$9,$DT65-1,0,1,1),0,IF($F65&lt;OFFSET($BN$9,$DT65-1,0,1,1),IF(AND($H65&gt;2.4,Z65&lt;&gt;"e",Z65&lt;&gt;"f"),DZ65*2.4/$H65,DZ65),IF($F65&lt;OFFSET($BN$9,$DT65+0,0,1,1),IF(AND($H65&gt;2.4,Z65&lt;&gt;"e",Z65&lt;&gt;"f"),DZ65*2.4/$H65,DZ65),IF($F65&lt;OFFSET($BN$9,$DT65+1,0,1,1),IF(AND($H65&gt;2.4,Z65&lt;&gt;"e",Z65&lt;&gt;"f"),DZ65*2.4/$H65,DZ65),IF($F65&lt;OFFSET($BN$9,$DT65+2,0,1,1),IF(AND($H65&gt;2.4,Z65&lt;&gt;"e",Z65&lt;&gt;"f"),DZ65*2.4/$H65,DZ65),IF($F65&lt;OFFSET($BN$9,$DT65+3,0,1,1),IF(AND($H65&gt;2.4,Z65&lt;&gt;"e",Z65&lt;&gt;"f"),DZ65*2.4/$H65,DZ65),0)))))*COS(RADIANS($G65)))</f>
        <v>0</v>
      </c>
      <c r="DW65" s="188">
        <f ca="1">IF(F65&lt;OFFSET($BM$9,DT65-1,0,1,1),0,IF(F65&lt;OFFSET($BN$9,DT65-1,0,1,1),((F65-OFFSET($BM$9,DT65-1,0,1,1))*OFFSET($CI$9,DT65-1,0,1,1))+OFFSET($BP$9,DT65-1,CQ65,1,1),IF(F65&lt;OFFSET($BN$9,DT65+0,0,1,1),((F65-OFFSET($BM$9,DT65+0,0,1,1))*OFFSET($CI$9,DT65+0,0,1,1))+OFFSET($BP$9,DT65+0,CQ65,1,1),IF(F65&lt;OFFSET($BN$9,DT65+1,0,1,1),((F65-OFFSET($BM$9,DT65+1,0,1,1))*OFFSET($CI$9,DT65+1,0,1,1))+OFFSET($BP$9,DT65+1,CQ65,1,1),IF(F65&lt;OFFSET($BN$9,DT65+2,0,1,1),((F65-OFFSET($BM$9,DT65+2,0,1,1))*OFFSET($CI$9,DT65+2,0,1,1))+OFFSET($BP$9,DT65+2,CQ65,1,1),IF(F65&lt;OFFSET($BN$9,DT65+3,0,1,1),((F65-OFFSET($BM$9,DT65+3,0,1,1))*OFFSET($CI$9,DT65+3,0,1,1))+OFFSET($BP$9,DT65+3,CQ65,1,1),0))))))</f>
        <v>0</v>
      </c>
      <c r="DX65" s="51">
        <f ca="1">IF($F65&lt;OFFSET($BM$9,$DT65-1,0,1,1),0,IF($F65&lt;OFFSET($BN$9,$DT65-1,0,1,1),IF(AND($H65&gt;2.4,Z65&lt;&gt;"e",Z65&lt;&gt;"f"),EB65*2.4/$H65,EB65),IF($F65&lt;OFFSET($BN$9,$DT65+0,0,1,1),IF(AND($H65&gt;2.4,Z65&lt;&gt;"e",Z65&lt;&gt;"f"),EB65*2.4/$H65,EB65),IF($F65&lt;OFFSET($BN$9,$DT65+1,0,1,1),IF(AND($H65&gt;2.4,Z65&lt;&gt;"e",Z65&lt;&gt;"f"),EB65*2.4/$H65,EB65),IF($F65&lt;OFFSET($BN$9,$DT65+2,0,1,1),IF(AND($H65&gt;2.4,Z65&lt;&gt;"e",Z65&lt;&gt;"f"),EB65*2.4/$H65,EB65),IF($F65&lt;OFFSET($BN$9,$DT65+3,0,1,1),IF(AND($H65&gt;2.4,Z65&lt;&gt;"e",Z65&lt;&gt;"f"),EB65*2.4/$H65,EB65),0)))))*COS(RADIANS($G65)))</f>
        <v>0</v>
      </c>
      <c r="DY65" s="188"/>
      <c r="DZ65" s="188">
        <f ca="1">IF(DU65&gt;$CR65,$CR65,DU65)</f>
        <v>0</v>
      </c>
      <c r="EA65" s="188"/>
      <c r="EB65" s="188">
        <f ca="1">IF(DW65&gt;$CR65,$CR65,DW65)</f>
        <v>0</v>
      </c>
      <c r="EC65" s="435">
        <f ca="1">IF(DV65&gt;$CR65,$CR65,DV65)</f>
        <v>0</v>
      </c>
      <c r="ED65" s="435">
        <f ca="1">EC65*F65</f>
        <v>0</v>
      </c>
      <c r="EE65" s="436">
        <f ca="1">IF(DX65&gt;$CR65,$CR65,DX65)</f>
        <v>0</v>
      </c>
      <c r="EF65" s="437">
        <f ca="1">EE65*F65</f>
        <v>0</v>
      </c>
      <c r="EG65" s="613" t="str">
        <f>IF(D65=BG$12,BG$12,"")</f>
        <v/>
      </c>
      <c r="EH65" s="614" t="str">
        <f>IF(D65=BG$13,BG$13,"")</f>
        <v/>
      </c>
      <c r="EI65" s="611">
        <f>IF(EG65=BG$12,M65,0)</f>
        <v>0</v>
      </c>
      <c r="EJ65" s="451">
        <f>IF(EG65=BG$12,O65,0)</f>
        <v>0</v>
      </c>
      <c r="EK65" s="451">
        <f>IF(EH65=BG$13,M65,0)</f>
        <v>0</v>
      </c>
      <c r="EL65" s="612">
        <f>IF(EH65=BG$13,O65,0)</f>
        <v>0</v>
      </c>
      <c r="EM65" s="426" t="str">
        <f ca="1">IF(AND(Z65&lt;&gt;"t",Z65&lt;&gt;"f"),"",IF(AND(EN65=$BH$11,K65&lt;&gt;EN65),EM$4,IF(AND(EN65=$BH$12,K65=$BH$13),EM$4,IF(AND(EN65=$BH$12,K65=$BH$14),EM$4,IF(AND(EN65=$BH$13,K65=$BH$14),$EM$4,IF(EN65=$BH$14,$EM$4,""))))))</f>
        <v/>
      </c>
      <c r="EN65" s="489" t="str">
        <f>BG$24</f>
        <v>Earth</v>
      </c>
      <c r="EO65" s="426" t="str">
        <f>K65</f>
        <v xml:space="preserve"> </v>
      </c>
      <c r="EP65" s="497" t="str">
        <f ca="1">IF(AND(Z65&lt;&gt;"t",Z65&lt;&gt;"f"),"",IF(AND(EN65=$BH$14,K65&lt;&gt;EN65),EP$4,IF(AND(EN65=$BH$13,K65=$BH$12),EP$4,IF(AND(EN65=$BH$13,K65=$BH$11),EP$4,IF(AND(EN65=$BH$12,K65=$BH$11),$EP$4,IF(EN65=$BH$11,"Earth",""))))))</f>
        <v/>
      </c>
      <c r="EQ65" s="430" t="str">
        <f ca="1">IF(Z65&lt;&gt;"t","",IF(EQ$5=2,IF(K65&lt;&gt;BH$11,EQ$7," ")))</f>
        <v/>
      </c>
      <c r="ER65" s="439" t="str">
        <f ca="1">IF(H65=0," ",H65)</f>
        <v xml:space="preserve"> </v>
      </c>
      <c r="ES65" s="440" t="str">
        <f ca="1">IF(ER65&lt;&gt;" ",IF(ER65&lt;&gt;ER$7,"Changed",""),"")</f>
        <v/>
      </c>
      <c r="ET65" s="440">
        <f t="shared" ca="1" si="19"/>
        <v>0</v>
      </c>
      <c r="EU65" s="426" t="str">
        <f ca="1">IF(I65=" "," ",IF(F65&lt;OFFSET($BM$9,CL65-1,0,1,1),1,""))</f>
        <v xml:space="preserve"> </v>
      </c>
      <c r="EW65" s="427"/>
    </row>
    <row r="66" spans="1:153" ht="17.100000000000001" customHeight="1" thickBot="1">
      <c r="A66" s="2685"/>
      <c r="B66" s="689" t="s">
        <v>246</v>
      </c>
      <c r="C66" s="684" t="str">
        <f>IF(OR(F66=0,I66="",I66=" ")," ",$V66)</f>
        <v xml:space="preserve"> </v>
      </c>
      <c r="D66" s="1033"/>
      <c r="E66" s="1360" t="s">
        <v>8</v>
      </c>
      <c r="F66" s="202"/>
      <c r="G66" s="1416"/>
      <c r="H66" s="1417" t="str">
        <f ca="1">IF(OR(F66=0,Z66="E",Z66="f")," ",'Project Demand'!E$55)</f>
        <v xml:space="preserve"> </v>
      </c>
      <c r="I66" s="631" t="str">
        <f>IF($I$6&lt;&gt;$BG$8," ",AB66)</f>
        <v xml:space="preserve"> </v>
      </c>
      <c r="J66" s="44" t="str">
        <f ca="1">IF(OR(I66=" ",I66="")," ",OFFSET($BO$9,CL66-1,0-4,1,1))</f>
        <v xml:space="preserve"> </v>
      </c>
      <c r="K66" s="55" t="str">
        <f>IF(OR(I66=" ",I66="")," ",IF(OR(Z66="e",Z66="h"),"SD",IF(BG$24=BH$11,BH$13,BG$24)))</f>
        <v xml:space="preserve"> </v>
      </c>
      <c r="L66" s="49">
        <f ca="1">CW66</f>
        <v>0</v>
      </c>
      <c r="M66" s="49">
        <f ca="1">CY66</f>
        <v>0</v>
      </c>
      <c r="N66" s="50">
        <f t="shared" ca="1" si="45"/>
        <v>0</v>
      </c>
      <c r="O66" s="126">
        <f t="shared" ca="1" si="45"/>
        <v>0</v>
      </c>
      <c r="P66" s="140"/>
      <c r="Q66" s="752" t="str">
        <f ca="1">IF(AND(OR(Z66="t",Z66="f"),K66=$BH$11),"No Floor!  Change Floor Type",IF(OR(I66=" ",I66="")," ",IF(F66&lt;OFFSET($BM$9,CL66-1,0,1,1),"check L(m)",DE66&amp;IF(AND(DP66&gt;=CY66,DR66&gt;=DB66),IF(AND(ED66&gt;=DP66,EF66&gt;=DR66),CONCATENATE(DS66," will provide same result"),CONCATENATE(CO66," will provide same result")),IF((DP66&gt;=CY66),CONCATENATE(CO66," provides same result in WIND"),IF((DR66&gt;=DB66),CONCATENATE(CO66," provides same result in EQ"),""))))))&amp;IF(ISERROR(FIND("pile",I66,1)),"",IF(INT(F66)&lt;&gt;F66,"Pile!  Use Whole Numbers Only",""))</f>
        <v xml:space="preserve"> </v>
      </c>
      <c r="R66" s="52"/>
      <c r="S66" s="1372"/>
      <c r="T66" s="1372"/>
      <c r="U66" s="1377"/>
      <c r="V66" s="52" t="str">
        <f ca="1">IF(AND(B$5=$BF$9,OR(I66=BH$16,I66=BH$17))," ",IF(ISNUMBER(B$62),(CONCATENATE(B$62,".",W66)),(CONCATENATE(B$62,W66))))</f>
        <v>V0</v>
      </c>
      <c r="W66" s="9">
        <f ca="1">W65+X66</f>
        <v>0</v>
      </c>
      <c r="X66" s="9">
        <f>IF(AND(B$5=$BF$9,OR($I66=$BH$16,$I66=$BH$17,$I66=" ",$I66="",$F66=0)),0,IF(OR($I66=" ",$I66="",$F66=0),0,1))</f>
        <v>0</v>
      </c>
      <c r="Y66" s="896"/>
      <c r="Z66" s="52" t="str">
        <f ca="1">IF(I66=" "," ",OFFSET($BM$9,$CL66-1,8,1,1))</f>
        <v xml:space="preserve"> </v>
      </c>
      <c r="AA66" s="51" t="str">
        <f>IF(G66&gt;=45,"WA","")</f>
        <v/>
      </c>
      <c r="AB66" s="1364" t="str">
        <f>IF(OR(E66=" ",E66="")," ",(IF(F66&lt;&gt;"",IF(OR(D66=$BG$12,D66=$BG$13),IF(E66&lt;&gt;$BG$17,$BF$20,$BF$21),IF(E66&lt;&gt;$BG$17,$BF$20,$BF$21))," ")))</f>
        <v xml:space="preserve"> </v>
      </c>
      <c r="AC66" s="1"/>
      <c r="AJ66" s="2"/>
      <c r="AK66" s="63" t="str">
        <f>'Custom Elements'!B27</f>
        <v xml:space="preserve">  </v>
      </c>
      <c r="AL66" s="860" t="str">
        <f>'Custom Elements'!C27</f>
        <v>Custom19</v>
      </c>
      <c r="AM66" s="11">
        <f>'Custom Elements'!D27</f>
        <v>9.9999999999999996E-76</v>
      </c>
      <c r="AN66" s="7">
        <f>'Custom Elements'!E27</f>
        <v>0</v>
      </c>
      <c r="AO66" s="7">
        <f>'Custom Elements'!F27</f>
        <v>0</v>
      </c>
      <c r="AP66" s="762" t="str">
        <f>'Custom Elements'!G27</f>
        <v>B</v>
      </c>
      <c r="AQ66" s="1777" t="str">
        <f>'Custom Elements'!H27</f>
        <v>Single</v>
      </c>
      <c r="AR66" s="1775" t="str">
        <f>'Custom Elements'!I27</f>
        <v>Yes</v>
      </c>
      <c r="AS66" s="442" t="str">
        <f>'Custom Elements'!J27</f>
        <v>Yes</v>
      </c>
      <c r="AT66" s="1155"/>
      <c r="AU66"/>
      <c r="AW66"/>
      <c r="AY66"/>
      <c r="AZ66" s="442" t="str">
        <f>IF(AND('Custom Elements'!J27="Yes",'Custom Elements'!I27="Yes"),"T",IF('Custom Elements'!J27="Yes","F",IF('Custom Elements'!I27="Yes","H","E")))</f>
        <v>T</v>
      </c>
      <c r="BA66" s="1"/>
      <c r="BB66" s="1"/>
      <c r="BC66" s="1"/>
      <c r="BD66" s="641"/>
      <c r="BE66" s="2715" t="s">
        <v>862</v>
      </c>
      <c r="BF66" s="2716"/>
      <c r="BG66" s="2838"/>
      <c r="BH66" s="479"/>
      <c r="BI66" s="759"/>
      <c r="BJ66" s="897">
        <f t="shared" si="37"/>
        <v>58</v>
      </c>
      <c r="BK66" s="908"/>
      <c r="BL66" s="767"/>
      <c r="BM66" s="776">
        <f>Table!P8</f>
        <v>1.8</v>
      </c>
      <c r="BN66" s="776">
        <v>999</v>
      </c>
      <c r="BO66" s="776">
        <f>Table!Q8</f>
        <v>110</v>
      </c>
      <c r="BP66" s="926">
        <f>Table!R8</f>
        <v>84</v>
      </c>
      <c r="BQ66" s="1183"/>
      <c r="BR66" s="908"/>
      <c r="BS66" s="776"/>
      <c r="BT66" s="776"/>
      <c r="BU66" s="926" t="s">
        <v>242</v>
      </c>
      <c r="BV66" s="433"/>
      <c r="BW66" s="914"/>
      <c r="BX66" s="926" t="str">
        <f>Table!T5</f>
        <v>Single</v>
      </c>
      <c r="CH66" s="908">
        <f>IF(BN66=999,0,(BO67-BO66)/(BN66-BM66))</f>
        <v>0</v>
      </c>
      <c r="CI66" s="926">
        <f>IF(BN66=999,0,(BP67-BP66)/(BN66-BM66))</f>
        <v>0</v>
      </c>
      <c r="CJ66" s="759"/>
      <c r="CK66" s="188"/>
      <c r="CL66" s="979">
        <f>VLOOKUP(I66,Prodlink,2,0)</f>
        <v>0</v>
      </c>
      <c r="CN66" s="497">
        <f t="shared" ca="1" si="35"/>
        <v>0</v>
      </c>
      <c r="CO66" s="497">
        <f ca="1">OFFSET($CH$9,CL66-1,-15,1,1)</f>
        <v>0</v>
      </c>
      <c r="CQ66" s="51">
        <v>0</v>
      </c>
      <c r="CR66" s="51">
        <f t="shared" ca="1" si="46"/>
        <v>10000</v>
      </c>
      <c r="CS66" s="51">
        <f ca="1">IF(F66&lt;OFFSET($BM$9,CL66-1,0,1,1),0,IF(F66&lt;OFFSET($BN$9,CL66-1,0,1,1),((F66-OFFSET($BM$9,CL66-1,0,1,1))*OFFSET($CH$9,CL66-1,0,1,1))+OFFSET($BO$9,CL66-1,CQ66,1,1),IF(F66&lt;OFFSET($BN$9,CL66+0,0,1,1),((F66-OFFSET($BM$9,CL66+0,0,1,1))*OFFSET($CH$9,CL66+0,0,1,1))+OFFSET($BO$9,CL66+0,CQ66,1,1),IF(F66&lt;OFFSET($BN$9,CL66+1,0,1,1),((F66-OFFSET($BM$9,CL66+1,0,1,1))*OFFSET($CH$9,CL66+1,0,1,1))+OFFSET($BO$9,CL66+1,CQ66,1,1),IF(F66&lt;OFFSET($BN$9,CL66+2,0,1,1),((F66-OFFSET($BM$9,CL66+2,0,1,1))*OFFSET($CH$9,CL66+2,0,1,1))+OFFSET($BO$9,CL66+2,CQ66,1,1),IF(F66&lt;OFFSET($BN$9,CL66+3,0,1,1),((F66-OFFSET($BM$9,CL66+3,0,1,1))*OFFSET($CH$9,CL66+3,0,1,1))+OFFSET($BO$9,CL66+3,CQ66,1,1),0))))))</f>
        <v>0</v>
      </c>
      <c r="CT66" s="51">
        <f ca="1">IF($F66&lt;OFFSET($BM$9,$CL66-1,0,1,1),0,IF($F66&lt;OFFSET($BN$9,$CL66-1,0,1,1),IF(AND($H66&gt;2.4,Z66&lt;&gt;"e",Z66&lt;&gt;"f"),CX66*2.4/$H66,CX66),IF($F66&lt;OFFSET($BN$9,$CL66+0,0,1,1),IF(AND($H66&gt;2.4,Z66&lt;&gt;"e",Z66&lt;&gt;"f"),CX66*2.4/$H66,CX66),IF($F66&lt;OFFSET($BN$9,$CL66+1,0,1,1),IF(AND($H66&gt;2.4,Z66&lt;&gt;"e",Z66&lt;&gt;"f"),CX66*2.4/$H66,CX66),IF($F66&lt;OFFSET($BN$9,CL66+2,0,1,1),IF(AND($H66&gt;2.4,Z66&lt;&gt;"e",Z66&lt;&gt;"f"),CX66*2.4/$H66,CX66),IF($F66&lt;OFFSET($BN$9,CL66+3,0,1,1),IF(AND($H66&gt;2.4,Z66&lt;&gt;"e",Z66&lt;&gt;"f"),CX66*2.4/$H66,CX66),0)))))*COS(RADIANS($G66)))</f>
        <v>0</v>
      </c>
      <c r="CU66" s="51">
        <f ca="1">IF(F66&lt;OFFSET($BM$9,CL66-1,0,1,1),0,IF(F66&lt;OFFSET($BN$9,CL66-1,0,1,1),((F66-OFFSET($BM$9,CL66-1,0,1,1))*OFFSET($CI$9,CL66-1,0,1,1))+OFFSET($BP$9,CL66-1,CQ66,1,1),IF(F66&lt;OFFSET($BN$9,CL66+0,0,1,1),((F66-OFFSET($BM$9,CL66+0,0,1,1))*OFFSET($CI$9,CL66+0,0,1,1))+OFFSET($BP$9,CL66+0,CQ66,1,1),IF(F66&lt;OFFSET($BN$9,CL66+1,0,1,1),((F66-OFFSET($BM$9,CL66+1,0,1,1))*OFFSET($CI$9,CL66+1,0,1,1))+OFFSET($BP$9,CL66+1,CQ66,1,1),IF(F66&lt;OFFSET($BN$9,CL66+2,0,1,1),((F66-OFFSET($BM$9,CL66+2,0,1,1))*OFFSET($CI$9,CL66+2,0,1,1))+OFFSET($BP$9,CL66+2,CQ66,1,1),IF(F66&lt;OFFSET($BN$9,CL66+3,0,1,1),((F66-OFFSET($BM$9,CL66+3,0,1,1))*OFFSET($CI$9,CL66+3,0,1,1))+OFFSET($BP$9,CL66+3,CQ66,1,1),0))))))</f>
        <v>0</v>
      </c>
      <c r="CV66" s="51">
        <f ca="1">IF($F66&lt;OFFSET($BM$9,$CL66-1,0,1,1),0,IF($F66&lt;OFFSET($BN$9,$CL66-1,0,1,1),IF(AND($H66&gt;2.4,Z66&lt;&gt;"e",Z66&lt;&gt;"f"),CZ66*2.4/$H66,CZ66),IF($F66&lt;OFFSET($BN$9,$CL66+0,0,1,1),IF(AND($H66&gt;2.4,Z66&lt;&gt;"e",Z66&lt;&gt;"f"),CZ66*2.4/$H66,CZ66),IF($F66&lt;OFFSET($BN$9,$CL66+1,0,1,1),IF(AND($H66&gt;2.4,Z66&lt;&gt;"e",Z66&lt;&gt;"f"),CZ66*2.4/$H66,CZ66),IF($F66&lt;OFFSET($BN$9,$CL66+2,0,1,1),IF(AND($H66&gt;2.4,Z66&lt;&gt;"e",Z66&lt;&gt;"f"),CZ66*2.4/$H66,CZ66),IF($F66&lt;OFFSET($BN$9,$CL66+3,0,1,1),IF(AND($H66&gt;2.4,Z66&lt;&gt;"e",Z66&lt;&gt;"f"),CZ66*2.4/$H66,CZ66),0)))))*COS(RADIANS($G66)))</f>
        <v>0</v>
      </c>
      <c r="CW66" s="51">
        <f t="shared" ca="1" si="18"/>
        <v>0</v>
      </c>
      <c r="CX66" s="51">
        <f ca="1">IF(CS66&gt;$CR66,$CR66,CS66)</f>
        <v>0</v>
      </c>
      <c r="CY66" s="51">
        <f ca="1">CW66*F66</f>
        <v>0</v>
      </c>
      <c r="CZ66" s="51">
        <f ca="1">IF($CU66&gt;$CR66,$CR66,$CU66)</f>
        <v>0</v>
      </c>
      <c r="DA66" s="51">
        <f ca="1">IF(CV66&gt;CR66,CR66,CV66)</f>
        <v>0</v>
      </c>
      <c r="DB66" s="51">
        <f ca="1">DA66*F66</f>
        <v>0</v>
      </c>
      <c r="DC66" s="993">
        <v>1</v>
      </c>
      <c r="DD66" s="758" t="str">
        <f>IF(OR(D66=BG$12,D66=BG$13),"External",IF(D66=BG$14,"Internal"," "))</f>
        <v xml:space="preserve"> </v>
      </c>
      <c r="DE66" s="51" t="str">
        <f t="shared" ca="1" si="4"/>
        <v/>
      </c>
      <c r="DF66" s="52" t="str">
        <f t="shared" ca="1" si="5"/>
        <v xml:space="preserve"> </v>
      </c>
      <c r="DG66" s="51">
        <f ca="1">IF(F66&lt;OFFSET($BM$9,CN66-1,0,1,1),0,IF(F66&lt;OFFSET($BN$9,CN66-1,0,1,1),((F66-OFFSET($BM$9,CN66-1,0,1,1))*OFFSET($CH$9,CN66-1,0,1,1))+OFFSET($BO$9,CN66-1,CQ66,1,1),IF(F66&lt;OFFSET($BN$9,CN66+0,0,1,1),((F66-OFFSET($BM$9,CN66+0,0,1,1))*OFFSET($CH$9,CN66+0,0,1,1))+OFFSET($BO$9,CN66+0,CQ66,1,1),IF(F66&lt;OFFSET($BN$9,CN66+1,0,1,1),((F66-OFFSET($BM$9,CN66+1,0,1,1))*OFFSET($CH$9,CN66+1,0,1,1))+OFFSET($BO$9,CN66+1,CQ66,1,1),IF(F66&lt;OFFSET($BN$9,CN66+2,0,1,1),((F66-OFFSET($BM$9,CN66+2,0,1,1))*OFFSET($CH$9,CN66+2,0,1,1))+OFFSET($BO$9,CN66+2,CQ66,1,1),IF(F66&lt;OFFSET($BN$9,CN66+3,0,1,1),((F66-OFFSET($BM$9,CN66+3,0,1,1))*OFFSET($CH$9,CN66+3,0,1,1))+OFFSET($BO$9,CN66+3,CQ66,1,1),0))))))</f>
        <v>0</v>
      </c>
      <c r="DH66" s="51">
        <f ca="1">IF($F66&lt;OFFSET($BM$9,$CN66-1,0,1,1),0,IF($F66&lt;OFFSET($BN$9,$CN66-1,0,1,1),IF(AND($H66&gt;2.4,Z66&lt;&gt;"e",Z66&lt;&gt;"f"),DL66*2.4/$H66,DL66),IF($F66&lt;OFFSET($BN$9,$CN66+0,0,1,1),IF(AND($H66&gt;2.4,Z66&lt;&gt;"e",Z66&lt;&gt;"f"),DL66*2.4/$H66,DL66),IF($F66&lt;OFFSET($BN$9,$CN66+1,0,1,1),IF(AND($H66&gt;2.4,Z66&lt;&gt;"e",Z66&lt;&gt;"f"),DL66*2.4/$H66,DL66),IF($F66&lt;OFFSET($BN$9,$CN66+2,0,1,1),IF(AND($H66&gt;2.4,Z66&lt;&gt;"e",Z66&lt;&gt;"f"),DL66*2.4/$H66,DL66),IF($F66&lt;OFFSET($BN$9,$CN66+3,0,1,1),IF(AND($H66&gt;2.4,Z66&lt;&gt;"e",Z66&lt;&gt;"f"),DL66*2.4/$H66,DL66),0)))))*COS(RADIANS($G66)))</f>
        <v>0</v>
      </c>
      <c r="DI66" s="51">
        <f ca="1">IF(F66&lt;OFFSET($BM$9,CN66-1,0,1,1),0,IF(F66&lt;OFFSET($BN$9,CN66-1,0,1,1),((F66-OFFSET($BM$9,CN66-1,0,1,1))*OFFSET($CI$9,CN66-1,0,1,1))+OFFSET($BP$9,CN66-1,CQ66,1,1),IF(F66&lt;OFFSET($BN$9,CN66+0,0,1,1),((F66-OFFSET($BM$9,CN66+0,0,1,1))*OFFSET($CI$9,CN66+0,0,1,1))+OFFSET($BP$9,CN66+0,CQ66,1,1),IF(F66&lt;OFFSET($BN$9,CN66+1,0,1,1),((F66-OFFSET($BM$9,CN66+1,0,1,1))*OFFSET($CI$9,CN66+1,0,1,1))+OFFSET($BP$9,CN66+1,CQ66,1,1),IF(F66&lt;OFFSET($BN$9,CN66+2,0,1,1),((F66-OFFSET($BM$9,CN66+2,0,1,1))*OFFSET($CI$9,CN66+2,0,1,1))+OFFSET($BP$9,CN66+2,CQ66,1,1),IF(F66&lt;OFFSET($BN$9,CN66+3,0,1,1),((F66-OFFSET($BM$9,CN66+3,0,1,1))*OFFSET($CI$9,CN66+3,0,1,1))+OFFSET($BP$9,CN66+3,CQ66,1,1),0))))))</f>
        <v>0</v>
      </c>
      <c r="DJ66" s="51">
        <f ca="1">IF($F66&lt;OFFSET($BM$9,$CN66-1,0,1,1),0,IF($F66&lt;OFFSET($BN$9,$CN66-1,0,1,1),IF(AND($H66&gt;2.4,Z66&lt;&gt;"e",Z66&lt;&gt;"f"),DN66*2.4/$H66,DN66),IF($F66&lt;OFFSET($BN$9,$CN66+0,0,1,1),IF(AND($H66&gt;2.4,Z66&lt;&gt;"e",Z66&lt;&gt;"f"),DN66*2.4/$H66,DN66),IF($F66&lt;OFFSET($BN$9,$CN66+1,0,1,1),IF(AND($H66&gt;2.4,Z66&lt;&gt;"e",Z66&lt;&gt;"f"),DN66*2.4/$H66,DN66),IF($F66&lt;OFFSET($BN$9,$CN66+2,0,1,1),IF(AND($H66&gt;2.4,Z66&lt;&gt;"e",Z66&lt;&gt;"f"),DN66*2.4/$H66,DN66),IF($F66&lt;OFFSET($BN$9,$CN66+3,0,1,1),IF(AND($H66&gt;2.4,Z66&lt;&gt;"e",Z66&lt;&gt;"f"),DN66*2.4/$H66,DN66),0)))))*COS(RADIANS($G66)))</f>
        <v>0</v>
      </c>
      <c r="DK66" s="51"/>
      <c r="DL66" s="51">
        <f ca="1">IF(DG66&gt;$CR66,$CR66,DG66)</f>
        <v>0</v>
      </c>
      <c r="DM66" s="51"/>
      <c r="DN66" s="51">
        <f ca="1">IF(DI66&gt;$CR66,$CR66,DI66)</f>
        <v>0</v>
      </c>
      <c r="DO66" s="435">
        <f ca="1">IF(DH66&gt;$CR66,$CR66,DH66)</f>
        <v>0</v>
      </c>
      <c r="DP66" s="435">
        <f ca="1">DO66*F66</f>
        <v>0</v>
      </c>
      <c r="DQ66" s="436">
        <f ca="1">IF(DJ66&gt;$CR66,$CR66,DJ66)</f>
        <v>0</v>
      </c>
      <c r="DR66" s="437">
        <f ca="1">DQ66*F66</f>
        <v>0</v>
      </c>
      <c r="DS66" s="426">
        <f ca="1">OFFSET($CH$9,CL66-1,-15,1,1)</f>
        <v>0</v>
      </c>
      <c r="DT66" s="426">
        <f t="shared" ca="1" si="36"/>
        <v>0</v>
      </c>
      <c r="DU66" s="188">
        <f ca="1">IF(F66&lt;OFFSET($BM$9,DT66-1,0,1,1),0,IF(F66&lt;OFFSET($BN$9,DT66-1,0,1,1),((F66-OFFSET($BM$9,DT66-1,0,1,1))*OFFSET($CH$9,DT66-1,0,1,1))+OFFSET($BO$9,DT66-1,CQ66,1,1),IF(F66&lt;OFFSET($BN$9,DT66+0,0,1,1),((F66-OFFSET($BM$9,DT66+0,0,1,1))*OFFSET($CH$9,DT66+0,0,1,1))+OFFSET($BO$9,DT66+0,CQ66,1,1),IF(F66&lt;OFFSET($BN$9,DT66+1,0,1,1),((F66-OFFSET($BM$9,DT66+1,0,1,1))*OFFSET($CH$9,DT66+1,0,1,1))+OFFSET($BO$9,DT66+1,CQ66,1,1),IF(F66&lt;OFFSET($BN$9,DT66+2,0,1,1),((F66-OFFSET($BM$9,DT66+2,0,1,1))*OFFSET($CH$9,DT66+2,0,1,1))+OFFSET($BO$9,DT66+2,CQ66,1,1),IF(F66&lt;OFFSET($BN$9,DT66+3,0,1,1),((F66-OFFSET($BM$9,DT66+3,0,1,1))*OFFSET($CH$9,DT66+3,0,1,1))+OFFSET($BO$9,DT66+3,CQ66,1,1),0))))))</f>
        <v>0</v>
      </c>
      <c r="DV66" s="51">
        <f ca="1">IF($F66&lt;OFFSET($BM$9,$DT66-1,0,1,1),0,IF($F66&lt;OFFSET($BN$9,$DT66-1,0,1,1),IF(AND($H66&gt;2.4,Z66&lt;&gt;"e",Z66&lt;&gt;"f"),DZ66*2.4/$H66,DZ66),IF($F66&lt;OFFSET($BN$9,$DT66+0,0,1,1),IF(AND($H66&gt;2.4,Z66&lt;&gt;"e",Z66&lt;&gt;"f"),DZ66*2.4/$H66,DZ66),IF($F66&lt;OFFSET($BN$9,$DT66+1,0,1,1),IF(AND($H66&gt;2.4,Z66&lt;&gt;"e",Z66&lt;&gt;"f"),DZ66*2.4/$H66,DZ66),IF($F66&lt;OFFSET($BN$9,$DT66+2,0,1,1),IF(AND($H66&gt;2.4,Z66&lt;&gt;"e",Z66&lt;&gt;"f"),DZ66*2.4/$H66,DZ66),IF($F66&lt;OFFSET($BN$9,$DT66+3,0,1,1),IF(AND($H66&gt;2.4,Z66&lt;&gt;"e",Z66&lt;&gt;"f"),DZ66*2.4/$H66,DZ66),0)))))*COS(RADIANS($G66)))</f>
        <v>0</v>
      </c>
      <c r="DW66" s="188">
        <f ca="1">IF(F66&lt;OFFSET($BM$9,DT66-1,0,1,1),0,IF(F66&lt;OFFSET($BN$9,DT66-1,0,1,1),((F66-OFFSET($BM$9,DT66-1,0,1,1))*OFFSET($CI$9,DT66-1,0,1,1))+OFFSET($BP$9,DT66-1,CQ66,1,1),IF(F66&lt;OFFSET($BN$9,DT66+0,0,1,1),((F66-OFFSET($BM$9,DT66+0,0,1,1))*OFFSET($CI$9,DT66+0,0,1,1))+OFFSET($BP$9,DT66+0,CQ66,1,1),IF(F66&lt;OFFSET($BN$9,DT66+1,0,1,1),((F66-OFFSET($BM$9,DT66+1,0,1,1))*OFFSET($CI$9,DT66+1,0,1,1))+OFFSET($BP$9,DT66+1,CQ66,1,1),IF(F66&lt;OFFSET($BN$9,DT66+2,0,1,1),((F66-OFFSET($BM$9,DT66+2,0,1,1))*OFFSET($CI$9,DT66+2,0,1,1))+OFFSET($BP$9,DT66+2,CQ66,1,1),IF(F66&lt;OFFSET($BN$9,DT66+3,0,1,1),((F66-OFFSET($BM$9,DT66+3,0,1,1))*OFFSET($CI$9,DT66+3,0,1,1))+OFFSET($BP$9,DT66+3,CQ66,1,1),0))))))</f>
        <v>0</v>
      </c>
      <c r="DX66" s="51">
        <f ca="1">IF($F66&lt;OFFSET($BM$9,$DT66-1,0,1,1),0,IF($F66&lt;OFFSET($BN$9,$DT66-1,0,1,1),IF(AND($H66&gt;2.4,Z66&lt;&gt;"e",Z66&lt;&gt;"f"),EB66*2.4/$H66,EB66),IF($F66&lt;OFFSET($BN$9,$DT66+0,0,1,1),IF(AND($H66&gt;2.4,Z66&lt;&gt;"e",Z66&lt;&gt;"f"),EB66*2.4/$H66,EB66),IF($F66&lt;OFFSET($BN$9,$DT66+1,0,1,1),IF(AND($H66&gt;2.4,Z66&lt;&gt;"e",Z66&lt;&gt;"f"),EB66*2.4/$H66,EB66),IF($F66&lt;OFFSET($BN$9,$DT66+2,0,1,1),IF(AND($H66&gt;2.4,Z66&lt;&gt;"e",Z66&lt;&gt;"f"),EB66*2.4/$H66,EB66),IF($F66&lt;OFFSET($BN$9,$DT66+3,0,1,1),IF(AND($H66&gt;2.4,Z66&lt;&gt;"e",Z66&lt;&gt;"f"),EB66*2.4/$H66,EB66),0)))))*COS(RADIANS($G66)))</f>
        <v>0</v>
      </c>
      <c r="DY66" s="188"/>
      <c r="DZ66" s="188">
        <f ca="1">IF(DU66&gt;$CR66,$CR66,DU66)</f>
        <v>0</v>
      </c>
      <c r="EA66" s="188"/>
      <c r="EB66" s="188">
        <f ca="1">IF(DW66&gt;$CR66,$CR66,DW66)</f>
        <v>0</v>
      </c>
      <c r="EC66" s="435">
        <f ca="1">IF(DV66&gt;$CR66,$CR66,DV66)</f>
        <v>0</v>
      </c>
      <c r="ED66" s="435">
        <f ca="1">EC66*F66</f>
        <v>0</v>
      </c>
      <c r="EE66" s="436">
        <f ca="1">IF(DX66&gt;$CR66,$CR66,DX66)</f>
        <v>0</v>
      </c>
      <c r="EF66" s="437">
        <f ca="1">EE66*F66</f>
        <v>0</v>
      </c>
      <c r="EG66" s="615" t="str">
        <f>IF(D66=BG$12,BG$12,"")</f>
        <v/>
      </c>
      <c r="EH66" s="616" t="str">
        <f>IF(D66=BG$13,BG$13,"")</f>
        <v/>
      </c>
      <c r="EI66" s="611">
        <f>IF(EG66=BG$12,M66,0)</f>
        <v>0</v>
      </c>
      <c r="EJ66" s="451">
        <f>IF(EG66=BG$12,O66,0)</f>
        <v>0</v>
      </c>
      <c r="EK66" s="451">
        <f>IF(EH66=BG$13,M66,0)</f>
        <v>0</v>
      </c>
      <c r="EL66" s="612">
        <f>IF(EH66=BG$13,O66,0)</f>
        <v>0</v>
      </c>
      <c r="EM66" s="426" t="str">
        <f ca="1">IF(AND(Z66&lt;&gt;"t",Z66&lt;&gt;"f"),"",IF(AND(EN66=$BH$11,K66&lt;&gt;EN66),EM$4,IF(AND(EN66=$BH$12,K66=$BH$13),EM$4,IF(AND(EN66=$BH$12,K66=$BH$14),EM$4,IF(AND(EN66=$BH$13,K66=$BH$14),$EM$4,IF(EN66=$BH$14,$EM$4,""))))))</f>
        <v/>
      </c>
      <c r="EN66" s="489" t="str">
        <f>BG$24</f>
        <v>Earth</v>
      </c>
      <c r="EO66" s="426" t="str">
        <f>K66</f>
        <v xml:space="preserve"> </v>
      </c>
      <c r="EP66" s="497" t="str">
        <f ca="1">IF(AND(Z66&lt;&gt;"t",Z66&lt;&gt;"f"),"",IF(AND(EN66=$BH$14,K66&lt;&gt;EN66),EP$4,IF(AND(EN66=$BH$13,K66=$BH$12),EP$4,IF(AND(EN66=$BH$13,K66=$BH$11),EP$4,IF(AND(EN66=$BH$12,K66=$BH$11),$EP$4,IF(EN66=$BH$11,"Earth",""))))))</f>
        <v/>
      </c>
      <c r="EQ66" s="430" t="str">
        <f ca="1">IF(Z66&lt;&gt;"t","",IF(EQ$5=2,IF(K66&lt;&gt;BH$11,EQ$7," ")))</f>
        <v/>
      </c>
      <c r="ER66" s="439" t="str">
        <f ca="1">IF(H66=0," ",H66)</f>
        <v xml:space="preserve"> </v>
      </c>
      <c r="ES66" s="447" t="str">
        <f ca="1">IF(ER66&lt;&gt;" ",IF(ER66&lt;&gt;ER$7,"Changed",""),"")</f>
        <v/>
      </c>
      <c r="ET66" s="440">
        <f t="shared" ca="1" si="19"/>
        <v>0</v>
      </c>
      <c r="EU66" s="426" t="str">
        <f ca="1">IF(I66=" "," ",IF(F66&lt;OFFSET($BM$9,CL66-1,0,1,1),1,""))</f>
        <v xml:space="preserve"> </v>
      </c>
      <c r="EW66" s="427"/>
    </row>
    <row r="67" spans="1:153" ht="17.100000000000001" customHeight="1" thickBot="1">
      <c r="A67" s="2685"/>
      <c r="B67" s="2686" t="s">
        <v>8</v>
      </c>
      <c r="C67" s="2687"/>
      <c r="D67" s="1461" t="s">
        <v>8</v>
      </c>
      <c r="E67" s="659"/>
      <c r="F67" s="659"/>
      <c r="G67" s="659"/>
      <c r="H67" s="659"/>
      <c r="I67" s="1462"/>
      <c r="J67" s="1365" t="str">
        <f ca="1">(CONCATENATE(B62,$BE$54))</f>
        <v>V  Line:  Min. Requirement</v>
      </c>
      <c r="K67" s="23"/>
      <c r="L67" s="1019">
        <f ca="1">L$5</f>
        <v>0</v>
      </c>
      <c r="M67" s="48">
        <f ca="1">IF(B62=B56,SUM(M62:M66)+M61,SUM(M62:M66))</f>
        <v>0</v>
      </c>
      <c r="N67" s="1019">
        <f ca="1">N$5</f>
        <v>0</v>
      </c>
      <c r="O67" s="125">
        <f ca="1">IF(B62=B56,SUM(O62:O66)+O61,SUM(O62:O66))</f>
        <v>0</v>
      </c>
      <c r="P67" s="139"/>
      <c r="Q67" s="42" t="str">
        <f ca="1">IF(B62=B68,"",IF(AND(M67&gt;0,L67=L$5,OR(M67&lt;$M$105,M67&lt;$BF$3)),"Achieved &lt; Min Req per Line",IF(AND(O67&gt;0,N67=N$5,OR(O67&lt;$O$105,O67&lt;$BF$3)),"Achieved &lt; Min Req per Line",IF(AND(M67&gt;0,L67&gt;M67),"More Required on this line",IF(AND(O67&gt;0,N67&gt;O67),"More Required on this line",IF(AND(L67&gt;0,L67&lt;$BF$3),$BE$59,IF(AND(N67&gt;0,N67&lt;$BF$3),$BE$59,"")))))))</f>
        <v/>
      </c>
      <c r="R67" s="52"/>
      <c r="S67" s="52"/>
      <c r="T67" s="52"/>
      <c r="U67" s="1378"/>
      <c r="V67" s="52"/>
      <c r="W67" s="9"/>
      <c r="X67" s="9"/>
      <c r="Y67" s="896"/>
      <c r="Z67" s="52"/>
      <c r="AA67" s="51"/>
      <c r="AB67" s="1364"/>
      <c r="AC67" s="1"/>
      <c r="AJ67" s="2"/>
      <c r="AK67" s="200" t="str">
        <f>'Custom Elements'!B28</f>
        <v xml:space="preserve"> </v>
      </c>
      <c r="AL67" s="861" t="str">
        <f>'Custom Elements'!C28</f>
        <v>Custom20</v>
      </c>
      <c r="AM67" s="117">
        <f>'Custom Elements'!D28</f>
        <v>9.9999999999999996E-76</v>
      </c>
      <c r="AN67" s="62">
        <f>'Custom Elements'!E28</f>
        <v>0</v>
      </c>
      <c r="AO67" s="62">
        <f>'Custom Elements'!F28</f>
        <v>0</v>
      </c>
      <c r="AP67" s="762" t="str">
        <f>'Custom Elements'!G28</f>
        <v>B</v>
      </c>
      <c r="AQ67" s="1778" t="str">
        <f>'Custom Elements'!H28</f>
        <v>Single</v>
      </c>
      <c r="AR67" s="1776" t="str">
        <f>'Custom Elements'!I28</f>
        <v>Yes</v>
      </c>
      <c r="AS67" s="443" t="str">
        <f>'Custom Elements'!J28</f>
        <v>Yes</v>
      </c>
      <c r="AT67" s="1155"/>
      <c r="AU67"/>
      <c r="AW67"/>
      <c r="AY67"/>
      <c r="AZ67" s="442" t="str">
        <f>IF(AND('Custom Elements'!J28="Yes",'Custom Elements'!I28="Yes"),"T",IF('Custom Elements'!J28="Yes","F",IF('Custom Elements'!I28="Yes","H","E")))</f>
        <v>T</v>
      </c>
      <c r="BA67" s="1"/>
      <c r="BB67" s="1"/>
      <c r="BC67" s="1"/>
      <c r="BD67" s="641"/>
      <c r="BE67" s="1362" t="s">
        <v>1053</v>
      </c>
      <c r="BF67" s="1020"/>
      <c r="BG67" s="1020"/>
      <c r="BH67" s="479"/>
      <c r="BI67" s="759"/>
      <c r="BJ67" s="897">
        <f t="shared" si="37"/>
        <v>59</v>
      </c>
      <c r="BK67" s="1231"/>
      <c r="BL67" s="1234"/>
      <c r="BM67" s="1205"/>
      <c r="BN67" s="1205"/>
      <c r="BO67" s="1205"/>
      <c r="BP67" s="1205"/>
      <c r="BQ67" s="1233"/>
      <c r="BR67" s="1205"/>
      <c r="BS67" s="1205"/>
      <c r="BT67" s="1205"/>
      <c r="BU67" s="1205"/>
      <c r="BV67" s="1233"/>
      <c r="BW67" s="1235"/>
      <c r="BX67" s="1205"/>
      <c r="CH67" s="970"/>
      <c r="CI67" s="971"/>
      <c r="CJ67" s="759"/>
      <c r="CK67" s="188"/>
      <c r="CL67" s="979"/>
      <c r="CN67" s="497"/>
      <c r="CO67" s="497"/>
      <c r="CQ67" s="51"/>
      <c r="CR67" s="51"/>
      <c r="CS67" s="51"/>
      <c r="CT67" s="51" t="s">
        <v>8</v>
      </c>
      <c r="CU67" s="51"/>
      <c r="CV67" s="51" t="s">
        <v>8</v>
      </c>
      <c r="CW67" s="51"/>
      <c r="CX67" s="51"/>
      <c r="CY67" s="51"/>
      <c r="CZ67" s="51"/>
      <c r="DD67" s="758"/>
      <c r="DF67" s="52"/>
      <c r="DG67" s="51"/>
      <c r="DH67" s="51"/>
      <c r="DI67" s="51"/>
      <c r="DJ67" s="51"/>
      <c r="DK67" s="51"/>
      <c r="DL67" s="51"/>
      <c r="DM67" s="51"/>
      <c r="DN67" s="51"/>
      <c r="DO67" s="435"/>
      <c r="DP67" s="435"/>
      <c r="DQ67" s="868"/>
      <c r="DR67" s="868"/>
      <c r="DU67" s="188"/>
      <c r="DV67" s="188" t="s">
        <v>8</v>
      </c>
      <c r="DW67" s="188"/>
      <c r="DX67" s="188" t="s">
        <v>8</v>
      </c>
      <c r="DY67" s="188"/>
      <c r="DZ67" s="188"/>
      <c r="EA67" s="188"/>
      <c r="EB67" s="188"/>
      <c r="EC67" s="435"/>
      <c r="ED67" s="435"/>
      <c r="EE67" s="868"/>
      <c r="EF67" s="868"/>
      <c r="EG67" s="613"/>
      <c r="EH67" s="614"/>
      <c r="EI67" s="613"/>
      <c r="EJ67" s="435"/>
      <c r="EK67" s="451"/>
      <c r="EL67" s="612"/>
      <c r="EN67" s="438"/>
      <c r="EP67" s="497"/>
      <c r="ER67" s="441"/>
      <c r="ES67" s="440"/>
      <c r="ET67" s="440"/>
      <c r="EW67" s="427"/>
    </row>
    <row r="68" spans="1:153" ht="17.100000000000001" hidden="1" customHeight="1" thickBot="1">
      <c r="A68" s="2685"/>
      <c r="B68" s="1369" t="str">
        <f ca="1">S68</f>
        <v>W</v>
      </c>
      <c r="C68" s="684" t="str">
        <f>IF(OR(F68=0,I68="",I68=" ")," ",$V68)</f>
        <v xml:space="preserve"> </v>
      </c>
      <c r="D68" s="1033"/>
      <c r="E68" s="1360" t="s">
        <v>8</v>
      </c>
      <c r="F68" s="202"/>
      <c r="G68" s="1416"/>
      <c r="H68" s="1417" t="str">
        <f ca="1">IF(OR(F68=0,Z68="E",Z68="f")," ",'Project Demand'!E$55)</f>
        <v xml:space="preserve"> </v>
      </c>
      <c r="I68" s="631" t="str">
        <f>IF($I$6&lt;&gt;$BG$8," ",AB68)</f>
        <v xml:space="preserve"> </v>
      </c>
      <c r="J68" s="43" t="str">
        <f ca="1">IF(OR(I68=" ",I68="")," ",OFFSET($BO$9,CL68-1,0-4,1,1))</f>
        <v xml:space="preserve"> </v>
      </c>
      <c r="K68" s="55" t="str">
        <f>IF(OR(I68=" ",I68="")," ",IF(OR(Z68="e",Z68="h"),"SD",IF(BG$24=BH$11,BH$13,BG$24)))</f>
        <v xml:space="preserve"> </v>
      </c>
      <c r="L68" s="49">
        <f ca="1">CW68</f>
        <v>0</v>
      </c>
      <c r="M68" s="49">
        <f ca="1">CY68</f>
        <v>0</v>
      </c>
      <c r="N68" s="50">
        <f t="shared" ref="N68:O72" ca="1" si="47">DA68</f>
        <v>0</v>
      </c>
      <c r="O68" s="126">
        <f t="shared" ca="1" si="47"/>
        <v>0</v>
      </c>
      <c r="P68" s="140"/>
      <c r="Q68" s="752" t="str">
        <f ca="1">IF(AND(OR(Z68="t",Z68="f"),K68=$BH$11),"No Floor!  Change Floor Type",IF(OR(I68=" ",I68="")," ",IF(F68&lt;OFFSET($BM$9,CL68-1,0,1,1),"check L(m)",DE68&amp;IF(AND(DP68&gt;=CY68,DR68&gt;=DB68),IF(AND(ED68&gt;=DP68,EF68&gt;=DR68),CONCATENATE(DS68," will provide same result"),CONCATENATE(CO68," will provide same result")),IF((DP68&gt;=CY68),CONCATENATE(CO68," provides same result in WIND"),IF((DR68&gt;=DB68),CONCATENATE(CO68," provides same result in EQ"),""))))))&amp;IF(ISERROR(FIND("pile",I68,1)),"",IF(INT(F68)&lt;&gt;F68,"Pile!  Use Whole Numbers Only",""))</f>
        <v xml:space="preserve"> </v>
      </c>
      <c r="R68" s="52">
        <f ca="1">IF(T62&lt;&gt;2,(COLUMN(INDIRECT(B62&amp;1))+1),U68)</f>
        <v>23</v>
      </c>
      <c r="S68" s="1372" t="str">
        <f ca="1">SUBSTITUTE(ADDRESS(1,R68,4),"1","")</f>
        <v>W</v>
      </c>
      <c r="T68" s="451">
        <f ca="1">IF(AND(ISTEXT(B68),SUBSTITUTE(SUBSTITUTE(SUBSTITUTE(SUBSTITUTE(SUBSTITUTE(SUBSTITUTE(SUBSTITUTE(SUBSTITUTE(SUBSTITUTE(SUBSTITUTE(SUBSTITUTE(SUBSTITUTE(SUBSTITUTE(SUBSTITUTE(SUBSTITUTE(SUBSTITUTE(SUBSTITUTE(SUBSTITUTE(SUBSTITUTE(SUBSTITUTE(SUBSTITUTE(SUBSTITUTE(SUBSTITUTE(SUBSTITUTE(SUBSTITUTE(SUBSTITUTE(LOWER(B68),"a",),"b",),"c",),"d",),"e",),"f",),"g",),"h",),"i",),"j",),"k",),"l",),"m",),"n",),"o",),"p",),"q",),"r",),"s",),"t",),"u",),"v",),"w",),"x",),"y",),"z",)=""),1,2)</f>
        <v>1</v>
      </c>
      <c r="U68" s="1377">
        <v>23</v>
      </c>
      <c r="V68" s="52" t="str">
        <f ca="1">IF(AND(B$5=$BF$9,OR(I68=BH$16,I68=BH$17))," ",IF(ISNUMBER(B$68),(CONCATENATE(B$68,".",W68)),(CONCATENATE(B$68,W68))))</f>
        <v>W0</v>
      </c>
      <c r="W68" s="9">
        <f ca="1">IF(B62=B68,W66+X68,X68)</f>
        <v>0</v>
      </c>
      <c r="X68" s="9">
        <f>IF(AND(B$5=$BF$9,OR($I68=$BH$16,$I68=$BH$17,$I68=" ",$I68="",$F68=0)),0,IF(OR($I68=" ",$I68="",$F68=0),0,1))</f>
        <v>0</v>
      </c>
      <c r="Y68" s="896">
        <f ca="1">IF(AND(M73&gt;0,B68&lt;&gt;B74),1,0)</f>
        <v>0</v>
      </c>
      <c r="Z68" s="52" t="str">
        <f ca="1">IF(I68=" "," ",OFFSET($BM$9,$CL68-1,8,1,1))</f>
        <v xml:space="preserve"> </v>
      </c>
      <c r="AA68" s="51" t="str">
        <f>IF(G68&gt;=45,"WA","")</f>
        <v/>
      </c>
      <c r="AB68" s="1364" t="str">
        <f>IF(OR(E68=" ",E68="")," ",(IF(F68&lt;&gt;"",IF(OR(D68=$BG$12,D68=$BG$13),IF(E68&lt;&gt;$BG$17,$BF$20,$BF$21),IF(E68&lt;&gt;$BG$17,$BF$20,$BF$21))," ")))</f>
        <v xml:space="preserve"> </v>
      </c>
      <c r="AC68" s="1"/>
      <c r="AO68" s="51"/>
      <c r="AP68" s="51"/>
      <c r="AQ68" s="51"/>
      <c r="AR68" s="51"/>
      <c r="AS68" s="51"/>
      <c r="AT68" s="51"/>
      <c r="AU68" s="51"/>
      <c r="AV68" s="1"/>
      <c r="AW68" s="1"/>
      <c r="AX68" s="1"/>
      <c r="AY68" s="1"/>
      <c r="AZ68" s="1"/>
      <c r="BA68" s="1"/>
      <c r="BB68" s="1"/>
      <c r="BC68" s="1"/>
      <c r="BD68" s="641"/>
      <c r="BE68" s="2714" t="s">
        <v>903</v>
      </c>
      <c r="BF68" s="2714"/>
      <c r="BG68" s="2714"/>
      <c r="BH68" s="2714"/>
      <c r="BI68" s="759"/>
      <c r="BJ68" s="897">
        <f t="shared" si="37"/>
        <v>60</v>
      </c>
      <c r="BK68" s="768" t="str">
        <f>BK62</f>
        <v xml:space="preserve">EPB </v>
      </c>
      <c r="BL68" s="765" t="str">
        <f>Table!O10</f>
        <v>ESSH</v>
      </c>
      <c r="BM68" s="454">
        <f>Table!P10</f>
        <v>0.4</v>
      </c>
      <c r="BN68" s="454">
        <f>BM69</f>
        <v>0.6</v>
      </c>
      <c r="BO68" s="454">
        <f>Table!Q10</f>
        <v>95</v>
      </c>
      <c r="BP68" s="924">
        <f>Table!R10</f>
        <v>109</v>
      </c>
      <c r="BQ68" s="920"/>
      <c r="BR68" s="768" t="str">
        <f>Table!S10</f>
        <v>ES-H</v>
      </c>
      <c r="BS68" s="454" t="str">
        <f>Table!S11</f>
        <v>EM-H</v>
      </c>
      <c r="BT68" s="454" t="str">
        <f>Table!T10</f>
        <v>I</v>
      </c>
      <c r="BU68" s="924" t="s">
        <v>242</v>
      </c>
      <c r="BV68" s="1230" t="str">
        <f>Table!AI79</f>
        <v>ESSH</v>
      </c>
      <c r="BW68" s="1229">
        <f>BJ68</f>
        <v>60</v>
      </c>
      <c r="BX68" s="924" t="str">
        <f>Table!T11</f>
        <v>Double</v>
      </c>
      <c r="CH68" s="768">
        <f>IF(BN68=999,0,(BO69-BO68)/(BN68-BM68))</f>
        <v>150.00000000000003</v>
      </c>
      <c r="CI68" s="924">
        <f>IF(BN68=999,0,(BP69-BP68)/(BN68-BM68))</f>
        <v>80.000000000000014</v>
      </c>
      <c r="CJ68" s="759"/>
      <c r="CK68" s="188"/>
      <c r="CL68" s="979">
        <f>VLOOKUP(I68,Prodlink,2,0)</f>
        <v>0</v>
      </c>
      <c r="CN68" s="497">
        <f ca="1">VLOOKUP(CO68,Prodlink,2,0)</f>
        <v>0</v>
      </c>
      <c r="CO68" s="497">
        <f ca="1">OFFSET($CH$9,CL68-1,-15,1,1)</f>
        <v>0</v>
      </c>
      <c r="CQ68" s="51">
        <v>0</v>
      </c>
      <c r="CR68" s="51">
        <f ca="1">IF(AND(Z68&lt;&gt;"t",Z68&lt;&gt;"f"),10000,IF(K68=$BH$11,0,IF(K68=$BH$12,$BH$23,IF(K68=$BH$13,$BH$24,10000))))</f>
        <v>10000</v>
      </c>
      <c r="CS68" s="51">
        <f ca="1">IF(F68&lt;OFFSET($BM$9,CL68-1,0,1,1),0,IF(F68&lt;OFFSET($BN$9,CL68-1,0,1,1),((F68-OFFSET($BM$9,CL68-1,0,1,1))*OFFSET($CH$9,CL68-1,0,1,1))+OFFSET($BO$9,CL68-1,CQ68,1,1),IF(F68&lt;OFFSET($BN$9,CL68+0,0,1,1),((F68-OFFSET($BM$9,CL68+0,0,1,1))*OFFSET($CH$9,CL68+0,0,1,1))+OFFSET($BO$9,CL68+0,CQ68,1,1),IF(F68&lt;OFFSET($BN$9,CL68+1,0,1,1),((F68-OFFSET($BM$9,CL68+1,0,1,1))*OFFSET($CH$9,CL68+1,0,1,1))+OFFSET($BO$9,CL68+1,CQ68,1,1),IF(F68&lt;OFFSET($BN$9,CL68+2,0,1,1),((F68-OFFSET($BM$9,CL68+2,0,1,1))*OFFSET($CH$9,CL68+2,0,1,1))+OFFSET($BO$9,CL68+2,CQ68,1,1),IF(F68&lt;OFFSET($BN$9,CL68+3,0,1,1),((F68-OFFSET($BM$9,CL68+3,0,1,1))*OFFSET($CH$9,CL68+3,0,1,1))+OFFSET($BO$9,CL68+3,CQ68,1,1),0))))))</f>
        <v>0</v>
      </c>
      <c r="CT68" s="51">
        <f ca="1">IF($F68&lt;OFFSET($BM$9,$CL68-1,0,1,1),0,IF($F68&lt;OFFSET($BN$9,$CL68-1,0,1,1),IF(AND($H68&gt;2.4,Z68&lt;&gt;"e",Z68&lt;&gt;"f"),CX68*2.4/$H68,CX68),IF($F68&lt;OFFSET($BN$9,$CL68+0,0,1,1),IF(AND($H68&gt;2.4,Z68&lt;&gt;"e",Z68&lt;&gt;"f"),CX68*2.4/$H68,CX68),IF($F68&lt;OFFSET($BN$9,$CL68+1,0,1,1),IF(AND($H68&gt;2.4,Z68&lt;&gt;"e",Z68&lt;&gt;"f"),CX68*2.4/$H68,CX68),IF($F68&lt;OFFSET($BN$9,CL68+2,0,1,1),IF(AND($H68&gt;2.4,Z68&lt;&gt;"e",Z68&lt;&gt;"f"),CX68*2.4/$H68,CX68),IF($F68&lt;OFFSET($BN$9,CL68+3,0,1,1),IF(AND($H68&gt;2.4,Z68&lt;&gt;"e",Z68&lt;&gt;"f"),CX68*2.4/$H68,CX68),0)))))*COS(RADIANS($G68)))</f>
        <v>0</v>
      </c>
      <c r="CU68" s="51">
        <f ca="1">IF(F68&lt;OFFSET($BM$9,CL68-1,0,1,1),0,IF(F68&lt;OFFSET($BN$9,CL68-1,0,1,1),((F68-OFFSET($BM$9,CL68-1,0,1,1))*OFFSET($CI$9,CL68-1,0,1,1))+OFFSET($BP$9,CL68-1,CQ68,1,1),IF(F68&lt;OFFSET($BN$9,CL68+0,0,1,1),((F68-OFFSET($BM$9,CL68+0,0,1,1))*OFFSET($CI$9,CL68+0,0,1,1))+OFFSET($BP$9,CL68+0,CQ68,1,1),IF(F68&lt;OFFSET($BN$9,CL68+1,0,1,1),((F68-OFFSET($BM$9,CL68+1,0,1,1))*OFFSET($CI$9,CL68+1,0,1,1))+OFFSET($BP$9,CL68+1,CQ68,1,1),IF(F68&lt;OFFSET($BN$9,CL68+2,0,1,1),((F68-OFFSET($BM$9,CL68+2,0,1,1))*OFFSET($CI$9,CL68+2,0,1,1))+OFFSET($BP$9,CL68+2,CQ68,1,1),IF(F68&lt;OFFSET($BN$9,CL68+3,0,1,1),((F68-OFFSET($BM$9,CL68+3,0,1,1))*OFFSET($CI$9,CL68+3,0,1,1))+OFFSET($BP$9,CL68+3,CQ68,1,1),0))))))</f>
        <v>0</v>
      </c>
      <c r="CV68" s="51">
        <f ca="1">IF($F68&lt;OFFSET($BM$9,$CL68-1,0,1,1),0,IF($F68&lt;OFFSET($BN$9,$CL68-1,0,1,1),IF(AND($H68&gt;2.4,Z68&lt;&gt;"e",Z68&lt;&gt;"f"),CZ68*2.4/$H68,CZ68),IF($F68&lt;OFFSET($BN$9,$CL68+0,0,1,1),IF(AND($H68&gt;2.4,Z68&lt;&gt;"e",Z68&lt;&gt;"f"),CZ68*2.4/$H68,CZ68),IF($F68&lt;OFFSET($BN$9,$CL68+1,0,1,1),IF(AND($H68&gt;2.4,Z68&lt;&gt;"e",Z68&lt;&gt;"f"),CZ68*2.4/$H68,CZ68),IF($F68&lt;OFFSET($BN$9,$CL68+2,0,1,1),IF(AND($H68&gt;2.4,Z68&lt;&gt;"e",Z68&lt;&gt;"f"),CZ68*2.4/$H68,CZ68),IF($F68&lt;OFFSET($BN$9,$CL68+3,0,1,1),IF(AND($H68&gt;2.4,Z68&lt;&gt;"e",Z68&lt;&gt;"f"),CZ68*2.4/$H68,CZ68),0)))))*COS(RADIANS($G68)))</f>
        <v>0</v>
      </c>
      <c r="CW68" s="51">
        <f ca="1">IF(CT68&gt;CR68,CR68,CT68)</f>
        <v>0</v>
      </c>
      <c r="CX68" s="51">
        <f ca="1">IF(CS68&gt;$CR68,$CR68,CS68)</f>
        <v>0</v>
      </c>
      <c r="CY68" s="51">
        <f ca="1">CW68*F68</f>
        <v>0</v>
      </c>
      <c r="CZ68" s="51">
        <f ca="1">IF($CU68&gt;$CR68,$CR68,$CU68)</f>
        <v>0</v>
      </c>
      <c r="DA68" s="51">
        <f ca="1">IF(CV68&gt;CR68,CR68,CV68)</f>
        <v>0</v>
      </c>
      <c r="DB68" s="51">
        <f ca="1">DA68*F68</f>
        <v>0</v>
      </c>
      <c r="DC68" s="993">
        <v>1</v>
      </c>
      <c r="DD68" s="758" t="str">
        <f>IF(OR(D68=BG$12,D68=BG$13),"External",IF(D68=BG$14,"Internal"," "))</f>
        <v xml:space="preserve"> </v>
      </c>
      <c r="DE68" s="51" t="str">
        <f t="shared" ca="1" si="4"/>
        <v/>
      </c>
      <c r="DF68" s="52" t="str">
        <f t="shared" ca="1" si="5"/>
        <v xml:space="preserve"> </v>
      </c>
      <c r="DG68" s="51">
        <f ca="1">IF(F68&lt;OFFSET($BM$9,CN68-1,0,1,1),0,IF(F68&lt;OFFSET($BN$9,CN68-1,0,1,1),((F68-OFFSET($BM$9,CN68-1,0,1,1))*OFFSET($CH$9,CN68-1,0,1,1))+OFFSET($BO$9,CN68-1,CQ68,1,1),IF(F68&lt;OFFSET($BN$9,CN68+0,0,1,1),((F68-OFFSET($BM$9,CN68+0,0,1,1))*OFFSET($CH$9,CN68+0,0,1,1))+OFFSET($BO$9,CN68+0,CQ68,1,1),IF(F68&lt;OFFSET($BN$9,CN68+1,0,1,1),((F68-OFFSET($BM$9,CN68+1,0,1,1))*OFFSET($CH$9,CN68+1,0,1,1))+OFFSET($BO$9,CN68+1,CQ68,1,1),IF(F68&lt;OFFSET($BN$9,CN68+2,0,1,1),((F68-OFFSET($BM$9,CN68+2,0,1,1))*OFFSET($CH$9,CN68+2,0,1,1))+OFFSET($BO$9,CN68+2,CQ68,1,1),IF(F68&lt;OFFSET($BN$9,CN68+3,0,1,1),((F68-OFFSET($BM$9,CN68+3,0,1,1))*OFFSET($CH$9,CN68+3,0,1,1))+OFFSET($BO$9,CN68+3,CQ68,1,1),0))))))</f>
        <v>0</v>
      </c>
      <c r="DH68" s="51">
        <f ca="1">IF($F68&lt;OFFSET($BM$9,$CN68-1,0,1,1),0,IF($F68&lt;OFFSET($BN$9,$CN68-1,0,1,1),IF(AND($H68&gt;2.4,Z68&lt;&gt;"e",Z68&lt;&gt;"f"),DL68*2.4/$H68,DL68),IF($F68&lt;OFFSET($BN$9,$CN68+0,0,1,1),IF(AND($H68&gt;2.4,Z68&lt;&gt;"e",Z68&lt;&gt;"f"),DL68*2.4/$H68,DL68),IF($F68&lt;OFFSET($BN$9,$CN68+1,0,1,1),IF(AND($H68&gt;2.4,Z68&lt;&gt;"e",Z68&lt;&gt;"f"),DL68*2.4/$H68,DL68),IF($F68&lt;OFFSET($BN$9,$CN68+2,0,1,1),IF(AND($H68&gt;2.4,Z68&lt;&gt;"e",Z68&lt;&gt;"f"),DL68*2.4/$H68,DL68),IF($F68&lt;OFFSET($BN$9,$CN68+3,0,1,1),IF(AND($H68&gt;2.4,Z68&lt;&gt;"e",Z68&lt;&gt;"f"),DL68*2.4/$H68,DL68),0)))))*COS(RADIANS($G68)))</f>
        <v>0</v>
      </c>
      <c r="DI68" s="51">
        <f ca="1">IF(F68&lt;OFFSET($BM$9,CN68-1,0,1,1),0,IF(F68&lt;OFFSET($BN$9,CN68-1,0,1,1),((F68-OFFSET($BM$9,CN68-1,0,1,1))*OFFSET($CI$9,CN68-1,0,1,1))+OFFSET($BP$9,CN68-1,CQ68,1,1),IF(F68&lt;OFFSET($BN$9,CN68+0,0,1,1),((F68-OFFSET($BM$9,CN68+0,0,1,1))*OFFSET($CI$9,CN68+0,0,1,1))+OFFSET($BP$9,CN68+0,CQ68,1,1),IF(F68&lt;OFFSET($BN$9,CN68+1,0,1,1),((F68-OFFSET($BM$9,CN68+1,0,1,1))*OFFSET($CI$9,CN68+1,0,1,1))+OFFSET($BP$9,CN68+1,CQ68,1,1),IF(F68&lt;OFFSET($BN$9,CN68+2,0,1,1),((F68-OFFSET($BM$9,CN68+2,0,1,1))*OFFSET($CI$9,CN68+2,0,1,1))+OFFSET($BP$9,CN68+2,CQ68,1,1),IF(F68&lt;OFFSET($BN$9,CN68+3,0,1,1),((F68-OFFSET($BM$9,CN68+3,0,1,1))*OFFSET($CI$9,CN68+3,0,1,1))+OFFSET($BP$9,CN68+3,CQ68,1,1),0))))))</f>
        <v>0</v>
      </c>
      <c r="DJ68" s="51">
        <f ca="1">IF($F68&lt;OFFSET($BM$9,$CN68-1,0,1,1),0,IF($F68&lt;OFFSET($BN$9,$CN68-1,0,1,1),IF(AND($H68&gt;2.4,Z68&lt;&gt;"e",Z68&lt;&gt;"f"),DN68*2.4/$H68,DN68),IF($F68&lt;OFFSET($BN$9,$CN68+0,0,1,1),IF(AND($H68&gt;2.4,Z68&lt;&gt;"e",Z68&lt;&gt;"f"),DN68*2.4/$H68,DN68),IF($F68&lt;OFFSET($BN$9,$CN68+1,0,1,1),IF(AND($H68&gt;2.4,Z68&lt;&gt;"e",Z68&lt;&gt;"f"),DN68*2.4/$H68,DN68),IF($F68&lt;OFFSET($BN$9,$CN68+2,0,1,1),IF(AND($H68&gt;2.4,Z68&lt;&gt;"e",Z68&lt;&gt;"f"),DN68*2.4/$H68,DN68),IF($F68&lt;OFFSET($BN$9,$CN68+3,0,1,1),IF(AND($H68&gt;2.4,Z68&lt;&gt;"e",Z68&lt;&gt;"f"),DN68*2.4/$H68,DN68),0)))))*COS(RADIANS($G68)))</f>
        <v>0</v>
      </c>
      <c r="DK68" s="51"/>
      <c r="DL68" s="51">
        <f ca="1">IF(DG68&gt;$CR68,$CR68,DG68)</f>
        <v>0</v>
      </c>
      <c r="DM68" s="51"/>
      <c r="DN68" s="51">
        <f ca="1">IF(DI68&gt;$CR68,$CR68,DI68)</f>
        <v>0</v>
      </c>
      <c r="DO68" s="435">
        <f ca="1">IF(DH68&gt;$CR68,$CR68,DH68)</f>
        <v>0</v>
      </c>
      <c r="DP68" s="435">
        <f ca="1">DO68*F68</f>
        <v>0</v>
      </c>
      <c r="DQ68" s="436">
        <f ca="1">IF(DJ68&gt;$CR68,$CR68,DJ68)</f>
        <v>0</v>
      </c>
      <c r="DR68" s="437">
        <f ca="1">DQ68*F68</f>
        <v>0</v>
      </c>
      <c r="DS68" s="426">
        <f ca="1">OFFSET($CH$9,CL68-1,-15,1,1)</f>
        <v>0</v>
      </c>
      <c r="DT68" s="426">
        <f ca="1">VLOOKUP(DS68,Prodlink,2,0)</f>
        <v>0</v>
      </c>
      <c r="DU68" s="188">
        <f ca="1">IF(F68&lt;OFFSET($BM$9,DT68-1,0,1,1),0,IF(F68&lt;OFFSET($BN$9,DT68-1,0,1,1),((F68-OFFSET($BM$9,DT68-1,0,1,1))*OFFSET($CH$9,DT68-1,0,1,1))+OFFSET($BO$9,DT68-1,CQ68,1,1),IF(F68&lt;OFFSET($BN$9,DT68+0,0,1,1),((F68-OFFSET($BM$9,DT68+0,0,1,1))*OFFSET($CH$9,DT68+0,0,1,1))+OFFSET($BO$9,DT68+0,CQ68,1,1),IF(F68&lt;OFFSET($BN$9,DT68+1,0,1,1),((F68-OFFSET($BM$9,DT68+1,0,1,1))*OFFSET($CH$9,DT68+1,0,1,1))+OFFSET($BO$9,DT68+1,CQ68,1,1),IF(F68&lt;OFFSET($BN$9,DT68+2,0,1,1),((F68-OFFSET($BM$9,DT68+2,0,1,1))*OFFSET($CH$9,DT68+2,0,1,1))+OFFSET($BO$9,DT68+2,CQ68,1,1),IF(F68&lt;OFFSET($BN$9,DT68+3,0,1,1),((F68-OFFSET($BM$9,DT68+3,0,1,1))*OFFSET($CH$9,DT68+3,0,1,1))+OFFSET($BO$9,DT68+3,CQ68,1,1),0))))))</f>
        <v>0</v>
      </c>
      <c r="DV68" s="51">
        <f ca="1">IF($F68&lt;OFFSET($BM$9,$DT68-1,0,1,1),0,IF($F68&lt;OFFSET($BN$9,$DT68-1,0,1,1),IF(AND($H68&gt;2.4,Z68&lt;&gt;"e",Z68&lt;&gt;"f"),DZ68*2.4/$H68,DZ68),IF($F68&lt;OFFSET($BN$9,$DT68+0,0,1,1),IF(AND($H68&gt;2.4,Z68&lt;&gt;"e",Z68&lt;&gt;"f"),DZ68*2.4/$H68,DZ68),IF($F68&lt;OFFSET($BN$9,$DT68+1,0,1,1),IF(AND($H68&gt;2.4,Z68&lt;&gt;"e",Z68&lt;&gt;"f"),DZ68*2.4/$H68,DZ68),IF($F68&lt;OFFSET($BN$9,$DT68+2,0,1,1),IF(AND($H68&gt;2.4,Z68&lt;&gt;"e",Z68&lt;&gt;"f"),DZ68*2.4/$H68,DZ68),IF($F68&lt;OFFSET($BN$9,$DT68+3,0,1,1),IF(AND($H68&gt;2.4,Z68&lt;&gt;"e",Z68&lt;&gt;"f"),DZ68*2.4/$H68,DZ68),0)))))*COS(RADIANS($G68)))</f>
        <v>0</v>
      </c>
      <c r="DW68" s="188">
        <f ca="1">IF(F68&lt;OFFSET($BM$9,DT68-1,0,1,1),0,IF(F68&lt;OFFSET($BN$9,DT68-1,0,1,1),((F68-OFFSET($BM$9,DT68-1,0,1,1))*OFFSET($CI$9,DT68-1,0,1,1))+OFFSET($BP$9,DT68-1,CQ68,1,1),IF(F68&lt;OFFSET($BN$9,DT68+0,0,1,1),((F68-OFFSET($BM$9,DT68+0,0,1,1))*OFFSET($CI$9,DT68+0,0,1,1))+OFFSET($BP$9,DT68+0,CQ68,1,1),IF(F68&lt;OFFSET($BN$9,DT68+1,0,1,1),((F68-OFFSET($BM$9,DT68+1,0,1,1))*OFFSET($CI$9,DT68+1,0,1,1))+OFFSET($BP$9,DT68+1,CQ68,1,1),IF(F68&lt;OFFSET($BN$9,DT68+2,0,1,1),((F68-OFFSET($BM$9,DT68+2,0,1,1))*OFFSET($CI$9,DT68+2,0,1,1))+OFFSET($BP$9,DT68+2,CQ68,1,1),IF(F68&lt;OFFSET($BN$9,DT68+3,0,1,1),((F68-OFFSET($BM$9,DT68+3,0,1,1))*OFFSET($CI$9,DT68+3,0,1,1))+OFFSET($BP$9,DT68+3,CQ68,1,1),0))))))</f>
        <v>0</v>
      </c>
      <c r="DX68" s="51">
        <f ca="1">IF($F68&lt;OFFSET($BM$9,$DT68-1,0,1,1),0,IF($F68&lt;OFFSET($BN$9,$DT68-1,0,1,1),IF(AND($H68&gt;2.4,Z68&lt;&gt;"e",Z68&lt;&gt;"f"),EB68*2.4/$H68,EB68),IF($F68&lt;OFFSET($BN$9,$DT68+0,0,1,1),IF(AND($H68&gt;2.4,Z68&lt;&gt;"e",Z68&lt;&gt;"f"),EB68*2.4/$H68,EB68),IF($F68&lt;OFFSET($BN$9,$DT68+1,0,1,1),IF(AND($H68&gt;2.4,Z68&lt;&gt;"e",Z68&lt;&gt;"f"),EB68*2.4/$H68,EB68),IF($F68&lt;OFFSET($BN$9,$DT68+2,0,1,1),IF(AND($H68&gt;2.4,Z68&lt;&gt;"e",Z68&lt;&gt;"f"),EB68*2.4/$H68,EB68),IF($F68&lt;OFFSET($BN$9,$DT68+3,0,1,1),IF(AND($H68&gt;2.4,Z68&lt;&gt;"e",Z68&lt;&gt;"f"),EB68*2.4/$H68,EB68),0)))))*COS(RADIANS($G68)))</f>
        <v>0</v>
      </c>
      <c r="DY68" s="188"/>
      <c r="DZ68" s="188">
        <f ca="1">IF(DU68&gt;$CR68,$CR68,DU68)</f>
        <v>0</v>
      </c>
      <c r="EA68" s="188"/>
      <c r="EB68" s="188">
        <f ca="1">IF(DW68&gt;$CR68,$CR68,DW68)</f>
        <v>0</v>
      </c>
      <c r="EC68" s="435">
        <f ca="1">IF(DV68&gt;$CR68,$CR68,DV68)</f>
        <v>0</v>
      </c>
      <c r="ED68" s="435">
        <f ca="1">EC68*F68</f>
        <v>0</v>
      </c>
      <c r="EE68" s="436">
        <f ca="1">IF(DX68&gt;$CR68,$CR68,DX68)</f>
        <v>0</v>
      </c>
      <c r="EF68" s="437">
        <f ca="1">EE68*F68</f>
        <v>0</v>
      </c>
      <c r="EG68" s="613" t="str">
        <f>IF(D68=BG$12,BG$12,"")</f>
        <v/>
      </c>
      <c r="EH68" s="614" t="str">
        <f>IF(D68=BG$13,BG$13,"")</f>
        <v/>
      </c>
      <c r="EI68" s="611">
        <f>IF(EG68=BG$12,M68,0)</f>
        <v>0</v>
      </c>
      <c r="EJ68" s="451">
        <f>IF(EG68=BG$12,O68,0)</f>
        <v>0</v>
      </c>
      <c r="EK68" s="451">
        <f>IF(EH68=BG$13,M68,0)</f>
        <v>0</v>
      </c>
      <c r="EL68" s="612">
        <f>IF(EH68=BG$13,O68,0)</f>
        <v>0</v>
      </c>
      <c r="EM68" s="426" t="str">
        <f ca="1">IF(AND(Z68&lt;&gt;"t",Z68&lt;&gt;"f"),"",IF(AND(EN68=$BH$11,K68&lt;&gt;EN68),EM$4,IF(AND(EN68=$BH$12,K68=$BH$13),EM$4,IF(AND(EN68=$BH$12,K68=$BH$14),EM$4,IF(AND(EN68=$BH$13,K68=$BH$14),$EM$4,IF(EN68=$BH$14,$EM$4,""))))))</f>
        <v/>
      </c>
      <c r="EN68" s="489" t="str">
        <f>BG$24</f>
        <v>Earth</v>
      </c>
      <c r="EO68" s="426" t="str">
        <f>K68</f>
        <v xml:space="preserve"> </v>
      </c>
      <c r="EP68" s="497" t="str">
        <f ca="1">IF(AND(Z68&lt;&gt;"t",Z68&lt;&gt;"f"),"",IF(AND(EN68=$BH$14,K68&lt;&gt;EN68),EP$4,IF(AND(EN68=$BH$13,K68=$BH$12),EP$4,IF(AND(EN68=$BH$13,K68=$BH$11),EP$4,IF(AND(EN68=$BH$12,K68=$BH$11),$EP$4,IF(EN68=$BH$11,"Earth",""))))))</f>
        <v/>
      </c>
      <c r="EQ68" s="430" t="str">
        <f ca="1">IF(Z68&lt;&gt;"t","",IF(EQ$5=2,IF(K68&lt;&gt;BH$11,EQ$7," ")))</f>
        <v/>
      </c>
      <c r="ER68" s="439" t="str">
        <f ca="1">IF(H68=0," ",H68)</f>
        <v xml:space="preserve"> </v>
      </c>
      <c r="ES68" s="440" t="str">
        <f ca="1">IF(ER68&lt;&gt;" ",IF(ER68&lt;&gt;ER$7,"Changed",""),"")</f>
        <v/>
      </c>
      <c r="ET68" s="440">
        <f ca="1">IF(ER68&lt;&gt;" ",IF(ER68&lt;&gt;ER$7,1,0),0)</f>
        <v>0</v>
      </c>
      <c r="EU68" s="426" t="str">
        <f ca="1">IF(I68=" "," ",IF(F68&lt;OFFSET($BM$9,CL68-1,0,1,1),1,""))</f>
        <v xml:space="preserve"> </v>
      </c>
      <c r="EW68" s="427"/>
    </row>
    <row r="69" spans="1:153" ht="17.100000000000001" hidden="1" customHeight="1">
      <c r="A69" s="2685"/>
      <c r="B69" s="689" t="s">
        <v>246</v>
      </c>
      <c r="C69" s="684" t="str">
        <f>IF(OR(F69=0,I69="",I69=" ")," ",$V69)</f>
        <v xml:space="preserve"> </v>
      </c>
      <c r="D69" s="1033"/>
      <c r="E69" s="1360" t="s">
        <v>8</v>
      </c>
      <c r="F69" s="202"/>
      <c r="G69" s="1416"/>
      <c r="H69" s="1417" t="str">
        <f ca="1">IF(OR(F69=0,Z69="E",Z69="f")," ",'Project Demand'!E$55)</f>
        <v xml:space="preserve"> </v>
      </c>
      <c r="I69" s="631" t="str">
        <f>IF($I$6&lt;&gt;$BG$8," ",AB69)</f>
        <v xml:space="preserve"> </v>
      </c>
      <c r="J69" s="44" t="str">
        <f ca="1">IF(OR(I69=" ",I69="")," ",OFFSET($BO$9,CL69-1,0-4,1,1))</f>
        <v xml:space="preserve"> </v>
      </c>
      <c r="K69" s="55" t="str">
        <f>IF(OR(I69=" ",I69="")," ",IF(OR(Z69="e",Z69="h"),"SD",IF(BG$24=BH$11,BH$13,BG$24)))</f>
        <v xml:space="preserve"> </v>
      </c>
      <c r="L69" s="49">
        <f ca="1">CW69</f>
        <v>0</v>
      </c>
      <c r="M69" s="49">
        <f ca="1">CY69</f>
        <v>0</v>
      </c>
      <c r="N69" s="50">
        <f t="shared" ca="1" si="47"/>
        <v>0</v>
      </c>
      <c r="O69" s="126">
        <f t="shared" ca="1" si="47"/>
        <v>0</v>
      </c>
      <c r="P69" s="140"/>
      <c r="Q69" s="752" t="str">
        <f ca="1">IF(AND(OR(Z69="t",Z69="f"),K69=$BH$11),"No Floor!  Change Floor Type",IF(OR(I69=" ",I69="")," ",IF(F69&lt;OFFSET($BM$9,CL69-1,0,1,1),"check L(m)",DE69&amp;IF(AND(DP69&gt;=CY69,DR69&gt;=DB69),IF(AND(ED69&gt;=DP69,EF69&gt;=DR69),CONCATENATE(DS69," will provide same result"),CONCATENATE(CO69," will provide same result")),IF((DP69&gt;=CY69),CONCATENATE(CO69," provides same result in WIND"),IF((DR69&gt;=DB69),CONCATENATE(CO69," provides same result in EQ"),""))))))&amp;IF(ISERROR(FIND("pile",I69,1)),"",IF(INT(F69)&lt;&gt;F69,"Pile!  Use Whole Numbers Only",""))</f>
        <v xml:space="preserve"> </v>
      </c>
      <c r="R69" s="52"/>
      <c r="S69" s="1372"/>
      <c r="T69" s="1372"/>
      <c r="U69" s="1377"/>
      <c r="V69" s="52" t="str">
        <f ca="1">IF(AND(B$5=$BF$9,OR(I69=BH$16,I69=BH$17))," ",IF(ISNUMBER(B$68),(CONCATENATE(B$68,".",W69)),(CONCATENATE(B$68,W69))))</f>
        <v>W0</v>
      </c>
      <c r="W69" s="9">
        <f ca="1">W68+X69</f>
        <v>0</v>
      </c>
      <c r="X69" s="9">
        <f>IF(AND(B$5=$BF$9,OR($I69=$BH$16,$I69=$BH$17,$I69=" ",$I69="",$F69=0)),0,IF(OR($I69=" ",$I69="",$F69=0),0,1))</f>
        <v>0</v>
      </c>
      <c r="Y69" s="896"/>
      <c r="Z69" s="52" t="str">
        <f ca="1">IF(I69=" "," ",OFFSET($BM$9,$CL69-1,8,1,1))</f>
        <v xml:space="preserve"> </v>
      </c>
      <c r="AA69" s="51" t="str">
        <f>IF(G69&gt;=45,"WA","")</f>
        <v/>
      </c>
      <c r="AB69" s="1364" t="str">
        <f>IF(OR(E69=" ",E69="")," ",(IF(F69&lt;&gt;"",IF(OR(D69=$BG$12,D69=$BG$13),IF(E69&lt;&gt;$BG$17,$BF$20,$BF$21),IF(E69&lt;&gt;$BG$17,$BF$20,$BF$21))," ")))</f>
        <v xml:space="preserve"> </v>
      </c>
      <c r="AC69" s="1"/>
      <c r="AO69" s="51"/>
      <c r="AP69" s="51"/>
      <c r="AQ69" s="51"/>
      <c r="AR69" s="51"/>
      <c r="AS69" s="51"/>
      <c r="AT69" s="51"/>
      <c r="AU69" s="51"/>
      <c r="AV69" s="1"/>
      <c r="AW69" s="1"/>
      <c r="AX69" s="1"/>
      <c r="AY69" s="1"/>
      <c r="AZ69" s="1"/>
      <c r="BA69" s="1"/>
      <c r="BB69" s="1"/>
      <c r="BC69" s="1"/>
      <c r="BD69" s="641"/>
      <c r="BI69" s="759"/>
      <c r="BJ69" s="897">
        <f t="shared" si="37"/>
        <v>61</v>
      </c>
      <c r="BK69" s="764"/>
      <c r="BL69" s="766"/>
      <c r="BM69" s="455">
        <f>Table!P11</f>
        <v>0.6</v>
      </c>
      <c r="BN69" s="455">
        <f>BM70</f>
        <v>0.8</v>
      </c>
      <c r="BO69" s="455">
        <f>Table!Q11</f>
        <v>125</v>
      </c>
      <c r="BP69" s="925">
        <f>Table!R11</f>
        <v>125</v>
      </c>
      <c r="BR69" s="764"/>
      <c r="BS69" s="455"/>
      <c r="BT69" s="455"/>
      <c r="BU69" s="925" t="s">
        <v>242</v>
      </c>
      <c r="BV69" s="895"/>
      <c r="BW69" s="912"/>
      <c r="BX69" s="925" t="str">
        <f>Table!T11</f>
        <v>Double</v>
      </c>
      <c r="CH69" s="764">
        <f>IF(BN69=999,0,(BO70-BO69)/(BN69-BM69))</f>
        <v>49.999999999999986</v>
      </c>
      <c r="CI69" s="925">
        <f>IF(BN69=999,0,(BP70-BP69)/(BN69-BM69))</f>
        <v>0</v>
      </c>
      <c r="CJ69" s="759"/>
      <c r="CK69" s="188"/>
      <c r="CL69" s="979">
        <f>VLOOKUP(I69,Prodlink,2,0)</f>
        <v>0</v>
      </c>
      <c r="CN69" s="497">
        <f ca="1">VLOOKUP(CO69,Prodlink,2,0)</f>
        <v>0</v>
      </c>
      <c r="CO69" s="497">
        <f ca="1">OFFSET($CH$9,CL69-1,-15,1,1)</f>
        <v>0</v>
      </c>
      <c r="CQ69" s="51">
        <v>0</v>
      </c>
      <c r="CR69" s="51">
        <f t="shared" ref="CR69:CR72" ca="1" si="48">IF(AND(Z69&lt;&gt;"t",Z69&lt;&gt;"f"),10000,IF(K69=$BH$11,0,IF(K69=$BH$12,$BH$23,IF(K69=$BH$13,$BH$24,10000))))</f>
        <v>10000</v>
      </c>
      <c r="CS69" s="51">
        <f ca="1">IF(F69&lt;OFFSET($BM$9,CL69-1,0,1,1),0,IF(F69&lt;OFFSET($BN$9,CL69-1,0,1,1),((F69-OFFSET($BM$9,CL69-1,0,1,1))*OFFSET($CH$9,CL69-1,0,1,1))+OFFSET($BO$9,CL69-1,CQ69,1,1),IF(F69&lt;OFFSET($BN$9,CL69+0,0,1,1),((F69-OFFSET($BM$9,CL69+0,0,1,1))*OFFSET($CH$9,CL69+0,0,1,1))+OFFSET($BO$9,CL69+0,CQ69,1,1),IF(F69&lt;OFFSET($BN$9,CL69+1,0,1,1),((F69-OFFSET($BM$9,CL69+1,0,1,1))*OFFSET($CH$9,CL69+1,0,1,1))+OFFSET($BO$9,CL69+1,CQ69,1,1),IF(F69&lt;OFFSET($BN$9,CL69+2,0,1,1),((F69-OFFSET($BM$9,CL69+2,0,1,1))*OFFSET($CH$9,CL69+2,0,1,1))+OFFSET($BO$9,CL69+2,CQ69,1,1),IF(F69&lt;OFFSET($BN$9,CL69+3,0,1,1),((F69-OFFSET($BM$9,CL69+3,0,1,1))*OFFSET($CH$9,CL69+3,0,1,1))+OFFSET($BO$9,CL69+3,CQ69,1,1),0))))))</f>
        <v>0</v>
      </c>
      <c r="CT69" s="51">
        <f ca="1">IF($F69&lt;OFFSET($BM$9,$CL69-1,0,1,1),0,IF($F69&lt;OFFSET($BN$9,$CL69-1,0,1,1),IF(AND($H69&gt;2.4,Z69&lt;&gt;"e",Z69&lt;&gt;"f"),CX69*2.4/$H69,CX69),IF($F69&lt;OFFSET($BN$9,$CL69+0,0,1,1),IF(AND($H69&gt;2.4,Z69&lt;&gt;"e",Z69&lt;&gt;"f"),CX69*2.4/$H69,CX69),IF($F69&lt;OFFSET($BN$9,$CL69+1,0,1,1),IF(AND($H69&gt;2.4,Z69&lt;&gt;"e",Z69&lt;&gt;"f"),CX69*2.4/$H69,CX69),IF($F69&lt;OFFSET($BN$9,CL69+2,0,1,1),IF(AND($H69&gt;2.4,Z69&lt;&gt;"e",Z69&lt;&gt;"f"),CX69*2.4/$H69,CX69),IF($F69&lt;OFFSET($BN$9,CL69+3,0,1,1),IF(AND($H69&gt;2.4,Z69&lt;&gt;"e",Z69&lt;&gt;"f"),CX69*2.4/$H69,CX69),0)))))*COS(RADIANS($G69)))</f>
        <v>0</v>
      </c>
      <c r="CU69" s="51">
        <f ca="1">IF(F69&lt;OFFSET($BM$9,CL69-1,0,1,1),0,IF(F69&lt;OFFSET($BN$9,CL69-1,0,1,1),((F69-OFFSET($BM$9,CL69-1,0,1,1))*OFFSET($CI$9,CL69-1,0,1,1))+OFFSET($BP$9,CL69-1,CQ69,1,1),IF(F69&lt;OFFSET($BN$9,CL69+0,0,1,1),((F69-OFFSET($BM$9,CL69+0,0,1,1))*OFFSET($CI$9,CL69+0,0,1,1))+OFFSET($BP$9,CL69+0,CQ69,1,1),IF(F69&lt;OFFSET($BN$9,CL69+1,0,1,1),((F69-OFFSET($BM$9,CL69+1,0,1,1))*OFFSET($CI$9,CL69+1,0,1,1))+OFFSET($BP$9,CL69+1,CQ69,1,1),IF(F69&lt;OFFSET($BN$9,CL69+2,0,1,1),((F69-OFFSET($BM$9,CL69+2,0,1,1))*OFFSET($CI$9,CL69+2,0,1,1))+OFFSET($BP$9,CL69+2,CQ69,1,1),IF(F69&lt;OFFSET($BN$9,CL69+3,0,1,1),((F69-OFFSET($BM$9,CL69+3,0,1,1))*OFFSET($CI$9,CL69+3,0,1,1))+OFFSET($BP$9,CL69+3,CQ69,1,1),0))))))</f>
        <v>0</v>
      </c>
      <c r="CV69" s="51">
        <f ca="1">IF($F69&lt;OFFSET($BM$9,$CL69-1,0,1,1),0,IF($F69&lt;OFFSET($BN$9,$CL69-1,0,1,1),IF(AND($H69&gt;2.4,Z69&lt;&gt;"e",Z69&lt;&gt;"f"),CZ69*2.4/$H69,CZ69),IF($F69&lt;OFFSET($BN$9,$CL69+0,0,1,1),IF(AND($H69&gt;2.4,Z69&lt;&gt;"e",Z69&lt;&gt;"f"),CZ69*2.4/$H69,CZ69),IF($F69&lt;OFFSET($BN$9,$CL69+1,0,1,1),IF(AND($H69&gt;2.4,Z69&lt;&gt;"e",Z69&lt;&gt;"f"),CZ69*2.4/$H69,CZ69),IF($F69&lt;OFFSET($BN$9,$CL69+2,0,1,1),IF(AND($H69&gt;2.4,Z69&lt;&gt;"e",Z69&lt;&gt;"f"),CZ69*2.4/$H69,CZ69),IF($F69&lt;OFFSET($BN$9,$CL69+3,0,1,1),IF(AND($H69&gt;2.4,Z69&lt;&gt;"e",Z69&lt;&gt;"f"),CZ69*2.4/$H69,CZ69),0)))))*COS(RADIANS($G69)))</f>
        <v>0</v>
      </c>
      <c r="CW69" s="51">
        <f ca="1">IF(CT69&gt;CR69,CR69,CT69)</f>
        <v>0</v>
      </c>
      <c r="CX69" s="51">
        <f ca="1">IF(CS69&gt;$CR69,$CR69,CS69)</f>
        <v>0</v>
      </c>
      <c r="CY69" s="51">
        <f ca="1">CW69*F69</f>
        <v>0</v>
      </c>
      <c r="CZ69" s="51">
        <f ca="1">IF($CU69&gt;$CR69,$CR69,$CU69)</f>
        <v>0</v>
      </c>
      <c r="DA69" s="51">
        <f ca="1">IF(CV69&gt;CR69,CR69,CV69)</f>
        <v>0</v>
      </c>
      <c r="DB69" s="51">
        <f ca="1">DA69*F69</f>
        <v>0</v>
      </c>
      <c r="DC69" s="993">
        <v>1</v>
      </c>
      <c r="DD69" s="758" t="str">
        <f>IF(OR(D69=BG$12,D69=BG$13),"External",IF(D69=BG$14,"Internal"," "))</f>
        <v xml:space="preserve"> </v>
      </c>
      <c r="DE69" s="51" t="str">
        <f t="shared" ca="1" si="4"/>
        <v/>
      </c>
      <c r="DF69" s="52" t="str">
        <f t="shared" ca="1" si="5"/>
        <v xml:space="preserve"> </v>
      </c>
      <c r="DG69" s="51">
        <f ca="1">IF(F69&lt;OFFSET($BM$9,CN69-1,0,1,1),0,IF(F69&lt;OFFSET($BN$9,CN69-1,0,1,1),((F69-OFFSET($BM$9,CN69-1,0,1,1))*OFFSET($CH$9,CN69-1,0,1,1))+OFFSET($BO$9,CN69-1,CQ69,1,1),IF(F69&lt;OFFSET($BN$9,CN69+0,0,1,1),((F69-OFFSET($BM$9,CN69+0,0,1,1))*OFFSET($CH$9,CN69+0,0,1,1))+OFFSET($BO$9,CN69+0,CQ69,1,1),IF(F69&lt;OFFSET($BN$9,CN69+1,0,1,1),((F69-OFFSET($BM$9,CN69+1,0,1,1))*OFFSET($CH$9,CN69+1,0,1,1))+OFFSET($BO$9,CN69+1,CQ69,1,1),IF(F69&lt;OFFSET($BN$9,CN69+2,0,1,1),((F69-OFFSET($BM$9,CN69+2,0,1,1))*OFFSET($CH$9,CN69+2,0,1,1))+OFFSET($BO$9,CN69+2,CQ69,1,1),IF(F69&lt;OFFSET($BN$9,CN69+3,0,1,1),((F69-OFFSET($BM$9,CN69+3,0,1,1))*OFFSET($CH$9,CN69+3,0,1,1))+OFFSET($BO$9,CN69+3,CQ69,1,1),0))))))</f>
        <v>0</v>
      </c>
      <c r="DH69" s="51">
        <f ca="1">IF($F69&lt;OFFSET($BM$9,$CN69-1,0,1,1),0,IF($F69&lt;OFFSET($BN$9,$CN69-1,0,1,1),IF(AND($H69&gt;2.4,Z69&lt;&gt;"e",Z69&lt;&gt;"f"),DL69*2.4/$H69,DL69),IF($F69&lt;OFFSET($BN$9,$CN69+0,0,1,1),IF(AND($H69&gt;2.4,Z69&lt;&gt;"e",Z69&lt;&gt;"f"),DL69*2.4/$H69,DL69),IF($F69&lt;OFFSET($BN$9,$CN69+1,0,1,1),IF(AND($H69&gt;2.4,Z69&lt;&gt;"e",Z69&lt;&gt;"f"),DL69*2.4/$H69,DL69),IF($F69&lt;OFFSET($BN$9,$CN69+2,0,1,1),IF(AND($H69&gt;2.4,Z69&lt;&gt;"e",Z69&lt;&gt;"f"),DL69*2.4/$H69,DL69),IF($F69&lt;OFFSET($BN$9,$CN69+3,0,1,1),IF(AND($H69&gt;2.4,Z69&lt;&gt;"e",Z69&lt;&gt;"f"),DL69*2.4/$H69,DL69),0)))))*COS(RADIANS($G69)))</f>
        <v>0</v>
      </c>
      <c r="DI69" s="51">
        <f ca="1">IF(F69&lt;OFFSET($BM$9,CN69-1,0,1,1),0,IF(F69&lt;OFFSET($BN$9,CN69-1,0,1,1),((F69-OFFSET($BM$9,CN69-1,0,1,1))*OFFSET($CI$9,CN69-1,0,1,1))+OFFSET($BP$9,CN69-1,CQ69,1,1),IF(F69&lt;OFFSET($BN$9,CN69+0,0,1,1),((F69-OFFSET($BM$9,CN69+0,0,1,1))*OFFSET($CI$9,CN69+0,0,1,1))+OFFSET($BP$9,CN69+0,CQ69,1,1),IF(F69&lt;OFFSET($BN$9,CN69+1,0,1,1),((F69-OFFSET($BM$9,CN69+1,0,1,1))*OFFSET($CI$9,CN69+1,0,1,1))+OFFSET($BP$9,CN69+1,CQ69,1,1),IF(F69&lt;OFFSET($BN$9,CN69+2,0,1,1),((F69-OFFSET($BM$9,CN69+2,0,1,1))*OFFSET($CI$9,CN69+2,0,1,1))+OFFSET($BP$9,CN69+2,CQ69,1,1),IF(F69&lt;OFFSET($BN$9,CN69+3,0,1,1),((F69-OFFSET($BM$9,CN69+3,0,1,1))*OFFSET($CI$9,CN69+3,0,1,1))+OFFSET($BP$9,CN69+3,CQ69,1,1),0))))))</f>
        <v>0</v>
      </c>
      <c r="DJ69" s="51">
        <f ca="1">IF($F69&lt;OFFSET($BM$9,$CN69-1,0,1,1),0,IF($F69&lt;OFFSET($BN$9,$CN69-1,0,1,1),IF(AND($H69&gt;2.4,Z69&lt;&gt;"e",Z69&lt;&gt;"f"),DN69*2.4/$H69,DN69),IF($F69&lt;OFFSET($BN$9,$CN69+0,0,1,1),IF(AND($H69&gt;2.4,Z69&lt;&gt;"e",Z69&lt;&gt;"f"),DN69*2.4/$H69,DN69),IF($F69&lt;OFFSET($BN$9,$CN69+1,0,1,1),IF(AND($H69&gt;2.4,Z69&lt;&gt;"e",Z69&lt;&gt;"f"),DN69*2.4/$H69,DN69),IF($F69&lt;OFFSET($BN$9,$CN69+2,0,1,1),IF(AND($H69&gt;2.4,Z69&lt;&gt;"e",Z69&lt;&gt;"f"),DN69*2.4/$H69,DN69),IF($F69&lt;OFFSET($BN$9,$CN69+3,0,1,1),IF(AND($H69&gt;2.4,Z69&lt;&gt;"e",Z69&lt;&gt;"f"),DN69*2.4/$H69,DN69),0)))))*COS(RADIANS($G69)))</f>
        <v>0</v>
      </c>
      <c r="DK69" s="51"/>
      <c r="DL69" s="51">
        <f ca="1">IF(DG69&gt;$CR69,$CR69,DG69)</f>
        <v>0</v>
      </c>
      <c r="DM69" s="51"/>
      <c r="DN69" s="51">
        <f ca="1">IF(DI69&gt;$CR69,$CR69,DI69)</f>
        <v>0</v>
      </c>
      <c r="DO69" s="435">
        <f ca="1">IF(DH69&gt;$CR69,$CR69,DH69)</f>
        <v>0</v>
      </c>
      <c r="DP69" s="435">
        <f ca="1">DO69*F69</f>
        <v>0</v>
      </c>
      <c r="DQ69" s="436">
        <f ca="1">IF(DJ69&gt;$CR69,$CR69,DJ69)</f>
        <v>0</v>
      </c>
      <c r="DR69" s="437">
        <f ca="1">DQ69*F69</f>
        <v>0</v>
      </c>
      <c r="DS69" s="426">
        <f ca="1">OFFSET($CH$9,CL69-1,-15,1,1)</f>
        <v>0</v>
      </c>
      <c r="DT69" s="426">
        <f ca="1">VLOOKUP(DS69,Prodlink,2,0)</f>
        <v>0</v>
      </c>
      <c r="DU69" s="188">
        <f ca="1">IF(F69&lt;OFFSET($BM$9,DT69-1,0,1,1),0,IF(F69&lt;OFFSET($BN$9,DT69-1,0,1,1),((F69-OFFSET($BM$9,DT69-1,0,1,1))*OFFSET($CH$9,DT69-1,0,1,1))+OFFSET($BO$9,DT69-1,CQ69,1,1),IF(F69&lt;OFFSET($BN$9,DT69+0,0,1,1),((F69-OFFSET($BM$9,DT69+0,0,1,1))*OFFSET($CH$9,DT69+0,0,1,1))+OFFSET($BO$9,DT69+0,CQ69,1,1),IF(F69&lt;OFFSET($BN$9,DT69+1,0,1,1),((F69-OFFSET($BM$9,DT69+1,0,1,1))*OFFSET($CH$9,DT69+1,0,1,1))+OFFSET($BO$9,DT69+1,CQ69,1,1),IF(F69&lt;OFFSET($BN$9,DT69+2,0,1,1),((F69-OFFSET($BM$9,DT69+2,0,1,1))*OFFSET($CH$9,DT69+2,0,1,1))+OFFSET($BO$9,DT69+2,CQ69,1,1),IF(F69&lt;OFFSET($BN$9,DT69+3,0,1,1),((F69-OFFSET($BM$9,DT69+3,0,1,1))*OFFSET($CH$9,DT69+3,0,1,1))+OFFSET($BO$9,DT69+3,CQ69,1,1),0))))))</f>
        <v>0</v>
      </c>
      <c r="DV69" s="51">
        <f ca="1">IF($F69&lt;OFFSET($BM$9,$DT69-1,0,1,1),0,IF($F69&lt;OFFSET($BN$9,$DT69-1,0,1,1),IF(AND($H69&gt;2.4,Z69&lt;&gt;"e",Z69&lt;&gt;"f"),DZ69*2.4/$H69,DZ69),IF($F69&lt;OFFSET($BN$9,$DT69+0,0,1,1),IF(AND($H69&gt;2.4,Z69&lt;&gt;"e",Z69&lt;&gt;"f"),DZ69*2.4/$H69,DZ69),IF($F69&lt;OFFSET($BN$9,$DT69+1,0,1,1),IF(AND($H69&gt;2.4,Z69&lt;&gt;"e",Z69&lt;&gt;"f"),DZ69*2.4/$H69,DZ69),IF($F69&lt;OFFSET($BN$9,$DT69+2,0,1,1),IF(AND($H69&gt;2.4,Z69&lt;&gt;"e",Z69&lt;&gt;"f"),DZ69*2.4/$H69,DZ69),IF($F69&lt;OFFSET($BN$9,$DT69+3,0,1,1),IF(AND($H69&gt;2.4,Z69&lt;&gt;"e",Z69&lt;&gt;"f"),DZ69*2.4/$H69,DZ69),0)))))*COS(RADIANS($G69)))</f>
        <v>0</v>
      </c>
      <c r="DW69" s="188">
        <f ca="1">IF(F69&lt;OFFSET($BM$9,DT69-1,0,1,1),0,IF(F69&lt;OFFSET($BN$9,DT69-1,0,1,1),((F69-OFFSET($BM$9,DT69-1,0,1,1))*OFFSET($CI$9,DT69-1,0,1,1))+OFFSET($BP$9,DT69-1,CQ69,1,1),IF(F69&lt;OFFSET($BN$9,DT69+0,0,1,1),((F69-OFFSET($BM$9,DT69+0,0,1,1))*OFFSET($CI$9,DT69+0,0,1,1))+OFFSET($BP$9,DT69+0,CQ69,1,1),IF(F69&lt;OFFSET($BN$9,DT69+1,0,1,1),((F69-OFFSET($BM$9,DT69+1,0,1,1))*OFFSET($CI$9,DT69+1,0,1,1))+OFFSET($BP$9,DT69+1,CQ69,1,1),IF(F69&lt;OFFSET($BN$9,DT69+2,0,1,1),((F69-OFFSET($BM$9,DT69+2,0,1,1))*OFFSET($CI$9,DT69+2,0,1,1))+OFFSET($BP$9,DT69+2,CQ69,1,1),IF(F69&lt;OFFSET($BN$9,DT69+3,0,1,1),((F69-OFFSET($BM$9,DT69+3,0,1,1))*OFFSET($CI$9,DT69+3,0,1,1))+OFFSET($BP$9,DT69+3,CQ69,1,1),0))))))</f>
        <v>0</v>
      </c>
      <c r="DX69" s="51">
        <f ca="1">IF($F69&lt;OFFSET($BM$9,$DT69-1,0,1,1),0,IF($F69&lt;OFFSET($BN$9,$DT69-1,0,1,1),IF(AND($H69&gt;2.4,Z69&lt;&gt;"e",Z69&lt;&gt;"f"),EB69*2.4/$H69,EB69),IF($F69&lt;OFFSET($BN$9,$DT69+0,0,1,1),IF(AND($H69&gt;2.4,Z69&lt;&gt;"e",Z69&lt;&gt;"f"),EB69*2.4/$H69,EB69),IF($F69&lt;OFFSET($BN$9,$DT69+1,0,1,1),IF(AND($H69&gt;2.4,Z69&lt;&gt;"e",Z69&lt;&gt;"f"),EB69*2.4/$H69,EB69),IF($F69&lt;OFFSET($BN$9,$DT69+2,0,1,1),IF(AND($H69&gt;2.4,Z69&lt;&gt;"e",Z69&lt;&gt;"f"),EB69*2.4/$H69,EB69),IF($F69&lt;OFFSET($BN$9,$DT69+3,0,1,1),IF(AND($H69&gt;2.4,Z69&lt;&gt;"e",Z69&lt;&gt;"f"),EB69*2.4/$H69,EB69),0)))))*COS(RADIANS($G69)))</f>
        <v>0</v>
      </c>
      <c r="DY69" s="188"/>
      <c r="DZ69" s="188">
        <f ca="1">IF(DU69&gt;$CR69,$CR69,DU69)</f>
        <v>0</v>
      </c>
      <c r="EA69" s="188"/>
      <c r="EB69" s="188">
        <f ca="1">IF(DW69&gt;$CR69,$CR69,DW69)</f>
        <v>0</v>
      </c>
      <c r="EC69" s="435">
        <f ca="1">IF(DV69&gt;$CR69,$CR69,DV69)</f>
        <v>0</v>
      </c>
      <c r="ED69" s="435">
        <f ca="1">EC69*F69</f>
        <v>0</v>
      </c>
      <c r="EE69" s="436">
        <f ca="1">IF(DX69&gt;$CR69,$CR69,DX69)</f>
        <v>0</v>
      </c>
      <c r="EF69" s="437">
        <f ca="1">EE69*F69</f>
        <v>0</v>
      </c>
      <c r="EG69" s="613" t="str">
        <f>IF(D69=BG$12,BG$12,"")</f>
        <v/>
      </c>
      <c r="EH69" s="614" t="str">
        <f>IF(D69=BG$13,BG$13,"")</f>
        <v/>
      </c>
      <c r="EI69" s="611">
        <f>IF(EG69=BG$12,M69,0)</f>
        <v>0</v>
      </c>
      <c r="EJ69" s="451">
        <f>IF(EG69=BG$12,O69,0)</f>
        <v>0</v>
      </c>
      <c r="EK69" s="451">
        <f>IF(EH69=BG$13,M69,0)</f>
        <v>0</v>
      </c>
      <c r="EL69" s="612">
        <f>IF(EH69=BG$13,O69,0)</f>
        <v>0</v>
      </c>
      <c r="EM69" s="426" t="str">
        <f ca="1">IF(AND(Z69&lt;&gt;"t",Z69&lt;&gt;"f"),"",IF(AND(EN69=$BH$11,K69&lt;&gt;EN69),EM$4,IF(AND(EN69=$BH$12,K69=$BH$13),EM$4,IF(AND(EN69=$BH$12,K69=$BH$14),EM$4,IF(AND(EN69=$BH$13,K69=$BH$14),$EM$4,IF(EN69=$BH$14,$EM$4,""))))))</f>
        <v/>
      </c>
      <c r="EN69" s="489" t="str">
        <f>BG$24</f>
        <v>Earth</v>
      </c>
      <c r="EO69" s="426" t="str">
        <f>K69</f>
        <v xml:space="preserve"> </v>
      </c>
      <c r="EP69" s="497" t="str">
        <f ca="1">IF(AND(Z69&lt;&gt;"t",Z69&lt;&gt;"f"),"",IF(AND(EN69=$BH$14,K69&lt;&gt;EN69),EP$4,IF(AND(EN69=$BH$13,K69=$BH$12),EP$4,IF(AND(EN69=$BH$13,K69=$BH$11),EP$4,IF(AND(EN69=$BH$12,K69=$BH$11),$EP$4,IF(EN69=$BH$11,"Earth",""))))))</f>
        <v/>
      </c>
      <c r="EQ69" s="430" t="str">
        <f ca="1">IF(Z69&lt;&gt;"t","",IF(EQ$5=2,IF(K69&lt;&gt;BH$11,EQ$7," ")))</f>
        <v/>
      </c>
      <c r="ER69" s="439" t="str">
        <f ca="1">IF(H69=0," ",H69)</f>
        <v xml:space="preserve"> </v>
      </c>
      <c r="ES69" s="440" t="str">
        <f ca="1">IF(ER69&lt;&gt;" ",IF(ER69&lt;&gt;ER$7,"Changed",""),"")</f>
        <v/>
      </c>
      <c r="ET69" s="440">
        <f ca="1">IF(ER69&lt;&gt;" ",IF(ER69&lt;&gt;ER$7,1,0),0)</f>
        <v>0</v>
      </c>
      <c r="EU69" s="426" t="str">
        <f ca="1">IF(I69=" "," ",IF(F69&lt;OFFSET($BM$9,CL69-1,0,1,1),1,""))</f>
        <v xml:space="preserve"> </v>
      </c>
      <c r="EW69" s="427"/>
    </row>
    <row r="70" spans="1:153" ht="17.100000000000001" hidden="1" customHeight="1">
      <c r="A70" s="2685"/>
      <c r="B70" s="689" t="s">
        <v>246</v>
      </c>
      <c r="C70" s="684" t="str">
        <f>IF(OR(F70=0,I70="",I70=" ")," ",$V70)</f>
        <v xml:space="preserve"> </v>
      </c>
      <c r="D70" s="1033"/>
      <c r="E70" s="1360" t="s">
        <v>8</v>
      </c>
      <c r="F70" s="202"/>
      <c r="G70" s="1416"/>
      <c r="H70" s="1417" t="str">
        <f ca="1">IF(OR(F70=0,Z70="E",Z70="f")," ",'Project Demand'!E$55)</f>
        <v xml:space="preserve"> </v>
      </c>
      <c r="I70" s="631" t="str">
        <f>IF($I$6&lt;&gt;$BG$8," ",AB70)</f>
        <v xml:space="preserve"> </v>
      </c>
      <c r="J70" s="44" t="str">
        <f ca="1">IF(OR(I70=" ",I70="")," ",OFFSET($BO$9,CL70-1,0-4,1,1))</f>
        <v xml:space="preserve"> </v>
      </c>
      <c r="K70" s="55" t="str">
        <f>IF(OR(I70=" ",I70="")," ",IF(OR(Z70="e",Z70="h"),"SD",IF(BG$24=BH$11,BH$13,BG$24)))</f>
        <v xml:space="preserve"> </v>
      </c>
      <c r="L70" s="49">
        <f ca="1">CW70</f>
        <v>0</v>
      </c>
      <c r="M70" s="49">
        <f ca="1">CY70</f>
        <v>0</v>
      </c>
      <c r="N70" s="50">
        <f t="shared" ca="1" si="47"/>
        <v>0</v>
      </c>
      <c r="O70" s="126">
        <f t="shared" ca="1" si="47"/>
        <v>0</v>
      </c>
      <c r="P70" s="140"/>
      <c r="Q70" s="752" t="str">
        <f ca="1">IF(AND(OR(Z70="t",Z70="f"),K70=$BH$11),"No Floor!  Change Floor Type",IF(OR(I70=" ",I70="")," ",IF(F70&lt;OFFSET($BM$9,CL70-1,0,1,1),"check L(m)",DE70&amp;IF(AND(DP70&gt;=CY70,DR70&gt;=DB70),IF(AND(ED70&gt;=DP70,EF70&gt;=DR70),CONCATENATE(DS70," will provide same result"),CONCATENATE(CO70," will provide same result")),IF((DP70&gt;=CY70),CONCATENATE(CO70," provides same result in WIND"),IF((DR70&gt;=DB70),CONCATENATE(CO70," provides same result in EQ"),""))))))&amp;IF(ISERROR(FIND("pile",I70,1)),"",IF(INT(F70)&lt;&gt;F70,"Pile!  Use Whole Numbers Only",""))</f>
        <v xml:space="preserve"> </v>
      </c>
      <c r="R70" s="52"/>
      <c r="S70" s="1372"/>
      <c r="T70" s="1372"/>
      <c r="U70" s="1377"/>
      <c r="V70" s="52" t="str">
        <f ca="1">IF(AND(B$5=$BF$9,OR(I70=BH$16,I70=BH$17))," ",IF(ISNUMBER(B$68),(CONCATENATE(B$68,".",W70)),(CONCATENATE(B$68,W70))))</f>
        <v>W0</v>
      </c>
      <c r="W70" s="9">
        <f ca="1">W69+X70</f>
        <v>0</v>
      </c>
      <c r="X70" s="9">
        <f>IF(AND(B$5=$BF$9,OR($I70=$BH$16,$I70=$BH$17,$I70=" ",$I70="",$F70=0)),0,IF(OR($I70=" ",$I70="",$F70=0),0,1))</f>
        <v>0</v>
      </c>
      <c r="Y70" s="896"/>
      <c r="Z70" s="52" t="str">
        <f ca="1">IF(I70=" "," ",OFFSET($BM$9,$CL70-1,8,1,1))</f>
        <v xml:space="preserve"> </v>
      </c>
      <c r="AA70" s="51" t="str">
        <f>IF(G70&gt;=45,"WA","")</f>
        <v/>
      </c>
      <c r="AB70" s="1364" t="str">
        <f>IF(OR(E70=" ",E70="")," ",(IF(F70&lt;&gt;"",IF(OR(D70=$BG$12,D70=$BG$13),IF(E70&lt;&gt;$BG$17,$BF$20,$BF$21),IF(E70&lt;&gt;$BG$17,$BF$20,$BF$21))," ")))</f>
        <v xml:space="preserve"> </v>
      </c>
      <c r="AC70" s="1"/>
      <c r="AO70" s="51"/>
      <c r="AP70" s="51"/>
      <c r="AQ70" s="51"/>
      <c r="AR70" s="51"/>
      <c r="AS70" s="51"/>
      <c r="AT70" s="51"/>
      <c r="AU70" s="51"/>
      <c r="AV70" s="1"/>
      <c r="AW70" s="1"/>
      <c r="AX70" s="1"/>
      <c r="AY70" s="1"/>
      <c r="AZ70" s="1"/>
      <c r="BA70" s="1"/>
      <c r="BB70" s="1"/>
      <c r="BC70" s="1"/>
      <c r="BD70" s="641"/>
      <c r="BE70" s="2880" t="s">
        <v>942</v>
      </c>
      <c r="BF70" s="2881"/>
      <c r="BG70" s="2881"/>
      <c r="BH70" s="2882"/>
      <c r="BI70" s="759"/>
      <c r="BJ70" s="897">
        <f t="shared" si="37"/>
        <v>62</v>
      </c>
      <c r="BK70" s="764"/>
      <c r="BL70" s="766"/>
      <c r="BM70" s="455">
        <f>Table!P12</f>
        <v>0.8</v>
      </c>
      <c r="BN70" s="455">
        <f>BM71</f>
        <v>1</v>
      </c>
      <c r="BO70" s="455">
        <f>Table!Q12</f>
        <v>135</v>
      </c>
      <c r="BP70" s="925">
        <f>Table!R12</f>
        <v>125</v>
      </c>
      <c r="BR70" s="764"/>
      <c r="BS70" s="455"/>
      <c r="BT70" s="455"/>
      <c r="BU70" s="925" t="s">
        <v>242</v>
      </c>
      <c r="BV70" s="895"/>
      <c r="BW70" s="912"/>
      <c r="BX70" s="925" t="str">
        <f>Table!T11</f>
        <v>Double</v>
      </c>
      <c r="CH70" s="764">
        <f>IF(BN70=999,0,(BO71-BO70)/(BN70-BM70))</f>
        <v>25.000000000000007</v>
      </c>
      <c r="CI70" s="925">
        <f>IF(BN70=999,0,(BP71-BP70)/(BN70-BM70))</f>
        <v>25.000000000000007</v>
      </c>
      <c r="CJ70" s="759"/>
      <c r="CK70" s="188"/>
      <c r="CL70" s="979">
        <f>VLOOKUP(I70,Prodlink,2,0)</f>
        <v>0</v>
      </c>
      <c r="CN70" s="497">
        <f ca="1">VLOOKUP(CO70,Prodlink,2,0)</f>
        <v>0</v>
      </c>
      <c r="CO70" s="497">
        <f ca="1">OFFSET($CH$9,CL70-1,-15,1,1)</f>
        <v>0</v>
      </c>
      <c r="CQ70" s="51">
        <v>0</v>
      </c>
      <c r="CR70" s="51">
        <f t="shared" ca="1" si="48"/>
        <v>10000</v>
      </c>
      <c r="CS70" s="51">
        <f ca="1">IF(F70&lt;OFFSET($BM$9,CL70-1,0,1,1),0,IF(F70&lt;OFFSET($BN$9,CL70-1,0,1,1),((F70-OFFSET($BM$9,CL70-1,0,1,1))*OFFSET($CH$9,CL70-1,0,1,1))+OFFSET($BO$9,CL70-1,CQ70,1,1),IF(F70&lt;OFFSET($BN$9,CL70+0,0,1,1),((F70-OFFSET($BM$9,CL70+0,0,1,1))*OFFSET($CH$9,CL70+0,0,1,1))+OFFSET($BO$9,CL70+0,CQ70,1,1),IF(F70&lt;OFFSET($BN$9,CL70+1,0,1,1),((F70-OFFSET($BM$9,CL70+1,0,1,1))*OFFSET($CH$9,CL70+1,0,1,1))+OFFSET($BO$9,CL70+1,CQ70,1,1),IF(F70&lt;OFFSET($BN$9,CL70+2,0,1,1),((F70-OFFSET($BM$9,CL70+2,0,1,1))*OFFSET($CH$9,CL70+2,0,1,1))+OFFSET($BO$9,CL70+2,CQ70,1,1),IF(F70&lt;OFFSET($BN$9,CL70+3,0,1,1),((F70-OFFSET($BM$9,CL70+3,0,1,1))*OFFSET($CH$9,CL70+3,0,1,1))+OFFSET($BO$9,CL70+3,CQ70,1,1),0))))))</f>
        <v>0</v>
      </c>
      <c r="CT70" s="51">
        <f ca="1">IF($F70&lt;OFFSET($BM$9,$CL70-1,0,1,1),0,IF($F70&lt;OFFSET($BN$9,$CL70-1,0,1,1),IF(AND($H70&gt;2.4,Z70&lt;&gt;"e",Z70&lt;&gt;"f"),CX70*2.4/$H70,CX70),IF($F70&lt;OFFSET($BN$9,$CL70+0,0,1,1),IF(AND($H70&gt;2.4,Z70&lt;&gt;"e",Z70&lt;&gt;"f"),CX70*2.4/$H70,CX70),IF($F70&lt;OFFSET($BN$9,$CL70+1,0,1,1),IF(AND($H70&gt;2.4,Z70&lt;&gt;"e",Z70&lt;&gt;"f"),CX70*2.4/$H70,CX70),IF($F70&lt;OFFSET($BN$9,CL70+2,0,1,1),IF(AND($H70&gt;2.4,Z70&lt;&gt;"e",Z70&lt;&gt;"f"),CX70*2.4/$H70,CX70),IF($F70&lt;OFFSET($BN$9,CL70+3,0,1,1),IF(AND($H70&gt;2.4,Z70&lt;&gt;"e",Z70&lt;&gt;"f"),CX70*2.4/$H70,CX70),0)))))*COS(RADIANS($G70)))</f>
        <v>0</v>
      </c>
      <c r="CU70" s="51">
        <f ca="1">IF(F70&lt;OFFSET($BM$9,CL70-1,0,1,1),0,IF(F70&lt;OFFSET($BN$9,CL70-1,0,1,1),((F70-OFFSET($BM$9,CL70-1,0,1,1))*OFFSET($CI$9,CL70-1,0,1,1))+OFFSET($BP$9,CL70-1,CQ70,1,1),IF(F70&lt;OFFSET($BN$9,CL70+0,0,1,1),((F70-OFFSET($BM$9,CL70+0,0,1,1))*OFFSET($CI$9,CL70+0,0,1,1))+OFFSET($BP$9,CL70+0,CQ70,1,1),IF(F70&lt;OFFSET($BN$9,CL70+1,0,1,1),((F70-OFFSET($BM$9,CL70+1,0,1,1))*OFFSET($CI$9,CL70+1,0,1,1))+OFFSET($BP$9,CL70+1,CQ70,1,1),IF(F70&lt;OFFSET($BN$9,CL70+2,0,1,1),((F70-OFFSET($BM$9,CL70+2,0,1,1))*OFFSET($CI$9,CL70+2,0,1,1))+OFFSET($BP$9,CL70+2,CQ70,1,1),IF(F70&lt;OFFSET($BN$9,CL70+3,0,1,1),((F70-OFFSET($BM$9,CL70+3,0,1,1))*OFFSET($CI$9,CL70+3,0,1,1))+OFFSET($BP$9,CL70+3,CQ70,1,1),0))))))</f>
        <v>0</v>
      </c>
      <c r="CV70" s="51">
        <f ca="1">IF($F70&lt;OFFSET($BM$9,$CL70-1,0,1,1),0,IF($F70&lt;OFFSET($BN$9,$CL70-1,0,1,1),IF(AND($H70&gt;2.4,Z70&lt;&gt;"e",Z70&lt;&gt;"f"),CZ70*2.4/$H70,CZ70),IF($F70&lt;OFFSET($BN$9,$CL70+0,0,1,1),IF(AND($H70&gt;2.4,Z70&lt;&gt;"e",Z70&lt;&gt;"f"),CZ70*2.4/$H70,CZ70),IF($F70&lt;OFFSET($BN$9,$CL70+1,0,1,1),IF(AND($H70&gt;2.4,Z70&lt;&gt;"e",Z70&lt;&gt;"f"),CZ70*2.4/$H70,CZ70),IF($F70&lt;OFFSET($BN$9,$CL70+2,0,1,1),IF(AND($H70&gt;2.4,Z70&lt;&gt;"e",Z70&lt;&gt;"f"),CZ70*2.4/$H70,CZ70),IF($F70&lt;OFFSET($BN$9,$CL70+3,0,1,1),IF(AND($H70&gt;2.4,Z70&lt;&gt;"e",Z70&lt;&gt;"f"),CZ70*2.4/$H70,CZ70),0)))))*COS(RADIANS($G70)))</f>
        <v>0</v>
      </c>
      <c r="CW70" s="51">
        <f ca="1">IF(CT70&gt;CR70,CR70,CT70)</f>
        <v>0</v>
      </c>
      <c r="CX70" s="51">
        <f ca="1">IF(CS70&gt;$CR70,$CR70,CS70)</f>
        <v>0</v>
      </c>
      <c r="CY70" s="51">
        <f ca="1">CW70*F70</f>
        <v>0</v>
      </c>
      <c r="CZ70" s="51">
        <f ca="1">IF($CU70&gt;$CR70,$CR70,$CU70)</f>
        <v>0</v>
      </c>
      <c r="DA70" s="51">
        <f ca="1">IF(CV70&gt;CR70,CR70,CV70)</f>
        <v>0</v>
      </c>
      <c r="DB70" s="51">
        <f ca="1">DA70*F70</f>
        <v>0</v>
      </c>
      <c r="DC70" s="993">
        <v>1</v>
      </c>
      <c r="DD70" s="758" t="str">
        <f>IF(OR(D70=BG$12,D70=BG$13),"External",IF(D70=BG$14,"Internal"," "))</f>
        <v xml:space="preserve"> </v>
      </c>
      <c r="DE70" s="51" t="str">
        <f t="shared" ca="1" si="4"/>
        <v/>
      </c>
      <c r="DF70" s="52" t="str">
        <f t="shared" ca="1" si="5"/>
        <v xml:space="preserve"> </v>
      </c>
      <c r="DG70" s="51">
        <f ca="1">IF(F70&lt;OFFSET($BM$9,CN70-1,0,1,1),0,IF(F70&lt;OFFSET($BN$9,CN70-1,0,1,1),((F70-OFFSET($BM$9,CN70-1,0,1,1))*OFFSET($CH$9,CN70-1,0,1,1))+OFFSET($BO$9,CN70-1,CQ70,1,1),IF(F70&lt;OFFSET($BN$9,CN70+0,0,1,1),((F70-OFFSET($BM$9,CN70+0,0,1,1))*OFFSET($CH$9,CN70+0,0,1,1))+OFFSET($BO$9,CN70+0,CQ70,1,1),IF(F70&lt;OFFSET($BN$9,CN70+1,0,1,1),((F70-OFFSET($BM$9,CN70+1,0,1,1))*OFFSET($CH$9,CN70+1,0,1,1))+OFFSET($BO$9,CN70+1,CQ70,1,1),IF(F70&lt;OFFSET($BN$9,CN70+2,0,1,1),((F70-OFFSET($BM$9,CN70+2,0,1,1))*OFFSET($CH$9,CN70+2,0,1,1))+OFFSET($BO$9,CN70+2,CQ70,1,1),IF(F70&lt;OFFSET($BN$9,CN70+3,0,1,1),((F70-OFFSET($BM$9,CN70+3,0,1,1))*OFFSET($CH$9,CN70+3,0,1,1))+OFFSET($BO$9,CN70+3,CQ70,1,1),0))))))</f>
        <v>0</v>
      </c>
      <c r="DH70" s="51">
        <f ca="1">IF($F70&lt;OFFSET($BM$9,$CN70-1,0,1,1),0,IF($F70&lt;OFFSET($BN$9,$CN70-1,0,1,1),IF(AND($H70&gt;2.4,Z70&lt;&gt;"e",Z70&lt;&gt;"f"),DL70*2.4/$H70,DL70),IF($F70&lt;OFFSET($BN$9,$CN70+0,0,1,1),IF(AND($H70&gt;2.4,Z70&lt;&gt;"e",Z70&lt;&gt;"f"),DL70*2.4/$H70,DL70),IF($F70&lt;OFFSET($BN$9,$CN70+1,0,1,1),IF(AND($H70&gt;2.4,Z70&lt;&gt;"e",Z70&lt;&gt;"f"),DL70*2.4/$H70,DL70),IF($F70&lt;OFFSET($BN$9,$CN70+2,0,1,1),IF(AND($H70&gt;2.4,Z70&lt;&gt;"e",Z70&lt;&gt;"f"),DL70*2.4/$H70,DL70),IF($F70&lt;OFFSET($BN$9,$CN70+3,0,1,1),IF(AND($H70&gt;2.4,Z70&lt;&gt;"e",Z70&lt;&gt;"f"),DL70*2.4/$H70,DL70),0)))))*COS(RADIANS($G70)))</f>
        <v>0</v>
      </c>
      <c r="DI70" s="51">
        <f ca="1">IF(F70&lt;OFFSET($BM$9,CN70-1,0,1,1),0,IF(F70&lt;OFFSET($BN$9,CN70-1,0,1,1),((F70-OFFSET($BM$9,CN70-1,0,1,1))*OFFSET($CI$9,CN70-1,0,1,1))+OFFSET($BP$9,CN70-1,CQ70,1,1),IF(F70&lt;OFFSET($BN$9,CN70+0,0,1,1),((F70-OFFSET($BM$9,CN70+0,0,1,1))*OFFSET($CI$9,CN70+0,0,1,1))+OFFSET($BP$9,CN70+0,CQ70,1,1),IF(F70&lt;OFFSET($BN$9,CN70+1,0,1,1),((F70-OFFSET($BM$9,CN70+1,0,1,1))*OFFSET($CI$9,CN70+1,0,1,1))+OFFSET($BP$9,CN70+1,CQ70,1,1),IF(F70&lt;OFFSET($BN$9,CN70+2,0,1,1),((F70-OFFSET($BM$9,CN70+2,0,1,1))*OFFSET($CI$9,CN70+2,0,1,1))+OFFSET($BP$9,CN70+2,CQ70,1,1),IF(F70&lt;OFFSET($BN$9,CN70+3,0,1,1),((F70-OFFSET($BM$9,CN70+3,0,1,1))*OFFSET($CI$9,CN70+3,0,1,1))+OFFSET($BP$9,CN70+3,CQ70,1,1),0))))))</f>
        <v>0</v>
      </c>
      <c r="DJ70" s="51">
        <f ca="1">IF($F70&lt;OFFSET($BM$9,$CN70-1,0,1,1),0,IF($F70&lt;OFFSET($BN$9,$CN70-1,0,1,1),IF(AND($H70&gt;2.4,Z70&lt;&gt;"e",Z70&lt;&gt;"f"),DN70*2.4/$H70,DN70),IF($F70&lt;OFFSET($BN$9,$CN70+0,0,1,1),IF(AND($H70&gt;2.4,Z70&lt;&gt;"e",Z70&lt;&gt;"f"),DN70*2.4/$H70,DN70),IF($F70&lt;OFFSET($BN$9,$CN70+1,0,1,1),IF(AND($H70&gt;2.4,Z70&lt;&gt;"e",Z70&lt;&gt;"f"),DN70*2.4/$H70,DN70),IF($F70&lt;OFFSET($BN$9,$CN70+2,0,1,1),IF(AND($H70&gt;2.4,Z70&lt;&gt;"e",Z70&lt;&gt;"f"),DN70*2.4/$H70,DN70),IF($F70&lt;OFFSET($BN$9,$CN70+3,0,1,1),IF(AND($H70&gt;2.4,Z70&lt;&gt;"e",Z70&lt;&gt;"f"),DN70*2.4/$H70,DN70),0)))))*COS(RADIANS($G70)))</f>
        <v>0</v>
      </c>
      <c r="DK70" s="51"/>
      <c r="DL70" s="51">
        <f ca="1">IF(DG70&gt;$CR70,$CR70,DG70)</f>
        <v>0</v>
      </c>
      <c r="DM70" s="51"/>
      <c r="DN70" s="51">
        <f ca="1">IF(DI70&gt;$CR70,$CR70,DI70)</f>
        <v>0</v>
      </c>
      <c r="DO70" s="435">
        <f ca="1">IF(DH70&gt;$CR70,$CR70,DH70)</f>
        <v>0</v>
      </c>
      <c r="DP70" s="435">
        <f ca="1">DO70*F70</f>
        <v>0</v>
      </c>
      <c r="DQ70" s="436">
        <f ca="1">IF(DJ70&gt;$CR70,$CR70,DJ70)</f>
        <v>0</v>
      </c>
      <c r="DR70" s="437">
        <f ca="1">DQ70*F70</f>
        <v>0</v>
      </c>
      <c r="DS70" s="426">
        <f ca="1">OFFSET($CH$9,CL70-1,-15,1,1)</f>
        <v>0</v>
      </c>
      <c r="DT70" s="426">
        <f ca="1">VLOOKUP(DS70,Prodlink,2,0)</f>
        <v>0</v>
      </c>
      <c r="DU70" s="188">
        <f ca="1">IF(F70&lt;OFFSET($BM$9,DT70-1,0,1,1),0,IF(F70&lt;OFFSET($BN$9,DT70-1,0,1,1),((F70-OFFSET($BM$9,DT70-1,0,1,1))*OFFSET($CH$9,DT70-1,0,1,1))+OFFSET($BO$9,DT70-1,CQ70,1,1),IF(F70&lt;OFFSET($BN$9,DT70+0,0,1,1),((F70-OFFSET($BM$9,DT70+0,0,1,1))*OFFSET($CH$9,DT70+0,0,1,1))+OFFSET($BO$9,DT70+0,CQ70,1,1),IF(F70&lt;OFFSET($BN$9,DT70+1,0,1,1),((F70-OFFSET($BM$9,DT70+1,0,1,1))*OFFSET($CH$9,DT70+1,0,1,1))+OFFSET($BO$9,DT70+1,CQ70,1,1),IF(F70&lt;OFFSET($BN$9,DT70+2,0,1,1),((F70-OFFSET($BM$9,DT70+2,0,1,1))*OFFSET($CH$9,DT70+2,0,1,1))+OFFSET($BO$9,DT70+2,CQ70,1,1),IF(F70&lt;OFFSET($BN$9,DT70+3,0,1,1),((F70-OFFSET($BM$9,DT70+3,0,1,1))*OFFSET($CH$9,DT70+3,0,1,1))+OFFSET($BO$9,DT70+3,CQ70,1,1),0))))))</f>
        <v>0</v>
      </c>
      <c r="DV70" s="51">
        <f ca="1">IF($F70&lt;OFFSET($BM$9,$DT70-1,0,1,1),0,IF($F70&lt;OFFSET($BN$9,$DT70-1,0,1,1),IF(AND($H70&gt;2.4,Z70&lt;&gt;"e",Z70&lt;&gt;"f"),DZ70*2.4/$H70,DZ70),IF($F70&lt;OFFSET($BN$9,$DT70+0,0,1,1),IF(AND($H70&gt;2.4,Z70&lt;&gt;"e",Z70&lt;&gt;"f"),DZ70*2.4/$H70,DZ70),IF($F70&lt;OFFSET($BN$9,$DT70+1,0,1,1),IF(AND($H70&gt;2.4,Z70&lt;&gt;"e",Z70&lt;&gt;"f"),DZ70*2.4/$H70,DZ70),IF($F70&lt;OFFSET($BN$9,$DT70+2,0,1,1),IF(AND($H70&gt;2.4,Z70&lt;&gt;"e",Z70&lt;&gt;"f"),DZ70*2.4/$H70,DZ70),IF($F70&lt;OFFSET($BN$9,$DT70+3,0,1,1),IF(AND($H70&gt;2.4,Z70&lt;&gt;"e",Z70&lt;&gt;"f"),DZ70*2.4/$H70,DZ70),0)))))*COS(RADIANS($G70)))</f>
        <v>0</v>
      </c>
      <c r="DW70" s="188">
        <f ca="1">IF(F70&lt;OFFSET($BM$9,DT70-1,0,1,1),0,IF(F70&lt;OFFSET($BN$9,DT70-1,0,1,1),((F70-OFFSET($BM$9,DT70-1,0,1,1))*OFFSET($CI$9,DT70-1,0,1,1))+OFFSET($BP$9,DT70-1,CQ70,1,1),IF(F70&lt;OFFSET($BN$9,DT70+0,0,1,1),((F70-OFFSET($BM$9,DT70+0,0,1,1))*OFFSET($CI$9,DT70+0,0,1,1))+OFFSET($BP$9,DT70+0,CQ70,1,1),IF(F70&lt;OFFSET($BN$9,DT70+1,0,1,1),((F70-OFFSET($BM$9,DT70+1,0,1,1))*OFFSET($CI$9,DT70+1,0,1,1))+OFFSET($BP$9,DT70+1,CQ70,1,1),IF(F70&lt;OFFSET($BN$9,DT70+2,0,1,1),((F70-OFFSET($BM$9,DT70+2,0,1,1))*OFFSET($CI$9,DT70+2,0,1,1))+OFFSET($BP$9,DT70+2,CQ70,1,1),IF(F70&lt;OFFSET($BN$9,DT70+3,0,1,1),((F70-OFFSET($BM$9,DT70+3,0,1,1))*OFFSET($CI$9,DT70+3,0,1,1))+OFFSET($BP$9,DT70+3,CQ70,1,1),0))))))</f>
        <v>0</v>
      </c>
      <c r="DX70" s="51">
        <f ca="1">IF($F70&lt;OFFSET($BM$9,$DT70-1,0,1,1),0,IF($F70&lt;OFFSET($BN$9,$DT70-1,0,1,1),IF(AND($H70&gt;2.4,Z70&lt;&gt;"e",Z70&lt;&gt;"f"),EB70*2.4/$H70,EB70),IF($F70&lt;OFFSET($BN$9,$DT70+0,0,1,1),IF(AND($H70&gt;2.4,Z70&lt;&gt;"e",Z70&lt;&gt;"f"),EB70*2.4/$H70,EB70),IF($F70&lt;OFFSET($BN$9,$DT70+1,0,1,1),IF(AND($H70&gt;2.4,Z70&lt;&gt;"e",Z70&lt;&gt;"f"),EB70*2.4/$H70,EB70),IF($F70&lt;OFFSET($BN$9,$DT70+2,0,1,1),IF(AND($H70&gt;2.4,Z70&lt;&gt;"e",Z70&lt;&gt;"f"),EB70*2.4/$H70,EB70),IF($F70&lt;OFFSET($BN$9,$DT70+3,0,1,1),IF(AND($H70&gt;2.4,Z70&lt;&gt;"e",Z70&lt;&gt;"f"),EB70*2.4/$H70,EB70),0)))))*COS(RADIANS($G70)))</f>
        <v>0</v>
      </c>
      <c r="DY70" s="188"/>
      <c r="DZ70" s="188">
        <f ca="1">IF(DU70&gt;$CR70,$CR70,DU70)</f>
        <v>0</v>
      </c>
      <c r="EA70" s="188"/>
      <c r="EB70" s="188">
        <f ca="1">IF(DW70&gt;$CR70,$CR70,DW70)</f>
        <v>0</v>
      </c>
      <c r="EC70" s="435">
        <f ca="1">IF(DV70&gt;$CR70,$CR70,DV70)</f>
        <v>0</v>
      </c>
      <c r="ED70" s="435">
        <f ca="1">EC70*F70</f>
        <v>0</v>
      </c>
      <c r="EE70" s="436">
        <f ca="1">IF(DX70&gt;$CR70,$CR70,DX70)</f>
        <v>0</v>
      </c>
      <c r="EF70" s="437">
        <f ca="1">EE70*F70</f>
        <v>0</v>
      </c>
      <c r="EG70" s="613" t="str">
        <f>IF(D70=BG$12,BG$12,"")</f>
        <v/>
      </c>
      <c r="EH70" s="614" t="str">
        <f>IF(D70=BG$13,BG$13,"")</f>
        <v/>
      </c>
      <c r="EI70" s="611">
        <f>IF(EG70=BG$12,M70,0)</f>
        <v>0</v>
      </c>
      <c r="EJ70" s="451">
        <f>IF(EG70=BG$12,O70,0)</f>
        <v>0</v>
      </c>
      <c r="EK70" s="451">
        <f>IF(EH70=BG$13,M70,0)</f>
        <v>0</v>
      </c>
      <c r="EL70" s="612">
        <f>IF(EH70=BG$13,O70,0)</f>
        <v>0</v>
      </c>
      <c r="EM70" s="426" t="str">
        <f ca="1">IF(AND(Z70&lt;&gt;"t",Z70&lt;&gt;"f"),"",IF(AND(EN70=$BH$11,K70&lt;&gt;EN70),EM$4,IF(AND(EN70=$BH$12,K70=$BH$13),EM$4,IF(AND(EN70=$BH$12,K70=$BH$14),EM$4,IF(AND(EN70=$BH$13,K70=$BH$14),$EM$4,IF(EN70=$BH$14,$EM$4,""))))))</f>
        <v/>
      </c>
      <c r="EN70" s="489" t="str">
        <f>BG$24</f>
        <v>Earth</v>
      </c>
      <c r="EO70" s="426" t="str">
        <f>K70</f>
        <v xml:space="preserve"> </v>
      </c>
      <c r="EP70" s="497" t="str">
        <f ca="1">IF(AND(Z70&lt;&gt;"t",Z70&lt;&gt;"f"),"",IF(AND(EN70=$BH$14,K70&lt;&gt;EN70),EP$4,IF(AND(EN70=$BH$13,K70=$BH$12),EP$4,IF(AND(EN70=$BH$13,K70=$BH$11),EP$4,IF(AND(EN70=$BH$12,K70=$BH$11),$EP$4,IF(EN70=$BH$11,"Earth",""))))))</f>
        <v/>
      </c>
      <c r="EQ70" s="430" t="str">
        <f ca="1">IF(Z70&lt;&gt;"t","",IF(EQ$5=2,IF(K70&lt;&gt;BH$11,EQ$7," ")))</f>
        <v/>
      </c>
      <c r="ER70" s="439" t="str">
        <f ca="1">IF(H70=0," ",H70)</f>
        <v xml:space="preserve"> </v>
      </c>
      <c r="ES70" s="440" t="str">
        <f ca="1">IF(ER70&lt;&gt;" ",IF(ER70&lt;&gt;ER$7,"Changed",""),"")</f>
        <v/>
      </c>
      <c r="ET70" s="440">
        <f ca="1">IF(ER70&lt;&gt;" ",IF(ER70&lt;&gt;ER$7,1,0),0)</f>
        <v>0</v>
      </c>
      <c r="EU70" s="426" t="str">
        <f ca="1">IF(I70=" "," ",IF(F70&lt;OFFSET($BM$9,CL70-1,0,1,1),1,""))</f>
        <v xml:space="preserve"> </v>
      </c>
      <c r="EW70" s="427"/>
    </row>
    <row r="71" spans="1:153" ht="17.100000000000001" hidden="1" customHeight="1">
      <c r="A71" s="2685"/>
      <c r="B71" s="689" t="s">
        <v>246</v>
      </c>
      <c r="C71" s="684" t="str">
        <f>IF(OR(F71=0,I71="",I71=" ")," ",$V71)</f>
        <v xml:space="preserve"> </v>
      </c>
      <c r="D71" s="1033"/>
      <c r="E71" s="1360" t="s">
        <v>8</v>
      </c>
      <c r="F71" s="202"/>
      <c r="G71" s="1416"/>
      <c r="H71" s="1417" t="str">
        <f ca="1">IF(OR(F71=0,Z71="E",Z71="f")," ",'Project Demand'!E$55)</f>
        <v xml:space="preserve"> </v>
      </c>
      <c r="I71" s="631" t="str">
        <f>IF($I$6&lt;&gt;$BG$8," ",AB71)</f>
        <v xml:space="preserve"> </v>
      </c>
      <c r="J71" s="44" t="str">
        <f ca="1">IF(OR(I71=" ",I71="")," ",OFFSET($BO$9,CL71-1,0-4,1,1))</f>
        <v xml:space="preserve"> </v>
      </c>
      <c r="K71" s="55" t="str">
        <f>IF(OR(I71=" ",I71="")," ",IF(OR(Z71="e",Z71="h"),"SD",IF(BG$24=BH$11,BH$13,BG$24)))</f>
        <v xml:space="preserve"> </v>
      </c>
      <c r="L71" s="49">
        <f ca="1">CW71</f>
        <v>0</v>
      </c>
      <c r="M71" s="49">
        <f ca="1">CY71</f>
        <v>0</v>
      </c>
      <c r="N71" s="50">
        <f t="shared" ca="1" si="47"/>
        <v>0</v>
      </c>
      <c r="O71" s="126">
        <f t="shared" ca="1" si="47"/>
        <v>0</v>
      </c>
      <c r="P71" s="140"/>
      <c r="Q71" s="752" t="str">
        <f ca="1">IF(AND(OR(Z71="t",Z71="f"),K71=$BH$11),"No Floor!  Change Floor Type",IF(OR(I71=" ",I71="")," ",IF(F71&lt;OFFSET($BM$9,CL71-1,0,1,1),"check L(m)",DE71&amp;IF(AND(DP71&gt;=CY71,DR71&gt;=DB71),IF(AND(ED71&gt;=DP71,EF71&gt;=DR71),CONCATENATE(DS71," will provide same result"),CONCATENATE(CO71," will provide same result")),IF((DP71&gt;=CY71),CONCATENATE(CO71," provides same result in WIND"),IF((DR71&gt;=DB71),CONCATENATE(CO71," provides same result in EQ"),""))))))&amp;IF(ISERROR(FIND("pile",I71,1)),"",IF(INT(F71)&lt;&gt;F71,"Pile!  Use Whole Numbers Only",""))</f>
        <v xml:space="preserve"> </v>
      </c>
      <c r="R71" s="52"/>
      <c r="S71" s="1372"/>
      <c r="T71" s="1372"/>
      <c r="U71" s="1377"/>
      <c r="V71" s="52" t="str">
        <f ca="1">IF(AND(B$5=$BF$9,OR(I71=BH$16,I71=BH$17))," ",IF(ISNUMBER(B$68),(CONCATENATE(B$68,".",W71)),(CONCATENATE(B$68,W71))))</f>
        <v>W0</v>
      </c>
      <c r="W71" s="9">
        <f ca="1">W70+X71</f>
        <v>0</v>
      </c>
      <c r="X71" s="9">
        <f>IF(AND(B$5=$BF$9,OR($I71=$BH$16,$I71=$BH$17,$I71=" ",$I71="",$F71=0)),0,IF(OR($I71=" ",$I71="",$F71=0),0,1))</f>
        <v>0</v>
      </c>
      <c r="Y71" s="896"/>
      <c r="Z71" s="52" t="str">
        <f ca="1">IF(I71=" "," ",OFFSET($BM$9,$CL71-1,8,1,1))</f>
        <v xml:space="preserve"> </v>
      </c>
      <c r="AA71" s="51" t="str">
        <f>IF(G71&gt;=45,"WA","")</f>
        <v/>
      </c>
      <c r="AB71" s="1364" t="str">
        <f>IF(OR(E71=" ",E71="")," ",(IF(F71&lt;&gt;"",IF(OR(D71=$BG$12,D71=$BG$13),IF(E71&lt;&gt;$BG$17,$BF$20,$BF$21),IF(E71&lt;&gt;$BG$17,$BF$20,$BF$21))," ")))</f>
        <v xml:space="preserve"> </v>
      </c>
      <c r="AC71" s="1"/>
      <c r="AO71" s="51"/>
      <c r="AP71" s="51"/>
      <c r="AQ71" s="51"/>
      <c r="AR71" s="51"/>
      <c r="AS71" s="51"/>
      <c r="AT71" s="51"/>
      <c r="AU71" s="51"/>
      <c r="AV71" s="1"/>
      <c r="AW71" s="1"/>
      <c r="AX71" s="1"/>
      <c r="AY71" s="1"/>
      <c r="AZ71" s="1"/>
      <c r="BA71" s="1"/>
      <c r="BB71" s="1"/>
      <c r="BC71" s="1"/>
      <c r="BD71" s="652"/>
      <c r="BE71" s="2880" t="s">
        <v>943</v>
      </c>
      <c r="BF71" s="2881"/>
      <c r="BG71" s="2881"/>
      <c r="BH71" s="2882"/>
      <c r="BI71" s="759"/>
      <c r="BJ71" s="897">
        <f t="shared" si="37"/>
        <v>63</v>
      </c>
      <c r="BK71" s="764"/>
      <c r="BL71" s="766"/>
      <c r="BM71" s="455">
        <f>Table!P13</f>
        <v>1</v>
      </c>
      <c r="BN71" s="455">
        <f>BM72</f>
        <v>1.2</v>
      </c>
      <c r="BO71" s="455">
        <f>Table!Q13</f>
        <v>140</v>
      </c>
      <c r="BP71" s="925">
        <f>Table!R13</f>
        <v>130</v>
      </c>
      <c r="BR71" s="764"/>
      <c r="BS71" s="455"/>
      <c r="BT71" s="455"/>
      <c r="BU71" s="925" t="s">
        <v>242</v>
      </c>
      <c r="BV71" s="895"/>
      <c r="BW71" s="912"/>
      <c r="BX71" s="925" t="str">
        <f>Table!T11</f>
        <v>Double</v>
      </c>
      <c r="CH71" s="764">
        <f>IF(BN71=999,0,(BO72-BO71)/(BN71-BM71))</f>
        <v>50.000000000000014</v>
      </c>
      <c r="CI71" s="925">
        <f>IF(BN71=999,0,(BP72-BP71)/(BN71-BM71))</f>
        <v>25.000000000000007</v>
      </c>
      <c r="CJ71" s="759"/>
      <c r="CK71" s="188"/>
      <c r="CL71" s="979">
        <f>VLOOKUP(I71,Prodlink,2,0)</f>
        <v>0</v>
      </c>
      <c r="CN71" s="497">
        <f ca="1">VLOOKUP(CO71,Prodlink,2,0)</f>
        <v>0</v>
      </c>
      <c r="CO71" s="497">
        <f ca="1">OFFSET($CH$9,CL71-1,-15,1,1)</f>
        <v>0</v>
      </c>
      <c r="CQ71" s="51">
        <v>0</v>
      </c>
      <c r="CR71" s="51">
        <f t="shared" ca="1" si="48"/>
        <v>10000</v>
      </c>
      <c r="CS71" s="51">
        <f ca="1">IF(F71&lt;OFFSET($BM$9,CL71-1,0,1,1),0,IF(F71&lt;OFFSET($BN$9,CL71-1,0,1,1),((F71-OFFSET($BM$9,CL71-1,0,1,1))*OFFSET($CH$9,CL71-1,0,1,1))+OFFSET($BO$9,CL71-1,CQ71,1,1),IF(F71&lt;OFFSET($BN$9,CL71+0,0,1,1),((F71-OFFSET($BM$9,CL71+0,0,1,1))*OFFSET($CH$9,CL71+0,0,1,1))+OFFSET($BO$9,CL71+0,CQ71,1,1),IF(F71&lt;OFFSET($BN$9,CL71+1,0,1,1),((F71-OFFSET($BM$9,CL71+1,0,1,1))*OFFSET($CH$9,CL71+1,0,1,1))+OFFSET($BO$9,CL71+1,CQ71,1,1),IF(F71&lt;OFFSET($BN$9,CL71+2,0,1,1),((F71-OFFSET($BM$9,CL71+2,0,1,1))*OFFSET($CH$9,CL71+2,0,1,1))+OFFSET($BO$9,CL71+2,CQ71,1,1),IF(F71&lt;OFFSET($BN$9,CL71+3,0,1,1),((F71-OFFSET($BM$9,CL71+3,0,1,1))*OFFSET($CH$9,CL71+3,0,1,1))+OFFSET($BO$9,CL71+3,CQ71,1,1),0))))))</f>
        <v>0</v>
      </c>
      <c r="CT71" s="51">
        <f ca="1">IF($F71&lt;OFFSET($BM$9,$CL71-1,0,1,1),0,IF($F71&lt;OFFSET($BN$9,$CL71-1,0,1,1),IF(AND($H71&gt;2.4,Z71&lt;&gt;"e",Z71&lt;&gt;"f"),CX71*2.4/$H71,CX71),IF($F71&lt;OFFSET($BN$9,$CL71+0,0,1,1),IF(AND($H71&gt;2.4,Z71&lt;&gt;"e",Z71&lt;&gt;"f"),CX71*2.4/$H71,CX71),IF($F71&lt;OFFSET($BN$9,$CL71+1,0,1,1),IF(AND($H71&gt;2.4,Z71&lt;&gt;"e",Z71&lt;&gt;"f"),CX71*2.4/$H71,CX71),IF($F71&lt;OFFSET($BN$9,CL71+2,0,1,1),IF(AND($H71&gt;2.4,Z71&lt;&gt;"e",Z71&lt;&gt;"f"),CX71*2.4/$H71,CX71),IF($F71&lt;OFFSET($BN$9,CL71+3,0,1,1),IF(AND($H71&gt;2.4,Z71&lt;&gt;"e",Z71&lt;&gt;"f"),CX71*2.4/$H71,CX71),0)))))*COS(RADIANS($G71)))</f>
        <v>0</v>
      </c>
      <c r="CU71" s="51">
        <f ca="1">IF(F71&lt;OFFSET($BM$9,CL71-1,0,1,1),0,IF(F71&lt;OFFSET($BN$9,CL71-1,0,1,1),((F71-OFFSET($BM$9,CL71-1,0,1,1))*OFFSET($CI$9,CL71-1,0,1,1))+OFFSET($BP$9,CL71-1,CQ71,1,1),IF(F71&lt;OFFSET($BN$9,CL71+0,0,1,1),((F71-OFFSET($BM$9,CL71+0,0,1,1))*OFFSET($CI$9,CL71+0,0,1,1))+OFFSET($BP$9,CL71+0,CQ71,1,1),IF(F71&lt;OFFSET($BN$9,CL71+1,0,1,1),((F71-OFFSET($BM$9,CL71+1,0,1,1))*OFFSET($CI$9,CL71+1,0,1,1))+OFFSET($BP$9,CL71+1,CQ71,1,1),IF(F71&lt;OFFSET($BN$9,CL71+2,0,1,1),((F71-OFFSET($BM$9,CL71+2,0,1,1))*OFFSET($CI$9,CL71+2,0,1,1))+OFFSET($BP$9,CL71+2,CQ71,1,1),IF(F71&lt;OFFSET($BN$9,CL71+3,0,1,1),((F71-OFFSET($BM$9,CL71+3,0,1,1))*OFFSET($CI$9,CL71+3,0,1,1))+OFFSET($BP$9,CL71+3,CQ71,1,1),0))))))</f>
        <v>0</v>
      </c>
      <c r="CV71" s="51">
        <f ca="1">IF($F71&lt;OFFSET($BM$9,$CL71-1,0,1,1),0,IF($F71&lt;OFFSET($BN$9,$CL71-1,0,1,1),IF(AND($H71&gt;2.4,Z71&lt;&gt;"e",Z71&lt;&gt;"f"),CZ71*2.4/$H71,CZ71),IF($F71&lt;OFFSET($BN$9,$CL71+0,0,1,1),IF(AND($H71&gt;2.4,Z71&lt;&gt;"e",Z71&lt;&gt;"f"),CZ71*2.4/$H71,CZ71),IF($F71&lt;OFFSET($BN$9,$CL71+1,0,1,1),IF(AND($H71&gt;2.4,Z71&lt;&gt;"e",Z71&lt;&gt;"f"),CZ71*2.4/$H71,CZ71),IF($F71&lt;OFFSET($BN$9,$CL71+2,0,1,1),IF(AND($H71&gt;2.4,Z71&lt;&gt;"e",Z71&lt;&gt;"f"),CZ71*2.4/$H71,CZ71),IF($F71&lt;OFFSET($BN$9,$CL71+3,0,1,1),IF(AND($H71&gt;2.4,Z71&lt;&gt;"e",Z71&lt;&gt;"f"),CZ71*2.4/$H71,CZ71),0)))))*COS(RADIANS($G71)))</f>
        <v>0</v>
      </c>
      <c r="CW71" s="51">
        <f ca="1">IF(CT71&gt;CR71,CR71,CT71)</f>
        <v>0</v>
      </c>
      <c r="CX71" s="51">
        <f ca="1">IF(CS71&gt;$CR71,$CR71,CS71)</f>
        <v>0</v>
      </c>
      <c r="CY71" s="51">
        <f ca="1">CW71*F71</f>
        <v>0</v>
      </c>
      <c r="CZ71" s="51">
        <f ca="1">IF($CU71&gt;$CR71,$CR71,$CU71)</f>
        <v>0</v>
      </c>
      <c r="DA71" s="51">
        <f ca="1">IF(CV71&gt;CR71,CR71,CV71)</f>
        <v>0</v>
      </c>
      <c r="DB71" s="51">
        <f ca="1">DA71*F71</f>
        <v>0</v>
      </c>
      <c r="DC71" s="993">
        <v>1</v>
      </c>
      <c r="DD71" s="758" t="str">
        <f>IF(OR(D71=BG$12,D71=BG$13),"External",IF(D71=BG$14,"Internal"," "))</f>
        <v xml:space="preserve"> </v>
      </c>
      <c r="DE71" s="51" t="str">
        <f t="shared" ca="1" si="4"/>
        <v/>
      </c>
      <c r="DF71" s="52" t="str">
        <f t="shared" ca="1" si="5"/>
        <v xml:space="preserve"> </v>
      </c>
      <c r="DG71" s="51">
        <f ca="1">IF(F71&lt;OFFSET($BM$9,CN71-1,0,1,1),0,IF(F71&lt;OFFSET($BN$9,CN71-1,0,1,1),((F71-OFFSET($BM$9,CN71-1,0,1,1))*OFFSET($CH$9,CN71-1,0,1,1))+OFFSET($BO$9,CN71-1,CQ71,1,1),IF(F71&lt;OFFSET($BN$9,CN71+0,0,1,1),((F71-OFFSET($BM$9,CN71+0,0,1,1))*OFFSET($CH$9,CN71+0,0,1,1))+OFFSET($BO$9,CN71+0,CQ71,1,1),IF(F71&lt;OFFSET($BN$9,CN71+1,0,1,1),((F71-OFFSET($BM$9,CN71+1,0,1,1))*OFFSET($CH$9,CN71+1,0,1,1))+OFFSET($BO$9,CN71+1,CQ71,1,1),IF(F71&lt;OFFSET($BN$9,CN71+2,0,1,1),((F71-OFFSET($BM$9,CN71+2,0,1,1))*OFFSET($CH$9,CN71+2,0,1,1))+OFFSET($BO$9,CN71+2,CQ71,1,1),IF(F71&lt;OFFSET($BN$9,CN71+3,0,1,1),((F71-OFFSET($BM$9,CN71+3,0,1,1))*OFFSET($CH$9,CN71+3,0,1,1))+OFFSET($BO$9,CN71+3,CQ71,1,1),0))))))</f>
        <v>0</v>
      </c>
      <c r="DH71" s="51">
        <f ca="1">IF($F71&lt;OFFSET($BM$9,$CN71-1,0,1,1),0,IF($F71&lt;OFFSET($BN$9,$CN71-1,0,1,1),IF(AND($H71&gt;2.4,Z71&lt;&gt;"e",Z71&lt;&gt;"f"),DL71*2.4/$H71,DL71),IF($F71&lt;OFFSET($BN$9,$CN71+0,0,1,1),IF(AND($H71&gt;2.4,Z71&lt;&gt;"e",Z71&lt;&gt;"f"),DL71*2.4/$H71,DL71),IF($F71&lt;OFFSET($BN$9,$CN71+1,0,1,1),IF(AND($H71&gt;2.4,Z71&lt;&gt;"e",Z71&lt;&gt;"f"),DL71*2.4/$H71,DL71),IF($F71&lt;OFFSET($BN$9,$CN71+2,0,1,1),IF(AND($H71&gt;2.4,Z71&lt;&gt;"e",Z71&lt;&gt;"f"),DL71*2.4/$H71,DL71),IF($F71&lt;OFFSET($BN$9,$CN71+3,0,1,1),IF(AND($H71&gt;2.4,Z71&lt;&gt;"e",Z71&lt;&gt;"f"),DL71*2.4/$H71,DL71),0)))))*COS(RADIANS($G71)))</f>
        <v>0</v>
      </c>
      <c r="DI71" s="51">
        <f ca="1">IF(F71&lt;OFFSET($BM$9,CN71-1,0,1,1),0,IF(F71&lt;OFFSET($BN$9,CN71-1,0,1,1),((F71-OFFSET($BM$9,CN71-1,0,1,1))*OFFSET($CI$9,CN71-1,0,1,1))+OFFSET($BP$9,CN71-1,CQ71,1,1),IF(F71&lt;OFFSET($BN$9,CN71+0,0,1,1),((F71-OFFSET($BM$9,CN71+0,0,1,1))*OFFSET($CI$9,CN71+0,0,1,1))+OFFSET($BP$9,CN71+0,CQ71,1,1),IF(F71&lt;OFFSET($BN$9,CN71+1,0,1,1),((F71-OFFSET($BM$9,CN71+1,0,1,1))*OFFSET($CI$9,CN71+1,0,1,1))+OFFSET($BP$9,CN71+1,CQ71,1,1),IF(F71&lt;OFFSET($BN$9,CN71+2,0,1,1),((F71-OFFSET($BM$9,CN71+2,0,1,1))*OFFSET($CI$9,CN71+2,0,1,1))+OFFSET($BP$9,CN71+2,CQ71,1,1),IF(F71&lt;OFFSET($BN$9,CN71+3,0,1,1),((F71-OFFSET($BM$9,CN71+3,0,1,1))*OFFSET($CI$9,CN71+3,0,1,1))+OFFSET($BP$9,CN71+3,CQ71,1,1),0))))))</f>
        <v>0</v>
      </c>
      <c r="DJ71" s="51">
        <f ca="1">IF($F71&lt;OFFSET($BM$9,$CN71-1,0,1,1),0,IF($F71&lt;OFFSET($BN$9,$CN71-1,0,1,1),IF(AND($H71&gt;2.4,Z71&lt;&gt;"e",Z71&lt;&gt;"f"),DN71*2.4/$H71,DN71),IF($F71&lt;OFFSET($BN$9,$CN71+0,0,1,1),IF(AND($H71&gt;2.4,Z71&lt;&gt;"e",Z71&lt;&gt;"f"),DN71*2.4/$H71,DN71),IF($F71&lt;OFFSET($BN$9,$CN71+1,0,1,1),IF(AND($H71&gt;2.4,Z71&lt;&gt;"e",Z71&lt;&gt;"f"),DN71*2.4/$H71,DN71),IF($F71&lt;OFFSET($BN$9,$CN71+2,0,1,1),IF(AND($H71&gt;2.4,Z71&lt;&gt;"e",Z71&lt;&gt;"f"),DN71*2.4/$H71,DN71),IF($F71&lt;OFFSET($BN$9,$CN71+3,0,1,1),IF(AND($H71&gt;2.4,Z71&lt;&gt;"e",Z71&lt;&gt;"f"),DN71*2.4/$H71,DN71),0)))))*COS(RADIANS($G71)))</f>
        <v>0</v>
      </c>
      <c r="DK71" s="51"/>
      <c r="DL71" s="51">
        <f ca="1">IF(DG71&gt;$CR71,$CR71,DG71)</f>
        <v>0</v>
      </c>
      <c r="DM71" s="51"/>
      <c r="DN71" s="51">
        <f ca="1">IF(DI71&gt;$CR71,$CR71,DI71)</f>
        <v>0</v>
      </c>
      <c r="DO71" s="435">
        <f ca="1">IF(DH71&gt;$CR71,$CR71,DH71)</f>
        <v>0</v>
      </c>
      <c r="DP71" s="435">
        <f ca="1">DO71*F71</f>
        <v>0</v>
      </c>
      <c r="DQ71" s="436">
        <f ca="1">IF(DJ71&gt;$CR71,$CR71,DJ71)</f>
        <v>0</v>
      </c>
      <c r="DR71" s="437">
        <f ca="1">DQ71*F71</f>
        <v>0</v>
      </c>
      <c r="DS71" s="426">
        <f ca="1">OFFSET($CH$9,CL71-1,-15,1,1)</f>
        <v>0</v>
      </c>
      <c r="DT71" s="426">
        <f ca="1">VLOOKUP(DS71,Prodlink,2,0)</f>
        <v>0</v>
      </c>
      <c r="DU71" s="188">
        <f ca="1">IF(F71&lt;OFFSET($BM$9,DT71-1,0,1,1),0,IF(F71&lt;OFFSET($BN$9,DT71-1,0,1,1),((F71-OFFSET($BM$9,DT71-1,0,1,1))*OFFSET($CH$9,DT71-1,0,1,1))+OFFSET($BO$9,DT71-1,CQ71,1,1),IF(F71&lt;OFFSET($BN$9,DT71+0,0,1,1),((F71-OFFSET($BM$9,DT71+0,0,1,1))*OFFSET($CH$9,DT71+0,0,1,1))+OFFSET($BO$9,DT71+0,CQ71,1,1),IF(F71&lt;OFFSET($BN$9,DT71+1,0,1,1),((F71-OFFSET($BM$9,DT71+1,0,1,1))*OFFSET($CH$9,DT71+1,0,1,1))+OFFSET($BO$9,DT71+1,CQ71,1,1),IF(F71&lt;OFFSET($BN$9,DT71+2,0,1,1),((F71-OFFSET($BM$9,DT71+2,0,1,1))*OFFSET($CH$9,DT71+2,0,1,1))+OFFSET($BO$9,DT71+2,CQ71,1,1),IF(F71&lt;OFFSET($BN$9,DT71+3,0,1,1),((F71-OFFSET($BM$9,DT71+3,0,1,1))*OFFSET($CH$9,DT71+3,0,1,1))+OFFSET($BO$9,DT71+3,CQ71,1,1),0))))))</f>
        <v>0</v>
      </c>
      <c r="DV71" s="51">
        <f ca="1">IF($F71&lt;OFFSET($BM$9,$DT71-1,0,1,1),0,IF($F71&lt;OFFSET($BN$9,$DT71-1,0,1,1),IF(AND($H71&gt;2.4,Z71&lt;&gt;"e",Z71&lt;&gt;"f"),DZ71*2.4/$H71,DZ71),IF($F71&lt;OFFSET($BN$9,$DT71+0,0,1,1),IF(AND($H71&gt;2.4,Z71&lt;&gt;"e",Z71&lt;&gt;"f"),DZ71*2.4/$H71,DZ71),IF($F71&lt;OFFSET($BN$9,$DT71+1,0,1,1),IF(AND($H71&gt;2.4,Z71&lt;&gt;"e",Z71&lt;&gt;"f"),DZ71*2.4/$H71,DZ71),IF($F71&lt;OFFSET($BN$9,$DT71+2,0,1,1),IF(AND($H71&gt;2.4,Z71&lt;&gt;"e",Z71&lt;&gt;"f"),DZ71*2.4/$H71,DZ71),IF($F71&lt;OFFSET($BN$9,$DT71+3,0,1,1),IF(AND($H71&gt;2.4,Z71&lt;&gt;"e",Z71&lt;&gt;"f"),DZ71*2.4/$H71,DZ71),0)))))*COS(RADIANS($G71)))</f>
        <v>0</v>
      </c>
      <c r="DW71" s="188">
        <f ca="1">IF(F71&lt;OFFSET($BM$9,DT71-1,0,1,1),0,IF(F71&lt;OFFSET($BN$9,DT71-1,0,1,1),((F71-OFFSET($BM$9,DT71-1,0,1,1))*OFFSET($CI$9,DT71-1,0,1,1))+OFFSET($BP$9,DT71-1,CQ71,1,1),IF(F71&lt;OFFSET($BN$9,DT71+0,0,1,1),((F71-OFFSET($BM$9,DT71+0,0,1,1))*OFFSET($CI$9,DT71+0,0,1,1))+OFFSET($BP$9,DT71+0,CQ71,1,1),IF(F71&lt;OFFSET($BN$9,DT71+1,0,1,1),((F71-OFFSET($BM$9,DT71+1,0,1,1))*OFFSET($CI$9,DT71+1,0,1,1))+OFFSET($BP$9,DT71+1,CQ71,1,1),IF(F71&lt;OFFSET($BN$9,DT71+2,0,1,1),((F71-OFFSET($BM$9,DT71+2,0,1,1))*OFFSET($CI$9,DT71+2,0,1,1))+OFFSET($BP$9,DT71+2,CQ71,1,1),IF(F71&lt;OFFSET($BN$9,DT71+3,0,1,1),((F71-OFFSET($BM$9,DT71+3,0,1,1))*OFFSET($CI$9,DT71+3,0,1,1))+OFFSET($BP$9,DT71+3,CQ71,1,1),0))))))</f>
        <v>0</v>
      </c>
      <c r="DX71" s="51">
        <f ca="1">IF($F71&lt;OFFSET($BM$9,$DT71-1,0,1,1),0,IF($F71&lt;OFFSET($BN$9,$DT71-1,0,1,1),IF(AND($H71&gt;2.4,Z71&lt;&gt;"e",Z71&lt;&gt;"f"),EB71*2.4/$H71,EB71),IF($F71&lt;OFFSET($BN$9,$DT71+0,0,1,1),IF(AND($H71&gt;2.4,Z71&lt;&gt;"e",Z71&lt;&gt;"f"),EB71*2.4/$H71,EB71),IF($F71&lt;OFFSET($BN$9,$DT71+1,0,1,1),IF(AND($H71&gt;2.4,Z71&lt;&gt;"e",Z71&lt;&gt;"f"),EB71*2.4/$H71,EB71),IF($F71&lt;OFFSET($BN$9,$DT71+2,0,1,1),IF(AND($H71&gt;2.4,Z71&lt;&gt;"e",Z71&lt;&gt;"f"),EB71*2.4/$H71,EB71),IF($F71&lt;OFFSET($BN$9,$DT71+3,0,1,1),IF(AND($H71&gt;2.4,Z71&lt;&gt;"e",Z71&lt;&gt;"f"),EB71*2.4/$H71,EB71),0)))))*COS(RADIANS($G71)))</f>
        <v>0</v>
      </c>
      <c r="DY71" s="188"/>
      <c r="DZ71" s="188">
        <f ca="1">IF(DU71&gt;$CR71,$CR71,DU71)</f>
        <v>0</v>
      </c>
      <c r="EA71" s="188"/>
      <c r="EB71" s="188">
        <f ca="1">IF(DW71&gt;$CR71,$CR71,DW71)</f>
        <v>0</v>
      </c>
      <c r="EC71" s="435">
        <f ca="1">IF(DV71&gt;$CR71,$CR71,DV71)</f>
        <v>0</v>
      </c>
      <c r="ED71" s="435">
        <f ca="1">EC71*F71</f>
        <v>0</v>
      </c>
      <c r="EE71" s="436">
        <f ca="1">IF(DX71&gt;$CR71,$CR71,DX71)</f>
        <v>0</v>
      </c>
      <c r="EF71" s="437">
        <f ca="1">EE71*F71</f>
        <v>0</v>
      </c>
      <c r="EG71" s="613" t="str">
        <f>IF(D71=BG$12,BG$12,"")</f>
        <v/>
      </c>
      <c r="EH71" s="614" t="str">
        <f>IF(D71=BG$13,BG$13,"")</f>
        <v/>
      </c>
      <c r="EI71" s="611">
        <f>IF(EG71=BG$12,M71,0)</f>
        <v>0</v>
      </c>
      <c r="EJ71" s="451">
        <f>IF(EG71=BG$12,O71,0)</f>
        <v>0</v>
      </c>
      <c r="EK71" s="451">
        <f>IF(EH71=BG$13,M71,0)</f>
        <v>0</v>
      </c>
      <c r="EL71" s="612">
        <f>IF(EH71=BG$13,O71,0)</f>
        <v>0</v>
      </c>
      <c r="EM71" s="426" t="str">
        <f ca="1">IF(AND(Z71&lt;&gt;"t",Z71&lt;&gt;"f"),"",IF(AND(EN71=$BH$11,K71&lt;&gt;EN71),EM$4,IF(AND(EN71=$BH$12,K71=$BH$13),EM$4,IF(AND(EN71=$BH$12,K71=$BH$14),EM$4,IF(AND(EN71=$BH$13,K71=$BH$14),$EM$4,IF(EN71=$BH$14,$EM$4,""))))))</f>
        <v/>
      </c>
      <c r="EN71" s="489" t="str">
        <f>BG$24</f>
        <v>Earth</v>
      </c>
      <c r="EO71" s="426" t="str">
        <f>K71</f>
        <v xml:space="preserve"> </v>
      </c>
      <c r="EP71" s="497" t="str">
        <f ca="1">IF(AND(Z71&lt;&gt;"t",Z71&lt;&gt;"f"),"",IF(AND(EN71=$BH$14,K71&lt;&gt;EN71),EP$4,IF(AND(EN71=$BH$13,K71=$BH$12),EP$4,IF(AND(EN71=$BH$13,K71=$BH$11),EP$4,IF(AND(EN71=$BH$12,K71=$BH$11),$EP$4,IF(EN71=$BH$11,"Earth",""))))))</f>
        <v/>
      </c>
      <c r="EQ71" s="430" t="str">
        <f ca="1">IF(Z71&lt;&gt;"t","",IF(EQ$5=2,IF(K71&lt;&gt;BH$11,EQ$7," ")))</f>
        <v/>
      </c>
      <c r="ER71" s="439" t="str">
        <f ca="1">IF(H71=0," ",H71)</f>
        <v xml:space="preserve"> </v>
      </c>
      <c r="ES71" s="440" t="str">
        <f ca="1">IF(ER71&lt;&gt;" ",IF(ER71&lt;&gt;ER$7,"Changed",""),"")</f>
        <v/>
      </c>
      <c r="ET71" s="440">
        <f ca="1">IF(ER71&lt;&gt;" ",IF(ER71&lt;&gt;ER$7,1,0),0)</f>
        <v>0</v>
      </c>
      <c r="EU71" s="426" t="str">
        <f ca="1">IF(I71=" "," ",IF(F71&lt;OFFSET($BM$9,CL71-1,0,1,1),1,""))</f>
        <v xml:space="preserve"> </v>
      </c>
      <c r="EW71" s="427"/>
    </row>
    <row r="72" spans="1:153" ht="17.100000000000001" hidden="1" customHeight="1" thickBot="1">
      <c r="A72" s="2685"/>
      <c r="B72" s="689" t="s">
        <v>246</v>
      </c>
      <c r="C72" s="684" t="str">
        <f>IF(OR(F72=0,I72="",I72=" ")," ",$V72)</f>
        <v xml:space="preserve"> </v>
      </c>
      <c r="D72" s="1033"/>
      <c r="E72" s="1360" t="s">
        <v>8</v>
      </c>
      <c r="F72" s="202"/>
      <c r="G72" s="1416"/>
      <c r="H72" s="1417" t="str">
        <f ca="1">IF(OR(F72=0,Z72="E",Z72="f")," ",'Project Demand'!E$55)</f>
        <v xml:space="preserve"> </v>
      </c>
      <c r="I72" s="631" t="str">
        <f>IF($I$6&lt;&gt;$BG$8," ",AB72)</f>
        <v xml:space="preserve"> </v>
      </c>
      <c r="J72" s="44" t="str">
        <f ca="1">IF(OR(I72=" ",I72="")," ",OFFSET($BO$9,CL72-1,0-4,1,1))</f>
        <v xml:space="preserve"> </v>
      </c>
      <c r="K72" s="55" t="str">
        <f>IF(OR(I72=" ",I72="")," ",IF(OR(Z72="e",Z72="h"),"SD",IF(BG$24=BH$11,BH$13,BG$24)))</f>
        <v xml:space="preserve"> </v>
      </c>
      <c r="L72" s="49">
        <f ca="1">CW72</f>
        <v>0</v>
      </c>
      <c r="M72" s="49">
        <f ca="1">CY72</f>
        <v>0</v>
      </c>
      <c r="N72" s="50">
        <f t="shared" ca="1" si="47"/>
        <v>0</v>
      </c>
      <c r="O72" s="126">
        <f t="shared" ca="1" si="47"/>
        <v>0</v>
      </c>
      <c r="P72" s="140"/>
      <c r="Q72" s="752" t="str">
        <f ca="1">IF(AND(OR(Z72="t",Z72="f"),K72=$BH$11),"No Floor!  Change Floor Type",IF(OR(I72=" ",I72="")," ",IF(F72&lt;OFFSET($BM$9,CL72-1,0,1,1),"check L(m)",DE72&amp;IF(AND(DP72&gt;=CY72,DR72&gt;=DB72),IF(AND(ED72&gt;=DP72,EF72&gt;=DR72),CONCATENATE(DS72," will provide same result"),CONCATENATE(CO72," will provide same result")),IF((DP72&gt;=CY72),CONCATENATE(CO72," provides same result in WIND"),IF((DR72&gt;=DB72),CONCATENATE(CO72," provides same result in EQ"),""))))))&amp;IF(ISERROR(FIND("pile",I72,1)),"",IF(INT(F72)&lt;&gt;F72,"Pile!  Use Whole Numbers Only",""))</f>
        <v xml:space="preserve"> </v>
      </c>
      <c r="R72" s="52"/>
      <c r="S72" s="1372"/>
      <c r="T72" s="1372"/>
      <c r="U72" s="1377"/>
      <c r="V72" s="52" t="str">
        <f ca="1">IF(AND(B$5=$BF$9,OR(I72=BH$16,I72=BH$17))," ",IF(ISNUMBER(B$68),(CONCATENATE(B$68,".",W72)),(CONCATENATE(B$68,W72))))</f>
        <v>W0</v>
      </c>
      <c r="W72" s="9">
        <f ca="1">W71+X72</f>
        <v>0</v>
      </c>
      <c r="X72" s="9">
        <f>IF(AND(B$5=$BF$9,OR($I72=$BH$16,$I72=$BH$17,$I72=" ",$I72="",$F72=0)),0,IF(OR($I72=" ",$I72="",$F72=0),0,1))</f>
        <v>0</v>
      </c>
      <c r="Y72" s="896"/>
      <c r="Z72" s="52" t="str">
        <f ca="1">IF(I72=" "," ",OFFSET($BM$9,$CL72-1,8,1,1))</f>
        <v xml:space="preserve"> </v>
      </c>
      <c r="AA72" s="51" t="str">
        <f>IF(G72&gt;=45,"WA","")</f>
        <v/>
      </c>
      <c r="AB72" s="1364" t="str">
        <f>IF(OR(E72=" ",E72="")," ",(IF(F72&lt;&gt;"",IF(OR(D72=$BG$12,D72=$BG$13),IF(E72&lt;&gt;$BG$17,$BF$20,$BF$21),IF(E72&lt;&gt;$BG$17,$BF$20,$BF$21))," ")))</f>
        <v xml:space="preserve"> </v>
      </c>
      <c r="AC72" s="1"/>
      <c r="AO72" s="51"/>
      <c r="AP72" s="51"/>
      <c r="AQ72" s="51"/>
      <c r="AR72" s="51"/>
      <c r="AS72" s="51"/>
      <c r="AT72" s="51"/>
      <c r="AU72" s="51"/>
      <c r="AV72" s="1"/>
      <c r="AW72" s="1"/>
      <c r="AX72" s="1"/>
      <c r="AY72" s="1"/>
      <c r="AZ72" s="1"/>
      <c r="BA72" s="1"/>
      <c r="BB72" s="1"/>
      <c r="BC72" s="1"/>
      <c r="BD72" s="652"/>
      <c r="BI72" s="759"/>
      <c r="BJ72" s="897">
        <f t="shared" si="37"/>
        <v>64</v>
      </c>
      <c r="BK72" s="908"/>
      <c r="BL72" s="767"/>
      <c r="BM72" s="776">
        <f>Table!P14</f>
        <v>1.2</v>
      </c>
      <c r="BN72" s="776">
        <v>999</v>
      </c>
      <c r="BO72" s="776">
        <f>Table!Q14</f>
        <v>150</v>
      </c>
      <c r="BP72" s="926">
        <f>Table!R14</f>
        <v>135</v>
      </c>
      <c r="BQ72" s="1183"/>
      <c r="BR72" s="908"/>
      <c r="BS72" s="776"/>
      <c r="BT72" s="776"/>
      <c r="BU72" s="926" t="s">
        <v>242</v>
      </c>
      <c r="BV72" s="433"/>
      <c r="BW72" s="914"/>
      <c r="BX72" s="926" t="str">
        <f>Table!T11</f>
        <v>Double</v>
      </c>
      <c r="CH72" s="908">
        <f>IF(BN72=999,0,(BO73-BO72)/(BN72-BM72))</f>
        <v>0</v>
      </c>
      <c r="CI72" s="926">
        <f>IF(BN72=999,0,(BP73-BP72)/(BN72-BM72))</f>
        <v>0</v>
      </c>
      <c r="CJ72" s="759"/>
      <c r="CK72" s="188"/>
      <c r="CL72" s="979">
        <f>VLOOKUP(I72,Prodlink,2,0)</f>
        <v>0</v>
      </c>
      <c r="CN72" s="497">
        <f ca="1">VLOOKUP(CO72,Prodlink,2,0)</f>
        <v>0</v>
      </c>
      <c r="CO72" s="497">
        <f ca="1">OFFSET($CH$9,CL72-1,-15,1,1)</f>
        <v>0</v>
      </c>
      <c r="CQ72" s="51">
        <v>0</v>
      </c>
      <c r="CR72" s="51">
        <f t="shared" ca="1" si="48"/>
        <v>10000</v>
      </c>
      <c r="CS72" s="51">
        <f ca="1">IF(F72&lt;OFFSET($BM$9,CL72-1,0,1,1),0,IF(F72&lt;OFFSET($BN$9,CL72-1,0,1,1),((F72-OFFSET($BM$9,CL72-1,0,1,1))*OFFSET($CH$9,CL72-1,0,1,1))+OFFSET($BO$9,CL72-1,CQ72,1,1),IF(F72&lt;OFFSET($BN$9,CL72+0,0,1,1),((F72-OFFSET($BM$9,CL72+0,0,1,1))*OFFSET($CH$9,CL72+0,0,1,1))+OFFSET($BO$9,CL72+0,CQ72,1,1),IF(F72&lt;OFFSET($BN$9,CL72+1,0,1,1),((F72-OFFSET($BM$9,CL72+1,0,1,1))*OFFSET($CH$9,CL72+1,0,1,1))+OFFSET($BO$9,CL72+1,CQ72,1,1),IF(F72&lt;OFFSET($BN$9,CL72+2,0,1,1),((F72-OFFSET($BM$9,CL72+2,0,1,1))*OFFSET($CH$9,CL72+2,0,1,1))+OFFSET($BO$9,CL72+2,CQ72,1,1),IF(F72&lt;OFFSET($BN$9,CL72+3,0,1,1),((F72-OFFSET($BM$9,CL72+3,0,1,1))*OFFSET($CH$9,CL72+3,0,1,1))+OFFSET($BO$9,CL72+3,CQ72,1,1),0))))))</f>
        <v>0</v>
      </c>
      <c r="CT72" s="51">
        <f ca="1">IF($F72&lt;OFFSET($BM$9,$CL72-1,0,1,1),0,IF($F72&lt;OFFSET($BN$9,$CL72-1,0,1,1),IF(AND($H72&gt;2.4,Z72&lt;&gt;"e",Z72&lt;&gt;"f"),CX72*2.4/$H72,CX72),IF($F72&lt;OFFSET($BN$9,$CL72+0,0,1,1),IF(AND($H72&gt;2.4,Z72&lt;&gt;"e",Z72&lt;&gt;"f"),CX72*2.4/$H72,CX72),IF($F72&lt;OFFSET($BN$9,$CL72+1,0,1,1),IF(AND($H72&gt;2.4,Z72&lt;&gt;"e",Z72&lt;&gt;"f"),CX72*2.4/$H72,CX72),IF($F72&lt;OFFSET($BN$9,CL72+2,0,1,1),IF(AND($H72&gt;2.4,Z72&lt;&gt;"e",Z72&lt;&gt;"f"),CX72*2.4/$H72,CX72),IF($F72&lt;OFFSET($BN$9,CL72+3,0,1,1),IF(AND($H72&gt;2.4,Z72&lt;&gt;"e",Z72&lt;&gt;"f"),CX72*2.4/$H72,CX72),0)))))*COS(RADIANS($G72)))</f>
        <v>0</v>
      </c>
      <c r="CU72" s="51">
        <f ca="1">IF(F72&lt;OFFSET($BM$9,CL72-1,0,1,1),0,IF(F72&lt;OFFSET($BN$9,CL72-1,0,1,1),((F72-OFFSET($BM$9,CL72-1,0,1,1))*OFFSET($CI$9,CL72-1,0,1,1))+OFFSET($BP$9,CL72-1,CQ72,1,1),IF(F72&lt;OFFSET($BN$9,CL72+0,0,1,1),((F72-OFFSET($BM$9,CL72+0,0,1,1))*OFFSET($CI$9,CL72+0,0,1,1))+OFFSET($BP$9,CL72+0,CQ72,1,1),IF(F72&lt;OFFSET($BN$9,CL72+1,0,1,1),((F72-OFFSET($BM$9,CL72+1,0,1,1))*OFFSET($CI$9,CL72+1,0,1,1))+OFFSET($BP$9,CL72+1,CQ72,1,1),IF(F72&lt;OFFSET($BN$9,CL72+2,0,1,1),((F72-OFFSET($BM$9,CL72+2,0,1,1))*OFFSET($CI$9,CL72+2,0,1,1))+OFFSET($BP$9,CL72+2,CQ72,1,1),IF(F72&lt;OFFSET($BN$9,CL72+3,0,1,1),((F72-OFFSET($BM$9,CL72+3,0,1,1))*OFFSET($CI$9,CL72+3,0,1,1))+OFFSET($BP$9,CL72+3,CQ72,1,1),0))))))</f>
        <v>0</v>
      </c>
      <c r="CV72" s="51">
        <f ca="1">IF($F72&lt;OFFSET($BM$9,$CL72-1,0,1,1),0,IF($F72&lt;OFFSET($BN$9,$CL72-1,0,1,1),IF(AND($H72&gt;2.4,Z72&lt;&gt;"e",Z72&lt;&gt;"f"),CZ72*2.4/$H72,CZ72),IF($F72&lt;OFFSET($BN$9,$CL72+0,0,1,1),IF(AND($H72&gt;2.4,Z72&lt;&gt;"e",Z72&lt;&gt;"f"),CZ72*2.4/$H72,CZ72),IF($F72&lt;OFFSET($BN$9,$CL72+1,0,1,1),IF(AND($H72&gt;2.4,Z72&lt;&gt;"e",Z72&lt;&gt;"f"),CZ72*2.4/$H72,CZ72),IF($F72&lt;OFFSET($BN$9,$CL72+2,0,1,1),IF(AND($H72&gt;2.4,Z72&lt;&gt;"e",Z72&lt;&gt;"f"),CZ72*2.4/$H72,CZ72),IF($F72&lt;OFFSET($BN$9,$CL72+3,0,1,1),IF(AND($H72&gt;2.4,Z72&lt;&gt;"e",Z72&lt;&gt;"f"),CZ72*2.4/$H72,CZ72),0)))))*COS(RADIANS($G72)))</f>
        <v>0</v>
      </c>
      <c r="CW72" s="51">
        <f ca="1">IF(CT72&gt;CR72,CR72,CT72)</f>
        <v>0</v>
      </c>
      <c r="CX72" s="51">
        <f ca="1">IF(CS72&gt;$CR72,$CR72,CS72)</f>
        <v>0</v>
      </c>
      <c r="CY72" s="51">
        <f ca="1">CW72*F72</f>
        <v>0</v>
      </c>
      <c r="CZ72" s="51">
        <f ca="1">IF($CU72&gt;$CR72,$CR72,$CU72)</f>
        <v>0</v>
      </c>
      <c r="DA72" s="51">
        <f ca="1">IF(CV72&gt;CR72,CR72,CV72)</f>
        <v>0</v>
      </c>
      <c r="DB72" s="51">
        <f ca="1">DA72*F72</f>
        <v>0</v>
      </c>
      <c r="DC72" s="993">
        <v>1</v>
      </c>
      <c r="DD72" s="758" t="str">
        <f>IF(OR(D72=BG$12,D72=BG$13),"External",IF(D72=BG$14,"Internal"," "))</f>
        <v xml:space="preserve"> </v>
      </c>
      <c r="DE72" s="51" t="str">
        <f t="shared" ca="1" si="4"/>
        <v/>
      </c>
      <c r="DF72" s="52" t="str">
        <f t="shared" ca="1" si="5"/>
        <v xml:space="preserve"> </v>
      </c>
      <c r="DG72" s="51">
        <f ca="1">IF(F72&lt;OFFSET($BM$9,CN72-1,0,1,1),0,IF(F72&lt;OFFSET($BN$9,CN72-1,0,1,1),((F72-OFFSET($BM$9,CN72-1,0,1,1))*OFFSET($CH$9,CN72-1,0,1,1))+OFFSET($BO$9,CN72-1,CQ72,1,1),IF(F72&lt;OFFSET($BN$9,CN72+0,0,1,1),((F72-OFFSET($BM$9,CN72+0,0,1,1))*OFFSET($CH$9,CN72+0,0,1,1))+OFFSET($BO$9,CN72+0,CQ72,1,1),IF(F72&lt;OFFSET($BN$9,CN72+1,0,1,1),((F72-OFFSET($BM$9,CN72+1,0,1,1))*OFFSET($CH$9,CN72+1,0,1,1))+OFFSET($BO$9,CN72+1,CQ72,1,1),IF(F72&lt;OFFSET($BN$9,CN72+2,0,1,1),((F72-OFFSET($BM$9,CN72+2,0,1,1))*OFFSET($CH$9,CN72+2,0,1,1))+OFFSET($BO$9,CN72+2,CQ72,1,1),IF(F72&lt;OFFSET($BN$9,CN72+3,0,1,1),((F72-OFFSET($BM$9,CN72+3,0,1,1))*OFFSET($CH$9,CN72+3,0,1,1))+OFFSET($BO$9,CN72+3,CQ72,1,1),0))))))</f>
        <v>0</v>
      </c>
      <c r="DH72" s="51">
        <f ca="1">IF($F72&lt;OFFSET($BM$9,$CN72-1,0,1,1),0,IF($F72&lt;OFFSET($BN$9,$CN72-1,0,1,1),IF(AND($H72&gt;2.4,Z72&lt;&gt;"e",Z72&lt;&gt;"f"),DL72*2.4/$H72,DL72),IF($F72&lt;OFFSET($BN$9,$CN72+0,0,1,1),IF(AND($H72&gt;2.4,Z72&lt;&gt;"e",Z72&lt;&gt;"f"),DL72*2.4/$H72,DL72),IF($F72&lt;OFFSET($BN$9,$CN72+1,0,1,1),IF(AND($H72&gt;2.4,Z72&lt;&gt;"e",Z72&lt;&gt;"f"),DL72*2.4/$H72,DL72),IF($F72&lt;OFFSET($BN$9,$CN72+2,0,1,1),IF(AND($H72&gt;2.4,Z72&lt;&gt;"e",Z72&lt;&gt;"f"),DL72*2.4/$H72,DL72),IF($F72&lt;OFFSET($BN$9,$CN72+3,0,1,1),IF(AND($H72&gt;2.4,Z72&lt;&gt;"e",Z72&lt;&gt;"f"),DL72*2.4/$H72,DL72),0)))))*COS(RADIANS($G72)))</f>
        <v>0</v>
      </c>
      <c r="DI72" s="51">
        <f ca="1">IF(F72&lt;OFFSET($BM$9,CN72-1,0,1,1),0,IF(F72&lt;OFFSET($BN$9,CN72-1,0,1,1),((F72-OFFSET($BM$9,CN72-1,0,1,1))*OFFSET($CI$9,CN72-1,0,1,1))+OFFSET($BP$9,CN72-1,CQ72,1,1),IF(F72&lt;OFFSET($BN$9,CN72+0,0,1,1),((F72-OFFSET($BM$9,CN72+0,0,1,1))*OFFSET($CI$9,CN72+0,0,1,1))+OFFSET($BP$9,CN72+0,CQ72,1,1),IF(F72&lt;OFFSET($BN$9,CN72+1,0,1,1),((F72-OFFSET($BM$9,CN72+1,0,1,1))*OFFSET($CI$9,CN72+1,0,1,1))+OFFSET($BP$9,CN72+1,CQ72,1,1),IF(F72&lt;OFFSET($BN$9,CN72+2,0,1,1),((F72-OFFSET($BM$9,CN72+2,0,1,1))*OFFSET($CI$9,CN72+2,0,1,1))+OFFSET($BP$9,CN72+2,CQ72,1,1),IF(F72&lt;OFFSET($BN$9,CN72+3,0,1,1),((F72-OFFSET($BM$9,CN72+3,0,1,1))*OFFSET($CI$9,CN72+3,0,1,1))+OFFSET($BP$9,CN72+3,CQ72,1,1),0))))))</f>
        <v>0</v>
      </c>
      <c r="DJ72" s="51">
        <f ca="1">IF($F72&lt;OFFSET($BM$9,$CN72-1,0,1,1),0,IF($F72&lt;OFFSET($BN$9,$CN72-1,0,1,1),IF(AND($H72&gt;2.4,Z72&lt;&gt;"e",Z72&lt;&gt;"f"),DN72*2.4/$H72,DN72),IF($F72&lt;OFFSET($BN$9,$CN72+0,0,1,1),IF(AND($H72&gt;2.4,Z72&lt;&gt;"e",Z72&lt;&gt;"f"),DN72*2.4/$H72,DN72),IF($F72&lt;OFFSET($BN$9,$CN72+1,0,1,1),IF(AND($H72&gt;2.4,Z72&lt;&gt;"e",Z72&lt;&gt;"f"),DN72*2.4/$H72,DN72),IF($F72&lt;OFFSET($BN$9,$CN72+2,0,1,1),IF(AND($H72&gt;2.4,Z72&lt;&gt;"e",Z72&lt;&gt;"f"),DN72*2.4/$H72,DN72),IF($F72&lt;OFFSET($BN$9,$CN72+3,0,1,1),IF(AND($H72&gt;2.4,Z72&lt;&gt;"e",Z72&lt;&gt;"f"),DN72*2.4/$H72,DN72),0)))))*COS(RADIANS($G72)))</f>
        <v>0</v>
      </c>
      <c r="DK72" s="51"/>
      <c r="DL72" s="51">
        <f ca="1">IF(DG72&gt;$CR72,$CR72,DG72)</f>
        <v>0</v>
      </c>
      <c r="DM72" s="51"/>
      <c r="DN72" s="51">
        <f ca="1">IF(DI72&gt;$CR72,$CR72,DI72)</f>
        <v>0</v>
      </c>
      <c r="DO72" s="435">
        <f ca="1">IF(DH72&gt;$CR72,$CR72,DH72)</f>
        <v>0</v>
      </c>
      <c r="DP72" s="435">
        <f ca="1">DO72*F72</f>
        <v>0</v>
      </c>
      <c r="DQ72" s="436">
        <f ca="1">IF(DJ72&gt;$CR72,$CR72,DJ72)</f>
        <v>0</v>
      </c>
      <c r="DR72" s="437">
        <f ca="1">DQ72*F72</f>
        <v>0</v>
      </c>
      <c r="DS72" s="426">
        <f ca="1">OFFSET($CH$9,CL72-1,-15,1,1)</f>
        <v>0</v>
      </c>
      <c r="DT72" s="426">
        <f ca="1">VLOOKUP(DS72,Prodlink,2,0)</f>
        <v>0</v>
      </c>
      <c r="DU72" s="188">
        <f ca="1">IF(F72&lt;OFFSET($BM$9,DT72-1,0,1,1),0,IF(F72&lt;OFFSET($BN$9,DT72-1,0,1,1),((F72-OFFSET($BM$9,DT72-1,0,1,1))*OFFSET($CH$9,DT72-1,0,1,1))+OFFSET($BO$9,DT72-1,CQ72,1,1),IF(F72&lt;OFFSET($BN$9,DT72+0,0,1,1),((F72-OFFSET($BM$9,DT72+0,0,1,1))*OFFSET($CH$9,DT72+0,0,1,1))+OFFSET($BO$9,DT72+0,CQ72,1,1),IF(F72&lt;OFFSET($BN$9,DT72+1,0,1,1),((F72-OFFSET($BM$9,DT72+1,0,1,1))*OFFSET($CH$9,DT72+1,0,1,1))+OFFSET($BO$9,DT72+1,CQ72,1,1),IF(F72&lt;OFFSET($BN$9,DT72+2,0,1,1),((F72-OFFSET($BM$9,DT72+2,0,1,1))*OFFSET($CH$9,DT72+2,0,1,1))+OFFSET($BO$9,DT72+2,CQ72,1,1),IF(F72&lt;OFFSET($BN$9,DT72+3,0,1,1),((F72-OFFSET($BM$9,DT72+3,0,1,1))*OFFSET($CH$9,DT72+3,0,1,1))+OFFSET($BO$9,DT72+3,CQ72,1,1),0))))))</f>
        <v>0</v>
      </c>
      <c r="DV72" s="51">
        <f ca="1">IF($F72&lt;OFFSET($BM$9,$DT72-1,0,1,1),0,IF($F72&lt;OFFSET($BN$9,$DT72-1,0,1,1),IF(AND($H72&gt;2.4,Z72&lt;&gt;"e",Z72&lt;&gt;"f"),DZ72*2.4/$H72,DZ72),IF($F72&lt;OFFSET($BN$9,$DT72+0,0,1,1),IF(AND($H72&gt;2.4,Z72&lt;&gt;"e",Z72&lt;&gt;"f"),DZ72*2.4/$H72,DZ72),IF($F72&lt;OFFSET($BN$9,$DT72+1,0,1,1),IF(AND($H72&gt;2.4,Z72&lt;&gt;"e",Z72&lt;&gt;"f"),DZ72*2.4/$H72,DZ72),IF($F72&lt;OFFSET($BN$9,$DT72+2,0,1,1),IF(AND($H72&gt;2.4,Z72&lt;&gt;"e",Z72&lt;&gt;"f"),DZ72*2.4/$H72,DZ72),IF($F72&lt;OFFSET($BN$9,$DT72+3,0,1,1),IF(AND($H72&gt;2.4,Z72&lt;&gt;"e",Z72&lt;&gt;"f"),DZ72*2.4/$H72,DZ72),0)))))*COS(RADIANS($G72)))</f>
        <v>0</v>
      </c>
      <c r="DW72" s="188">
        <f ca="1">IF(F72&lt;OFFSET($BM$9,DT72-1,0,1,1),0,IF(F72&lt;OFFSET($BN$9,DT72-1,0,1,1),((F72-OFFSET($BM$9,DT72-1,0,1,1))*OFFSET($CI$9,DT72-1,0,1,1))+OFFSET($BP$9,DT72-1,CQ72,1,1),IF(F72&lt;OFFSET($BN$9,DT72+0,0,1,1),((F72-OFFSET($BM$9,DT72+0,0,1,1))*OFFSET($CI$9,DT72+0,0,1,1))+OFFSET($BP$9,DT72+0,CQ72,1,1),IF(F72&lt;OFFSET($BN$9,DT72+1,0,1,1),((F72-OFFSET($BM$9,DT72+1,0,1,1))*OFFSET($CI$9,DT72+1,0,1,1))+OFFSET($BP$9,DT72+1,CQ72,1,1),IF(F72&lt;OFFSET($BN$9,DT72+2,0,1,1),((F72-OFFSET($BM$9,DT72+2,0,1,1))*OFFSET($CI$9,DT72+2,0,1,1))+OFFSET($BP$9,DT72+2,CQ72,1,1),IF(F72&lt;OFFSET($BN$9,DT72+3,0,1,1),((F72-OFFSET($BM$9,DT72+3,0,1,1))*OFFSET($CI$9,DT72+3,0,1,1))+OFFSET($BP$9,DT72+3,CQ72,1,1),0))))))</f>
        <v>0</v>
      </c>
      <c r="DX72" s="51">
        <f ca="1">IF($F72&lt;OFFSET($BM$9,$DT72-1,0,1,1),0,IF($F72&lt;OFFSET($BN$9,$DT72-1,0,1,1),IF(AND($H72&gt;2.4,Z72&lt;&gt;"e",Z72&lt;&gt;"f"),EB72*2.4/$H72,EB72),IF($F72&lt;OFFSET($BN$9,$DT72+0,0,1,1),IF(AND($H72&gt;2.4,Z72&lt;&gt;"e",Z72&lt;&gt;"f"),EB72*2.4/$H72,EB72),IF($F72&lt;OFFSET($BN$9,$DT72+1,0,1,1),IF(AND($H72&gt;2.4,Z72&lt;&gt;"e",Z72&lt;&gt;"f"),EB72*2.4/$H72,EB72),IF($F72&lt;OFFSET($BN$9,$DT72+2,0,1,1),IF(AND($H72&gt;2.4,Z72&lt;&gt;"e",Z72&lt;&gt;"f"),EB72*2.4/$H72,EB72),IF($F72&lt;OFFSET($BN$9,$DT72+3,0,1,1),IF(AND($H72&gt;2.4,Z72&lt;&gt;"e",Z72&lt;&gt;"f"),EB72*2.4/$H72,EB72),0)))))*COS(RADIANS($G72)))</f>
        <v>0</v>
      </c>
      <c r="DY72" s="188"/>
      <c r="DZ72" s="188">
        <f ca="1">IF(DU72&gt;$CR72,$CR72,DU72)</f>
        <v>0</v>
      </c>
      <c r="EA72" s="188"/>
      <c r="EB72" s="188">
        <f ca="1">IF(DW72&gt;$CR72,$CR72,DW72)</f>
        <v>0</v>
      </c>
      <c r="EC72" s="435">
        <f ca="1">IF(DV72&gt;$CR72,$CR72,DV72)</f>
        <v>0</v>
      </c>
      <c r="ED72" s="435">
        <f ca="1">EC72*F72</f>
        <v>0</v>
      </c>
      <c r="EE72" s="436">
        <f ca="1">IF(DX72&gt;$CR72,$CR72,DX72)</f>
        <v>0</v>
      </c>
      <c r="EF72" s="437">
        <f ca="1">EE72*F72</f>
        <v>0</v>
      </c>
      <c r="EG72" s="615" t="str">
        <f>IF(D72=BG$12,BG$12,"")</f>
        <v/>
      </c>
      <c r="EH72" s="616" t="str">
        <f>IF(D72=BG$13,BG$13,"")</f>
        <v/>
      </c>
      <c r="EI72" s="611">
        <f>IF(EG72=BG$12,M72,0)</f>
        <v>0</v>
      </c>
      <c r="EJ72" s="451">
        <f>IF(EG72=BG$12,O72,0)</f>
        <v>0</v>
      </c>
      <c r="EK72" s="451">
        <f>IF(EH72=BG$13,M72,0)</f>
        <v>0</v>
      </c>
      <c r="EL72" s="612">
        <f>IF(EH72=BG$13,O72,0)</f>
        <v>0</v>
      </c>
      <c r="EM72" s="426" t="str">
        <f ca="1">IF(AND(Z72&lt;&gt;"t",Z72&lt;&gt;"f"),"",IF(AND(EN72=$BH$11,K72&lt;&gt;EN72),EM$4,IF(AND(EN72=$BH$12,K72=$BH$13),EM$4,IF(AND(EN72=$BH$12,K72=$BH$14),EM$4,IF(AND(EN72=$BH$13,K72=$BH$14),$EM$4,IF(EN72=$BH$14,$EM$4,""))))))</f>
        <v/>
      </c>
      <c r="EN72" s="489" t="str">
        <f>BG$24</f>
        <v>Earth</v>
      </c>
      <c r="EO72" s="426" t="str">
        <f>K72</f>
        <v xml:space="preserve"> </v>
      </c>
      <c r="EP72" s="497" t="str">
        <f ca="1">IF(AND(Z72&lt;&gt;"t",Z72&lt;&gt;"f"),"",IF(AND(EN72=$BH$14,K72&lt;&gt;EN72),EP$4,IF(AND(EN72=$BH$13,K72=$BH$12),EP$4,IF(AND(EN72=$BH$13,K72=$BH$11),EP$4,IF(AND(EN72=$BH$12,K72=$BH$11),$EP$4,IF(EN72=$BH$11,"Earth",""))))))</f>
        <v/>
      </c>
      <c r="EQ72" s="430" t="str">
        <f ca="1">IF(Z72&lt;&gt;"t","",IF(EQ$5=2,IF(K72&lt;&gt;BH$11,EQ$7," ")))</f>
        <v/>
      </c>
      <c r="ER72" s="439" t="str">
        <f ca="1">IF(H72=0," ",H72)</f>
        <v xml:space="preserve"> </v>
      </c>
      <c r="ES72" s="447" t="str">
        <f ca="1">IF(ER72&lt;&gt;" ",IF(ER72&lt;&gt;ER$7,"Changed",""),"")</f>
        <v/>
      </c>
      <c r="ET72" s="440">
        <f ca="1">IF(ER72&lt;&gt;" ",IF(ER72&lt;&gt;ER$7,1,0),0)</f>
        <v>0</v>
      </c>
      <c r="EU72" s="426" t="str">
        <f ca="1">IF(I72=" "," ",IF(F72&lt;OFFSET($BM$9,CL72-1,0,1,1),1,""))</f>
        <v xml:space="preserve"> </v>
      </c>
      <c r="EW72" s="427"/>
    </row>
    <row r="73" spans="1:153" ht="17.100000000000001" hidden="1" customHeight="1" thickBot="1">
      <c r="A73" s="2685"/>
      <c r="B73" s="2686" t="s">
        <v>8</v>
      </c>
      <c r="C73" s="2687"/>
      <c r="D73" s="1461" t="s">
        <v>8</v>
      </c>
      <c r="E73" s="659"/>
      <c r="F73" s="659"/>
      <c r="G73" s="659"/>
      <c r="H73" s="659"/>
      <c r="I73" s="1462"/>
      <c r="J73" s="1365" t="str">
        <f ca="1">(CONCATENATE(B68,$BE$54))</f>
        <v>W  Line:  Min. Requirement</v>
      </c>
      <c r="K73" s="23"/>
      <c r="L73" s="1019">
        <f ca="1">L$5</f>
        <v>0</v>
      </c>
      <c r="M73" s="48">
        <f ca="1">IF(B68=B62,SUM(M68:M72)+M67,SUM(M68:M72))</f>
        <v>0</v>
      </c>
      <c r="N73" s="1019">
        <f ca="1">N$5</f>
        <v>0</v>
      </c>
      <c r="O73" s="125">
        <f ca="1">IF(B68=B62,SUM(O68:O72)+O67,SUM(O68:O72))</f>
        <v>0</v>
      </c>
      <c r="P73" s="139"/>
      <c r="Q73" s="42" t="str">
        <f ca="1">IF(B68=B74,"",IF(AND(M73&gt;0,L73=L$5,OR(M73&lt;$M$105,M73&lt;$BF$3)),"Achieved &lt; Min Req per Line",IF(AND(O73&gt;0,N73=N$5,OR(O73&lt;$O$105,O73&lt;$BF$3)),"Achieved &lt; Min Req per Line",IF(AND(M73&gt;0,L73&gt;M73),"More Required on this line",IF(AND(O73&gt;0,N73&gt;O73),"More Required on this line",IF(AND(L73&gt;0,L73&lt;$BF$3),$BE$59,IF(AND(N73&gt;0,N73&lt;$BF$3),$BE$59,"")))))))</f>
        <v/>
      </c>
      <c r="R73" s="52"/>
      <c r="S73" s="52"/>
      <c r="T73" s="52"/>
      <c r="U73" s="1378"/>
      <c r="V73" s="52"/>
      <c r="W73" s="9"/>
      <c r="X73" s="9"/>
      <c r="Y73" s="896"/>
      <c r="Z73" s="52"/>
      <c r="AA73" s="51"/>
      <c r="AB73" s="1364"/>
      <c r="AC73" s="1"/>
      <c r="AO73" s="51"/>
      <c r="AP73" s="51"/>
      <c r="AQ73" s="51"/>
      <c r="AR73" s="51"/>
      <c r="AS73" s="51"/>
      <c r="AT73" s="51"/>
      <c r="AU73" s="51"/>
      <c r="AV73" s="1"/>
      <c r="AW73" s="1"/>
      <c r="AX73" s="1"/>
      <c r="AY73" s="1"/>
      <c r="AZ73" s="1"/>
      <c r="BA73" s="1"/>
      <c r="BB73" s="1"/>
      <c r="BC73" s="1"/>
      <c r="BD73" s="652"/>
      <c r="BE73" s="2883" t="s">
        <v>955</v>
      </c>
      <c r="BF73" s="2884"/>
      <c r="BG73" s="2884"/>
      <c r="BH73" s="2885"/>
      <c r="BI73" s="759"/>
      <c r="BJ73" s="897">
        <f t="shared" si="37"/>
        <v>65</v>
      </c>
      <c r="BK73" s="1231"/>
      <c r="BL73" s="1234"/>
      <c r="BM73" s="1205"/>
      <c r="BN73" s="1205"/>
      <c r="BO73" s="1205"/>
      <c r="BP73" s="1205"/>
      <c r="BQ73" s="1233"/>
      <c r="BR73" s="1205"/>
      <c r="BS73" s="1205"/>
      <c r="BT73" s="1205"/>
      <c r="BU73" s="1205"/>
      <c r="BV73" s="1233"/>
      <c r="BW73" s="1235"/>
      <c r="CH73" s="970"/>
      <c r="CI73" s="971"/>
      <c r="CJ73" s="759"/>
      <c r="CK73" s="188"/>
      <c r="CL73" s="979"/>
      <c r="CN73" s="497"/>
      <c r="CO73" s="497"/>
      <c r="CQ73" s="51"/>
      <c r="CR73" s="51"/>
      <c r="CS73" s="51"/>
      <c r="CT73" s="51" t="s">
        <v>8</v>
      </c>
      <c r="CU73" s="51"/>
      <c r="CV73" s="51" t="s">
        <v>8</v>
      </c>
      <c r="CW73" s="51"/>
      <c r="CX73" s="51"/>
      <c r="CY73" s="51"/>
      <c r="CZ73" s="51"/>
      <c r="DD73" s="758"/>
      <c r="DF73" s="52"/>
      <c r="DG73" s="51"/>
      <c r="DH73" s="51"/>
      <c r="DI73" s="51"/>
      <c r="DJ73" s="51"/>
      <c r="DK73" s="51"/>
      <c r="DL73" s="51"/>
      <c r="DM73" s="51"/>
      <c r="DN73" s="51"/>
      <c r="DO73" s="435"/>
      <c r="DP73" s="435"/>
      <c r="DQ73" s="868"/>
      <c r="DR73" s="868"/>
      <c r="DU73" s="188"/>
      <c r="DV73" s="188" t="s">
        <v>8</v>
      </c>
      <c r="DW73" s="188"/>
      <c r="DX73" s="188" t="s">
        <v>8</v>
      </c>
      <c r="DY73" s="188"/>
      <c r="DZ73" s="188"/>
      <c r="EA73" s="188"/>
      <c r="EB73" s="188"/>
      <c r="EC73" s="435"/>
      <c r="ED73" s="435"/>
      <c r="EE73" s="868"/>
      <c r="EF73" s="868"/>
      <c r="EG73" s="613"/>
      <c r="EH73" s="614"/>
      <c r="EI73" s="613"/>
      <c r="EJ73" s="435"/>
      <c r="EK73" s="451"/>
      <c r="EL73" s="612"/>
      <c r="EN73" s="438"/>
      <c r="EP73" s="497"/>
      <c r="ER73" s="441"/>
      <c r="ES73" s="440"/>
      <c r="ET73" s="440"/>
      <c r="EW73" s="427"/>
    </row>
    <row r="74" spans="1:153" ht="17.100000000000001" hidden="1" customHeight="1" thickBot="1">
      <c r="A74" s="2685"/>
      <c r="B74" s="1369" t="str">
        <f ca="1">S74</f>
        <v>X</v>
      </c>
      <c r="C74" s="684" t="str">
        <f>IF(OR(F74=0,I74="",I74=" ")," ",$V74)</f>
        <v xml:space="preserve"> </v>
      </c>
      <c r="D74" s="1033"/>
      <c r="E74" s="1360" t="s">
        <v>8</v>
      </c>
      <c r="F74" s="202"/>
      <c r="G74" s="1416"/>
      <c r="H74" s="1417" t="str">
        <f ca="1">IF(OR(F74=0,Z74="E",Z74="f")," ",'Project Demand'!E$55)</f>
        <v xml:space="preserve"> </v>
      </c>
      <c r="I74" s="631" t="str">
        <f>IF($I$6&lt;&gt;$BG$8," ",AB74)</f>
        <v xml:space="preserve"> </v>
      </c>
      <c r="J74" s="43" t="str">
        <f ca="1">IF(OR(I74=" ",I74="")," ",OFFSET($BO$9,CL74-1,0-4,1,1))</f>
        <v xml:space="preserve"> </v>
      </c>
      <c r="K74" s="55" t="str">
        <f>IF(OR(I74=" ",I74="")," ",IF(OR(Z74="e",Z74="h"),"SD",IF(BG$24=BH$11,BH$13,BG$24)))</f>
        <v xml:space="preserve"> </v>
      </c>
      <c r="L74" s="49">
        <f ca="1">CW74</f>
        <v>0</v>
      </c>
      <c r="M74" s="49">
        <f ca="1">CY74</f>
        <v>0</v>
      </c>
      <c r="N74" s="50">
        <f t="shared" ref="N74:O78" ca="1" si="49">DA74</f>
        <v>0</v>
      </c>
      <c r="O74" s="126">
        <f t="shared" ca="1" si="49"/>
        <v>0</v>
      </c>
      <c r="P74" s="140"/>
      <c r="Q74" s="752" t="str">
        <f ca="1">IF(AND(OR(Z74="t",Z74="f"),K74=$BH$11),"No Floor!  Change Floor Type",IF(OR(I74=" ",I74="")," ",IF(F74&lt;OFFSET($BM$9,CL74-1,0,1,1),"check L(m)",DE74&amp;IF(AND(DP74&gt;=CY74,DR74&gt;=DB74),IF(AND(ED74&gt;=DP74,EF74&gt;=DR74),CONCATENATE(DS74," will provide same result"),CONCATENATE(CO74," will provide same result")),IF((DP74&gt;=CY74),CONCATENATE(CO74," provides same result in WIND"),IF((DR74&gt;=DB74),CONCATENATE(CO74," provides same result in EQ"),""))))))&amp;IF(ISERROR(FIND("pile",I74,1)),"",IF(INT(F74)&lt;&gt;F74,"Pile!  Use Whole Numbers Only",""))</f>
        <v xml:space="preserve"> </v>
      </c>
      <c r="R74" s="52">
        <f ca="1">IF(T68&lt;&gt;2,(COLUMN(INDIRECT(B68&amp;1))+1),U74)</f>
        <v>24</v>
      </c>
      <c r="S74" s="1372" t="str">
        <f ca="1">SUBSTITUTE(ADDRESS(1,R74,4),"1","")</f>
        <v>X</v>
      </c>
      <c r="T74" s="451">
        <f ca="1">IF(AND(ISTEXT(B74),SUBSTITUTE(SUBSTITUTE(SUBSTITUTE(SUBSTITUTE(SUBSTITUTE(SUBSTITUTE(SUBSTITUTE(SUBSTITUTE(SUBSTITUTE(SUBSTITUTE(SUBSTITUTE(SUBSTITUTE(SUBSTITUTE(SUBSTITUTE(SUBSTITUTE(SUBSTITUTE(SUBSTITUTE(SUBSTITUTE(SUBSTITUTE(SUBSTITUTE(SUBSTITUTE(SUBSTITUTE(SUBSTITUTE(SUBSTITUTE(SUBSTITUTE(SUBSTITUTE(LOWER(B74),"a",),"b",),"c",),"d",),"e",),"f",),"g",),"h",),"i",),"j",),"k",),"l",),"m",),"n",),"o",),"p",),"q",),"r",),"s",),"t",),"u",),"v",),"w",),"x",),"y",),"z",)=""),1,2)</f>
        <v>1</v>
      </c>
      <c r="U74" s="1377">
        <v>24</v>
      </c>
      <c r="V74" s="52" t="str">
        <f ca="1">IF(AND(B$5=$BF$9,OR(I74=BH$16,I74=BH$17))," ",IF(ISNUMBER(B$74),(CONCATENATE(B$74,".",W74)),(CONCATENATE(B$74,W74))))</f>
        <v>X0</v>
      </c>
      <c r="W74" s="9">
        <f ca="1">IF(B68=B74,W72+X74,X74)</f>
        <v>0</v>
      </c>
      <c r="X74" s="9">
        <f>IF(AND(B$5=$BF$9,OR($I74=$BH$16,$I74=$BH$17,$I74=" ",$I74="",$F74=0)),0,IF(OR($I74=" ",$I74="",$F74=0),0,1))</f>
        <v>0</v>
      </c>
      <c r="Y74" s="896">
        <f ca="1">IF(AND(M79&gt;0,B74&lt;&gt;B80),1,0)</f>
        <v>0</v>
      </c>
      <c r="Z74" s="52" t="str">
        <f ca="1">IF(I74=" "," ",OFFSET($BM$9,$CL74-1,8,1,1))</f>
        <v xml:space="preserve"> </v>
      </c>
      <c r="AA74" s="51" t="str">
        <f>IF(G74&gt;=45,"WA","")</f>
        <v/>
      </c>
      <c r="AB74" s="1364" t="str">
        <f>IF(OR(E74=" ",E74="")," ",(IF(F74&lt;&gt;"",IF(OR(D74=$BG$12,D74=$BG$13),IF(E74&lt;&gt;$BG$17,$BF$20,$BF$21),IF(E74&lt;&gt;$BG$17,$BF$20,$BF$21))," ")))</f>
        <v xml:space="preserve"> </v>
      </c>
      <c r="AC74" s="1"/>
      <c r="AO74" s="51"/>
      <c r="AP74" s="51"/>
      <c r="AQ74" s="51"/>
      <c r="AR74" s="51"/>
      <c r="AS74" s="51"/>
      <c r="AT74" s="51"/>
      <c r="AU74" s="51"/>
      <c r="AV74" s="1"/>
      <c r="AW74" s="1"/>
      <c r="AX74" s="1"/>
      <c r="AY74" s="1"/>
      <c r="AZ74" s="1"/>
      <c r="BA74" s="1"/>
      <c r="BB74" s="1"/>
      <c r="BC74" s="1"/>
      <c r="BD74" s="652"/>
      <c r="BE74" s="2886"/>
      <c r="BF74" s="2887"/>
      <c r="BG74" s="2887"/>
      <c r="BH74" s="2888"/>
      <c r="BI74" s="759"/>
      <c r="BJ74" s="897">
        <f t="shared" si="37"/>
        <v>66</v>
      </c>
      <c r="BK74" s="768" t="str">
        <f>BK68</f>
        <v xml:space="preserve">EPB </v>
      </c>
      <c r="BL74" s="765" t="str">
        <f>Table!O16</f>
        <v>ESPH</v>
      </c>
      <c r="BM74" s="454">
        <f>Table!P16</f>
        <v>0.4</v>
      </c>
      <c r="BN74" s="454">
        <f>BM75</f>
        <v>0.6</v>
      </c>
      <c r="BO74" s="454">
        <f>Table!Q16</f>
        <v>102</v>
      </c>
      <c r="BP74" s="924">
        <f>Table!R16</f>
        <v>114</v>
      </c>
      <c r="BQ74" s="920"/>
      <c r="BR74" s="768" t="str">
        <f>Table!S16</f>
        <v>ES-H</v>
      </c>
      <c r="BS74" s="454" t="str">
        <f>Table!S17</f>
        <v>EM-H</v>
      </c>
      <c r="BT74" s="454" t="str">
        <f>Table!T16</f>
        <v>E</v>
      </c>
      <c r="BU74" s="924" t="s">
        <v>242</v>
      </c>
      <c r="BV74" s="1230" t="str">
        <f>Table!AI83</f>
        <v>ESPH</v>
      </c>
      <c r="BW74" s="1229">
        <f>BJ74</f>
        <v>66</v>
      </c>
      <c r="BX74" s="924" t="str">
        <f>Table!T17</f>
        <v>Double</v>
      </c>
      <c r="CH74" s="768">
        <f>IF(BN74=999,0,(BO75-BO74)/(BN74-BM74))</f>
        <v>90.000000000000014</v>
      </c>
      <c r="CI74" s="924">
        <f>IF(BN74=999,0,(BP75-BP74)/(BN74-BM74))</f>
        <v>80.000000000000014</v>
      </c>
      <c r="CJ74" s="759"/>
      <c r="CK74" s="188"/>
      <c r="CL74" s="979">
        <f>VLOOKUP(I74,Prodlink,2,0)</f>
        <v>0</v>
      </c>
      <c r="CN74" s="497">
        <f ca="1">VLOOKUP(CO74,Prodlink,2,0)</f>
        <v>0</v>
      </c>
      <c r="CO74" s="497">
        <f ca="1">OFFSET($CH$9,CL74-1,-15,1,1)</f>
        <v>0</v>
      </c>
      <c r="CQ74" s="51">
        <v>0</v>
      </c>
      <c r="CR74" s="51">
        <f ca="1">IF(AND(Z74&lt;&gt;"t",Z74&lt;&gt;"f"),10000,IF(K74=$BH$11,0,IF(K74=$BH$12,$BH$23,IF(K74=$BH$13,$BH$24,10000))))</f>
        <v>10000</v>
      </c>
      <c r="CS74" s="51">
        <f ca="1">IF(F74&lt;OFFSET($BM$9,CL74-1,0,1,1),0,IF(F74&lt;OFFSET($BN$9,CL74-1,0,1,1),((F74-OFFSET($BM$9,CL74-1,0,1,1))*OFFSET($CH$9,CL74-1,0,1,1))+OFFSET($BO$9,CL74-1,CQ74,1,1),IF(F74&lt;OFFSET($BN$9,CL74+0,0,1,1),((F74-OFFSET($BM$9,CL74+0,0,1,1))*OFFSET($CH$9,CL74+0,0,1,1))+OFFSET($BO$9,CL74+0,CQ74,1,1),IF(F74&lt;OFFSET($BN$9,CL74+1,0,1,1),((F74-OFFSET($BM$9,CL74+1,0,1,1))*OFFSET($CH$9,CL74+1,0,1,1))+OFFSET($BO$9,CL74+1,CQ74,1,1),IF(F74&lt;OFFSET($BN$9,CL74+2,0,1,1),((F74-OFFSET($BM$9,CL74+2,0,1,1))*OFFSET($CH$9,CL74+2,0,1,1))+OFFSET($BO$9,CL74+2,CQ74,1,1),IF(F74&lt;OFFSET($BN$9,CL74+3,0,1,1),((F74-OFFSET($BM$9,CL74+3,0,1,1))*OFFSET($CH$9,CL74+3,0,1,1))+OFFSET($BO$9,CL74+3,CQ74,1,1),0))))))</f>
        <v>0</v>
      </c>
      <c r="CT74" s="51">
        <f ca="1">IF($F74&lt;OFFSET($BM$9,$CL74-1,0,1,1),0,IF($F74&lt;OFFSET($BN$9,$CL74-1,0,1,1),IF(AND($H74&gt;2.4,Z74&lt;&gt;"e",Z74&lt;&gt;"f"),CX74*2.4/$H74,CX74),IF($F74&lt;OFFSET($BN$9,$CL74+0,0,1,1),IF(AND($H74&gt;2.4,Z74&lt;&gt;"e",Z74&lt;&gt;"f"),CX74*2.4/$H74,CX74),IF($F74&lt;OFFSET($BN$9,$CL74+1,0,1,1),IF(AND($H74&gt;2.4,Z74&lt;&gt;"e",Z74&lt;&gt;"f"),CX74*2.4/$H74,CX74),IF($F74&lt;OFFSET($BN$9,CL74+2,0,1,1),IF(AND($H74&gt;2.4,Z74&lt;&gt;"e",Z74&lt;&gt;"f"),CX74*2.4/$H74,CX74),IF($F74&lt;OFFSET($BN$9,CL74+3,0,1,1),IF(AND($H74&gt;2.4,Z74&lt;&gt;"e",Z74&lt;&gt;"f"),CX74*2.4/$H74,CX74),0)))))*COS(RADIANS($G74)))</f>
        <v>0</v>
      </c>
      <c r="CU74" s="51">
        <f ca="1">IF(F74&lt;OFFSET($BM$9,CL74-1,0,1,1),0,IF(F74&lt;OFFSET($BN$9,CL74-1,0,1,1),((F74-OFFSET($BM$9,CL74-1,0,1,1))*OFFSET($CI$9,CL74-1,0,1,1))+OFFSET($BP$9,CL74-1,CQ74,1,1),IF(F74&lt;OFFSET($BN$9,CL74+0,0,1,1),((F74-OFFSET($BM$9,CL74+0,0,1,1))*OFFSET($CI$9,CL74+0,0,1,1))+OFFSET($BP$9,CL74+0,CQ74,1,1),IF(F74&lt;OFFSET($BN$9,CL74+1,0,1,1),((F74-OFFSET($BM$9,CL74+1,0,1,1))*OFFSET($CI$9,CL74+1,0,1,1))+OFFSET($BP$9,CL74+1,CQ74,1,1),IF(F74&lt;OFFSET($BN$9,CL74+2,0,1,1),((F74-OFFSET($BM$9,CL74+2,0,1,1))*OFFSET($CI$9,CL74+2,0,1,1))+OFFSET($BP$9,CL74+2,CQ74,1,1),IF(F74&lt;OFFSET($BN$9,CL74+3,0,1,1),((F74-OFFSET($BM$9,CL74+3,0,1,1))*OFFSET($CI$9,CL74+3,0,1,1))+OFFSET($BP$9,CL74+3,CQ74,1,1),0))))))</f>
        <v>0</v>
      </c>
      <c r="CV74" s="51">
        <f ca="1">IF($F74&lt;OFFSET($BM$9,$CL74-1,0,1,1),0,IF($F74&lt;OFFSET($BN$9,$CL74-1,0,1,1),IF(AND($H74&gt;2.4,Z74&lt;&gt;"e",Z74&lt;&gt;"f"),CZ74*2.4/$H74,CZ74),IF($F74&lt;OFFSET($BN$9,$CL74+0,0,1,1),IF(AND($H74&gt;2.4,Z74&lt;&gt;"e",Z74&lt;&gt;"f"),CZ74*2.4/$H74,CZ74),IF($F74&lt;OFFSET($BN$9,$CL74+1,0,1,1),IF(AND($H74&gt;2.4,Z74&lt;&gt;"e",Z74&lt;&gt;"f"),CZ74*2.4/$H74,CZ74),IF($F74&lt;OFFSET($BN$9,$CL74+2,0,1,1),IF(AND($H74&gt;2.4,Z74&lt;&gt;"e",Z74&lt;&gt;"f"),CZ74*2.4/$H74,CZ74),IF($F74&lt;OFFSET($BN$9,$CL74+3,0,1,1),IF(AND($H74&gt;2.4,Z74&lt;&gt;"e",Z74&lt;&gt;"f"),CZ74*2.4/$H74,CZ74),0)))))*COS(RADIANS($G74)))</f>
        <v>0</v>
      </c>
      <c r="CW74" s="51">
        <f ca="1">IF(CT74&gt;CR74,CR74,CT74)</f>
        <v>0</v>
      </c>
      <c r="CX74" s="51">
        <f ca="1">IF(CS74&gt;$CR74,$CR74,CS74)</f>
        <v>0</v>
      </c>
      <c r="CY74" s="51">
        <f ca="1">CW74*F74</f>
        <v>0</v>
      </c>
      <c r="CZ74" s="51">
        <f ca="1">IF($CU74&gt;$CR74,$CR74,$CU74)</f>
        <v>0</v>
      </c>
      <c r="DA74" s="51">
        <f ca="1">IF(CV74&gt;CR74,CR74,CV74)</f>
        <v>0</v>
      </c>
      <c r="DB74" s="51">
        <f ca="1">DA74*F74</f>
        <v>0</v>
      </c>
      <c r="DC74" s="993">
        <v>1</v>
      </c>
      <c r="DD74" s="758" t="str">
        <f>IF(OR(D74=BG$12,D74=BG$13),"External",IF(D74=BG$14,"Internal"," "))</f>
        <v xml:space="preserve"> </v>
      </c>
      <c r="DE74" s="51" t="str">
        <f t="shared" ref="DE74:DE78" ca="1" si="50">IF(AND(OFFSET($CH$9,CL74-1,-14,1,1)="I",DD74="External"),BE$66,IF(AND(OFFSET($CH$9,CL74-1,-14,1,1)="M",DD74="Internal"),BE$65,IF(AND(OFFSET($CH$9,CL74-1,-14,1,1)="M",DD74=" "),BE$64,IF(AND(OFFSET($CH$9,CL74-1,-14,1,1)="E",DD74="Internal"),BE$62,IF(AND(OFFSET($CH$9,CL74-1,-14,1,1)="E",DD74=" "),BE$61,IF(AND(DF74="Double",E74=$BG$16),BE$67,""))))))</f>
        <v/>
      </c>
      <c r="DF74" s="52" t="str">
        <f t="shared" ref="DF74:DF78" ca="1" si="51">IF(I74=" "," ",OFFSET($BM$9,$CL74-1,11,1,1))</f>
        <v xml:space="preserve"> </v>
      </c>
      <c r="DG74" s="51">
        <f ca="1">IF(F74&lt;OFFSET($BM$9,CN74-1,0,1,1),0,IF(F74&lt;OFFSET($BN$9,CN74-1,0,1,1),((F74-OFFSET($BM$9,CN74-1,0,1,1))*OFFSET($CH$9,CN74-1,0,1,1))+OFFSET($BO$9,CN74-1,CQ74,1,1),IF(F74&lt;OFFSET($BN$9,CN74+0,0,1,1),((F74-OFFSET($BM$9,CN74+0,0,1,1))*OFFSET($CH$9,CN74+0,0,1,1))+OFFSET($BO$9,CN74+0,CQ74,1,1),IF(F74&lt;OFFSET($BN$9,CN74+1,0,1,1),((F74-OFFSET($BM$9,CN74+1,0,1,1))*OFFSET($CH$9,CN74+1,0,1,1))+OFFSET($BO$9,CN74+1,CQ74,1,1),IF(F74&lt;OFFSET($BN$9,CN74+2,0,1,1),((F74-OFFSET($BM$9,CN74+2,0,1,1))*OFFSET($CH$9,CN74+2,0,1,1))+OFFSET($BO$9,CN74+2,CQ74,1,1),IF(F74&lt;OFFSET($BN$9,CN74+3,0,1,1),((F74-OFFSET($BM$9,CN74+3,0,1,1))*OFFSET($CH$9,CN74+3,0,1,1))+OFFSET($BO$9,CN74+3,CQ74,1,1),0))))))</f>
        <v>0</v>
      </c>
      <c r="DH74" s="51">
        <f ca="1">IF($F74&lt;OFFSET($BM$9,$CN74-1,0,1,1),0,IF($F74&lt;OFFSET($BN$9,$CN74-1,0,1,1),IF(AND($H74&gt;2.4,Z74&lt;&gt;"e",Z74&lt;&gt;"f"),DL74*2.4/$H74,DL74),IF($F74&lt;OFFSET($BN$9,$CN74+0,0,1,1),IF(AND($H74&gt;2.4,Z74&lt;&gt;"e",Z74&lt;&gt;"f"),DL74*2.4/$H74,DL74),IF($F74&lt;OFFSET($BN$9,$CN74+1,0,1,1),IF(AND($H74&gt;2.4,Z74&lt;&gt;"e",Z74&lt;&gt;"f"),DL74*2.4/$H74,DL74),IF($F74&lt;OFFSET($BN$9,$CN74+2,0,1,1),IF(AND($H74&gt;2.4,Z74&lt;&gt;"e",Z74&lt;&gt;"f"),DL74*2.4/$H74,DL74),IF($F74&lt;OFFSET($BN$9,$CN74+3,0,1,1),IF(AND($H74&gt;2.4,Z74&lt;&gt;"e",Z74&lt;&gt;"f"),DL74*2.4/$H74,DL74),0)))))*COS(RADIANS($G74)))</f>
        <v>0</v>
      </c>
      <c r="DI74" s="51">
        <f ca="1">IF(F74&lt;OFFSET($BM$9,CN74-1,0,1,1),0,IF(F74&lt;OFFSET($BN$9,CN74-1,0,1,1),((F74-OFFSET($BM$9,CN74-1,0,1,1))*OFFSET($CI$9,CN74-1,0,1,1))+OFFSET($BP$9,CN74-1,CQ74,1,1),IF(F74&lt;OFFSET($BN$9,CN74+0,0,1,1),((F74-OFFSET($BM$9,CN74+0,0,1,1))*OFFSET($CI$9,CN74+0,0,1,1))+OFFSET($BP$9,CN74+0,CQ74,1,1),IF(F74&lt;OFFSET($BN$9,CN74+1,0,1,1),((F74-OFFSET($BM$9,CN74+1,0,1,1))*OFFSET($CI$9,CN74+1,0,1,1))+OFFSET($BP$9,CN74+1,CQ74,1,1),IF(F74&lt;OFFSET($BN$9,CN74+2,0,1,1),((F74-OFFSET($BM$9,CN74+2,0,1,1))*OFFSET($CI$9,CN74+2,0,1,1))+OFFSET($BP$9,CN74+2,CQ74,1,1),IF(F74&lt;OFFSET($BN$9,CN74+3,0,1,1),((F74-OFFSET($BM$9,CN74+3,0,1,1))*OFFSET($CI$9,CN74+3,0,1,1))+OFFSET($BP$9,CN74+3,CQ74,1,1),0))))))</f>
        <v>0</v>
      </c>
      <c r="DJ74" s="51">
        <f ca="1">IF($F74&lt;OFFSET($BM$9,$CN74-1,0,1,1),0,IF($F74&lt;OFFSET($BN$9,$CN74-1,0,1,1),IF(AND($H74&gt;2.4,Z74&lt;&gt;"e",Z74&lt;&gt;"f"),DN74*2.4/$H74,DN74),IF($F74&lt;OFFSET($BN$9,$CN74+0,0,1,1),IF(AND($H74&gt;2.4,Z74&lt;&gt;"e",Z74&lt;&gt;"f"),DN74*2.4/$H74,DN74),IF($F74&lt;OFFSET($BN$9,$CN74+1,0,1,1),IF(AND($H74&gt;2.4,Z74&lt;&gt;"e",Z74&lt;&gt;"f"),DN74*2.4/$H74,DN74),IF($F74&lt;OFFSET($BN$9,$CN74+2,0,1,1),IF(AND($H74&gt;2.4,Z74&lt;&gt;"e",Z74&lt;&gt;"f"),DN74*2.4/$H74,DN74),IF($F74&lt;OFFSET($BN$9,$CN74+3,0,1,1),IF(AND($H74&gt;2.4,Z74&lt;&gt;"e",Z74&lt;&gt;"f"),DN74*2.4/$H74,DN74),0)))))*COS(RADIANS($G74)))</f>
        <v>0</v>
      </c>
      <c r="DK74" s="51"/>
      <c r="DL74" s="51">
        <f ca="1">IF(DG74&gt;$CR74,$CR74,DG74)</f>
        <v>0</v>
      </c>
      <c r="DM74" s="51"/>
      <c r="DN74" s="51">
        <f ca="1">IF(DI74&gt;$CR74,$CR74,DI74)</f>
        <v>0</v>
      </c>
      <c r="DO74" s="435">
        <f ca="1">IF(DH74&gt;$CR74,$CR74,DH74)</f>
        <v>0</v>
      </c>
      <c r="DP74" s="435">
        <f ca="1">DO74*F74</f>
        <v>0</v>
      </c>
      <c r="DQ74" s="436">
        <f ca="1">IF(DJ74&gt;$CR74,$CR74,DJ74)</f>
        <v>0</v>
      </c>
      <c r="DR74" s="437">
        <f ca="1">DQ74*F74</f>
        <v>0</v>
      </c>
      <c r="DS74" s="426">
        <f ca="1">OFFSET($CH$9,CL74-1,-15,1,1)</f>
        <v>0</v>
      </c>
      <c r="DT74" s="426">
        <f ca="1">VLOOKUP(DS74,Prodlink,2,0)</f>
        <v>0</v>
      </c>
      <c r="DU74" s="188">
        <f ca="1">IF(F74&lt;OFFSET($BM$9,DT74-1,0,1,1),0,IF(F74&lt;OFFSET($BN$9,DT74-1,0,1,1),((F74-OFFSET($BM$9,DT74-1,0,1,1))*OFFSET($CH$9,DT74-1,0,1,1))+OFFSET($BO$9,DT74-1,CQ74,1,1),IF(F74&lt;OFFSET($BN$9,DT74+0,0,1,1),((F74-OFFSET($BM$9,DT74+0,0,1,1))*OFFSET($CH$9,DT74+0,0,1,1))+OFFSET($BO$9,DT74+0,CQ74,1,1),IF(F74&lt;OFFSET($BN$9,DT74+1,0,1,1),((F74-OFFSET($BM$9,DT74+1,0,1,1))*OFFSET($CH$9,DT74+1,0,1,1))+OFFSET($BO$9,DT74+1,CQ74,1,1),IF(F74&lt;OFFSET($BN$9,DT74+2,0,1,1),((F74-OFFSET($BM$9,DT74+2,0,1,1))*OFFSET($CH$9,DT74+2,0,1,1))+OFFSET($BO$9,DT74+2,CQ74,1,1),IF(F74&lt;OFFSET($BN$9,DT74+3,0,1,1),((F74-OFFSET($BM$9,DT74+3,0,1,1))*OFFSET($CH$9,DT74+3,0,1,1))+OFFSET($BO$9,DT74+3,CQ74,1,1),0))))))</f>
        <v>0</v>
      </c>
      <c r="DV74" s="51">
        <f ca="1">IF($F74&lt;OFFSET($BM$9,$DT74-1,0,1,1),0,IF($F74&lt;OFFSET($BN$9,$DT74-1,0,1,1),IF(AND($H74&gt;2.4,Z74&lt;&gt;"e",Z74&lt;&gt;"f"),DZ74*2.4/$H74,DZ74),IF($F74&lt;OFFSET($BN$9,$DT74+0,0,1,1),IF(AND($H74&gt;2.4,Z74&lt;&gt;"e",Z74&lt;&gt;"f"),DZ74*2.4/$H74,DZ74),IF($F74&lt;OFFSET($BN$9,$DT74+1,0,1,1),IF(AND($H74&gt;2.4,Z74&lt;&gt;"e",Z74&lt;&gt;"f"),DZ74*2.4/$H74,DZ74),IF($F74&lt;OFFSET($BN$9,$DT74+2,0,1,1),IF(AND($H74&gt;2.4,Z74&lt;&gt;"e",Z74&lt;&gt;"f"),DZ74*2.4/$H74,DZ74),IF($F74&lt;OFFSET($BN$9,$DT74+3,0,1,1),IF(AND($H74&gt;2.4,Z74&lt;&gt;"e",Z74&lt;&gt;"f"),DZ74*2.4/$H74,DZ74),0)))))*COS(RADIANS($G74)))</f>
        <v>0</v>
      </c>
      <c r="DW74" s="188">
        <f ca="1">IF(F74&lt;OFFSET($BM$9,DT74-1,0,1,1),0,IF(F74&lt;OFFSET($BN$9,DT74-1,0,1,1),((F74-OFFSET($BM$9,DT74-1,0,1,1))*OFFSET($CI$9,DT74-1,0,1,1))+OFFSET($BP$9,DT74-1,CQ74,1,1),IF(F74&lt;OFFSET($BN$9,DT74+0,0,1,1),((F74-OFFSET($BM$9,DT74+0,0,1,1))*OFFSET($CI$9,DT74+0,0,1,1))+OFFSET($BP$9,DT74+0,CQ74,1,1),IF(F74&lt;OFFSET($BN$9,DT74+1,0,1,1),((F74-OFFSET($BM$9,DT74+1,0,1,1))*OFFSET($CI$9,DT74+1,0,1,1))+OFFSET($BP$9,DT74+1,CQ74,1,1),IF(F74&lt;OFFSET($BN$9,DT74+2,0,1,1),((F74-OFFSET($BM$9,DT74+2,0,1,1))*OFFSET($CI$9,DT74+2,0,1,1))+OFFSET($BP$9,DT74+2,CQ74,1,1),IF(F74&lt;OFFSET($BN$9,DT74+3,0,1,1),((F74-OFFSET($BM$9,DT74+3,0,1,1))*OFFSET($CI$9,DT74+3,0,1,1))+OFFSET($BP$9,DT74+3,CQ74,1,1),0))))))</f>
        <v>0</v>
      </c>
      <c r="DX74" s="51">
        <f ca="1">IF($F74&lt;OFFSET($BM$9,$DT74-1,0,1,1),0,IF($F74&lt;OFFSET($BN$9,$DT74-1,0,1,1),IF(AND($H74&gt;2.4,Z74&lt;&gt;"e",Z74&lt;&gt;"f"),EB74*2.4/$H74,EB74),IF($F74&lt;OFFSET($BN$9,$DT74+0,0,1,1),IF(AND($H74&gt;2.4,Z74&lt;&gt;"e",Z74&lt;&gt;"f"),EB74*2.4/$H74,EB74),IF($F74&lt;OFFSET($BN$9,$DT74+1,0,1,1),IF(AND($H74&gt;2.4,Z74&lt;&gt;"e",Z74&lt;&gt;"f"),EB74*2.4/$H74,EB74),IF($F74&lt;OFFSET($BN$9,$DT74+2,0,1,1),IF(AND($H74&gt;2.4,Z74&lt;&gt;"e",Z74&lt;&gt;"f"),EB74*2.4/$H74,EB74),IF($F74&lt;OFFSET($BN$9,$DT74+3,0,1,1),IF(AND($H74&gt;2.4,Z74&lt;&gt;"e",Z74&lt;&gt;"f"),EB74*2.4/$H74,EB74),0)))))*COS(RADIANS($G74)))</f>
        <v>0</v>
      </c>
      <c r="DY74" s="188"/>
      <c r="DZ74" s="188">
        <f ca="1">IF(DU74&gt;$CR74,$CR74,DU74)</f>
        <v>0</v>
      </c>
      <c r="EA74" s="188"/>
      <c r="EB74" s="188">
        <f ca="1">IF(DW74&gt;$CR74,$CR74,DW74)</f>
        <v>0</v>
      </c>
      <c r="EC74" s="435">
        <f ca="1">IF(DV74&gt;$CR74,$CR74,DV74)</f>
        <v>0</v>
      </c>
      <c r="ED74" s="435">
        <f ca="1">EC74*F74</f>
        <v>0</v>
      </c>
      <c r="EE74" s="436">
        <f ca="1">IF(DX74&gt;$CR74,$CR74,DX74)</f>
        <v>0</v>
      </c>
      <c r="EF74" s="437">
        <f ca="1">EE74*F74</f>
        <v>0</v>
      </c>
      <c r="EG74" s="613" t="str">
        <f>IF(D74=BG$12,BG$12,"")</f>
        <v/>
      </c>
      <c r="EH74" s="614" t="str">
        <f>IF(D74=BG$13,BG$13,"")</f>
        <v/>
      </c>
      <c r="EI74" s="611">
        <f>IF(EG74=BG$12,M74,0)</f>
        <v>0</v>
      </c>
      <c r="EJ74" s="451">
        <f>IF(EG74=BG$12,O74,0)</f>
        <v>0</v>
      </c>
      <c r="EK74" s="451">
        <f>IF(EH74=BG$13,M74,0)</f>
        <v>0</v>
      </c>
      <c r="EL74" s="612">
        <f>IF(EH74=BG$13,O74,0)</f>
        <v>0</v>
      </c>
      <c r="EM74" s="426" t="str">
        <f ca="1">IF(AND(Z74&lt;&gt;"t",Z74&lt;&gt;"f"),"",IF(AND(EN74=$BH$11,K74&lt;&gt;EN74),EM$4,IF(AND(EN74=$BH$12,K74=$BH$13),EM$4,IF(AND(EN74=$BH$12,K74=$BH$14),EM$4,IF(AND(EN74=$BH$13,K74=$BH$14),$EM$4,IF(EN74=$BH$14,$EM$4,""))))))</f>
        <v/>
      </c>
      <c r="EN74" s="489" t="str">
        <f>BG$24</f>
        <v>Earth</v>
      </c>
      <c r="EO74" s="426" t="str">
        <f>K74</f>
        <v xml:space="preserve"> </v>
      </c>
      <c r="EP74" s="497" t="str">
        <f ca="1">IF(AND(Z74&lt;&gt;"t",Z74&lt;&gt;"f"),"",IF(AND(EN74=$BH$14,K74&lt;&gt;EN74),EP$4,IF(AND(EN74=$BH$13,K74=$BH$12),EP$4,IF(AND(EN74=$BH$13,K74=$BH$11),EP$4,IF(AND(EN74=$BH$12,K74=$BH$11),$EP$4,IF(EN74=$BH$11,"Earth",""))))))</f>
        <v/>
      </c>
      <c r="EQ74" s="430" t="str">
        <f ca="1">IF(Z74&lt;&gt;"t","",IF(EQ$5=2,IF(K74&lt;&gt;BH$11,EQ$7," ")))</f>
        <v/>
      </c>
      <c r="ER74" s="439" t="str">
        <f ca="1">IF(H74=0," ",H74)</f>
        <v xml:space="preserve"> </v>
      </c>
      <c r="ES74" s="440" t="str">
        <f ca="1">IF(ER74&lt;&gt;" ",IF(ER74&lt;&gt;ER$7,"Changed",""),"")</f>
        <v/>
      </c>
      <c r="ET74" s="440">
        <f ca="1">IF(ER74&lt;&gt;" ",IF(ER74&lt;&gt;ER$7,1,0),0)</f>
        <v>0</v>
      </c>
      <c r="EU74" s="426" t="str">
        <f ca="1">IF(I74=" "," ",IF(F74&lt;OFFSET($BM$9,CL74-1,0,1,1),1,""))</f>
        <v xml:space="preserve"> </v>
      </c>
      <c r="EW74" s="427"/>
    </row>
    <row r="75" spans="1:153" ht="17.100000000000001" hidden="1" customHeight="1">
      <c r="A75" s="2685"/>
      <c r="B75" s="689" t="s">
        <v>246</v>
      </c>
      <c r="C75" s="684" t="str">
        <f>IF(OR(F75=0,I75="",I75=" ")," ",$V75)</f>
        <v xml:space="preserve"> </v>
      </c>
      <c r="D75" s="1033"/>
      <c r="E75" s="1360" t="s">
        <v>8</v>
      </c>
      <c r="F75" s="202"/>
      <c r="G75" s="1416"/>
      <c r="H75" s="1417" t="str">
        <f ca="1">IF(OR(F75=0,Z75="E",Z75="f")," ",'Project Demand'!E$55)</f>
        <v xml:space="preserve"> </v>
      </c>
      <c r="I75" s="631" t="str">
        <f>IF($I$6&lt;&gt;$BG$8," ",AB75)</f>
        <v xml:space="preserve"> </v>
      </c>
      <c r="J75" s="44" t="str">
        <f ca="1">IF(OR(I75=" ",I75="")," ",OFFSET($BO$9,CL75-1,0-4,1,1))</f>
        <v xml:space="preserve"> </v>
      </c>
      <c r="K75" s="55" t="str">
        <f>IF(OR(I75=" ",I75="")," ",IF(OR(Z75="e",Z75="h"),"SD",IF(BG$24=BH$11,BH$13,BG$24)))</f>
        <v xml:space="preserve"> </v>
      </c>
      <c r="L75" s="49">
        <f ca="1">CW75</f>
        <v>0</v>
      </c>
      <c r="M75" s="49">
        <f ca="1">CY75</f>
        <v>0</v>
      </c>
      <c r="N75" s="50">
        <f t="shared" ca="1" si="49"/>
        <v>0</v>
      </c>
      <c r="O75" s="126">
        <f t="shared" ca="1" si="49"/>
        <v>0</v>
      </c>
      <c r="P75" s="140"/>
      <c r="Q75" s="752" t="str">
        <f ca="1">IF(AND(OR(Z75="t",Z75="f"),K75=$BH$11),"No Floor!  Change Floor Type",IF(OR(I75=" ",I75="")," ",IF(F75&lt;OFFSET($BM$9,CL75-1,0,1,1),"check L(m)",DE75&amp;IF(AND(DP75&gt;=CY75,DR75&gt;=DB75),IF(AND(ED75&gt;=DP75,EF75&gt;=DR75),CONCATENATE(DS75," will provide same result"),CONCATENATE(CO75," will provide same result")),IF((DP75&gt;=CY75),CONCATENATE(CO75," provides same result in WIND"),IF((DR75&gt;=DB75),CONCATENATE(CO75," provides same result in EQ"),""))))))&amp;IF(ISERROR(FIND("pile",I75,1)),"",IF(INT(F75)&lt;&gt;F75,"Pile!  Use Whole Numbers Only",""))</f>
        <v xml:space="preserve"> </v>
      </c>
      <c r="R75" s="52"/>
      <c r="S75" s="1372"/>
      <c r="T75" s="1372"/>
      <c r="U75" s="1377"/>
      <c r="V75" s="52" t="str">
        <f ca="1">IF(AND(B$5=$BF$9,OR(I75=BH$16,I75=BH$17))," ",IF(ISNUMBER(B$74),(CONCATENATE(B$74,".",W75)),(CONCATENATE(B$74,W75))))</f>
        <v>X0</v>
      </c>
      <c r="W75" s="9">
        <f ca="1">W74+X75</f>
        <v>0</v>
      </c>
      <c r="X75" s="9">
        <f>IF(AND(B$5=$BF$9,OR($I75=$BH$16,$I75=$BH$17,$I75=" ",$I75="",$F75=0)),0,IF(OR($I75=" ",$I75="",$F75=0),0,1))</f>
        <v>0</v>
      </c>
      <c r="Y75" s="896"/>
      <c r="Z75" s="52" t="str">
        <f ca="1">IF(I75=" "," ",OFFSET($BM$9,$CL75-1,8,1,1))</f>
        <v xml:space="preserve"> </v>
      </c>
      <c r="AA75" s="51" t="str">
        <f>IF(G75&gt;=45,"WA","")</f>
        <v/>
      </c>
      <c r="AB75" s="1364" t="str">
        <f>IF(OR(E75=" ",E75="")," ",(IF(F75&lt;&gt;"",IF(OR(D75=$BG$12,D75=$BG$13),IF(E75&lt;&gt;$BG$17,$BF$20,$BF$21),IF(E75&lt;&gt;$BG$17,$BF$20,$BF$21))," ")))</f>
        <v xml:space="preserve"> </v>
      </c>
      <c r="AC75" s="1"/>
      <c r="AO75" s="51"/>
      <c r="AP75" s="51"/>
      <c r="AQ75" s="51"/>
      <c r="AR75" s="51"/>
      <c r="AS75" s="51"/>
      <c r="AT75" s="51"/>
      <c r="AU75" s="51"/>
      <c r="AV75" s="1"/>
      <c r="AW75" s="1"/>
      <c r="AX75" s="1"/>
      <c r="AY75" s="1"/>
      <c r="AZ75" s="1"/>
      <c r="BA75" s="1"/>
      <c r="BB75" s="1"/>
      <c r="BC75" s="1"/>
      <c r="BD75" s="652"/>
      <c r="BI75" s="759"/>
      <c r="BJ75" s="897">
        <f t="shared" si="37"/>
        <v>67</v>
      </c>
      <c r="BK75" s="764"/>
      <c r="BL75" s="773"/>
      <c r="BM75" s="455">
        <f>Table!P17</f>
        <v>0.6</v>
      </c>
      <c r="BN75" s="455">
        <f>BM76</f>
        <v>0.8</v>
      </c>
      <c r="BO75" s="455">
        <f>Table!Q17</f>
        <v>120</v>
      </c>
      <c r="BP75" s="925">
        <f>Table!R17</f>
        <v>130</v>
      </c>
      <c r="BR75" s="764"/>
      <c r="BS75" s="455"/>
      <c r="BT75" s="455"/>
      <c r="BU75" s="925" t="s">
        <v>242</v>
      </c>
      <c r="BV75" s="895"/>
      <c r="BW75" s="912"/>
      <c r="BX75" s="925" t="str">
        <f>Table!T17</f>
        <v>Double</v>
      </c>
      <c r="CH75" s="764">
        <f>IF(BN75=999,0,(BO76-BO75)/(BN75-BM75))</f>
        <v>99.999999999999972</v>
      </c>
      <c r="CI75" s="925">
        <f>IF(BN75=999,0,(BP76-BP75)/(BN75-BM75))</f>
        <v>49.999999999999986</v>
      </c>
      <c r="CJ75" s="759"/>
      <c r="CK75" s="188"/>
      <c r="CL75" s="979">
        <f>VLOOKUP(I75,Prodlink,2,0)</f>
        <v>0</v>
      </c>
      <c r="CN75" s="497">
        <f ca="1">VLOOKUP(CO75,Prodlink,2,0)</f>
        <v>0</v>
      </c>
      <c r="CO75" s="497">
        <f ca="1">OFFSET($CH$9,CL75-1,-15,1,1)</f>
        <v>0</v>
      </c>
      <c r="CQ75" s="51">
        <v>0</v>
      </c>
      <c r="CR75" s="51">
        <f t="shared" ref="CR75:CR78" ca="1" si="52">IF(AND(Z75&lt;&gt;"t",Z75&lt;&gt;"f"),10000,IF(K75=$BH$11,0,IF(K75=$BH$12,$BH$23,IF(K75=$BH$13,$BH$24,10000))))</f>
        <v>10000</v>
      </c>
      <c r="CS75" s="51">
        <f ca="1">IF(F75&lt;OFFSET($BM$9,CL75-1,0,1,1),0,IF(F75&lt;OFFSET($BN$9,CL75-1,0,1,1),((F75-OFFSET($BM$9,CL75-1,0,1,1))*OFFSET($CH$9,CL75-1,0,1,1))+OFFSET($BO$9,CL75-1,CQ75,1,1),IF(F75&lt;OFFSET($BN$9,CL75+0,0,1,1),((F75-OFFSET($BM$9,CL75+0,0,1,1))*OFFSET($CH$9,CL75+0,0,1,1))+OFFSET($BO$9,CL75+0,CQ75,1,1),IF(F75&lt;OFFSET($BN$9,CL75+1,0,1,1),((F75-OFFSET($BM$9,CL75+1,0,1,1))*OFFSET($CH$9,CL75+1,0,1,1))+OFFSET($BO$9,CL75+1,CQ75,1,1),IF(F75&lt;OFFSET($BN$9,CL75+2,0,1,1),((F75-OFFSET($BM$9,CL75+2,0,1,1))*OFFSET($CH$9,CL75+2,0,1,1))+OFFSET($BO$9,CL75+2,CQ75,1,1),IF(F75&lt;OFFSET($BN$9,CL75+3,0,1,1),((F75-OFFSET($BM$9,CL75+3,0,1,1))*OFFSET($CH$9,CL75+3,0,1,1))+OFFSET($BO$9,CL75+3,CQ75,1,1),0))))))</f>
        <v>0</v>
      </c>
      <c r="CT75" s="51">
        <f ca="1">IF($F75&lt;OFFSET($BM$9,$CL75-1,0,1,1),0,IF($F75&lt;OFFSET($BN$9,$CL75-1,0,1,1),IF(AND($H75&gt;2.4,Z75&lt;&gt;"e",Z75&lt;&gt;"f"),CX75*2.4/$H75,CX75),IF($F75&lt;OFFSET($BN$9,$CL75+0,0,1,1),IF(AND($H75&gt;2.4,Z75&lt;&gt;"e",Z75&lt;&gt;"f"),CX75*2.4/$H75,CX75),IF($F75&lt;OFFSET($BN$9,$CL75+1,0,1,1),IF(AND($H75&gt;2.4,Z75&lt;&gt;"e",Z75&lt;&gt;"f"),CX75*2.4/$H75,CX75),IF($F75&lt;OFFSET($BN$9,CL75+2,0,1,1),IF(AND($H75&gt;2.4,Z75&lt;&gt;"e",Z75&lt;&gt;"f"),CX75*2.4/$H75,CX75),IF($F75&lt;OFFSET($BN$9,CL75+3,0,1,1),IF(AND($H75&gt;2.4,Z75&lt;&gt;"e",Z75&lt;&gt;"f"),CX75*2.4/$H75,CX75),0)))))*COS(RADIANS($G75)))</f>
        <v>0</v>
      </c>
      <c r="CU75" s="51">
        <f ca="1">IF(F75&lt;OFFSET($BM$9,CL75-1,0,1,1),0,IF(F75&lt;OFFSET($BN$9,CL75-1,0,1,1),((F75-OFFSET($BM$9,CL75-1,0,1,1))*OFFSET($CI$9,CL75-1,0,1,1))+OFFSET($BP$9,CL75-1,CQ75,1,1),IF(F75&lt;OFFSET($BN$9,CL75+0,0,1,1),((F75-OFFSET($BM$9,CL75+0,0,1,1))*OFFSET($CI$9,CL75+0,0,1,1))+OFFSET($BP$9,CL75+0,CQ75,1,1),IF(F75&lt;OFFSET($BN$9,CL75+1,0,1,1),((F75-OFFSET($BM$9,CL75+1,0,1,1))*OFFSET($CI$9,CL75+1,0,1,1))+OFFSET($BP$9,CL75+1,CQ75,1,1),IF(F75&lt;OFFSET($BN$9,CL75+2,0,1,1),((F75-OFFSET($BM$9,CL75+2,0,1,1))*OFFSET($CI$9,CL75+2,0,1,1))+OFFSET($BP$9,CL75+2,CQ75,1,1),IF(F75&lt;OFFSET($BN$9,CL75+3,0,1,1),((F75-OFFSET($BM$9,CL75+3,0,1,1))*OFFSET($CI$9,CL75+3,0,1,1))+OFFSET($BP$9,CL75+3,CQ75,1,1),0))))))</f>
        <v>0</v>
      </c>
      <c r="CV75" s="51">
        <f ca="1">IF($F75&lt;OFFSET($BM$9,$CL75-1,0,1,1),0,IF($F75&lt;OFFSET($BN$9,$CL75-1,0,1,1),IF(AND($H75&gt;2.4,Z75&lt;&gt;"e",Z75&lt;&gt;"f"),CZ75*2.4/$H75,CZ75),IF($F75&lt;OFFSET($BN$9,$CL75+0,0,1,1),IF(AND($H75&gt;2.4,Z75&lt;&gt;"e",Z75&lt;&gt;"f"),CZ75*2.4/$H75,CZ75),IF($F75&lt;OFFSET($BN$9,$CL75+1,0,1,1),IF(AND($H75&gt;2.4,Z75&lt;&gt;"e",Z75&lt;&gt;"f"),CZ75*2.4/$H75,CZ75),IF($F75&lt;OFFSET($BN$9,$CL75+2,0,1,1),IF(AND($H75&gt;2.4,Z75&lt;&gt;"e",Z75&lt;&gt;"f"),CZ75*2.4/$H75,CZ75),IF($F75&lt;OFFSET($BN$9,$CL75+3,0,1,1),IF(AND($H75&gt;2.4,Z75&lt;&gt;"e",Z75&lt;&gt;"f"),CZ75*2.4/$H75,CZ75),0)))))*COS(RADIANS($G75)))</f>
        <v>0</v>
      </c>
      <c r="CW75" s="51">
        <f ca="1">IF(CT75&gt;CR75,CR75,CT75)</f>
        <v>0</v>
      </c>
      <c r="CX75" s="51">
        <f ca="1">IF(CS75&gt;$CR75,$CR75,CS75)</f>
        <v>0</v>
      </c>
      <c r="CY75" s="51">
        <f ca="1">CW75*F75</f>
        <v>0</v>
      </c>
      <c r="CZ75" s="51">
        <f ca="1">IF($CU75&gt;$CR75,$CR75,$CU75)</f>
        <v>0</v>
      </c>
      <c r="DA75" s="51">
        <f ca="1">IF(CV75&gt;CR75,CR75,CV75)</f>
        <v>0</v>
      </c>
      <c r="DB75" s="51">
        <f ca="1">DA75*F75</f>
        <v>0</v>
      </c>
      <c r="DC75" s="993">
        <v>1</v>
      </c>
      <c r="DD75" s="758" t="str">
        <f>IF(OR(D75=BG$12,D75=BG$13),"External",IF(D75=BG$14,"Internal"," "))</f>
        <v xml:space="preserve"> </v>
      </c>
      <c r="DE75" s="51" t="str">
        <f t="shared" ca="1" si="50"/>
        <v/>
      </c>
      <c r="DF75" s="52" t="str">
        <f t="shared" ca="1" si="51"/>
        <v xml:space="preserve"> </v>
      </c>
      <c r="DG75" s="51">
        <f ca="1">IF(F75&lt;OFFSET($BM$9,CN75-1,0,1,1),0,IF(F75&lt;OFFSET($BN$9,CN75-1,0,1,1),((F75-OFFSET($BM$9,CN75-1,0,1,1))*OFFSET($CH$9,CN75-1,0,1,1))+OFFSET($BO$9,CN75-1,CQ75,1,1),IF(F75&lt;OFFSET($BN$9,CN75+0,0,1,1),((F75-OFFSET($BM$9,CN75+0,0,1,1))*OFFSET($CH$9,CN75+0,0,1,1))+OFFSET($BO$9,CN75+0,CQ75,1,1),IF(F75&lt;OFFSET($BN$9,CN75+1,0,1,1),((F75-OFFSET($BM$9,CN75+1,0,1,1))*OFFSET($CH$9,CN75+1,0,1,1))+OFFSET($BO$9,CN75+1,CQ75,1,1),IF(F75&lt;OFFSET($BN$9,CN75+2,0,1,1),((F75-OFFSET($BM$9,CN75+2,0,1,1))*OFFSET($CH$9,CN75+2,0,1,1))+OFFSET($BO$9,CN75+2,CQ75,1,1),IF(F75&lt;OFFSET($BN$9,CN75+3,0,1,1),((F75-OFFSET($BM$9,CN75+3,0,1,1))*OFFSET($CH$9,CN75+3,0,1,1))+OFFSET($BO$9,CN75+3,CQ75,1,1),0))))))</f>
        <v>0</v>
      </c>
      <c r="DH75" s="51">
        <f ca="1">IF($F75&lt;OFFSET($BM$9,$CN75-1,0,1,1),0,IF($F75&lt;OFFSET($BN$9,$CN75-1,0,1,1),IF(AND($H75&gt;2.4,Z75&lt;&gt;"e",Z75&lt;&gt;"f"),DL75*2.4/$H75,DL75),IF($F75&lt;OFFSET($BN$9,$CN75+0,0,1,1),IF(AND($H75&gt;2.4,Z75&lt;&gt;"e",Z75&lt;&gt;"f"),DL75*2.4/$H75,DL75),IF($F75&lt;OFFSET($BN$9,$CN75+1,0,1,1),IF(AND($H75&gt;2.4,Z75&lt;&gt;"e",Z75&lt;&gt;"f"),DL75*2.4/$H75,DL75),IF($F75&lt;OFFSET($BN$9,$CN75+2,0,1,1),IF(AND($H75&gt;2.4,Z75&lt;&gt;"e",Z75&lt;&gt;"f"),DL75*2.4/$H75,DL75),IF($F75&lt;OFFSET($BN$9,$CN75+3,0,1,1),IF(AND($H75&gt;2.4,Z75&lt;&gt;"e",Z75&lt;&gt;"f"),DL75*2.4/$H75,DL75),0)))))*COS(RADIANS($G75)))</f>
        <v>0</v>
      </c>
      <c r="DI75" s="51">
        <f ca="1">IF(F75&lt;OFFSET($BM$9,CN75-1,0,1,1),0,IF(F75&lt;OFFSET($BN$9,CN75-1,0,1,1),((F75-OFFSET($BM$9,CN75-1,0,1,1))*OFFSET($CI$9,CN75-1,0,1,1))+OFFSET($BP$9,CN75-1,CQ75,1,1),IF(F75&lt;OFFSET($BN$9,CN75+0,0,1,1),((F75-OFFSET($BM$9,CN75+0,0,1,1))*OFFSET($CI$9,CN75+0,0,1,1))+OFFSET($BP$9,CN75+0,CQ75,1,1),IF(F75&lt;OFFSET($BN$9,CN75+1,0,1,1),((F75-OFFSET($BM$9,CN75+1,0,1,1))*OFFSET($CI$9,CN75+1,0,1,1))+OFFSET($BP$9,CN75+1,CQ75,1,1),IF(F75&lt;OFFSET($BN$9,CN75+2,0,1,1),((F75-OFFSET($BM$9,CN75+2,0,1,1))*OFFSET($CI$9,CN75+2,0,1,1))+OFFSET($BP$9,CN75+2,CQ75,1,1),IF(F75&lt;OFFSET($BN$9,CN75+3,0,1,1),((F75-OFFSET($BM$9,CN75+3,0,1,1))*OFFSET($CI$9,CN75+3,0,1,1))+OFFSET($BP$9,CN75+3,CQ75,1,1),0))))))</f>
        <v>0</v>
      </c>
      <c r="DJ75" s="51">
        <f ca="1">IF($F75&lt;OFFSET($BM$9,$CN75-1,0,1,1),0,IF($F75&lt;OFFSET($BN$9,$CN75-1,0,1,1),IF(AND($H75&gt;2.4,Z75&lt;&gt;"e",Z75&lt;&gt;"f"),DN75*2.4/$H75,DN75),IF($F75&lt;OFFSET($BN$9,$CN75+0,0,1,1),IF(AND($H75&gt;2.4,Z75&lt;&gt;"e",Z75&lt;&gt;"f"),DN75*2.4/$H75,DN75),IF($F75&lt;OFFSET($BN$9,$CN75+1,0,1,1),IF(AND($H75&gt;2.4,Z75&lt;&gt;"e",Z75&lt;&gt;"f"),DN75*2.4/$H75,DN75),IF($F75&lt;OFFSET($BN$9,$CN75+2,0,1,1),IF(AND($H75&gt;2.4,Z75&lt;&gt;"e",Z75&lt;&gt;"f"),DN75*2.4/$H75,DN75),IF($F75&lt;OFFSET($BN$9,$CN75+3,0,1,1),IF(AND($H75&gt;2.4,Z75&lt;&gt;"e",Z75&lt;&gt;"f"),DN75*2.4/$H75,DN75),0)))))*COS(RADIANS($G75)))</f>
        <v>0</v>
      </c>
      <c r="DK75" s="51"/>
      <c r="DL75" s="51">
        <f ca="1">IF(DG75&gt;$CR75,$CR75,DG75)</f>
        <v>0</v>
      </c>
      <c r="DM75" s="51"/>
      <c r="DN75" s="51">
        <f ca="1">IF(DI75&gt;$CR75,$CR75,DI75)</f>
        <v>0</v>
      </c>
      <c r="DO75" s="435">
        <f ca="1">IF(DH75&gt;$CR75,$CR75,DH75)</f>
        <v>0</v>
      </c>
      <c r="DP75" s="435">
        <f ca="1">DO75*F75</f>
        <v>0</v>
      </c>
      <c r="DQ75" s="436">
        <f ca="1">IF(DJ75&gt;$CR75,$CR75,DJ75)</f>
        <v>0</v>
      </c>
      <c r="DR75" s="437">
        <f ca="1">DQ75*F75</f>
        <v>0</v>
      </c>
      <c r="DS75" s="426">
        <f ca="1">OFFSET($CH$9,CL75-1,-15,1,1)</f>
        <v>0</v>
      </c>
      <c r="DT75" s="426">
        <f ca="1">VLOOKUP(DS75,Prodlink,2,0)</f>
        <v>0</v>
      </c>
      <c r="DU75" s="188">
        <f ca="1">IF(F75&lt;OFFSET($BM$9,DT75-1,0,1,1),0,IF(F75&lt;OFFSET($BN$9,DT75-1,0,1,1),((F75-OFFSET($BM$9,DT75-1,0,1,1))*OFFSET($CH$9,DT75-1,0,1,1))+OFFSET($BO$9,DT75-1,CQ75,1,1),IF(F75&lt;OFFSET($BN$9,DT75+0,0,1,1),((F75-OFFSET($BM$9,DT75+0,0,1,1))*OFFSET($CH$9,DT75+0,0,1,1))+OFFSET($BO$9,DT75+0,CQ75,1,1),IF(F75&lt;OFFSET($BN$9,DT75+1,0,1,1),((F75-OFFSET($BM$9,DT75+1,0,1,1))*OFFSET($CH$9,DT75+1,0,1,1))+OFFSET($BO$9,DT75+1,CQ75,1,1),IF(F75&lt;OFFSET($BN$9,DT75+2,0,1,1),((F75-OFFSET($BM$9,DT75+2,0,1,1))*OFFSET($CH$9,DT75+2,0,1,1))+OFFSET($BO$9,DT75+2,CQ75,1,1),IF(F75&lt;OFFSET($BN$9,DT75+3,0,1,1),((F75-OFFSET($BM$9,DT75+3,0,1,1))*OFFSET($CH$9,DT75+3,0,1,1))+OFFSET($BO$9,DT75+3,CQ75,1,1),0))))))</f>
        <v>0</v>
      </c>
      <c r="DV75" s="51">
        <f ca="1">IF($F75&lt;OFFSET($BM$9,$DT75-1,0,1,1),0,IF($F75&lt;OFFSET($BN$9,$DT75-1,0,1,1),IF(AND($H75&gt;2.4,Z75&lt;&gt;"e",Z75&lt;&gt;"f"),DZ75*2.4/$H75,DZ75),IF($F75&lt;OFFSET($BN$9,$DT75+0,0,1,1),IF(AND($H75&gt;2.4,Z75&lt;&gt;"e",Z75&lt;&gt;"f"),DZ75*2.4/$H75,DZ75),IF($F75&lt;OFFSET($BN$9,$DT75+1,0,1,1),IF(AND($H75&gt;2.4,Z75&lt;&gt;"e",Z75&lt;&gt;"f"),DZ75*2.4/$H75,DZ75),IF($F75&lt;OFFSET($BN$9,$DT75+2,0,1,1),IF(AND($H75&gt;2.4,Z75&lt;&gt;"e",Z75&lt;&gt;"f"),DZ75*2.4/$H75,DZ75),IF($F75&lt;OFFSET($BN$9,$DT75+3,0,1,1),IF(AND($H75&gt;2.4,Z75&lt;&gt;"e",Z75&lt;&gt;"f"),DZ75*2.4/$H75,DZ75),0)))))*COS(RADIANS($G75)))</f>
        <v>0</v>
      </c>
      <c r="DW75" s="188">
        <f ca="1">IF(F75&lt;OFFSET($BM$9,DT75-1,0,1,1),0,IF(F75&lt;OFFSET($BN$9,DT75-1,0,1,1),((F75-OFFSET($BM$9,DT75-1,0,1,1))*OFFSET($CI$9,DT75-1,0,1,1))+OFFSET($BP$9,DT75-1,CQ75,1,1),IF(F75&lt;OFFSET($BN$9,DT75+0,0,1,1),((F75-OFFSET($BM$9,DT75+0,0,1,1))*OFFSET($CI$9,DT75+0,0,1,1))+OFFSET($BP$9,DT75+0,CQ75,1,1),IF(F75&lt;OFFSET($BN$9,DT75+1,0,1,1),((F75-OFFSET($BM$9,DT75+1,0,1,1))*OFFSET($CI$9,DT75+1,0,1,1))+OFFSET($BP$9,DT75+1,CQ75,1,1),IF(F75&lt;OFFSET($BN$9,DT75+2,0,1,1),((F75-OFFSET($BM$9,DT75+2,0,1,1))*OFFSET($CI$9,DT75+2,0,1,1))+OFFSET($BP$9,DT75+2,CQ75,1,1),IF(F75&lt;OFFSET($BN$9,DT75+3,0,1,1),((F75-OFFSET($BM$9,DT75+3,0,1,1))*OFFSET($CI$9,DT75+3,0,1,1))+OFFSET($BP$9,DT75+3,CQ75,1,1),0))))))</f>
        <v>0</v>
      </c>
      <c r="DX75" s="51">
        <f ca="1">IF($F75&lt;OFFSET($BM$9,$DT75-1,0,1,1),0,IF($F75&lt;OFFSET($BN$9,$DT75-1,0,1,1),IF(AND($H75&gt;2.4,Z75&lt;&gt;"e",Z75&lt;&gt;"f"),EB75*2.4/$H75,EB75),IF($F75&lt;OFFSET($BN$9,$DT75+0,0,1,1),IF(AND($H75&gt;2.4,Z75&lt;&gt;"e",Z75&lt;&gt;"f"),EB75*2.4/$H75,EB75),IF($F75&lt;OFFSET($BN$9,$DT75+1,0,1,1),IF(AND($H75&gt;2.4,Z75&lt;&gt;"e",Z75&lt;&gt;"f"),EB75*2.4/$H75,EB75),IF($F75&lt;OFFSET($BN$9,$DT75+2,0,1,1),IF(AND($H75&gt;2.4,Z75&lt;&gt;"e",Z75&lt;&gt;"f"),EB75*2.4/$H75,EB75),IF($F75&lt;OFFSET($BN$9,$DT75+3,0,1,1),IF(AND($H75&gt;2.4,Z75&lt;&gt;"e",Z75&lt;&gt;"f"),EB75*2.4/$H75,EB75),0)))))*COS(RADIANS($G75)))</f>
        <v>0</v>
      </c>
      <c r="DY75" s="188"/>
      <c r="DZ75" s="188">
        <f ca="1">IF(DU75&gt;$CR75,$CR75,DU75)</f>
        <v>0</v>
      </c>
      <c r="EA75" s="188"/>
      <c r="EB75" s="188">
        <f ca="1">IF(DW75&gt;$CR75,$CR75,DW75)</f>
        <v>0</v>
      </c>
      <c r="EC75" s="435">
        <f ca="1">IF(DV75&gt;$CR75,$CR75,DV75)</f>
        <v>0</v>
      </c>
      <c r="ED75" s="435">
        <f ca="1">EC75*F75</f>
        <v>0</v>
      </c>
      <c r="EE75" s="436">
        <f ca="1">IF(DX75&gt;$CR75,$CR75,DX75)</f>
        <v>0</v>
      </c>
      <c r="EF75" s="437">
        <f ca="1">EE75*F75</f>
        <v>0</v>
      </c>
      <c r="EG75" s="613" t="str">
        <f>IF(D75=BG$12,BG$12,"")</f>
        <v/>
      </c>
      <c r="EH75" s="614" t="str">
        <f>IF(D75=BG$13,BG$13,"")</f>
        <v/>
      </c>
      <c r="EI75" s="611">
        <f>IF(EG75=BG$12,M75,0)</f>
        <v>0</v>
      </c>
      <c r="EJ75" s="451">
        <f>IF(EG75=BG$12,O75,0)</f>
        <v>0</v>
      </c>
      <c r="EK75" s="451">
        <f>IF(EH75=BG$13,M75,0)</f>
        <v>0</v>
      </c>
      <c r="EL75" s="612">
        <f>IF(EH75=BG$13,O75,0)</f>
        <v>0</v>
      </c>
      <c r="EM75" s="426" t="str">
        <f ca="1">IF(AND(Z75&lt;&gt;"t",Z75&lt;&gt;"f"),"",IF(AND(EN75=$BH$11,K75&lt;&gt;EN75),EM$4,IF(AND(EN75=$BH$12,K75=$BH$13),EM$4,IF(AND(EN75=$BH$12,K75=$BH$14),EM$4,IF(AND(EN75=$BH$13,K75=$BH$14),$EM$4,IF(EN75=$BH$14,$EM$4,""))))))</f>
        <v/>
      </c>
      <c r="EN75" s="489" t="str">
        <f>BG$24</f>
        <v>Earth</v>
      </c>
      <c r="EO75" s="426" t="str">
        <f>K75</f>
        <v xml:space="preserve"> </v>
      </c>
      <c r="EP75" s="497" t="str">
        <f ca="1">IF(AND(Z75&lt;&gt;"t",Z75&lt;&gt;"f"),"",IF(AND(EN75=$BH$14,K75&lt;&gt;EN75),EP$4,IF(AND(EN75=$BH$13,K75=$BH$12),EP$4,IF(AND(EN75=$BH$13,K75=$BH$11),EP$4,IF(AND(EN75=$BH$12,K75=$BH$11),$EP$4,IF(EN75=$BH$11,"Earth",""))))))</f>
        <v/>
      </c>
      <c r="EQ75" s="430" t="str">
        <f ca="1">IF(Z75&lt;&gt;"t","",IF(EQ$5=2,IF(K75&lt;&gt;BH$11,EQ$7," ")))</f>
        <v/>
      </c>
      <c r="ER75" s="439" t="str">
        <f ca="1">IF(H75=0," ",H75)</f>
        <v xml:space="preserve"> </v>
      </c>
      <c r="ES75" s="440" t="str">
        <f ca="1">IF(ER75&lt;&gt;" ",IF(ER75&lt;&gt;ER$7,"Changed",""),"")</f>
        <v/>
      </c>
      <c r="ET75" s="440">
        <f ca="1">IF(ER75&lt;&gt;" ",IF(ER75&lt;&gt;ER$7,1,0),0)</f>
        <v>0</v>
      </c>
      <c r="EU75" s="426" t="str">
        <f ca="1">IF(I75=" "," ",IF(F75&lt;OFFSET($BM$9,CL75-1,0,1,1),1,""))</f>
        <v xml:space="preserve"> </v>
      </c>
      <c r="EW75" s="427"/>
    </row>
    <row r="76" spans="1:153" ht="17.100000000000001" hidden="1" customHeight="1">
      <c r="A76" s="2685"/>
      <c r="B76" s="689" t="s">
        <v>246</v>
      </c>
      <c r="C76" s="684" t="str">
        <f>IF(OR(F76=0,I76="",I76=" ")," ",$V76)</f>
        <v xml:space="preserve"> </v>
      </c>
      <c r="D76" s="1033"/>
      <c r="E76" s="1360" t="s">
        <v>8</v>
      </c>
      <c r="F76" s="202"/>
      <c r="G76" s="1416"/>
      <c r="H76" s="1417" t="str">
        <f ca="1">IF(OR(F76=0,Z76="E",Z76="f")," ",'Project Demand'!E$55)</f>
        <v xml:space="preserve"> </v>
      </c>
      <c r="I76" s="631" t="str">
        <f>IF($I$6&lt;&gt;$BG$8," ",AB76)</f>
        <v xml:space="preserve"> </v>
      </c>
      <c r="J76" s="44" t="str">
        <f ca="1">IF(OR(I76=" ",I76="")," ",OFFSET($BO$9,CL76-1,0-4,1,1))</f>
        <v xml:space="preserve"> </v>
      </c>
      <c r="K76" s="55" t="str">
        <f>IF(OR(I76=" ",I76="")," ",IF(OR(Z76="e",Z76="h"),"SD",IF(BG$24=BH$11,BH$13,BG$24)))</f>
        <v xml:space="preserve"> </v>
      </c>
      <c r="L76" s="49">
        <f ca="1">CW76</f>
        <v>0</v>
      </c>
      <c r="M76" s="49">
        <f ca="1">CY76</f>
        <v>0</v>
      </c>
      <c r="N76" s="50">
        <f t="shared" ca="1" si="49"/>
        <v>0</v>
      </c>
      <c r="O76" s="126">
        <f t="shared" ca="1" si="49"/>
        <v>0</v>
      </c>
      <c r="P76" s="140"/>
      <c r="Q76" s="752" t="str">
        <f ca="1">IF(AND(OR(Z76="t",Z76="f"),K76=$BH$11),"No Floor!  Change Floor Type",IF(OR(I76=" ",I76="")," ",IF(F76&lt;OFFSET($BM$9,CL76-1,0,1,1),"check L(m)",DE76&amp;IF(AND(DP76&gt;=CY76,DR76&gt;=DB76),IF(AND(ED76&gt;=DP76,EF76&gt;=DR76),CONCATENATE(DS76," will provide same result"),CONCATENATE(CO76," will provide same result")),IF((DP76&gt;=CY76),CONCATENATE(CO76," provides same result in WIND"),IF((DR76&gt;=DB76),CONCATENATE(CO76," provides same result in EQ"),""))))))&amp;IF(ISERROR(FIND("pile",I76,1)),"",IF(INT(F76)&lt;&gt;F76,"Pile!  Use Whole Numbers Only",""))</f>
        <v xml:space="preserve"> </v>
      </c>
      <c r="R76" s="52"/>
      <c r="S76" s="1372"/>
      <c r="T76" s="1372"/>
      <c r="U76" s="1377"/>
      <c r="V76" s="52" t="str">
        <f ca="1">IF(AND(B$5=$BF$9,OR(I76=BH$16,I76=BH$17))," ",IF(ISNUMBER(B$74),(CONCATENATE(B$74,".",W76)),(CONCATENATE(B$74,W76))))</f>
        <v>X0</v>
      </c>
      <c r="W76" s="9">
        <f ca="1">W75+X76</f>
        <v>0</v>
      </c>
      <c r="X76" s="9">
        <f>IF(AND(B$5=$BF$9,OR($I76=$BH$16,$I76=$BH$17,$I76=" ",$I76="",$F76=0)),0,IF(OR($I76=" ",$I76="",$F76=0),0,1))</f>
        <v>0</v>
      </c>
      <c r="Y76" s="896"/>
      <c r="Z76" s="52" t="str">
        <f ca="1">IF(I76=" "," ",OFFSET($BM$9,$CL76-1,8,1,1))</f>
        <v xml:space="preserve"> </v>
      </c>
      <c r="AA76" s="51" t="str">
        <f>IF(G76&gt;=45,"WA","")</f>
        <v/>
      </c>
      <c r="AB76" s="1364" t="str">
        <f>IF(OR(E76=" ",E76="")," ",(IF(F76&lt;&gt;"",IF(OR(D76=$BG$12,D76=$BG$13),IF(E76&lt;&gt;$BG$17,$BF$20,$BF$21),IF(E76&lt;&gt;$BG$17,$BF$20,$BF$21))," ")))</f>
        <v xml:space="preserve"> </v>
      </c>
      <c r="AC76" s="1"/>
      <c r="AO76" s="51"/>
      <c r="AP76" s="51"/>
      <c r="AQ76" s="51"/>
      <c r="AR76" s="51"/>
      <c r="AS76" s="51"/>
      <c r="AT76" s="51"/>
      <c r="AU76" s="51"/>
      <c r="AV76" s="1"/>
      <c r="AW76" s="1"/>
      <c r="AX76" s="1"/>
      <c r="AY76" s="1"/>
      <c r="AZ76" s="1"/>
      <c r="BA76" s="1"/>
      <c r="BB76" s="1"/>
      <c r="BC76" s="1"/>
      <c r="BD76" s="652"/>
      <c r="BI76" s="1240"/>
      <c r="BJ76" s="897">
        <f t="shared" si="37"/>
        <v>68</v>
      </c>
      <c r="BK76" s="764"/>
      <c r="BL76" s="773"/>
      <c r="BM76" s="455">
        <f>Table!P18</f>
        <v>0.8</v>
      </c>
      <c r="BN76" s="455">
        <f>BM77</f>
        <v>0.9</v>
      </c>
      <c r="BO76" s="455">
        <f>Table!Q18</f>
        <v>140</v>
      </c>
      <c r="BP76" s="925">
        <f>Table!R18</f>
        <v>140</v>
      </c>
      <c r="BR76" s="764"/>
      <c r="BS76" s="455"/>
      <c r="BT76" s="455"/>
      <c r="BU76" s="925" t="s">
        <v>242</v>
      </c>
      <c r="BV76" s="895"/>
      <c r="BW76" s="912"/>
      <c r="BX76" s="925" t="str">
        <f>Table!T17</f>
        <v>Double</v>
      </c>
      <c r="CH76" s="764">
        <f>IF(BN76=999,0,(BO77-BO76)/(BN76-BM76))</f>
        <v>150.00000000000003</v>
      </c>
      <c r="CI76" s="925">
        <f>IF(BN76=999,0,(BP77-BP76)/(BN76-BM76))</f>
        <v>150.00000000000003</v>
      </c>
      <c r="CJ76" s="759"/>
      <c r="CK76" s="188"/>
      <c r="CL76" s="979">
        <f>VLOOKUP(I76,Prodlink,2,0)</f>
        <v>0</v>
      </c>
      <c r="CN76" s="497">
        <f ca="1">VLOOKUP(CO76,Prodlink,2,0)</f>
        <v>0</v>
      </c>
      <c r="CO76" s="497">
        <f ca="1">OFFSET($CH$9,CL76-1,-15,1,1)</f>
        <v>0</v>
      </c>
      <c r="CQ76" s="51">
        <v>0</v>
      </c>
      <c r="CR76" s="51">
        <f t="shared" ca="1" si="52"/>
        <v>10000</v>
      </c>
      <c r="CS76" s="51">
        <f ca="1">IF(F76&lt;OFFSET($BM$9,CL76-1,0,1,1),0,IF(F76&lt;OFFSET($BN$9,CL76-1,0,1,1),((F76-OFFSET($BM$9,CL76-1,0,1,1))*OFFSET($CH$9,CL76-1,0,1,1))+OFFSET($BO$9,CL76-1,CQ76,1,1),IF(F76&lt;OFFSET($BN$9,CL76+0,0,1,1),((F76-OFFSET($BM$9,CL76+0,0,1,1))*OFFSET($CH$9,CL76+0,0,1,1))+OFFSET($BO$9,CL76+0,CQ76,1,1),IF(F76&lt;OFFSET($BN$9,CL76+1,0,1,1),((F76-OFFSET($BM$9,CL76+1,0,1,1))*OFFSET($CH$9,CL76+1,0,1,1))+OFFSET($BO$9,CL76+1,CQ76,1,1),IF(F76&lt;OFFSET($BN$9,CL76+2,0,1,1),((F76-OFFSET($BM$9,CL76+2,0,1,1))*OFFSET($CH$9,CL76+2,0,1,1))+OFFSET($BO$9,CL76+2,CQ76,1,1),IF(F76&lt;OFFSET($BN$9,CL76+3,0,1,1),((F76-OFFSET($BM$9,CL76+3,0,1,1))*OFFSET($CH$9,CL76+3,0,1,1))+OFFSET($BO$9,CL76+3,CQ76,1,1),0))))))</f>
        <v>0</v>
      </c>
      <c r="CT76" s="51">
        <f ca="1">IF($F76&lt;OFFSET($BM$9,$CL76-1,0,1,1),0,IF($F76&lt;OFFSET($BN$9,$CL76-1,0,1,1),IF(AND($H76&gt;2.4,Z76&lt;&gt;"e",Z76&lt;&gt;"f"),CX76*2.4/$H76,CX76),IF($F76&lt;OFFSET($BN$9,$CL76+0,0,1,1),IF(AND($H76&gt;2.4,Z76&lt;&gt;"e",Z76&lt;&gt;"f"),CX76*2.4/$H76,CX76),IF($F76&lt;OFFSET($BN$9,$CL76+1,0,1,1),IF(AND($H76&gt;2.4,Z76&lt;&gt;"e",Z76&lt;&gt;"f"),CX76*2.4/$H76,CX76),IF($F76&lt;OFFSET($BN$9,CL76+2,0,1,1),IF(AND($H76&gt;2.4,Z76&lt;&gt;"e",Z76&lt;&gt;"f"),CX76*2.4/$H76,CX76),IF($F76&lt;OFFSET($BN$9,CL76+3,0,1,1),IF(AND($H76&gt;2.4,Z76&lt;&gt;"e",Z76&lt;&gt;"f"),CX76*2.4/$H76,CX76),0)))))*COS(RADIANS($G76)))</f>
        <v>0</v>
      </c>
      <c r="CU76" s="51">
        <f ca="1">IF(F76&lt;OFFSET($BM$9,CL76-1,0,1,1),0,IF(F76&lt;OFFSET($BN$9,CL76-1,0,1,1),((F76-OFFSET($BM$9,CL76-1,0,1,1))*OFFSET($CI$9,CL76-1,0,1,1))+OFFSET($BP$9,CL76-1,CQ76,1,1),IF(F76&lt;OFFSET($BN$9,CL76+0,0,1,1),((F76-OFFSET($BM$9,CL76+0,0,1,1))*OFFSET($CI$9,CL76+0,0,1,1))+OFFSET($BP$9,CL76+0,CQ76,1,1),IF(F76&lt;OFFSET($BN$9,CL76+1,0,1,1),((F76-OFFSET($BM$9,CL76+1,0,1,1))*OFFSET($CI$9,CL76+1,0,1,1))+OFFSET($BP$9,CL76+1,CQ76,1,1),IF(F76&lt;OFFSET($BN$9,CL76+2,0,1,1),((F76-OFFSET($BM$9,CL76+2,0,1,1))*OFFSET($CI$9,CL76+2,0,1,1))+OFFSET($BP$9,CL76+2,CQ76,1,1),IF(F76&lt;OFFSET($BN$9,CL76+3,0,1,1),((F76-OFFSET($BM$9,CL76+3,0,1,1))*OFFSET($CI$9,CL76+3,0,1,1))+OFFSET($BP$9,CL76+3,CQ76,1,1),0))))))</f>
        <v>0</v>
      </c>
      <c r="CV76" s="51">
        <f ca="1">IF($F76&lt;OFFSET($BM$9,$CL76-1,0,1,1),0,IF($F76&lt;OFFSET($BN$9,$CL76-1,0,1,1),IF(AND($H76&gt;2.4,Z76&lt;&gt;"e",Z76&lt;&gt;"f"),CZ76*2.4/$H76,CZ76),IF($F76&lt;OFFSET($BN$9,$CL76+0,0,1,1),IF(AND($H76&gt;2.4,Z76&lt;&gt;"e",Z76&lt;&gt;"f"),CZ76*2.4/$H76,CZ76),IF($F76&lt;OFFSET($BN$9,$CL76+1,0,1,1),IF(AND($H76&gt;2.4,Z76&lt;&gt;"e",Z76&lt;&gt;"f"),CZ76*2.4/$H76,CZ76),IF($F76&lt;OFFSET($BN$9,$CL76+2,0,1,1),IF(AND($H76&gt;2.4,Z76&lt;&gt;"e",Z76&lt;&gt;"f"),CZ76*2.4/$H76,CZ76),IF($F76&lt;OFFSET($BN$9,$CL76+3,0,1,1),IF(AND($H76&gt;2.4,Z76&lt;&gt;"e",Z76&lt;&gt;"f"),CZ76*2.4/$H76,CZ76),0)))))*COS(RADIANS($G76)))</f>
        <v>0</v>
      </c>
      <c r="CW76" s="51">
        <f ca="1">IF(CT76&gt;CR76,CR76,CT76)</f>
        <v>0</v>
      </c>
      <c r="CX76" s="51">
        <f ca="1">IF(CS76&gt;$CR76,$CR76,CS76)</f>
        <v>0</v>
      </c>
      <c r="CY76" s="51">
        <f ca="1">CW76*F76</f>
        <v>0</v>
      </c>
      <c r="CZ76" s="51">
        <f ca="1">IF($CU76&gt;$CR76,$CR76,$CU76)</f>
        <v>0</v>
      </c>
      <c r="DA76" s="51">
        <f ca="1">IF(CV76&gt;CR76,CR76,CV76)</f>
        <v>0</v>
      </c>
      <c r="DB76" s="51">
        <f ca="1">DA76*F76</f>
        <v>0</v>
      </c>
      <c r="DC76" s="993">
        <v>1</v>
      </c>
      <c r="DD76" s="758" t="str">
        <f>IF(OR(D76=BG$12,D76=BG$13),"External",IF(D76=BG$14,"Internal"," "))</f>
        <v xml:space="preserve"> </v>
      </c>
      <c r="DE76" s="51" t="str">
        <f t="shared" ca="1" si="50"/>
        <v/>
      </c>
      <c r="DF76" s="52" t="str">
        <f t="shared" ca="1" si="51"/>
        <v xml:space="preserve"> </v>
      </c>
      <c r="DG76" s="51">
        <f ca="1">IF(F76&lt;OFFSET($BM$9,CN76-1,0,1,1),0,IF(F76&lt;OFFSET($BN$9,CN76-1,0,1,1),((F76-OFFSET($BM$9,CN76-1,0,1,1))*OFFSET($CH$9,CN76-1,0,1,1))+OFFSET($BO$9,CN76-1,CQ76,1,1),IF(F76&lt;OFFSET($BN$9,CN76+0,0,1,1),((F76-OFFSET($BM$9,CN76+0,0,1,1))*OFFSET($CH$9,CN76+0,0,1,1))+OFFSET($BO$9,CN76+0,CQ76,1,1),IF(F76&lt;OFFSET($BN$9,CN76+1,0,1,1),((F76-OFFSET($BM$9,CN76+1,0,1,1))*OFFSET($CH$9,CN76+1,0,1,1))+OFFSET($BO$9,CN76+1,CQ76,1,1),IF(F76&lt;OFFSET($BN$9,CN76+2,0,1,1),((F76-OFFSET($BM$9,CN76+2,0,1,1))*OFFSET($CH$9,CN76+2,0,1,1))+OFFSET($BO$9,CN76+2,CQ76,1,1),IF(F76&lt;OFFSET($BN$9,CN76+3,0,1,1),((F76-OFFSET($BM$9,CN76+3,0,1,1))*OFFSET($CH$9,CN76+3,0,1,1))+OFFSET($BO$9,CN76+3,CQ76,1,1),0))))))</f>
        <v>0</v>
      </c>
      <c r="DH76" s="51">
        <f ca="1">IF($F76&lt;OFFSET($BM$9,$CN76-1,0,1,1),0,IF($F76&lt;OFFSET($BN$9,$CN76-1,0,1,1),IF(AND($H76&gt;2.4,Z76&lt;&gt;"e",Z76&lt;&gt;"f"),DL76*2.4/$H76,DL76),IF($F76&lt;OFFSET($BN$9,$CN76+0,0,1,1),IF(AND($H76&gt;2.4,Z76&lt;&gt;"e",Z76&lt;&gt;"f"),DL76*2.4/$H76,DL76),IF($F76&lt;OFFSET($BN$9,$CN76+1,0,1,1),IF(AND($H76&gt;2.4,Z76&lt;&gt;"e",Z76&lt;&gt;"f"),DL76*2.4/$H76,DL76),IF($F76&lt;OFFSET($BN$9,$CN76+2,0,1,1),IF(AND($H76&gt;2.4,Z76&lt;&gt;"e",Z76&lt;&gt;"f"),DL76*2.4/$H76,DL76),IF($F76&lt;OFFSET($BN$9,$CN76+3,0,1,1),IF(AND($H76&gt;2.4,Z76&lt;&gt;"e",Z76&lt;&gt;"f"),DL76*2.4/$H76,DL76),0)))))*COS(RADIANS($G76)))</f>
        <v>0</v>
      </c>
      <c r="DI76" s="51">
        <f ca="1">IF(F76&lt;OFFSET($BM$9,CN76-1,0,1,1),0,IF(F76&lt;OFFSET($BN$9,CN76-1,0,1,1),((F76-OFFSET($BM$9,CN76-1,0,1,1))*OFFSET($CI$9,CN76-1,0,1,1))+OFFSET($BP$9,CN76-1,CQ76,1,1),IF(F76&lt;OFFSET($BN$9,CN76+0,0,1,1),((F76-OFFSET($BM$9,CN76+0,0,1,1))*OFFSET($CI$9,CN76+0,0,1,1))+OFFSET($BP$9,CN76+0,CQ76,1,1),IF(F76&lt;OFFSET($BN$9,CN76+1,0,1,1),((F76-OFFSET($BM$9,CN76+1,0,1,1))*OFFSET($CI$9,CN76+1,0,1,1))+OFFSET($BP$9,CN76+1,CQ76,1,1),IF(F76&lt;OFFSET($BN$9,CN76+2,0,1,1),((F76-OFFSET($BM$9,CN76+2,0,1,1))*OFFSET($CI$9,CN76+2,0,1,1))+OFFSET($BP$9,CN76+2,CQ76,1,1),IF(F76&lt;OFFSET($BN$9,CN76+3,0,1,1),((F76-OFFSET($BM$9,CN76+3,0,1,1))*OFFSET($CI$9,CN76+3,0,1,1))+OFFSET($BP$9,CN76+3,CQ76,1,1),0))))))</f>
        <v>0</v>
      </c>
      <c r="DJ76" s="51">
        <f ca="1">IF($F76&lt;OFFSET($BM$9,$CN76-1,0,1,1),0,IF($F76&lt;OFFSET($BN$9,$CN76-1,0,1,1),IF(AND($H76&gt;2.4,Z76&lt;&gt;"e",Z76&lt;&gt;"f"),DN76*2.4/$H76,DN76),IF($F76&lt;OFFSET($BN$9,$CN76+0,0,1,1),IF(AND($H76&gt;2.4,Z76&lt;&gt;"e",Z76&lt;&gt;"f"),DN76*2.4/$H76,DN76),IF($F76&lt;OFFSET($BN$9,$CN76+1,0,1,1),IF(AND($H76&gt;2.4,Z76&lt;&gt;"e",Z76&lt;&gt;"f"),DN76*2.4/$H76,DN76),IF($F76&lt;OFFSET($BN$9,$CN76+2,0,1,1),IF(AND($H76&gt;2.4,Z76&lt;&gt;"e",Z76&lt;&gt;"f"),DN76*2.4/$H76,DN76),IF($F76&lt;OFFSET($BN$9,$CN76+3,0,1,1),IF(AND($H76&gt;2.4,Z76&lt;&gt;"e",Z76&lt;&gt;"f"),DN76*2.4/$H76,DN76),0)))))*COS(RADIANS($G76)))</f>
        <v>0</v>
      </c>
      <c r="DK76" s="51"/>
      <c r="DL76" s="51">
        <f ca="1">IF(DG76&gt;$CR76,$CR76,DG76)</f>
        <v>0</v>
      </c>
      <c r="DM76" s="51"/>
      <c r="DN76" s="51">
        <f ca="1">IF(DI76&gt;$CR76,$CR76,DI76)</f>
        <v>0</v>
      </c>
      <c r="DO76" s="435">
        <f ca="1">IF(DH76&gt;$CR76,$CR76,DH76)</f>
        <v>0</v>
      </c>
      <c r="DP76" s="435">
        <f ca="1">DO76*F76</f>
        <v>0</v>
      </c>
      <c r="DQ76" s="436">
        <f ca="1">IF(DJ76&gt;$CR76,$CR76,DJ76)</f>
        <v>0</v>
      </c>
      <c r="DR76" s="437">
        <f ca="1">DQ76*F76</f>
        <v>0</v>
      </c>
      <c r="DS76" s="426">
        <f ca="1">OFFSET($CH$9,CL76-1,-15,1,1)</f>
        <v>0</v>
      </c>
      <c r="DT76" s="426">
        <f ca="1">VLOOKUP(DS76,Prodlink,2,0)</f>
        <v>0</v>
      </c>
      <c r="DU76" s="188">
        <f ca="1">IF(F76&lt;OFFSET($BM$9,DT76-1,0,1,1),0,IF(F76&lt;OFFSET($BN$9,DT76-1,0,1,1),((F76-OFFSET($BM$9,DT76-1,0,1,1))*OFFSET($CH$9,DT76-1,0,1,1))+OFFSET($BO$9,DT76-1,CQ76,1,1),IF(F76&lt;OFFSET($BN$9,DT76+0,0,1,1),((F76-OFFSET($BM$9,DT76+0,0,1,1))*OFFSET($CH$9,DT76+0,0,1,1))+OFFSET($BO$9,DT76+0,CQ76,1,1),IF(F76&lt;OFFSET($BN$9,DT76+1,0,1,1),((F76-OFFSET($BM$9,DT76+1,0,1,1))*OFFSET($CH$9,DT76+1,0,1,1))+OFFSET($BO$9,DT76+1,CQ76,1,1),IF(F76&lt;OFFSET($BN$9,DT76+2,0,1,1),((F76-OFFSET($BM$9,DT76+2,0,1,1))*OFFSET($CH$9,DT76+2,0,1,1))+OFFSET($BO$9,DT76+2,CQ76,1,1),IF(F76&lt;OFFSET($BN$9,DT76+3,0,1,1),((F76-OFFSET($BM$9,DT76+3,0,1,1))*OFFSET($CH$9,DT76+3,0,1,1))+OFFSET($BO$9,DT76+3,CQ76,1,1),0))))))</f>
        <v>0</v>
      </c>
      <c r="DV76" s="51">
        <f ca="1">IF($F76&lt;OFFSET($BM$9,$DT76-1,0,1,1),0,IF($F76&lt;OFFSET($BN$9,$DT76-1,0,1,1),IF(AND($H76&gt;2.4,Z76&lt;&gt;"e",Z76&lt;&gt;"f"),DZ76*2.4/$H76,DZ76),IF($F76&lt;OFFSET($BN$9,$DT76+0,0,1,1),IF(AND($H76&gt;2.4,Z76&lt;&gt;"e",Z76&lt;&gt;"f"),DZ76*2.4/$H76,DZ76),IF($F76&lt;OFFSET($BN$9,$DT76+1,0,1,1),IF(AND($H76&gt;2.4,Z76&lt;&gt;"e",Z76&lt;&gt;"f"),DZ76*2.4/$H76,DZ76),IF($F76&lt;OFFSET($BN$9,$DT76+2,0,1,1),IF(AND($H76&gt;2.4,Z76&lt;&gt;"e",Z76&lt;&gt;"f"),DZ76*2.4/$H76,DZ76),IF($F76&lt;OFFSET($BN$9,$DT76+3,0,1,1),IF(AND($H76&gt;2.4,Z76&lt;&gt;"e",Z76&lt;&gt;"f"),DZ76*2.4/$H76,DZ76),0)))))*COS(RADIANS($G76)))</f>
        <v>0</v>
      </c>
      <c r="DW76" s="188">
        <f ca="1">IF(F76&lt;OFFSET($BM$9,DT76-1,0,1,1),0,IF(F76&lt;OFFSET($BN$9,DT76-1,0,1,1),((F76-OFFSET($BM$9,DT76-1,0,1,1))*OFFSET($CI$9,DT76-1,0,1,1))+OFFSET($BP$9,DT76-1,CQ76,1,1),IF(F76&lt;OFFSET($BN$9,DT76+0,0,1,1),((F76-OFFSET($BM$9,DT76+0,0,1,1))*OFFSET($CI$9,DT76+0,0,1,1))+OFFSET($BP$9,DT76+0,CQ76,1,1),IF(F76&lt;OFFSET($BN$9,DT76+1,0,1,1),((F76-OFFSET($BM$9,DT76+1,0,1,1))*OFFSET($CI$9,DT76+1,0,1,1))+OFFSET($BP$9,DT76+1,CQ76,1,1),IF(F76&lt;OFFSET($BN$9,DT76+2,0,1,1),((F76-OFFSET($BM$9,DT76+2,0,1,1))*OFFSET($CI$9,DT76+2,0,1,1))+OFFSET($BP$9,DT76+2,CQ76,1,1),IF(F76&lt;OFFSET($BN$9,DT76+3,0,1,1),((F76-OFFSET($BM$9,DT76+3,0,1,1))*OFFSET($CI$9,DT76+3,0,1,1))+OFFSET($BP$9,DT76+3,CQ76,1,1),0))))))</f>
        <v>0</v>
      </c>
      <c r="DX76" s="51">
        <f ca="1">IF($F76&lt;OFFSET($BM$9,$DT76-1,0,1,1),0,IF($F76&lt;OFFSET($BN$9,$DT76-1,0,1,1),IF(AND($H76&gt;2.4,Z76&lt;&gt;"e",Z76&lt;&gt;"f"),EB76*2.4/$H76,EB76),IF($F76&lt;OFFSET($BN$9,$DT76+0,0,1,1),IF(AND($H76&gt;2.4,Z76&lt;&gt;"e",Z76&lt;&gt;"f"),EB76*2.4/$H76,EB76),IF($F76&lt;OFFSET($BN$9,$DT76+1,0,1,1),IF(AND($H76&gt;2.4,Z76&lt;&gt;"e",Z76&lt;&gt;"f"),EB76*2.4/$H76,EB76),IF($F76&lt;OFFSET($BN$9,$DT76+2,0,1,1),IF(AND($H76&gt;2.4,Z76&lt;&gt;"e",Z76&lt;&gt;"f"),EB76*2.4/$H76,EB76),IF($F76&lt;OFFSET($BN$9,$DT76+3,0,1,1),IF(AND($H76&gt;2.4,Z76&lt;&gt;"e",Z76&lt;&gt;"f"),EB76*2.4/$H76,EB76),0)))))*COS(RADIANS($G76)))</f>
        <v>0</v>
      </c>
      <c r="DY76" s="188"/>
      <c r="DZ76" s="188">
        <f ca="1">IF(DU76&gt;$CR76,$CR76,DU76)</f>
        <v>0</v>
      </c>
      <c r="EA76" s="188"/>
      <c r="EB76" s="188">
        <f ca="1">IF(DW76&gt;$CR76,$CR76,DW76)</f>
        <v>0</v>
      </c>
      <c r="EC76" s="435">
        <f ca="1">IF(DV76&gt;$CR76,$CR76,DV76)</f>
        <v>0</v>
      </c>
      <c r="ED76" s="435">
        <f ca="1">EC76*F76</f>
        <v>0</v>
      </c>
      <c r="EE76" s="436">
        <f ca="1">IF(DX76&gt;$CR76,$CR76,DX76)</f>
        <v>0</v>
      </c>
      <c r="EF76" s="437">
        <f ca="1">EE76*F76</f>
        <v>0</v>
      </c>
      <c r="EG76" s="613" t="str">
        <f>IF(D76=BG$12,BG$12,"")</f>
        <v/>
      </c>
      <c r="EH76" s="614" t="str">
        <f>IF(D76=BG$13,BG$13,"")</f>
        <v/>
      </c>
      <c r="EI76" s="611">
        <f>IF(EG76=BG$12,M76,0)</f>
        <v>0</v>
      </c>
      <c r="EJ76" s="451">
        <f>IF(EG76=BG$12,O76,0)</f>
        <v>0</v>
      </c>
      <c r="EK76" s="451">
        <f>IF(EH76=BG$13,M76,0)</f>
        <v>0</v>
      </c>
      <c r="EL76" s="612">
        <f>IF(EH76=BG$13,O76,0)</f>
        <v>0</v>
      </c>
      <c r="EM76" s="426" t="str">
        <f ca="1">IF(AND(Z76&lt;&gt;"t",Z76&lt;&gt;"f"),"",IF(AND(EN76=$BH$11,K76&lt;&gt;EN76),EM$4,IF(AND(EN76=$BH$12,K76=$BH$13),EM$4,IF(AND(EN76=$BH$12,K76=$BH$14),EM$4,IF(AND(EN76=$BH$13,K76=$BH$14),$EM$4,IF(EN76=$BH$14,$EM$4,""))))))</f>
        <v/>
      </c>
      <c r="EN76" s="489" t="str">
        <f>BG$24</f>
        <v>Earth</v>
      </c>
      <c r="EO76" s="426" t="str">
        <f>K76</f>
        <v xml:space="preserve"> </v>
      </c>
      <c r="EP76" s="497" t="str">
        <f ca="1">IF(AND(Z76&lt;&gt;"t",Z76&lt;&gt;"f"),"",IF(AND(EN76=$BH$14,K76&lt;&gt;EN76),EP$4,IF(AND(EN76=$BH$13,K76=$BH$12),EP$4,IF(AND(EN76=$BH$13,K76=$BH$11),EP$4,IF(AND(EN76=$BH$12,K76=$BH$11),$EP$4,IF(EN76=$BH$11,"Earth",""))))))</f>
        <v/>
      </c>
      <c r="EQ76" s="430" t="str">
        <f ca="1">IF(Z76&lt;&gt;"t","",IF(EQ$5=2,IF(K76&lt;&gt;BH$11,EQ$7," ")))</f>
        <v/>
      </c>
      <c r="ER76" s="439" t="str">
        <f ca="1">IF(H76=0," ",H76)</f>
        <v xml:space="preserve"> </v>
      </c>
      <c r="ES76" s="440" t="str">
        <f ca="1">IF(ER76&lt;&gt;" ",IF(ER76&lt;&gt;ER$7,"Changed",""),"")</f>
        <v/>
      </c>
      <c r="ET76" s="440">
        <f ca="1">IF(ER76&lt;&gt;" ",IF(ER76&lt;&gt;ER$7,1,0),0)</f>
        <v>0</v>
      </c>
      <c r="EU76" s="426" t="str">
        <f ca="1">IF(I76=" "," ",IF(F76&lt;OFFSET($BM$9,CL76-1,0,1,1),1,""))</f>
        <v xml:space="preserve"> </v>
      </c>
      <c r="EW76" s="427"/>
    </row>
    <row r="77" spans="1:153" ht="17.100000000000001" hidden="1" customHeight="1">
      <c r="A77" s="2685"/>
      <c r="B77" s="689" t="s">
        <v>246</v>
      </c>
      <c r="C77" s="684" t="str">
        <f>IF(OR(F77=0,I77="",I77=" ")," ",$V77)</f>
        <v xml:space="preserve"> </v>
      </c>
      <c r="D77" s="1033"/>
      <c r="E77" s="1360" t="s">
        <v>8</v>
      </c>
      <c r="F77" s="202"/>
      <c r="G77" s="1416"/>
      <c r="H77" s="1417" t="str">
        <f ca="1">IF(OR(F77=0,Z77="E",Z77="f")," ",'Project Demand'!E$55)</f>
        <v xml:space="preserve"> </v>
      </c>
      <c r="I77" s="631" t="str">
        <f>IF($I$6&lt;&gt;$BG$8," ",AB77)</f>
        <v xml:space="preserve"> </v>
      </c>
      <c r="J77" s="44" t="str">
        <f ca="1">IF(OR(I77=" ",I77="")," ",OFFSET($BO$9,CL77-1,0-4,1,1))</f>
        <v xml:space="preserve"> </v>
      </c>
      <c r="K77" s="55" t="str">
        <f>IF(OR(I77=" ",I77="")," ",IF(OR(Z77="e",Z77="h"),"SD",IF(BG$24=BH$11,BH$13,BG$24)))</f>
        <v xml:space="preserve"> </v>
      </c>
      <c r="L77" s="49">
        <f ca="1">CW77</f>
        <v>0</v>
      </c>
      <c r="M77" s="49">
        <f ca="1">CY77</f>
        <v>0</v>
      </c>
      <c r="N77" s="50">
        <f t="shared" ca="1" si="49"/>
        <v>0</v>
      </c>
      <c r="O77" s="126">
        <f t="shared" ca="1" si="49"/>
        <v>0</v>
      </c>
      <c r="P77" s="140"/>
      <c r="Q77" s="752" t="str">
        <f ca="1">IF(AND(OR(Z77="t",Z77="f"),K77=$BH$11),"No Floor!  Change Floor Type",IF(OR(I77=" ",I77="")," ",IF(F77&lt;OFFSET($BM$9,CL77-1,0,1,1),"check L(m)",DE77&amp;IF(AND(DP77&gt;=CY77,DR77&gt;=DB77),IF(AND(ED77&gt;=DP77,EF77&gt;=DR77),CONCATENATE(DS77," will provide same result"),CONCATENATE(CO77," will provide same result")),IF((DP77&gt;=CY77),CONCATENATE(CO77," provides same result in WIND"),IF((DR77&gt;=DB77),CONCATENATE(CO77," provides same result in EQ"),""))))))&amp;IF(ISERROR(FIND("pile",I77,1)),"",IF(INT(F77)&lt;&gt;F77,"Pile!  Use Whole Numbers Only",""))</f>
        <v xml:space="preserve"> </v>
      </c>
      <c r="R77" s="52"/>
      <c r="S77" s="1372"/>
      <c r="T77" s="1372"/>
      <c r="U77" s="1377"/>
      <c r="V77" s="52" t="str">
        <f ca="1">IF(AND(B$5=$BF$9,OR(I77=BH$16,I77=BH$17))," ",IF(ISNUMBER(B$74),(CONCATENATE(B$74,".",W77)),(CONCATENATE(B$74,W77))))</f>
        <v>X0</v>
      </c>
      <c r="W77" s="9">
        <f ca="1">W76+X77</f>
        <v>0</v>
      </c>
      <c r="X77" s="9">
        <f>IF(AND(B$5=$BF$9,OR($I77=$BH$16,$I77=$BH$17,$I77=" ",$I77="",$F77=0)),0,IF(OR($I77=" ",$I77="",$F77=0),0,1))</f>
        <v>0</v>
      </c>
      <c r="Y77" s="896"/>
      <c r="Z77" s="52" t="str">
        <f ca="1">IF(I77=" "," ",OFFSET($BM$9,$CL77-1,8,1,1))</f>
        <v xml:space="preserve"> </v>
      </c>
      <c r="AA77" s="51" t="str">
        <f>IF(G77&gt;=45,"WA","")</f>
        <v/>
      </c>
      <c r="AB77" s="1364" t="str">
        <f>IF(OR(E77=" ",E77="")," ",(IF(F77&lt;&gt;"",IF(OR(D77=$BG$12,D77=$BG$13),IF(E77&lt;&gt;$BG$17,$BF$20,$BF$21),IF(E77&lt;&gt;$BG$17,$BF$20,$BF$21))," ")))</f>
        <v xml:space="preserve"> </v>
      </c>
      <c r="AC77" s="1"/>
      <c r="AO77" s="51"/>
      <c r="AP77" s="51"/>
      <c r="AQ77" s="51"/>
      <c r="AR77" s="51"/>
      <c r="AS77" s="51"/>
      <c r="AT77" s="51"/>
      <c r="AU77" s="51"/>
      <c r="AV77" s="1"/>
      <c r="AW77" s="1"/>
      <c r="AX77" s="1"/>
      <c r="AY77" s="1"/>
      <c r="AZ77" s="1"/>
      <c r="BA77" s="1"/>
      <c r="BB77" s="1"/>
      <c r="BC77" s="1"/>
      <c r="BD77" s="652"/>
      <c r="BI77" s="759"/>
      <c r="BJ77" s="897">
        <f t="shared" si="37"/>
        <v>69</v>
      </c>
      <c r="BK77" s="764"/>
      <c r="BL77" s="773"/>
      <c r="BM77" s="455">
        <f>Table!P19</f>
        <v>0.9</v>
      </c>
      <c r="BN77" s="455">
        <f>BM78</f>
        <v>1.2</v>
      </c>
      <c r="BO77" s="455">
        <f>Table!Q19</f>
        <v>155</v>
      </c>
      <c r="BP77" s="925">
        <f>Table!R19</f>
        <v>155</v>
      </c>
      <c r="BR77" s="764"/>
      <c r="BS77" s="455"/>
      <c r="BT77" s="455"/>
      <c r="BU77" s="925" t="s">
        <v>242</v>
      </c>
      <c r="BV77" s="895"/>
      <c r="BW77" s="912"/>
      <c r="BX77" s="925" t="str">
        <f>Table!T17</f>
        <v>Double</v>
      </c>
      <c r="CH77" s="764">
        <f>IF(BN77=999,0,(BO78-BO77)/(BN77-BM77))</f>
        <v>0</v>
      </c>
      <c r="CI77" s="925">
        <f>IF(BN77=999,0,(BP78-BP77)/(BN77-BM77))</f>
        <v>0</v>
      </c>
      <c r="CJ77" s="759"/>
      <c r="CK77" s="188"/>
      <c r="CL77" s="979">
        <f>VLOOKUP(I77,Prodlink,2,0)</f>
        <v>0</v>
      </c>
      <c r="CN77" s="497">
        <f ca="1">VLOOKUP(CO77,Prodlink,2,0)</f>
        <v>0</v>
      </c>
      <c r="CO77" s="497">
        <f ca="1">OFFSET($CH$9,CL77-1,-15,1,1)</f>
        <v>0</v>
      </c>
      <c r="CQ77" s="51">
        <v>0</v>
      </c>
      <c r="CR77" s="51">
        <f t="shared" ca="1" si="52"/>
        <v>10000</v>
      </c>
      <c r="CS77" s="51">
        <f ca="1">IF(F77&lt;OFFSET($BM$9,CL77-1,0,1,1),0,IF(F77&lt;OFFSET($BN$9,CL77-1,0,1,1),((F77-OFFSET($BM$9,CL77-1,0,1,1))*OFFSET($CH$9,CL77-1,0,1,1))+OFFSET($BO$9,CL77-1,CQ77,1,1),IF(F77&lt;OFFSET($BN$9,CL77+0,0,1,1),((F77-OFFSET($BM$9,CL77+0,0,1,1))*OFFSET($CH$9,CL77+0,0,1,1))+OFFSET($BO$9,CL77+0,CQ77,1,1),IF(F77&lt;OFFSET($BN$9,CL77+1,0,1,1),((F77-OFFSET($BM$9,CL77+1,0,1,1))*OFFSET($CH$9,CL77+1,0,1,1))+OFFSET($BO$9,CL77+1,CQ77,1,1),IF(F77&lt;OFFSET($BN$9,CL77+2,0,1,1),((F77-OFFSET($BM$9,CL77+2,0,1,1))*OFFSET($CH$9,CL77+2,0,1,1))+OFFSET($BO$9,CL77+2,CQ77,1,1),IF(F77&lt;OFFSET($BN$9,CL77+3,0,1,1),((F77-OFFSET($BM$9,CL77+3,0,1,1))*OFFSET($CH$9,CL77+3,0,1,1))+OFFSET($BO$9,CL77+3,CQ77,1,1),0))))))</f>
        <v>0</v>
      </c>
      <c r="CT77" s="51">
        <f ca="1">IF($F77&lt;OFFSET($BM$9,$CL77-1,0,1,1),0,IF($F77&lt;OFFSET($BN$9,$CL77-1,0,1,1),IF(AND($H77&gt;2.4,Z77&lt;&gt;"e",Z77&lt;&gt;"f"),CX77*2.4/$H77,CX77),IF($F77&lt;OFFSET($BN$9,$CL77+0,0,1,1),IF(AND($H77&gt;2.4,Z77&lt;&gt;"e",Z77&lt;&gt;"f"),CX77*2.4/$H77,CX77),IF($F77&lt;OFFSET($BN$9,$CL77+1,0,1,1),IF(AND($H77&gt;2.4,Z77&lt;&gt;"e",Z77&lt;&gt;"f"),CX77*2.4/$H77,CX77),IF($F77&lt;OFFSET($BN$9,CL77+2,0,1,1),IF(AND($H77&gt;2.4,Z77&lt;&gt;"e",Z77&lt;&gt;"f"),CX77*2.4/$H77,CX77),IF($F77&lt;OFFSET($BN$9,CL77+3,0,1,1),IF(AND($H77&gt;2.4,Z77&lt;&gt;"e",Z77&lt;&gt;"f"),CX77*2.4/$H77,CX77),0)))))*COS(RADIANS($G77)))</f>
        <v>0</v>
      </c>
      <c r="CU77" s="51">
        <f ca="1">IF(F77&lt;OFFSET($BM$9,CL77-1,0,1,1),0,IF(F77&lt;OFFSET($BN$9,CL77-1,0,1,1),((F77-OFFSET($BM$9,CL77-1,0,1,1))*OFFSET($CI$9,CL77-1,0,1,1))+OFFSET($BP$9,CL77-1,CQ77,1,1),IF(F77&lt;OFFSET($BN$9,CL77+0,0,1,1),((F77-OFFSET($BM$9,CL77+0,0,1,1))*OFFSET($CI$9,CL77+0,0,1,1))+OFFSET($BP$9,CL77+0,CQ77,1,1),IF(F77&lt;OFFSET($BN$9,CL77+1,0,1,1),((F77-OFFSET($BM$9,CL77+1,0,1,1))*OFFSET($CI$9,CL77+1,0,1,1))+OFFSET($BP$9,CL77+1,CQ77,1,1),IF(F77&lt;OFFSET($BN$9,CL77+2,0,1,1),((F77-OFFSET($BM$9,CL77+2,0,1,1))*OFFSET($CI$9,CL77+2,0,1,1))+OFFSET($BP$9,CL77+2,CQ77,1,1),IF(F77&lt;OFFSET($BN$9,CL77+3,0,1,1),((F77-OFFSET($BM$9,CL77+3,0,1,1))*OFFSET($CI$9,CL77+3,0,1,1))+OFFSET($BP$9,CL77+3,CQ77,1,1),0))))))</f>
        <v>0</v>
      </c>
      <c r="CV77" s="51">
        <f ca="1">IF($F77&lt;OFFSET($BM$9,$CL77-1,0,1,1),0,IF($F77&lt;OFFSET($BN$9,$CL77-1,0,1,1),IF(AND($H77&gt;2.4,Z77&lt;&gt;"e",Z77&lt;&gt;"f"),CZ77*2.4/$H77,CZ77),IF($F77&lt;OFFSET($BN$9,$CL77+0,0,1,1),IF(AND($H77&gt;2.4,Z77&lt;&gt;"e",Z77&lt;&gt;"f"),CZ77*2.4/$H77,CZ77),IF($F77&lt;OFFSET($BN$9,$CL77+1,0,1,1),IF(AND($H77&gt;2.4,Z77&lt;&gt;"e",Z77&lt;&gt;"f"),CZ77*2.4/$H77,CZ77),IF($F77&lt;OFFSET($BN$9,$CL77+2,0,1,1),IF(AND($H77&gt;2.4,Z77&lt;&gt;"e",Z77&lt;&gt;"f"),CZ77*2.4/$H77,CZ77),IF($F77&lt;OFFSET($BN$9,$CL77+3,0,1,1),IF(AND($H77&gt;2.4,Z77&lt;&gt;"e",Z77&lt;&gt;"f"),CZ77*2.4/$H77,CZ77),0)))))*COS(RADIANS($G77)))</f>
        <v>0</v>
      </c>
      <c r="CW77" s="51">
        <f ca="1">IF(CT77&gt;CR77,CR77,CT77)</f>
        <v>0</v>
      </c>
      <c r="CX77" s="51">
        <f ca="1">IF(CS77&gt;$CR77,$CR77,CS77)</f>
        <v>0</v>
      </c>
      <c r="CY77" s="51">
        <f ca="1">CW77*F77</f>
        <v>0</v>
      </c>
      <c r="CZ77" s="51">
        <f ca="1">IF($CU77&gt;$CR77,$CR77,$CU77)</f>
        <v>0</v>
      </c>
      <c r="DA77" s="51">
        <f ca="1">IF(CV77&gt;CR77,CR77,CV77)</f>
        <v>0</v>
      </c>
      <c r="DB77" s="51">
        <f ca="1">DA77*F77</f>
        <v>0</v>
      </c>
      <c r="DC77" s="993">
        <v>1</v>
      </c>
      <c r="DD77" s="758" t="str">
        <f>IF(OR(D77=BG$12,D77=BG$13),"External",IF(D77=BG$14,"Internal"," "))</f>
        <v xml:space="preserve"> </v>
      </c>
      <c r="DE77" s="51" t="str">
        <f t="shared" ca="1" si="50"/>
        <v/>
      </c>
      <c r="DF77" s="52" t="str">
        <f t="shared" ca="1" si="51"/>
        <v xml:space="preserve"> </v>
      </c>
      <c r="DG77" s="51">
        <f ca="1">IF(F77&lt;OFFSET($BM$9,CN77-1,0,1,1),0,IF(F77&lt;OFFSET($BN$9,CN77-1,0,1,1),((F77-OFFSET($BM$9,CN77-1,0,1,1))*OFFSET($CH$9,CN77-1,0,1,1))+OFFSET($BO$9,CN77-1,CQ77,1,1),IF(F77&lt;OFFSET($BN$9,CN77+0,0,1,1),((F77-OFFSET($BM$9,CN77+0,0,1,1))*OFFSET($CH$9,CN77+0,0,1,1))+OFFSET($BO$9,CN77+0,CQ77,1,1),IF(F77&lt;OFFSET($BN$9,CN77+1,0,1,1),((F77-OFFSET($BM$9,CN77+1,0,1,1))*OFFSET($CH$9,CN77+1,0,1,1))+OFFSET($BO$9,CN77+1,CQ77,1,1),IF(F77&lt;OFFSET($BN$9,CN77+2,0,1,1),((F77-OFFSET($BM$9,CN77+2,0,1,1))*OFFSET($CH$9,CN77+2,0,1,1))+OFFSET($BO$9,CN77+2,CQ77,1,1),IF(F77&lt;OFFSET($BN$9,CN77+3,0,1,1),((F77-OFFSET($BM$9,CN77+3,0,1,1))*OFFSET($CH$9,CN77+3,0,1,1))+OFFSET($BO$9,CN77+3,CQ77,1,1),0))))))</f>
        <v>0</v>
      </c>
      <c r="DH77" s="51">
        <f ca="1">IF($F77&lt;OFFSET($BM$9,$CN77-1,0,1,1),0,IF($F77&lt;OFFSET($BN$9,$CN77-1,0,1,1),IF(AND($H77&gt;2.4,Z77&lt;&gt;"e",Z77&lt;&gt;"f"),DL77*2.4/$H77,DL77),IF($F77&lt;OFFSET($BN$9,$CN77+0,0,1,1),IF(AND($H77&gt;2.4,Z77&lt;&gt;"e",Z77&lt;&gt;"f"),DL77*2.4/$H77,DL77),IF($F77&lt;OFFSET($BN$9,$CN77+1,0,1,1),IF(AND($H77&gt;2.4,Z77&lt;&gt;"e",Z77&lt;&gt;"f"),DL77*2.4/$H77,DL77),IF($F77&lt;OFFSET($BN$9,$CN77+2,0,1,1),IF(AND($H77&gt;2.4,Z77&lt;&gt;"e",Z77&lt;&gt;"f"),DL77*2.4/$H77,DL77),IF($F77&lt;OFFSET($BN$9,$CN77+3,0,1,1),IF(AND($H77&gt;2.4,Z77&lt;&gt;"e",Z77&lt;&gt;"f"),DL77*2.4/$H77,DL77),0)))))*COS(RADIANS($G77)))</f>
        <v>0</v>
      </c>
      <c r="DI77" s="51">
        <f ca="1">IF(F77&lt;OFFSET($BM$9,CN77-1,0,1,1),0,IF(F77&lt;OFFSET($BN$9,CN77-1,0,1,1),((F77-OFFSET($BM$9,CN77-1,0,1,1))*OFFSET($CI$9,CN77-1,0,1,1))+OFFSET($BP$9,CN77-1,CQ77,1,1),IF(F77&lt;OFFSET($BN$9,CN77+0,0,1,1),((F77-OFFSET($BM$9,CN77+0,0,1,1))*OFFSET($CI$9,CN77+0,0,1,1))+OFFSET($BP$9,CN77+0,CQ77,1,1),IF(F77&lt;OFFSET($BN$9,CN77+1,0,1,1),((F77-OFFSET($BM$9,CN77+1,0,1,1))*OFFSET($CI$9,CN77+1,0,1,1))+OFFSET($BP$9,CN77+1,CQ77,1,1),IF(F77&lt;OFFSET($BN$9,CN77+2,0,1,1),((F77-OFFSET($BM$9,CN77+2,0,1,1))*OFFSET($CI$9,CN77+2,0,1,1))+OFFSET($BP$9,CN77+2,CQ77,1,1),IF(F77&lt;OFFSET($BN$9,CN77+3,0,1,1),((F77-OFFSET($BM$9,CN77+3,0,1,1))*OFFSET($CI$9,CN77+3,0,1,1))+OFFSET($BP$9,CN77+3,CQ77,1,1),0))))))</f>
        <v>0</v>
      </c>
      <c r="DJ77" s="51">
        <f ca="1">IF($F77&lt;OFFSET($BM$9,$CN77-1,0,1,1),0,IF($F77&lt;OFFSET($BN$9,$CN77-1,0,1,1),IF(AND($H77&gt;2.4,Z77&lt;&gt;"e",Z77&lt;&gt;"f"),DN77*2.4/$H77,DN77),IF($F77&lt;OFFSET($BN$9,$CN77+0,0,1,1),IF(AND($H77&gt;2.4,Z77&lt;&gt;"e",Z77&lt;&gt;"f"),DN77*2.4/$H77,DN77),IF($F77&lt;OFFSET($BN$9,$CN77+1,0,1,1),IF(AND($H77&gt;2.4,Z77&lt;&gt;"e",Z77&lt;&gt;"f"),DN77*2.4/$H77,DN77),IF($F77&lt;OFFSET($BN$9,$CN77+2,0,1,1),IF(AND($H77&gt;2.4,Z77&lt;&gt;"e",Z77&lt;&gt;"f"),DN77*2.4/$H77,DN77),IF($F77&lt;OFFSET($BN$9,$CN77+3,0,1,1),IF(AND($H77&gt;2.4,Z77&lt;&gt;"e",Z77&lt;&gt;"f"),DN77*2.4/$H77,DN77),0)))))*COS(RADIANS($G77)))</f>
        <v>0</v>
      </c>
      <c r="DK77" s="51"/>
      <c r="DL77" s="51">
        <f ca="1">IF(DG77&gt;$CR77,$CR77,DG77)</f>
        <v>0</v>
      </c>
      <c r="DM77" s="51"/>
      <c r="DN77" s="51">
        <f ca="1">IF(DI77&gt;$CR77,$CR77,DI77)</f>
        <v>0</v>
      </c>
      <c r="DO77" s="435">
        <f ca="1">IF(DH77&gt;$CR77,$CR77,DH77)</f>
        <v>0</v>
      </c>
      <c r="DP77" s="435">
        <f ca="1">DO77*F77</f>
        <v>0</v>
      </c>
      <c r="DQ77" s="436">
        <f ca="1">IF(DJ77&gt;$CR77,$CR77,DJ77)</f>
        <v>0</v>
      </c>
      <c r="DR77" s="437">
        <f ca="1">DQ77*F77</f>
        <v>0</v>
      </c>
      <c r="DS77" s="426">
        <f ca="1">OFFSET($CH$9,CL77-1,-15,1,1)</f>
        <v>0</v>
      </c>
      <c r="DT77" s="426">
        <f ca="1">VLOOKUP(DS77,Prodlink,2,0)</f>
        <v>0</v>
      </c>
      <c r="DU77" s="188">
        <f ca="1">IF(F77&lt;OFFSET($BM$9,DT77-1,0,1,1),0,IF(F77&lt;OFFSET($BN$9,DT77-1,0,1,1),((F77-OFFSET($BM$9,DT77-1,0,1,1))*OFFSET($CH$9,DT77-1,0,1,1))+OFFSET($BO$9,DT77-1,CQ77,1,1),IF(F77&lt;OFFSET($BN$9,DT77+0,0,1,1),((F77-OFFSET($BM$9,DT77+0,0,1,1))*OFFSET($CH$9,DT77+0,0,1,1))+OFFSET($BO$9,DT77+0,CQ77,1,1),IF(F77&lt;OFFSET($BN$9,DT77+1,0,1,1),((F77-OFFSET($BM$9,DT77+1,0,1,1))*OFFSET($CH$9,DT77+1,0,1,1))+OFFSET($BO$9,DT77+1,CQ77,1,1),IF(F77&lt;OFFSET($BN$9,DT77+2,0,1,1),((F77-OFFSET($BM$9,DT77+2,0,1,1))*OFFSET($CH$9,DT77+2,0,1,1))+OFFSET($BO$9,DT77+2,CQ77,1,1),IF(F77&lt;OFFSET($BN$9,DT77+3,0,1,1),((F77-OFFSET($BM$9,DT77+3,0,1,1))*OFFSET($CH$9,DT77+3,0,1,1))+OFFSET($BO$9,DT77+3,CQ77,1,1),0))))))</f>
        <v>0</v>
      </c>
      <c r="DV77" s="51">
        <f ca="1">IF($F77&lt;OFFSET($BM$9,$DT77-1,0,1,1),0,IF($F77&lt;OFFSET($BN$9,$DT77-1,0,1,1),IF(AND($H77&gt;2.4,Z77&lt;&gt;"e",Z77&lt;&gt;"f"),DZ77*2.4/$H77,DZ77),IF($F77&lt;OFFSET($BN$9,$DT77+0,0,1,1),IF(AND($H77&gt;2.4,Z77&lt;&gt;"e",Z77&lt;&gt;"f"),DZ77*2.4/$H77,DZ77),IF($F77&lt;OFFSET($BN$9,$DT77+1,0,1,1),IF(AND($H77&gt;2.4,Z77&lt;&gt;"e",Z77&lt;&gt;"f"),DZ77*2.4/$H77,DZ77),IF($F77&lt;OFFSET($BN$9,$DT77+2,0,1,1),IF(AND($H77&gt;2.4,Z77&lt;&gt;"e",Z77&lt;&gt;"f"),DZ77*2.4/$H77,DZ77),IF($F77&lt;OFFSET($BN$9,$DT77+3,0,1,1),IF(AND($H77&gt;2.4,Z77&lt;&gt;"e",Z77&lt;&gt;"f"),DZ77*2.4/$H77,DZ77),0)))))*COS(RADIANS($G77)))</f>
        <v>0</v>
      </c>
      <c r="DW77" s="188">
        <f ca="1">IF(F77&lt;OFFSET($BM$9,DT77-1,0,1,1),0,IF(F77&lt;OFFSET($BN$9,DT77-1,0,1,1),((F77-OFFSET($BM$9,DT77-1,0,1,1))*OFFSET($CI$9,DT77-1,0,1,1))+OFFSET($BP$9,DT77-1,CQ77,1,1),IF(F77&lt;OFFSET($BN$9,DT77+0,0,1,1),((F77-OFFSET($BM$9,DT77+0,0,1,1))*OFFSET($CI$9,DT77+0,0,1,1))+OFFSET($BP$9,DT77+0,CQ77,1,1),IF(F77&lt;OFFSET($BN$9,DT77+1,0,1,1),((F77-OFFSET($BM$9,DT77+1,0,1,1))*OFFSET($CI$9,DT77+1,0,1,1))+OFFSET($BP$9,DT77+1,CQ77,1,1),IF(F77&lt;OFFSET($BN$9,DT77+2,0,1,1),((F77-OFFSET($BM$9,DT77+2,0,1,1))*OFFSET($CI$9,DT77+2,0,1,1))+OFFSET($BP$9,DT77+2,CQ77,1,1),IF(F77&lt;OFFSET($BN$9,DT77+3,0,1,1),((F77-OFFSET($BM$9,DT77+3,0,1,1))*OFFSET($CI$9,DT77+3,0,1,1))+OFFSET($BP$9,DT77+3,CQ77,1,1),0))))))</f>
        <v>0</v>
      </c>
      <c r="DX77" s="51">
        <f ca="1">IF($F77&lt;OFFSET($BM$9,$DT77-1,0,1,1),0,IF($F77&lt;OFFSET($BN$9,$DT77-1,0,1,1),IF(AND($H77&gt;2.4,Z77&lt;&gt;"e",Z77&lt;&gt;"f"),EB77*2.4/$H77,EB77),IF($F77&lt;OFFSET($BN$9,$DT77+0,0,1,1),IF(AND($H77&gt;2.4,Z77&lt;&gt;"e",Z77&lt;&gt;"f"),EB77*2.4/$H77,EB77),IF($F77&lt;OFFSET($BN$9,$DT77+1,0,1,1),IF(AND($H77&gt;2.4,Z77&lt;&gt;"e",Z77&lt;&gt;"f"),EB77*2.4/$H77,EB77),IF($F77&lt;OFFSET($BN$9,$DT77+2,0,1,1),IF(AND($H77&gt;2.4,Z77&lt;&gt;"e",Z77&lt;&gt;"f"),EB77*2.4/$H77,EB77),IF($F77&lt;OFFSET($BN$9,$DT77+3,0,1,1),IF(AND($H77&gt;2.4,Z77&lt;&gt;"e",Z77&lt;&gt;"f"),EB77*2.4/$H77,EB77),0)))))*COS(RADIANS($G77)))</f>
        <v>0</v>
      </c>
      <c r="DY77" s="188"/>
      <c r="DZ77" s="188">
        <f ca="1">IF(DU77&gt;$CR77,$CR77,DU77)</f>
        <v>0</v>
      </c>
      <c r="EA77" s="188"/>
      <c r="EB77" s="188">
        <f ca="1">IF(DW77&gt;$CR77,$CR77,DW77)</f>
        <v>0</v>
      </c>
      <c r="EC77" s="435">
        <f ca="1">IF(DV77&gt;$CR77,$CR77,DV77)</f>
        <v>0</v>
      </c>
      <c r="ED77" s="435">
        <f ca="1">EC77*F77</f>
        <v>0</v>
      </c>
      <c r="EE77" s="436">
        <f ca="1">IF(DX77&gt;$CR77,$CR77,DX77)</f>
        <v>0</v>
      </c>
      <c r="EF77" s="437">
        <f ca="1">EE77*F77</f>
        <v>0</v>
      </c>
      <c r="EG77" s="613" t="str">
        <f>IF(D77=BG$12,BG$12,"")</f>
        <v/>
      </c>
      <c r="EH77" s="614" t="str">
        <f>IF(D77=BG$13,BG$13,"")</f>
        <v/>
      </c>
      <c r="EI77" s="611">
        <f>IF(EG77=BG$12,M77,0)</f>
        <v>0</v>
      </c>
      <c r="EJ77" s="451">
        <f>IF(EG77=BG$12,O77,0)</f>
        <v>0</v>
      </c>
      <c r="EK77" s="451">
        <f>IF(EH77=BG$13,M77,0)</f>
        <v>0</v>
      </c>
      <c r="EL77" s="612">
        <f>IF(EH77=BG$13,O77,0)</f>
        <v>0</v>
      </c>
      <c r="EM77" s="426" t="str">
        <f ca="1">IF(AND(Z77&lt;&gt;"t",Z77&lt;&gt;"f"),"",IF(AND(EN77=$BH$11,K77&lt;&gt;EN77),EM$4,IF(AND(EN77=$BH$12,K77=$BH$13),EM$4,IF(AND(EN77=$BH$12,K77=$BH$14),EM$4,IF(AND(EN77=$BH$13,K77=$BH$14),$EM$4,IF(EN77=$BH$14,$EM$4,""))))))</f>
        <v/>
      </c>
      <c r="EN77" s="489" t="str">
        <f>BG$24</f>
        <v>Earth</v>
      </c>
      <c r="EO77" s="426" t="str">
        <f>K77</f>
        <v xml:space="preserve"> </v>
      </c>
      <c r="EP77" s="497" t="str">
        <f ca="1">IF(AND(Z77&lt;&gt;"t",Z77&lt;&gt;"f"),"",IF(AND(EN77=$BH$14,K77&lt;&gt;EN77),EP$4,IF(AND(EN77=$BH$13,K77=$BH$12),EP$4,IF(AND(EN77=$BH$13,K77=$BH$11),EP$4,IF(AND(EN77=$BH$12,K77=$BH$11),$EP$4,IF(EN77=$BH$11,"Earth",""))))))</f>
        <v/>
      </c>
      <c r="EQ77" s="430" t="str">
        <f ca="1">IF(Z77&lt;&gt;"t","",IF(EQ$5=2,IF(K77&lt;&gt;BH$11,EQ$7," ")))</f>
        <v/>
      </c>
      <c r="ER77" s="439" t="str">
        <f ca="1">IF(H77=0," ",H77)</f>
        <v xml:space="preserve"> </v>
      </c>
      <c r="ES77" s="440" t="str">
        <f ca="1">IF(ER77&lt;&gt;" ",IF(ER77&lt;&gt;ER$7,"Changed",""),"")</f>
        <v/>
      </c>
      <c r="ET77" s="440">
        <f ca="1">IF(ER77&lt;&gt;" ",IF(ER77&lt;&gt;ER$7,1,0),0)</f>
        <v>0</v>
      </c>
      <c r="EU77" s="426" t="str">
        <f ca="1">IF(I77=" "," ",IF(F77&lt;OFFSET($BM$9,CL77-1,0,1,1),1,""))</f>
        <v xml:space="preserve"> </v>
      </c>
      <c r="EW77" s="427"/>
    </row>
    <row r="78" spans="1:153" ht="17.100000000000001" hidden="1" customHeight="1" thickBot="1">
      <c r="A78" s="2685"/>
      <c r="B78" s="689" t="s">
        <v>246</v>
      </c>
      <c r="C78" s="684" t="str">
        <f>IF(OR(F78=0,I78="",I78=" ")," ",$V78)</f>
        <v xml:space="preserve"> </v>
      </c>
      <c r="D78" s="1033"/>
      <c r="E78" s="1360" t="s">
        <v>8</v>
      </c>
      <c r="F78" s="202"/>
      <c r="G78" s="1416"/>
      <c r="H78" s="1417" t="str">
        <f ca="1">IF(OR(F78=0,Z78="E",Z78="f")," ",'Project Demand'!E$55)</f>
        <v xml:space="preserve"> </v>
      </c>
      <c r="I78" s="631" t="str">
        <f>IF($I$6&lt;&gt;$BG$8," ",AB78)</f>
        <v xml:space="preserve"> </v>
      </c>
      <c r="J78" s="44" t="str">
        <f ca="1">IF(OR(I78=" ",I78="")," ",OFFSET($BO$9,CL78-1,0-4,1,1))</f>
        <v xml:space="preserve"> </v>
      </c>
      <c r="K78" s="55" t="str">
        <f>IF(OR(I78=" ",I78="")," ",IF(OR(Z78="e",Z78="h"),"SD",IF(BG$24=BH$11,BH$13,BG$24)))</f>
        <v xml:space="preserve"> </v>
      </c>
      <c r="L78" s="49">
        <f ca="1">CW78</f>
        <v>0</v>
      </c>
      <c r="M78" s="49">
        <f ca="1">CY78</f>
        <v>0</v>
      </c>
      <c r="N78" s="50">
        <f t="shared" ca="1" si="49"/>
        <v>0</v>
      </c>
      <c r="O78" s="126">
        <f t="shared" ca="1" si="49"/>
        <v>0</v>
      </c>
      <c r="P78" s="140"/>
      <c r="Q78" s="752" t="str">
        <f ca="1">IF(AND(OR(Z78="t",Z78="f"),K78=$BH$11),"No Floor!  Change Floor Type",IF(OR(I78=" ",I78="")," ",IF(F78&lt;OFFSET($BM$9,CL78-1,0,1,1),"check L(m)",DE78&amp;IF(AND(DP78&gt;=CY78,DR78&gt;=DB78),IF(AND(ED78&gt;=DP78,EF78&gt;=DR78),CONCATENATE(DS78," will provide same result"),CONCATENATE(CO78," will provide same result")),IF((DP78&gt;=CY78),CONCATENATE(CO78," provides same result in WIND"),IF((DR78&gt;=DB78),CONCATENATE(CO78," provides same result in EQ"),""))))))&amp;IF(ISERROR(FIND("pile",I78,1)),"",IF(INT(F78)&lt;&gt;F78,"Pile!  Use Whole Numbers Only",""))</f>
        <v xml:space="preserve"> </v>
      </c>
      <c r="R78" s="52"/>
      <c r="S78" s="1372"/>
      <c r="T78" s="1372"/>
      <c r="U78" s="1377"/>
      <c r="V78" s="52" t="str">
        <f ca="1">IF(AND(B$5=$BF$9,OR(I78=BH$16,I78=BH$17))," ",IF(ISNUMBER(B$74),(CONCATENATE(B$74,".",W78)),(CONCATENATE(B$74,W78))))</f>
        <v>X0</v>
      </c>
      <c r="W78" s="9">
        <f ca="1">W77+X78</f>
        <v>0</v>
      </c>
      <c r="X78" s="9">
        <f>IF(AND(B$5=$BF$9,OR($I78=$BH$16,$I78=$BH$17,$I78=" ",$I78="",$F78=0)),0,IF(OR($I78=" ",$I78="",$F78=0),0,1))</f>
        <v>0</v>
      </c>
      <c r="Y78" s="896"/>
      <c r="Z78" s="52" t="str">
        <f ca="1">IF(I78=" "," ",OFFSET($BM$9,$CL78-1,8,1,1))</f>
        <v xml:space="preserve"> </v>
      </c>
      <c r="AA78" s="51" t="str">
        <f>IF(G78&gt;=45,"WA","")</f>
        <v/>
      </c>
      <c r="AB78" s="1364" t="str">
        <f>IF(OR(E78=" ",E78="")," ",(IF(F78&lt;&gt;"",IF(OR(D78=$BG$12,D78=$BG$13),IF(E78&lt;&gt;$BG$17,$BF$20,$BF$21),IF(E78&lt;&gt;$BG$17,$BF$20,$BF$21))," ")))</f>
        <v xml:space="preserve"> </v>
      </c>
      <c r="AC78" s="1"/>
      <c r="AO78" s="51"/>
      <c r="AP78" s="51"/>
      <c r="AQ78" s="51"/>
      <c r="AR78" s="51"/>
      <c r="AS78" s="51"/>
      <c r="AT78" s="51"/>
      <c r="AU78" s="51"/>
      <c r="AV78" s="1"/>
      <c r="AW78" s="1"/>
      <c r="AX78" s="1"/>
      <c r="AY78" s="1"/>
      <c r="AZ78" s="1"/>
      <c r="BA78" s="1"/>
      <c r="BB78" s="1"/>
      <c r="BC78" s="1"/>
      <c r="BD78" s="652"/>
      <c r="BI78" s="759"/>
      <c r="BJ78" s="897">
        <f t="shared" si="37"/>
        <v>70</v>
      </c>
      <c r="BK78" s="908"/>
      <c r="BL78" s="774"/>
      <c r="BM78" s="776">
        <f>Table!P20</f>
        <v>1.2</v>
      </c>
      <c r="BN78" s="776">
        <v>999</v>
      </c>
      <c r="BO78" s="776">
        <f>Table!Q20</f>
        <v>155</v>
      </c>
      <c r="BP78" s="926">
        <f>Table!R20</f>
        <v>155</v>
      </c>
      <c r="BQ78" s="1183"/>
      <c r="BR78" s="908"/>
      <c r="BS78" s="776"/>
      <c r="BT78" s="776"/>
      <c r="BU78" s="926" t="s">
        <v>242</v>
      </c>
      <c r="BV78" s="433"/>
      <c r="BW78" s="914"/>
      <c r="BX78" s="926" t="str">
        <f>Table!T17</f>
        <v>Double</v>
      </c>
      <c r="CH78" s="908">
        <f>IF(BN78=999,0,(BO79-BO78)/(BN78-BM78))</f>
        <v>0</v>
      </c>
      <c r="CI78" s="926">
        <f>IF(BN78=999,0,(BP79-BP78)/(BN78-BM78))</f>
        <v>0</v>
      </c>
      <c r="CJ78" s="759"/>
      <c r="CK78" s="188"/>
      <c r="CL78" s="979">
        <f>VLOOKUP(I78,Prodlink,2,0)</f>
        <v>0</v>
      </c>
      <c r="CN78" s="497">
        <f ca="1">VLOOKUP(CO78,Prodlink,2,0)</f>
        <v>0</v>
      </c>
      <c r="CO78" s="497">
        <f ca="1">OFFSET($CH$9,CL78-1,-15,1,1)</f>
        <v>0</v>
      </c>
      <c r="CQ78" s="51">
        <v>0</v>
      </c>
      <c r="CR78" s="51">
        <f t="shared" ca="1" si="52"/>
        <v>10000</v>
      </c>
      <c r="CS78" s="51">
        <f ca="1">IF(F78&lt;OFFSET($BM$9,CL78-1,0,1,1),0,IF(F78&lt;OFFSET($BN$9,CL78-1,0,1,1),((F78-OFFSET($BM$9,CL78-1,0,1,1))*OFFSET($CH$9,CL78-1,0,1,1))+OFFSET($BO$9,CL78-1,CQ78,1,1),IF(F78&lt;OFFSET($BN$9,CL78+0,0,1,1),((F78-OFFSET($BM$9,CL78+0,0,1,1))*OFFSET($CH$9,CL78+0,0,1,1))+OFFSET($BO$9,CL78+0,CQ78,1,1),IF(F78&lt;OFFSET($BN$9,CL78+1,0,1,1),((F78-OFFSET($BM$9,CL78+1,0,1,1))*OFFSET($CH$9,CL78+1,0,1,1))+OFFSET($BO$9,CL78+1,CQ78,1,1),IF(F78&lt;OFFSET($BN$9,CL78+2,0,1,1),((F78-OFFSET($BM$9,CL78+2,0,1,1))*OFFSET($CH$9,CL78+2,0,1,1))+OFFSET($BO$9,CL78+2,CQ78,1,1),IF(F78&lt;OFFSET($BN$9,CL78+3,0,1,1),((F78-OFFSET($BM$9,CL78+3,0,1,1))*OFFSET($CH$9,CL78+3,0,1,1))+OFFSET($BO$9,CL78+3,CQ78,1,1),0))))))</f>
        <v>0</v>
      </c>
      <c r="CT78" s="51">
        <f ca="1">IF($F78&lt;OFFSET($BM$9,$CL78-1,0,1,1),0,IF($F78&lt;OFFSET($BN$9,$CL78-1,0,1,1),IF(AND($H78&gt;2.4,Z78&lt;&gt;"e",Z78&lt;&gt;"f"),CX78*2.4/$H78,CX78),IF($F78&lt;OFFSET($BN$9,$CL78+0,0,1,1),IF(AND($H78&gt;2.4,Z78&lt;&gt;"e",Z78&lt;&gt;"f"),CX78*2.4/$H78,CX78),IF($F78&lt;OFFSET($BN$9,$CL78+1,0,1,1),IF(AND($H78&gt;2.4,Z78&lt;&gt;"e",Z78&lt;&gt;"f"),CX78*2.4/$H78,CX78),IF($F78&lt;OFFSET($BN$9,CL78+2,0,1,1),IF(AND($H78&gt;2.4,Z78&lt;&gt;"e",Z78&lt;&gt;"f"),CX78*2.4/$H78,CX78),IF($F78&lt;OFFSET($BN$9,CL78+3,0,1,1),IF(AND($H78&gt;2.4,Z78&lt;&gt;"e",Z78&lt;&gt;"f"),CX78*2.4/$H78,CX78),0)))))*COS(RADIANS($G78)))</f>
        <v>0</v>
      </c>
      <c r="CU78" s="51">
        <f ca="1">IF(F78&lt;OFFSET($BM$9,CL78-1,0,1,1),0,IF(F78&lt;OFFSET($BN$9,CL78-1,0,1,1),((F78-OFFSET($BM$9,CL78-1,0,1,1))*OFFSET($CI$9,CL78-1,0,1,1))+OFFSET($BP$9,CL78-1,CQ78,1,1),IF(F78&lt;OFFSET($BN$9,CL78+0,0,1,1),((F78-OFFSET($BM$9,CL78+0,0,1,1))*OFFSET($CI$9,CL78+0,0,1,1))+OFFSET($BP$9,CL78+0,CQ78,1,1),IF(F78&lt;OFFSET($BN$9,CL78+1,0,1,1),((F78-OFFSET($BM$9,CL78+1,0,1,1))*OFFSET($CI$9,CL78+1,0,1,1))+OFFSET($BP$9,CL78+1,CQ78,1,1),IF(F78&lt;OFFSET($BN$9,CL78+2,0,1,1),((F78-OFFSET($BM$9,CL78+2,0,1,1))*OFFSET($CI$9,CL78+2,0,1,1))+OFFSET($BP$9,CL78+2,CQ78,1,1),IF(F78&lt;OFFSET($BN$9,CL78+3,0,1,1),((F78-OFFSET($BM$9,CL78+3,0,1,1))*OFFSET($CI$9,CL78+3,0,1,1))+OFFSET($BP$9,CL78+3,CQ78,1,1),0))))))</f>
        <v>0</v>
      </c>
      <c r="CV78" s="51">
        <f ca="1">IF($F78&lt;OFFSET($BM$9,$CL78-1,0,1,1),0,IF($F78&lt;OFFSET($BN$9,$CL78-1,0,1,1),IF(AND($H78&gt;2.4,Z78&lt;&gt;"e",Z78&lt;&gt;"f"),CZ78*2.4/$H78,CZ78),IF($F78&lt;OFFSET($BN$9,$CL78+0,0,1,1),IF(AND($H78&gt;2.4,Z78&lt;&gt;"e",Z78&lt;&gt;"f"),CZ78*2.4/$H78,CZ78),IF($F78&lt;OFFSET($BN$9,$CL78+1,0,1,1),IF(AND($H78&gt;2.4,Z78&lt;&gt;"e",Z78&lt;&gt;"f"),CZ78*2.4/$H78,CZ78),IF($F78&lt;OFFSET($BN$9,$CL78+2,0,1,1),IF(AND($H78&gt;2.4,Z78&lt;&gt;"e",Z78&lt;&gt;"f"),CZ78*2.4/$H78,CZ78),IF($F78&lt;OFFSET($BN$9,$CL78+3,0,1,1),IF(AND($H78&gt;2.4,Z78&lt;&gt;"e",Z78&lt;&gt;"f"),CZ78*2.4/$H78,CZ78),0)))))*COS(RADIANS($G78)))</f>
        <v>0</v>
      </c>
      <c r="CW78" s="51">
        <f ca="1">IF(CT78&gt;CR78,CR78,CT78)</f>
        <v>0</v>
      </c>
      <c r="CX78" s="51">
        <f ca="1">IF(CS78&gt;$CR78,$CR78,CS78)</f>
        <v>0</v>
      </c>
      <c r="CY78" s="51">
        <f ca="1">CW78*F78</f>
        <v>0</v>
      </c>
      <c r="CZ78" s="51">
        <f ca="1">IF($CU78&gt;$CR78,$CR78,$CU78)</f>
        <v>0</v>
      </c>
      <c r="DA78" s="51">
        <f ca="1">IF(CV78&gt;CR78,CR78,CV78)</f>
        <v>0</v>
      </c>
      <c r="DB78" s="51">
        <f ca="1">DA78*F78</f>
        <v>0</v>
      </c>
      <c r="DC78" s="993">
        <v>1</v>
      </c>
      <c r="DD78" s="758" t="str">
        <f>IF(OR(D78=BG$12,D78=BG$13),"External",IF(D78=BG$14,"Internal"," "))</f>
        <v xml:space="preserve"> </v>
      </c>
      <c r="DE78" s="51" t="str">
        <f t="shared" ca="1" si="50"/>
        <v/>
      </c>
      <c r="DF78" s="52" t="str">
        <f t="shared" ca="1" si="51"/>
        <v xml:space="preserve"> </v>
      </c>
      <c r="DG78" s="51">
        <f ca="1">IF(F78&lt;OFFSET($BM$9,CN78-1,0,1,1),0,IF(F78&lt;OFFSET($BN$9,CN78-1,0,1,1),((F78-OFFSET($BM$9,CN78-1,0,1,1))*OFFSET($CH$9,CN78-1,0,1,1))+OFFSET($BO$9,CN78-1,CQ78,1,1),IF(F78&lt;OFFSET($BN$9,CN78+0,0,1,1),((F78-OFFSET($BM$9,CN78+0,0,1,1))*OFFSET($CH$9,CN78+0,0,1,1))+OFFSET($BO$9,CN78+0,CQ78,1,1),IF(F78&lt;OFFSET($BN$9,CN78+1,0,1,1),((F78-OFFSET($BM$9,CN78+1,0,1,1))*OFFSET($CH$9,CN78+1,0,1,1))+OFFSET($BO$9,CN78+1,CQ78,1,1),IF(F78&lt;OFFSET($BN$9,CN78+2,0,1,1),((F78-OFFSET($BM$9,CN78+2,0,1,1))*OFFSET($CH$9,CN78+2,0,1,1))+OFFSET($BO$9,CN78+2,CQ78,1,1),IF(F78&lt;OFFSET($BN$9,CN78+3,0,1,1),((F78-OFFSET($BM$9,CN78+3,0,1,1))*OFFSET($CH$9,CN78+3,0,1,1))+OFFSET($BO$9,CN78+3,CQ78,1,1),0))))))</f>
        <v>0</v>
      </c>
      <c r="DH78" s="51">
        <f ca="1">IF($F78&lt;OFFSET($BM$9,$CN78-1,0,1,1),0,IF($F78&lt;OFFSET($BN$9,$CN78-1,0,1,1),IF(AND($H78&gt;2.4,Z78&lt;&gt;"e",Z78&lt;&gt;"f"),DL78*2.4/$H78,DL78),IF($F78&lt;OFFSET($BN$9,$CN78+0,0,1,1),IF(AND($H78&gt;2.4,Z78&lt;&gt;"e",Z78&lt;&gt;"f"),DL78*2.4/$H78,DL78),IF($F78&lt;OFFSET($BN$9,$CN78+1,0,1,1),IF(AND($H78&gt;2.4,Z78&lt;&gt;"e",Z78&lt;&gt;"f"),DL78*2.4/$H78,DL78),IF($F78&lt;OFFSET($BN$9,$CN78+2,0,1,1),IF(AND($H78&gt;2.4,Z78&lt;&gt;"e",Z78&lt;&gt;"f"),DL78*2.4/$H78,DL78),IF($F78&lt;OFFSET($BN$9,$CN78+3,0,1,1),IF(AND($H78&gt;2.4,Z78&lt;&gt;"e",Z78&lt;&gt;"f"),DL78*2.4/$H78,DL78),0)))))*COS(RADIANS($G78)))</f>
        <v>0</v>
      </c>
      <c r="DI78" s="51">
        <f ca="1">IF(F78&lt;OFFSET($BM$9,CN78-1,0,1,1),0,IF(F78&lt;OFFSET($BN$9,CN78-1,0,1,1),((F78-OFFSET($BM$9,CN78-1,0,1,1))*OFFSET($CI$9,CN78-1,0,1,1))+OFFSET($BP$9,CN78-1,CQ78,1,1),IF(F78&lt;OFFSET($BN$9,CN78+0,0,1,1),((F78-OFFSET($BM$9,CN78+0,0,1,1))*OFFSET($CI$9,CN78+0,0,1,1))+OFFSET($BP$9,CN78+0,CQ78,1,1),IF(F78&lt;OFFSET($BN$9,CN78+1,0,1,1),((F78-OFFSET($BM$9,CN78+1,0,1,1))*OFFSET($CI$9,CN78+1,0,1,1))+OFFSET($BP$9,CN78+1,CQ78,1,1),IF(F78&lt;OFFSET($BN$9,CN78+2,0,1,1),((F78-OFFSET($BM$9,CN78+2,0,1,1))*OFFSET($CI$9,CN78+2,0,1,1))+OFFSET($BP$9,CN78+2,CQ78,1,1),IF(F78&lt;OFFSET($BN$9,CN78+3,0,1,1),((F78-OFFSET($BM$9,CN78+3,0,1,1))*OFFSET($CI$9,CN78+3,0,1,1))+OFFSET($BP$9,CN78+3,CQ78,1,1),0))))))</f>
        <v>0</v>
      </c>
      <c r="DJ78" s="51">
        <f ca="1">IF($F78&lt;OFFSET($BM$9,$CN78-1,0,1,1),0,IF($F78&lt;OFFSET($BN$9,$CN78-1,0,1,1),IF(AND($H78&gt;2.4,Z78&lt;&gt;"e",Z78&lt;&gt;"f"),DN78*2.4/$H78,DN78),IF($F78&lt;OFFSET($BN$9,$CN78+0,0,1,1),IF(AND($H78&gt;2.4,Z78&lt;&gt;"e",Z78&lt;&gt;"f"),DN78*2.4/$H78,DN78),IF($F78&lt;OFFSET($BN$9,$CN78+1,0,1,1),IF(AND($H78&gt;2.4,Z78&lt;&gt;"e",Z78&lt;&gt;"f"),DN78*2.4/$H78,DN78),IF($F78&lt;OFFSET($BN$9,$CN78+2,0,1,1),IF(AND($H78&gt;2.4,Z78&lt;&gt;"e",Z78&lt;&gt;"f"),DN78*2.4/$H78,DN78),IF($F78&lt;OFFSET($BN$9,$CN78+3,0,1,1),IF(AND($H78&gt;2.4,Z78&lt;&gt;"e",Z78&lt;&gt;"f"),DN78*2.4/$H78,DN78),0)))))*COS(RADIANS($G78)))</f>
        <v>0</v>
      </c>
      <c r="DK78" s="51"/>
      <c r="DL78" s="51">
        <f ca="1">IF(DG78&gt;$CR78,$CR78,DG78)</f>
        <v>0</v>
      </c>
      <c r="DM78" s="51"/>
      <c r="DN78" s="51">
        <f ca="1">IF(DI78&gt;$CR78,$CR78,DI78)</f>
        <v>0</v>
      </c>
      <c r="DO78" s="435">
        <f ca="1">IF(DH78&gt;$CR78,$CR78,DH78)</f>
        <v>0</v>
      </c>
      <c r="DP78" s="435">
        <f ca="1">DO78*F78</f>
        <v>0</v>
      </c>
      <c r="DQ78" s="436">
        <f ca="1">IF(DJ78&gt;$CR78,$CR78,DJ78)</f>
        <v>0</v>
      </c>
      <c r="DR78" s="437">
        <f ca="1">DQ78*F78</f>
        <v>0</v>
      </c>
      <c r="DS78" s="426">
        <f ca="1">OFFSET($CH$9,CL78-1,-15,1,1)</f>
        <v>0</v>
      </c>
      <c r="DT78" s="426">
        <f ca="1">VLOOKUP(DS78,Prodlink,2,0)</f>
        <v>0</v>
      </c>
      <c r="DU78" s="188">
        <f ca="1">IF(F78&lt;OFFSET($BM$9,DT78-1,0,1,1),0,IF(F78&lt;OFFSET($BN$9,DT78-1,0,1,1),((F78-OFFSET($BM$9,DT78-1,0,1,1))*OFFSET($CH$9,DT78-1,0,1,1))+OFFSET($BO$9,DT78-1,CQ78,1,1),IF(F78&lt;OFFSET($BN$9,DT78+0,0,1,1),((F78-OFFSET($BM$9,DT78+0,0,1,1))*OFFSET($CH$9,DT78+0,0,1,1))+OFFSET($BO$9,DT78+0,CQ78,1,1),IF(F78&lt;OFFSET($BN$9,DT78+1,0,1,1),((F78-OFFSET($BM$9,DT78+1,0,1,1))*OFFSET($CH$9,DT78+1,0,1,1))+OFFSET($BO$9,DT78+1,CQ78,1,1),IF(F78&lt;OFFSET($BN$9,DT78+2,0,1,1),((F78-OFFSET($BM$9,DT78+2,0,1,1))*OFFSET($CH$9,DT78+2,0,1,1))+OFFSET($BO$9,DT78+2,CQ78,1,1),IF(F78&lt;OFFSET($BN$9,DT78+3,0,1,1),((F78-OFFSET($BM$9,DT78+3,0,1,1))*OFFSET($CH$9,DT78+3,0,1,1))+OFFSET($BO$9,DT78+3,CQ78,1,1),0))))))</f>
        <v>0</v>
      </c>
      <c r="DV78" s="51">
        <f ca="1">IF($F78&lt;OFFSET($BM$9,$DT78-1,0,1,1),0,IF($F78&lt;OFFSET($BN$9,$DT78-1,0,1,1),IF(AND($H78&gt;2.4,Z78&lt;&gt;"e",Z78&lt;&gt;"f"),DZ78*2.4/$H78,DZ78),IF($F78&lt;OFFSET($BN$9,$DT78+0,0,1,1),IF(AND($H78&gt;2.4,Z78&lt;&gt;"e",Z78&lt;&gt;"f"),DZ78*2.4/$H78,DZ78),IF($F78&lt;OFFSET($BN$9,$DT78+1,0,1,1),IF(AND($H78&gt;2.4,Z78&lt;&gt;"e",Z78&lt;&gt;"f"),DZ78*2.4/$H78,DZ78),IF($F78&lt;OFFSET($BN$9,$DT78+2,0,1,1),IF(AND($H78&gt;2.4,Z78&lt;&gt;"e",Z78&lt;&gt;"f"),DZ78*2.4/$H78,DZ78),IF($F78&lt;OFFSET($BN$9,$DT78+3,0,1,1),IF(AND($H78&gt;2.4,Z78&lt;&gt;"e",Z78&lt;&gt;"f"),DZ78*2.4/$H78,DZ78),0)))))*COS(RADIANS($G78)))</f>
        <v>0</v>
      </c>
      <c r="DW78" s="188">
        <f ca="1">IF(F78&lt;OFFSET($BM$9,DT78-1,0,1,1),0,IF(F78&lt;OFFSET($BN$9,DT78-1,0,1,1),((F78-OFFSET($BM$9,DT78-1,0,1,1))*OFFSET($CI$9,DT78-1,0,1,1))+OFFSET($BP$9,DT78-1,CQ78,1,1),IF(F78&lt;OFFSET($BN$9,DT78+0,0,1,1),((F78-OFFSET($BM$9,DT78+0,0,1,1))*OFFSET($CI$9,DT78+0,0,1,1))+OFFSET($BP$9,DT78+0,CQ78,1,1),IF(F78&lt;OFFSET($BN$9,DT78+1,0,1,1),((F78-OFFSET($BM$9,DT78+1,0,1,1))*OFFSET($CI$9,DT78+1,0,1,1))+OFFSET($BP$9,DT78+1,CQ78,1,1),IF(F78&lt;OFFSET($BN$9,DT78+2,0,1,1),((F78-OFFSET($BM$9,DT78+2,0,1,1))*OFFSET($CI$9,DT78+2,0,1,1))+OFFSET($BP$9,DT78+2,CQ78,1,1),IF(F78&lt;OFFSET($BN$9,DT78+3,0,1,1),((F78-OFFSET($BM$9,DT78+3,0,1,1))*OFFSET($CI$9,DT78+3,0,1,1))+OFFSET($BP$9,DT78+3,CQ78,1,1),0))))))</f>
        <v>0</v>
      </c>
      <c r="DX78" s="51">
        <f ca="1">IF($F78&lt;OFFSET($BM$9,$DT78-1,0,1,1),0,IF($F78&lt;OFFSET($BN$9,$DT78-1,0,1,1),IF(AND($H78&gt;2.4,Z78&lt;&gt;"e",Z78&lt;&gt;"f"),EB78*2.4/$H78,EB78),IF($F78&lt;OFFSET($BN$9,$DT78+0,0,1,1),IF(AND($H78&gt;2.4,Z78&lt;&gt;"e",Z78&lt;&gt;"f"),EB78*2.4/$H78,EB78),IF($F78&lt;OFFSET($BN$9,$DT78+1,0,1,1),IF(AND($H78&gt;2.4,Z78&lt;&gt;"e",Z78&lt;&gt;"f"),EB78*2.4/$H78,EB78),IF($F78&lt;OFFSET($BN$9,$DT78+2,0,1,1),IF(AND($H78&gt;2.4,Z78&lt;&gt;"e",Z78&lt;&gt;"f"),EB78*2.4/$H78,EB78),IF($F78&lt;OFFSET($BN$9,$DT78+3,0,1,1),IF(AND($H78&gt;2.4,Z78&lt;&gt;"e",Z78&lt;&gt;"f"),EB78*2.4/$H78,EB78),0)))))*COS(RADIANS($G78)))</f>
        <v>0</v>
      </c>
      <c r="DY78" s="188"/>
      <c r="DZ78" s="188">
        <f ca="1">IF(DU78&gt;$CR78,$CR78,DU78)</f>
        <v>0</v>
      </c>
      <c r="EA78" s="188"/>
      <c r="EB78" s="188">
        <f ca="1">IF(DW78&gt;$CR78,$CR78,DW78)</f>
        <v>0</v>
      </c>
      <c r="EC78" s="435">
        <f ca="1">IF(DV78&gt;$CR78,$CR78,DV78)</f>
        <v>0</v>
      </c>
      <c r="ED78" s="435">
        <f ca="1">EC78*F78</f>
        <v>0</v>
      </c>
      <c r="EE78" s="436">
        <f ca="1">IF(DX78&gt;$CR78,$CR78,DX78)</f>
        <v>0</v>
      </c>
      <c r="EF78" s="437">
        <f ca="1">EE78*F78</f>
        <v>0</v>
      </c>
      <c r="EG78" s="615" t="str">
        <f>IF(D78=BG$12,BG$12,"")</f>
        <v/>
      </c>
      <c r="EH78" s="616" t="str">
        <f>IF(D78=BG$13,BG$13,"")</f>
        <v/>
      </c>
      <c r="EI78" s="611">
        <f>IF(EG78=BG$12,M78,0)</f>
        <v>0</v>
      </c>
      <c r="EJ78" s="451">
        <f>IF(EG78=BG$12,O78,0)</f>
        <v>0</v>
      </c>
      <c r="EK78" s="451">
        <f>IF(EH78=BG$13,M78,0)</f>
        <v>0</v>
      </c>
      <c r="EL78" s="612">
        <f>IF(EH78=BG$13,O78,0)</f>
        <v>0</v>
      </c>
      <c r="EM78" s="426" t="str">
        <f ca="1">IF(AND(Z78&lt;&gt;"t",Z78&lt;&gt;"f"),"",IF(AND(EN78=$BH$11,K78&lt;&gt;EN78),EM$4,IF(AND(EN78=$BH$12,K78=$BH$13),EM$4,IF(AND(EN78=$BH$12,K78=$BH$14),EM$4,IF(AND(EN78=$BH$13,K78=$BH$14),$EM$4,IF(EN78=$BH$14,$EM$4,""))))))</f>
        <v/>
      </c>
      <c r="EN78" s="489" t="str">
        <f>BG$24</f>
        <v>Earth</v>
      </c>
      <c r="EO78" s="426" t="str">
        <f>K78</f>
        <v xml:space="preserve"> </v>
      </c>
      <c r="EP78" s="497" t="str">
        <f ca="1">IF(AND(Z78&lt;&gt;"t",Z78&lt;&gt;"f"),"",IF(AND(EN78=$BH$14,K78&lt;&gt;EN78),EP$4,IF(AND(EN78=$BH$13,K78=$BH$12),EP$4,IF(AND(EN78=$BH$13,K78=$BH$11),EP$4,IF(AND(EN78=$BH$12,K78=$BH$11),$EP$4,IF(EN78=$BH$11,"Earth",""))))))</f>
        <v/>
      </c>
      <c r="EQ78" s="430" t="str">
        <f ca="1">IF(Z78&lt;&gt;"t","",IF(EQ$5=2,IF(K78&lt;&gt;BH$11,EQ$7," ")))</f>
        <v/>
      </c>
      <c r="ER78" s="439" t="str">
        <f ca="1">IF(H78=0," ",H78)</f>
        <v xml:space="preserve"> </v>
      </c>
      <c r="ES78" s="447" t="str">
        <f ca="1">IF(ER78&lt;&gt;" ",IF(ER78&lt;&gt;ER$7,"Changed",""),"")</f>
        <v/>
      </c>
      <c r="ET78" s="440">
        <f ca="1">IF(ER78&lt;&gt;" ",IF(ER78&lt;&gt;ER$7,1,0),0)</f>
        <v>0</v>
      </c>
      <c r="EU78" s="426" t="str">
        <f ca="1">IF(I78=" "," ",IF(F78&lt;OFFSET($BM$9,CL78-1,0,1,1),1,""))</f>
        <v xml:space="preserve"> </v>
      </c>
      <c r="EW78" s="427"/>
    </row>
    <row r="79" spans="1:153" ht="17.100000000000001" hidden="1" customHeight="1" thickBot="1">
      <c r="A79" s="2685"/>
      <c r="B79" s="2686" t="s">
        <v>8</v>
      </c>
      <c r="C79" s="2687"/>
      <c r="D79" s="1461" t="s">
        <v>8</v>
      </c>
      <c r="E79" s="659"/>
      <c r="F79" s="659"/>
      <c r="G79" s="659"/>
      <c r="H79" s="659"/>
      <c r="I79" s="1462"/>
      <c r="J79" s="1365" t="str">
        <f ca="1">(CONCATENATE(B74,$BE$54))</f>
        <v>X  Line:  Min. Requirement</v>
      </c>
      <c r="K79" s="23"/>
      <c r="L79" s="1019">
        <f ca="1">L$5</f>
        <v>0</v>
      </c>
      <c r="M79" s="48">
        <f ca="1">IF(B74=B68,SUM(M74:M78)+M73,SUM(M74:M78))</f>
        <v>0</v>
      </c>
      <c r="N79" s="1019">
        <f ca="1">N$5</f>
        <v>0</v>
      </c>
      <c r="O79" s="125">
        <f ca="1">IF(B74=B68,SUM(O74:O78)+O73,SUM(O74:O78))</f>
        <v>0</v>
      </c>
      <c r="P79" s="139"/>
      <c r="Q79" s="42" t="str">
        <f ca="1">IF(B74=B80,"",IF(AND(M79&gt;0,L79=L$5,OR(M79&lt;$M$105,M79&lt;$BF$3)),"Achieved &lt; Min Req per Line",IF(AND(O79&gt;0,N79=N$5,OR(O79&lt;$O$105,O79&lt;$BF$3)),"Achieved &lt; Min Req per Line",IF(AND(M79&gt;0,L79&gt;M79),"More Required on this line",IF(AND(O79&gt;0,N79&gt;O79),"More Required on this line",IF(AND(L79&gt;0,L79&lt;$BF$3),$BE$59,IF(AND(N79&gt;0,N79&lt;$BF$3),$BE$59,"")))))))</f>
        <v/>
      </c>
      <c r="R79" s="52"/>
      <c r="S79" s="52"/>
      <c r="T79" s="52"/>
      <c r="U79" s="52"/>
      <c r="V79" s="52"/>
      <c r="W79" s="1000"/>
      <c r="X79" s="9"/>
      <c r="Y79" s="896"/>
      <c r="Z79" s="52"/>
      <c r="AA79" s="51"/>
      <c r="AB79" s="51"/>
      <c r="AC79" s="1"/>
      <c r="AO79" s="51"/>
      <c r="AP79" s="51"/>
      <c r="AQ79" s="51"/>
      <c r="AR79" s="51"/>
      <c r="AS79" s="51"/>
      <c r="AT79" s="51"/>
      <c r="AU79" s="51"/>
      <c r="AV79" s="1"/>
      <c r="AW79" s="1"/>
      <c r="AX79" s="1"/>
      <c r="AY79" s="1"/>
      <c r="AZ79" s="1"/>
      <c r="BA79" s="1"/>
      <c r="BB79" s="1"/>
      <c r="BC79" s="1"/>
      <c r="BD79" s="652"/>
      <c r="BF79" s="51"/>
      <c r="BG79" s="51"/>
      <c r="BI79" s="759"/>
      <c r="BJ79" s="897">
        <f t="shared" si="37"/>
        <v>71</v>
      </c>
      <c r="BK79" s="1231"/>
      <c r="BL79" s="1234"/>
      <c r="BM79" s="1205"/>
      <c r="BN79" s="1205"/>
      <c r="BO79" s="1205"/>
      <c r="BP79" s="1205"/>
      <c r="BQ79" s="1233"/>
      <c r="BR79" s="1205"/>
      <c r="BS79" s="1205"/>
      <c r="BT79" s="1205"/>
      <c r="BU79" s="1205"/>
      <c r="BV79" s="1233"/>
      <c r="BW79" s="1235"/>
      <c r="BX79" s="1205"/>
      <c r="CH79" s="970"/>
      <c r="CI79" s="971"/>
      <c r="CJ79" s="759"/>
      <c r="CK79" s="188"/>
      <c r="CL79" s="980"/>
      <c r="CM79" s="939"/>
      <c r="CN79" s="940"/>
      <c r="CO79" s="940"/>
      <c r="CP79" s="939"/>
      <c r="CQ79" s="939"/>
      <c r="CR79" s="938"/>
      <c r="CS79" s="938"/>
      <c r="CT79" s="938"/>
      <c r="CU79" s="938"/>
      <c r="CV79" s="938"/>
      <c r="CW79" s="938"/>
      <c r="CX79" s="938"/>
      <c r="CY79" s="938"/>
      <c r="CZ79" s="938"/>
      <c r="DA79" s="938"/>
      <c r="DB79" s="938"/>
      <c r="DC79" s="998">
        <v>1</v>
      </c>
      <c r="DD79" s="938"/>
      <c r="DE79" s="938"/>
      <c r="DF79" s="938"/>
      <c r="DG79" s="938"/>
      <c r="DH79" s="938"/>
      <c r="DI79" s="938"/>
      <c r="DJ79" s="938"/>
      <c r="DK79" s="938"/>
      <c r="DL79" s="938"/>
      <c r="DM79" s="938"/>
      <c r="DN79" s="938"/>
      <c r="DO79" s="941"/>
      <c r="DP79" s="941"/>
      <c r="DQ79" s="941"/>
      <c r="DR79" s="941"/>
      <c r="DS79" s="942"/>
      <c r="DT79" s="942"/>
      <c r="DU79" s="939"/>
      <c r="DV79" s="939"/>
      <c r="DW79" s="939"/>
      <c r="DX79" s="939"/>
      <c r="DY79" s="939"/>
      <c r="DZ79" s="939"/>
      <c r="EA79" s="939"/>
      <c r="EB79" s="939"/>
      <c r="EC79" s="941"/>
      <c r="ED79" s="941"/>
      <c r="EE79" s="941"/>
      <c r="EF79" s="941"/>
      <c r="EG79" s="435"/>
      <c r="EH79" s="435"/>
      <c r="EI79" s="451"/>
      <c r="EJ79" s="451"/>
      <c r="EK79" s="451"/>
      <c r="EL79" s="451"/>
      <c r="ER79" s="448"/>
      <c r="EW79" s="427"/>
    </row>
    <row r="80" spans="1:153" ht="15" customHeight="1" thickBot="1">
      <c r="A80" s="2685"/>
      <c r="B80" s="2748" t="s">
        <v>488</v>
      </c>
      <c r="C80" s="2749"/>
      <c r="D80" s="2750"/>
      <c r="E80" s="2766"/>
      <c r="F80" s="2767"/>
      <c r="G80" s="2767"/>
      <c r="H80" s="2767"/>
      <c r="I80" s="2767"/>
      <c r="J80" s="2767"/>
      <c r="K80" s="2768"/>
      <c r="L80" s="17"/>
      <c r="M80" s="24" t="s">
        <v>1</v>
      </c>
      <c r="N80" s="16"/>
      <c r="O80" s="127" t="s">
        <v>17</v>
      </c>
      <c r="P80" s="142"/>
      <c r="R80" s="52"/>
      <c r="S80" s="52"/>
      <c r="T80" s="52"/>
      <c r="U80" s="52"/>
      <c r="V80" s="52"/>
      <c r="W80" s="52"/>
      <c r="X80" s="52"/>
      <c r="Y80" s="896"/>
      <c r="Z80" s="52"/>
      <c r="AA80" s="51"/>
      <c r="AB80" s="51"/>
      <c r="AC80" s="9"/>
      <c r="AO80" s="51"/>
      <c r="AP80" s="51"/>
      <c r="AQ80" s="51"/>
      <c r="AR80" s="51"/>
      <c r="AS80" s="51"/>
      <c r="AT80" s="51"/>
      <c r="AU80" s="51"/>
      <c r="AV80" s="1"/>
      <c r="AW80" s="1"/>
      <c r="AX80" s="1"/>
      <c r="AY80" s="1"/>
      <c r="AZ80" s="1"/>
      <c r="BA80" s="1"/>
      <c r="BB80" s="1"/>
      <c r="BC80" s="1"/>
      <c r="BD80" s="652"/>
      <c r="BE80" s="1"/>
      <c r="BF80" s="51"/>
      <c r="BG80" s="51"/>
      <c r="BI80" s="759"/>
      <c r="BJ80" s="897">
        <f t="shared" si="37"/>
        <v>72</v>
      </c>
      <c r="BK80" s="768" t="str">
        <f>BK74</f>
        <v xml:space="preserve">EPB </v>
      </c>
      <c r="BL80" s="765" t="str">
        <f>Table!AA4</f>
        <v>EM-H</v>
      </c>
      <c r="BM80" s="454">
        <f>Table!AB4</f>
        <v>0.4</v>
      </c>
      <c r="BN80" s="454">
        <f>BM81</f>
        <v>0.6</v>
      </c>
      <c r="BO80" s="454">
        <f>Table!AC4</f>
        <v>98</v>
      </c>
      <c r="BP80" s="924">
        <f>Table!AD4</f>
        <v>100</v>
      </c>
      <c r="BQ80" s="920"/>
      <c r="BR80" s="768" t="str">
        <f>Table!AE4</f>
        <v>ES-H</v>
      </c>
      <c r="BS80" s="454" t="str">
        <f>Table!AE5</f>
        <v>ES-H</v>
      </c>
      <c r="BT80" s="454" t="str">
        <f>Table!AF4</f>
        <v>B</v>
      </c>
      <c r="BU80" s="924" t="s">
        <v>242</v>
      </c>
      <c r="BV80" s="1230" t="str">
        <f>Table!AI75</f>
        <v>EM-H</v>
      </c>
      <c r="BW80" s="1229">
        <f>BJ80</f>
        <v>72</v>
      </c>
      <c r="BX80" s="924" t="str">
        <f>Table!AF5</f>
        <v>Single</v>
      </c>
      <c r="CH80" s="768">
        <f>IF(BN80=999,0,(BO81-BO80)/(BN80-BM80))</f>
        <v>60.000000000000014</v>
      </c>
      <c r="CI80" s="924">
        <f>IF(BN80=999,0,(BP81-BP80)/(BN80-BM80))</f>
        <v>20.000000000000004</v>
      </c>
      <c r="CJ80" s="759"/>
      <c r="CK80" s="188"/>
      <c r="CL80" s="52"/>
      <c r="EW80" s="427"/>
    </row>
    <row r="81" spans="2:153" ht="19.5" customHeight="1">
      <c r="B81" s="2746" t="s">
        <v>219</v>
      </c>
      <c r="C81" s="2747"/>
      <c r="D81" s="164">
        <f ca="1">'Project Demand'!N5</f>
        <v>44439.670989930557</v>
      </c>
      <c r="E81" s="1359"/>
      <c r="F81" s="2773" t="str">
        <f>B4</f>
        <v>Subfloor</v>
      </c>
      <c r="G81" s="2639"/>
      <c r="H81" s="2773" t="str">
        <f>B3</f>
        <v>Wall Across</v>
      </c>
      <c r="I81" s="2639"/>
      <c r="J81" s="2795" t="str">
        <f>DA4</f>
        <v>Achieved BU's =</v>
      </c>
      <c r="K81" s="2639"/>
      <c r="L81" s="45">
        <f ca="1">M2/M3</f>
        <v>0</v>
      </c>
      <c r="M81" s="46">
        <f ca="1">M2</f>
        <v>0</v>
      </c>
      <c r="N81" s="45">
        <f ca="1">O2/O3</f>
        <v>0</v>
      </c>
      <c r="O81" s="128">
        <f ca="1">O2</f>
        <v>0</v>
      </c>
      <c r="P81" s="133"/>
      <c r="R81" s="52"/>
      <c r="S81" s="52"/>
      <c r="T81" s="52"/>
      <c r="U81" s="52"/>
      <c r="V81" s="52"/>
      <c r="W81" s="52"/>
      <c r="X81" s="52"/>
      <c r="Y81" s="896"/>
      <c r="Z81" s="52"/>
      <c r="AA81" s="52"/>
      <c r="AB81" s="52"/>
      <c r="AC81" s="9"/>
      <c r="AO81" s="51"/>
      <c r="AP81" s="51"/>
      <c r="AQ81" s="51"/>
      <c r="AR81" s="51"/>
      <c r="AS81" s="51"/>
      <c r="AT81" s="51"/>
      <c r="AU81" s="51"/>
      <c r="AV81" s="1"/>
      <c r="AW81" s="1"/>
      <c r="AX81" s="1"/>
      <c r="AY81" s="1"/>
      <c r="AZ81" s="1"/>
      <c r="BA81" s="1"/>
      <c r="BB81" s="1"/>
      <c r="BC81" s="1"/>
      <c r="BD81" s="652"/>
      <c r="BE81" s="1"/>
      <c r="BF81" s="51"/>
      <c r="BG81" s="51"/>
      <c r="BI81" s="759"/>
      <c r="BJ81" s="897">
        <f t="shared" si="37"/>
        <v>73</v>
      </c>
      <c r="BK81" s="764"/>
      <c r="BL81" s="766"/>
      <c r="BM81" s="455">
        <f>Table!AB5</f>
        <v>0.6</v>
      </c>
      <c r="BN81" s="455">
        <f>BM82</f>
        <v>0.8</v>
      </c>
      <c r="BO81" s="455">
        <f>Table!AC5</f>
        <v>110</v>
      </c>
      <c r="BP81" s="925">
        <f>Table!AD5</f>
        <v>104</v>
      </c>
      <c r="BR81" s="764"/>
      <c r="BS81" s="455"/>
      <c r="BT81" s="455"/>
      <c r="BU81" s="925" t="s">
        <v>242</v>
      </c>
      <c r="BV81" s="895"/>
      <c r="BW81" s="912"/>
      <c r="BX81" s="925" t="str">
        <f>Table!AF5</f>
        <v>Single</v>
      </c>
      <c r="CH81" s="764">
        <f>IF(BN81=999,0,(BO82-BO81)/(BN81-BM81))</f>
        <v>49.999999999999986</v>
      </c>
      <c r="CI81" s="925">
        <f>IF(BN81=999,0,(BP82-BP81)/(BN81-BM81))</f>
        <v>24.999999999999993</v>
      </c>
      <c r="CJ81" s="759"/>
      <c r="CK81" s="188"/>
      <c r="CL81" s="52"/>
      <c r="EI81" s="746">
        <f ca="1">SUM(EI8:EI78)</f>
        <v>0</v>
      </c>
      <c r="EJ81" s="746">
        <f ca="1">SUM(EJ8:EJ78)</f>
        <v>0</v>
      </c>
      <c r="EK81" s="747">
        <f>SUM(EK8:EK78)</f>
        <v>0</v>
      </c>
      <c r="EL81" s="748">
        <f>SUM(EL8:EL78)</f>
        <v>0</v>
      </c>
      <c r="ET81" s="746">
        <f ca="1">SUM(ET8:ET78)</f>
        <v>0</v>
      </c>
      <c r="EU81" s="746">
        <f ca="1">SUM(EU8:EU78)</f>
        <v>0</v>
      </c>
      <c r="EW81" s="427"/>
    </row>
    <row r="82" spans="2:153" ht="18" customHeight="1" thickBot="1">
      <c r="B82" s="2770" t="str">
        <f>FP</f>
        <v>Elephant QuickBrace™ September 2018  V.1.0</v>
      </c>
      <c r="C82" s="2771"/>
      <c r="D82" s="2771"/>
      <c r="E82" s="2771"/>
      <c r="F82" s="2771"/>
      <c r="G82" s="2771"/>
      <c r="H82" s="2772"/>
      <c r="I82" s="2757" t="str">
        <f>K3</f>
        <v>Total Demand =</v>
      </c>
      <c r="J82" s="2758"/>
      <c r="K82" s="2759"/>
      <c r="L82" s="1795" t="str">
        <f>$BH$3</f>
        <v>Bu's</v>
      </c>
      <c r="M82" s="1796">
        <f>M3</f>
        <v>770</v>
      </c>
      <c r="N82" s="1795" t="str">
        <f>$BH$3</f>
        <v>Bu's</v>
      </c>
      <c r="O82" s="1797">
        <f>O3</f>
        <v>1206</v>
      </c>
      <c r="P82" s="132"/>
      <c r="R82" s="52"/>
      <c r="S82" s="52"/>
      <c r="T82" s="52"/>
      <c r="U82" s="52"/>
      <c r="V82" s="52"/>
      <c r="W82" s="52"/>
      <c r="X82" s="52"/>
      <c r="Y82" s="896"/>
      <c r="Z82" s="52"/>
      <c r="AA82" s="52"/>
      <c r="AB82" s="52"/>
      <c r="AC82" s="9"/>
      <c r="AO82" s="51"/>
      <c r="AP82" s="51"/>
      <c r="AQ82" s="51"/>
      <c r="AR82" s="51"/>
      <c r="AS82" s="51"/>
      <c r="AT82" s="51"/>
      <c r="AU82" s="51"/>
      <c r="AV82" s="1"/>
      <c r="AW82" s="1"/>
      <c r="AX82" s="1"/>
      <c r="AY82" s="1"/>
      <c r="AZ82" s="1"/>
      <c r="BA82" s="1"/>
      <c r="BB82" s="1"/>
      <c r="BC82" s="1"/>
      <c r="BD82" s="652"/>
      <c r="BE82" s="1"/>
      <c r="BF82" s="51"/>
      <c r="BG82" s="51"/>
      <c r="BI82" s="759"/>
      <c r="BJ82" s="897">
        <f t="shared" ref="BJ82:BJ88" si="53">BJ81+1</f>
        <v>74</v>
      </c>
      <c r="BK82" s="764"/>
      <c r="BL82" s="766"/>
      <c r="BM82" s="455">
        <f>Table!AB6</f>
        <v>0.8</v>
      </c>
      <c r="BN82" s="455">
        <f>BM83</f>
        <v>1</v>
      </c>
      <c r="BO82" s="455">
        <f>Table!AC6</f>
        <v>120</v>
      </c>
      <c r="BP82" s="925">
        <f>Table!AD6</f>
        <v>109</v>
      </c>
      <c r="BR82" s="764"/>
      <c r="BS82" s="455"/>
      <c r="BT82" s="455"/>
      <c r="BU82" s="925" t="s">
        <v>242</v>
      </c>
      <c r="BV82" s="895"/>
      <c r="BW82" s="912"/>
      <c r="BX82" s="925" t="str">
        <f>Table!AF5</f>
        <v>Single</v>
      </c>
      <c r="CH82" s="764">
        <f>IF(BN82=999,0,(BO83-BO82)/(BN82-BM82))</f>
        <v>55.000000000000014</v>
      </c>
      <c r="CI82" s="925">
        <f>IF(BN82=999,0,(BP83-BP82)/(BN82-BM82))</f>
        <v>10.000000000000002</v>
      </c>
      <c r="CJ82" s="759"/>
      <c r="CK82" s="188"/>
      <c r="CL82" s="52"/>
      <c r="EI82" s="749">
        <f ca="1">SUM(EI8:EI12)+(IF($B14=$B8,IF($B20=$B8,(SUM(EI20:EI25)+SUM(EI14:EI18)),SUM(EI14:EI18)),0))</f>
        <v>0</v>
      </c>
      <c r="EJ82" s="750">
        <f ca="1">SUM(EJ8:EJ12)+(IF($B14=$B8,IF($B20=$B8,(SUM(EJ20:EJ25)+SUM(EJ14:EJ18)),SUM(EJ14:EJ18)),0))</f>
        <v>0</v>
      </c>
      <c r="EK82" s="751">
        <f ca="1">SUM(EK8:EK12)+(IF($B14=$B8,IF($B20=$B8,(SUM(EK20:EK25)+SUM(EK14:EK18)),SUM(EK14:EK18)),0))</f>
        <v>0</v>
      </c>
      <c r="EL82" s="750">
        <f ca="1">SUM(EL8:EL12)+(IF($B14=$B8,IF($B20=$B8,(SUM(EL20:EL25)+SUM(EL14:EL18)),SUM(EL14:EL18)),0))</f>
        <v>0</v>
      </c>
      <c r="EW82" s="427"/>
    </row>
    <row r="83" spans="2:153" ht="15" customHeight="1">
      <c r="B83" s="543" t="s">
        <v>898</v>
      </c>
      <c r="C83" s="129"/>
      <c r="D83" s="129"/>
      <c r="E83" s="129"/>
      <c r="F83" s="129"/>
      <c r="G83" s="154" t="str">
        <f>IF('Project Demand'!AQ59=2,"Alternatively Sourced Demands are used in this sheet","")</f>
        <v/>
      </c>
      <c r="H83" s="130"/>
      <c r="I83" s="130"/>
      <c r="J83" s="130"/>
      <c r="K83" s="130"/>
      <c r="L83" s="2760" t="str">
        <f ca="1">IF(M81&lt;M82,"NOT Enough","")</f>
        <v>NOT Enough</v>
      </c>
      <c r="M83" s="2760"/>
      <c r="N83" s="2760" t="str">
        <f ca="1">IF(O81&lt;O82,"NOT Enough","")</f>
        <v>NOT Enough</v>
      </c>
      <c r="O83" s="2769"/>
      <c r="P83" s="122"/>
      <c r="R83" s="52"/>
      <c r="S83" s="52"/>
      <c r="T83" s="52"/>
      <c r="U83" s="52"/>
      <c r="V83" s="52"/>
      <c r="W83" s="52"/>
      <c r="X83" s="52"/>
      <c r="Y83" s="896"/>
      <c r="Z83" s="52"/>
      <c r="AA83" s="52"/>
      <c r="AB83" s="52"/>
      <c r="AC83" s="9"/>
      <c r="AD83" s="1"/>
      <c r="AE83" s="1"/>
      <c r="AF83" s="1"/>
      <c r="AG83" s="1"/>
      <c r="AH83" s="1"/>
      <c r="AI83" s="1"/>
      <c r="AJ83" s="1"/>
      <c r="AK83" s="1"/>
      <c r="AL83" s="1"/>
      <c r="AM83" s="6"/>
      <c r="AN83" s="51"/>
      <c r="AO83" s="51"/>
      <c r="AP83" s="51"/>
      <c r="AQ83" s="51"/>
      <c r="AR83" s="51"/>
      <c r="AS83" s="51"/>
      <c r="AT83" s="51"/>
      <c r="AU83" s="51"/>
      <c r="AV83" s="1"/>
      <c r="AW83" s="1"/>
      <c r="AX83" s="1"/>
      <c r="AY83" s="1"/>
      <c r="AZ83" s="1"/>
      <c r="BA83" s="1"/>
      <c r="BB83" s="1"/>
      <c r="BC83" s="1"/>
      <c r="BD83" s="652"/>
      <c r="BE83" s="1"/>
      <c r="BF83" s="51"/>
      <c r="BG83" s="51"/>
      <c r="BI83" s="759"/>
      <c r="BJ83" s="897">
        <f t="shared" si="53"/>
        <v>75</v>
      </c>
      <c r="BK83" s="764"/>
      <c r="BL83" s="766"/>
      <c r="BM83" s="455">
        <f>Table!AB7</f>
        <v>1</v>
      </c>
      <c r="BN83" s="455">
        <f>BM84</f>
        <v>1.2</v>
      </c>
      <c r="BO83" s="455">
        <f>Table!AC7</f>
        <v>131</v>
      </c>
      <c r="BP83" s="925">
        <f>Table!AD7</f>
        <v>111</v>
      </c>
      <c r="BR83" s="764"/>
      <c r="BS83" s="455"/>
      <c r="BT83" s="455"/>
      <c r="BU83" s="925" t="s">
        <v>242</v>
      </c>
      <c r="BV83" s="895"/>
      <c r="BW83" s="912"/>
      <c r="BX83" s="925" t="str">
        <f>Table!AF5</f>
        <v>Single</v>
      </c>
      <c r="CH83" s="764">
        <f>IF(BN83=999,0,(BO84-BO83)/(BN83-BM83))</f>
        <v>45.000000000000007</v>
      </c>
      <c r="CI83" s="925">
        <f>IF(BN83=999,0,(BP84-BP83)/(BN83-BM83))</f>
        <v>20.000000000000004</v>
      </c>
      <c r="CJ83" s="759"/>
      <c r="CL83" s="52"/>
      <c r="EW83" s="427"/>
    </row>
    <row r="84" spans="2:153" ht="14.1" customHeight="1" thickBot="1">
      <c r="B84" s="131" t="str">
        <f ca="1">IF(ISERROR(FIND($EM$4,EM8&amp;EM9&amp;EM10&amp;EM11&amp;EM12&amp;EM14&amp;EM15&amp;EM16&amp;EM17&amp;EM18&amp;EM20&amp;EM21&amp;EM22&amp;EM23&amp;EM24&amp;EM26&amp;EM27&amp;EM28&amp;EM29&amp;EM30&amp;EM32&amp;EM33&amp;EM34&amp;EM35&amp;EM36&amp;EM38&amp;EM39&amp;EM40&amp;EM41&amp;EM42&amp;EM44&amp;EM45&amp;EM46&amp;EM47&amp;EM48&amp;EM50&amp;EM51&amp;EM52&amp;EM53&amp;EM54&amp;EM56&amp;EM57&amp;EM58&amp;EM59&amp;EM60&amp;EM62&amp;EM63&amp;EM64&amp;EM65&amp;EM66&amp;EM68&amp;EM69&amp;EM70&amp;EM71&amp;EM72&amp;EM74&amp;EM75&amp;EM76&amp;EM77&amp;EM78,1)),"",BE70)</f>
        <v/>
      </c>
      <c r="C84"/>
      <c r="D84"/>
      <c r="E84"/>
      <c r="F84"/>
      <c r="H84"/>
      <c r="I84" s="1"/>
      <c r="J84" s="57" t="str">
        <f ca="1">IF(ISERROR(FIND("Achieved &lt;",Q13&amp;Q19&amp;Q25&amp;Q31&amp;Q37&amp;Q43&amp;Q49&amp;Q55&amp;Q61&amp;Q67&amp;Q73&amp;Q79,1)),"","* Minimum Req./Line not reached")</f>
        <v/>
      </c>
      <c r="K84"/>
      <c r="L84"/>
      <c r="M84"/>
      <c r="N84"/>
      <c r="O84" s="118"/>
      <c r="Q84" s="52"/>
      <c r="R84" s="52"/>
      <c r="S84" s="52"/>
      <c r="T84" s="52"/>
      <c r="U84" s="52"/>
      <c r="V84" s="52"/>
      <c r="W84" s="52"/>
      <c r="X84" s="52"/>
      <c r="Y84" s="896"/>
      <c r="Z84" s="52"/>
      <c r="AA84" s="52"/>
      <c r="AB84" s="52"/>
      <c r="AC84" s="9"/>
      <c r="AD84" s="31"/>
      <c r="AE84" s="31"/>
      <c r="AF84" s="31"/>
      <c r="AG84" s="31"/>
      <c r="AH84" s="1"/>
      <c r="AI84" s="1"/>
      <c r="AJ84" s="1"/>
      <c r="AK84" s="1"/>
      <c r="AL84" s="1"/>
      <c r="AM84" s="6"/>
      <c r="AN84" s="51"/>
      <c r="AO84" s="51"/>
      <c r="AP84" s="51"/>
      <c r="AQ84" s="51"/>
      <c r="AR84" s="51"/>
      <c r="AS84" s="51"/>
      <c r="AT84" s="51"/>
      <c r="AU84" s="51"/>
      <c r="AV84" s="1"/>
      <c r="AW84" s="1"/>
      <c r="AX84" s="1"/>
      <c r="AY84" s="1"/>
      <c r="AZ84" s="1"/>
      <c r="BA84" s="1"/>
      <c r="BB84" s="1"/>
      <c r="BC84" s="1"/>
      <c r="BD84" s="652"/>
      <c r="BE84" s="1"/>
      <c r="BF84" s="51"/>
      <c r="BG84" s="51"/>
      <c r="BI84" s="759"/>
      <c r="BJ84" s="897">
        <f t="shared" si="53"/>
        <v>76</v>
      </c>
      <c r="BK84" s="908"/>
      <c r="BL84" s="767"/>
      <c r="BM84" s="776">
        <f>Table!AB8</f>
        <v>1.2</v>
      </c>
      <c r="BN84" s="776">
        <v>999</v>
      </c>
      <c r="BO84" s="776">
        <f>Table!AC8</f>
        <v>140</v>
      </c>
      <c r="BP84" s="926">
        <f>Table!AD8</f>
        <v>115</v>
      </c>
      <c r="BQ84" s="1183"/>
      <c r="BR84" s="908"/>
      <c r="BS84" s="776"/>
      <c r="BT84" s="776"/>
      <c r="BU84" s="926" t="s">
        <v>242</v>
      </c>
      <c r="BV84" s="433"/>
      <c r="BW84" s="914"/>
      <c r="BX84" s="926" t="str">
        <f>Table!AF5</f>
        <v>Single</v>
      </c>
      <c r="CH84" s="908">
        <f>IF(BN84=999,0,(BO85-BO84)/(BN84-BM84))</f>
        <v>0</v>
      </c>
      <c r="CI84" s="926">
        <f>IF(BN84=999,0,(BP85-BP84)/(BN84-BM84))</f>
        <v>0</v>
      </c>
      <c r="CJ84" s="759"/>
      <c r="CK84" s="498"/>
      <c r="CL84" s="52"/>
      <c r="EW84" s="427"/>
    </row>
    <row r="85" spans="2:153" ht="14.1" customHeight="1" thickBot="1">
      <c r="B85" s="2753" t="str">
        <f ca="1">IF(OR((L79+N79)&lt;&gt;(L$5+N$5),(L73+N73)&lt;&gt;(L$5+N$5),(L67+N67)&lt;&gt;(L$5+N$5),(L61+N61)&lt;&gt;(L$5+N$5),(L55+N55)&lt;&gt;(L$5+N$5),(L49+N49)&lt;&gt;(L$5+N$5),(L43+N43)&lt;&gt;(L$5+N$5),(L37+N37)&lt;&gt;(L$5+N$5),(L31+N31)&lt;&gt;(L$5+N$5),(L25+N25)&lt;&gt;(L$5+N$5),(L19+N19)&lt;&gt;(L$5+N$5),(L13+N13)&lt;&gt;(L$5+N$5)),$BE$68,"")</f>
        <v/>
      </c>
      <c r="C85" s="2754"/>
      <c r="D85" s="2754"/>
      <c r="E85" s="2754"/>
      <c r="F85" s="2754"/>
      <c r="G85" s="492"/>
      <c r="H85" s="492"/>
      <c r="I85" s="493"/>
      <c r="J85" s="495" t="str">
        <f ca="1">IF(ISERROR(FIND("More R",Q13&amp;Q19&amp;Q25&amp;Q31&amp;Q37&amp;Q43&amp;Q49&amp;Q55&amp;Q61&amp;Q67&amp;Q73&amp;Q79,1)),"","* More required for Overridden Minimum Req./Line ")</f>
        <v/>
      </c>
      <c r="K85" s="492"/>
      <c r="L85" s="1454"/>
      <c r="M85" s="1454"/>
      <c r="N85" s="1454"/>
      <c r="O85" s="1455"/>
      <c r="Q85" s="52"/>
      <c r="R85" s="52"/>
      <c r="S85" s="52"/>
      <c r="T85" s="52"/>
      <c r="U85" s="52"/>
      <c r="V85" s="52"/>
      <c r="W85" s="52"/>
      <c r="X85" s="52"/>
      <c r="Y85" s="896"/>
      <c r="Z85" s="52"/>
      <c r="AA85" s="52"/>
      <c r="AB85" s="52"/>
      <c r="AC85" s="9"/>
      <c r="AD85" s="31"/>
      <c r="AE85" s="31"/>
      <c r="AF85" s="31"/>
      <c r="AG85" s="31"/>
      <c r="AH85" s="1"/>
      <c r="AI85" s="1"/>
      <c r="AJ85" s="1"/>
      <c r="AK85" s="1"/>
      <c r="AL85" s="1"/>
      <c r="AM85" s="6"/>
      <c r="AN85" s="51"/>
      <c r="AO85" s="51"/>
      <c r="AP85" s="51"/>
      <c r="AQ85" s="51"/>
      <c r="AR85" s="51"/>
      <c r="AS85" s="51"/>
      <c r="AT85" s="51"/>
      <c r="AU85" s="51"/>
      <c r="AV85" s="1"/>
      <c r="AW85" s="1"/>
      <c r="AX85" s="1"/>
      <c r="AY85" s="1"/>
      <c r="AZ85" s="1"/>
      <c r="BA85" s="1"/>
      <c r="BB85" s="1"/>
      <c r="BC85" s="1"/>
      <c r="BD85" s="652"/>
      <c r="BE85" s="1"/>
      <c r="BF85" s="51"/>
      <c r="BG85" s="51"/>
      <c r="BI85" s="759"/>
      <c r="BJ85" s="897">
        <f t="shared" si="53"/>
        <v>77</v>
      </c>
      <c r="BK85" s="1231"/>
      <c r="BL85" s="1234"/>
      <c r="BM85" s="1205"/>
      <c r="BN85" s="1205"/>
      <c r="BO85" s="1205"/>
      <c r="BP85" s="1205"/>
      <c r="BQ85" s="1233"/>
      <c r="BR85" s="1205"/>
      <c r="BS85" s="1205"/>
      <c r="BT85" s="1205"/>
      <c r="BU85" s="1205"/>
      <c r="BV85" s="1233"/>
      <c r="BW85" s="1235"/>
      <c r="CH85" s="970"/>
      <c r="CI85" s="971"/>
      <c r="CJ85" s="759"/>
      <c r="CK85" s="498"/>
      <c r="CL85" s="52"/>
      <c r="EW85" s="427"/>
    </row>
    <row r="86" spans="2:153" ht="24" customHeight="1" thickBot="1">
      <c r="B86" s="869" t="s">
        <v>899</v>
      </c>
      <c r="C86" s="496"/>
      <c r="D86" s="496"/>
      <c r="E86" s="496"/>
      <c r="F86" s="56"/>
      <c r="G86" s="56"/>
      <c r="H86" s="56"/>
      <c r="I86" s="2755" t="str">
        <f ca="1">IF(ISERROR(FIND(EP4,EP8&amp;EP9&amp;EP10&amp;EP11&amp;EP12&amp;EP14&amp;EP15&amp;EP16&amp;EP17&amp;EP18&amp;EP20&amp;EP21&amp;EP22&amp;EP23&amp;EP24&amp;EP26&amp;EP27&amp;EP28&amp;EP29&amp;EP30&amp;EP32&amp;EP33&amp;EP34&amp;EP35&amp;EP36&amp;EP38&amp;EP39&amp;EP40&amp;EP41&amp;EP42&amp;EP44&amp;EP45&amp;EP46&amp;EP47&amp;EP48&amp;EP50&amp;EP51&amp;EP52&amp;EP53&amp;EP54&amp;EP56&amp;EP57&amp;EP58&amp;EP59&amp;EP60&amp;EP62&amp;EP63&amp;EP64&amp;EP65&amp;EP66&amp;EP68&amp;EP69&amp;EP70&amp;EP71&amp;EP72&amp;EP74&amp;EP75&amp;EP76&amp;EP77&amp;EP88,1)),"",BE71)</f>
        <v/>
      </c>
      <c r="J86" s="2755"/>
      <c r="K86" s="2756"/>
      <c r="L86" s="2763" t="s">
        <v>1089</v>
      </c>
      <c r="M86" s="2764"/>
      <c r="N86" s="2764"/>
      <c r="O86" s="2765"/>
      <c r="P86" s="58"/>
      <c r="Q86" s="52"/>
      <c r="R86" s="52"/>
      <c r="S86" s="52"/>
      <c r="T86" s="52"/>
      <c r="U86" s="52"/>
      <c r="V86" s="52"/>
      <c r="W86" s="52"/>
      <c r="X86" s="52"/>
      <c r="Y86" s="896"/>
      <c r="Z86" s="52"/>
      <c r="AA86" s="52"/>
      <c r="AB86" s="52"/>
      <c r="AC86" s="9"/>
      <c r="AD86" s="31"/>
      <c r="AE86" s="31"/>
      <c r="AF86" s="31"/>
      <c r="AG86" s="31"/>
      <c r="AH86" s="1"/>
      <c r="AI86" s="1"/>
      <c r="AJ86" s="1"/>
      <c r="AK86" s="1"/>
      <c r="AL86" s="1"/>
      <c r="AM86" s="6"/>
      <c r="AN86" s="51"/>
      <c r="AO86" s="51"/>
      <c r="AP86" s="51"/>
      <c r="AQ86" s="51"/>
      <c r="AR86" s="51"/>
      <c r="AS86" s="51"/>
      <c r="AT86" s="51"/>
      <c r="AU86" s="51"/>
      <c r="AV86" s="1"/>
      <c r="AW86" s="1"/>
      <c r="AX86" s="1"/>
      <c r="AY86" s="1"/>
      <c r="AZ86" s="1"/>
      <c r="BA86" s="1"/>
      <c r="BB86" s="1"/>
      <c r="BC86" s="1"/>
      <c r="BD86" s="652"/>
      <c r="BE86" s="1"/>
      <c r="BF86" s="51"/>
      <c r="BG86" s="51"/>
      <c r="BI86" s="759"/>
      <c r="BJ86" s="897">
        <f t="shared" si="53"/>
        <v>78</v>
      </c>
      <c r="BK86" s="768" t="str">
        <f>BK80</f>
        <v xml:space="preserve">EPB </v>
      </c>
      <c r="BL86" s="765" t="str">
        <f>Table!AA10</f>
        <v>EMSH</v>
      </c>
      <c r="BM86" s="454">
        <f>Table!AB10</f>
        <v>0.4</v>
      </c>
      <c r="BN86" s="454">
        <f>BM87</f>
        <v>0.6</v>
      </c>
      <c r="BO86" s="454">
        <f>Table!AC10</f>
        <v>110</v>
      </c>
      <c r="BP86" s="924">
        <f>Table!AD10</f>
        <v>115</v>
      </c>
      <c r="BQ86" s="920"/>
      <c r="BR86" s="768" t="str">
        <f>Table!AE10</f>
        <v>ESSH</v>
      </c>
      <c r="BS86" s="454" t="str">
        <f>Table!AE11</f>
        <v>ESSH</v>
      </c>
      <c r="BT86" s="454" t="str">
        <f>Table!AF10</f>
        <v>I</v>
      </c>
      <c r="BU86" s="924" t="s">
        <v>242</v>
      </c>
      <c r="BV86" s="1230" t="str">
        <f>Table!AI80</f>
        <v>EMSH</v>
      </c>
      <c r="BW86" s="1229">
        <f>BJ86</f>
        <v>78</v>
      </c>
      <c r="BX86" s="924" t="str">
        <f>Table!AF11</f>
        <v>Double</v>
      </c>
      <c r="CH86" s="768">
        <f>IF(BN86=999,0,(BO87-BO86)/(BN86-BM86))</f>
        <v>120.00000000000003</v>
      </c>
      <c r="CI86" s="924">
        <f>IF(BN86=999,0,(BP87-BP86)/(BN86-BM86))</f>
        <v>115.00000000000003</v>
      </c>
      <c r="CJ86" s="759"/>
      <c r="CK86" s="498"/>
      <c r="CL86" s="52"/>
      <c r="EW86" s="427"/>
    </row>
    <row r="87" spans="2:153" ht="24" customHeight="1">
      <c r="B87" s="131" t="str">
        <f ca="1">IF(ISERROR(FIND("check L",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Minimum wall length not acheived for some systems")</f>
        <v/>
      </c>
      <c r="C87" s="494"/>
      <c r="D87" s="494"/>
      <c r="E87" s="494"/>
      <c r="F87"/>
      <c r="G87" s="1"/>
      <c r="H87" s="2889" t="str">
        <f ca="1">IF(ISERROR(FIND("3 Levels",EQ8&amp;EQ9&amp;EQ10&amp;EQ11&amp;EQ12&amp;EQ14&amp;EQ15&amp;EQ16&amp;EQ17&amp;EQ18&amp;EQ20&amp;EQ21&amp;EQ22&amp;EQ23&amp;EQ24&amp;EQ26&amp;EQ27&amp;EQ28&amp;EQ29&amp;EQ30&amp;EQ32&amp;EQ33&amp;EQ34&amp;EQ35&amp;EQ36&amp;EQ38&amp;EQ39&amp;EQ40&amp;EQ41&amp;EQ42&amp;EQ44&amp;EQ45&amp;EQ46&amp;EQ47&amp;EQ48&amp;EQ50&amp;EQ51&amp;EQ52&amp;EQ53&amp;EQ54&amp;EQ56&amp;EQ57&amp;EQ58&amp;EQ59&amp;EQ60&amp;EQ62&amp;EQ63&amp;EQ64&amp;EQ65&amp;EQ66&amp;EQ68&amp;EQ69&amp;EQ70&amp;EQ71&amp;EQ72&amp;EQ74&amp;EQ75&amp;EQ76&amp;EQ77&amp;EQ78,1)),"",BE73)</f>
        <v/>
      </c>
      <c r="I87" s="2889"/>
      <c r="J87" s="2889"/>
      <c r="K87" s="2890"/>
      <c r="L87" s="2621" t="s">
        <v>1</v>
      </c>
      <c r="M87" s="2622"/>
      <c r="N87" s="2623" t="s">
        <v>17</v>
      </c>
      <c r="O87" s="2624"/>
      <c r="P87" s="58"/>
      <c r="Q87" s="52"/>
      <c r="R87" s="52"/>
      <c r="S87" s="52"/>
      <c r="T87" s="52"/>
      <c r="U87" s="52"/>
      <c r="V87" s="52"/>
      <c r="W87" s="52"/>
      <c r="X87" s="52"/>
      <c r="Y87" s="896"/>
      <c r="Z87" s="52"/>
      <c r="AA87" s="52"/>
      <c r="AB87" s="52"/>
      <c r="AC87" s="9"/>
      <c r="AD87" s="31"/>
      <c r="AE87" s="31"/>
      <c r="AF87" s="31"/>
      <c r="AG87" s="31"/>
      <c r="AH87" s="1"/>
      <c r="AI87" s="1"/>
      <c r="AJ87" s="1"/>
      <c r="AK87" s="1"/>
      <c r="AL87" s="1"/>
      <c r="AM87" s="6"/>
      <c r="AN87" s="51"/>
      <c r="AO87" s="51"/>
      <c r="AP87" s="51"/>
      <c r="AQ87" s="51"/>
      <c r="AR87" s="51"/>
      <c r="AS87" s="51"/>
      <c r="AT87" s="51"/>
      <c r="AU87" s="51"/>
      <c r="AV87" s="1"/>
      <c r="AW87" s="1"/>
      <c r="AX87" s="1"/>
      <c r="AY87" s="1"/>
      <c r="AZ87" s="1"/>
      <c r="BA87" s="1"/>
      <c r="BB87" s="1"/>
      <c r="BC87" s="1"/>
      <c r="BD87" s="652"/>
      <c r="BE87" s="1"/>
      <c r="BF87" s="51"/>
      <c r="BG87" s="51"/>
      <c r="BI87" s="759"/>
      <c r="BJ87" s="897">
        <f t="shared" si="53"/>
        <v>79</v>
      </c>
      <c r="BK87" s="764"/>
      <c r="BL87" s="766"/>
      <c r="BM87" s="455">
        <f>Table!AB11</f>
        <v>0.6</v>
      </c>
      <c r="BN87" s="455">
        <f>BM88</f>
        <v>0.8</v>
      </c>
      <c r="BO87" s="455">
        <f>Table!AC11</f>
        <v>134</v>
      </c>
      <c r="BP87" s="925">
        <f>Table!AD11</f>
        <v>138</v>
      </c>
      <c r="BR87" s="764"/>
      <c r="BS87" s="455"/>
      <c r="BT87" s="455"/>
      <c r="BU87" s="925" t="s">
        <v>242</v>
      </c>
      <c r="BV87" s="895"/>
      <c r="BW87" s="912"/>
      <c r="BX87" s="925" t="str">
        <f>Table!AF11</f>
        <v>Double</v>
      </c>
      <c r="CH87" s="764">
        <f>IF(BN87=999,0,(BO88-BO87)/(BN87-BM87))</f>
        <v>44.999999999999986</v>
      </c>
      <c r="CI87" s="925">
        <f>IF(BN87=999,0,(BP88-BP87)/(BN87-BM87))</f>
        <v>-19.999999999999993</v>
      </c>
      <c r="CJ87" s="759"/>
      <c r="CK87" s="498"/>
      <c r="CL87" s="52"/>
      <c r="EW87" s="427"/>
    </row>
    <row r="88" spans="2:153" ht="24" customHeight="1">
      <c r="B88" s="131" t="str">
        <f ca="1">IF(ISERROR(FIND(BE66,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Internal Systems on External Walls.  Are you sure?")</f>
        <v/>
      </c>
      <c r="C88" s="35"/>
      <c r="D88" s="141"/>
      <c r="E88" s="141"/>
      <c r="F88" s="143"/>
      <c r="G88" s="144"/>
      <c r="H88" s="31"/>
      <c r="I88" s="1376" t="str">
        <f ca="1">IF(ISERROR(FIND(BE67,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Double Sided System on Single Sided Wall")</f>
        <v/>
      </c>
      <c r="L88" s="1357" t="str">
        <f>IF($BG$4=1,$BG$42,$BH$42)</f>
        <v>Left    Line</v>
      </c>
      <c r="M88" s="1434" t="str">
        <f>IF($BG$4=1,$BG$43,$BH$43)</f>
        <v>Right  Line</v>
      </c>
      <c r="N88" s="1449" t="str">
        <f>IF($BG$4=1,$BG$42,$BH$42)</f>
        <v>Left    Line</v>
      </c>
      <c r="O88" s="1358" t="str">
        <f>IF($BG$4=1,$BG$43,$BH$43)</f>
        <v>Right  Line</v>
      </c>
      <c r="Q88" s="52"/>
      <c r="R88" s="52"/>
      <c r="S88" s="52"/>
      <c r="T88" s="52"/>
      <c r="U88" s="52"/>
      <c r="V88" s="52"/>
      <c r="W88" s="52"/>
      <c r="X88" s="52"/>
      <c r="Y88" s="896"/>
      <c r="Z88" s="52" t="s">
        <v>8</v>
      </c>
      <c r="AA88" s="51"/>
      <c r="AB88" s="51"/>
      <c r="AC88" s="1"/>
      <c r="AD88" s="31"/>
      <c r="AE88" s="31"/>
      <c r="AF88" s="31"/>
      <c r="AG88" s="31"/>
      <c r="AH88" s="1"/>
      <c r="AI88" s="1"/>
      <c r="AJ88" s="1"/>
      <c r="AK88" s="1"/>
      <c r="AL88" s="1"/>
      <c r="AM88" s="6"/>
      <c r="AN88" s="51"/>
      <c r="AO88" s="51"/>
      <c r="AP88" s="51"/>
      <c r="AQ88" s="51"/>
      <c r="AR88" s="51"/>
      <c r="AS88" s="51"/>
      <c r="AT88" s="51"/>
      <c r="AU88" s="51"/>
      <c r="AV88" s="1"/>
      <c r="AW88" s="1"/>
      <c r="AX88" s="1"/>
      <c r="AY88" s="1"/>
      <c r="AZ88" s="1"/>
      <c r="BA88" s="1"/>
      <c r="BB88" s="1"/>
      <c r="BC88" s="1"/>
      <c r="BD88" s="652"/>
      <c r="BE88" s="1"/>
      <c r="BF88" s="51"/>
      <c r="BG88" s="51"/>
      <c r="BI88" s="759"/>
      <c r="BJ88" s="897">
        <f t="shared" si="53"/>
        <v>80</v>
      </c>
      <c r="BK88" s="764"/>
      <c r="BL88" s="766"/>
      <c r="BM88" s="455">
        <f>Table!AB12</f>
        <v>0.8</v>
      </c>
      <c r="BN88" s="455">
        <f>BM89</f>
        <v>1</v>
      </c>
      <c r="BO88" s="455">
        <f>Table!AC12</f>
        <v>143</v>
      </c>
      <c r="BP88" s="925">
        <f>Table!AD12</f>
        <v>134</v>
      </c>
      <c r="BR88" s="764"/>
      <c r="BS88" s="455"/>
      <c r="BT88" s="455"/>
      <c r="BU88" s="925" t="s">
        <v>242</v>
      </c>
      <c r="BV88" s="895"/>
      <c r="BW88" s="912"/>
      <c r="BX88" s="925" t="str">
        <f>Table!AF11</f>
        <v>Double</v>
      </c>
      <c r="CH88" s="764">
        <f>IF(BN88=999,0,(BO89-BO88)/(BN88-BM88))</f>
        <v>45.000000000000007</v>
      </c>
      <c r="CI88" s="925">
        <f>IF(BN88=999,0,(BP89-BP88)/(BN88-BM88))</f>
        <v>35.000000000000007</v>
      </c>
      <c r="CJ88" s="759"/>
      <c r="CK88" s="498"/>
      <c r="CL88" s="52"/>
      <c r="EW88" s="427"/>
    </row>
    <row r="89" spans="2:153" ht="24" customHeight="1" thickBot="1">
      <c r="B89" s="162" t="str">
        <f ca="1">IF(ISERROR(FIND(BE62,Q8&amp;Q9&amp;Q10&amp;Q11&amp;Q12&amp;Q14&amp;Q15&amp;Q16&amp;Q17&amp;Q18&amp;Q20&amp;Q21&amp;Q22&amp;Q23&amp;Q24&amp;Q26&amp;Q27&amp;Q28&amp;Q29&amp;Q30&amp;Q32&amp;Q33&amp;Q34&amp;Q35&amp;Q36&amp;Q38&amp;Q39&amp;Q40&amp;Q41&amp;Q42&amp;Q44&amp;Q45&amp;Q46&amp;Q47&amp;Q48&amp;Q50&amp;Q51&amp;Q52&amp;Q53&amp;Q54&amp;Q56&amp;Q57&amp;Q58&amp;Q59&amp;Q60&amp;Q62&amp;Q63&amp;Q64&amp;Q65&amp;Q66&amp;Q68&amp;Q69&amp;Q70&amp;Q71&amp;Q72&amp;Q74&amp;Q75&amp;Q76&amp;Q77&amp;Q78,1)),"","* External Systems on Internal Walls. Are you sure?")</f>
        <v/>
      </c>
      <c r="C89" s="145"/>
      <c r="D89" s="145"/>
      <c r="E89" s="145"/>
      <c r="F89" s="145"/>
      <c r="G89" s="146"/>
      <c r="H89" s="146"/>
      <c r="L89" s="2751" t="str">
        <f ca="1">IF(AND(L90&gt;=L92,M90&gt;=L92),"Achieved","Not reached")</f>
        <v>Not reached</v>
      </c>
      <c r="M89" s="2752"/>
      <c r="N89" s="2774" t="str">
        <f ca="1">IF(AND(N90&gt;=N92,O90&gt;=N92),"Achieved","Not reached")</f>
        <v>Not reached</v>
      </c>
      <c r="O89" s="2775"/>
      <c r="P89" s="51"/>
      <c r="Q89" s="52"/>
      <c r="R89" s="52"/>
      <c r="S89" s="52"/>
      <c r="T89" s="52"/>
      <c r="U89" s="52"/>
      <c r="V89" s="52"/>
      <c r="W89" s="52"/>
      <c r="X89" s="52"/>
      <c r="Y89" s="896"/>
      <c r="Z89" s="52" t="s">
        <v>8</v>
      </c>
      <c r="AA89" s="51"/>
      <c r="AB89" s="51"/>
      <c r="AC89" s="1"/>
      <c r="AD89" s="31"/>
      <c r="AE89" s="31"/>
      <c r="AF89" s="31"/>
      <c r="AG89" s="31"/>
      <c r="AH89" s="1"/>
      <c r="AI89" s="1"/>
      <c r="AJ89" s="1"/>
      <c r="AK89" s="1"/>
      <c r="AL89" s="1"/>
      <c r="AM89" s="6"/>
      <c r="AN89" s="51"/>
      <c r="AO89" s="51"/>
      <c r="AP89" s="51"/>
      <c r="AQ89" s="51"/>
      <c r="AR89" s="51"/>
      <c r="AS89" s="51"/>
      <c r="AT89" s="51"/>
      <c r="AU89" s="51"/>
      <c r="AV89" s="1"/>
      <c r="AW89" s="1"/>
      <c r="AX89" s="1"/>
      <c r="AY89" s="1"/>
      <c r="AZ89" s="1"/>
      <c r="BA89" s="1"/>
      <c r="BB89" s="1"/>
      <c r="BC89" s="1"/>
      <c r="BD89" s="652"/>
      <c r="BE89" s="1"/>
      <c r="BF89" s="51"/>
      <c r="BG89" s="51"/>
      <c r="BI89" s="759"/>
      <c r="BJ89" s="897">
        <f t="shared" ref="BJ89:BJ96" si="54">BJ88+1</f>
        <v>81</v>
      </c>
      <c r="BK89" s="764"/>
      <c r="BL89" s="766"/>
      <c r="BM89" s="455">
        <f>Table!AB13</f>
        <v>1</v>
      </c>
      <c r="BN89" s="455">
        <f>BM90</f>
        <v>1.2</v>
      </c>
      <c r="BO89" s="455">
        <f>Table!AC13</f>
        <v>152</v>
      </c>
      <c r="BP89" s="925">
        <f>Table!AD13</f>
        <v>141</v>
      </c>
      <c r="BR89" s="764"/>
      <c r="BS89" s="455"/>
      <c r="BT89" s="455"/>
      <c r="BU89" s="925" t="s">
        <v>242</v>
      </c>
      <c r="BV89" s="895"/>
      <c r="BW89" s="912"/>
      <c r="BX89" s="925" t="str">
        <f>Table!AF11</f>
        <v>Double</v>
      </c>
      <c r="CH89" s="764">
        <f>IF(BN89=999,0,(BO90-BO89)/(BN89-BM89))</f>
        <v>70.000000000000014</v>
      </c>
      <c r="CI89" s="925">
        <f>IF(BN89=999,0,(BP90-BP89)/(BN89-BM89))</f>
        <v>35.000000000000007</v>
      </c>
      <c r="CJ89" s="759"/>
      <c r="CK89" s="498"/>
      <c r="CL89" s="52"/>
      <c r="EW89" s="427"/>
    </row>
    <row r="90" spans="2:153" ht="24" customHeight="1" thickBot="1">
      <c r="B90" s="426"/>
      <c r="C90" s="451"/>
      <c r="D90" s="52"/>
      <c r="E90" s="52"/>
      <c r="F90" s="497"/>
      <c r="G90" s="426"/>
      <c r="H90" s="51"/>
      <c r="I90" s="2776" t="str">
        <f ca="1">IF(OR(L90&lt;L92,M90&lt;L92,N90&lt;N92,O90&lt;N92),"External Line Totals Not Reached", "External Lines Achieved=")</f>
        <v>External Line Totals Not Reached</v>
      </c>
      <c r="J90" s="2777"/>
      <c r="K90" s="2777"/>
      <c r="L90" s="1810">
        <f ca="1">$EI$81</f>
        <v>0</v>
      </c>
      <c r="M90" s="1811">
        <f>$EK$81</f>
        <v>0</v>
      </c>
      <c r="N90" s="1782">
        <f ca="1">$EJ$81</f>
        <v>0</v>
      </c>
      <c r="O90" s="1783">
        <f>$EL$81</f>
        <v>0</v>
      </c>
      <c r="P90" s="59"/>
      <c r="R90" s="52"/>
      <c r="S90" s="52"/>
      <c r="T90" s="52"/>
      <c r="U90" s="52"/>
      <c r="V90" s="52"/>
      <c r="W90" s="52"/>
      <c r="X90" s="52"/>
      <c r="Y90" s="896"/>
      <c r="Z90" s="52"/>
      <c r="AA90" s="51"/>
      <c r="AB90" s="51"/>
      <c r="AC90" s="1"/>
      <c r="AD90" s="31"/>
      <c r="AE90" s="31"/>
      <c r="AF90" s="31"/>
      <c r="AG90" s="31"/>
      <c r="AH90" s="1"/>
      <c r="AI90" s="1"/>
      <c r="AJ90" s="1"/>
      <c r="AK90" s="1"/>
      <c r="AL90" s="1"/>
      <c r="AM90" s="6"/>
      <c r="AN90" s="51"/>
      <c r="AO90" s="51"/>
      <c r="AP90" s="51"/>
      <c r="AQ90" s="51"/>
      <c r="AR90" s="51"/>
      <c r="AS90" s="51"/>
      <c r="AT90" s="51"/>
      <c r="AU90" s="51"/>
      <c r="AV90" s="1"/>
      <c r="AW90" s="1"/>
      <c r="AX90" s="1"/>
      <c r="AY90" s="1"/>
      <c r="AZ90" s="1"/>
      <c r="BA90" s="1"/>
      <c r="BB90" s="1"/>
      <c r="BC90" s="1"/>
      <c r="BD90" s="652"/>
      <c r="BE90" s="1"/>
      <c r="BF90" s="51"/>
      <c r="BG90" s="51"/>
      <c r="BI90" s="759"/>
      <c r="BJ90" s="897">
        <f t="shared" si="54"/>
        <v>82</v>
      </c>
      <c r="BK90" s="908"/>
      <c r="BL90" s="767"/>
      <c r="BM90" s="776">
        <f>Table!AB14</f>
        <v>1.2</v>
      </c>
      <c r="BN90" s="776">
        <v>999</v>
      </c>
      <c r="BO90" s="776">
        <f>Table!AC14</f>
        <v>166</v>
      </c>
      <c r="BP90" s="926">
        <f>Table!AD14</f>
        <v>148</v>
      </c>
      <c r="BQ90" s="1183"/>
      <c r="BR90" s="908"/>
      <c r="BS90" s="776"/>
      <c r="BT90" s="776"/>
      <c r="BU90" s="926" t="s">
        <v>242</v>
      </c>
      <c r="BV90" s="433"/>
      <c r="BW90" s="914"/>
      <c r="BX90" s="926" t="str">
        <f>Table!AF11</f>
        <v>Double</v>
      </c>
      <c r="CH90" s="908">
        <f>IF(BN90=999,0,(BO91-BO90)/(BN90-BM90))</f>
        <v>0</v>
      </c>
      <c r="CI90" s="926">
        <f>IF(BN90=999,0,(BP91-BP90)/(BN90-BM90))</f>
        <v>0</v>
      </c>
      <c r="CJ90" s="759"/>
      <c r="CK90" s="498"/>
      <c r="CL90" s="52"/>
      <c r="EW90" s="427"/>
    </row>
    <row r="91" spans="2:153" ht="24" customHeight="1" thickBot="1">
      <c r="B91" s="426"/>
      <c r="C91" s="451"/>
      <c r="D91" s="52"/>
      <c r="E91" s="52"/>
      <c r="F91" s="497"/>
      <c r="G91" s="426"/>
      <c r="H91" s="51"/>
      <c r="I91" s="1433"/>
      <c r="J91" s="426"/>
      <c r="K91" s="51"/>
      <c r="L91" s="2632" t="s">
        <v>1091</v>
      </c>
      <c r="M91" s="2761"/>
      <c r="N91" s="2632" t="s">
        <v>1090</v>
      </c>
      <c r="O91" s="2633"/>
      <c r="P91" s="51"/>
      <c r="Q91" s="52"/>
      <c r="R91" s="52"/>
      <c r="S91" s="52"/>
      <c r="T91" s="52"/>
      <c r="U91" s="52"/>
      <c r="V91" s="52"/>
      <c r="W91" s="52"/>
      <c r="X91" s="52"/>
      <c r="Y91" s="896"/>
      <c r="Z91" s="52"/>
      <c r="AA91" s="51"/>
      <c r="AB91" s="51"/>
      <c r="AC91" s="1"/>
      <c r="AD91" s="31"/>
      <c r="AE91" s="31"/>
      <c r="AF91" s="31"/>
      <c r="AG91" s="31"/>
      <c r="AH91" s="1"/>
      <c r="AI91" s="1"/>
      <c r="AJ91" s="1"/>
      <c r="AK91" s="1"/>
      <c r="AL91" s="1"/>
      <c r="AM91" s="6"/>
      <c r="AN91" s="51"/>
      <c r="AO91" s="51"/>
      <c r="AP91" s="51"/>
      <c r="AQ91" s="51"/>
      <c r="AR91" s="51"/>
      <c r="AS91" s="51"/>
      <c r="AT91" s="51"/>
      <c r="AU91" s="51"/>
      <c r="AV91" s="1"/>
      <c r="AW91" s="1"/>
      <c r="AX91" s="1"/>
      <c r="AY91" s="1"/>
      <c r="AZ91" s="1"/>
      <c r="BA91" s="1"/>
      <c r="BB91" s="1"/>
      <c r="BC91" s="1"/>
      <c r="BD91" s="652"/>
      <c r="BE91" s="1"/>
      <c r="BF91" s="51"/>
      <c r="BG91" s="51"/>
      <c r="BI91" s="759"/>
      <c r="BJ91" s="897">
        <f t="shared" si="54"/>
        <v>83</v>
      </c>
      <c r="BK91" s="1231"/>
      <c r="BL91" s="1234"/>
      <c r="BM91" s="1205"/>
      <c r="BN91" s="1205"/>
      <c r="BO91" s="1205"/>
      <c r="BP91" s="1205"/>
      <c r="BQ91" s="1233"/>
      <c r="BR91" s="1205"/>
      <c r="BS91" s="1205"/>
      <c r="BT91" s="1205"/>
      <c r="BU91" s="1205"/>
      <c r="BV91" s="1233"/>
      <c r="BW91" s="1235"/>
      <c r="BX91" s="1205"/>
      <c r="CJ91" s="929"/>
      <c r="CK91" s="498"/>
      <c r="CL91" s="52"/>
      <c r="EW91" s="427"/>
    </row>
    <row r="92" spans="2:153" ht="24" customHeight="1" thickBot="1">
      <c r="B92" s="426"/>
      <c r="C92" s="451"/>
      <c r="D92" s="52"/>
      <c r="E92" s="52"/>
      <c r="F92" s="497"/>
      <c r="G92" s="426"/>
      <c r="H92" s="51"/>
      <c r="I92" s="2744" t="s">
        <v>836</v>
      </c>
      <c r="J92" s="2745"/>
      <c r="K92" s="2745"/>
      <c r="L92" s="2628">
        <f ca="1">$L$4</f>
        <v>150</v>
      </c>
      <c r="M92" s="2762"/>
      <c r="N92" s="2628">
        <f ca="1">$N$4</f>
        <v>150</v>
      </c>
      <c r="O92" s="2629"/>
      <c r="P92" s="51"/>
      <c r="Q92" s="52"/>
      <c r="R92" s="52"/>
      <c r="S92" s="52"/>
      <c r="T92" s="52"/>
      <c r="U92" s="52"/>
      <c r="V92" s="52"/>
      <c r="W92" s="52"/>
      <c r="X92" s="52"/>
      <c r="Y92" s="896"/>
      <c r="Z92" s="52"/>
      <c r="AA92" s="51" t="s">
        <v>8</v>
      </c>
      <c r="AB92" s="51"/>
      <c r="AC92" s="1"/>
      <c r="AD92" s="31"/>
      <c r="AE92" s="31"/>
      <c r="AF92" s="31"/>
      <c r="AG92" s="31"/>
      <c r="AH92" s="1"/>
      <c r="AI92" s="1"/>
      <c r="AJ92" s="1"/>
      <c r="AK92" s="1"/>
      <c r="AL92" s="1"/>
      <c r="AM92" s="6"/>
      <c r="AN92" s="51"/>
      <c r="AO92" s="51"/>
      <c r="AP92" s="51"/>
      <c r="AQ92" s="51"/>
      <c r="AR92" s="51"/>
      <c r="AS92" s="51"/>
      <c r="AT92" s="51"/>
      <c r="AU92" s="51"/>
      <c r="AV92" s="1"/>
      <c r="AW92" s="1"/>
      <c r="AX92" s="1"/>
      <c r="AY92" s="1"/>
      <c r="AZ92" s="1"/>
      <c r="BA92" s="1"/>
      <c r="BB92" s="1"/>
      <c r="BC92" s="1"/>
      <c r="BD92" s="652"/>
      <c r="BE92" s="1"/>
      <c r="BF92" s="51"/>
      <c r="BG92" s="51"/>
      <c r="BI92" s="759"/>
      <c r="BJ92" s="897">
        <f t="shared" si="54"/>
        <v>84</v>
      </c>
      <c r="BK92" s="768" t="str">
        <f>BK86</f>
        <v xml:space="preserve">EPB </v>
      </c>
      <c r="BL92" s="765" t="str">
        <f>Table!AA16</f>
        <v>EMPH</v>
      </c>
      <c r="BM92" s="454">
        <f>Table!AB16</f>
        <v>0.4</v>
      </c>
      <c r="BN92" s="454">
        <f>BM93</f>
        <v>0.6</v>
      </c>
      <c r="BO92" s="454">
        <f>Table!AC16</f>
        <v>121</v>
      </c>
      <c r="BP92" s="924">
        <f>Table!AD16</f>
        <v>138</v>
      </c>
      <c r="BQ92" s="920"/>
      <c r="BR92" s="768" t="str">
        <f>Table!AE16</f>
        <v>ESPH</v>
      </c>
      <c r="BS92" s="454" t="str">
        <f>Table!AE17</f>
        <v>ESPH</v>
      </c>
      <c r="BT92" s="454" t="str">
        <f>Table!AF16</f>
        <v>E</v>
      </c>
      <c r="BU92" s="924" t="s">
        <v>242</v>
      </c>
      <c r="BV92" s="1230" t="str">
        <f>Table!AI84</f>
        <v>EMPH</v>
      </c>
      <c r="BW92" s="1229">
        <f>BJ92</f>
        <v>84</v>
      </c>
      <c r="BX92" s="924" t="str">
        <f>Table!AF17</f>
        <v>Double</v>
      </c>
      <c r="CH92" s="768">
        <f>IF(BN92=999,0,(BO93-BO92)/(BN92-BM92))</f>
        <v>80.000000000000014</v>
      </c>
      <c r="CI92" s="924">
        <f>IF(BN92=999,0,(BP93-BP92)/(BN92-BM92))</f>
        <v>75.000000000000014</v>
      </c>
      <c r="CJ92" s="929"/>
      <c r="CK92" s="498"/>
      <c r="CL92" s="52"/>
      <c r="EW92" s="427"/>
    </row>
    <row r="93" spans="2:153" ht="12.75" customHeight="1">
      <c r="B93" s="426"/>
      <c r="C93" s="451"/>
      <c r="D93" s="52"/>
      <c r="E93" s="52"/>
      <c r="F93" s="497"/>
      <c r="G93" s="426"/>
      <c r="H93" s="51"/>
      <c r="I93" s="426"/>
      <c r="J93" s="426"/>
      <c r="K93" s="51"/>
      <c r="L93" s="52"/>
      <c r="M93" s="51"/>
      <c r="N93" s="52"/>
      <c r="O93" s="51"/>
      <c r="P93" s="53"/>
      <c r="Q93" s="54"/>
      <c r="R93" s="52"/>
      <c r="S93" s="52"/>
      <c r="T93" s="52"/>
      <c r="U93" s="52"/>
      <c r="V93" s="52"/>
      <c r="W93" s="52"/>
      <c r="X93" s="52"/>
      <c r="Y93" s="896"/>
      <c r="Z93" s="52"/>
      <c r="AA93" s="51"/>
      <c r="AB93" s="51"/>
      <c r="AC93" s="1"/>
      <c r="AD93" s="31"/>
      <c r="AE93" s="31"/>
      <c r="AF93" s="31"/>
      <c r="AG93" s="31"/>
      <c r="AH93" s="1"/>
      <c r="AI93" s="1"/>
      <c r="AJ93" s="1"/>
      <c r="AK93" s="1"/>
      <c r="AL93" s="1"/>
      <c r="AM93" s="6"/>
      <c r="AN93" s="51"/>
      <c r="AO93" s="51"/>
      <c r="AP93" s="51"/>
      <c r="AQ93" s="51"/>
      <c r="AR93" s="51"/>
      <c r="AS93" s="51"/>
      <c r="AT93" s="51"/>
      <c r="AU93" s="51"/>
      <c r="AV93" s="1"/>
      <c r="AW93" s="1"/>
      <c r="AX93" s="1"/>
      <c r="AY93" s="1"/>
      <c r="AZ93" s="1"/>
      <c r="BA93" s="1"/>
      <c r="BB93" s="1"/>
      <c r="BC93" s="1"/>
      <c r="BD93" s="652"/>
      <c r="BE93" s="1"/>
      <c r="BF93" s="51"/>
      <c r="BG93" s="51"/>
      <c r="BI93" s="759"/>
      <c r="BJ93" s="897">
        <f t="shared" si="54"/>
        <v>85</v>
      </c>
      <c r="BK93" s="764"/>
      <c r="BL93" s="766"/>
      <c r="BM93" s="455">
        <f>Table!AB17</f>
        <v>0.6</v>
      </c>
      <c r="BN93" s="455">
        <f>BM94</f>
        <v>0.8</v>
      </c>
      <c r="BO93" s="455">
        <f>Table!AC17</f>
        <v>137</v>
      </c>
      <c r="BP93" s="925">
        <f>Table!AD17</f>
        <v>153</v>
      </c>
      <c r="BR93" s="764"/>
      <c r="BS93" s="455"/>
      <c r="BT93" s="455"/>
      <c r="BU93" s="925" t="s">
        <v>242</v>
      </c>
      <c r="BV93" s="895"/>
      <c r="BW93" s="912"/>
      <c r="BX93" s="925" t="str">
        <f>Table!AF17</f>
        <v>Double</v>
      </c>
      <c r="CH93" s="764">
        <f>IF(BN93=999,0,(BO94-BO93)/(BN93-BM93))</f>
        <v>54.999999999999979</v>
      </c>
      <c r="CI93" s="925">
        <f>IF(BN93=999,0,(BP94-BP93)/(BN93-BM93))</f>
        <v>44.999999999999986</v>
      </c>
      <c r="CJ93" s="929"/>
      <c r="CK93" s="498"/>
      <c r="CL93" s="52"/>
      <c r="EW93" s="427"/>
    </row>
    <row r="94" spans="2:153" ht="12.75" customHeight="1">
      <c r="B94" s="421"/>
      <c r="C94" s="863"/>
      <c r="D94" s="502"/>
      <c r="E94" s="502"/>
      <c r="F94" s="864"/>
      <c r="G94" s="421"/>
      <c r="H94" s="498"/>
      <c r="I94" s="421"/>
      <c r="J94" s="421"/>
      <c r="K94" s="498"/>
      <c r="L94" s="52"/>
      <c r="M94" s="51"/>
      <c r="N94" s="52"/>
      <c r="O94" s="51"/>
      <c r="P94" s="53"/>
      <c r="Q94" s="54"/>
      <c r="R94" s="52"/>
      <c r="S94" s="52"/>
      <c r="T94" s="52"/>
      <c r="U94" s="52"/>
      <c r="V94" s="52"/>
      <c r="W94" s="52"/>
      <c r="X94" s="52"/>
      <c r="Y94" s="896"/>
      <c r="Z94" s="52"/>
      <c r="AA94" s="51"/>
      <c r="AB94" s="51"/>
      <c r="AC94" s="1"/>
      <c r="AD94" s="31"/>
      <c r="AE94" s="31"/>
      <c r="AF94" s="31"/>
      <c r="AG94" s="31"/>
      <c r="AH94" s="1"/>
      <c r="AI94" s="1"/>
      <c r="AJ94" s="1"/>
      <c r="AK94" s="1"/>
      <c r="AL94" s="1"/>
      <c r="AM94" s="6"/>
      <c r="AN94" s="51"/>
      <c r="AO94" s="51"/>
      <c r="AP94" s="51"/>
      <c r="AQ94" s="51"/>
      <c r="AR94" s="51"/>
      <c r="AS94" s="51"/>
      <c r="AT94" s="51"/>
      <c r="AU94" s="51"/>
      <c r="AV94" s="1"/>
      <c r="AW94" s="1"/>
      <c r="AX94" s="1"/>
      <c r="AY94" s="1"/>
      <c r="AZ94" s="1"/>
      <c r="BA94" s="1"/>
      <c r="BB94" s="1"/>
      <c r="BC94" s="1"/>
      <c r="BD94" s="652"/>
      <c r="BE94" s="1"/>
      <c r="BF94" s="51"/>
      <c r="BG94" s="51"/>
      <c r="BI94" s="1241"/>
      <c r="BJ94" s="897">
        <f t="shared" si="54"/>
        <v>86</v>
      </c>
      <c r="BK94" s="764"/>
      <c r="BL94" s="766"/>
      <c r="BM94" s="455">
        <f>Table!AB18</f>
        <v>0.8</v>
      </c>
      <c r="BN94" s="455">
        <f>BM95</f>
        <v>0.9</v>
      </c>
      <c r="BO94" s="455">
        <f>Table!AC18</f>
        <v>148</v>
      </c>
      <c r="BP94" s="925">
        <f>Table!AD18</f>
        <v>162</v>
      </c>
      <c r="BR94" s="764"/>
      <c r="BS94" s="455"/>
      <c r="BT94" s="455"/>
      <c r="BU94" s="925" t="s">
        <v>242</v>
      </c>
      <c r="BV94" s="895"/>
      <c r="BW94" s="912"/>
      <c r="BX94" s="925" t="str">
        <f>Table!AF17</f>
        <v>Double</v>
      </c>
      <c r="CH94" s="764">
        <f>IF(BN94=999,0,(BO95-BO94)/(BN94-BM94))</f>
        <v>140.00000000000003</v>
      </c>
      <c r="CI94" s="925">
        <f>IF(BN94=999,0,(BP95-BP94)/(BN94-BM94))</f>
        <v>50.000000000000014</v>
      </c>
      <c r="CJ94" s="1243"/>
      <c r="CK94" s="498"/>
      <c r="CL94" s="52"/>
      <c r="EW94" s="427"/>
    </row>
    <row r="95" spans="2:153" ht="15.75" hidden="1">
      <c r="B95" s="421"/>
      <c r="C95" s="863"/>
      <c r="D95" s="502"/>
      <c r="E95" s="502"/>
      <c r="F95" s="864"/>
      <c r="G95" s="421"/>
      <c r="H95" s="498"/>
      <c r="I95" s="421"/>
      <c r="J95" s="421"/>
      <c r="K95" s="498"/>
      <c r="L95" s="52"/>
      <c r="M95" s="51"/>
      <c r="N95" s="52"/>
      <c r="O95" s="51"/>
      <c r="P95" s="53"/>
      <c r="Q95" s="54"/>
      <c r="R95" s="52"/>
      <c r="S95" s="52"/>
      <c r="T95" s="52"/>
      <c r="U95" s="52"/>
      <c r="V95" s="52"/>
      <c r="W95" s="52"/>
      <c r="X95" s="52"/>
      <c r="Y95" s="896"/>
      <c r="Z95" s="52"/>
      <c r="AA95" s="51"/>
      <c r="AB95" s="51"/>
      <c r="AC95" s="1"/>
      <c r="AD95" s="31"/>
      <c r="AE95" s="31"/>
      <c r="AF95" s="31"/>
      <c r="AG95" s="31"/>
      <c r="AH95" s="1"/>
      <c r="AI95" s="1"/>
      <c r="AJ95" s="1"/>
      <c r="AK95" s="1"/>
      <c r="AL95" s="1"/>
      <c r="AM95" s="6"/>
      <c r="AN95" s="51"/>
      <c r="AO95" s="51"/>
      <c r="AP95" s="51"/>
      <c r="AQ95" s="51"/>
      <c r="AR95" s="51"/>
      <c r="AS95" s="51"/>
      <c r="AT95" s="51"/>
      <c r="AU95" s="51"/>
      <c r="AV95" s="1"/>
      <c r="AW95" s="1"/>
      <c r="AX95" s="1"/>
      <c r="AY95" s="1"/>
      <c r="AZ95" s="1"/>
      <c r="BA95" s="1"/>
      <c r="BB95" s="1"/>
      <c r="BC95" s="1"/>
      <c r="BD95" s="652"/>
      <c r="BE95" s="1"/>
      <c r="BF95" s="51"/>
      <c r="BG95" s="51"/>
      <c r="BI95" s="1241"/>
      <c r="BJ95" s="897">
        <f t="shared" si="54"/>
        <v>87</v>
      </c>
      <c r="BK95" s="764"/>
      <c r="BL95" s="766"/>
      <c r="BM95" s="455">
        <f>Table!AB19</f>
        <v>0.9</v>
      </c>
      <c r="BN95" s="455">
        <f>BM96</f>
        <v>1.2</v>
      </c>
      <c r="BO95" s="455">
        <f>Table!AC19</f>
        <v>162</v>
      </c>
      <c r="BP95" s="925">
        <f>Table!AD19</f>
        <v>167</v>
      </c>
      <c r="BR95" s="764"/>
      <c r="BS95" s="455"/>
      <c r="BT95" s="455"/>
      <c r="BU95" s="925" t="s">
        <v>242</v>
      </c>
      <c r="BV95" s="895"/>
      <c r="BW95" s="912"/>
      <c r="BX95" s="925" t="str">
        <f>Table!AF17</f>
        <v>Double</v>
      </c>
      <c r="CH95" s="764">
        <f>IF(BN95=999,0,(BO96-BO95)/(BN95-BM95))</f>
        <v>0</v>
      </c>
      <c r="CI95" s="925">
        <f>IF(BN95=999,0,(BP96-BP95)/(BN95-BM95))</f>
        <v>0</v>
      </c>
      <c r="CJ95" s="1241"/>
      <c r="CK95" s="498"/>
      <c r="CL95" s="52"/>
      <c r="EW95" s="427"/>
    </row>
    <row r="96" spans="2:153" ht="16.5" hidden="1" thickBot="1">
      <c r="B96" s="421"/>
      <c r="C96" s="863"/>
      <c r="D96" s="502"/>
      <c r="E96" s="502"/>
      <c r="F96" s="864"/>
      <c r="G96" s="421"/>
      <c r="H96" s="498"/>
      <c r="I96" s="421"/>
      <c r="J96" s="421"/>
      <c r="K96" s="1409"/>
      <c r="L96" s="1435"/>
      <c r="M96" s="1409"/>
      <c r="N96" s="1435"/>
      <c r="O96" s="1409"/>
      <c r="P96" s="1436"/>
      <c r="Q96" s="1437"/>
      <c r="R96" s="52"/>
      <c r="S96" s="52"/>
      <c r="T96" s="52"/>
      <c r="U96" s="52"/>
      <c r="V96" s="52"/>
      <c r="W96" s="52"/>
      <c r="X96" s="52"/>
      <c r="Y96" s="896"/>
      <c r="Z96" s="52"/>
      <c r="AA96" s="51"/>
      <c r="AB96" s="51"/>
      <c r="AC96" s="1"/>
      <c r="AD96" s="31"/>
      <c r="AE96" s="31"/>
      <c r="AF96" s="31"/>
      <c r="AG96" s="31"/>
      <c r="AH96" s="1"/>
      <c r="AI96" s="1"/>
      <c r="AJ96" s="1"/>
      <c r="AK96" s="1"/>
      <c r="AL96" s="1"/>
      <c r="AM96" s="6"/>
      <c r="AN96" s="51"/>
      <c r="AO96" s="51"/>
      <c r="AP96" s="51"/>
      <c r="AQ96" s="51"/>
      <c r="AR96" s="51"/>
      <c r="AS96" s="51"/>
      <c r="AT96" s="51"/>
      <c r="AU96" s="51"/>
      <c r="AV96" s="1"/>
      <c r="AW96" s="1"/>
      <c r="AX96" s="1"/>
      <c r="AY96" s="1"/>
      <c r="AZ96" s="1"/>
      <c r="BA96" s="1"/>
      <c r="BB96" s="1"/>
      <c r="BC96" s="1"/>
      <c r="BD96" s="652"/>
      <c r="BE96" s="1"/>
      <c r="BF96" s="51"/>
      <c r="BG96" s="51"/>
      <c r="BI96" s="1241"/>
      <c r="BJ96" s="897">
        <f t="shared" si="54"/>
        <v>88</v>
      </c>
      <c r="BK96" s="908"/>
      <c r="BL96" s="767"/>
      <c r="BM96" s="776">
        <f>Table!AB20</f>
        <v>1.2</v>
      </c>
      <c r="BN96" s="776">
        <v>999</v>
      </c>
      <c r="BO96" s="776">
        <f>Table!AC20</f>
        <v>162</v>
      </c>
      <c r="BP96" s="926">
        <f>Table!AD20</f>
        <v>167</v>
      </c>
      <c r="BQ96" s="1183"/>
      <c r="BR96" s="908"/>
      <c r="BS96" s="776"/>
      <c r="BT96" s="776"/>
      <c r="BU96" s="926" t="s">
        <v>242</v>
      </c>
      <c r="BV96" s="433"/>
      <c r="BW96" s="914"/>
      <c r="BX96" s="926" t="str">
        <f>Table!AF17</f>
        <v>Double</v>
      </c>
      <c r="CH96" s="908">
        <f>IF(BN96=999,0,(BO97-BO96)/(BN96-BM96))</f>
        <v>0</v>
      </c>
      <c r="CI96" s="926">
        <f>IF(BN96=999,0,(BP97-BP96)/(BN96-BM96))</f>
        <v>0</v>
      </c>
      <c r="CJ96" s="1243"/>
      <c r="CK96" s="498"/>
      <c r="CL96" s="52"/>
      <c r="EW96" s="427"/>
    </row>
    <row r="97" spans="1:153" ht="12.75" hidden="1" customHeight="1">
      <c r="B97" s="421">
        <f ca="1">IF(OR(B84&lt;&gt;"",B85&lt;&gt;"",),1,0)</f>
        <v>0</v>
      </c>
      <c r="C97" s="863"/>
      <c r="D97" s="502"/>
      <c r="E97" s="502"/>
      <c r="F97" s="864"/>
      <c r="G97" s="421">
        <f>IF(OR(G83&lt;&gt;""),0,0)</f>
        <v>0</v>
      </c>
      <c r="H97" s="498"/>
      <c r="I97" s="421"/>
      <c r="J97" s="421">
        <f ca="1">IF(OR(J84&lt;&gt;"",J85&lt;&gt;"",),1,0)</f>
        <v>0</v>
      </c>
      <c r="K97" s="1409"/>
      <c r="L97" s="1435"/>
      <c r="M97" s="1409">
        <f ca="1">IF(L83&lt;&gt;"",1,0)</f>
        <v>1</v>
      </c>
      <c r="N97" s="1435"/>
      <c r="O97" s="1409">
        <f ca="1">IF(N83&lt;&gt;"",1,0)</f>
        <v>1</v>
      </c>
      <c r="P97" s="1409"/>
      <c r="Q97" s="1435">
        <f ca="1">SUM(B97:O97)</f>
        <v>2</v>
      </c>
      <c r="R97" s="52"/>
      <c r="S97" s="52"/>
      <c r="T97" s="52"/>
      <c r="U97" s="52"/>
      <c r="V97" s="52"/>
      <c r="W97" s="52"/>
      <c r="X97" s="52"/>
      <c r="Y97" s="896"/>
      <c r="Z97" s="52"/>
      <c r="AA97" s="51"/>
      <c r="AB97" s="51"/>
      <c r="AC97" s="1"/>
      <c r="AD97" s="31"/>
      <c r="AE97" s="31"/>
      <c r="AF97" s="31"/>
      <c r="AG97" s="31"/>
      <c r="AH97" s="1"/>
      <c r="AI97" s="1"/>
      <c r="AJ97" s="1"/>
      <c r="AK97" s="1"/>
      <c r="AL97" s="1"/>
      <c r="AM97" s="6"/>
      <c r="AN97" s="51"/>
      <c r="AO97" s="51"/>
      <c r="AP97" s="51"/>
      <c r="AQ97" s="51"/>
      <c r="AR97" s="51"/>
      <c r="AS97" s="51"/>
      <c r="AT97" s="51"/>
      <c r="AU97" s="51"/>
      <c r="AV97" s="1"/>
      <c r="AW97" s="1"/>
      <c r="AX97" s="1"/>
      <c r="AY97" s="1"/>
      <c r="AZ97" s="1"/>
      <c r="BA97" s="1"/>
      <c r="BB97" s="1"/>
      <c r="BC97" s="1"/>
      <c r="BD97" s="652"/>
      <c r="BE97" s="1"/>
      <c r="BF97" s="51"/>
      <c r="BG97" s="51"/>
      <c r="BI97" s="1241"/>
      <c r="BJ97" s="893"/>
      <c r="BK97" s="421"/>
      <c r="BL97" s="899"/>
      <c r="BM97" s="502"/>
      <c r="BN97" s="502"/>
      <c r="BO97" s="502"/>
      <c r="BP97" s="502"/>
      <c r="BQ97" s="498"/>
      <c r="BR97" s="502"/>
      <c r="BS97" s="502"/>
      <c r="BT97" s="502"/>
      <c r="BU97" s="502"/>
      <c r="BV97" s="498"/>
      <c r="BW97" s="498"/>
      <c r="BX97" s="498"/>
      <c r="BY97" s="498"/>
      <c r="BZ97" s="498"/>
      <c r="CA97" s="498"/>
      <c r="CB97" s="498"/>
      <c r="CC97" s="498"/>
      <c r="CD97" s="498"/>
      <c r="CE97" s="498"/>
      <c r="CF97" s="498"/>
      <c r="CG97" s="498"/>
      <c r="CH97" s="502"/>
      <c r="CI97" s="502"/>
      <c r="CJ97" s="1243"/>
      <c r="CK97" s="498"/>
      <c r="CL97" s="52"/>
      <c r="EW97" s="427"/>
    </row>
    <row r="98" spans="1:153" ht="12.75" hidden="1" customHeight="1">
      <c r="A98" s="498"/>
      <c r="B98" s="499">
        <f ca="1">IF(OR(B84&lt;&gt;"",B85&lt;&gt;"",B87&lt;&gt;"",B88&lt;&gt;"",B89&lt;&gt;""),1,0)</f>
        <v>0</v>
      </c>
      <c r="C98" s="500"/>
      <c r="D98" s="501"/>
      <c r="E98" s="501"/>
      <c r="F98" s="502"/>
      <c r="G98" s="499">
        <f>IF(OR(G83&lt;&gt;""),0,0)</f>
        <v>0</v>
      </c>
      <c r="H98" s="498"/>
      <c r="I98" s="498"/>
      <c r="J98" s="499">
        <f ca="1">IF(OR(J84&lt;&gt;"",J85&lt;&gt;"",I86&lt;&gt;"",),1,0)</f>
        <v>0</v>
      </c>
      <c r="K98" s="1409"/>
      <c r="L98" s="1438">
        <f ca="1">L99+M99</f>
        <v>1</v>
      </c>
      <c r="M98" s="1439">
        <f ca="1">IF(L83&lt;&gt;"",1,0)</f>
        <v>1</v>
      </c>
      <c r="N98" s="1438">
        <f ca="1">N99+O99</f>
        <v>1</v>
      </c>
      <c r="O98" s="1440">
        <f ca="1">IF(N83&lt;&gt;"",1,0)</f>
        <v>1</v>
      </c>
      <c r="P98" s="1436"/>
      <c r="Q98" s="1435">
        <f ca="1">SUM(B98:O98)</f>
        <v>4</v>
      </c>
      <c r="R98" s="52"/>
      <c r="S98" s="52"/>
      <c r="T98" s="52"/>
      <c r="U98" s="52"/>
      <c r="V98" s="52"/>
      <c r="W98" s="52"/>
      <c r="X98" s="52"/>
      <c r="Y98" s="896"/>
      <c r="Z98" s="52"/>
      <c r="AA98" s="51" t="s">
        <v>68</v>
      </c>
      <c r="AB98" s="51"/>
      <c r="AC98" s="51"/>
      <c r="AD98" s="31"/>
      <c r="AE98" s="31"/>
      <c r="AF98" s="31"/>
      <c r="AG98" s="31"/>
      <c r="AH98" s="1"/>
      <c r="AI98" s="1"/>
      <c r="AJ98" s="1"/>
      <c r="AK98" s="1"/>
      <c r="AL98" s="1"/>
      <c r="AM98" s="6"/>
      <c r="AN98" s="51"/>
      <c r="AO98" s="51"/>
      <c r="AP98" s="51"/>
      <c r="AQ98" s="51"/>
      <c r="AR98" s="51"/>
      <c r="AS98" s="51"/>
      <c r="AT98" s="51"/>
      <c r="AU98" s="51"/>
      <c r="AV98" s="1"/>
      <c r="AW98" s="1"/>
      <c r="AX98" s="1"/>
      <c r="AY98" s="1"/>
      <c r="AZ98" s="1"/>
      <c r="BA98" s="1"/>
      <c r="BB98" s="1"/>
      <c r="BC98" s="1"/>
      <c r="BD98" s="652"/>
      <c r="BE98" s="1"/>
      <c r="BF98" s="51"/>
      <c r="BG98" s="51"/>
      <c r="BI98" s="1241"/>
      <c r="BJ98" s="893"/>
      <c r="BK98" s="421"/>
      <c r="BL98" s="899"/>
      <c r="BM98" s="502"/>
      <c r="BN98" s="502"/>
      <c r="BO98" s="502"/>
      <c r="BP98" s="502"/>
      <c r="BQ98" s="498"/>
      <c r="BR98" s="502"/>
      <c r="BS98" s="502"/>
      <c r="BT98" s="502"/>
      <c r="BU98" s="502"/>
      <c r="BV98" s="498"/>
      <c r="BW98" s="498"/>
      <c r="BX98" s="498"/>
      <c r="BY98" s="498"/>
      <c r="BZ98" s="498"/>
      <c r="CA98" s="498"/>
      <c r="CB98" s="498"/>
      <c r="CC98" s="498"/>
      <c r="CD98" s="498"/>
      <c r="CE98" s="498"/>
      <c r="CF98" s="498"/>
      <c r="CG98" s="498"/>
      <c r="CH98" s="502"/>
      <c r="CI98" s="502"/>
      <c r="CJ98" s="1243"/>
      <c r="CK98" s="498"/>
      <c r="CL98" s="52"/>
      <c r="EW98" s="427"/>
    </row>
    <row r="99" spans="1:153" ht="12.75" hidden="1" customHeight="1">
      <c r="B99" s="499"/>
      <c r="C99" s="502"/>
      <c r="D99" s="502"/>
      <c r="E99" s="502"/>
      <c r="F99" s="502"/>
      <c r="G99" s="498"/>
      <c r="H99" s="498"/>
      <c r="I99" s="498"/>
      <c r="J99" s="498"/>
      <c r="K99" s="1409"/>
      <c r="L99" s="1435">
        <f ca="1">IF((L90&lt;L92),1,0)</f>
        <v>1</v>
      </c>
      <c r="M99" s="1435">
        <f>IF((M90&lt;M92),1,0)</f>
        <v>0</v>
      </c>
      <c r="N99" s="1435">
        <f ca="1">IF((N90&lt;N92),1,0)</f>
        <v>1</v>
      </c>
      <c r="O99" s="1435">
        <f>IF((O90&lt;O92),1,0)</f>
        <v>0</v>
      </c>
      <c r="P99" s="1436"/>
      <c r="Q99" s="1437"/>
      <c r="R99" s="52"/>
      <c r="S99" s="52"/>
      <c r="T99" s="52"/>
      <c r="U99" s="52"/>
      <c r="V99" s="52"/>
      <c r="W99" s="52"/>
      <c r="X99" s="52"/>
      <c r="Y99" s="896"/>
      <c r="Z99" s="52"/>
      <c r="AA99" s="51"/>
      <c r="AB99" s="51"/>
      <c r="AC99" s="1"/>
      <c r="AD99" s="31"/>
      <c r="AE99" s="31"/>
      <c r="AH99" s="1"/>
      <c r="AI99" s="1"/>
      <c r="AJ99" s="1"/>
      <c r="AK99" s="1"/>
      <c r="AL99" s="1"/>
      <c r="AM99" s="6"/>
      <c r="AN99" s="51"/>
      <c r="AO99" s="51"/>
      <c r="AP99" s="51"/>
      <c r="AQ99" s="51"/>
      <c r="AR99" s="51"/>
      <c r="AS99" s="51"/>
      <c r="AT99" s="51"/>
      <c r="AU99" s="51"/>
      <c r="AV99" s="1"/>
      <c r="AW99" s="1"/>
      <c r="AX99" s="1"/>
      <c r="AY99" s="1"/>
      <c r="AZ99" s="1"/>
      <c r="BA99" s="1"/>
      <c r="BB99" s="1"/>
      <c r="BC99" s="1"/>
      <c r="BD99" s="652"/>
      <c r="BE99" s="1"/>
      <c r="BF99" s="51"/>
      <c r="BG99" s="51"/>
      <c r="BI99" s="1241"/>
      <c r="BJ99" s="1242"/>
      <c r="BK99" s="934"/>
      <c r="BL99" s="935"/>
      <c r="BM99" s="936"/>
      <c r="BN99" s="936"/>
      <c r="BO99" s="936"/>
      <c r="BP99" s="936"/>
      <c r="BQ99" s="929"/>
      <c r="BR99" s="936"/>
      <c r="BS99" s="936"/>
      <c r="BT99" s="936"/>
      <c r="BU99" s="936"/>
      <c r="BV99" s="929"/>
      <c r="BW99" s="929"/>
      <c r="BX99" s="929"/>
      <c r="BY99" s="929"/>
      <c r="BZ99" s="929"/>
      <c r="CA99" s="929"/>
      <c r="CB99" s="929"/>
      <c r="CC99" s="929"/>
      <c r="CD99" s="929"/>
      <c r="CE99" s="929"/>
      <c r="CF99" s="929"/>
      <c r="CG99" s="929"/>
      <c r="CH99" s="936"/>
      <c r="CI99" s="936"/>
      <c r="CJ99" s="1243"/>
      <c r="CK99" s="498"/>
      <c r="CL99" s="52"/>
      <c r="EW99" s="427"/>
    </row>
    <row r="100" spans="1:153" ht="15.75" hidden="1" customHeight="1">
      <c r="B100" s="498"/>
      <c r="C100" s="502"/>
      <c r="D100" s="502"/>
      <c r="E100" s="502"/>
      <c r="F100" s="502"/>
      <c r="G100" s="498"/>
      <c r="H100" s="498"/>
      <c r="I100" s="498"/>
      <c r="J100" s="498"/>
      <c r="K100" s="1409"/>
      <c r="L100" s="1435"/>
      <c r="M100" s="1409"/>
      <c r="N100" s="1435"/>
      <c r="O100" s="1409"/>
      <c r="P100" s="1436"/>
      <c r="Q100" s="1437"/>
      <c r="R100" s="52"/>
      <c r="S100" s="52"/>
      <c r="T100" s="52"/>
      <c r="U100" s="52"/>
      <c r="V100" s="52"/>
      <c r="W100" s="52"/>
      <c r="X100" s="52"/>
      <c r="Y100" s="896"/>
      <c r="Z100" s="52"/>
      <c r="AA100" s="51"/>
      <c r="AB100" s="51"/>
      <c r="AC100" s="1"/>
      <c r="AD100" s="31"/>
      <c r="AE100" s="31"/>
      <c r="AH100" s="1"/>
      <c r="AI100" s="1"/>
      <c r="AJ100" s="1"/>
      <c r="AK100" s="1"/>
      <c r="AL100" s="1"/>
      <c r="AM100" s="6"/>
      <c r="AN100" s="51"/>
      <c r="AO100" s="51"/>
      <c r="AP100" s="51"/>
      <c r="AQ100" s="51"/>
      <c r="AR100" s="51"/>
      <c r="AS100" s="51"/>
      <c r="AT100" s="51"/>
      <c r="AU100" s="51"/>
      <c r="AV100" s="1"/>
      <c r="AW100" s="1"/>
      <c r="AX100" s="1"/>
      <c r="AY100" s="1"/>
      <c r="AZ100" s="1"/>
      <c r="BA100" s="1"/>
      <c r="BB100" s="1"/>
      <c r="BC100" s="1"/>
      <c r="BD100" s="652"/>
      <c r="BE100" s="1"/>
      <c r="BF100" s="51"/>
      <c r="BG100" s="51"/>
      <c r="BJ100" s="893"/>
      <c r="BK100" s="502"/>
      <c r="BL100" s="900"/>
      <c r="BM100" s="502"/>
      <c r="BN100" s="502"/>
      <c r="BO100" s="502"/>
      <c r="BP100" s="502"/>
      <c r="BQ100" s="498"/>
      <c r="BR100" s="502"/>
      <c r="BS100" s="502"/>
      <c r="BT100" s="502"/>
      <c r="BU100" s="502"/>
      <c r="BV100" s="498"/>
      <c r="BW100" s="498"/>
      <c r="BX100" s="498"/>
      <c r="BY100" s="498"/>
      <c r="BZ100" s="498"/>
      <c r="CA100" s="498"/>
      <c r="CB100" s="498"/>
      <c r="CC100" s="498"/>
      <c r="CD100" s="498"/>
      <c r="CE100" s="498"/>
      <c r="CF100" s="498"/>
      <c r="CG100" s="498"/>
      <c r="CH100" s="502"/>
      <c r="CI100" s="502"/>
      <c r="CJ100" s="498"/>
      <c r="CK100" s="498"/>
      <c r="CL100" s="52"/>
      <c r="EW100" s="427"/>
    </row>
    <row r="101" spans="1:153" ht="15.75" hidden="1" customHeight="1">
      <c r="B101" s="498"/>
      <c r="C101" s="502"/>
      <c r="D101" s="502"/>
      <c r="E101" s="502"/>
      <c r="F101" s="502"/>
      <c r="G101" s="498"/>
      <c r="H101" s="498"/>
      <c r="I101" s="498"/>
      <c r="J101" s="498"/>
      <c r="K101" s="1436"/>
      <c r="L101" s="1437"/>
      <c r="M101" s="1436"/>
      <c r="N101" s="1437"/>
      <c r="O101" s="1436"/>
      <c r="P101" s="1409"/>
      <c r="Q101" s="1435"/>
      <c r="R101" s="52"/>
      <c r="S101" s="52"/>
      <c r="T101" s="52"/>
      <c r="U101" s="52"/>
      <c r="V101" s="52"/>
      <c r="W101" s="52"/>
      <c r="X101" s="52"/>
      <c r="Y101" s="896"/>
      <c r="Z101" s="52"/>
      <c r="AA101" s="51"/>
      <c r="AB101" s="51"/>
      <c r="AC101" s="1"/>
      <c r="AD101" s="31"/>
      <c r="AE101" s="31"/>
      <c r="AH101" s="1"/>
      <c r="AI101" s="1"/>
      <c r="AJ101" s="1"/>
      <c r="AK101" s="1"/>
      <c r="AL101" s="1"/>
      <c r="AM101" s="6"/>
      <c r="AN101" s="51"/>
      <c r="AO101" s="51"/>
      <c r="AP101" s="51"/>
      <c r="AQ101" s="51"/>
      <c r="AR101" s="51"/>
      <c r="AS101" s="51"/>
      <c r="AT101" s="51"/>
      <c r="AU101" s="51"/>
      <c r="AV101" s="1"/>
      <c r="AW101" s="1"/>
      <c r="AX101" s="1"/>
      <c r="AY101" s="1"/>
      <c r="AZ101" s="1"/>
      <c r="BA101" s="1"/>
      <c r="BB101" s="1"/>
      <c r="BC101" s="1"/>
      <c r="BD101" s="652"/>
      <c r="BE101" s="1"/>
      <c r="BF101" s="51"/>
      <c r="BG101" s="51"/>
      <c r="BJ101" s="893"/>
      <c r="BK101" s="502"/>
      <c r="BL101" s="900"/>
      <c r="BM101" s="502"/>
      <c r="BN101" s="502"/>
      <c r="BO101" s="502"/>
      <c r="BP101" s="502"/>
      <c r="BQ101" s="498"/>
      <c r="BR101" s="502"/>
      <c r="BS101" s="502"/>
      <c r="BT101" s="502"/>
      <c r="BU101" s="502"/>
      <c r="BV101" s="498"/>
      <c r="BW101" s="498"/>
      <c r="BX101" s="498"/>
      <c r="BY101" s="498"/>
      <c r="BZ101" s="498"/>
      <c r="CA101" s="498"/>
      <c r="CB101" s="498"/>
      <c r="CC101" s="498"/>
      <c r="CD101" s="498"/>
      <c r="CE101" s="498"/>
      <c r="CF101" s="498"/>
      <c r="CG101" s="498"/>
      <c r="CH101" s="502"/>
      <c r="CI101" s="502"/>
      <c r="CJ101" s="498"/>
      <c r="CK101" s="498"/>
      <c r="CL101" s="52"/>
      <c r="EW101" s="427"/>
    </row>
    <row r="102" spans="1:153" ht="15.75" hidden="1" customHeight="1">
      <c r="B102" s="498"/>
      <c r="C102" s="502"/>
      <c r="D102" s="502"/>
      <c r="E102" s="502"/>
      <c r="F102" s="502"/>
      <c r="G102" s="498"/>
      <c r="H102" s="498"/>
      <c r="I102" s="892"/>
      <c r="J102" s="892"/>
      <c r="K102" s="1441"/>
      <c r="L102" s="1441"/>
      <c r="M102" s="1441"/>
      <c r="N102" s="1441"/>
      <c r="O102" s="1436"/>
      <c r="P102" s="1409"/>
      <c r="Q102" s="1435"/>
      <c r="R102" s="52"/>
      <c r="S102" s="52"/>
      <c r="T102" s="52"/>
      <c r="U102" s="52"/>
      <c r="V102" s="52"/>
      <c r="W102" s="52"/>
      <c r="X102" s="52"/>
      <c r="Y102" s="896"/>
      <c r="Z102" s="52" t="s">
        <v>8</v>
      </c>
      <c r="AA102" s="51" t="s">
        <v>8</v>
      </c>
      <c r="AB102" s="51"/>
      <c r="AC102" s="1"/>
      <c r="AD102" s="31"/>
      <c r="AE102" s="31"/>
      <c r="AF102" s="1"/>
      <c r="AG102" s="1"/>
      <c r="AH102" s="1"/>
      <c r="AI102" s="1"/>
      <c r="AJ102" s="1"/>
      <c r="AK102" s="1"/>
      <c r="AL102" s="1"/>
      <c r="AM102" s="6"/>
      <c r="AN102" s="51"/>
      <c r="AO102" s="51"/>
      <c r="AP102" s="51"/>
      <c r="AQ102" s="51"/>
      <c r="AR102" s="51"/>
      <c r="AS102" s="51"/>
      <c r="AT102" s="51"/>
      <c r="AU102" s="51"/>
      <c r="AV102" s="1"/>
      <c r="AW102" s="1"/>
      <c r="AX102" s="1"/>
      <c r="AY102" s="1"/>
      <c r="AZ102" s="1"/>
      <c r="BA102" s="1"/>
      <c r="BB102" s="1"/>
      <c r="BC102" s="1"/>
      <c r="BD102" s="652"/>
      <c r="BE102" s="1"/>
      <c r="BF102" s="51"/>
      <c r="BG102" s="51"/>
      <c r="BJ102" s="893"/>
      <c r="BK102" s="502"/>
      <c r="BL102" s="900"/>
      <c r="BM102" s="502"/>
      <c r="BN102" s="502"/>
      <c r="BO102" s="502"/>
      <c r="BP102" s="502"/>
      <c r="BQ102" s="498"/>
      <c r="BR102" s="502"/>
      <c r="BS102" s="502"/>
      <c r="BT102" s="502"/>
      <c r="BU102" s="502"/>
      <c r="BV102" s="498"/>
      <c r="BW102" s="498"/>
      <c r="BX102" s="498"/>
      <c r="BY102" s="498"/>
      <c r="BZ102" s="498"/>
      <c r="CA102" s="498"/>
      <c r="CB102" s="498"/>
      <c r="CC102" s="498"/>
      <c r="CD102" s="498"/>
      <c r="CE102" s="498"/>
      <c r="CF102" s="498"/>
      <c r="CG102" s="498"/>
      <c r="CH102" s="502"/>
      <c r="CI102" s="502"/>
      <c r="CJ102" s="498"/>
      <c r="CK102" s="498"/>
      <c r="CL102" s="52"/>
      <c r="EW102" s="427"/>
    </row>
    <row r="103" spans="1:153" ht="15.75" hidden="1" customHeight="1">
      <c r="B103" s="498"/>
      <c r="C103" s="502"/>
      <c r="D103" s="502"/>
      <c r="E103" s="502"/>
      <c r="F103" s="502"/>
      <c r="G103" s="498"/>
      <c r="H103" s="498"/>
      <c r="I103" s="892"/>
      <c r="J103" s="892"/>
      <c r="K103" s="503"/>
      <c r="L103" s="891" t="s">
        <v>317</v>
      </c>
      <c r="M103" s="503">
        <f>M82/2</f>
        <v>385</v>
      </c>
      <c r="N103" s="889"/>
      <c r="O103" s="503">
        <f>O82/2</f>
        <v>603</v>
      </c>
      <c r="P103" s="147"/>
      <c r="Q103" s="148"/>
      <c r="R103" s="52"/>
      <c r="S103" s="52"/>
      <c r="T103" s="52"/>
      <c r="U103" s="52"/>
      <c r="V103" s="52"/>
      <c r="W103" s="52"/>
      <c r="X103" s="52"/>
      <c r="Y103" s="896"/>
      <c r="Z103" s="52"/>
      <c r="AA103" s="51"/>
      <c r="AB103" s="51"/>
      <c r="AC103" s="1"/>
      <c r="AD103" s="31"/>
      <c r="AE103" s="31"/>
      <c r="AF103" s="1"/>
      <c r="AG103" s="1"/>
      <c r="AH103" s="1"/>
      <c r="AI103" s="1"/>
      <c r="AJ103" s="1"/>
      <c r="AK103" s="1"/>
      <c r="AL103" s="1"/>
      <c r="AM103" s="6"/>
      <c r="AN103" s="51"/>
      <c r="AO103" s="51"/>
      <c r="AP103" s="51"/>
      <c r="AQ103" s="51"/>
      <c r="AR103" s="51"/>
      <c r="AS103" s="51"/>
      <c r="AT103" s="51"/>
      <c r="AU103" s="51"/>
      <c r="AV103" s="1"/>
      <c r="AW103" s="1"/>
      <c r="AX103" s="1"/>
      <c r="AY103" s="1"/>
      <c r="AZ103" s="1"/>
      <c r="BA103" s="1"/>
      <c r="BB103" s="1"/>
      <c r="BC103" s="1"/>
      <c r="BD103" s="652"/>
      <c r="BE103" s="1"/>
      <c r="BF103" s="51"/>
      <c r="BG103" s="51"/>
      <c r="BJ103" s="893"/>
      <c r="BK103" s="502"/>
      <c r="BL103" s="900"/>
      <c r="BM103" s="502"/>
      <c r="BN103" s="502"/>
      <c r="BO103" s="502"/>
      <c r="BP103" s="502"/>
      <c r="BQ103" s="498"/>
      <c r="BR103" s="502"/>
      <c r="BS103" s="502"/>
      <c r="BT103" s="502"/>
      <c r="BU103" s="502"/>
      <c r="BV103" s="498"/>
      <c r="BW103" s="498"/>
      <c r="BX103" s="498"/>
      <c r="BY103" s="498"/>
      <c r="BZ103" s="498"/>
      <c r="CA103" s="498"/>
      <c r="CB103" s="498"/>
      <c r="CC103" s="498"/>
      <c r="CD103" s="498"/>
      <c r="CE103" s="498"/>
      <c r="CF103" s="498"/>
      <c r="CG103" s="498"/>
      <c r="CH103" s="502"/>
      <c r="CI103" s="502"/>
      <c r="CJ103" s="498"/>
      <c r="CK103" s="498"/>
      <c r="CL103" s="52"/>
      <c r="EW103" s="427"/>
    </row>
    <row r="104" spans="1:153" ht="12.75" hidden="1" customHeight="1">
      <c r="B104" s="498"/>
      <c r="C104" s="502"/>
      <c r="D104" s="502"/>
      <c r="E104" s="502"/>
      <c r="F104" s="502"/>
      <c r="G104" s="498"/>
      <c r="H104" s="498"/>
      <c r="I104" s="892"/>
      <c r="J104" s="892"/>
      <c r="K104" s="503"/>
      <c r="L104" s="889" t="s">
        <v>320</v>
      </c>
      <c r="M104" s="503">
        <f ca="1">SUM(Y8:Y74)</f>
        <v>0</v>
      </c>
      <c r="N104" s="889"/>
      <c r="O104" s="503">
        <f ca="1">M104</f>
        <v>0</v>
      </c>
      <c r="P104" s="147"/>
      <c r="Q104" s="148"/>
      <c r="R104" s="52"/>
      <c r="S104" s="52"/>
      <c r="T104" s="52"/>
      <c r="U104" s="52"/>
      <c r="V104" s="52"/>
      <c r="W104" s="52"/>
      <c r="X104" s="52"/>
      <c r="Y104" s="896"/>
      <c r="Z104" s="52"/>
      <c r="AA104" s="51"/>
      <c r="AB104" s="51"/>
      <c r="AC104" s="1"/>
      <c r="AD104" s="31"/>
      <c r="AE104" s="31"/>
      <c r="AF104" s="1"/>
      <c r="AG104" s="1"/>
      <c r="AH104" s="1"/>
      <c r="AI104" s="1"/>
      <c r="AJ104" s="1"/>
      <c r="AK104" s="1"/>
      <c r="AL104" s="1"/>
      <c r="AM104" s="6"/>
      <c r="AN104" s="51"/>
      <c r="AO104" s="51"/>
      <c r="AP104" s="51"/>
      <c r="AQ104" s="51"/>
      <c r="AR104" s="51"/>
      <c r="AS104" s="51"/>
      <c r="AT104" s="51"/>
      <c r="AU104" s="51"/>
      <c r="AV104" s="1"/>
      <c r="AW104" s="1"/>
      <c r="AX104" s="1"/>
      <c r="AY104" s="1"/>
      <c r="AZ104" s="1"/>
      <c r="BA104" s="1"/>
      <c r="BB104" s="1"/>
      <c r="BC104" s="1"/>
      <c r="BD104" s="652"/>
      <c r="BE104" s="1"/>
      <c r="BF104" s="51"/>
      <c r="BG104" s="51"/>
      <c r="BJ104" s="893"/>
      <c r="BK104" s="421"/>
      <c r="BL104" s="899"/>
      <c r="BM104" s="502"/>
      <c r="BN104" s="502"/>
      <c r="BO104" s="502"/>
      <c r="BP104" s="502"/>
      <c r="BQ104" s="498"/>
      <c r="BR104" s="502"/>
      <c r="BS104" s="502"/>
      <c r="BT104" s="502"/>
      <c r="BU104" s="502"/>
      <c r="BV104" s="498"/>
      <c r="BW104" s="498"/>
      <c r="BX104" s="498"/>
      <c r="BY104" s="498"/>
      <c r="BZ104" s="498"/>
      <c r="CA104" s="498"/>
      <c r="CB104" s="498"/>
      <c r="CC104" s="498"/>
      <c r="CD104" s="498"/>
      <c r="CE104" s="498"/>
      <c r="CF104" s="498"/>
      <c r="CG104" s="498"/>
      <c r="CH104" s="502"/>
      <c r="CI104" s="502"/>
      <c r="CJ104" s="498"/>
      <c r="CK104" s="498"/>
      <c r="CL104" s="52"/>
      <c r="EW104" s="427"/>
    </row>
    <row r="105" spans="1:153" ht="12.75" hidden="1" customHeight="1">
      <c r="B105" s="498"/>
      <c r="C105" s="502"/>
      <c r="D105" s="502"/>
      <c r="E105" s="502"/>
      <c r="F105" s="502"/>
      <c r="G105" s="498"/>
      <c r="H105" s="498"/>
      <c r="I105" s="892"/>
      <c r="J105" s="892"/>
      <c r="K105" s="503"/>
      <c r="L105" s="889" t="s">
        <v>321</v>
      </c>
      <c r="M105" s="503">
        <f ca="1">IF(M104&gt;0,IF(M103/M104&lt;$BF$3,$BF$3,M103/M104),0)</f>
        <v>0</v>
      </c>
      <c r="N105" s="889"/>
      <c r="O105" s="503">
        <f ca="1">IF(O104&gt;0,IF(O103/O104&lt;$BF$3,$BF$3,O103/O104),0)</f>
        <v>0</v>
      </c>
      <c r="P105" s="147"/>
      <c r="Q105" s="148"/>
      <c r="R105" s="52"/>
      <c r="S105" s="52"/>
      <c r="T105" s="52"/>
      <c r="U105" s="52"/>
      <c r="V105" s="52"/>
      <c r="W105" s="52"/>
      <c r="X105" s="52"/>
      <c r="Y105" s="896"/>
      <c r="Z105" s="52"/>
      <c r="AA105" s="51"/>
      <c r="AB105" s="51"/>
      <c r="AC105" s="1"/>
      <c r="AD105" s="31"/>
      <c r="AE105" s="31"/>
      <c r="AF105" s="1"/>
      <c r="AG105" s="1"/>
      <c r="AH105" s="1"/>
      <c r="AI105" s="1"/>
      <c r="AJ105" s="1"/>
      <c r="AK105" s="1"/>
      <c r="AL105" s="1"/>
      <c r="AM105" s="6"/>
      <c r="AN105" s="51"/>
      <c r="AO105" s="51"/>
      <c r="AP105" s="51"/>
      <c r="AQ105" s="51"/>
      <c r="AR105" s="51"/>
      <c r="AS105" s="51"/>
      <c r="AT105" s="51"/>
      <c r="AU105" s="51"/>
      <c r="AV105" s="1"/>
      <c r="AW105" s="1"/>
      <c r="AX105" s="1"/>
      <c r="AY105" s="1"/>
      <c r="AZ105" s="1"/>
      <c r="BA105" s="1"/>
      <c r="BB105" s="1"/>
      <c r="BC105" s="1"/>
      <c r="BD105" s="652"/>
      <c r="BE105" s="1"/>
      <c r="BF105" s="51"/>
      <c r="BG105" s="51"/>
      <c r="BJ105" s="893"/>
      <c r="BK105" s="421"/>
      <c r="BL105" s="899"/>
      <c r="BM105" s="502"/>
      <c r="BN105" s="502"/>
      <c r="BO105" s="502"/>
      <c r="BP105" s="502"/>
      <c r="BQ105" s="498"/>
      <c r="BR105" s="502"/>
      <c r="BS105" s="502"/>
      <c r="BT105" s="502"/>
      <c r="BU105" s="502"/>
      <c r="BV105" s="498"/>
      <c r="BW105" s="498"/>
      <c r="BX105" s="498"/>
      <c r="BY105" s="498"/>
      <c r="BZ105" s="498"/>
      <c r="CA105" s="498"/>
      <c r="CB105" s="498"/>
      <c r="CC105" s="498"/>
      <c r="CD105" s="498"/>
      <c r="CE105" s="498"/>
      <c r="CF105" s="498"/>
      <c r="CG105" s="498"/>
      <c r="CH105" s="502"/>
      <c r="CI105" s="502"/>
      <c r="CJ105" s="498"/>
      <c r="CK105" s="498"/>
      <c r="CL105" s="52"/>
      <c r="EW105" s="427"/>
    </row>
    <row r="106" spans="1:153" ht="12.75" hidden="1" customHeight="1">
      <c r="B106" s="498"/>
      <c r="C106" s="502"/>
      <c r="D106" s="502"/>
      <c r="E106" s="502"/>
      <c r="F106" s="502"/>
      <c r="G106" s="498"/>
      <c r="H106" s="498"/>
      <c r="I106" s="498"/>
      <c r="J106" s="498"/>
      <c r="K106" s="498"/>
      <c r="L106" s="502"/>
      <c r="M106" s="498"/>
      <c r="N106" s="502"/>
      <c r="O106" s="498"/>
      <c r="P106" s="147"/>
      <c r="Q106" s="148"/>
      <c r="R106" s="52"/>
      <c r="S106" s="52"/>
      <c r="T106" s="52"/>
      <c r="U106" s="52"/>
      <c r="V106" s="52"/>
      <c r="W106" s="52"/>
      <c r="X106" s="52"/>
      <c r="Y106" s="896"/>
      <c r="Z106" s="52"/>
      <c r="AA106" s="51" t="s">
        <v>68</v>
      </c>
      <c r="AB106" s="51"/>
      <c r="AC106" s="1"/>
      <c r="AD106" s="31"/>
      <c r="AE106" s="31"/>
      <c r="AH106" s="1"/>
      <c r="AI106" s="1"/>
      <c r="AJ106" s="1"/>
      <c r="AK106" s="1"/>
      <c r="AL106" s="1"/>
      <c r="AM106" s="6"/>
      <c r="AN106" s="51"/>
      <c r="AO106" s="51"/>
      <c r="AP106" s="51"/>
      <c r="AQ106" s="51"/>
      <c r="AR106" s="51"/>
      <c r="AS106" s="51"/>
      <c r="AT106" s="51"/>
      <c r="AU106" s="51"/>
      <c r="AV106" s="1"/>
      <c r="AW106" s="1"/>
      <c r="AX106" s="1"/>
      <c r="AY106" s="1"/>
      <c r="AZ106" s="1"/>
      <c r="BA106" s="1"/>
      <c r="BB106" s="1"/>
      <c r="BC106" s="1"/>
      <c r="BD106" s="652"/>
      <c r="BE106" s="1"/>
      <c r="BF106" s="51"/>
      <c r="BG106" s="51"/>
      <c r="BJ106" s="893"/>
      <c r="BK106" s="421"/>
      <c r="BL106" s="899"/>
      <c r="BM106" s="502"/>
      <c r="BN106" s="502"/>
      <c r="BO106" s="502"/>
      <c r="BP106" s="502"/>
      <c r="BQ106" s="498"/>
      <c r="BR106" s="502"/>
      <c r="BS106" s="502"/>
      <c r="BT106" s="502"/>
      <c r="BU106" s="502"/>
      <c r="BV106" s="498"/>
      <c r="BW106" s="498"/>
      <c r="BX106" s="498"/>
      <c r="BY106" s="498"/>
      <c r="BZ106" s="498"/>
      <c r="CA106" s="498"/>
      <c r="CB106" s="498"/>
      <c r="CC106" s="498"/>
      <c r="CD106" s="498"/>
      <c r="CE106" s="498"/>
      <c r="CF106" s="498"/>
      <c r="CG106" s="498"/>
      <c r="CH106" s="502"/>
      <c r="CI106" s="502"/>
      <c r="CJ106" s="498"/>
      <c r="CK106" s="498"/>
      <c r="CL106" s="52"/>
      <c r="EW106" s="427"/>
    </row>
    <row r="107" spans="1:153" hidden="1">
      <c r="B107" s="51"/>
      <c r="C107" s="52"/>
      <c r="D107" s="52"/>
      <c r="E107" s="52"/>
      <c r="F107" s="52"/>
      <c r="G107" s="51"/>
      <c r="H107" s="51"/>
      <c r="I107" s="51"/>
      <c r="J107" s="51"/>
      <c r="K107" s="51"/>
      <c r="L107" s="52"/>
      <c r="M107" s="51"/>
      <c r="N107" s="52"/>
      <c r="O107" s="51"/>
      <c r="P107" s="147"/>
      <c r="Q107" s="148"/>
      <c r="R107" s="52"/>
      <c r="S107" s="52"/>
      <c r="T107" s="52"/>
      <c r="U107" s="52"/>
      <c r="V107" s="52"/>
      <c r="W107" s="52"/>
      <c r="X107" s="52"/>
      <c r="Y107" s="896"/>
      <c r="Z107" s="52"/>
      <c r="AA107" s="51"/>
      <c r="AB107" s="51"/>
      <c r="AC107" s="1"/>
      <c r="AD107" s="31"/>
      <c r="AE107" s="31"/>
      <c r="AH107" s="1"/>
      <c r="AI107" s="1"/>
      <c r="AJ107" s="1"/>
      <c r="AK107" s="1"/>
      <c r="AL107" s="1"/>
      <c r="AM107" s="6"/>
      <c r="AN107" s="51"/>
      <c r="AO107" s="51"/>
      <c r="AP107" s="51"/>
      <c r="AQ107" s="51"/>
      <c r="AR107" s="51"/>
      <c r="AS107" s="51"/>
      <c r="AT107" s="51"/>
      <c r="AU107" s="51"/>
      <c r="AV107" s="1"/>
      <c r="AW107" s="1"/>
      <c r="AX107" s="1"/>
      <c r="AY107" s="1"/>
      <c r="AZ107" s="1"/>
      <c r="BA107" s="1"/>
      <c r="BB107" s="1"/>
      <c r="BC107" s="1"/>
      <c r="BD107" s="652"/>
      <c r="BE107" s="1"/>
      <c r="BF107" s="51"/>
      <c r="BG107" s="51"/>
      <c r="BJ107" s="893"/>
      <c r="BK107" s="421"/>
      <c r="BL107" s="899"/>
      <c r="BM107" s="502"/>
      <c r="BN107" s="502"/>
      <c r="BO107" s="502"/>
      <c r="BP107" s="502"/>
      <c r="BQ107" s="498"/>
      <c r="BR107" s="502"/>
      <c r="BS107" s="502"/>
      <c r="BT107" s="502"/>
      <c r="BU107" s="502"/>
      <c r="BV107" s="498"/>
      <c r="BW107" s="498"/>
      <c r="BX107" s="498"/>
      <c r="BY107" s="498"/>
      <c r="BZ107" s="498"/>
      <c r="CA107" s="498"/>
      <c r="CB107" s="498"/>
      <c r="CC107" s="498"/>
      <c r="CD107" s="498"/>
      <c r="CE107" s="498"/>
      <c r="CF107" s="498"/>
      <c r="CG107" s="498"/>
      <c r="CH107" s="502"/>
      <c r="CI107" s="502"/>
      <c r="CJ107" s="498"/>
      <c r="CK107" s="498"/>
      <c r="CL107" s="52"/>
      <c r="EW107" s="427"/>
    </row>
    <row r="108" spans="1:153" hidden="1">
      <c r="B108" s="51"/>
      <c r="C108" s="52"/>
      <c r="D108" s="52"/>
      <c r="E108" s="52"/>
      <c r="F108" s="52"/>
      <c r="G108" s="51"/>
      <c r="H108" s="51"/>
      <c r="I108" s="51"/>
      <c r="J108" s="51"/>
      <c r="K108" s="51"/>
      <c r="L108" s="52"/>
      <c r="M108" s="51"/>
      <c r="N108" s="52"/>
      <c r="O108" s="51"/>
      <c r="P108" s="147"/>
      <c r="Q108" s="148"/>
      <c r="R108" s="52"/>
      <c r="S108" s="52"/>
      <c r="T108" s="52"/>
      <c r="U108" s="52"/>
      <c r="V108" s="52"/>
      <c r="W108" s="52"/>
      <c r="X108" s="52"/>
      <c r="Y108" s="896"/>
      <c r="Z108" s="52"/>
      <c r="AA108" s="51"/>
      <c r="AB108" s="51"/>
      <c r="AC108" s="1"/>
      <c r="AD108" s="31"/>
      <c r="AE108" s="31"/>
      <c r="AH108" s="1"/>
      <c r="AI108" s="1"/>
      <c r="AJ108" s="1"/>
      <c r="AK108" s="1"/>
      <c r="AL108" s="1"/>
      <c r="AM108" s="6"/>
      <c r="AN108" s="51"/>
      <c r="AO108" s="51"/>
      <c r="AP108" s="51"/>
      <c r="AQ108" s="51"/>
      <c r="AR108" s="51"/>
      <c r="AS108" s="51"/>
      <c r="AT108" s="51"/>
      <c r="AU108" s="51"/>
      <c r="AV108" s="1"/>
      <c r="AW108" s="1"/>
      <c r="AX108" s="1"/>
      <c r="AY108" s="1"/>
      <c r="AZ108" s="1"/>
      <c r="BA108" s="1"/>
      <c r="BB108" s="1"/>
      <c r="BC108" s="1"/>
      <c r="BD108" s="652"/>
      <c r="BE108" s="1"/>
      <c r="BF108" s="51"/>
      <c r="BG108" s="51"/>
      <c r="BJ108" s="893"/>
      <c r="BK108" s="421"/>
      <c r="BL108" s="899"/>
      <c r="BM108" s="502"/>
      <c r="BN108" s="502"/>
      <c r="BO108" s="502"/>
      <c r="BP108" s="502"/>
      <c r="BQ108" s="498"/>
      <c r="BR108" s="502"/>
      <c r="BS108" s="502"/>
      <c r="BT108" s="502"/>
      <c r="BU108" s="502"/>
      <c r="BV108" s="498"/>
      <c r="BW108" s="498"/>
      <c r="BX108" s="498"/>
      <c r="BY108" s="498"/>
      <c r="BZ108" s="498"/>
      <c r="CA108" s="498"/>
      <c r="CB108" s="498"/>
      <c r="CC108" s="498"/>
      <c r="CD108" s="498"/>
      <c r="CE108" s="498"/>
      <c r="CF108" s="498"/>
      <c r="CG108" s="498"/>
      <c r="CH108" s="502"/>
      <c r="CI108" s="502"/>
      <c r="CJ108" s="498"/>
      <c r="CK108" s="498"/>
      <c r="CL108" s="52"/>
      <c r="EW108" s="427"/>
    </row>
    <row r="109" spans="1:153" hidden="1">
      <c r="B109" s="51"/>
      <c r="C109" s="52"/>
      <c r="D109" s="52"/>
      <c r="E109" s="52"/>
      <c r="F109" s="52"/>
      <c r="G109" s="51"/>
      <c r="H109" s="51"/>
      <c r="I109" s="51"/>
      <c r="J109" s="51"/>
      <c r="K109" s="51"/>
      <c r="L109" s="52"/>
      <c r="M109" s="51"/>
      <c r="N109" s="52"/>
      <c r="O109" s="51"/>
      <c r="R109" s="52"/>
      <c r="S109" s="52"/>
      <c r="T109" s="52"/>
      <c r="U109" s="52"/>
      <c r="V109" s="52"/>
      <c r="W109" s="52"/>
      <c r="X109" s="52"/>
      <c r="Y109" s="896"/>
      <c r="Z109" s="52"/>
      <c r="AA109" s="51"/>
      <c r="AB109" s="51"/>
      <c r="AC109" s="1"/>
      <c r="AD109" s="1"/>
      <c r="AE109" s="1"/>
      <c r="AH109" s="1"/>
      <c r="AI109" s="1"/>
      <c r="AJ109" s="1"/>
      <c r="AK109" s="1"/>
      <c r="AL109" s="1"/>
      <c r="AM109" s="6"/>
      <c r="AN109" s="51"/>
      <c r="AO109" s="51"/>
      <c r="AP109" s="51"/>
      <c r="AQ109" s="51"/>
      <c r="AR109" s="51"/>
      <c r="AS109" s="51"/>
      <c r="AT109" s="51"/>
      <c r="AU109" s="51"/>
      <c r="AV109" s="1"/>
      <c r="AW109" s="1"/>
      <c r="AX109" s="1"/>
      <c r="AY109" s="1"/>
      <c r="AZ109" s="1"/>
      <c r="BA109" s="1"/>
      <c r="BB109" s="1"/>
      <c r="BC109" s="1"/>
      <c r="BD109" s="652"/>
      <c r="BE109" s="641"/>
      <c r="BF109" s="652"/>
      <c r="BG109" s="652"/>
      <c r="BH109" s="652"/>
      <c r="BI109" s="652"/>
      <c r="BJ109" s="901"/>
      <c r="BK109" s="902"/>
      <c r="BL109" s="903"/>
      <c r="BM109" s="905"/>
      <c r="BN109" s="905"/>
      <c r="BO109" s="905"/>
      <c r="BP109" s="905"/>
      <c r="BQ109" s="904"/>
      <c r="BR109" s="905"/>
      <c r="BS109" s="905"/>
      <c r="BT109" s="905"/>
      <c r="BU109" s="905"/>
      <c r="BV109" s="904"/>
      <c r="BW109" s="904"/>
      <c r="BX109" s="904"/>
      <c r="BY109" s="904"/>
      <c r="BZ109" s="904"/>
      <c r="CA109" s="904"/>
      <c r="CB109" s="904"/>
      <c r="CC109" s="904"/>
      <c r="CD109" s="904"/>
      <c r="CE109" s="904"/>
      <c r="CF109" s="904"/>
      <c r="CG109" s="904"/>
      <c r="CH109" s="905"/>
      <c r="CI109" s="905"/>
      <c r="CJ109" s="904"/>
      <c r="CK109" s="904"/>
      <c r="CL109" s="657"/>
      <c r="CM109" s="652"/>
      <c r="CN109" s="657"/>
      <c r="CO109" s="657"/>
      <c r="CP109" s="652"/>
      <c r="CQ109" s="652"/>
      <c r="CR109" s="652"/>
      <c r="CS109" s="652"/>
      <c r="CT109" s="652"/>
      <c r="CU109" s="652"/>
      <c r="CV109" s="652"/>
      <c r="CW109" s="652"/>
      <c r="CX109" s="652"/>
      <c r="CY109" s="652"/>
      <c r="CZ109" s="652"/>
      <c r="DA109" s="652"/>
      <c r="DB109" s="652"/>
      <c r="DD109" s="652"/>
      <c r="DE109" s="652"/>
      <c r="DF109" s="652"/>
      <c r="DG109" s="427"/>
      <c r="DH109" s="427"/>
      <c r="DI109" s="427"/>
      <c r="DJ109" s="427"/>
      <c r="DK109" s="427"/>
      <c r="DL109" s="427"/>
      <c r="DM109" s="427"/>
      <c r="DN109" s="427"/>
      <c r="DO109" s="427"/>
      <c r="DP109" s="427"/>
      <c r="DQ109" s="427"/>
      <c r="DR109" s="427"/>
      <c r="DS109" s="427"/>
      <c r="DT109" s="427"/>
      <c r="DU109" s="427"/>
      <c r="DV109" s="427"/>
      <c r="DW109" s="427"/>
      <c r="DX109" s="427"/>
      <c r="DY109" s="427"/>
      <c r="DZ109" s="427"/>
      <c r="EA109" s="427"/>
      <c r="EB109" s="427"/>
      <c r="EC109" s="427"/>
      <c r="ED109" s="427"/>
      <c r="EE109" s="427"/>
      <c r="EF109" s="427"/>
      <c r="EW109" s="427"/>
    </row>
    <row r="110" spans="1:153" hidden="1">
      <c r="B110" s="51"/>
      <c r="C110" s="52"/>
      <c r="D110" s="52"/>
      <c r="E110" s="52"/>
      <c r="F110" s="52"/>
      <c r="G110" s="51"/>
      <c r="H110" s="51"/>
      <c r="I110" s="51"/>
      <c r="J110" s="51"/>
      <c r="K110" s="51"/>
      <c r="L110" s="52"/>
      <c r="M110" s="51"/>
      <c r="N110" s="52"/>
      <c r="O110" s="51"/>
      <c r="R110" s="52"/>
      <c r="S110" s="52"/>
      <c r="T110" s="52"/>
      <c r="U110" s="52"/>
      <c r="V110" s="52"/>
      <c r="W110" s="52"/>
      <c r="X110" s="52"/>
      <c r="Y110" s="896"/>
      <c r="Z110" s="52"/>
      <c r="AA110" s="51"/>
      <c r="AB110" s="51"/>
      <c r="AC110" s="1"/>
      <c r="AD110" s="1"/>
      <c r="AE110" s="1"/>
      <c r="AH110" s="1"/>
      <c r="AI110" s="1"/>
      <c r="AJ110" s="1"/>
      <c r="AK110" s="1"/>
      <c r="AL110" s="1"/>
      <c r="AM110" s="6"/>
      <c r="AN110" s="51"/>
      <c r="AO110" s="51"/>
      <c r="AP110" s="51"/>
      <c r="AQ110" s="51"/>
      <c r="AR110" s="51"/>
      <c r="AS110" s="51"/>
      <c r="AT110" s="51"/>
      <c r="AU110" s="51"/>
      <c r="AV110" s="1"/>
      <c r="AW110" s="1"/>
      <c r="AX110" s="1"/>
      <c r="AY110" s="1"/>
      <c r="AZ110" s="1"/>
      <c r="BA110" s="1"/>
      <c r="BB110" s="1"/>
      <c r="BC110" s="1"/>
      <c r="BJ110" s="498"/>
      <c r="BK110" s="421"/>
      <c r="BL110" s="899"/>
      <c r="BM110" s="502"/>
      <c r="BN110" s="502"/>
      <c r="BO110" s="502"/>
      <c r="BP110" s="502"/>
      <c r="BQ110" s="498"/>
      <c r="BR110" s="502"/>
      <c r="BS110" s="502"/>
      <c r="BT110" s="502"/>
      <c r="BU110" s="502"/>
      <c r="BV110" s="498"/>
      <c r="BW110" s="498"/>
      <c r="BX110" s="498"/>
      <c r="BY110" s="498"/>
      <c r="BZ110" s="498"/>
      <c r="CA110" s="498"/>
      <c r="CB110" s="498"/>
      <c r="CC110" s="498"/>
      <c r="CD110" s="498"/>
      <c r="CE110" s="498"/>
      <c r="CF110" s="498"/>
      <c r="CG110" s="498"/>
      <c r="CH110" s="502"/>
      <c r="CI110" s="502"/>
      <c r="CJ110" s="498"/>
      <c r="CK110" s="498"/>
      <c r="DC110" s="994"/>
      <c r="EW110" s="427"/>
    </row>
    <row r="111" spans="1:153" hidden="1">
      <c r="B111" s="51"/>
      <c r="C111" s="52"/>
      <c r="D111" s="52"/>
      <c r="E111" s="52"/>
      <c r="F111" s="52"/>
      <c r="G111" s="51"/>
      <c r="H111" s="51"/>
      <c r="I111" s="51"/>
      <c r="J111" s="51"/>
      <c r="K111" s="51"/>
      <c r="L111" s="52"/>
      <c r="M111" s="51"/>
      <c r="N111" s="52"/>
      <c r="O111" s="51"/>
      <c r="R111" s="52"/>
      <c r="S111" s="52"/>
      <c r="T111" s="52"/>
      <c r="U111" s="52"/>
      <c r="V111" s="52"/>
      <c r="W111" s="52"/>
      <c r="X111" s="52"/>
      <c r="Y111" s="896"/>
      <c r="Z111" s="52"/>
      <c r="AA111" s="51"/>
      <c r="AB111" s="51"/>
      <c r="AC111" s="1"/>
      <c r="AD111" s="1"/>
      <c r="AE111" s="1"/>
      <c r="AH111" s="1"/>
      <c r="AI111" s="1"/>
      <c r="AJ111" s="1"/>
      <c r="AK111" s="1"/>
      <c r="AL111" s="1"/>
      <c r="AM111" s="6"/>
      <c r="AN111" s="51"/>
      <c r="AO111" s="51"/>
      <c r="AP111" s="51"/>
      <c r="AQ111" s="51"/>
      <c r="AR111" s="51"/>
      <c r="AS111" s="51"/>
      <c r="AT111" s="51"/>
      <c r="AU111" s="51"/>
      <c r="AV111" s="1"/>
      <c r="AW111" s="1"/>
      <c r="AX111" s="1"/>
      <c r="AY111" s="1"/>
      <c r="AZ111" s="1"/>
      <c r="BA111" s="1"/>
      <c r="BB111" s="1"/>
      <c r="BC111" s="1"/>
      <c r="EW111" s="427"/>
    </row>
    <row r="112" spans="1:153" hidden="1">
      <c r="B112" s="1"/>
      <c r="C112" s="9"/>
      <c r="F112" s="9"/>
      <c r="G112" s="1"/>
      <c r="I112" s="1"/>
      <c r="J112" s="1"/>
      <c r="R112" s="52"/>
      <c r="S112" s="52"/>
      <c r="T112" s="52"/>
      <c r="U112" s="52"/>
      <c r="V112" s="52"/>
      <c r="W112" s="52"/>
      <c r="X112" s="52"/>
      <c r="Y112" s="896"/>
      <c r="Z112" s="52"/>
      <c r="AA112" s="51"/>
      <c r="AB112" s="51"/>
      <c r="AC112" s="1"/>
      <c r="AD112" s="1"/>
      <c r="AE112" s="1"/>
      <c r="AF112" s="1"/>
      <c r="AG112" s="1"/>
      <c r="AH112" s="1"/>
      <c r="AI112" s="1"/>
      <c r="AJ112" s="1"/>
      <c r="AK112" s="1"/>
      <c r="AL112" s="1"/>
      <c r="AM112" s="6"/>
      <c r="AN112" s="51"/>
      <c r="AO112" s="51"/>
      <c r="AP112" s="51"/>
      <c r="AQ112" s="51"/>
      <c r="AR112" s="51"/>
      <c r="AS112" s="51"/>
      <c r="AT112" s="51"/>
      <c r="AU112" s="51"/>
      <c r="AV112" s="1"/>
      <c r="AW112" s="1"/>
      <c r="AX112" s="1"/>
      <c r="AY112" s="1"/>
      <c r="AZ112" s="1"/>
      <c r="BA112" s="1"/>
      <c r="BB112" s="1"/>
      <c r="BC112" s="1"/>
      <c r="EW112" s="427"/>
    </row>
    <row r="113" spans="2:153" hidden="1">
      <c r="B113" s="1"/>
      <c r="C113" s="9"/>
      <c r="F113" s="9"/>
      <c r="G113" s="1"/>
      <c r="I113" s="1"/>
      <c r="J113" s="1"/>
      <c r="R113" s="52"/>
      <c r="S113" s="52"/>
      <c r="T113" s="52"/>
      <c r="U113" s="52"/>
      <c r="V113" s="52"/>
      <c r="W113" s="52"/>
      <c r="X113" s="52"/>
      <c r="Y113" s="896"/>
      <c r="Z113" s="52"/>
      <c r="AA113" s="51"/>
      <c r="AB113" s="51"/>
      <c r="AC113" s="1"/>
      <c r="AD113" s="1"/>
      <c r="AE113" s="1"/>
      <c r="AF113" s="1"/>
      <c r="AG113" s="1"/>
      <c r="AH113" s="1"/>
      <c r="AI113" s="1"/>
      <c r="AJ113" s="1"/>
      <c r="AK113" s="1"/>
      <c r="AL113" s="1"/>
      <c r="AM113" s="6"/>
      <c r="AN113" s="51"/>
      <c r="AO113" s="51"/>
      <c r="AP113" s="51"/>
      <c r="AQ113" s="51"/>
      <c r="AR113" s="51"/>
      <c r="AS113" s="51"/>
      <c r="AT113" s="51"/>
      <c r="AU113" s="51"/>
      <c r="AV113" s="1"/>
      <c r="AW113" s="1"/>
      <c r="AX113" s="1"/>
      <c r="AY113" s="1"/>
      <c r="AZ113" s="1"/>
      <c r="BA113" s="1"/>
      <c r="BB113" s="1"/>
      <c r="BC113" s="1"/>
      <c r="EW113" s="427"/>
    </row>
    <row r="114" spans="2:153" hidden="1">
      <c r="B114" s="1"/>
      <c r="C114" s="9"/>
      <c r="F114" s="9"/>
      <c r="G114" s="1"/>
      <c r="I114" s="1"/>
      <c r="J114" s="1"/>
      <c r="R114" s="52"/>
      <c r="S114" s="52"/>
      <c r="T114" s="52"/>
      <c r="U114" s="52"/>
      <c r="V114" s="52"/>
      <c r="W114" s="52"/>
      <c r="X114" s="52"/>
      <c r="Y114" s="896"/>
      <c r="Z114" s="52"/>
      <c r="AA114" s="51"/>
      <c r="AB114" s="51"/>
      <c r="AC114" s="1"/>
      <c r="AD114" s="1"/>
      <c r="AE114" s="1"/>
      <c r="AF114" s="1"/>
      <c r="AG114" s="1"/>
      <c r="AH114" s="1"/>
      <c r="AI114" s="1"/>
      <c r="AJ114" s="1"/>
      <c r="AK114" s="1"/>
      <c r="AL114" s="1"/>
      <c r="AM114" s="6"/>
      <c r="AN114" s="51"/>
      <c r="AO114" s="51"/>
      <c r="AP114" s="51"/>
      <c r="AQ114" s="51"/>
      <c r="AR114" s="51"/>
      <c r="AS114" s="51"/>
      <c r="AT114" s="51"/>
      <c r="AU114" s="51"/>
      <c r="AV114" s="1"/>
      <c r="AW114" s="1"/>
      <c r="AX114" s="1"/>
      <c r="AY114" s="1"/>
      <c r="AZ114" s="1"/>
      <c r="BA114" s="1"/>
      <c r="BB114" s="1"/>
      <c r="BC114" s="1"/>
      <c r="EW114" s="427"/>
    </row>
    <row r="115" spans="2:153">
      <c r="B115" s="1"/>
      <c r="C115" s="9"/>
      <c r="F115" s="9"/>
      <c r="G115" s="1"/>
      <c r="I115" s="1"/>
      <c r="J115" s="1"/>
      <c r="R115" s="52"/>
      <c r="S115" s="52"/>
      <c r="T115" s="52"/>
      <c r="U115" s="52"/>
      <c r="V115" s="52"/>
      <c r="W115" s="52"/>
      <c r="X115" s="52"/>
      <c r="Y115" s="896"/>
      <c r="Z115" s="52"/>
      <c r="AA115" s="51"/>
      <c r="AB115" s="51"/>
      <c r="AC115" s="1"/>
      <c r="AD115" s="1"/>
      <c r="AE115" s="1"/>
      <c r="AF115" s="1"/>
      <c r="AG115" s="1"/>
      <c r="AH115" s="1"/>
      <c r="AI115" s="1"/>
      <c r="AJ115" s="1"/>
      <c r="AK115" s="1"/>
      <c r="AL115" s="1"/>
      <c r="AM115" s="6"/>
      <c r="AN115" s="51"/>
      <c r="AO115" s="51"/>
      <c r="AP115" s="51"/>
      <c r="AQ115" s="51"/>
      <c r="AR115" s="51"/>
      <c r="AS115" s="51"/>
      <c r="AT115" s="51"/>
      <c r="AU115" s="51"/>
      <c r="AV115" s="1"/>
      <c r="AW115" s="1"/>
      <c r="AX115" s="1"/>
      <c r="AY115" s="1"/>
      <c r="AZ115" s="1"/>
      <c r="BA115" s="1"/>
      <c r="BB115" s="1"/>
      <c r="BC115" s="1"/>
      <c r="EW115" s="427"/>
    </row>
    <row r="116" spans="2:153">
      <c r="B116" s="1"/>
      <c r="C116" s="9"/>
      <c r="F116" s="9"/>
      <c r="G116" s="1"/>
      <c r="I116" s="1"/>
      <c r="J116" s="1"/>
      <c r="R116" s="52"/>
      <c r="S116" s="52"/>
      <c r="T116" s="52"/>
      <c r="U116" s="52"/>
      <c r="V116" s="52"/>
      <c r="W116" s="52"/>
      <c r="X116" s="52"/>
      <c r="Y116" s="896"/>
      <c r="Z116" s="52"/>
      <c r="AA116" s="51"/>
      <c r="AB116" s="51"/>
      <c r="AC116" s="1"/>
      <c r="AD116" s="1"/>
      <c r="AE116" s="1"/>
      <c r="AF116" s="1"/>
      <c r="AG116" s="1"/>
      <c r="AH116" s="1"/>
      <c r="AI116" s="1"/>
      <c r="AJ116" s="1"/>
      <c r="AK116" s="1"/>
      <c r="AL116" s="1"/>
      <c r="AM116" s="6"/>
      <c r="AN116" s="51"/>
      <c r="AO116" s="51"/>
      <c r="AP116" s="51"/>
      <c r="AQ116" s="51"/>
      <c r="AR116" s="51"/>
      <c r="AS116" s="51"/>
      <c r="AT116" s="51"/>
      <c r="AU116" s="51"/>
      <c r="AV116" s="1"/>
      <c r="AW116" s="1"/>
      <c r="AX116" s="1"/>
      <c r="AY116" s="1"/>
      <c r="AZ116" s="1"/>
      <c r="BA116" s="1"/>
      <c r="BB116" s="1"/>
      <c r="BC116" s="1"/>
      <c r="EW116" s="427"/>
    </row>
    <row r="117" spans="2:153">
      <c r="B117" s="1"/>
      <c r="C117" s="9"/>
      <c r="F117" s="9"/>
      <c r="G117" s="1"/>
      <c r="I117" s="1"/>
      <c r="J117" s="1"/>
      <c r="R117" s="52"/>
      <c r="S117" s="52"/>
      <c r="T117" s="52"/>
      <c r="U117" s="52"/>
      <c r="V117" s="52"/>
      <c r="W117" s="52"/>
      <c r="X117" s="52"/>
      <c r="Y117" s="896"/>
      <c r="Z117" s="52"/>
      <c r="AA117" s="51"/>
      <c r="AB117" s="51"/>
      <c r="AC117" s="1"/>
      <c r="AD117" s="1"/>
      <c r="AE117" s="1"/>
      <c r="AF117" s="1"/>
      <c r="AG117" s="1"/>
      <c r="AH117" s="1"/>
      <c r="AI117" s="1"/>
      <c r="AV117" s="1"/>
      <c r="AW117" s="1"/>
      <c r="AX117" s="1"/>
      <c r="AY117" s="1"/>
      <c r="AZ117" s="1"/>
      <c r="BA117" s="1"/>
      <c r="BB117" s="1"/>
      <c r="BC117" s="1"/>
    </row>
    <row r="118" spans="2:153">
      <c r="B118" s="1"/>
      <c r="C118" s="9"/>
      <c r="F118" s="9"/>
      <c r="G118" s="1"/>
      <c r="I118" s="1"/>
      <c r="J118" s="1"/>
      <c r="R118" s="52"/>
      <c r="S118" s="52"/>
      <c r="T118" s="52"/>
      <c r="U118" s="52"/>
      <c r="V118" s="52"/>
      <c r="W118" s="52"/>
      <c r="X118" s="52"/>
      <c r="Y118" s="896"/>
      <c r="Z118" s="52"/>
      <c r="AA118" s="51"/>
      <c r="AB118" s="51"/>
      <c r="AC118" s="1"/>
      <c r="AD118" s="1"/>
      <c r="AE118" s="1"/>
      <c r="AF118" s="1"/>
      <c r="AG118" s="1"/>
      <c r="AH118" s="1"/>
      <c r="AI118" s="1"/>
      <c r="AV118" s="1"/>
      <c r="AW118" s="1"/>
      <c r="AX118" s="1"/>
      <c r="AY118" s="1"/>
      <c r="AZ118" s="1"/>
      <c r="BA118" s="1"/>
      <c r="BB118" s="1"/>
      <c r="BC118" s="1"/>
    </row>
    <row r="119" spans="2:153">
      <c r="B119" s="1"/>
      <c r="C119" s="9"/>
      <c r="F119" s="9"/>
      <c r="G119" s="1"/>
      <c r="I119" s="1"/>
      <c r="J119" s="1"/>
      <c r="R119" s="52"/>
      <c r="S119" s="52"/>
      <c r="T119" s="52"/>
      <c r="U119" s="52"/>
      <c r="V119" s="52"/>
      <c r="W119" s="52"/>
      <c r="X119" s="52"/>
      <c r="Y119" s="896"/>
      <c r="Z119" s="52"/>
      <c r="AA119" s="51"/>
      <c r="AB119" s="51"/>
      <c r="AC119" s="1"/>
      <c r="AD119" s="1"/>
      <c r="AE119" s="1"/>
      <c r="AF119" s="1"/>
      <c r="AG119" s="1"/>
      <c r="AH119" s="1"/>
      <c r="AI119" s="1"/>
      <c r="AV119" s="1"/>
      <c r="AW119" s="1"/>
      <c r="AX119" s="1"/>
      <c r="AY119" s="1"/>
      <c r="AZ119" s="1"/>
      <c r="BA119" s="1"/>
      <c r="BB119" s="1"/>
      <c r="BC119" s="1"/>
    </row>
    <row r="120" spans="2:153">
      <c r="B120" s="1"/>
      <c r="C120" s="9"/>
      <c r="F120" s="9"/>
      <c r="G120" s="1"/>
      <c r="I120" s="1"/>
      <c r="J120" s="1"/>
      <c r="R120" s="52"/>
      <c r="S120" s="52"/>
      <c r="T120" s="52"/>
      <c r="U120" s="52"/>
      <c r="V120" s="52"/>
      <c r="W120" s="52"/>
      <c r="X120" s="52"/>
      <c r="Y120" s="896"/>
      <c r="Z120" s="52"/>
      <c r="AA120" s="51"/>
      <c r="AB120" s="51"/>
      <c r="AD120" s="1"/>
      <c r="AE120" s="1"/>
      <c r="AF120" s="1"/>
      <c r="AG120" s="1"/>
    </row>
    <row r="121" spans="2:153">
      <c r="B121" s="1"/>
      <c r="C121" s="9"/>
      <c r="F121" s="9"/>
      <c r="G121" s="1"/>
      <c r="I121" s="1"/>
      <c r="J121" s="1"/>
      <c r="R121" s="52"/>
      <c r="S121" s="52"/>
      <c r="T121" s="52"/>
      <c r="U121" s="52"/>
      <c r="V121" s="52"/>
      <c r="W121" s="52"/>
      <c r="X121" s="52"/>
      <c r="Y121" s="896"/>
      <c r="Z121" s="52"/>
      <c r="AA121" s="51"/>
      <c r="AB121" s="51"/>
      <c r="AD121" s="1"/>
      <c r="AE121" s="1"/>
      <c r="AF121" s="1"/>
      <c r="AG121" s="1"/>
    </row>
    <row r="122" spans="2:153">
      <c r="B122" s="1"/>
      <c r="C122" s="9"/>
      <c r="F122" s="9"/>
      <c r="G122" s="1"/>
      <c r="I122" s="1"/>
      <c r="J122" s="1"/>
      <c r="R122" s="52"/>
      <c r="S122" s="52"/>
      <c r="T122" s="52"/>
      <c r="U122" s="52"/>
      <c r="V122" s="52"/>
      <c r="W122" s="52"/>
      <c r="X122" s="52"/>
      <c r="Y122" s="896"/>
      <c r="Z122" s="52"/>
      <c r="AA122" s="51"/>
      <c r="AB122" s="51"/>
      <c r="AD122" s="1"/>
      <c r="AE122" s="1"/>
      <c r="AF122" s="1"/>
      <c r="AG122" s="1"/>
    </row>
    <row r="123" spans="2:153">
      <c r="B123" s="1"/>
      <c r="C123" s="9"/>
      <c r="F123" s="9"/>
      <c r="G123" s="1"/>
      <c r="I123" s="1"/>
      <c r="J123" s="1"/>
      <c r="R123" s="52"/>
      <c r="S123" s="52"/>
      <c r="T123" s="52"/>
      <c r="U123" s="52"/>
      <c r="V123" s="52"/>
      <c r="W123" s="52"/>
      <c r="X123" s="52"/>
      <c r="Y123" s="896"/>
      <c r="Z123" s="52"/>
      <c r="AA123" s="51"/>
      <c r="AB123" s="51"/>
      <c r="AD123" s="1"/>
      <c r="AE123" s="1"/>
      <c r="AF123" s="1"/>
      <c r="AG123" s="1"/>
    </row>
    <row r="124" spans="2:153">
      <c r="B124" s="1"/>
      <c r="C124" s="9"/>
      <c r="F124" s="9"/>
      <c r="G124" s="1"/>
      <c r="I124" s="1"/>
      <c r="J124" s="1"/>
      <c r="R124" s="52"/>
      <c r="S124" s="52"/>
      <c r="T124" s="52"/>
      <c r="U124" s="52"/>
      <c r="V124" s="52"/>
      <c r="W124" s="52"/>
      <c r="X124" s="52"/>
      <c r="Y124" s="896"/>
      <c r="Z124" s="52"/>
      <c r="AA124" s="51"/>
      <c r="AB124" s="51"/>
      <c r="AD124" s="1"/>
      <c r="AE124" s="1"/>
      <c r="AF124" s="1"/>
      <c r="AG124" s="1"/>
    </row>
    <row r="125" spans="2:153">
      <c r="B125" s="1"/>
      <c r="C125" s="9"/>
      <c r="F125" s="9"/>
      <c r="G125" s="1"/>
      <c r="I125" s="1"/>
      <c r="J125" s="1"/>
      <c r="R125" s="52"/>
      <c r="S125" s="52"/>
      <c r="T125" s="52"/>
      <c r="U125" s="52"/>
      <c r="V125" s="52"/>
      <c r="W125" s="52"/>
      <c r="X125" s="52"/>
      <c r="Y125" s="896"/>
      <c r="Z125" s="52"/>
      <c r="AA125" s="51"/>
      <c r="AB125" s="51"/>
      <c r="AD125" s="1"/>
      <c r="AE125" s="1"/>
      <c r="AF125" s="1"/>
      <c r="AG125" s="1"/>
    </row>
    <row r="126" spans="2:153">
      <c r="B126" s="1"/>
      <c r="C126" s="9"/>
      <c r="F126" s="9"/>
      <c r="G126" s="1"/>
      <c r="I126" s="1"/>
      <c r="J126" s="1"/>
      <c r="R126" s="52"/>
      <c r="S126" s="52"/>
      <c r="T126" s="52"/>
      <c r="U126" s="52"/>
      <c r="V126" s="52"/>
      <c r="W126" s="52"/>
      <c r="X126" s="52"/>
      <c r="Y126" s="896"/>
      <c r="Z126" s="52"/>
      <c r="AA126" s="51"/>
      <c r="AB126" s="51"/>
      <c r="AD126" s="1"/>
      <c r="AE126" s="1"/>
      <c r="AF126" s="1"/>
      <c r="AG126" s="1"/>
    </row>
    <row r="127" spans="2:153">
      <c r="B127" s="1"/>
      <c r="C127" s="9"/>
      <c r="F127" s="9"/>
      <c r="G127" s="1"/>
      <c r="I127" s="1"/>
      <c r="J127" s="1"/>
      <c r="R127" s="52"/>
      <c r="S127" s="52"/>
      <c r="T127" s="52"/>
      <c r="U127" s="52"/>
      <c r="V127" s="52"/>
      <c r="W127" s="52"/>
      <c r="X127" s="52"/>
      <c r="Y127" s="896"/>
      <c r="Z127" s="52"/>
      <c r="AA127" s="51"/>
      <c r="AB127" s="51"/>
      <c r="AD127" s="1"/>
      <c r="AE127" s="1"/>
      <c r="AF127" s="1"/>
      <c r="AG127" s="1"/>
    </row>
    <row r="128" spans="2:153">
      <c r="B128" s="1"/>
      <c r="C128" s="9"/>
      <c r="F128" s="9"/>
      <c r="G128" s="1"/>
      <c r="I128" s="1"/>
      <c r="J128" s="1"/>
      <c r="R128" s="52"/>
      <c r="S128" s="52"/>
      <c r="T128" s="52"/>
      <c r="U128" s="52"/>
      <c r="V128" s="52"/>
      <c r="W128" s="52"/>
      <c r="X128" s="52"/>
      <c r="Y128" s="896"/>
      <c r="Z128" s="52"/>
      <c r="AA128" s="51"/>
      <c r="AB128" s="51"/>
      <c r="AD128" s="1"/>
      <c r="AE128" s="1"/>
      <c r="AF128" s="1"/>
      <c r="AG128" s="1"/>
    </row>
    <row r="129" spans="2:33">
      <c r="B129" s="1"/>
      <c r="C129" s="9"/>
      <c r="F129" s="9"/>
      <c r="G129" s="1"/>
      <c r="I129" s="1"/>
      <c r="J129" s="1"/>
      <c r="R129" s="52"/>
      <c r="S129" s="52"/>
      <c r="T129" s="52"/>
      <c r="U129" s="52"/>
      <c r="V129" s="52"/>
      <c r="W129" s="52"/>
      <c r="X129" s="52"/>
      <c r="Y129" s="896"/>
      <c r="Z129" s="52"/>
      <c r="AA129" s="51"/>
      <c r="AB129" s="51"/>
      <c r="AD129" s="1"/>
      <c r="AE129" s="1"/>
      <c r="AF129" s="1"/>
      <c r="AG129" s="1"/>
    </row>
    <row r="130" spans="2:33">
      <c r="B130" s="1"/>
      <c r="C130" s="9"/>
      <c r="F130" s="9"/>
      <c r="G130" s="1"/>
      <c r="I130" s="1"/>
      <c r="J130" s="1"/>
      <c r="R130" s="52"/>
      <c r="S130" s="52"/>
      <c r="T130" s="52"/>
      <c r="U130" s="52"/>
      <c r="V130" s="52"/>
      <c r="W130" s="52"/>
      <c r="X130" s="52"/>
      <c r="Y130" s="896"/>
      <c r="Z130" s="52"/>
      <c r="AA130" s="51"/>
      <c r="AB130" s="51"/>
      <c r="AD130" s="1"/>
      <c r="AE130" s="1"/>
      <c r="AF130" s="1"/>
      <c r="AG130" s="1"/>
    </row>
    <row r="131" spans="2:33">
      <c r="B131" s="1"/>
      <c r="C131" s="9"/>
      <c r="F131" s="9"/>
      <c r="G131" s="1"/>
      <c r="I131" s="1"/>
      <c r="J131" s="1"/>
      <c r="R131" s="52"/>
      <c r="S131" s="52"/>
      <c r="T131" s="52"/>
      <c r="U131" s="52"/>
      <c r="V131" s="52"/>
      <c r="W131" s="52"/>
      <c r="X131" s="52"/>
      <c r="Y131" s="896"/>
      <c r="Z131" s="52"/>
      <c r="AA131" s="51"/>
      <c r="AB131" s="51"/>
      <c r="AD131" s="1"/>
      <c r="AE131" s="1"/>
      <c r="AF131" s="1"/>
      <c r="AG131" s="1"/>
    </row>
    <row r="132" spans="2:33">
      <c r="B132" s="1"/>
      <c r="C132" s="9"/>
      <c r="F132" s="9"/>
      <c r="G132" s="1"/>
      <c r="I132" s="1"/>
      <c r="J132" s="1"/>
      <c r="R132" s="52"/>
      <c r="S132" s="52"/>
      <c r="T132" s="52"/>
      <c r="U132" s="52"/>
      <c r="V132" s="52"/>
      <c r="W132" s="52"/>
      <c r="X132" s="52"/>
      <c r="Y132" s="896"/>
      <c r="Z132" s="52"/>
      <c r="AA132" s="51"/>
      <c r="AB132" s="51"/>
      <c r="AD132" s="1"/>
      <c r="AE132" s="1"/>
      <c r="AF132" s="1"/>
      <c r="AG132" s="1"/>
    </row>
    <row r="133" spans="2:33">
      <c r="B133" s="1"/>
      <c r="C133" s="9"/>
      <c r="F133" s="9"/>
      <c r="G133" s="1"/>
      <c r="I133" s="1"/>
      <c r="J133" s="1"/>
      <c r="R133" s="52"/>
      <c r="S133" s="52"/>
      <c r="T133" s="52"/>
      <c r="U133" s="52"/>
      <c r="V133" s="52"/>
      <c r="W133" s="52"/>
      <c r="X133" s="52"/>
      <c r="Y133" s="896"/>
      <c r="Z133" s="52"/>
      <c r="AA133" s="51"/>
      <c r="AB133" s="51"/>
      <c r="AD133" s="1"/>
      <c r="AE133" s="1"/>
      <c r="AF133" s="1"/>
      <c r="AG133" s="1"/>
    </row>
    <row r="134" spans="2:33">
      <c r="B134" s="1"/>
      <c r="C134" s="9"/>
      <c r="F134" s="9"/>
      <c r="G134" s="1"/>
      <c r="I134" s="1"/>
      <c r="J134" s="1"/>
      <c r="R134" s="52"/>
      <c r="S134" s="52"/>
      <c r="T134" s="52"/>
      <c r="U134" s="52"/>
      <c r="V134" s="52"/>
      <c r="W134" s="52"/>
      <c r="X134" s="52"/>
      <c r="Y134" s="896"/>
      <c r="Z134" s="52"/>
      <c r="AA134" s="51"/>
      <c r="AB134" s="51"/>
      <c r="AD134" s="1"/>
      <c r="AE134" s="1"/>
      <c r="AF134" s="1"/>
      <c r="AG134" s="1"/>
    </row>
    <row r="135" spans="2:33">
      <c r="B135" s="1"/>
      <c r="C135" s="9"/>
      <c r="F135" s="9"/>
      <c r="G135" s="1"/>
      <c r="I135" s="1"/>
      <c r="J135" s="1"/>
      <c r="R135" s="52"/>
      <c r="S135" s="52"/>
      <c r="T135" s="52"/>
      <c r="U135" s="52"/>
      <c r="V135" s="52"/>
      <c r="W135" s="52"/>
      <c r="X135" s="52"/>
      <c r="Y135" s="896"/>
      <c r="Z135" s="52"/>
      <c r="AA135" s="51"/>
      <c r="AB135" s="51"/>
      <c r="AD135" s="1"/>
      <c r="AE135" s="1"/>
      <c r="AF135" s="1"/>
      <c r="AG135" s="1"/>
    </row>
    <row r="136" spans="2:33">
      <c r="B136" s="1"/>
      <c r="C136" s="9"/>
      <c r="F136" s="9"/>
      <c r="G136" s="1"/>
      <c r="I136" s="1"/>
      <c r="J136" s="1"/>
      <c r="R136" s="52"/>
      <c r="S136" s="52"/>
      <c r="T136" s="52"/>
      <c r="U136" s="52"/>
      <c r="V136" s="52"/>
      <c r="W136" s="52"/>
      <c r="X136" s="52"/>
      <c r="Y136" s="896"/>
      <c r="Z136" s="52"/>
      <c r="AA136" s="51"/>
      <c r="AB136" s="51"/>
      <c r="AD136" s="1"/>
      <c r="AE136" s="1"/>
      <c r="AF136" s="1"/>
      <c r="AG136" s="1"/>
    </row>
    <row r="137" spans="2:33">
      <c r="B137" s="1"/>
      <c r="C137" s="9"/>
      <c r="F137" s="9"/>
      <c r="G137" s="1"/>
      <c r="I137" s="1"/>
      <c r="J137" s="1"/>
      <c r="R137" s="52"/>
      <c r="S137" s="52"/>
      <c r="T137" s="52"/>
      <c r="U137" s="52"/>
      <c r="V137" s="52"/>
      <c r="W137" s="52"/>
      <c r="X137" s="52"/>
      <c r="Y137" s="896"/>
      <c r="Z137" s="52"/>
      <c r="AA137" s="51"/>
      <c r="AB137" s="51"/>
      <c r="AD137" s="1"/>
      <c r="AE137" s="1"/>
      <c r="AF137" s="1"/>
      <c r="AG137" s="1"/>
    </row>
    <row r="138" spans="2:33">
      <c r="B138" s="1"/>
      <c r="C138" s="9"/>
      <c r="F138" s="9"/>
      <c r="G138" s="1"/>
      <c r="I138" s="1"/>
      <c r="J138" s="1"/>
      <c r="R138" s="52"/>
      <c r="S138" s="52"/>
      <c r="T138" s="52"/>
      <c r="U138" s="52"/>
      <c r="V138" s="52"/>
      <c r="W138" s="52"/>
      <c r="X138" s="52"/>
      <c r="Y138" s="896"/>
      <c r="Z138" s="52"/>
      <c r="AA138" s="51"/>
      <c r="AB138" s="51"/>
      <c r="AD138" s="1"/>
      <c r="AE138" s="1"/>
      <c r="AF138" s="1"/>
      <c r="AG138" s="1"/>
    </row>
    <row r="139" spans="2:33">
      <c r="B139" s="1"/>
      <c r="C139" s="9"/>
      <c r="F139" s="9"/>
      <c r="G139" s="1"/>
      <c r="I139" s="1"/>
      <c r="J139" s="1"/>
      <c r="R139" s="52"/>
      <c r="S139" s="52"/>
      <c r="T139" s="52"/>
      <c r="U139" s="52"/>
      <c r="V139" s="52"/>
      <c r="W139" s="52"/>
      <c r="X139" s="52"/>
      <c r="Y139" s="896"/>
      <c r="Z139" s="52"/>
      <c r="AA139" s="51"/>
      <c r="AB139" s="51"/>
      <c r="AD139" s="1"/>
      <c r="AE139" s="1"/>
      <c r="AF139" s="1"/>
      <c r="AG139" s="1"/>
    </row>
    <row r="140" spans="2:33">
      <c r="B140" s="1"/>
      <c r="C140" s="9"/>
      <c r="F140" s="9"/>
      <c r="G140" s="1"/>
      <c r="I140" s="1"/>
      <c r="J140" s="1"/>
      <c r="R140" s="52"/>
      <c r="S140" s="52"/>
      <c r="T140" s="52"/>
      <c r="U140" s="52"/>
      <c r="V140" s="52"/>
      <c r="W140" s="52"/>
      <c r="X140" s="52"/>
      <c r="Y140" s="896"/>
      <c r="Z140" s="52"/>
      <c r="AA140" s="51"/>
      <c r="AB140" s="51"/>
      <c r="AD140" s="1"/>
      <c r="AE140" s="1"/>
      <c r="AF140" s="1"/>
      <c r="AG140" s="1"/>
    </row>
    <row r="141" spans="2:33">
      <c r="B141" s="1"/>
      <c r="C141" s="9"/>
      <c r="F141" s="9"/>
      <c r="G141" s="1"/>
      <c r="I141" s="1"/>
      <c r="J141" s="1"/>
      <c r="R141" s="52"/>
      <c r="S141" s="52"/>
      <c r="T141" s="52"/>
      <c r="U141" s="52"/>
      <c r="V141" s="52"/>
      <c r="W141" s="52"/>
      <c r="X141" s="52"/>
      <c r="Y141" s="896"/>
      <c r="Z141" s="52"/>
      <c r="AA141" s="51"/>
      <c r="AB141" s="51"/>
      <c r="AD141" s="1"/>
      <c r="AE141" s="1"/>
    </row>
    <row r="142" spans="2:33">
      <c r="B142" s="1"/>
      <c r="C142" s="9"/>
      <c r="F142" s="9"/>
      <c r="G142" s="1"/>
      <c r="I142" s="1"/>
      <c r="J142" s="1"/>
      <c r="R142" s="52"/>
      <c r="S142" s="52"/>
      <c r="T142" s="52"/>
      <c r="U142" s="52"/>
      <c r="V142" s="52"/>
      <c r="W142" s="52"/>
      <c r="X142" s="52"/>
      <c r="Y142" s="896"/>
      <c r="Z142" s="52"/>
      <c r="AA142" s="51"/>
      <c r="AB142" s="51"/>
      <c r="AD142" s="1"/>
      <c r="AE142" s="1"/>
    </row>
    <row r="143" spans="2:33">
      <c r="B143" s="1"/>
      <c r="C143" s="9"/>
      <c r="F143" s="9"/>
      <c r="G143" s="1"/>
      <c r="I143" s="1"/>
      <c r="J143" s="1"/>
      <c r="R143" s="52"/>
      <c r="S143" s="52"/>
      <c r="T143" s="52"/>
      <c r="U143" s="52"/>
      <c r="V143" s="52"/>
      <c r="W143" s="52"/>
      <c r="X143" s="52"/>
      <c r="Y143" s="896"/>
      <c r="Z143" s="52"/>
      <c r="AA143" s="51"/>
      <c r="AB143" s="51"/>
      <c r="AD143" s="1"/>
      <c r="AE143" s="1"/>
    </row>
    <row r="144" spans="2:33">
      <c r="B144" s="1"/>
      <c r="C144" s="9"/>
      <c r="F144" s="9"/>
      <c r="G144" s="1"/>
      <c r="I144" s="1"/>
      <c r="J144" s="1"/>
      <c r="R144" s="52"/>
      <c r="S144" s="52"/>
      <c r="T144" s="52"/>
      <c r="U144" s="52"/>
      <c r="V144" s="52"/>
      <c r="W144" s="52"/>
      <c r="X144" s="52"/>
      <c r="Y144" s="896"/>
      <c r="Z144" s="52"/>
      <c r="AA144" s="51"/>
      <c r="AB144" s="51"/>
      <c r="AD144" s="1"/>
      <c r="AE144" s="1"/>
    </row>
    <row r="145" spans="2:33">
      <c r="B145" s="1"/>
      <c r="C145" s="9"/>
      <c r="F145" s="9"/>
      <c r="G145" s="1"/>
      <c r="I145" s="1"/>
      <c r="J145" s="1"/>
      <c r="R145" s="52"/>
      <c r="S145" s="52"/>
      <c r="T145" s="52"/>
      <c r="U145" s="52"/>
      <c r="V145" s="52"/>
      <c r="W145" s="52"/>
      <c r="X145" s="52"/>
      <c r="Y145" s="896"/>
      <c r="Z145" s="52"/>
      <c r="AA145" s="51"/>
      <c r="AB145" s="51"/>
      <c r="AD145" s="1"/>
      <c r="AE145" s="1"/>
    </row>
    <row r="146" spans="2:33">
      <c r="B146" s="1"/>
      <c r="C146" s="9"/>
      <c r="F146" s="9"/>
      <c r="G146" s="1"/>
      <c r="I146" s="1"/>
      <c r="J146" s="1"/>
      <c r="R146" s="52"/>
      <c r="S146" s="52"/>
      <c r="T146" s="52"/>
      <c r="U146" s="52"/>
      <c r="V146" s="52"/>
      <c r="W146" s="52"/>
      <c r="X146" s="52"/>
      <c r="Y146" s="896"/>
      <c r="Z146" s="52"/>
      <c r="AA146" s="51"/>
      <c r="AB146" s="51"/>
      <c r="AD146" s="1"/>
      <c r="AE146" s="1"/>
    </row>
    <row r="147" spans="2:33">
      <c r="B147" s="1"/>
      <c r="C147" s="9"/>
      <c r="F147" s="9"/>
      <c r="G147" s="1"/>
      <c r="I147" s="1"/>
      <c r="J147" s="1"/>
      <c r="R147" s="52"/>
      <c r="S147" s="52"/>
      <c r="T147" s="52"/>
      <c r="U147" s="52"/>
      <c r="V147" s="52"/>
      <c r="W147" s="52"/>
      <c r="X147" s="52"/>
      <c r="Y147" s="896"/>
      <c r="Z147" s="52"/>
      <c r="AA147" s="51"/>
      <c r="AB147" s="51"/>
      <c r="AD147" s="1"/>
      <c r="AE147" s="1"/>
    </row>
    <row r="148" spans="2:33">
      <c r="B148" s="1"/>
      <c r="C148" s="9"/>
      <c r="F148" s="9"/>
      <c r="G148" s="1"/>
      <c r="I148" s="1"/>
      <c r="J148" s="1"/>
      <c r="R148" s="52"/>
      <c r="S148" s="52"/>
      <c r="T148" s="52"/>
      <c r="U148" s="52"/>
      <c r="V148" s="52"/>
      <c r="W148" s="52"/>
      <c r="X148" s="52"/>
      <c r="Y148" s="896"/>
      <c r="Z148" s="52"/>
      <c r="AA148" s="51"/>
      <c r="AB148" s="51"/>
      <c r="AD148" s="1"/>
      <c r="AE148" s="1"/>
    </row>
    <row r="149" spans="2:33">
      <c r="B149" s="1"/>
      <c r="C149" s="9"/>
      <c r="F149" s="9"/>
      <c r="G149" s="1"/>
      <c r="I149" s="1"/>
      <c r="J149" s="1"/>
      <c r="R149" s="52"/>
      <c r="S149" s="52"/>
      <c r="T149" s="52"/>
      <c r="U149" s="52"/>
      <c r="V149" s="52"/>
      <c r="W149" s="52"/>
      <c r="X149" s="52"/>
      <c r="Y149" s="896"/>
      <c r="Z149" s="52"/>
      <c r="AA149" s="51"/>
      <c r="AB149" s="51"/>
      <c r="AD149" s="1"/>
      <c r="AE149" s="1"/>
    </row>
    <row r="150" spans="2:33">
      <c r="B150" s="1"/>
      <c r="C150" s="9"/>
      <c r="F150" s="9"/>
      <c r="G150" s="1"/>
      <c r="I150" s="1"/>
      <c r="J150" s="1"/>
      <c r="R150" s="52"/>
      <c r="S150" s="52"/>
      <c r="T150" s="52"/>
      <c r="U150" s="52"/>
      <c r="V150" s="52"/>
      <c r="W150" s="52"/>
      <c r="X150" s="52"/>
      <c r="Y150" s="896"/>
      <c r="Z150" s="52"/>
      <c r="AA150" s="51"/>
      <c r="AB150" s="51"/>
      <c r="AD150" s="1"/>
      <c r="AE150" s="1"/>
    </row>
    <row r="151" spans="2:33">
      <c r="B151" s="1"/>
      <c r="C151" s="9"/>
      <c r="F151" s="9"/>
      <c r="G151" s="1"/>
      <c r="I151" s="1"/>
      <c r="J151" s="1"/>
      <c r="R151" s="52"/>
      <c r="S151" s="52"/>
      <c r="T151" s="52"/>
      <c r="U151" s="52"/>
      <c r="V151" s="52"/>
      <c r="W151" s="52"/>
      <c r="X151" s="52"/>
      <c r="Y151" s="896"/>
      <c r="Z151" s="52"/>
      <c r="AA151" s="51"/>
      <c r="AB151" s="51"/>
      <c r="AD151" s="1"/>
      <c r="AE151" s="1"/>
    </row>
    <row r="152" spans="2:33">
      <c r="B152" s="1"/>
      <c r="C152" s="9"/>
      <c r="F152" s="9"/>
      <c r="G152" s="1"/>
      <c r="I152" s="1"/>
      <c r="J152" s="1"/>
      <c r="R152" s="52"/>
      <c r="S152" s="52"/>
      <c r="T152" s="52"/>
      <c r="U152" s="52"/>
      <c r="V152" s="52"/>
      <c r="W152" s="52"/>
      <c r="X152" s="52"/>
      <c r="Y152" s="896"/>
      <c r="Z152" s="52"/>
      <c r="AA152" s="51"/>
      <c r="AB152" s="51"/>
      <c r="AD152" s="1"/>
      <c r="AE152" s="1"/>
    </row>
    <row r="153" spans="2:33">
      <c r="B153" s="1"/>
      <c r="C153" s="9"/>
      <c r="F153" s="9"/>
      <c r="G153" s="1"/>
      <c r="I153" s="1"/>
      <c r="J153" s="1"/>
      <c r="R153" s="52"/>
      <c r="S153" s="52"/>
      <c r="T153" s="52"/>
      <c r="U153" s="52"/>
      <c r="V153" s="52"/>
      <c r="W153" s="52"/>
      <c r="X153" s="52"/>
      <c r="Y153" s="896"/>
      <c r="Z153" s="52"/>
      <c r="AA153" s="51"/>
      <c r="AB153" s="51"/>
      <c r="AD153" s="1"/>
      <c r="AE153" s="1"/>
    </row>
    <row r="154" spans="2:33">
      <c r="B154" s="1"/>
      <c r="C154" s="9"/>
      <c r="F154" s="9"/>
      <c r="G154" s="1"/>
      <c r="I154" s="1"/>
      <c r="J154" s="1"/>
      <c r="R154" s="52"/>
      <c r="S154" s="52"/>
      <c r="T154" s="52"/>
      <c r="U154" s="52"/>
      <c r="V154" s="52"/>
      <c r="W154" s="52"/>
      <c r="X154" s="52"/>
      <c r="Y154" s="896"/>
      <c r="Z154" s="52"/>
      <c r="AA154" s="51"/>
      <c r="AB154" s="51"/>
      <c r="AD154" s="1"/>
      <c r="AE154" s="1"/>
    </row>
    <row r="155" spans="2:33">
      <c r="B155" s="1"/>
      <c r="C155" s="9"/>
      <c r="F155" s="9"/>
      <c r="G155" s="1"/>
      <c r="I155" s="1"/>
      <c r="J155" s="1"/>
      <c r="R155" s="52"/>
      <c r="S155" s="52"/>
      <c r="T155" s="52"/>
      <c r="U155" s="52"/>
      <c r="V155" s="52"/>
      <c r="W155" s="52"/>
      <c r="X155" s="52"/>
      <c r="Y155" s="896"/>
      <c r="Z155" s="52"/>
      <c r="AA155" s="51"/>
      <c r="AB155" s="51"/>
      <c r="AD155" s="1"/>
      <c r="AE155" s="1"/>
      <c r="AF155" s="653"/>
      <c r="AG155" s="653"/>
    </row>
    <row r="156" spans="2:33">
      <c r="B156" s="1"/>
      <c r="C156" s="9"/>
      <c r="F156" s="9"/>
      <c r="G156" s="1"/>
      <c r="I156" s="1"/>
      <c r="J156" s="1"/>
      <c r="R156" s="52"/>
      <c r="S156" s="52"/>
      <c r="T156" s="52"/>
      <c r="U156" s="52"/>
      <c r="V156" s="52"/>
      <c r="W156" s="52"/>
      <c r="X156" s="52"/>
      <c r="Y156" s="896"/>
      <c r="Z156" s="52"/>
      <c r="AA156" s="51"/>
      <c r="AB156" s="51"/>
      <c r="AD156" s="1"/>
      <c r="AE156" s="1"/>
    </row>
    <row r="157" spans="2:33">
      <c r="B157" s="1"/>
      <c r="C157" s="9"/>
      <c r="F157" s="9"/>
      <c r="G157" s="1"/>
      <c r="I157" s="1"/>
      <c r="J157" s="1"/>
      <c r="R157" s="52"/>
      <c r="S157" s="52"/>
      <c r="T157" s="52"/>
      <c r="U157" s="52"/>
      <c r="V157" s="52"/>
      <c r="W157" s="52"/>
      <c r="X157" s="52"/>
      <c r="Y157" s="896"/>
      <c r="Z157" s="52"/>
      <c r="AA157" s="51"/>
      <c r="AB157" s="51"/>
      <c r="AD157" s="1"/>
      <c r="AE157" s="1"/>
    </row>
    <row r="158" spans="2:33">
      <c r="B158" s="1"/>
      <c r="C158" s="9"/>
      <c r="F158" s="9"/>
      <c r="G158" s="1"/>
      <c r="I158" s="1"/>
      <c r="J158" s="1"/>
      <c r="R158" s="52"/>
      <c r="S158" s="52"/>
      <c r="T158" s="52"/>
      <c r="U158" s="52"/>
      <c r="V158" s="52"/>
      <c r="W158" s="52"/>
      <c r="X158" s="52"/>
      <c r="Y158" s="896"/>
      <c r="Z158" s="52"/>
      <c r="AA158" s="51"/>
      <c r="AB158" s="51"/>
      <c r="AD158" s="1"/>
      <c r="AE158" s="1"/>
    </row>
    <row r="159" spans="2:33">
      <c r="B159" s="1"/>
      <c r="C159" s="9"/>
      <c r="F159" s="9"/>
      <c r="G159" s="1"/>
      <c r="I159" s="1"/>
      <c r="J159" s="1"/>
      <c r="R159" s="52"/>
      <c r="S159" s="52"/>
      <c r="T159" s="52"/>
      <c r="U159" s="52"/>
      <c r="V159" s="52"/>
      <c r="W159" s="52"/>
      <c r="X159" s="52"/>
      <c r="Y159" s="896"/>
      <c r="Z159" s="52"/>
      <c r="AA159" s="51"/>
      <c r="AB159" s="51"/>
      <c r="AD159" s="1"/>
      <c r="AE159" s="1"/>
    </row>
    <row r="160" spans="2:33">
      <c r="B160" s="1"/>
      <c r="C160" s="9"/>
      <c r="F160" s="9"/>
      <c r="G160" s="1"/>
      <c r="I160" s="1"/>
      <c r="J160" s="1"/>
      <c r="R160" s="52"/>
      <c r="S160" s="52"/>
      <c r="T160" s="52"/>
      <c r="U160" s="52"/>
      <c r="V160" s="52"/>
      <c r="W160" s="52"/>
      <c r="X160" s="52"/>
      <c r="Y160" s="896"/>
      <c r="Z160" s="52"/>
      <c r="AA160" s="51"/>
      <c r="AB160" s="51"/>
      <c r="AD160" s="1"/>
      <c r="AE160" s="1"/>
    </row>
    <row r="161" spans="2:33">
      <c r="B161" s="1"/>
      <c r="C161" s="9"/>
      <c r="F161" s="9"/>
      <c r="G161" s="1"/>
      <c r="I161" s="1"/>
      <c r="J161" s="1"/>
      <c r="R161" s="52"/>
      <c r="S161" s="52"/>
      <c r="T161" s="52"/>
      <c r="U161" s="52"/>
      <c r="V161" s="52"/>
      <c r="W161" s="52"/>
      <c r="X161" s="52"/>
      <c r="Y161" s="896"/>
      <c r="Z161" s="52"/>
      <c r="AA161" s="51"/>
      <c r="AB161" s="51"/>
      <c r="AD161" s="1"/>
      <c r="AE161" s="1"/>
    </row>
    <row r="162" spans="2:33">
      <c r="B162" s="1"/>
      <c r="C162" s="9"/>
      <c r="F162" s="9"/>
      <c r="G162" s="1"/>
      <c r="I162" s="1"/>
      <c r="J162" s="1"/>
      <c r="R162" s="52"/>
      <c r="S162" s="52"/>
      <c r="T162" s="52"/>
      <c r="U162" s="52"/>
      <c r="V162" s="52"/>
      <c r="W162" s="52"/>
      <c r="X162" s="52"/>
      <c r="Y162" s="896"/>
      <c r="Z162" s="52"/>
      <c r="AA162" s="51"/>
      <c r="AB162" s="51"/>
      <c r="AD162" s="1"/>
      <c r="AE162" s="1"/>
    </row>
    <row r="163" spans="2:33">
      <c r="B163" s="1"/>
      <c r="C163" s="9"/>
      <c r="F163" s="9"/>
      <c r="G163" s="1"/>
      <c r="I163" s="1"/>
      <c r="J163" s="1"/>
      <c r="R163" s="52"/>
      <c r="S163" s="52"/>
      <c r="T163" s="52"/>
      <c r="U163" s="52"/>
      <c r="V163" s="52"/>
      <c r="W163" s="52"/>
      <c r="X163" s="52"/>
      <c r="Y163" s="896"/>
      <c r="Z163" s="52"/>
      <c r="AA163" s="51"/>
      <c r="AB163" s="51"/>
      <c r="AD163" s="1"/>
      <c r="AE163" s="1"/>
    </row>
    <row r="164" spans="2:33">
      <c r="B164" s="1"/>
      <c r="C164" s="9"/>
      <c r="F164" s="9"/>
      <c r="G164" s="1"/>
      <c r="I164" s="1"/>
      <c r="J164" s="1"/>
      <c r="R164" s="52"/>
      <c r="S164" s="52"/>
      <c r="T164" s="52"/>
      <c r="U164" s="52"/>
      <c r="V164" s="52"/>
      <c r="W164" s="52"/>
      <c r="X164" s="52"/>
      <c r="Y164" s="896"/>
      <c r="Z164" s="52"/>
      <c r="AA164" s="51"/>
      <c r="AB164" s="51"/>
      <c r="AD164" s="1"/>
      <c r="AE164" s="1"/>
    </row>
    <row r="165" spans="2:33">
      <c r="B165" s="1"/>
      <c r="C165" s="9"/>
      <c r="F165" s="9"/>
      <c r="G165" s="1"/>
      <c r="I165" s="1"/>
      <c r="J165" s="1"/>
      <c r="R165" s="52"/>
      <c r="S165" s="52"/>
      <c r="T165" s="52"/>
      <c r="U165" s="52"/>
      <c r="V165" s="52"/>
      <c r="W165" s="52"/>
      <c r="X165" s="52"/>
      <c r="Y165" s="896"/>
      <c r="Z165" s="52"/>
      <c r="AA165" s="51"/>
      <c r="AB165" s="51"/>
      <c r="AD165" s="1"/>
      <c r="AE165" s="1"/>
      <c r="AF165" s="456"/>
      <c r="AG165" s="456"/>
    </row>
    <row r="166" spans="2:33">
      <c r="B166" s="1"/>
      <c r="C166" s="9"/>
      <c r="F166" s="9"/>
      <c r="G166" s="1"/>
      <c r="I166" s="1"/>
      <c r="J166" s="1"/>
      <c r="R166" s="52"/>
      <c r="S166" s="52"/>
      <c r="T166" s="52"/>
      <c r="U166" s="52"/>
      <c r="V166" s="52"/>
      <c r="W166" s="52"/>
      <c r="X166" s="52"/>
      <c r="Y166" s="896"/>
      <c r="Z166" s="52"/>
      <c r="AA166" s="51"/>
      <c r="AB166" s="51"/>
      <c r="AD166" s="1"/>
      <c r="AE166" s="1"/>
    </row>
    <row r="167" spans="2:33">
      <c r="B167" s="1"/>
      <c r="C167" s="9"/>
      <c r="F167" s="9"/>
      <c r="G167" s="1"/>
      <c r="I167" s="1"/>
      <c r="J167" s="1"/>
      <c r="R167" s="52"/>
      <c r="S167" s="52"/>
      <c r="T167" s="52"/>
      <c r="U167" s="52"/>
      <c r="V167" s="52"/>
      <c r="W167" s="52"/>
      <c r="X167" s="52"/>
      <c r="Y167" s="896"/>
      <c r="Z167" s="52"/>
      <c r="AA167" s="51"/>
      <c r="AB167" s="51"/>
      <c r="AD167" s="1"/>
      <c r="AE167" s="1"/>
    </row>
    <row r="168" spans="2:33">
      <c r="B168" s="1"/>
      <c r="C168" s="9"/>
      <c r="F168" s="9"/>
      <c r="G168" s="1"/>
      <c r="I168" s="1"/>
      <c r="J168" s="1"/>
      <c r="R168" s="52"/>
      <c r="S168" s="52"/>
      <c r="T168" s="52"/>
      <c r="U168" s="52"/>
      <c r="V168" s="52"/>
      <c r="W168" s="52"/>
      <c r="X168" s="52"/>
      <c r="Y168" s="896"/>
      <c r="Z168" s="52"/>
      <c r="AA168" s="51"/>
      <c r="AB168" s="51"/>
      <c r="AD168" s="1"/>
      <c r="AE168" s="1"/>
    </row>
    <row r="169" spans="2:33">
      <c r="B169" s="1"/>
      <c r="C169" s="9"/>
      <c r="F169" s="9"/>
      <c r="G169" s="1"/>
      <c r="I169" s="1"/>
      <c r="J169" s="1"/>
      <c r="R169" s="52"/>
      <c r="S169" s="52"/>
      <c r="T169" s="52"/>
      <c r="U169" s="52"/>
      <c r="V169" s="52"/>
      <c r="W169" s="52"/>
      <c r="X169" s="52"/>
      <c r="Y169" s="896"/>
      <c r="Z169" s="52"/>
      <c r="AA169" s="51"/>
      <c r="AB169" s="51"/>
      <c r="AD169" s="1"/>
      <c r="AE169" s="1"/>
      <c r="AF169" s="1"/>
      <c r="AG169" s="1"/>
    </row>
    <row r="170" spans="2:33">
      <c r="B170" s="1"/>
      <c r="C170" s="9"/>
      <c r="F170" s="9"/>
      <c r="G170" s="1"/>
      <c r="I170" s="1"/>
      <c r="J170" s="1"/>
      <c r="R170" s="52"/>
      <c r="S170" s="52"/>
      <c r="T170" s="52"/>
      <c r="U170" s="52"/>
      <c r="V170" s="52"/>
      <c r="W170" s="52"/>
      <c r="X170" s="52"/>
      <c r="Y170" s="896"/>
      <c r="Z170" s="52"/>
      <c r="AA170" s="51"/>
      <c r="AB170" s="51"/>
      <c r="AD170" s="1"/>
      <c r="AE170" s="1"/>
      <c r="AF170" s="1"/>
      <c r="AG170" s="1"/>
    </row>
    <row r="171" spans="2:33">
      <c r="B171" s="1"/>
      <c r="C171" s="9"/>
      <c r="F171" s="9"/>
      <c r="G171" s="1"/>
      <c r="I171" s="1"/>
      <c r="J171" s="1"/>
      <c r="R171" s="52"/>
      <c r="S171" s="52"/>
      <c r="T171" s="52"/>
      <c r="U171" s="52"/>
      <c r="V171" s="52"/>
      <c r="W171" s="52"/>
      <c r="X171" s="52"/>
      <c r="Y171" s="896"/>
      <c r="Z171" s="52"/>
      <c r="AA171" s="51"/>
      <c r="AB171" s="51"/>
      <c r="AD171" s="1"/>
      <c r="AE171" s="1"/>
      <c r="AF171" s="1"/>
      <c r="AG171" s="1"/>
    </row>
    <row r="172" spans="2:33">
      <c r="B172" s="1"/>
      <c r="C172" s="9"/>
      <c r="F172" s="9"/>
      <c r="G172" s="1"/>
      <c r="I172" s="1"/>
      <c r="J172" s="1"/>
      <c r="R172" s="52"/>
      <c r="S172" s="52"/>
      <c r="T172" s="52"/>
      <c r="U172" s="52"/>
      <c r="V172" s="52"/>
      <c r="W172" s="52"/>
      <c r="X172" s="52"/>
      <c r="Y172" s="896"/>
      <c r="Z172" s="52"/>
      <c r="AA172" s="51"/>
      <c r="AB172" s="51"/>
      <c r="AD172" s="1"/>
      <c r="AE172" s="1"/>
      <c r="AF172" s="1"/>
      <c r="AG172" s="1"/>
    </row>
    <row r="173" spans="2:33">
      <c r="B173" s="1"/>
      <c r="C173" s="9"/>
      <c r="F173" s="9"/>
      <c r="G173" s="1"/>
      <c r="I173" s="1"/>
      <c r="J173" s="1"/>
      <c r="R173" s="52"/>
      <c r="S173" s="52"/>
      <c r="T173" s="52"/>
      <c r="U173" s="52"/>
      <c r="V173" s="52"/>
      <c r="W173" s="52"/>
      <c r="X173" s="52"/>
      <c r="Y173" s="896"/>
      <c r="Z173" s="52"/>
      <c r="AA173" s="51"/>
      <c r="AB173" s="51"/>
      <c r="AD173" s="1"/>
      <c r="AE173" s="1"/>
      <c r="AF173" s="1"/>
      <c r="AG173" s="1"/>
    </row>
    <row r="174" spans="2:33">
      <c r="B174" s="1"/>
      <c r="C174" s="9"/>
      <c r="F174" s="9"/>
      <c r="G174" s="1"/>
      <c r="I174" s="1"/>
      <c r="J174" s="1"/>
      <c r="R174" s="52"/>
      <c r="S174" s="52"/>
      <c r="T174" s="52"/>
      <c r="U174" s="52"/>
      <c r="V174" s="52"/>
      <c r="W174" s="52"/>
      <c r="X174" s="52"/>
      <c r="Y174" s="896"/>
      <c r="Z174" s="52"/>
      <c r="AA174" s="51"/>
      <c r="AB174" s="51"/>
      <c r="AD174" s="1"/>
      <c r="AE174" s="1"/>
      <c r="AF174" s="1"/>
      <c r="AG174" s="1"/>
    </row>
    <row r="175" spans="2:33">
      <c r="B175" s="1"/>
      <c r="C175" s="9"/>
      <c r="F175" s="9"/>
      <c r="G175" s="1"/>
      <c r="I175" s="1"/>
      <c r="J175" s="1"/>
      <c r="R175" s="52"/>
      <c r="S175" s="52"/>
      <c r="T175" s="52"/>
      <c r="U175" s="52"/>
      <c r="V175" s="52"/>
      <c r="W175" s="52"/>
      <c r="X175" s="52"/>
      <c r="Y175" s="896"/>
      <c r="Z175" s="52"/>
      <c r="AA175" s="51"/>
      <c r="AB175" s="51"/>
      <c r="AD175" s="1"/>
      <c r="AE175" s="1"/>
      <c r="AF175" s="1"/>
      <c r="AG175" s="1"/>
    </row>
    <row r="176" spans="2:33">
      <c r="B176" s="1"/>
      <c r="C176" s="9"/>
      <c r="F176" s="9"/>
      <c r="G176" s="1"/>
      <c r="I176" s="1"/>
      <c r="J176" s="1"/>
      <c r="R176" s="52"/>
      <c r="S176" s="52"/>
      <c r="T176" s="52"/>
      <c r="U176" s="52"/>
      <c r="V176" s="52"/>
      <c r="W176" s="52"/>
      <c r="X176" s="52"/>
      <c r="Y176" s="896"/>
      <c r="Z176" s="52"/>
      <c r="AA176" s="51"/>
      <c r="AB176" s="51"/>
      <c r="AD176" s="1"/>
      <c r="AE176" s="1"/>
      <c r="AF176" s="1"/>
      <c r="AG176" s="1"/>
    </row>
    <row r="177" spans="2:33">
      <c r="B177" s="1"/>
      <c r="C177" s="9"/>
      <c r="F177" s="9"/>
      <c r="G177" s="1"/>
      <c r="I177" s="1"/>
      <c r="J177" s="1"/>
      <c r="R177" s="52"/>
      <c r="S177" s="52"/>
      <c r="T177" s="52"/>
      <c r="U177" s="52"/>
      <c r="V177" s="52"/>
      <c r="W177" s="52"/>
      <c r="X177" s="52"/>
      <c r="Y177" s="896"/>
      <c r="Z177" s="52"/>
      <c r="AA177" s="51"/>
      <c r="AB177" s="51"/>
      <c r="AD177" s="1"/>
      <c r="AE177" s="1"/>
      <c r="AF177" s="1"/>
      <c r="AG177" s="1"/>
    </row>
    <row r="178" spans="2:33">
      <c r="B178" s="1"/>
      <c r="C178" s="9"/>
      <c r="F178" s="9"/>
      <c r="G178" s="1"/>
      <c r="I178" s="1"/>
      <c r="J178" s="1"/>
      <c r="R178" s="52"/>
      <c r="S178" s="52"/>
      <c r="T178" s="52"/>
      <c r="U178" s="52"/>
      <c r="V178" s="52"/>
      <c r="W178" s="52"/>
      <c r="X178" s="52"/>
      <c r="Y178" s="896"/>
      <c r="Z178" s="52"/>
      <c r="AA178" s="51"/>
      <c r="AB178" s="51"/>
      <c r="AD178" s="1"/>
      <c r="AE178" s="1"/>
      <c r="AF178" s="1"/>
      <c r="AG178" s="1"/>
    </row>
    <row r="179" spans="2:33">
      <c r="B179" s="1"/>
      <c r="C179" s="9"/>
      <c r="F179" s="9"/>
      <c r="G179" s="1"/>
      <c r="I179" s="1"/>
      <c r="J179" s="1"/>
      <c r="R179" s="52"/>
      <c r="S179" s="52"/>
      <c r="T179" s="52"/>
      <c r="U179" s="52"/>
      <c r="V179" s="52"/>
      <c r="W179" s="52"/>
      <c r="X179" s="52"/>
      <c r="Y179" s="896"/>
      <c r="Z179" s="52"/>
      <c r="AA179" s="51"/>
      <c r="AB179" s="51"/>
      <c r="AD179" s="1"/>
      <c r="AE179" s="1"/>
      <c r="AF179" s="1"/>
      <c r="AG179" s="1"/>
    </row>
    <row r="180" spans="2:33">
      <c r="B180" s="1"/>
      <c r="C180" s="9"/>
      <c r="F180" s="9"/>
      <c r="G180" s="1"/>
      <c r="I180" s="1"/>
      <c r="J180" s="1"/>
      <c r="R180" s="52"/>
      <c r="S180" s="52"/>
      <c r="T180" s="52"/>
      <c r="U180" s="52"/>
      <c r="V180" s="52"/>
      <c r="W180" s="52"/>
      <c r="X180" s="52"/>
      <c r="Y180" s="896"/>
      <c r="Z180" s="52"/>
      <c r="AA180" s="51"/>
      <c r="AB180" s="51"/>
      <c r="AD180" s="1"/>
      <c r="AE180" s="1"/>
      <c r="AF180" s="1"/>
      <c r="AG180" s="1"/>
    </row>
    <row r="181" spans="2:33">
      <c r="B181" s="1"/>
      <c r="C181" s="9"/>
      <c r="F181" s="9"/>
      <c r="G181" s="1"/>
      <c r="I181" s="1"/>
      <c r="J181" s="1"/>
      <c r="R181" s="52"/>
      <c r="S181" s="52"/>
      <c r="T181" s="52"/>
      <c r="U181" s="52"/>
      <c r="V181" s="52"/>
      <c r="W181" s="52"/>
      <c r="X181" s="52"/>
      <c r="Y181" s="896"/>
      <c r="Z181" s="52"/>
      <c r="AA181" s="51"/>
      <c r="AB181" s="51"/>
      <c r="AD181" s="1"/>
      <c r="AE181" s="1"/>
      <c r="AF181" s="1"/>
      <c r="AG181" s="1"/>
    </row>
    <row r="182" spans="2:33">
      <c r="B182" s="1"/>
      <c r="C182" s="9"/>
      <c r="F182" s="9"/>
      <c r="G182" s="1"/>
      <c r="I182" s="1"/>
      <c r="J182" s="1"/>
      <c r="R182" s="52"/>
      <c r="S182" s="52"/>
      <c r="T182" s="52"/>
      <c r="U182" s="52"/>
      <c r="V182" s="52"/>
      <c r="W182" s="52"/>
      <c r="X182" s="52"/>
      <c r="Y182" s="896"/>
      <c r="Z182" s="52"/>
      <c r="AA182" s="51"/>
      <c r="AB182" s="51"/>
      <c r="AD182" s="1"/>
      <c r="AE182" s="1"/>
      <c r="AF182" s="1"/>
      <c r="AG182" s="1"/>
    </row>
    <row r="183" spans="2:33">
      <c r="B183" s="1"/>
      <c r="C183" s="9"/>
      <c r="F183" s="9"/>
      <c r="G183" s="1"/>
      <c r="I183" s="1"/>
      <c r="J183" s="1"/>
      <c r="R183" s="52"/>
      <c r="S183" s="52"/>
      <c r="T183" s="52"/>
      <c r="U183" s="52"/>
      <c r="V183" s="52"/>
      <c r="W183" s="52"/>
      <c r="X183" s="52"/>
      <c r="Y183" s="896"/>
      <c r="Z183" s="52"/>
      <c r="AA183" s="51"/>
      <c r="AB183" s="51"/>
      <c r="AD183" s="1"/>
      <c r="AE183" s="1"/>
      <c r="AF183" s="1"/>
      <c r="AG183" s="1"/>
    </row>
    <row r="184" spans="2:33">
      <c r="B184" s="1"/>
      <c r="C184" s="9"/>
      <c r="F184" s="9"/>
      <c r="G184" s="1"/>
      <c r="I184" s="1"/>
      <c r="J184" s="1"/>
      <c r="R184" s="52"/>
      <c r="S184" s="52"/>
      <c r="T184" s="52"/>
      <c r="U184" s="52"/>
      <c r="V184" s="52"/>
      <c r="W184" s="52"/>
      <c r="X184" s="52"/>
      <c r="Y184" s="896"/>
      <c r="Z184" s="52"/>
      <c r="AA184" s="51"/>
      <c r="AB184" s="51"/>
      <c r="AD184" s="1"/>
      <c r="AE184" s="1"/>
      <c r="AF184" s="1"/>
      <c r="AG184" s="1"/>
    </row>
    <row r="185" spans="2:33">
      <c r="B185" s="1"/>
      <c r="C185" s="9"/>
      <c r="F185" s="9"/>
      <c r="G185" s="1"/>
      <c r="I185" s="1"/>
      <c r="J185" s="1"/>
      <c r="R185" s="52"/>
      <c r="S185" s="52"/>
      <c r="T185" s="52"/>
      <c r="U185" s="52"/>
      <c r="V185" s="52"/>
      <c r="W185" s="52"/>
      <c r="X185" s="52"/>
      <c r="Y185" s="896"/>
      <c r="Z185" s="52"/>
      <c r="AA185" s="51"/>
      <c r="AB185" s="51"/>
      <c r="AD185" s="1"/>
      <c r="AE185" s="1"/>
      <c r="AF185" s="1"/>
      <c r="AG185" s="1"/>
    </row>
    <row r="186" spans="2:33">
      <c r="B186" s="1"/>
      <c r="C186" s="9"/>
      <c r="F186" s="9"/>
      <c r="G186" s="1"/>
      <c r="I186" s="1"/>
      <c r="J186" s="1"/>
      <c r="R186" s="52"/>
      <c r="S186" s="52"/>
      <c r="T186" s="52"/>
      <c r="U186" s="52"/>
      <c r="V186" s="52"/>
      <c r="W186" s="52"/>
      <c r="X186" s="52"/>
      <c r="Y186" s="896"/>
      <c r="Z186" s="52"/>
      <c r="AA186" s="51"/>
      <c r="AB186" s="51"/>
      <c r="AD186" s="1"/>
      <c r="AE186" s="1"/>
      <c r="AF186" s="1"/>
      <c r="AG186" s="1"/>
    </row>
    <row r="187" spans="2:33">
      <c r="B187" s="1"/>
      <c r="C187" s="9"/>
      <c r="F187" s="9"/>
      <c r="G187" s="1"/>
      <c r="I187" s="1"/>
      <c r="J187" s="1"/>
      <c r="R187" s="52"/>
      <c r="S187" s="52"/>
      <c r="T187" s="52"/>
      <c r="U187" s="52"/>
      <c r="V187" s="52"/>
      <c r="W187" s="52"/>
      <c r="X187" s="52"/>
      <c r="Y187" s="896"/>
      <c r="Z187" s="52"/>
      <c r="AA187" s="51"/>
      <c r="AB187" s="51"/>
      <c r="AD187" s="1"/>
      <c r="AE187" s="1"/>
      <c r="AF187" s="1"/>
      <c r="AG187" s="1"/>
    </row>
    <row r="188" spans="2:33">
      <c r="B188" s="1"/>
      <c r="C188" s="9"/>
      <c r="F188" s="9"/>
      <c r="G188" s="1"/>
      <c r="I188" s="1"/>
      <c r="J188" s="1"/>
      <c r="R188" s="52"/>
      <c r="S188" s="52"/>
      <c r="T188" s="52"/>
      <c r="U188" s="52"/>
      <c r="V188" s="52"/>
      <c r="W188" s="52"/>
      <c r="X188" s="52"/>
      <c r="Y188" s="896"/>
      <c r="Z188" s="52"/>
      <c r="AA188" s="51"/>
      <c r="AB188" s="51"/>
      <c r="AD188" s="1"/>
      <c r="AE188" s="1"/>
      <c r="AF188" s="1"/>
      <c r="AG188" s="1"/>
    </row>
    <row r="189" spans="2:33">
      <c r="B189" s="1"/>
      <c r="C189" s="9"/>
      <c r="F189" s="9"/>
      <c r="G189" s="1"/>
      <c r="I189" s="1"/>
      <c r="J189" s="1"/>
      <c r="R189" s="52"/>
      <c r="S189" s="52"/>
      <c r="T189" s="52"/>
      <c r="U189" s="52"/>
      <c r="V189" s="52"/>
      <c r="W189" s="52"/>
      <c r="X189" s="52"/>
      <c r="Y189" s="896"/>
      <c r="Z189" s="52"/>
      <c r="AA189" s="51"/>
      <c r="AB189" s="51"/>
      <c r="AD189" s="1"/>
      <c r="AE189" s="1"/>
      <c r="AF189" s="1"/>
      <c r="AG189" s="1"/>
    </row>
    <row r="190" spans="2:33">
      <c r="B190" s="1"/>
      <c r="C190" s="9"/>
      <c r="F190" s="9"/>
      <c r="G190" s="1"/>
      <c r="I190" s="1"/>
      <c r="J190" s="1"/>
      <c r="R190" s="52"/>
      <c r="S190" s="52"/>
      <c r="T190" s="52"/>
      <c r="U190" s="52"/>
      <c r="V190" s="52"/>
      <c r="W190" s="52"/>
      <c r="X190" s="52"/>
      <c r="Y190" s="896"/>
      <c r="Z190" s="52"/>
      <c r="AA190" s="51"/>
      <c r="AB190" s="51"/>
      <c r="AD190" s="1"/>
      <c r="AE190" s="1"/>
      <c r="AF190" s="1"/>
      <c r="AG190" s="1"/>
    </row>
    <row r="191" spans="2:33">
      <c r="B191" s="1"/>
      <c r="C191" s="9"/>
      <c r="F191" s="9"/>
      <c r="G191" s="1"/>
      <c r="I191" s="1"/>
      <c r="J191" s="1"/>
      <c r="R191" s="52"/>
      <c r="S191" s="52"/>
      <c r="T191" s="52"/>
      <c r="U191" s="52"/>
      <c r="V191" s="52"/>
      <c r="W191" s="52"/>
      <c r="X191" s="52"/>
      <c r="Y191" s="896"/>
      <c r="Z191" s="52"/>
      <c r="AA191" s="51"/>
      <c r="AB191" s="51"/>
      <c r="AD191" s="1"/>
      <c r="AE191" s="1"/>
      <c r="AF191" s="1"/>
      <c r="AG191" s="1"/>
    </row>
    <row r="192" spans="2:33">
      <c r="B192" s="1"/>
      <c r="C192" s="9"/>
      <c r="F192" s="9"/>
      <c r="G192" s="1"/>
      <c r="I192" s="1"/>
      <c r="J192" s="1"/>
      <c r="R192" s="52"/>
      <c r="S192" s="52"/>
      <c r="T192" s="52"/>
      <c r="U192" s="52"/>
      <c r="V192" s="52"/>
      <c r="W192" s="52"/>
      <c r="X192" s="52"/>
      <c r="Y192" s="896"/>
      <c r="Z192" s="52"/>
      <c r="AA192" s="51"/>
      <c r="AB192" s="51"/>
      <c r="AD192" s="1"/>
      <c r="AE192" s="1"/>
      <c r="AF192" s="1"/>
      <c r="AG192" s="1"/>
    </row>
    <row r="193" spans="2:33">
      <c r="B193" s="1"/>
      <c r="C193" s="9"/>
      <c r="F193" s="9"/>
      <c r="G193" s="1"/>
      <c r="I193" s="1"/>
      <c r="J193" s="1"/>
      <c r="R193" s="52"/>
      <c r="S193" s="52"/>
      <c r="T193" s="52"/>
      <c r="U193" s="52"/>
      <c r="V193" s="52"/>
      <c r="W193" s="52"/>
      <c r="X193" s="52"/>
      <c r="Y193" s="896"/>
      <c r="Z193" s="52"/>
      <c r="AA193" s="51"/>
      <c r="AB193" s="51"/>
      <c r="AD193" s="1"/>
      <c r="AE193" s="1"/>
      <c r="AF193" s="1"/>
      <c r="AG193" s="1"/>
    </row>
    <row r="194" spans="2:33">
      <c r="B194" s="1"/>
      <c r="C194" s="9"/>
      <c r="F194" s="9"/>
      <c r="G194" s="1"/>
      <c r="I194" s="1"/>
      <c r="J194" s="1"/>
      <c r="R194" s="52"/>
      <c r="S194" s="52"/>
      <c r="T194" s="52"/>
      <c r="U194" s="52"/>
      <c r="V194" s="52"/>
      <c r="W194" s="52"/>
      <c r="X194" s="52"/>
      <c r="Y194" s="896"/>
      <c r="Z194" s="52"/>
      <c r="AA194" s="51"/>
      <c r="AB194" s="51"/>
      <c r="AD194" s="1"/>
      <c r="AE194" s="1"/>
      <c r="AF194" s="1"/>
      <c r="AG194" s="1"/>
    </row>
    <row r="195" spans="2:33">
      <c r="B195" s="1"/>
      <c r="C195" s="9"/>
      <c r="F195" s="9"/>
      <c r="G195" s="1"/>
      <c r="I195" s="1"/>
      <c r="J195" s="1"/>
      <c r="R195" s="52"/>
      <c r="S195" s="52"/>
      <c r="T195" s="52"/>
      <c r="U195" s="52"/>
      <c r="V195" s="52"/>
      <c r="W195" s="52"/>
      <c r="X195" s="52"/>
      <c r="Y195" s="896"/>
      <c r="Z195" s="52"/>
      <c r="AA195" s="51"/>
      <c r="AB195" s="51"/>
      <c r="AD195" s="1"/>
      <c r="AE195" s="1"/>
      <c r="AF195" s="1"/>
      <c r="AG195" s="1"/>
    </row>
    <row r="196" spans="2:33">
      <c r="B196" s="1"/>
      <c r="C196" s="9"/>
      <c r="F196" s="9"/>
      <c r="G196" s="1"/>
      <c r="I196" s="1"/>
      <c r="J196" s="1"/>
      <c r="R196" s="52"/>
      <c r="S196" s="52"/>
      <c r="T196" s="52"/>
      <c r="U196" s="52"/>
      <c r="V196" s="52"/>
      <c r="W196" s="52"/>
      <c r="X196" s="52"/>
      <c r="Y196" s="896"/>
      <c r="Z196" s="52"/>
      <c r="AA196" s="51"/>
      <c r="AB196" s="51"/>
      <c r="AD196" s="1"/>
      <c r="AE196" s="1"/>
      <c r="AF196" s="1"/>
      <c r="AG196" s="1"/>
    </row>
    <row r="197" spans="2:33">
      <c r="B197" s="1"/>
      <c r="C197" s="9"/>
      <c r="F197" s="9"/>
      <c r="G197" s="1"/>
      <c r="I197" s="1"/>
      <c r="J197" s="1"/>
      <c r="R197" s="52"/>
      <c r="S197" s="52"/>
      <c r="T197" s="52"/>
      <c r="U197" s="52"/>
      <c r="V197" s="52"/>
      <c r="W197" s="52"/>
      <c r="X197" s="52"/>
      <c r="Y197" s="896"/>
      <c r="Z197" s="52"/>
      <c r="AA197" s="51"/>
      <c r="AB197" s="51"/>
      <c r="AD197" s="1"/>
      <c r="AE197" s="1"/>
      <c r="AF197" s="1"/>
      <c r="AG197" s="1"/>
    </row>
    <row r="198" spans="2:33">
      <c r="B198" s="1"/>
      <c r="C198" s="9"/>
      <c r="F198" s="9"/>
      <c r="G198" s="1"/>
      <c r="I198" s="1"/>
      <c r="J198" s="1"/>
      <c r="R198" s="52"/>
      <c r="S198" s="52"/>
      <c r="T198" s="52"/>
      <c r="U198" s="52"/>
      <c r="V198" s="52"/>
      <c r="W198" s="52"/>
      <c r="X198" s="52"/>
      <c r="Y198" s="896"/>
      <c r="Z198" s="52"/>
      <c r="AA198" s="51"/>
      <c r="AB198" s="51"/>
      <c r="AD198" s="1"/>
      <c r="AE198" s="1"/>
      <c r="AF198" s="1"/>
      <c r="AG198" s="1"/>
    </row>
    <row r="199" spans="2:33">
      <c r="B199" s="1"/>
      <c r="C199" s="9"/>
      <c r="F199" s="9"/>
      <c r="G199" s="1"/>
      <c r="I199" s="1"/>
      <c r="J199" s="1"/>
      <c r="R199" s="52"/>
      <c r="S199" s="52"/>
      <c r="T199" s="52"/>
      <c r="U199" s="52"/>
      <c r="V199" s="52"/>
      <c r="W199" s="52"/>
      <c r="X199" s="52"/>
      <c r="Y199" s="896"/>
      <c r="Z199" s="52"/>
      <c r="AA199" s="51"/>
      <c r="AB199" s="51"/>
      <c r="AD199" s="1"/>
      <c r="AE199" s="1"/>
      <c r="AF199" s="1"/>
      <c r="AG199" s="1"/>
    </row>
    <row r="200" spans="2:33">
      <c r="B200" s="1"/>
      <c r="C200" s="9"/>
      <c r="F200" s="9"/>
      <c r="G200" s="1"/>
      <c r="I200" s="1"/>
      <c r="J200" s="1"/>
      <c r="R200" s="52"/>
      <c r="S200" s="52"/>
      <c r="T200" s="52"/>
      <c r="U200" s="52"/>
      <c r="V200" s="52"/>
      <c r="W200" s="52"/>
      <c r="X200" s="52"/>
      <c r="Y200" s="896"/>
      <c r="Z200" s="52"/>
      <c r="AA200" s="51"/>
      <c r="AB200" s="51"/>
      <c r="AD200" s="1"/>
      <c r="AE200" s="1"/>
      <c r="AF200" s="1"/>
      <c r="AG200" s="1"/>
    </row>
    <row r="201" spans="2:33">
      <c r="B201" s="1"/>
      <c r="C201" s="9"/>
      <c r="F201" s="9"/>
      <c r="G201" s="1"/>
      <c r="I201" s="1"/>
      <c r="J201" s="1"/>
      <c r="R201" s="52"/>
      <c r="S201" s="52"/>
      <c r="T201" s="52"/>
      <c r="U201" s="52"/>
      <c r="V201" s="52"/>
      <c r="W201" s="52"/>
      <c r="X201" s="52"/>
      <c r="Y201" s="896"/>
      <c r="Z201" s="52"/>
      <c r="AA201" s="51"/>
      <c r="AB201" s="51"/>
      <c r="AD201" s="1"/>
      <c r="AE201" s="1"/>
      <c r="AF201" s="1"/>
      <c r="AG201" s="1"/>
    </row>
    <row r="202" spans="2:33">
      <c r="B202" s="1"/>
      <c r="C202" s="9"/>
      <c r="F202" s="9"/>
      <c r="G202" s="1"/>
      <c r="I202" s="1"/>
      <c r="J202" s="1"/>
      <c r="R202" s="52"/>
      <c r="S202" s="52"/>
      <c r="T202" s="52"/>
      <c r="U202" s="52"/>
      <c r="V202" s="52"/>
      <c r="W202" s="52"/>
      <c r="X202" s="52"/>
      <c r="Y202" s="896"/>
      <c r="Z202" s="52"/>
      <c r="AA202" s="51"/>
      <c r="AB202" s="51"/>
      <c r="AD202" s="1"/>
      <c r="AE202" s="1"/>
      <c r="AF202" s="1"/>
      <c r="AG202" s="1"/>
    </row>
    <row r="203" spans="2:33">
      <c r="B203" s="1"/>
      <c r="C203" s="9"/>
      <c r="F203" s="9"/>
      <c r="G203" s="1"/>
      <c r="I203" s="1"/>
      <c r="J203" s="1"/>
      <c r="R203" s="52"/>
      <c r="S203" s="52"/>
      <c r="T203" s="52"/>
      <c r="U203" s="52"/>
      <c r="V203" s="52"/>
      <c r="W203" s="52"/>
      <c r="X203" s="52"/>
      <c r="Y203" s="896"/>
      <c r="Z203" s="52"/>
      <c r="AA203" s="51"/>
      <c r="AB203" s="51"/>
      <c r="AD203" s="1"/>
      <c r="AE203" s="1"/>
      <c r="AF203" s="1"/>
      <c r="AG203" s="1"/>
    </row>
    <row r="204" spans="2:33">
      <c r="B204" s="1"/>
      <c r="C204" s="9"/>
      <c r="F204" s="9"/>
      <c r="G204" s="1"/>
      <c r="I204" s="1"/>
      <c r="J204" s="1"/>
      <c r="R204" s="52"/>
      <c r="S204" s="52"/>
      <c r="T204" s="52"/>
      <c r="U204" s="52"/>
      <c r="V204" s="52"/>
      <c r="W204" s="52"/>
      <c r="X204" s="52"/>
      <c r="Y204" s="896"/>
      <c r="Z204" s="52"/>
      <c r="AA204" s="51"/>
      <c r="AB204" s="51"/>
      <c r="AD204" s="1"/>
      <c r="AE204" s="1"/>
      <c r="AF204" s="1"/>
      <c r="AG204" s="1"/>
    </row>
    <row r="205" spans="2:33">
      <c r="B205" s="1"/>
      <c r="C205" s="9"/>
      <c r="F205" s="9"/>
      <c r="G205" s="1"/>
      <c r="I205" s="1"/>
      <c r="J205" s="1"/>
      <c r="R205" s="52"/>
      <c r="S205" s="52"/>
      <c r="T205" s="52"/>
      <c r="U205" s="52"/>
      <c r="V205" s="52"/>
      <c r="W205" s="52"/>
      <c r="X205" s="52"/>
      <c r="Y205" s="896"/>
      <c r="Z205" s="52"/>
      <c r="AA205" s="51"/>
      <c r="AB205" s="51"/>
      <c r="AD205" s="1"/>
      <c r="AE205" s="1"/>
      <c r="AF205" s="1"/>
      <c r="AG205" s="1"/>
    </row>
    <row r="206" spans="2:33">
      <c r="B206" s="1"/>
      <c r="C206" s="9"/>
      <c r="F206" s="9"/>
      <c r="G206" s="1"/>
      <c r="I206" s="1"/>
      <c r="J206" s="1"/>
      <c r="R206" s="52"/>
      <c r="S206" s="52"/>
      <c r="T206" s="52"/>
      <c r="U206" s="52"/>
      <c r="V206" s="52"/>
      <c r="W206" s="52"/>
      <c r="X206" s="52"/>
      <c r="Y206" s="896"/>
      <c r="Z206" s="52"/>
      <c r="AA206" s="51"/>
      <c r="AB206" s="51"/>
      <c r="AD206" s="1"/>
      <c r="AE206" s="1"/>
      <c r="AF206" s="1"/>
      <c r="AG206" s="1"/>
    </row>
    <row r="207" spans="2:33">
      <c r="B207" s="1"/>
      <c r="C207" s="9"/>
      <c r="F207" s="9"/>
      <c r="G207" s="1"/>
      <c r="I207" s="1"/>
      <c r="J207" s="1"/>
      <c r="R207" s="52"/>
      <c r="S207" s="52"/>
      <c r="T207" s="52"/>
      <c r="U207" s="52"/>
      <c r="V207" s="52"/>
      <c r="W207" s="52"/>
      <c r="X207" s="52"/>
      <c r="Y207" s="896"/>
      <c r="Z207" s="52"/>
      <c r="AA207" s="51"/>
      <c r="AB207" s="51"/>
      <c r="AD207" s="1"/>
      <c r="AE207" s="1"/>
      <c r="AF207" s="1"/>
      <c r="AG207" s="1"/>
    </row>
    <row r="208" spans="2:33">
      <c r="B208" s="1"/>
      <c r="C208" s="9"/>
      <c r="F208" s="9"/>
      <c r="G208" s="1"/>
      <c r="I208" s="1"/>
      <c r="J208" s="1"/>
      <c r="R208" s="52"/>
      <c r="S208" s="52"/>
      <c r="T208" s="52"/>
      <c r="U208" s="52"/>
      <c r="V208" s="52"/>
      <c r="W208" s="52"/>
      <c r="X208" s="52"/>
      <c r="Y208" s="896"/>
      <c r="Z208" s="52"/>
      <c r="AA208" s="51"/>
      <c r="AB208" s="51"/>
      <c r="AD208" s="1"/>
      <c r="AE208" s="1"/>
      <c r="AF208" s="1"/>
      <c r="AG208" s="1"/>
    </row>
    <row r="209" spans="2:33">
      <c r="B209" s="1"/>
      <c r="C209" s="9"/>
      <c r="F209" s="9"/>
      <c r="G209" s="1"/>
      <c r="I209" s="1"/>
      <c r="J209" s="1"/>
      <c r="R209" s="52"/>
      <c r="S209" s="52"/>
      <c r="T209" s="52"/>
      <c r="U209" s="52"/>
      <c r="V209" s="52"/>
      <c r="W209" s="52"/>
      <c r="X209" s="52"/>
      <c r="Y209" s="896"/>
      <c r="Z209" s="52"/>
      <c r="AA209" s="51"/>
      <c r="AB209" s="51"/>
      <c r="AD209" s="1"/>
      <c r="AE209" s="1"/>
      <c r="AF209" s="1"/>
      <c r="AG209" s="1"/>
    </row>
    <row r="210" spans="2:33">
      <c r="B210" s="1"/>
      <c r="C210" s="9"/>
      <c r="F210" s="9"/>
      <c r="G210" s="1"/>
      <c r="I210" s="1"/>
      <c r="J210" s="1"/>
      <c r="R210" s="52"/>
      <c r="S210" s="52"/>
      <c r="T210" s="52"/>
      <c r="U210" s="52"/>
      <c r="V210" s="52"/>
      <c r="W210" s="52"/>
      <c r="X210" s="52"/>
      <c r="Y210" s="896"/>
      <c r="Z210" s="52"/>
      <c r="AA210" s="51"/>
      <c r="AB210" s="51"/>
      <c r="AD210" s="1"/>
      <c r="AE210" s="1"/>
      <c r="AF210" s="1"/>
      <c r="AG210" s="1"/>
    </row>
    <row r="211" spans="2:33">
      <c r="B211" s="1"/>
      <c r="C211" s="9"/>
      <c r="F211" s="9"/>
      <c r="G211" s="1"/>
      <c r="I211" s="1"/>
      <c r="J211" s="1"/>
      <c r="R211" s="52"/>
      <c r="S211" s="52"/>
      <c r="T211" s="52"/>
      <c r="U211" s="52"/>
      <c r="V211" s="52"/>
      <c r="W211" s="52"/>
      <c r="X211" s="52"/>
      <c r="Y211" s="896"/>
      <c r="Z211" s="52"/>
      <c r="AA211" s="51"/>
      <c r="AB211" s="51"/>
      <c r="AD211" s="1"/>
      <c r="AE211" s="1"/>
      <c r="AF211" s="1"/>
      <c r="AG211" s="1"/>
    </row>
    <row r="212" spans="2:33">
      <c r="B212" s="1"/>
      <c r="C212" s="9"/>
      <c r="F212" s="9"/>
      <c r="G212" s="1"/>
      <c r="I212" s="1"/>
      <c r="J212" s="1"/>
      <c r="R212" s="52"/>
      <c r="S212" s="52"/>
      <c r="T212" s="52"/>
      <c r="U212" s="52"/>
      <c r="V212" s="52"/>
      <c r="W212" s="52"/>
      <c r="X212" s="52"/>
      <c r="Y212" s="896"/>
      <c r="Z212" s="52"/>
      <c r="AA212" s="51"/>
      <c r="AB212" s="51"/>
      <c r="AD212" s="1"/>
      <c r="AE212" s="1"/>
      <c r="AF212" s="1"/>
      <c r="AG212" s="1"/>
    </row>
    <row r="213" spans="2:33">
      <c r="B213" s="1"/>
      <c r="C213" s="9"/>
      <c r="F213" s="9"/>
      <c r="G213" s="1"/>
      <c r="I213" s="1"/>
      <c r="J213" s="1"/>
      <c r="R213" s="52"/>
      <c r="S213" s="52"/>
      <c r="T213" s="52"/>
      <c r="U213" s="52"/>
      <c r="V213" s="52"/>
      <c r="W213" s="52"/>
      <c r="X213" s="52"/>
      <c r="Y213" s="896"/>
      <c r="Z213" s="52"/>
      <c r="AA213" s="51"/>
      <c r="AB213" s="51"/>
      <c r="AD213"/>
      <c r="AE213"/>
    </row>
    <row r="214" spans="2:33">
      <c r="B214" s="1"/>
      <c r="C214" s="9"/>
      <c r="F214" s="9"/>
      <c r="G214" s="1"/>
      <c r="I214" s="1"/>
      <c r="J214" s="1"/>
      <c r="R214" s="52"/>
      <c r="S214" s="52"/>
      <c r="T214" s="52"/>
      <c r="U214" s="52"/>
      <c r="V214" s="52"/>
      <c r="W214" s="52"/>
      <c r="X214" s="52"/>
      <c r="Y214" s="896"/>
      <c r="Z214" s="52"/>
      <c r="AA214" s="51"/>
      <c r="AB214" s="51"/>
      <c r="AD214"/>
      <c r="AE214"/>
    </row>
    <row r="215" spans="2:33">
      <c r="B215" s="1"/>
      <c r="C215" s="9"/>
      <c r="F215" s="9"/>
      <c r="G215" s="1"/>
      <c r="I215" s="1"/>
      <c r="J215" s="1"/>
      <c r="R215" s="52"/>
      <c r="S215" s="52"/>
      <c r="T215" s="52"/>
      <c r="U215" s="52"/>
      <c r="V215" s="52"/>
      <c r="W215" s="52"/>
      <c r="X215" s="52"/>
      <c r="Y215" s="896"/>
      <c r="Z215" s="52"/>
      <c r="AA215" s="51"/>
      <c r="AB215" s="51"/>
      <c r="AD215"/>
      <c r="AE215"/>
    </row>
    <row r="216" spans="2:33">
      <c r="B216" s="1"/>
      <c r="C216" s="9"/>
      <c r="F216" s="9"/>
      <c r="G216" s="1"/>
      <c r="I216" s="1"/>
      <c r="J216" s="1"/>
      <c r="R216" s="52"/>
      <c r="S216" s="52"/>
      <c r="T216" s="52"/>
      <c r="U216" s="52"/>
      <c r="V216" s="52"/>
      <c r="W216" s="52"/>
      <c r="X216" s="52"/>
      <c r="Y216" s="896"/>
      <c r="Z216" s="52"/>
      <c r="AA216" s="51"/>
      <c r="AB216" s="51"/>
      <c r="AD216"/>
      <c r="AE216"/>
    </row>
  </sheetData>
  <sheetProtection algorithmName="SHA-512" hashValue="j4vJsSlIvAlNeN5Wz+xbpGAyVyh0iONwSGzsFvpVMCabjVE8hFHVg3e32zYFQLqoC0wqdAqZIr1qWyNqIfeqBw==" saltValue="ewyuwmezwsXSZsEVhJKOhw==" spinCount="100000" sheet="1" objects="1" formatRows="0"/>
  <mergeCells count="141">
    <mergeCell ref="AZ45:AZ47"/>
    <mergeCell ref="B55:C55"/>
    <mergeCell ref="H87:K87"/>
    <mergeCell ref="B43:C43"/>
    <mergeCell ref="B80:D80"/>
    <mergeCell ref="B67:C67"/>
    <mergeCell ref="B73:C73"/>
    <mergeCell ref="B79:C79"/>
    <mergeCell ref="B81:C81"/>
    <mergeCell ref="F81:G81"/>
    <mergeCell ref="AO45:AO47"/>
    <mergeCell ref="AQ45:AQ47"/>
    <mergeCell ref="AR45:AR47"/>
    <mergeCell ref="AS45:AS47"/>
    <mergeCell ref="L91:M91"/>
    <mergeCell ref="N91:O91"/>
    <mergeCell ref="L92:M92"/>
    <mergeCell ref="N92:O92"/>
    <mergeCell ref="AL45:AL47"/>
    <mergeCell ref="AM45:AM47"/>
    <mergeCell ref="AN45:AN47"/>
    <mergeCell ref="I90:K90"/>
    <mergeCell ref="I92:K92"/>
    <mergeCell ref="I86:K86"/>
    <mergeCell ref="I82:K82"/>
    <mergeCell ref="J81:K81"/>
    <mergeCell ref="BD19:BD27"/>
    <mergeCell ref="BD12:BD17"/>
    <mergeCell ref="BE54:BH54"/>
    <mergeCell ref="BE68:BH68"/>
    <mergeCell ref="BD29:BD37"/>
    <mergeCell ref="BF6:BF7"/>
    <mergeCell ref="BG7:BH7"/>
    <mergeCell ref="BD9:BD11"/>
    <mergeCell ref="BE62:BG62"/>
    <mergeCell ref="BE66:BG66"/>
    <mergeCell ref="BF9:BH9"/>
    <mergeCell ref="BF10:BH10"/>
    <mergeCell ref="ER5:ES6"/>
    <mergeCell ref="EM5:EO5"/>
    <mergeCell ref="EG5:EL5"/>
    <mergeCell ref="CU6:CV6"/>
    <mergeCell ref="DI6:DJ6"/>
    <mergeCell ref="DW6:DX6"/>
    <mergeCell ref="DU6:DV6"/>
    <mergeCell ref="CL6:CL7"/>
    <mergeCell ref="EN6:EN7"/>
    <mergeCell ref="EO6:EO7"/>
    <mergeCell ref="EP6:EP7"/>
    <mergeCell ref="DC6:DC7"/>
    <mergeCell ref="CN6:CN7"/>
    <mergeCell ref="DT6:DT7"/>
    <mergeCell ref="DG6:DH6"/>
    <mergeCell ref="CS6:CT6"/>
    <mergeCell ref="CO6:CO7"/>
    <mergeCell ref="DF6:DF7"/>
    <mergeCell ref="BX2:CG2"/>
    <mergeCell ref="L1:M1"/>
    <mergeCell ref="N1:O1"/>
    <mergeCell ref="B2:H2"/>
    <mergeCell ref="I2:J2"/>
    <mergeCell ref="B3:C3"/>
    <mergeCell ref="I3:J3"/>
    <mergeCell ref="D3:F3"/>
    <mergeCell ref="G3:H3"/>
    <mergeCell ref="AD1:AG1"/>
    <mergeCell ref="AD2:AE2"/>
    <mergeCell ref="AF2:AG2"/>
    <mergeCell ref="AO1:AT1"/>
    <mergeCell ref="BE4:BF4"/>
    <mergeCell ref="AD4:AE4"/>
    <mergeCell ref="AF4:AG4"/>
    <mergeCell ref="AJ6:AL7"/>
    <mergeCell ref="AM6:AR7"/>
    <mergeCell ref="BV6:BW7"/>
    <mergeCell ref="BE5:BF5"/>
    <mergeCell ref="AB6:AB7"/>
    <mergeCell ref="U6:U7"/>
    <mergeCell ref="AD6:AE6"/>
    <mergeCell ref="AF6:AG6"/>
    <mergeCell ref="AD7:AE7"/>
    <mergeCell ref="AF7:AG7"/>
    <mergeCell ref="AT6:AT7"/>
    <mergeCell ref="BE73:BH74"/>
    <mergeCell ref="BE57:BG57"/>
    <mergeCell ref="BE58:BG58"/>
    <mergeCell ref="BE61:BG61"/>
    <mergeCell ref="BE59:BG59"/>
    <mergeCell ref="L89:M89"/>
    <mergeCell ref="N89:O89"/>
    <mergeCell ref="BE70:BH70"/>
    <mergeCell ref="BE71:BH71"/>
    <mergeCell ref="L83:M83"/>
    <mergeCell ref="N83:O83"/>
    <mergeCell ref="L86:O86"/>
    <mergeCell ref="L87:M87"/>
    <mergeCell ref="N87:O87"/>
    <mergeCell ref="AL8:AL11"/>
    <mergeCell ref="AM8:AO8"/>
    <mergeCell ref="AQ8:AQ11"/>
    <mergeCell ref="AT8:AT11"/>
    <mergeCell ref="B37:C37"/>
    <mergeCell ref="K6:K7"/>
    <mergeCell ref="AK13:AK16"/>
    <mergeCell ref="Q6:Q7"/>
    <mergeCell ref="N6:O6"/>
    <mergeCell ref="L6:M6"/>
    <mergeCell ref="T6:T7"/>
    <mergeCell ref="AJ12:AJ20"/>
    <mergeCell ref="AM9:AM11"/>
    <mergeCell ref="AN9:AN11"/>
    <mergeCell ref="AO9:AO11"/>
    <mergeCell ref="AJ8:AJ11"/>
    <mergeCell ref="AK8:AK11"/>
    <mergeCell ref="B6:B7"/>
    <mergeCell ref="J6:J7"/>
    <mergeCell ref="E6:E7"/>
    <mergeCell ref="AR8:AR11"/>
    <mergeCell ref="A42:A80"/>
    <mergeCell ref="B85:F85"/>
    <mergeCell ref="B4:C4"/>
    <mergeCell ref="B13:C13"/>
    <mergeCell ref="AK18:AK20"/>
    <mergeCell ref="AK45:AK47"/>
    <mergeCell ref="H81:I81"/>
    <mergeCell ref="D4:H4"/>
    <mergeCell ref="I4:K4"/>
    <mergeCell ref="I5:K5"/>
    <mergeCell ref="E80:K80"/>
    <mergeCell ref="C6:C7"/>
    <mergeCell ref="D6:D7"/>
    <mergeCell ref="F6:F7"/>
    <mergeCell ref="G6:G7"/>
    <mergeCell ref="H6:H7"/>
    <mergeCell ref="B82:H82"/>
    <mergeCell ref="B25:C25"/>
    <mergeCell ref="B49:C49"/>
    <mergeCell ref="B19:C19"/>
    <mergeCell ref="B61:C61"/>
    <mergeCell ref="B31:C31"/>
    <mergeCell ref="B5:H5"/>
  </mergeCells>
  <phoneticPr fontId="15" type="noConversion"/>
  <conditionalFormatting sqref="L14:O18 M13 L20:O24 M19 L26:O30 M25 L32:O36 M31 L38:O42 M37 L44:O48 M43 L50:O54 M49 L56:O60 M55 L62:O66 M61 M67 O13 O19 O67 O61 O55 O49 O43 O37 O31 O25 M73 O73 M79 O79">
    <cfRule type="expression" dxfId="414" priority="888" stopIfTrue="1">
      <formula>$BE$3=2</formula>
    </cfRule>
  </conditionalFormatting>
  <conditionalFormatting sqref="B83">
    <cfRule type="expression" dxfId="413" priority="846" stopIfTrue="1">
      <formula>$Q$97=0</formula>
    </cfRule>
  </conditionalFormatting>
  <conditionalFormatting sqref="M13 O13">
    <cfRule type="expression" dxfId="412" priority="831" stopIfTrue="1">
      <formula>$B8=$B14</formula>
    </cfRule>
  </conditionalFormatting>
  <conditionalFormatting sqref="M19 O19">
    <cfRule type="expression" dxfId="411" priority="830" stopIfTrue="1">
      <formula>$B14=$B20</formula>
    </cfRule>
  </conditionalFormatting>
  <conditionalFormatting sqref="M25 O25">
    <cfRule type="expression" dxfId="410" priority="829" stopIfTrue="1">
      <formula>$B20=$B26</formula>
    </cfRule>
  </conditionalFormatting>
  <conditionalFormatting sqref="M31 O31">
    <cfRule type="expression" dxfId="409" priority="828" stopIfTrue="1">
      <formula>$B26=$B32</formula>
    </cfRule>
  </conditionalFormatting>
  <conditionalFormatting sqref="M37 O37">
    <cfRule type="expression" dxfId="408" priority="827" stopIfTrue="1">
      <formula>$B32=$B38</formula>
    </cfRule>
  </conditionalFormatting>
  <conditionalFormatting sqref="M43 O43">
    <cfRule type="expression" dxfId="407" priority="826" stopIfTrue="1">
      <formula>$B38=$B44</formula>
    </cfRule>
  </conditionalFormatting>
  <conditionalFormatting sqref="M49 O49">
    <cfRule type="expression" dxfId="406" priority="825" stopIfTrue="1">
      <formula>$B44=$B50</formula>
    </cfRule>
  </conditionalFormatting>
  <conditionalFormatting sqref="M55 O55">
    <cfRule type="expression" dxfId="405" priority="824" stopIfTrue="1">
      <formula>$B50=$B56</formula>
    </cfRule>
  </conditionalFormatting>
  <conditionalFormatting sqref="M61 O61">
    <cfRule type="expression" dxfId="404" priority="823" stopIfTrue="1">
      <formula>$B56=$B62</formula>
    </cfRule>
  </conditionalFormatting>
  <conditionalFormatting sqref="L8:O12">
    <cfRule type="expression" dxfId="403" priority="822" stopIfTrue="1">
      <formula>$BE$3=2</formula>
    </cfRule>
  </conditionalFormatting>
  <conditionalFormatting sqref="O81:O82">
    <cfRule type="expression" dxfId="402" priority="818" stopIfTrue="1">
      <formula>$BE$3=2</formula>
    </cfRule>
  </conditionalFormatting>
  <conditionalFormatting sqref="M81:M82">
    <cfRule type="expression" dxfId="401" priority="819" stopIfTrue="1">
      <formula>$BE$3=2</formula>
    </cfRule>
  </conditionalFormatting>
  <conditionalFormatting sqref="J13">
    <cfRule type="expression" dxfId="400" priority="736" stopIfTrue="1">
      <formula>$B8=$B14</formula>
    </cfRule>
  </conditionalFormatting>
  <conditionalFormatting sqref="L68:O72">
    <cfRule type="expression" dxfId="399" priority="815" stopIfTrue="1">
      <formula>$BE$3=2</formula>
    </cfRule>
  </conditionalFormatting>
  <conditionalFormatting sqref="L74:O78">
    <cfRule type="expression" dxfId="398" priority="809" stopIfTrue="1">
      <formula>$BE$3=2</formula>
    </cfRule>
  </conditionalFormatting>
  <conditionalFormatting sqref="J13">
    <cfRule type="expression" dxfId="397" priority="816" stopIfTrue="1">
      <formula>$M13=0</formula>
    </cfRule>
  </conditionalFormatting>
  <conditionalFormatting sqref="J19">
    <cfRule type="expression" dxfId="396" priority="720" stopIfTrue="1">
      <formula>$B14=$B20</formula>
    </cfRule>
  </conditionalFormatting>
  <conditionalFormatting sqref="J19">
    <cfRule type="expression" dxfId="395" priority="721" stopIfTrue="1">
      <formula>$M19=0</formula>
    </cfRule>
  </conditionalFormatting>
  <conditionalFormatting sqref="J25">
    <cfRule type="expression" dxfId="394" priority="718" stopIfTrue="1">
      <formula>$B20=$B26</formula>
    </cfRule>
  </conditionalFormatting>
  <conditionalFormatting sqref="J25">
    <cfRule type="expression" dxfId="393" priority="719" stopIfTrue="1">
      <formula>$M25=0</formula>
    </cfRule>
  </conditionalFormatting>
  <conditionalFormatting sqref="J31">
    <cfRule type="expression" dxfId="392" priority="716" stopIfTrue="1">
      <formula>$B26=$B32</formula>
    </cfRule>
  </conditionalFormatting>
  <conditionalFormatting sqref="J31">
    <cfRule type="expression" dxfId="391" priority="717" stopIfTrue="1">
      <formula>$M31=0</formula>
    </cfRule>
  </conditionalFormatting>
  <conditionalFormatting sqref="J37">
    <cfRule type="expression" dxfId="390" priority="714" stopIfTrue="1">
      <formula>$B32=$B38</formula>
    </cfRule>
  </conditionalFormatting>
  <conditionalFormatting sqref="J37">
    <cfRule type="expression" dxfId="389" priority="715" stopIfTrue="1">
      <formula>$M37=0</formula>
    </cfRule>
  </conditionalFormatting>
  <conditionalFormatting sqref="J43">
    <cfRule type="expression" dxfId="388" priority="712" stopIfTrue="1">
      <formula>$B38=$B44</formula>
    </cfRule>
  </conditionalFormatting>
  <conditionalFormatting sqref="J43">
    <cfRule type="expression" dxfId="387" priority="713" stopIfTrue="1">
      <formula>$M43=0</formula>
    </cfRule>
  </conditionalFormatting>
  <conditionalFormatting sqref="J49">
    <cfRule type="expression" dxfId="386" priority="710" stopIfTrue="1">
      <formula>$B44=$B50</formula>
    </cfRule>
  </conditionalFormatting>
  <conditionalFormatting sqref="J49">
    <cfRule type="expression" dxfId="385" priority="711" stopIfTrue="1">
      <formula>$M49=0</formula>
    </cfRule>
  </conditionalFormatting>
  <conditionalFormatting sqref="J55">
    <cfRule type="expression" dxfId="384" priority="708" stopIfTrue="1">
      <formula>$B50=$B56</formula>
    </cfRule>
  </conditionalFormatting>
  <conditionalFormatting sqref="J55">
    <cfRule type="expression" dxfId="383" priority="709" stopIfTrue="1">
      <formula>$M55=0</formula>
    </cfRule>
  </conditionalFormatting>
  <conditionalFormatting sqref="J61">
    <cfRule type="expression" dxfId="382" priority="706" stopIfTrue="1">
      <formula>$B56=$B62</formula>
    </cfRule>
  </conditionalFormatting>
  <conditionalFormatting sqref="J61">
    <cfRule type="expression" dxfId="381" priority="707" stopIfTrue="1">
      <formula>$M61=0</formula>
    </cfRule>
  </conditionalFormatting>
  <conditionalFormatting sqref="J67">
    <cfRule type="expression" dxfId="380" priority="704" stopIfTrue="1">
      <formula>$B62=$B68</formula>
    </cfRule>
  </conditionalFormatting>
  <conditionalFormatting sqref="J67">
    <cfRule type="expression" dxfId="379" priority="705" stopIfTrue="1">
      <formula>$M67=0</formula>
    </cfRule>
  </conditionalFormatting>
  <conditionalFormatting sqref="J73">
    <cfRule type="expression" dxfId="378" priority="702" stopIfTrue="1">
      <formula>$B68=$B74</formula>
    </cfRule>
  </conditionalFormatting>
  <conditionalFormatting sqref="J73">
    <cfRule type="expression" dxfId="377" priority="703" stopIfTrue="1">
      <formula>$M73=0</formula>
    </cfRule>
  </conditionalFormatting>
  <conditionalFormatting sqref="J79">
    <cfRule type="expression" dxfId="376" priority="700" stopIfTrue="1">
      <formula>$B74=$B80</formula>
    </cfRule>
  </conditionalFormatting>
  <conditionalFormatting sqref="J79">
    <cfRule type="expression" dxfId="375" priority="701" stopIfTrue="1">
      <formula>$M79=0</formula>
    </cfRule>
  </conditionalFormatting>
  <conditionalFormatting sqref="L88">
    <cfRule type="expression" dxfId="374" priority="662" stopIfTrue="1">
      <formula>$L$90&lt;$L$92</formula>
    </cfRule>
  </conditionalFormatting>
  <conditionalFormatting sqref="N88">
    <cfRule type="expression" dxfId="373" priority="661" stopIfTrue="1">
      <formula>$N$90&lt;$N$92</formula>
    </cfRule>
  </conditionalFormatting>
  <conditionalFormatting sqref="L90">
    <cfRule type="expression" dxfId="372" priority="660" stopIfTrue="1">
      <formula>$L$90&lt;$L$92</formula>
    </cfRule>
  </conditionalFormatting>
  <conditionalFormatting sqref="N90">
    <cfRule type="expression" dxfId="371" priority="659" stopIfTrue="1">
      <formula>$N$90&lt;$N$92</formula>
    </cfRule>
  </conditionalFormatting>
  <conditionalFormatting sqref="M90">
    <cfRule type="expression" dxfId="370" priority="663" stopIfTrue="1">
      <formula>$M$90&lt;$L$92</formula>
    </cfRule>
  </conditionalFormatting>
  <conditionalFormatting sqref="O90">
    <cfRule type="expression" dxfId="369" priority="664" stopIfTrue="1">
      <formula>$O$90&lt;$N$92</formula>
    </cfRule>
  </conditionalFormatting>
  <conditionalFormatting sqref="O88">
    <cfRule type="expression" dxfId="368" priority="665" stopIfTrue="1">
      <formula>$O$90&lt;$N$92</formula>
    </cfRule>
  </conditionalFormatting>
  <conditionalFormatting sqref="M88">
    <cfRule type="expression" dxfId="367" priority="666" stopIfTrue="1">
      <formula>$M$90&lt;$L$92</formula>
    </cfRule>
  </conditionalFormatting>
  <conditionalFormatting sqref="AD3">
    <cfRule type="expression" dxfId="366" priority="653" stopIfTrue="1">
      <formula>$AD$5&lt;$AD$7</formula>
    </cfRule>
  </conditionalFormatting>
  <conditionalFormatting sqref="AF3">
    <cfRule type="expression" dxfId="365" priority="652" stopIfTrue="1">
      <formula>$AF$5&lt;$AF$7</formula>
    </cfRule>
  </conditionalFormatting>
  <conditionalFormatting sqref="AG3">
    <cfRule type="expression" dxfId="364" priority="656" stopIfTrue="1">
      <formula>$AG$5&lt;$AF$7</formula>
    </cfRule>
  </conditionalFormatting>
  <conditionalFormatting sqref="AE3">
    <cfRule type="expression" dxfId="363" priority="657" stopIfTrue="1">
      <formula>$AE$5&lt;$AD$7</formula>
    </cfRule>
  </conditionalFormatting>
  <conditionalFormatting sqref="I90:K90">
    <cfRule type="expression" dxfId="362" priority="649" stopIfTrue="1">
      <formula>$I$90="External Line Totals Not Reached"</formula>
    </cfRule>
  </conditionalFormatting>
  <conditionalFormatting sqref="B13">
    <cfRule type="expression" dxfId="361" priority="648" stopIfTrue="1">
      <formula>$B8=$B14</formula>
    </cfRule>
  </conditionalFormatting>
  <conditionalFormatting sqref="B19">
    <cfRule type="expression" dxfId="360" priority="647" stopIfTrue="1">
      <formula>$B14=$B20</formula>
    </cfRule>
  </conditionalFormatting>
  <conditionalFormatting sqref="B25">
    <cfRule type="expression" dxfId="359" priority="646" stopIfTrue="1">
      <formula>$B20=$B26</formula>
    </cfRule>
  </conditionalFormatting>
  <conditionalFormatting sqref="B31">
    <cfRule type="expression" dxfId="358" priority="645" stopIfTrue="1">
      <formula>$B26=$B32</formula>
    </cfRule>
  </conditionalFormatting>
  <conditionalFormatting sqref="B37">
    <cfRule type="expression" dxfId="357" priority="644" stopIfTrue="1">
      <formula>$B32=$B38</formula>
    </cfRule>
  </conditionalFormatting>
  <conditionalFormatting sqref="B43">
    <cfRule type="expression" dxfId="356" priority="643" stopIfTrue="1">
      <formula>$B38=$B44</formula>
    </cfRule>
  </conditionalFormatting>
  <conditionalFormatting sqref="B49">
    <cfRule type="expression" dxfId="355" priority="642" stopIfTrue="1">
      <formula>$B44=$B50</formula>
    </cfRule>
  </conditionalFormatting>
  <conditionalFormatting sqref="B55">
    <cfRule type="expression" dxfId="354" priority="641" stopIfTrue="1">
      <formula>$B50=$B56</formula>
    </cfRule>
  </conditionalFormatting>
  <conditionalFormatting sqref="B61">
    <cfRule type="expression" dxfId="353" priority="640" stopIfTrue="1">
      <formula>$B56=$B62</formula>
    </cfRule>
  </conditionalFormatting>
  <conditionalFormatting sqref="B67">
    <cfRule type="expression" dxfId="352" priority="639" stopIfTrue="1">
      <formula>$B62=$B68</formula>
    </cfRule>
  </conditionalFormatting>
  <conditionalFormatting sqref="B73">
    <cfRule type="expression" dxfId="351" priority="638" stopIfTrue="1">
      <formula>$B68=$B74</formula>
    </cfRule>
  </conditionalFormatting>
  <conditionalFormatting sqref="B79">
    <cfRule type="expression" dxfId="350" priority="637" stopIfTrue="1">
      <formula>$B74=$B80</formula>
    </cfRule>
  </conditionalFormatting>
  <conditionalFormatting sqref="H8">
    <cfRule type="expression" dxfId="349" priority="615" stopIfTrue="1">
      <formula>$ES8="Changed"</formula>
    </cfRule>
  </conditionalFormatting>
  <conditionalFormatting sqref="H9">
    <cfRule type="expression" dxfId="348" priority="614" stopIfTrue="1">
      <formula>$ES9="Changed"</formula>
    </cfRule>
  </conditionalFormatting>
  <conditionalFormatting sqref="H10">
    <cfRule type="expression" dxfId="347" priority="613" stopIfTrue="1">
      <formula>$ES10="Changed"</formula>
    </cfRule>
  </conditionalFormatting>
  <conditionalFormatting sqref="H11">
    <cfRule type="expression" dxfId="346" priority="612" stopIfTrue="1">
      <formula>$ES11="Changed"</formula>
    </cfRule>
  </conditionalFormatting>
  <conditionalFormatting sqref="H12">
    <cfRule type="expression" dxfId="345" priority="611" stopIfTrue="1">
      <formula>$ES12="Changed"</formula>
    </cfRule>
  </conditionalFormatting>
  <conditionalFormatting sqref="H14">
    <cfRule type="expression" dxfId="344" priority="610" stopIfTrue="1">
      <formula>$ES14="Changed"</formula>
    </cfRule>
  </conditionalFormatting>
  <conditionalFormatting sqref="H15">
    <cfRule type="expression" dxfId="343" priority="609" stopIfTrue="1">
      <formula>$ES15="Changed"</formula>
    </cfRule>
  </conditionalFormatting>
  <conditionalFormatting sqref="H16">
    <cfRule type="expression" dxfId="342" priority="608" stopIfTrue="1">
      <formula>$ES16="Changed"</formula>
    </cfRule>
  </conditionalFormatting>
  <conditionalFormatting sqref="H17">
    <cfRule type="expression" dxfId="341" priority="607" stopIfTrue="1">
      <formula>$ES17="Changed"</formula>
    </cfRule>
  </conditionalFormatting>
  <conditionalFormatting sqref="H18">
    <cfRule type="expression" dxfId="340" priority="606" stopIfTrue="1">
      <formula>$ES18="Changed"</formula>
    </cfRule>
  </conditionalFormatting>
  <conditionalFormatting sqref="H20">
    <cfRule type="expression" dxfId="339" priority="605" stopIfTrue="1">
      <formula>$ES20="Changed"</formula>
    </cfRule>
  </conditionalFormatting>
  <conditionalFormatting sqref="H21">
    <cfRule type="expression" dxfId="338" priority="604" stopIfTrue="1">
      <formula>$ES21="Changed"</formula>
    </cfRule>
  </conditionalFormatting>
  <conditionalFormatting sqref="H22">
    <cfRule type="expression" dxfId="337" priority="603" stopIfTrue="1">
      <formula>$ES22="Changed"</formula>
    </cfRule>
  </conditionalFormatting>
  <conditionalFormatting sqref="H23">
    <cfRule type="expression" dxfId="336" priority="602" stopIfTrue="1">
      <formula>$ES23="Changed"</formula>
    </cfRule>
  </conditionalFormatting>
  <conditionalFormatting sqref="H24">
    <cfRule type="expression" dxfId="335" priority="601" stopIfTrue="1">
      <formula>$ES24="Changed"</formula>
    </cfRule>
  </conditionalFormatting>
  <conditionalFormatting sqref="H26">
    <cfRule type="expression" dxfId="334" priority="600" stopIfTrue="1">
      <formula>$ES26="Changed"</formula>
    </cfRule>
  </conditionalFormatting>
  <conditionalFormatting sqref="H27">
    <cfRule type="expression" dxfId="333" priority="599" stopIfTrue="1">
      <formula>$ES27="Changed"</formula>
    </cfRule>
  </conditionalFormatting>
  <conditionalFormatting sqref="H28">
    <cfRule type="expression" dxfId="332" priority="598" stopIfTrue="1">
      <formula>$ES28="Changed"</formula>
    </cfRule>
  </conditionalFormatting>
  <conditionalFormatting sqref="H29">
    <cfRule type="expression" dxfId="331" priority="597" stopIfTrue="1">
      <formula>$ES29="Changed"</formula>
    </cfRule>
  </conditionalFormatting>
  <conditionalFormatting sqref="H30">
    <cfRule type="expression" dxfId="330" priority="596" stopIfTrue="1">
      <formula>$ES30="Changed"</formula>
    </cfRule>
  </conditionalFormatting>
  <conditionalFormatting sqref="H32">
    <cfRule type="expression" dxfId="329" priority="595" stopIfTrue="1">
      <formula>$ES32="Changed"</formula>
    </cfRule>
  </conditionalFormatting>
  <conditionalFormatting sqref="H33">
    <cfRule type="expression" dxfId="328" priority="594" stopIfTrue="1">
      <formula>$ES33="Changed"</formula>
    </cfRule>
  </conditionalFormatting>
  <conditionalFormatting sqref="H34">
    <cfRule type="expression" dxfId="327" priority="593" stopIfTrue="1">
      <formula>$ES34="Changed"</formula>
    </cfRule>
  </conditionalFormatting>
  <conditionalFormatting sqref="H35">
    <cfRule type="expression" dxfId="326" priority="592" stopIfTrue="1">
      <formula>$ES35="Changed"</formula>
    </cfRule>
  </conditionalFormatting>
  <conditionalFormatting sqref="H36">
    <cfRule type="expression" dxfId="325" priority="591" stopIfTrue="1">
      <formula>$ES36="Changed"</formula>
    </cfRule>
  </conditionalFormatting>
  <conditionalFormatting sqref="H38">
    <cfRule type="expression" dxfId="324" priority="590" stopIfTrue="1">
      <formula>$ES38="Changed"</formula>
    </cfRule>
  </conditionalFormatting>
  <conditionalFormatting sqref="H39">
    <cfRule type="expression" dxfId="323" priority="589" stopIfTrue="1">
      <formula>$ES39="Changed"</formula>
    </cfRule>
  </conditionalFormatting>
  <conditionalFormatting sqref="H40">
    <cfRule type="expression" dxfId="322" priority="588" stopIfTrue="1">
      <formula>$ES40="Changed"</formula>
    </cfRule>
  </conditionalFormatting>
  <conditionalFormatting sqref="H41">
    <cfRule type="expression" dxfId="321" priority="587" stopIfTrue="1">
      <formula>$ES41="Changed"</formula>
    </cfRule>
  </conditionalFormatting>
  <conditionalFormatting sqref="H42">
    <cfRule type="expression" dxfId="320" priority="586" stopIfTrue="1">
      <formula>$ES42="Changed"</formula>
    </cfRule>
  </conditionalFormatting>
  <conditionalFormatting sqref="H44">
    <cfRule type="expression" dxfId="319" priority="585" stopIfTrue="1">
      <formula>$ES44="Changed"</formula>
    </cfRule>
  </conditionalFormatting>
  <conditionalFormatting sqref="H45">
    <cfRule type="expression" dxfId="318" priority="584" stopIfTrue="1">
      <formula>$ES45="Changed"</formula>
    </cfRule>
  </conditionalFormatting>
  <conditionalFormatting sqref="H46">
    <cfRule type="expression" dxfId="317" priority="583" stopIfTrue="1">
      <formula>$ES46="Changed"</formula>
    </cfRule>
  </conditionalFormatting>
  <conditionalFormatting sqref="H47">
    <cfRule type="expression" dxfId="316" priority="582" stopIfTrue="1">
      <formula>$ES47="Changed"</formula>
    </cfRule>
  </conditionalFormatting>
  <conditionalFormatting sqref="H48">
    <cfRule type="expression" dxfId="315" priority="581" stopIfTrue="1">
      <formula>$ES48="Changed"</formula>
    </cfRule>
  </conditionalFormatting>
  <conditionalFormatting sqref="H50">
    <cfRule type="expression" dxfId="314" priority="580" stopIfTrue="1">
      <formula>$ES50="Changed"</formula>
    </cfRule>
  </conditionalFormatting>
  <conditionalFormatting sqref="H51">
    <cfRule type="expression" dxfId="313" priority="579" stopIfTrue="1">
      <formula>$ES51="Changed"</formula>
    </cfRule>
  </conditionalFormatting>
  <conditionalFormatting sqref="H52">
    <cfRule type="expression" dxfId="312" priority="578" stopIfTrue="1">
      <formula>$ES52="Changed"</formula>
    </cfRule>
  </conditionalFormatting>
  <conditionalFormatting sqref="H53">
    <cfRule type="expression" dxfId="311" priority="577" stopIfTrue="1">
      <formula>$ES53="Changed"</formula>
    </cfRule>
  </conditionalFormatting>
  <conditionalFormatting sqref="H54">
    <cfRule type="expression" dxfId="310" priority="576" stopIfTrue="1">
      <formula>$ES54="Changed"</formula>
    </cfRule>
  </conditionalFormatting>
  <conditionalFormatting sqref="H56">
    <cfRule type="expression" dxfId="309" priority="575" stopIfTrue="1">
      <formula>$ES56="Changed"</formula>
    </cfRule>
  </conditionalFormatting>
  <conditionalFormatting sqref="H57">
    <cfRule type="expression" dxfId="308" priority="574" stopIfTrue="1">
      <formula>$ES57="Changed"</formula>
    </cfRule>
  </conditionalFormatting>
  <conditionalFormatting sqref="H58">
    <cfRule type="expression" dxfId="307" priority="573" stopIfTrue="1">
      <formula>$ES58="Changed"</formula>
    </cfRule>
  </conditionalFormatting>
  <conditionalFormatting sqref="H59">
    <cfRule type="expression" dxfId="306" priority="572" stopIfTrue="1">
      <formula>$ES59="Changed"</formula>
    </cfRule>
  </conditionalFormatting>
  <conditionalFormatting sqref="H60">
    <cfRule type="expression" dxfId="305" priority="571" stopIfTrue="1">
      <formula>$ES60="Changed"</formula>
    </cfRule>
  </conditionalFormatting>
  <conditionalFormatting sqref="H62">
    <cfRule type="expression" dxfId="304" priority="570" stopIfTrue="1">
      <formula>$ES62="Changed"</formula>
    </cfRule>
  </conditionalFormatting>
  <conditionalFormatting sqref="H63">
    <cfRule type="expression" dxfId="303" priority="569" stopIfTrue="1">
      <formula>$ES63="Changed"</formula>
    </cfRule>
  </conditionalFormatting>
  <conditionalFormatting sqref="H64">
    <cfRule type="expression" dxfId="302" priority="568" stopIfTrue="1">
      <formula>$ES64="Changed"</formula>
    </cfRule>
  </conditionalFormatting>
  <conditionalFormatting sqref="H65">
    <cfRule type="expression" dxfId="301" priority="567" stopIfTrue="1">
      <formula>$ES65="Changed"</formula>
    </cfRule>
  </conditionalFormatting>
  <conditionalFormatting sqref="H66">
    <cfRule type="expression" dxfId="300" priority="566" stopIfTrue="1">
      <formula>$ES66="Changed"</formula>
    </cfRule>
  </conditionalFormatting>
  <conditionalFormatting sqref="H68">
    <cfRule type="expression" dxfId="299" priority="565" stopIfTrue="1">
      <formula>$ES68="Changed"</formula>
    </cfRule>
  </conditionalFormatting>
  <conditionalFormatting sqref="H69">
    <cfRule type="expression" dxfId="298" priority="564" stopIfTrue="1">
      <formula>$ES69="Changed"</formula>
    </cfRule>
  </conditionalFormatting>
  <conditionalFormatting sqref="H70">
    <cfRule type="expression" dxfId="297" priority="563" stopIfTrue="1">
      <formula>$ES70="Changed"</formula>
    </cfRule>
  </conditionalFormatting>
  <conditionalFormatting sqref="H71">
    <cfRule type="expression" dxfId="296" priority="562" stopIfTrue="1">
      <formula>$ES71="Changed"</formula>
    </cfRule>
  </conditionalFormatting>
  <conditionalFormatting sqref="H72">
    <cfRule type="expression" dxfId="295" priority="561" stopIfTrue="1">
      <formula>$ES72="Changed"</formula>
    </cfRule>
  </conditionalFormatting>
  <conditionalFormatting sqref="H74">
    <cfRule type="expression" dxfId="294" priority="560" stopIfTrue="1">
      <formula>$ES74="Changed"</formula>
    </cfRule>
  </conditionalFormatting>
  <conditionalFormatting sqref="H75">
    <cfRule type="expression" dxfId="293" priority="559" stopIfTrue="1">
      <formula>$ES75="Changed"</formula>
    </cfRule>
  </conditionalFormatting>
  <conditionalFormatting sqref="H76">
    <cfRule type="expression" dxfId="292" priority="558" stopIfTrue="1">
      <formula>$ES76="Changed"</formula>
    </cfRule>
  </conditionalFormatting>
  <conditionalFormatting sqref="H77">
    <cfRule type="expression" dxfId="291" priority="557" stopIfTrue="1">
      <formula>$ES77="Changed"</formula>
    </cfRule>
  </conditionalFormatting>
  <conditionalFormatting sqref="H78">
    <cfRule type="expression" dxfId="290" priority="556" stopIfTrue="1">
      <formula>$ES78="Changed"</formula>
    </cfRule>
  </conditionalFormatting>
  <conditionalFormatting sqref="K19">
    <cfRule type="expression" dxfId="289" priority="555" stopIfTrue="1">
      <formula>$B14=$B20</formula>
    </cfRule>
  </conditionalFormatting>
  <conditionalFormatting sqref="K13">
    <cfRule type="expression" dxfId="288" priority="554" stopIfTrue="1">
      <formula>$B8=$B14</formula>
    </cfRule>
  </conditionalFormatting>
  <conditionalFormatting sqref="K8">
    <cfRule type="expression" dxfId="287" priority="553" stopIfTrue="1">
      <formula>$EM8="Error"</formula>
    </cfRule>
  </conditionalFormatting>
  <conditionalFormatting sqref="K9">
    <cfRule type="expression" dxfId="286" priority="434" stopIfTrue="1">
      <formula>$EM9="Error"</formula>
    </cfRule>
  </conditionalFormatting>
  <conditionalFormatting sqref="K10">
    <cfRule type="expression" dxfId="285" priority="433" stopIfTrue="1">
      <formula>$EM10="Error"</formula>
    </cfRule>
  </conditionalFormatting>
  <conditionalFormatting sqref="K11">
    <cfRule type="expression" dxfId="284" priority="432" stopIfTrue="1">
      <formula>$EM11="Error"</formula>
    </cfRule>
  </conditionalFormatting>
  <conditionalFormatting sqref="K12">
    <cfRule type="expression" dxfId="283" priority="431" stopIfTrue="1">
      <formula>$EM12="Error"</formula>
    </cfRule>
  </conditionalFormatting>
  <conditionalFormatting sqref="K14">
    <cfRule type="expression" dxfId="282" priority="425" stopIfTrue="1">
      <formula>$EM14="Error"</formula>
    </cfRule>
  </conditionalFormatting>
  <conditionalFormatting sqref="K15">
    <cfRule type="expression" dxfId="281" priority="424" stopIfTrue="1">
      <formula>$EM15="Error"</formula>
    </cfRule>
  </conditionalFormatting>
  <conditionalFormatting sqref="K16">
    <cfRule type="expression" dxfId="280" priority="423" stopIfTrue="1">
      <formula>$EM16="Error"</formula>
    </cfRule>
  </conditionalFormatting>
  <conditionalFormatting sqref="K17">
    <cfRule type="expression" dxfId="279" priority="422" stopIfTrue="1">
      <formula>$EM17="Error"</formula>
    </cfRule>
  </conditionalFormatting>
  <conditionalFormatting sqref="K18">
    <cfRule type="expression" dxfId="278" priority="421" stopIfTrue="1">
      <formula>$EM18="Error"</formula>
    </cfRule>
  </conditionalFormatting>
  <conditionalFormatting sqref="K20">
    <cfRule type="expression" dxfId="277" priority="420" stopIfTrue="1">
      <formula>$EM20="Error"</formula>
    </cfRule>
  </conditionalFormatting>
  <conditionalFormatting sqref="K21">
    <cfRule type="expression" dxfId="276" priority="419" stopIfTrue="1">
      <formula>$EM21="Error"</formula>
    </cfRule>
  </conditionalFormatting>
  <conditionalFormatting sqref="K22">
    <cfRule type="expression" dxfId="275" priority="418" stopIfTrue="1">
      <formula>$EM22="Error"</formula>
    </cfRule>
  </conditionalFormatting>
  <conditionalFormatting sqref="K23">
    <cfRule type="expression" dxfId="274" priority="417" stopIfTrue="1">
      <formula>$EM23="Error"</formula>
    </cfRule>
  </conditionalFormatting>
  <conditionalFormatting sqref="K24">
    <cfRule type="expression" dxfId="273" priority="416" stopIfTrue="1">
      <formula>$EM24="Error"</formula>
    </cfRule>
  </conditionalFormatting>
  <conditionalFormatting sqref="K26">
    <cfRule type="expression" dxfId="272" priority="415" stopIfTrue="1">
      <formula>$EM26="Error"</formula>
    </cfRule>
  </conditionalFormatting>
  <conditionalFormatting sqref="K27">
    <cfRule type="expression" dxfId="271" priority="414" stopIfTrue="1">
      <formula>$EM27="Error"</formula>
    </cfRule>
  </conditionalFormatting>
  <conditionalFormatting sqref="K28">
    <cfRule type="expression" dxfId="270" priority="413" stopIfTrue="1">
      <formula>$EM28="Error"</formula>
    </cfRule>
  </conditionalFormatting>
  <conditionalFormatting sqref="K29">
    <cfRule type="expression" dxfId="269" priority="412" stopIfTrue="1">
      <formula>$EM29="Error"</formula>
    </cfRule>
  </conditionalFormatting>
  <conditionalFormatting sqref="K30">
    <cfRule type="expression" dxfId="268" priority="411" stopIfTrue="1">
      <formula>$EM30="Error"</formula>
    </cfRule>
  </conditionalFormatting>
  <conditionalFormatting sqref="K32">
    <cfRule type="expression" dxfId="267" priority="410" stopIfTrue="1">
      <formula>$EM32="Error"</formula>
    </cfRule>
  </conditionalFormatting>
  <conditionalFormatting sqref="K33">
    <cfRule type="expression" dxfId="266" priority="409" stopIfTrue="1">
      <formula>$EM33="Error"</formula>
    </cfRule>
  </conditionalFormatting>
  <conditionalFormatting sqref="K34">
    <cfRule type="expression" dxfId="265" priority="408" stopIfTrue="1">
      <formula>$EM34="Error"</formula>
    </cfRule>
  </conditionalFormatting>
  <conditionalFormatting sqref="K35">
    <cfRule type="expression" dxfId="264" priority="407" stopIfTrue="1">
      <formula>$EM35="Error"</formula>
    </cfRule>
  </conditionalFormatting>
  <conditionalFormatting sqref="K36">
    <cfRule type="expression" dxfId="263" priority="406" stopIfTrue="1">
      <formula>$EM36="Error"</formula>
    </cfRule>
  </conditionalFormatting>
  <conditionalFormatting sqref="K38">
    <cfRule type="expression" dxfId="262" priority="405" stopIfTrue="1">
      <formula>$EM38="Error"</formula>
    </cfRule>
  </conditionalFormatting>
  <conditionalFormatting sqref="K39">
    <cfRule type="expression" dxfId="261" priority="404" stopIfTrue="1">
      <formula>$EM39="Error"</formula>
    </cfRule>
  </conditionalFormatting>
  <conditionalFormatting sqref="K40">
    <cfRule type="expression" dxfId="260" priority="403" stopIfTrue="1">
      <formula>$EM40="Error"</formula>
    </cfRule>
  </conditionalFormatting>
  <conditionalFormatting sqref="K41">
    <cfRule type="expression" dxfId="259" priority="402" stopIfTrue="1">
      <formula>$EM41="Error"</formula>
    </cfRule>
  </conditionalFormatting>
  <conditionalFormatting sqref="K42">
    <cfRule type="expression" dxfId="258" priority="401" stopIfTrue="1">
      <formula>$EM42="Error"</formula>
    </cfRule>
  </conditionalFormatting>
  <conditionalFormatting sqref="K44">
    <cfRule type="expression" dxfId="257" priority="400" stopIfTrue="1">
      <formula>$EM44="Error"</formula>
    </cfRule>
  </conditionalFormatting>
  <conditionalFormatting sqref="K45">
    <cfRule type="expression" dxfId="256" priority="399" stopIfTrue="1">
      <formula>$EM45="Error"</formula>
    </cfRule>
  </conditionalFormatting>
  <conditionalFormatting sqref="K46">
    <cfRule type="expression" dxfId="255" priority="398" stopIfTrue="1">
      <formula>$EM46="Error"</formula>
    </cfRule>
  </conditionalFormatting>
  <conditionalFormatting sqref="K47">
    <cfRule type="expression" dxfId="254" priority="397" stopIfTrue="1">
      <formula>$EM47="Error"</formula>
    </cfRule>
  </conditionalFormatting>
  <conditionalFormatting sqref="K48">
    <cfRule type="expression" dxfId="253" priority="396" stopIfTrue="1">
      <formula>$EM48="Error"</formula>
    </cfRule>
  </conditionalFormatting>
  <conditionalFormatting sqref="K50">
    <cfRule type="expression" dxfId="252" priority="395" stopIfTrue="1">
      <formula>$EM50="Error"</formula>
    </cfRule>
  </conditionalFormatting>
  <conditionalFormatting sqref="K51">
    <cfRule type="expression" dxfId="251" priority="394" stopIfTrue="1">
      <formula>$EM51="Error"</formula>
    </cfRule>
  </conditionalFormatting>
  <conditionalFormatting sqref="K52">
    <cfRule type="expression" dxfId="250" priority="393" stopIfTrue="1">
      <formula>$EM52="Error"</formula>
    </cfRule>
  </conditionalFormatting>
  <conditionalFormatting sqref="K53">
    <cfRule type="expression" dxfId="249" priority="392" stopIfTrue="1">
      <formula>$EM53="Error"</formula>
    </cfRule>
  </conditionalFormatting>
  <conditionalFormatting sqref="K54">
    <cfRule type="expression" dxfId="248" priority="391" stopIfTrue="1">
      <formula>$EM54="Error"</formula>
    </cfRule>
  </conditionalFormatting>
  <conditionalFormatting sqref="K56">
    <cfRule type="expression" dxfId="247" priority="390" stopIfTrue="1">
      <formula>$EM56="Error"</formula>
    </cfRule>
  </conditionalFormatting>
  <conditionalFormatting sqref="K57">
    <cfRule type="expression" dxfId="246" priority="389" stopIfTrue="1">
      <formula>$EM57="Error"</formula>
    </cfRule>
  </conditionalFormatting>
  <conditionalFormatting sqref="K58">
    <cfRule type="expression" dxfId="245" priority="388" stopIfTrue="1">
      <formula>$EM58="Error"</formula>
    </cfRule>
  </conditionalFormatting>
  <conditionalFormatting sqref="K59">
    <cfRule type="expression" dxfId="244" priority="387" stopIfTrue="1">
      <formula>$EM59="Error"</formula>
    </cfRule>
  </conditionalFormatting>
  <conditionalFormatting sqref="K60">
    <cfRule type="expression" dxfId="243" priority="386" stopIfTrue="1">
      <formula>$EM60="Error"</formula>
    </cfRule>
  </conditionalFormatting>
  <conditionalFormatting sqref="K62">
    <cfRule type="expression" dxfId="242" priority="385" stopIfTrue="1">
      <formula>$EM62="Error"</formula>
    </cfRule>
  </conditionalFormatting>
  <conditionalFormatting sqref="K63">
    <cfRule type="expression" dxfId="241" priority="384" stopIfTrue="1">
      <formula>$EM63="Error"</formula>
    </cfRule>
  </conditionalFormatting>
  <conditionalFormatting sqref="K64">
    <cfRule type="expression" dxfId="240" priority="383" stopIfTrue="1">
      <formula>$EM64="Error"</formula>
    </cfRule>
  </conditionalFormatting>
  <conditionalFormatting sqref="K65">
    <cfRule type="expression" dxfId="239" priority="382" stopIfTrue="1">
      <formula>$EM65="Error"</formula>
    </cfRule>
  </conditionalFormatting>
  <conditionalFormatting sqref="K66">
    <cfRule type="expression" dxfId="238" priority="381" stopIfTrue="1">
      <formula>$EM66="Error"</formula>
    </cfRule>
  </conditionalFormatting>
  <conditionalFormatting sqref="K68">
    <cfRule type="expression" dxfId="237" priority="380" stopIfTrue="1">
      <formula>$EM68="Error"</formula>
    </cfRule>
  </conditionalFormatting>
  <conditionalFormatting sqref="K69">
    <cfRule type="expression" dxfId="236" priority="379" stopIfTrue="1">
      <formula>$EM69="Error"</formula>
    </cfRule>
  </conditionalFormatting>
  <conditionalFormatting sqref="K70">
    <cfRule type="expression" dxfId="235" priority="378" stopIfTrue="1">
      <formula>$EM70="Error"</formula>
    </cfRule>
  </conditionalFormatting>
  <conditionalFormatting sqref="K71">
    <cfRule type="expression" dxfId="234" priority="377" stopIfTrue="1">
      <formula>$EM71="Error"</formula>
    </cfRule>
  </conditionalFormatting>
  <conditionalFormatting sqref="K72">
    <cfRule type="expression" dxfId="233" priority="376" stopIfTrue="1">
      <formula>$EM72="Error"</formula>
    </cfRule>
  </conditionalFormatting>
  <conditionalFormatting sqref="K74">
    <cfRule type="expression" dxfId="232" priority="375" stopIfTrue="1">
      <formula>$EM74="Error"</formula>
    </cfRule>
  </conditionalFormatting>
  <conditionalFormatting sqref="K75">
    <cfRule type="expression" dxfId="231" priority="374" stopIfTrue="1">
      <formula>$EM75="Error"</formula>
    </cfRule>
  </conditionalFormatting>
  <conditionalFormatting sqref="K76">
    <cfRule type="expression" dxfId="230" priority="373" stopIfTrue="1">
      <formula>$EM76="Error"</formula>
    </cfRule>
  </conditionalFormatting>
  <conditionalFormatting sqref="K77">
    <cfRule type="expression" dxfId="229" priority="372" stopIfTrue="1">
      <formula>$EM77="Error"</formula>
    </cfRule>
  </conditionalFormatting>
  <conditionalFormatting sqref="K78">
    <cfRule type="expression" dxfId="228" priority="371" stopIfTrue="1">
      <formula>$EM78="Error"</formula>
    </cfRule>
  </conditionalFormatting>
  <conditionalFormatting sqref="Q12">
    <cfRule type="expression" dxfId="227" priority="249" stopIfTrue="1">
      <formula>$DE12&lt;&gt;""</formula>
    </cfRule>
    <cfRule type="expression" dxfId="226" priority="250" stopIfTrue="1">
      <formula>$EU12=1</formula>
    </cfRule>
  </conditionalFormatting>
  <conditionalFormatting sqref="Q11">
    <cfRule type="expression" dxfId="225" priority="247" stopIfTrue="1">
      <formula>$DE11&lt;&gt;""</formula>
    </cfRule>
    <cfRule type="expression" dxfId="224" priority="248" stopIfTrue="1">
      <formula>$EU11=1</formula>
    </cfRule>
  </conditionalFormatting>
  <conditionalFormatting sqref="Q10">
    <cfRule type="expression" dxfId="223" priority="245" stopIfTrue="1">
      <formula>$DE10&lt;&gt;""</formula>
    </cfRule>
    <cfRule type="expression" dxfId="222" priority="246" stopIfTrue="1">
      <formula>$EU10=1</formula>
    </cfRule>
  </conditionalFormatting>
  <conditionalFormatting sqref="Q9">
    <cfRule type="expression" dxfId="221" priority="243" stopIfTrue="1">
      <formula>$DE9&lt;&gt;""</formula>
    </cfRule>
    <cfRule type="expression" dxfId="220" priority="244" stopIfTrue="1">
      <formula>$EU9=1</formula>
    </cfRule>
  </conditionalFormatting>
  <conditionalFormatting sqref="Q8">
    <cfRule type="expression" dxfId="219" priority="241" stopIfTrue="1">
      <formula>$DE8&lt;&gt;""</formula>
    </cfRule>
    <cfRule type="expression" dxfId="218" priority="242" stopIfTrue="1">
      <formula>$EU8=1</formula>
    </cfRule>
  </conditionalFormatting>
  <conditionalFormatting sqref="Q18">
    <cfRule type="expression" dxfId="217" priority="239" stopIfTrue="1">
      <formula>$DE18&lt;&gt;""</formula>
    </cfRule>
    <cfRule type="expression" dxfId="216" priority="240" stopIfTrue="1">
      <formula>$EU18=1</formula>
    </cfRule>
  </conditionalFormatting>
  <conditionalFormatting sqref="Q17">
    <cfRule type="expression" dxfId="215" priority="237" stopIfTrue="1">
      <formula>$DE17&lt;&gt;""</formula>
    </cfRule>
    <cfRule type="expression" dxfId="214" priority="238" stopIfTrue="1">
      <formula>$EU17=1</formula>
    </cfRule>
  </conditionalFormatting>
  <conditionalFormatting sqref="Q16">
    <cfRule type="expression" dxfId="213" priority="235" stopIfTrue="1">
      <formula>$DE16&lt;&gt;""</formula>
    </cfRule>
    <cfRule type="expression" dxfId="212" priority="236" stopIfTrue="1">
      <formula>$EU16=1</formula>
    </cfRule>
  </conditionalFormatting>
  <conditionalFormatting sqref="Q15">
    <cfRule type="expression" dxfId="211" priority="233" stopIfTrue="1">
      <formula>$DE15&lt;&gt;""</formula>
    </cfRule>
    <cfRule type="expression" dxfId="210" priority="234" stopIfTrue="1">
      <formula>$EU15=1</formula>
    </cfRule>
  </conditionalFormatting>
  <conditionalFormatting sqref="Q14">
    <cfRule type="expression" dxfId="209" priority="231" stopIfTrue="1">
      <formula>$DE14&lt;&gt;""</formula>
    </cfRule>
    <cfRule type="expression" dxfId="208" priority="232" stopIfTrue="1">
      <formula>$EU14=1</formula>
    </cfRule>
  </conditionalFormatting>
  <conditionalFormatting sqref="Q24">
    <cfRule type="expression" dxfId="207" priority="229" stopIfTrue="1">
      <formula>$DE24&lt;&gt;""</formula>
    </cfRule>
    <cfRule type="expression" dxfId="206" priority="230" stopIfTrue="1">
      <formula>$EU24=1</formula>
    </cfRule>
  </conditionalFormatting>
  <conditionalFormatting sqref="Q23">
    <cfRule type="expression" dxfId="205" priority="227" stopIfTrue="1">
      <formula>$DE23&lt;&gt;""</formula>
    </cfRule>
    <cfRule type="expression" dxfId="204" priority="228" stopIfTrue="1">
      <formula>$EU23=1</formula>
    </cfRule>
  </conditionalFormatting>
  <conditionalFormatting sqref="Q22">
    <cfRule type="expression" dxfId="203" priority="225" stopIfTrue="1">
      <formula>$DE22&lt;&gt;""</formula>
    </cfRule>
    <cfRule type="expression" dxfId="202" priority="226" stopIfTrue="1">
      <formula>$EU22=1</formula>
    </cfRule>
  </conditionalFormatting>
  <conditionalFormatting sqref="Q21">
    <cfRule type="expression" dxfId="201" priority="223" stopIfTrue="1">
      <formula>$DE21&lt;&gt;""</formula>
    </cfRule>
    <cfRule type="expression" dxfId="200" priority="224" stopIfTrue="1">
      <formula>$EU21=1</formula>
    </cfRule>
  </conditionalFormatting>
  <conditionalFormatting sqref="Q20">
    <cfRule type="expression" dxfId="199" priority="221" stopIfTrue="1">
      <formula>$DE20&lt;&gt;""</formula>
    </cfRule>
    <cfRule type="expression" dxfId="198" priority="222" stopIfTrue="1">
      <formula>$EU20=1</formula>
    </cfRule>
  </conditionalFormatting>
  <conditionalFormatting sqref="Q30">
    <cfRule type="expression" dxfId="197" priority="219" stopIfTrue="1">
      <formula>$DE30&lt;&gt;""</formula>
    </cfRule>
    <cfRule type="expression" dxfId="196" priority="220" stopIfTrue="1">
      <formula>$EU30=1</formula>
    </cfRule>
  </conditionalFormatting>
  <conditionalFormatting sqref="Q29">
    <cfRule type="expression" dxfId="195" priority="217" stopIfTrue="1">
      <formula>$DE29&lt;&gt;""</formula>
    </cfRule>
    <cfRule type="expression" dxfId="194" priority="218" stopIfTrue="1">
      <formula>$EU29=1</formula>
    </cfRule>
  </conditionalFormatting>
  <conditionalFormatting sqref="Q28">
    <cfRule type="expression" dxfId="193" priority="215" stopIfTrue="1">
      <formula>$DE28&lt;&gt;""</formula>
    </cfRule>
    <cfRule type="expression" dxfId="192" priority="216" stopIfTrue="1">
      <formula>$EU28=1</formula>
    </cfRule>
  </conditionalFormatting>
  <conditionalFormatting sqref="Q27">
    <cfRule type="expression" dxfId="191" priority="213" stopIfTrue="1">
      <formula>$DE27&lt;&gt;""</formula>
    </cfRule>
    <cfRule type="expression" dxfId="190" priority="214" stopIfTrue="1">
      <formula>$EU27=1</formula>
    </cfRule>
  </conditionalFormatting>
  <conditionalFormatting sqref="Q26">
    <cfRule type="expression" dxfId="189" priority="211" stopIfTrue="1">
      <formula>$DE26&lt;&gt;""</formula>
    </cfRule>
    <cfRule type="expression" dxfId="188" priority="212" stopIfTrue="1">
      <formula>$EU26=1</formula>
    </cfRule>
  </conditionalFormatting>
  <conditionalFormatting sqref="Q36">
    <cfRule type="expression" dxfId="187" priority="209" stopIfTrue="1">
      <formula>$DE36&lt;&gt;""</formula>
    </cfRule>
    <cfRule type="expression" dxfId="186" priority="210" stopIfTrue="1">
      <formula>$EU36=1</formula>
    </cfRule>
  </conditionalFormatting>
  <conditionalFormatting sqref="Q35">
    <cfRule type="expression" dxfId="185" priority="207" stopIfTrue="1">
      <formula>$DE35&lt;&gt;""</formula>
    </cfRule>
    <cfRule type="expression" dxfId="184" priority="208" stopIfTrue="1">
      <formula>$EU35=1</formula>
    </cfRule>
  </conditionalFormatting>
  <conditionalFormatting sqref="Q34">
    <cfRule type="expression" dxfId="183" priority="205" stopIfTrue="1">
      <formula>$DE34&lt;&gt;""</formula>
    </cfRule>
    <cfRule type="expression" dxfId="182" priority="206" stopIfTrue="1">
      <formula>$EU34=1</formula>
    </cfRule>
  </conditionalFormatting>
  <conditionalFormatting sqref="Q33">
    <cfRule type="expression" dxfId="181" priority="203" stopIfTrue="1">
      <formula>$DE33&lt;&gt;""</formula>
    </cfRule>
    <cfRule type="expression" dxfId="180" priority="204" stopIfTrue="1">
      <formula>$EU33=1</formula>
    </cfRule>
  </conditionalFormatting>
  <conditionalFormatting sqref="Q32">
    <cfRule type="expression" dxfId="179" priority="201" stopIfTrue="1">
      <formula>$DE32&lt;&gt;""</formula>
    </cfRule>
    <cfRule type="expression" dxfId="178" priority="202" stopIfTrue="1">
      <formula>$EU32=1</formula>
    </cfRule>
  </conditionalFormatting>
  <conditionalFormatting sqref="Q42">
    <cfRule type="expression" dxfId="177" priority="199" stopIfTrue="1">
      <formula>$DE42&lt;&gt;""</formula>
    </cfRule>
    <cfRule type="expression" dxfId="176" priority="200" stopIfTrue="1">
      <formula>$EU42=1</formula>
    </cfRule>
  </conditionalFormatting>
  <conditionalFormatting sqref="Q41">
    <cfRule type="expression" dxfId="175" priority="197" stopIfTrue="1">
      <formula>$DE41&lt;&gt;""</formula>
    </cfRule>
    <cfRule type="expression" dxfId="174" priority="198" stopIfTrue="1">
      <formula>$EU41=1</formula>
    </cfRule>
  </conditionalFormatting>
  <conditionalFormatting sqref="Q40">
    <cfRule type="expression" dxfId="173" priority="195" stopIfTrue="1">
      <formula>$DE40&lt;&gt;""</formula>
    </cfRule>
    <cfRule type="expression" dxfId="172" priority="196" stopIfTrue="1">
      <formula>$EU40=1</formula>
    </cfRule>
  </conditionalFormatting>
  <conditionalFormatting sqref="Q39">
    <cfRule type="expression" dxfId="171" priority="193" stopIfTrue="1">
      <formula>$DE39&lt;&gt;""</formula>
    </cfRule>
    <cfRule type="expression" dxfId="170" priority="194" stopIfTrue="1">
      <formula>$EU39=1</formula>
    </cfRule>
  </conditionalFormatting>
  <conditionalFormatting sqref="Q38">
    <cfRule type="expression" dxfId="169" priority="191" stopIfTrue="1">
      <formula>$DE38&lt;&gt;""</formula>
    </cfRule>
    <cfRule type="expression" dxfId="168" priority="192" stopIfTrue="1">
      <formula>$EU38=1</formula>
    </cfRule>
  </conditionalFormatting>
  <conditionalFormatting sqref="Q48">
    <cfRule type="expression" dxfId="167" priority="189" stopIfTrue="1">
      <formula>$DE48&lt;&gt;""</formula>
    </cfRule>
    <cfRule type="expression" dxfId="166" priority="190" stopIfTrue="1">
      <formula>$EU48=1</formula>
    </cfRule>
  </conditionalFormatting>
  <conditionalFormatting sqref="Q47">
    <cfRule type="expression" dxfId="165" priority="187" stopIfTrue="1">
      <formula>$DE47&lt;&gt;""</formula>
    </cfRule>
    <cfRule type="expression" dxfId="164" priority="188" stopIfTrue="1">
      <formula>$EU47=1</formula>
    </cfRule>
  </conditionalFormatting>
  <conditionalFormatting sqref="Q46">
    <cfRule type="expression" dxfId="163" priority="185" stopIfTrue="1">
      <formula>$DE46&lt;&gt;""</formula>
    </cfRule>
    <cfRule type="expression" dxfId="162" priority="186" stopIfTrue="1">
      <formula>$EU46=1</formula>
    </cfRule>
  </conditionalFormatting>
  <conditionalFormatting sqref="Q45">
    <cfRule type="expression" dxfId="161" priority="183" stopIfTrue="1">
      <formula>$DE45&lt;&gt;""</formula>
    </cfRule>
    <cfRule type="expression" dxfId="160" priority="184" stopIfTrue="1">
      <formula>$EU45=1</formula>
    </cfRule>
  </conditionalFormatting>
  <conditionalFormatting sqref="Q44">
    <cfRule type="expression" dxfId="159" priority="181" stopIfTrue="1">
      <formula>$DE44&lt;&gt;""</formula>
    </cfRule>
    <cfRule type="expression" dxfId="158" priority="182" stopIfTrue="1">
      <formula>$EU44=1</formula>
    </cfRule>
  </conditionalFormatting>
  <conditionalFormatting sqref="Q54">
    <cfRule type="expression" dxfId="157" priority="179" stopIfTrue="1">
      <formula>$DE54&lt;&gt;""</formula>
    </cfRule>
    <cfRule type="expression" dxfId="156" priority="180" stopIfTrue="1">
      <formula>$EU54=1</formula>
    </cfRule>
  </conditionalFormatting>
  <conditionalFormatting sqref="Q53">
    <cfRule type="expression" dxfId="155" priority="177" stopIfTrue="1">
      <formula>$DE53&lt;&gt;""</formula>
    </cfRule>
    <cfRule type="expression" dxfId="154" priority="178" stopIfTrue="1">
      <formula>$EU53=1</formula>
    </cfRule>
  </conditionalFormatting>
  <conditionalFormatting sqref="Q52">
    <cfRule type="expression" dxfId="153" priority="175" stopIfTrue="1">
      <formula>$DE52&lt;&gt;""</formula>
    </cfRule>
    <cfRule type="expression" dxfId="152" priority="176" stopIfTrue="1">
      <formula>$EU52=1</formula>
    </cfRule>
  </conditionalFormatting>
  <conditionalFormatting sqref="Q51">
    <cfRule type="expression" dxfId="151" priority="173" stopIfTrue="1">
      <formula>$DE51&lt;&gt;""</formula>
    </cfRule>
    <cfRule type="expression" dxfId="150" priority="174" stopIfTrue="1">
      <formula>$EU51=1</formula>
    </cfRule>
  </conditionalFormatting>
  <conditionalFormatting sqref="Q50">
    <cfRule type="expression" dxfId="149" priority="171" stopIfTrue="1">
      <formula>$DE50&lt;&gt;""</formula>
    </cfRule>
    <cfRule type="expression" dxfId="148" priority="172" stopIfTrue="1">
      <formula>$EU50=1</formula>
    </cfRule>
  </conditionalFormatting>
  <conditionalFormatting sqref="Q60">
    <cfRule type="expression" dxfId="147" priority="169" stopIfTrue="1">
      <formula>$DE60&lt;&gt;""</formula>
    </cfRule>
    <cfRule type="expression" dxfId="146" priority="170" stopIfTrue="1">
      <formula>$EU60=1</formula>
    </cfRule>
  </conditionalFormatting>
  <conditionalFormatting sqref="Q59">
    <cfRule type="expression" dxfId="145" priority="167" stopIfTrue="1">
      <formula>$DE59&lt;&gt;""</formula>
    </cfRule>
    <cfRule type="expression" dxfId="144" priority="168" stopIfTrue="1">
      <formula>$EU59=1</formula>
    </cfRule>
  </conditionalFormatting>
  <conditionalFormatting sqref="Q58">
    <cfRule type="expression" dxfId="143" priority="165" stopIfTrue="1">
      <formula>$DE58&lt;&gt;""</formula>
    </cfRule>
    <cfRule type="expression" dxfId="142" priority="166" stopIfTrue="1">
      <formula>$EU58=1</formula>
    </cfRule>
  </conditionalFormatting>
  <conditionalFormatting sqref="Q57">
    <cfRule type="expression" dxfId="141" priority="163" stopIfTrue="1">
      <formula>$DE57&lt;&gt;""</formula>
    </cfRule>
    <cfRule type="expression" dxfId="140" priority="164" stopIfTrue="1">
      <formula>$EU57=1</formula>
    </cfRule>
  </conditionalFormatting>
  <conditionalFormatting sqref="Q56">
    <cfRule type="expression" dxfId="139" priority="161" stopIfTrue="1">
      <formula>$DE56&lt;&gt;""</formula>
    </cfRule>
    <cfRule type="expression" dxfId="138" priority="162" stopIfTrue="1">
      <formula>$EU56=1</formula>
    </cfRule>
  </conditionalFormatting>
  <conditionalFormatting sqref="Q66">
    <cfRule type="expression" dxfId="137" priority="159" stopIfTrue="1">
      <formula>$DE66&lt;&gt;""</formula>
    </cfRule>
    <cfRule type="expression" dxfId="136" priority="160" stopIfTrue="1">
      <formula>$EU66=1</formula>
    </cfRule>
  </conditionalFormatting>
  <conditionalFormatting sqref="Q65">
    <cfRule type="expression" dxfId="135" priority="157" stopIfTrue="1">
      <formula>$DE65&lt;&gt;""</formula>
    </cfRule>
    <cfRule type="expression" dxfId="134" priority="158" stopIfTrue="1">
      <formula>$EU65=1</formula>
    </cfRule>
  </conditionalFormatting>
  <conditionalFormatting sqref="Q64">
    <cfRule type="expression" dxfId="133" priority="155" stopIfTrue="1">
      <formula>$DE64&lt;&gt;""</formula>
    </cfRule>
    <cfRule type="expression" dxfId="132" priority="156" stopIfTrue="1">
      <formula>$EU64=1</formula>
    </cfRule>
  </conditionalFormatting>
  <conditionalFormatting sqref="Q63">
    <cfRule type="expression" dxfId="131" priority="153" stopIfTrue="1">
      <formula>$DE63&lt;&gt;""</formula>
    </cfRule>
    <cfRule type="expression" dxfId="130" priority="154" stopIfTrue="1">
      <formula>$EU63=1</formula>
    </cfRule>
  </conditionalFormatting>
  <conditionalFormatting sqref="Q62">
    <cfRule type="expression" dxfId="129" priority="151" stopIfTrue="1">
      <formula>$DE62&lt;&gt;""</formula>
    </cfRule>
    <cfRule type="expression" dxfId="128" priority="152" stopIfTrue="1">
      <formula>$EU62=1</formula>
    </cfRule>
  </conditionalFormatting>
  <conditionalFormatting sqref="Q72">
    <cfRule type="expression" dxfId="127" priority="149" stopIfTrue="1">
      <formula>$DE72&lt;&gt;""</formula>
    </cfRule>
    <cfRule type="expression" dxfId="126" priority="150" stopIfTrue="1">
      <formula>$EU72=1</formula>
    </cfRule>
  </conditionalFormatting>
  <conditionalFormatting sqref="Q71">
    <cfRule type="expression" dxfId="125" priority="147" stopIfTrue="1">
      <formula>$DE71&lt;&gt;""</formula>
    </cfRule>
    <cfRule type="expression" dxfId="124" priority="148" stopIfTrue="1">
      <formula>$EU71=1</formula>
    </cfRule>
  </conditionalFormatting>
  <conditionalFormatting sqref="Q70">
    <cfRule type="expression" dxfId="123" priority="145" stopIfTrue="1">
      <formula>$DE70&lt;&gt;""</formula>
    </cfRule>
    <cfRule type="expression" dxfId="122" priority="146" stopIfTrue="1">
      <formula>$EU70=1</formula>
    </cfRule>
  </conditionalFormatting>
  <conditionalFormatting sqref="Q69">
    <cfRule type="expression" dxfId="121" priority="143" stopIfTrue="1">
      <formula>$DE69&lt;&gt;""</formula>
    </cfRule>
    <cfRule type="expression" dxfId="120" priority="144" stopIfTrue="1">
      <formula>$EU69=1</formula>
    </cfRule>
  </conditionalFormatting>
  <conditionalFormatting sqref="Q68">
    <cfRule type="expression" dxfId="119" priority="141" stopIfTrue="1">
      <formula>$DE68&lt;&gt;""</formula>
    </cfRule>
    <cfRule type="expression" dxfId="118" priority="142" stopIfTrue="1">
      <formula>$EU68=1</formula>
    </cfRule>
  </conditionalFormatting>
  <conditionalFormatting sqref="Q74:Q78">
    <cfRule type="expression" dxfId="117" priority="890" stopIfTrue="1">
      <formula>$DE74&lt;&gt;""</formula>
    </cfRule>
    <cfRule type="expression" dxfId="116" priority="890" stopIfTrue="1">
      <formula>$EU74=1</formula>
    </cfRule>
  </conditionalFormatting>
  <conditionalFormatting sqref="AN18:AP20">
    <cfRule type="expression" dxfId="115" priority="126" stopIfTrue="1">
      <formula>$BE$3=2</formula>
    </cfRule>
  </conditionalFormatting>
  <conditionalFormatting sqref="AN13:AP16">
    <cfRule type="expression" dxfId="114" priority="125" stopIfTrue="1">
      <formula>$BE$3=2</formula>
    </cfRule>
  </conditionalFormatting>
  <conditionalFormatting sqref="AT67">
    <cfRule type="expression" dxfId="113" priority="124">
      <formula>$AK67="E"</formula>
    </cfRule>
  </conditionalFormatting>
  <conditionalFormatting sqref="AT57">
    <cfRule type="expression" dxfId="112" priority="123">
      <formula>$AK57="E"</formula>
    </cfRule>
  </conditionalFormatting>
  <conditionalFormatting sqref="AT58">
    <cfRule type="expression" dxfId="111" priority="122">
      <formula>$AK58="E"</formula>
    </cfRule>
  </conditionalFormatting>
  <conditionalFormatting sqref="AT59">
    <cfRule type="expression" dxfId="110" priority="121">
      <formula>$AK59="E"</formula>
    </cfRule>
  </conditionalFormatting>
  <conditionalFormatting sqref="AT60">
    <cfRule type="expression" dxfId="109" priority="120">
      <formula>$AK60="E"</formula>
    </cfRule>
  </conditionalFormatting>
  <conditionalFormatting sqref="AT61">
    <cfRule type="expression" dxfId="108" priority="119">
      <formula>$AK61="E"</formula>
    </cfRule>
  </conditionalFormatting>
  <conditionalFormatting sqref="AT62">
    <cfRule type="expression" dxfId="107" priority="118">
      <formula>$AK62="E"</formula>
    </cfRule>
  </conditionalFormatting>
  <conditionalFormatting sqref="AT63">
    <cfRule type="expression" dxfId="106" priority="117">
      <formula>$AK63="E"</formula>
    </cfRule>
  </conditionalFormatting>
  <conditionalFormatting sqref="AT64">
    <cfRule type="expression" dxfId="105" priority="116">
      <formula>$AK64="E"</formula>
    </cfRule>
  </conditionalFormatting>
  <conditionalFormatting sqref="AT65">
    <cfRule type="expression" dxfId="104" priority="115">
      <formula>$AK65="E"</formula>
    </cfRule>
  </conditionalFormatting>
  <conditionalFormatting sqref="AT66">
    <cfRule type="expression" dxfId="103" priority="114">
      <formula>$AK66="E"</formula>
    </cfRule>
  </conditionalFormatting>
  <conditionalFormatting sqref="AN48:AP67">
    <cfRule type="expression" dxfId="102" priority="127" stopIfTrue="1">
      <formula>$BF$3=2</formula>
    </cfRule>
  </conditionalFormatting>
  <conditionalFormatting sqref="I3:J3">
    <cfRule type="expression" dxfId="101" priority="110" stopIfTrue="1">
      <formula>$BG$5="Yes"</formula>
    </cfRule>
  </conditionalFormatting>
  <conditionalFormatting sqref="L4:L5 N4:N5 O2:O3 M2:M3">
    <cfRule type="expression" dxfId="100" priority="109" stopIfTrue="1">
      <formula>$BE$3=1</formula>
    </cfRule>
  </conditionalFormatting>
  <conditionalFormatting sqref="AD5">
    <cfRule type="expression" dxfId="99" priority="106" stopIfTrue="1">
      <formula>$AD$5&lt;$AD$7</formula>
    </cfRule>
  </conditionalFormatting>
  <conditionalFormatting sqref="AF5">
    <cfRule type="expression" dxfId="98" priority="105" stopIfTrue="1">
      <formula>$AF$5&lt;$AF$7</formula>
    </cfRule>
  </conditionalFormatting>
  <conditionalFormatting sqref="AE5">
    <cfRule type="expression" dxfId="97" priority="107" stopIfTrue="1">
      <formula>$AE$5&lt;$AD$7</formula>
    </cfRule>
  </conditionalFormatting>
  <conditionalFormatting sqref="AG5">
    <cfRule type="expression" dxfId="96" priority="108" stopIfTrue="1">
      <formula>$AG$5&lt;$AF$7</formula>
    </cfRule>
  </conditionalFormatting>
  <conditionalFormatting sqref="L13">
    <cfRule type="expression" dxfId="95" priority="93" stopIfTrue="1">
      <formula>$B8=$B14</formula>
    </cfRule>
    <cfRule type="expression" dxfId="94" priority="94" stopIfTrue="1">
      <formula>M13=0</formula>
    </cfRule>
    <cfRule type="expression" dxfId="93" priority="95" stopIfTrue="1">
      <formula>L13=0</formula>
    </cfRule>
    <cfRule type="expression" dxfId="92" priority="96" stopIfTrue="1">
      <formula>$BE$3=1</formula>
    </cfRule>
  </conditionalFormatting>
  <conditionalFormatting sqref="L19">
    <cfRule type="expression" dxfId="91" priority="89" stopIfTrue="1">
      <formula>$B14=$B20</formula>
    </cfRule>
    <cfRule type="expression" dxfId="90" priority="90" stopIfTrue="1">
      <formula>M19=0</formula>
    </cfRule>
    <cfRule type="expression" dxfId="89" priority="91" stopIfTrue="1">
      <formula>L19=0</formula>
    </cfRule>
    <cfRule type="expression" dxfId="88" priority="92" stopIfTrue="1">
      <formula>$BE$3=1</formula>
    </cfRule>
  </conditionalFormatting>
  <conditionalFormatting sqref="L25">
    <cfRule type="expression" dxfId="87" priority="85" stopIfTrue="1">
      <formula>$B20=$B26</formula>
    </cfRule>
    <cfRule type="expression" dxfId="86" priority="86" stopIfTrue="1">
      <formula>M25=0</formula>
    </cfRule>
    <cfRule type="expression" dxfId="85" priority="87" stopIfTrue="1">
      <formula>L25=0</formula>
    </cfRule>
    <cfRule type="expression" dxfId="84" priority="88" stopIfTrue="1">
      <formula>$BE$3=1</formula>
    </cfRule>
  </conditionalFormatting>
  <conditionalFormatting sqref="L31">
    <cfRule type="expression" dxfId="83" priority="81" stopIfTrue="1">
      <formula>$B26=$B32</formula>
    </cfRule>
    <cfRule type="expression" dxfId="82" priority="82" stopIfTrue="1">
      <formula>M31=0</formula>
    </cfRule>
    <cfRule type="expression" dxfId="81" priority="83" stopIfTrue="1">
      <formula>L31=0</formula>
    </cfRule>
    <cfRule type="expression" dxfId="80" priority="84" stopIfTrue="1">
      <formula>$BE$3=1</formula>
    </cfRule>
  </conditionalFormatting>
  <conditionalFormatting sqref="L37">
    <cfRule type="expression" dxfId="79" priority="77" stopIfTrue="1">
      <formula>$B32=$B38</formula>
    </cfRule>
    <cfRule type="expression" dxfId="78" priority="78" stopIfTrue="1">
      <formula>M37=0</formula>
    </cfRule>
    <cfRule type="expression" dxfId="77" priority="79" stopIfTrue="1">
      <formula>L37=0</formula>
    </cfRule>
    <cfRule type="expression" dxfId="76" priority="80" stopIfTrue="1">
      <formula>$BE$3=1</formula>
    </cfRule>
  </conditionalFormatting>
  <conditionalFormatting sqref="L43">
    <cfRule type="expression" dxfId="75" priority="73" stopIfTrue="1">
      <formula>$B38=$B44</formula>
    </cfRule>
    <cfRule type="expression" dxfId="74" priority="74" stopIfTrue="1">
      <formula>M43=0</formula>
    </cfRule>
    <cfRule type="expression" dxfId="73" priority="75" stopIfTrue="1">
      <formula>L43=0</formula>
    </cfRule>
    <cfRule type="expression" dxfId="72" priority="76" stopIfTrue="1">
      <formula>$BE$3=1</formula>
    </cfRule>
  </conditionalFormatting>
  <conditionalFormatting sqref="L49">
    <cfRule type="expression" dxfId="71" priority="69" stopIfTrue="1">
      <formula>$B44=$B50</formula>
    </cfRule>
    <cfRule type="expression" dxfId="70" priority="70" stopIfTrue="1">
      <formula>M49=0</formula>
    </cfRule>
    <cfRule type="expression" dxfId="69" priority="71" stopIfTrue="1">
      <formula>L49=0</formula>
    </cfRule>
    <cfRule type="expression" dxfId="68" priority="72" stopIfTrue="1">
      <formula>$BE$3=1</formula>
    </cfRule>
  </conditionalFormatting>
  <conditionalFormatting sqref="L55">
    <cfRule type="expression" dxfId="67" priority="65" stopIfTrue="1">
      <formula>$B50=$B56</formula>
    </cfRule>
    <cfRule type="expression" dxfId="66" priority="66" stopIfTrue="1">
      <formula>M55=0</formula>
    </cfRule>
    <cfRule type="expression" dxfId="65" priority="67" stopIfTrue="1">
      <formula>L55=0</formula>
    </cfRule>
    <cfRule type="expression" dxfId="64" priority="68" stopIfTrue="1">
      <formula>$BE$3=1</formula>
    </cfRule>
  </conditionalFormatting>
  <conditionalFormatting sqref="L61">
    <cfRule type="expression" dxfId="63" priority="61" stopIfTrue="1">
      <formula>$B56=$B62</formula>
    </cfRule>
    <cfRule type="expression" dxfId="62" priority="62" stopIfTrue="1">
      <formula>M61=0</formula>
    </cfRule>
    <cfRule type="expression" dxfId="61" priority="63" stopIfTrue="1">
      <formula>L61=0</formula>
    </cfRule>
    <cfRule type="expression" dxfId="60" priority="64" stopIfTrue="1">
      <formula>$BE$3=1</formula>
    </cfRule>
  </conditionalFormatting>
  <conditionalFormatting sqref="L67">
    <cfRule type="expression" dxfId="59" priority="57" stopIfTrue="1">
      <formula>$B62=$B68</formula>
    </cfRule>
    <cfRule type="expression" dxfId="58" priority="58" stopIfTrue="1">
      <formula>M67=0</formula>
    </cfRule>
    <cfRule type="expression" dxfId="57" priority="59" stopIfTrue="1">
      <formula>L67=0</formula>
    </cfRule>
    <cfRule type="expression" dxfId="56" priority="60" stopIfTrue="1">
      <formula>$BE$3=1</formula>
    </cfRule>
  </conditionalFormatting>
  <conditionalFormatting sqref="L73">
    <cfRule type="expression" dxfId="55" priority="53" stopIfTrue="1">
      <formula>$B68=$B74</formula>
    </cfRule>
    <cfRule type="expression" dxfId="54" priority="54" stopIfTrue="1">
      <formula>M73=0</formula>
    </cfRule>
    <cfRule type="expression" dxfId="53" priority="55" stopIfTrue="1">
      <formula>L73=0</formula>
    </cfRule>
    <cfRule type="expression" dxfId="52" priority="56" stopIfTrue="1">
      <formula>$BE$3=1</formula>
    </cfRule>
  </conditionalFormatting>
  <conditionalFormatting sqref="L79">
    <cfRule type="expression" dxfId="51" priority="49" stopIfTrue="1">
      <formula>$B74=$B80</formula>
    </cfRule>
    <cfRule type="expression" dxfId="50" priority="50" stopIfTrue="1">
      <formula>M79=0</formula>
    </cfRule>
    <cfRule type="expression" dxfId="49" priority="51" stopIfTrue="1">
      <formula>L79=0</formula>
    </cfRule>
    <cfRule type="expression" dxfId="48" priority="52" stopIfTrue="1">
      <formula>$BE$3=1</formula>
    </cfRule>
  </conditionalFormatting>
  <conditionalFormatting sqref="N13">
    <cfRule type="expression" dxfId="47" priority="45" stopIfTrue="1">
      <formula>$B8=$B14</formula>
    </cfRule>
    <cfRule type="expression" dxfId="46" priority="46" stopIfTrue="1">
      <formula>O13=0</formula>
    </cfRule>
    <cfRule type="expression" dxfId="45" priority="47" stopIfTrue="1">
      <formula>N13=0</formula>
    </cfRule>
    <cfRule type="expression" dxfId="44" priority="48" stopIfTrue="1">
      <formula>$BE$3=1</formula>
    </cfRule>
  </conditionalFormatting>
  <conditionalFormatting sqref="N19">
    <cfRule type="expression" dxfId="43" priority="41" stopIfTrue="1">
      <formula>$B14=$B20</formula>
    </cfRule>
    <cfRule type="expression" dxfId="42" priority="42" stopIfTrue="1">
      <formula>O19=0</formula>
    </cfRule>
    <cfRule type="expression" dxfId="41" priority="43" stopIfTrue="1">
      <formula>N19=0</formula>
    </cfRule>
    <cfRule type="expression" dxfId="40" priority="44" stopIfTrue="1">
      <formula>$BE$3=1</formula>
    </cfRule>
  </conditionalFormatting>
  <conditionalFormatting sqref="N25">
    <cfRule type="expression" dxfId="39" priority="37" stopIfTrue="1">
      <formula>$B20=$B26</formula>
    </cfRule>
    <cfRule type="expression" dxfId="38" priority="38" stopIfTrue="1">
      <formula>O25=0</formula>
    </cfRule>
    <cfRule type="expression" dxfId="37" priority="39" stopIfTrue="1">
      <formula>N25=0</formula>
    </cfRule>
    <cfRule type="expression" dxfId="36" priority="40" stopIfTrue="1">
      <formula>$BE$3=1</formula>
    </cfRule>
  </conditionalFormatting>
  <conditionalFormatting sqref="N31">
    <cfRule type="expression" dxfId="35" priority="33" stopIfTrue="1">
      <formula>$B26=$B32</formula>
    </cfRule>
    <cfRule type="expression" dxfId="34" priority="34" stopIfTrue="1">
      <formula>O31=0</formula>
    </cfRule>
    <cfRule type="expression" dxfId="33" priority="35" stopIfTrue="1">
      <formula>N31=0</formula>
    </cfRule>
    <cfRule type="expression" dxfId="32" priority="36" stopIfTrue="1">
      <formula>$BE$3=1</formula>
    </cfRule>
  </conditionalFormatting>
  <conditionalFormatting sqref="N37">
    <cfRule type="expression" dxfId="31" priority="29" stopIfTrue="1">
      <formula>$B32=$B38</formula>
    </cfRule>
    <cfRule type="expression" dxfId="30" priority="30" stopIfTrue="1">
      <formula>O37=0</formula>
    </cfRule>
    <cfRule type="expression" dxfId="29" priority="31" stopIfTrue="1">
      <formula>N37=0</formula>
    </cfRule>
    <cfRule type="expression" dxfId="28" priority="32" stopIfTrue="1">
      <formula>$BE$3=1</formula>
    </cfRule>
  </conditionalFormatting>
  <conditionalFormatting sqref="N43">
    <cfRule type="expression" dxfId="27" priority="25" stopIfTrue="1">
      <formula>$B38=$B44</formula>
    </cfRule>
    <cfRule type="expression" dxfId="26" priority="26" stopIfTrue="1">
      <formula>O43=0</formula>
    </cfRule>
    <cfRule type="expression" dxfId="25" priority="27" stopIfTrue="1">
      <formula>N43=0</formula>
    </cfRule>
    <cfRule type="expression" dxfId="24" priority="28" stopIfTrue="1">
      <formula>$BE$3=1</formula>
    </cfRule>
  </conditionalFormatting>
  <conditionalFormatting sqref="N49">
    <cfRule type="expression" dxfId="23" priority="21" stopIfTrue="1">
      <formula>$B44=$B50</formula>
    </cfRule>
    <cfRule type="expression" dxfId="22" priority="22" stopIfTrue="1">
      <formula>O49=0</formula>
    </cfRule>
    <cfRule type="expression" dxfId="21" priority="23" stopIfTrue="1">
      <formula>N49=0</formula>
    </cfRule>
    <cfRule type="expression" dxfId="20" priority="24" stopIfTrue="1">
      <formula>$BE$3=1</formula>
    </cfRule>
  </conditionalFormatting>
  <conditionalFormatting sqref="N55">
    <cfRule type="expression" dxfId="19" priority="17" stopIfTrue="1">
      <formula>$B50=$B56</formula>
    </cfRule>
    <cfRule type="expression" dxfId="18" priority="18" stopIfTrue="1">
      <formula>O55=0</formula>
    </cfRule>
    <cfRule type="expression" dxfId="17" priority="19" stopIfTrue="1">
      <formula>N55=0</formula>
    </cfRule>
    <cfRule type="expression" dxfId="16" priority="20" stopIfTrue="1">
      <formula>$BE$3=1</formula>
    </cfRule>
  </conditionalFormatting>
  <conditionalFormatting sqref="N61">
    <cfRule type="expression" dxfId="15" priority="13" stopIfTrue="1">
      <formula>$B56=$B62</formula>
    </cfRule>
    <cfRule type="expression" dxfId="14" priority="14" stopIfTrue="1">
      <formula>O61=0</formula>
    </cfRule>
    <cfRule type="expression" dxfId="13" priority="15" stopIfTrue="1">
      <formula>N61=0</formula>
    </cfRule>
    <cfRule type="expression" dxfId="12" priority="16" stopIfTrue="1">
      <formula>$BE$3=1</formula>
    </cfRule>
  </conditionalFormatting>
  <conditionalFormatting sqref="N67">
    <cfRule type="expression" dxfId="11" priority="9" stopIfTrue="1">
      <formula>$B62=$B68</formula>
    </cfRule>
    <cfRule type="expression" dxfId="10" priority="10" stopIfTrue="1">
      <formula>O67=0</formula>
    </cfRule>
    <cfRule type="expression" dxfId="9" priority="11" stopIfTrue="1">
      <formula>N67=0</formula>
    </cfRule>
    <cfRule type="expression" dxfId="8" priority="12" stopIfTrue="1">
      <formula>$BE$3=1</formula>
    </cfRule>
  </conditionalFormatting>
  <conditionalFormatting sqref="N73">
    <cfRule type="expression" dxfId="7" priority="5" stopIfTrue="1">
      <formula>$B68=$B74</formula>
    </cfRule>
    <cfRule type="expression" dxfId="6" priority="6" stopIfTrue="1">
      <formula>O73=0</formula>
    </cfRule>
    <cfRule type="expression" dxfId="5" priority="7" stopIfTrue="1">
      <formula>N73=0</formula>
    </cfRule>
    <cfRule type="expression" dxfId="4" priority="8" stopIfTrue="1">
      <formula>$BE$3=1</formula>
    </cfRule>
  </conditionalFormatting>
  <conditionalFormatting sqref="N79">
    <cfRule type="expression" dxfId="3" priority="1" stopIfTrue="1">
      <formula>$B74=$B80</formula>
    </cfRule>
    <cfRule type="expression" dxfId="2" priority="2" stopIfTrue="1">
      <formula>O79=0</formula>
    </cfRule>
    <cfRule type="expression" dxfId="1" priority="3" stopIfTrue="1">
      <formula>N79=0</formula>
    </cfRule>
    <cfRule type="expression" dxfId="0" priority="4" stopIfTrue="1">
      <formula>$BE$3=1</formula>
    </cfRule>
  </conditionalFormatting>
  <dataValidations count="10">
    <dataValidation type="decimal" allowBlank="1" showInputMessage="1" showErrorMessage="1" sqref="H44:H48 H62:H66 H68:H72 H8:H12 H14:H18 H20:H24 H26:H30 H32:H36 H38:H42 H50:H54 H56:H60 H74:H78" xr:uid="{00000000-0002-0000-0E00-000000000000}">
      <formula1>0</formula1>
      <formula2>6</formula2>
    </dataValidation>
    <dataValidation type="decimal" allowBlank="1" showInputMessage="1" showErrorMessage="1" sqref="F62:F66 F26:F30 F74:F78 F44:F48 F38:F42 F56:F60 F50:F54 F14:F18 F32:F36 F20:F24 F68:F72 F8:F12" xr:uid="{00000000-0002-0000-0E00-000001000000}">
      <formula1>0</formula1>
      <formula2>200</formula2>
    </dataValidation>
    <dataValidation type="list" allowBlank="1" showInputMessage="1" showErrorMessage="1" sqref="D20:D24 D74:D78 D8:D12 D32:D36 D26:D30 D38:D42 D44:D48 D50:D54 D56:D60 D62:D66 D68:D72 D14:D18" xr:uid="{00000000-0002-0000-0E00-000002000000}">
      <formula1>$BG$11:$BG$14</formula1>
    </dataValidation>
    <dataValidation type="list" allowBlank="1" showInputMessage="1" showErrorMessage="1" sqref="E8:E12 E14:E18 E74:E78 E20:E24 E32:E36 E38:E42 E44:E48 E50:E54 E56:E60 E62:E66 E68:E72 E26:E30" xr:uid="{00000000-0002-0000-0E00-000003000000}">
      <formula1>$BG$15:$BG$17</formula1>
    </dataValidation>
    <dataValidation type="list" allowBlank="1" showInputMessage="1" showErrorMessage="1" sqref="B5" xr:uid="{00000000-0002-0000-0E00-000004000000}">
      <formula1>$BF$9:$BF$10</formula1>
    </dataValidation>
    <dataValidation type="list" allowBlank="1" showInputMessage="1" showErrorMessage="1" sqref="I44:I48 I74:I78 I56:I60 I50:I54 I62:I66 I38:I42 I32:I36 I26:I30 I20:I24 I14:I18 I68:I72 I8:I12" xr:uid="{00000000-0002-0000-0E00-000005000000}">
      <formula1>$BF$11:$BF$45</formula1>
    </dataValidation>
    <dataValidation type="list" allowBlank="1" showInputMessage="1" showErrorMessage="1" sqref="K68:K72 K8:K12 K14:K18 K20:K24 K26:K30 K32:K36 K38:K42 K44:K48 K50:K54 K56:K60 K62:K66 K74:K78" xr:uid="{00000000-0002-0000-0E00-000006000000}">
      <formula1>$BH$11:$BH$14</formula1>
    </dataValidation>
    <dataValidation type="decimal" allowBlank="1" showInputMessage="1" showErrorMessage="1" sqref="G8:G12 G14:G18 G20:G24 G26:G30 G32:G36 G38:G42 G44:G48 G50:G54 G56:G60 G62:G66 G68:G72 G74:G78" xr:uid="{00000000-0002-0000-0E00-000007000000}">
      <formula1>0</formula1>
      <formula2>90</formula2>
    </dataValidation>
    <dataValidation type="list" allowBlank="1" showInputMessage="1" showErrorMessage="1" sqref="I6" xr:uid="{00000000-0002-0000-0E00-000008000000}">
      <formula1>$BG$8:$BH$8</formula1>
    </dataValidation>
    <dataValidation type="decimal" allowBlank="1" showInputMessage="1" showErrorMessage="1" sqref="L13 L19 L25 L31 L37 L43 L49 L55 L61 L67 L73 L79 N13 N19 N25 N31 N37 N43 N49 N55 N61 N67 N73 N79" xr:uid="{00000000-0002-0000-0E00-000009000000}">
      <formula1>0</formula1>
      <formula2>100000</formula2>
    </dataValidation>
  </dataValidations>
  <printOptions horizontalCentered="1"/>
  <pageMargins left="0.31496062992125984" right="0.31496062992125984" top="0.51181102362204722" bottom="0.47244094488188981" header="0.23622047244094491" footer="0.23622047244094491"/>
  <pageSetup paperSize="9" scale="55" orientation="portrait" r:id="rId1"/>
  <headerFooter>
    <oddHeader>&amp;L&amp;D&amp;C&amp;F
&amp;A&amp;RPage &amp;P of &amp;N</oddHeader>
    <oddFooter>&amp;LPage &amp;P of &amp;N&amp;C&amp;F
&amp;A&amp;R&amp;D</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tabColor indexed="9"/>
    <pageSetUpPr fitToPage="1"/>
  </sheetPr>
  <dimension ref="A1:AT122"/>
  <sheetViews>
    <sheetView zoomScale="90" zoomScaleNormal="90" workbookViewId="0">
      <selection activeCell="K9" sqref="K9"/>
    </sheetView>
  </sheetViews>
  <sheetFormatPr defaultRowHeight="12.75"/>
  <cols>
    <col min="1" max="1" width="2" style="64" customWidth="1"/>
    <col min="2" max="2" width="5.42578125" customWidth="1"/>
    <col min="13" max="13" width="10.28515625" customWidth="1"/>
    <col min="14" max="14" width="6.7109375" style="64" customWidth="1"/>
    <col min="15" max="46" width="9.140625" style="64"/>
  </cols>
  <sheetData>
    <row r="1" spans="2:14" ht="8.25" customHeight="1" thickBot="1">
      <c r="B1" s="64"/>
      <c r="C1" s="64"/>
      <c r="D1" s="64"/>
      <c r="E1" s="64"/>
      <c r="F1" s="64"/>
      <c r="G1" s="64"/>
      <c r="H1" s="64"/>
      <c r="I1" s="64"/>
      <c r="J1" s="64"/>
      <c r="K1" s="64"/>
      <c r="L1" s="64"/>
      <c r="M1" s="64"/>
    </row>
    <row r="2" spans="2:14" ht="12.75" customHeight="1">
      <c r="B2" s="1825" t="str">
        <f>'Terms and Conditions'!B19</f>
        <v>Elephant QuickBrace™ September 2018  V.1.0</v>
      </c>
      <c r="C2" s="1827"/>
      <c r="D2" s="1827"/>
      <c r="E2" s="1827"/>
      <c r="F2" s="1827"/>
      <c r="G2" s="1827"/>
      <c r="H2" s="1827"/>
      <c r="I2" s="1827"/>
      <c r="J2" s="1827"/>
      <c r="K2" s="1827"/>
      <c r="L2" s="1827"/>
      <c r="M2" s="1827"/>
      <c r="N2" s="1829"/>
    </row>
    <row r="3" spans="2:14" ht="12.75" customHeight="1" thickBot="1">
      <c r="B3" s="1826"/>
      <c r="C3" s="1828"/>
      <c r="D3" s="1828"/>
      <c r="E3" s="1828"/>
      <c r="F3" s="1828"/>
      <c r="G3" s="1828"/>
      <c r="H3" s="1828"/>
      <c r="I3" s="1828"/>
      <c r="J3" s="1828"/>
      <c r="K3" s="1828"/>
      <c r="L3" s="1828"/>
      <c r="M3" s="1828"/>
      <c r="N3" s="1830"/>
    </row>
    <row r="4" spans="2:14" ht="14.1" customHeight="1" thickBot="1">
      <c r="B4" s="194"/>
      <c r="C4" s="195"/>
      <c r="D4" s="195"/>
      <c r="E4" s="195"/>
      <c r="F4" s="195"/>
      <c r="G4" s="195"/>
      <c r="H4" s="195"/>
      <c r="I4" s="195"/>
      <c r="J4" s="195"/>
      <c r="K4" s="195"/>
      <c r="L4" s="195"/>
      <c r="M4" s="195"/>
      <c r="N4" s="158"/>
    </row>
    <row r="5" spans="2:14" ht="26.25" customHeight="1" thickBot="1">
      <c r="B5" s="194"/>
      <c r="C5" s="1845" t="s">
        <v>0</v>
      </c>
      <c r="D5" s="1846"/>
      <c r="E5" s="1847"/>
      <c r="F5" s="195"/>
      <c r="G5" s="1851" t="s">
        <v>751</v>
      </c>
      <c r="H5" s="1852"/>
      <c r="I5" s="1852"/>
      <c r="J5" s="1852"/>
      <c r="K5" s="1852"/>
      <c r="L5" s="1852"/>
      <c r="M5" s="1853"/>
      <c r="N5" s="158"/>
    </row>
    <row r="6" spans="2:14" ht="15.75" customHeight="1">
      <c r="B6" s="194"/>
      <c r="C6" s="27"/>
      <c r="D6" s="27"/>
      <c r="E6" s="27"/>
      <c r="F6" s="27"/>
      <c r="G6" s="27"/>
      <c r="H6" s="27"/>
      <c r="I6" s="27"/>
      <c r="J6" s="195"/>
      <c r="K6" s="195"/>
      <c r="L6" s="195"/>
      <c r="M6" s="195"/>
      <c r="N6" s="158"/>
    </row>
    <row r="7" spans="2:14" ht="18" customHeight="1">
      <c r="B7" s="194"/>
      <c r="C7" s="1848"/>
      <c r="D7" s="1848"/>
      <c r="E7" s="1848"/>
      <c r="F7" s="1848"/>
      <c r="G7" s="1848"/>
      <c r="H7" s="1848"/>
      <c r="I7" s="1848"/>
      <c r="J7" s="1848"/>
      <c r="K7" s="1848"/>
      <c r="L7" s="1848"/>
      <c r="M7" s="1848"/>
      <c r="N7" s="197"/>
    </row>
    <row r="8" spans="2:14" ht="14.1" customHeight="1">
      <c r="B8" s="194"/>
      <c r="C8" s="1848"/>
      <c r="D8" s="1848"/>
      <c r="E8" s="1848"/>
      <c r="F8" s="1848"/>
      <c r="G8" s="1848"/>
      <c r="H8" s="1848"/>
      <c r="I8" s="1848"/>
      <c r="J8" s="1848"/>
      <c r="K8" s="1848"/>
      <c r="L8" s="1848"/>
      <c r="M8" s="1848"/>
      <c r="N8" s="158"/>
    </row>
    <row r="9" spans="2:14" ht="14.1" customHeight="1">
      <c r="B9" s="194"/>
      <c r="C9" s="27"/>
      <c r="D9" s="27"/>
      <c r="E9" s="27"/>
      <c r="F9" s="27"/>
      <c r="G9" s="27"/>
      <c r="H9" s="27"/>
      <c r="I9" s="27"/>
      <c r="J9" s="195"/>
      <c r="K9" s="195"/>
      <c r="L9" s="195"/>
      <c r="M9" s="195"/>
      <c r="N9" s="158"/>
    </row>
    <row r="10" spans="2:14" ht="14.1" customHeight="1">
      <c r="B10" s="194"/>
      <c r="C10" s="195"/>
      <c r="D10" s="195"/>
      <c r="E10" s="195"/>
      <c r="F10" s="195"/>
      <c r="G10" s="196"/>
      <c r="H10" s="196"/>
      <c r="I10" s="196"/>
      <c r="J10" s="196"/>
      <c r="K10" s="196"/>
      <c r="L10" s="196"/>
      <c r="M10" s="196"/>
      <c r="N10" s="158"/>
    </row>
    <row r="11" spans="2:14" ht="14.1" customHeight="1">
      <c r="B11" s="74"/>
      <c r="C11" s="198" t="s">
        <v>60</v>
      </c>
      <c r="D11" s="1849" t="s">
        <v>992</v>
      </c>
      <c r="E11" s="1849"/>
      <c r="F11" s="1849"/>
      <c r="G11" s="1849"/>
      <c r="H11" s="1849"/>
      <c r="I11" s="1849"/>
      <c r="J11" s="1849"/>
      <c r="K11" s="1849"/>
      <c r="L11" s="1849"/>
      <c r="M11" s="1849"/>
      <c r="N11" s="158"/>
    </row>
    <row r="12" spans="2:14" ht="14.1" customHeight="1">
      <c r="B12" s="74"/>
      <c r="C12" s="73"/>
      <c r="D12" s="1849"/>
      <c r="E12" s="1849"/>
      <c r="F12" s="1849"/>
      <c r="G12" s="1849"/>
      <c r="H12" s="1849"/>
      <c r="I12" s="1849"/>
      <c r="J12" s="1849"/>
      <c r="K12" s="1849"/>
      <c r="L12" s="1849"/>
      <c r="M12" s="1849"/>
      <c r="N12" s="158"/>
    </row>
    <row r="13" spans="2:14" ht="14.1" customHeight="1">
      <c r="B13" s="74"/>
      <c r="C13" s="73"/>
      <c r="D13" s="1850"/>
      <c r="E13" s="1850"/>
      <c r="F13" s="1850"/>
      <c r="G13" s="1850"/>
      <c r="H13" s="1850"/>
      <c r="I13" s="1850"/>
      <c r="J13" s="1850"/>
      <c r="K13" s="1850"/>
      <c r="L13" s="1850"/>
      <c r="M13" s="1850"/>
      <c r="N13" s="158"/>
    </row>
    <row r="14" spans="2:14" ht="14.1" customHeight="1">
      <c r="B14" s="74"/>
      <c r="C14" s="198" t="s">
        <v>61</v>
      </c>
      <c r="D14" s="1854" t="s">
        <v>420</v>
      </c>
      <c r="E14" s="1854"/>
      <c r="F14" s="1854"/>
      <c r="G14" s="1854"/>
      <c r="H14" s="1854"/>
      <c r="I14" s="1854"/>
      <c r="J14" s="1854"/>
      <c r="K14" s="1854"/>
      <c r="L14" s="1854"/>
      <c r="M14" s="1854"/>
      <c r="N14" s="158"/>
    </row>
    <row r="15" spans="2:14" ht="14.1" customHeight="1">
      <c r="B15" s="74"/>
      <c r="C15" s="73"/>
      <c r="D15" s="1850" t="s">
        <v>373</v>
      </c>
      <c r="E15" s="1850"/>
      <c r="F15" s="1850"/>
      <c r="G15" s="1850"/>
      <c r="H15" s="1850"/>
      <c r="I15" s="1850"/>
      <c r="J15" s="1850"/>
      <c r="K15" s="1850"/>
      <c r="L15" s="1850"/>
      <c r="M15" s="1850"/>
      <c r="N15" s="158"/>
    </row>
    <row r="16" spans="2:14" ht="14.1" customHeight="1" thickBot="1">
      <c r="B16" s="74"/>
      <c r="C16" s="73"/>
      <c r="D16" s="193"/>
      <c r="E16" s="193"/>
      <c r="F16" s="193"/>
      <c r="G16" s="193"/>
      <c r="H16" s="193"/>
      <c r="I16" s="193"/>
      <c r="J16" s="193"/>
      <c r="K16" s="193"/>
      <c r="L16" s="193"/>
      <c r="M16" s="193"/>
      <c r="N16" s="158"/>
    </row>
    <row r="17" spans="2:14" ht="15" customHeight="1">
      <c r="B17" s="74"/>
      <c r="C17" s="198" t="s">
        <v>62</v>
      </c>
      <c r="D17" s="1836" t="s">
        <v>1018</v>
      </c>
      <c r="E17" s="1837"/>
      <c r="F17" s="1837"/>
      <c r="G17" s="1837"/>
      <c r="H17" s="1837"/>
      <c r="I17" s="1837"/>
      <c r="J17" s="1837"/>
      <c r="K17" s="1837"/>
      <c r="L17" s="1837"/>
      <c r="M17" s="1838"/>
      <c r="N17" s="158"/>
    </row>
    <row r="18" spans="2:14" ht="35.25" customHeight="1">
      <c r="B18" s="74"/>
      <c r="C18" s="198"/>
      <c r="D18" s="1839" t="s">
        <v>995</v>
      </c>
      <c r="E18" s="1840"/>
      <c r="F18" s="1840"/>
      <c r="G18" s="1840"/>
      <c r="H18" s="1840"/>
      <c r="I18" s="1840"/>
      <c r="J18" s="1840"/>
      <c r="K18" s="1840"/>
      <c r="L18" s="1840"/>
      <c r="M18" s="1841"/>
      <c r="N18" s="158"/>
    </row>
    <row r="19" spans="2:14" ht="17.25" customHeight="1">
      <c r="B19" s="74"/>
      <c r="C19" s="198"/>
      <c r="D19" s="1839" t="s">
        <v>993</v>
      </c>
      <c r="E19" s="1840"/>
      <c r="F19" s="1840"/>
      <c r="G19" s="1840"/>
      <c r="H19" s="1840"/>
      <c r="I19" s="1840"/>
      <c r="J19" s="1840"/>
      <c r="K19" s="1840"/>
      <c r="L19" s="1840"/>
      <c r="M19" s="1841"/>
      <c r="N19" s="158"/>
    </row>
    <row r="20" spans="2:14" ht="11.25" customHeight="1" thickBot="1">
      <c r="B20" s="74"/>
      <c r="C20" s="73"/>
      <c r="D20" s="1842" t="s">
        <v>994</v>
      </c>
      <c r="E20" s="1843"/>
      <c r="F20" s="1843"/>
      <c r="G20" s="1843"/>
      <c r="H20" s="1843"/>
      <c r="I20" s="1843"/>
      <c r="J20" s="1843"/>
      <c r="K20" s="1843"/>
      <c r="L20" s="1843"/>
      <c r="M20" s="1844"/>
      <c r="N20" s="158"/>
    </row>
    <row r="21" spans="2:14" ht="14.1" customHeight="1">
      <c r="B21" s="74"/>
      <c r="C21" s="73"/>
      <c r="D21" s="193"/>
      <c r="E21" s="193"/>
      <c r="F21" s="193"/>
      <c r="G21" s="193"/>
      <c r="H21" s="193"/>
      <c r="I21" s="193"/>
      <c r="J21" s="193"/>
      <c r="K21" s="193"/>
      <c r="L21" s="193"/>
      <c r="M21" s="193"/>
      <c r="N21" s="158"/>
    </row>
    <row r="22" spans="2:14" ht="14.1" customHeight="1">
      <c r="B22" s="74"/>
      <c r="C22" s="198" t="s">
        <v>63</v>
      </c>
      <c r="D22" s="1850" t="s">
        <v>421</v>
      </c>
      <c r="E22" s="1850"/>
      <c r="F22" s="1850"/>
      <c r="G22" s="1850"/>
      <c r="H22" s="1850"/>
      <c r="I22" s="1850"/>
      <c r="J22" s="1850"/>
      <c r="K22" s="1850"/>
      <c r="L22" s="1850"/>
      <c r="M22" s="1850"/>
      <c r="N22" s="158"/>
    </row>
    <row r="23" spans="2:14" ht="14.1" customHeight="1">
      <c r="B23" s="74"/>
      <c r="C23" s="73"/>
      <c r="D23" s="1850" t="s">
        <v>372</v>
      </c>
      <c r="E23" s="1850"/>
      <c r="F23" s="1850"/>
      <c r="G23" s="1850"/>
      <c r="H23" s="1850"/>
      <c r="I23" s="1850"/>
      <c r="J23" s="1850"/>
      <c r="K23" s="1850"/>
      <c r="L23" s="1850"/>
      <c r="M23" s="1850"/>
      <c r="N23" s="158"/>
    </row>
    <row r="24" spans="2:14" ht="14.1" customHeight="1">
      <c r="B24" s="74"/>
      <c r="C24" s="73"/>
      <c r="D24" s="27"/>
      <c r="E24" s="27"/>
      <c r="F24" s="27"/>
      <c r="G24" s="27"/>
      <c r="H24" s="27"/>
      <c r="I24" s="27"/>
      <c r="J24" s="27"/>
      <c r="K24" s="27"/>
      <c r="L24" s="27"/>
      <c r="M24" s="193"/>
      <c r="N24" s="158"/>
    </row>
    <row r="25" spans="2:14" ht="14.1" customHeight="1">
      <c r="B25" s="74"/>
      <c r="C25" s="198" t="s">
        <v>892</v>
      </c>
      <c r="D25" s="1850" t="s">
        <v>442</v>
      </c>
      <c r="E25" s="1850"/>
      <c r="F25" s="1850"/>
      <c r="G25" s="1850"/>
      <c r="H25" s="1850"/>
      <c r="I25" s="1850"/>
      <c r="J25" s="1850"/>
      <c r="K25" s="1850"/>
      <c r="L25" s="1850"/>
      <c r="M25" s="1850"/>
      <c r="N25" s="158"/>
    </row>
    <row r="26" spans="2:14" ht="14.1" customHeight="1">
      <c r="B26" s="74"/>
      <c r="C26" s="73"/>
      <c r="D26" s="1850" t="s">
        <v>916</v>
      </c>
      <c r="E26" s="1850"/>
      <c r="F26" s="1850"/>
      <c r="G26" s="1850"/>
      <c r="H26" s="1850"/>
      <c r="I26" s="1850"/>
      <c r="J26" s="1850"/>
      <c r="K26" s="1850"/>
      <c r="L26" s="1850"/>
      <c r="M26" s="1850"/>
      <c r="N26" s="197"/>
    </row>
    <row r="27" spans="2:14" ht="14.1" customHeight="1">
      <c r="B27" s="74"/>
      <c r="C27" s="73"/>
      <c r="D27" s="1850" t="s">
        <v>422</v>
      </c>
      <c r="E27" s="1850"/>
      <c r="F27" s="1850"/>
      <c r="G27" s="1850"/>
      <c r="H27" s="1850"/>
      <c r="I27" s="1850"/>
      <c r="J27" s="1850"/>
      <c r="K27" s="1850"/>
      <c r="L27" s="1850"/>
      <c r="M27" s="1850"/>
      <c r="N27" s="158"/>
    </row>
    <row r="28" spans="2:14" ht="14.1" customHeight="1">
      <c r="B28" s="74"/>
      <c r="C28" s="73"/>
      <c r="D28" s="73"/>
      <c r="E28" s="73"/>
      <c r="F28" s="73"/>
      <c r="G28" s="73"/>
      <c r="H28" s="73"/>
      <c r="I28" s="73"/>
      <c r="J28" s="73"/>
      <c r="K28" s="73"/>
      <c r="L28" s="73"/>
      <c r="M28" s="27"/>
      <c r="N28" s="158"/>
    </row>
    <row r="29" spans="2:14" ht="14.1" customHeight="1">
      <c r="B29" s="74"/>
      <c r="C29" s="198" t="s">
        <v>893</v>
      </c>
      <c r="D29" s="1849" t="s">
        <v>957</v>
      </c>
      <c r="E29" s="1849"/>
      <c r="F29" s="1849"/>
      <c r="G29" s="1849"/>
      <c r="H29" s="1849"/>
      <c r="I29" s="1849"/>
      <c r="J29" s="1849"/>
      <c r="K29" s="1849"/>
      <c r="L29" s="1849"/>
      <c r="M29" s="1849"/>
      <c r="N29" s="158"/>
    </row>
    <row r="30" spans="2:14" ht="14.1" customHeight="1">
      <c r="B30" s="74"/>
      <c r="C30" s="73"/>
      <c r="D30" s="1849"/>
      <c r="E30" s="1849"/>
      <c r="F30" s="1849"/>
      <c r="G30" s="1849"/>
      <c r="H30" s="1849"/>
      <c r="I30" s="1849"/>
      <c r="J30" s="1849"/>
      <c r="K30" s="1849"/>
      <c r="L30" s="1849"/>
      <c r="M30" s="1849"/>
      <c r="N30" s="158"/>
    </row>
    <row r="31" spans="2:14" ht="14.1" customHeight="1">
      <c r="B31" s="74"/>
      <c r="C31" s="73"/>
      <c r="D31" s="1849"/>
      <c r="E31" s="1849"/>
      <c r="F31" s="1849"/>
      <c r="G31" s="1849"/>
      <c r="H31" s="1849"/>
      <c r="I31" s="1849"/>
      <c r="J31" s="1849"/>
      <c r="K31" s="1849"/>
      <c r="L31" s="1849"/>
      <c r="M31" s="1849"/>
      <c r="N31" s="158"/>
    </row>
    <row r="32" spans="2:14" ht="14.1" customHeight="1">
      <c r="B32" s="74"/>
      <c r="C32" s="73"/>
      <c r="D32" s="73"/>
      <c r="E32" s="73"/>
      <c r="F32" s="73"/>
      <c r="G32" s="73"/>
      <c r="H32" s="73"/>
      <c r="I32" s="73"/>
      <c r="J32" s="73"/>
      <c r="K32" s="73"/>
      <c r="L32" s="73"/>
      <c r="M32" s="27"/>
      <c r="N32" s="158"/>
    </row>
    <row r="33" spans="2:14" ht="14.1" customHeight="1">
      <c r="B33" s="74"/>
      <c r="C33" s="73"/>
      <c r="D33" s="73"/>
      <c r="E33" s="73"/>
      <c r="F33" s="73"/>
      <c r="G33" s="73"/>
      <c r="H33" s="73"/>
      <c r="I33" s="73"/>
      <c r="J33" s="73"/>
      <c r="K33" s="73"/>
      <c r="L33" s="73"/>
      <c r="M33" s="27"/>
      <c r="N33" s="158"/>
    </row>
    <row r="34" spans="2:14" ht="14.1" customHeight="1">
      <c r="B34" s="74"/>
      <c r="C34" s="73"/>
      <c r="D34" s="27"/>
      <c r="E34" s="27"/>
      <c r="F34" s="27"/>
      <c r="G34" s="27"/>
      <c r="H34" s="27"/>
      <c r="I34" s="27"/>
      <c r="J34" s="27"/>
      <c r="K34" s="27"/>
      <c r="L34" s="27"/>
      <c r="M34" s="27"/>
      <c r="N34" s="158"/>
    </row>
    <row r="35" spans="2:14" ht="14.1" customHeight="1" thickBot="1">
      <c r="B35" s="74"/>
      <c r="C35" s="73"/>
      <c r="D35" s="1855" t="s">
        <v>958</v>
      </c>
      <c r="E35" s="1855"/>
      <c r="F35" s="1855"/>
      <c r="G35" s="1855"/>
      <c r="H35" s="1855"/>
      <c r="I35" s="73"/>
      <c r="J35" s="73"/>
      <c r="K35" s="73"/>
      <c r="L35" s="73"/>
      <c r="M35" s="64"/>
      <c r="N35" s="158"/>
    </row>
    <row r="36" spans="2:14" ht="14.1" customHeight="1">
      <c r="B36" s="74"/>
      <c r="C36" s="73"/>
      <c r="D36" s="820"/>
      <c r="E36" s="821"/>
      <c r="F36" s="821"/>
      <c r="G36" s="822"/>
      <c r="H36" s="822"/>
      <c r="I36" s="822"/>
      <c r="J36" s="822"/>
      <c r="K36" s="822"/>
      <c r="L36" s="822"/>
      <c r="M36" s="78"/>
      <c r="N36" s="158"/>
    </row>
    <row r="37" spans="2:14" ht="14.1" customHeight="1">
      <c r="B37" s="74"/>
      <c r="C37" s="73"/>
      <c r="D37" s="1839" t="s">
        <v>959</v>
      </c>
      <c r="E37" s="1840"/>
      <c r="F37" s="1840"/>
      <c r="G37" s="1840"/>
      <c r="H37" s="1840"/>
      <c r="I37" s="1840"/>
      <c r="J37" s="1840"/>
      <c r="K37" s="1840"/>
      <c r="L37" s="1840"/>
      <c r="M37" s="1841"/>
      <c r="N37" s="158"/>
    </row>
    <row r="38" spans="2:14" ht="14.1" customHeight="1">
      <c r="B38" s="74"/>
      <c r="C38" s="73"/>
      <c r="D38" s="1839"/>
      <c r="E38" s="1840"/>
      <c r="F38" s="1840"/>
      <c r="G38" s="1840"/>
      <c r="H38" s="1840"/>
      <c r="I38" s="1840"/>
      <c r="J38" s="1840"/>
      <c r="K38" s="1840"/>
      <c r="L38" s="1840"/>
      <c r="M38" s="1841"/>
      <c r="N38" s="158"/>
    </row>
    <row r="39" spans="2:14" ht="14.1" customHeight="1">
      <c r="B39" s="74"/>
      <c r="C39" s="73" t="s">
        <v>8</v>
      </c>
      <c r="D39" s="1839"/>
      <c r="E39" s="1840"/>
      <c r="F39" s="1840"/>
      <c r="G39" s="1840"/>
      <c r="H39" s="1840"/>
      <c r="I39" s="1840"/>
      <c r="J39" s="1840"/>
      <c r="K39" s="1840"/>
      <c r="L39" s="1840"/>
      <c r="M39" s="1841"/>
      <c r="N39" s="158"/>
    </row>
    <row r="40" spans="2:14" ht="14.1" customHeight="1">
      <c r="B40" s="74"/>
      <c r="C40" s="73"/>
      <c r="D40" s="1833" t="s">
        <v>894</v>
      </c>
      <c r="E40" s="1834"/>
      <c r="F40" s="1834"/>
      <c r="G40" s="1834"/>
      <c r="H40" s="1834"/>
      <c r="I40" s="1834"/>
      <c r="J40" s="1834"/>
      <c r="K40" s="1834"/>
      <c r="L40" s="1834"/>
      <c r="M40" s="1835"/>
      <c r="N40" s="158"/>
    </row>
    <row r="41" spans="2:14" ht="14.1" customHeight="1">
      <c r="B41" s="74"/>
      <c r="C41" s="73"/>
      <c r="D41" s="1833"/>
      <c r="E41" s="1834"/>
      <c r="F41" s="1834"/>
      <c r="G41" s="1834"/>
      <c r="H41" s="1834"/>
      <c r="I41" s="1834"/>
      <c r="J41" s="1834"/>
      <c r="K41" s="1834"/>
      <c r="L41" s="1834"/>
      <c r="M41" s="1835"/>
      <c r="N41" s="158"/>
    </row>
    <row r="42" spans="2:14" ht="14.1" customHeight="1" thickBot="1">
      <c r="B42" s="74"/>
      <c r="C42" s="73"/>
      <c r="D42" s="823"/>
      <c r="E42" s="824"/>
      <c r="F42" s="824"/>
      <c r="G42" s="824"/>
      <c r="H42" s="824"/>
      <c r="I42" s="824"/>
      <c r="J42" s="824"/>
      <c r="K42" s="824"/>
      <c r="L42" s="824"/>
      <c r="M42" s="159"/>
      <c r="N42" s="158"/>
    </row>
    <row r="43" spans="2:14" ht="14.1" customHeight="1">
      <c r="B43" s="94"/>
      <c r="C43" s="27"/>
      <c r="D43" s="27"/>
      <c r="E43" s="27"/>
      <c r="F43" s="27"/>
      <c r="G43" s="27"/>
      <c r="H43" s="27"/>
      <c r="I43" s="27"/>
      <c r="J43" s="27"/>
      <c r="K43" s="27"/>
      <c r="L43" s="27"/>
      <c r="M43" s="27"/>
      <c r="N43" s="158"/>
    </row>
    <row r="44" spans="2:14" ht="14.1" customHeight="1">
      <c r="B44" s="94"/>
      <c r="C44" s="27"/>
      <c r="D44" s="27"/>
      <c r="E44" s="27"/>
      <c r="F44" s="27"/>
      <c r="G44" s="27"/>
      <c r="H44" s="27"/>
      <c r="I44" s="27"/>
      <c r="J44" s="27"/>
      <c r="K44" s="27"/>
      <c r="L44" s="27"/>
      <c r="M44" s="27"/>
      <c r="N44" s="158"/>
    </row>
    <row r="45" spans="2:14" ht="14.1" customHeight="1">
      <c r="B45" s="1831" t="str">
        <f>'Terms and Conditions'!B19</f>
        <v>Elephant QuickBrace™ September 2018  V.1.0</v>
      </c>
      <c r="C45" s="1832"/>
      <c r="D45" s="1832"/>
      <c r="E45" s="1832"/>
      <c r="F45" s="1832"/>
      <c r="G45" s="1832"/>
      <c r="H45" s="1832"/>
      <c r="I45" s="1832"/>
      <c r="J45" s="27"/>
      <c r="K45" s="27"/>
      <c r="L45" s="27"/>
      <c r="M45" s="27"/>
      <c r="N45" s="158"/>
    </row>
    <row r="46" spans="2:14" ht="14.1" customHeight="1" thickBot="1">
      <c r="B46" s="101"/>
      <c r="C46" s="100"/>
      <c r="D46" s="100"/>
      <c r="E46" s="100"/>
      <c r="F46" s="100"/>
      <c r="G46" s="100"/>
      <c r="H46" s="100"/>
      <c r="I46" s="100"/>
      <c r="J46" s="100"/>
      <c r="K46" s="100"/>
      <c r="L46" s="100"/>
      <c r="M46" s="100"/>
      <c r="N46" s="159"/>
    </row>
    <row r="47" spans="2:14">
      <c r="B47" s="27"/>
      <c r="C47" s="27"/>
      <c r="D47" s="27"/>
      <c r="E47" s="27"/>
      <c r="F47" s="27"/>
      <c r="G47" s="27"/>
      <c r="H47" s="27"/>
      <c r="I47" s="27"/>
      <c r="J47" s="27"/>
      <c r="K47" s="27"/>
      <c r="L47" s="27"/>
      <c r="M47" s="1"/>
      <c r="N47" s="27"/>
    </row>
    <row r="48" spans="2:14">
      <c r="B48" s="64"/>
      <c r="C48" s="64"/>
      <c r="D48" s="64"/>
      <c r="E48" s="64"/>
      <c r="F48" s="64"/>
      <c r="G48" s="64"/>
      <c r="H48" s="64"/>
      <c r="I48" s="64"/>
      <c r="J48" s="64"/>
      <c r="K48" s="64"/>
      <c r="L48" s="64"/>
      <c r="M48" s="64"/>
    </row>
    <row r="49" spans="1:15">
      <c r="B49" s="64"/>
      <c r="C49" s="64"/>
      <c r="D49" s="64"/>
      <c r="E49" s="64"/>
      <c r="F49" s="64"/>
      <c r="G49" s="64"/>
      <c r="H49" s="64"/>
      <c r="I49" s="64"/>
      <c r="J49" s="64"/>
      <c r="K49" s="64"/>
      <c r="L49" s="64"/>
      <c r="M49" s="64"/>
    </row>
    <row r="50" spans="1:15">
      <c r="B50" s="64"/>
      <c r="C50" s="64"/>
      <c r="D50" s="64"/>
      <c r="E50" s="64"/>
      <c r="F50" s="64"/>
      <c r="G50" s="64"/>
      <c r="H50" s="64"/>
      <c r="I50" s="64"/>
      <c r="J50" s="64"/>
      <c r="K50" s="64"/>
      <c r="L50" s="64"/>
      <c r="M50" s="64"/>
    </row>
    <row r="51" spans="1:15">
      <c r="B51" s="64"/>
      <c r="C51" s="64"/>
      <c r="D51" s="64"/>
      <c r="E51" s="64"/>
      <c r="F51" s="64"/>
      <c r="G51" s="64"/>
      <c r="H51" s="64"/>
      <c r="I51" s="64"/>
      <c r="J51" s="64"/>
      <c r="K51" s="64"/>
      <c r="L51" s="64"/>
      <c r="M51" s="64"/>
    </row>
    <row r="52" spans="1:15">
      <c r="B52" s="64"/>
      <c r="C52" s="64"/>
      <c r="D52" s="64"/>
      <c r="E52" s="64"/>
      <c r="F52" s="64"/>
      <c r="G52" s="64"/>
      <c r="H52" s="64"/>
      <c r="I52" s="64"/>
      <c r="J52" s="64"/>
      <c r="K52" s="64"/>
      <c r="L52" s="64"/>
      <c r="M52" s="64"/>
    </row>
    <row r="53" spans="1:15">
      <c r="B53" s="64"/>
      <c r="C53" s="64"/>
      <c r="D53" s="64"/>
      <c r="E53" s="64"/>
      <c r="F53" s="64"/>
      <c r="G53" s="64"/>
      <c r="H53" s="64"/>
      <c r="I53" s="64"/>
      <c r="J53" s="64"/>
      <c r="K53" s="64"/>
      <c r="L53" s="64"/>
      <c r="M53" s="64"/>
    </row>
    <row r="54" spans="1:15">
      <c r="B54" s="64"/>
      <c r="C54" s="64"/>
      <c r="D54" s="64"/>
      <c r="E54" s="64"/>
      <c r="F54" s="64"/>
      <c r="G54" s="64"/>
      <c r="H54" s="64"/>
      <c r="I54" s="64"/>
      <c r="J54" s="64"/>
      <c r="K54" s="64"/>
      <c r="L54" s="64"/>
      <c r="M54" s="64"/>
    </row>
    <row r="55" spans="1:15">
      <c r="B55" s="64"/>
      <c r="C55" s="64"/>
      <c r="D55" s="64"/>
      <c r="E55" s="64"/>
      <c r="F55" s="64"/>
      <c r="G55" s="64"/>
      <c r="H55" s="64"/>
      <c r="I55" s="64"/>
      <c r="J55" s="64"/>
      <c r="K55" s="64"/>
      <c r="L55" s="64"/>
      <c r="M55" s="64"/>
    </row>
    <row r="56" spans="1:15">
      <c r="A56" s="419"/>
      <c r="B56" s="419"/>
      <c r="C56" s="419"/>
      <c r="D56" s="419"/>
      <c r="E56" s="419"/>
      <c r="F56" s="419"/>
      <c r="G56" s="419"/>
      <c r="H56" s="419"/>
      <c r="I56" s="419"/>
      <c r="J56" s="419"/>
      <c r="K56" s="419"/>
      <c r="L56" s="419"/>
      <c r="M56" s="419"/>
      <c r="N56" s="419"/>
      <c r="O56" s="419"/>
    </row>
    <row r="57" spans="1:15">
      <c r="A57" s="419"/>
      <c r="B57" s="419"/>
      <c r="C57" s="419"/>
      <c r="D57" s="419"/>
      <c r="E57" s="419"/>
      <c r="F57" s="419"/>
      <c r="G57" s="419"/>
      <c r="H57" s="419"/>
      <c r="I57" s="419"/>
      <c r="J57" s="419"/>
      <c r="K57" s="419"/>
      <c r="L57" s="419"/>
      <c r="M57" s="419"/>
      <c r="N57" s="419"/>
      <c r="O57" s="419"/>
    </row>
    <row r="58" spans="1:15">
      <c r="A58" s="419"/>
      <c r="B58" s="419"/>
      <c r="C58" s="419"/>
      <c r="D58" s="419"/>
      <c r="E58" s="419"/>
      <c r="F58" s="419"/>
      <c r="G58" s="419"/>
      <c r="H58" s="419"/>
      <c r="I58" s="419"/>
      <c r="J58" s="419"/>
      <c r="K58" s="419"/>
      <c r="L58" s="419"/>
      <c r="M58" s="419"/>
      <c r="N58" s="419"/>
      <c r="O58" s="419"/>
    </row>
    <row r="59" spans="1:15">
      <c r="A59" s="419"/>
      <c r="B59" s="419"/>
      <c r="C59" s="419"/>
      <c r="D59" s="419"/>
      <c r="E59" s="419"/>
      <c r="F59" s="419"/>
      <c r="G59" s="419"/>
      <c r="H59" s="419"/>
      <c r="I59" s="419"/>
      <c r="J59" s="419"/>
      <c r="K59" s="419"/>
      <c r="L59" s="419"/>
      <c r="M59" s="419"/>
      <c r="N59" s="419"/>
      <c r="O59" s="419"/>
    </row>
    <row r="60" spans="1:15">
      <c r="A60" s="419"/>
      <c r="B60" s="419"/>
      <c r="C60" s="419"/>
      <c r="D60" s="419"/>
      <c r="E60" s="419"/>
      <c r="F60" s="419"/>
      <c r="G60" s="419"/>
      <c r="H60" s="419"/>
      <c r="I60" s="419"/>
      <c r="J60" s="419"/>
      <c r="K60" s="419"/>
      <c r="L60" s="419"/>
      <c r="M60" s="419"/>
      <c r="N60" s="419"/>
      <c r="O60" s="419"/>
    </row>
    <row r="61" spans="1:15">
      <c r="A61" s="419"/>
      <c r="B61" s="419"/>
      <c r="C61" s="419"/>
      <c r="D61" s="419"/>
      <c r="E61" s="419"/>
      <c r="F61" s="419"/>
      <c r="G61" s="419"/>
      <c r="H61" s="419"/>
      <c r="I61" s="419"/>
      <c r="J61" s="419"/>
      <c r="K61" s="419"/>
      <c r="L61" s="419"/>
      <c r="M61" s="419"/>
      <c r="N61" s="419"/>
      <c r="O61" s="419"/>
    </row>
    <row r="62" spans="1:15">
      <c r="A62" s="419"/>
      <c r="B62" s="419"/>
      <c r="C62" s="419"/>
      <c r="D62" s="419"/>
      <c r="E62" s="419"/>
      <c r="F62" s="419"/>
      <c r="G62" s="419"/>
      <c r="H62" s="419"/>
      <c r="I62" s="419"/>
      <c r="J62" s="419"/>
      <c r="K62" s="419"/>
      <c r="L62" s="419"/>
      <c r="M62" s="419"/>
      <c r="N62" s="419"/>
      <c r="O62" s="419"/>
    </row>
    <row r="63" spans="1:15">
      <c r="A63" s="419"/>
      <c r="B63" s="419"/>
      <c r="C63" s="419"/>
      <c r="D63" s="419"/>
      <c r="E63" s="419"/>
      <c r="F63" s="419"/>
      <c r="G63" s="419"/>
      <c r="H63" s="419"/>
      <c r="I63" s="419"/>
      <c r="J63" s="419"/>
      <c r="K63" s="419"/>
      <c r="L63" s="419"/>
      <c r="M63" s="419"/>
      <c r="N63" s="419"/>
      <c r="O63" s="419"/>
    </row>
    <row r="64" spans="1:15">
      <c r="A64" s="419"/>
      <c r="B64" s="419"/>
      <c r="C64" s="419"/>
      <c r="D64" s="419"/>
      <c r="E64" s="419"/>
      <c r="F64" s="419"/>
      <c r="G64" s="419"/>
      <c r="H64" s="419"/>
      <c r="I64" s="419"/>
      <c r="J64" s="419"/>
      <c r="K64" s="419"/>
      <c r="L64" s="419"/>
      <c r="M64" s="419"/>
      <c r="N64" s="419"/>
      <c r="O64" s="419"/>
    </row>
    <row r="65" spans="1:15">
      <c r="A65" s="419"/>
      <c r="B65" s="419"/>
      <c r="C65" s="419"/>
      <c r="D65" s="419"/>
      <c r="E65" s="419"/>
      <c r="F65" s="419"/>
      <c r="G65" s="419"/>
      <c r="H65" s="419"/>
      <c r="I65" s="419"/>
      <c r="J65" s="419"/>
      <c r="K65" s="419"/>
      <c r="L65" s="419"/>
      <c r="M65" s="419"/>
      <c r="N65" s="419"/>
      <c r="O65" s="419"/>
    </row>
    <row r="66" spans="1:15">
      <c r="A66" s="419"/>
      <c r="B66" s="419"/>
      <c r="C66" s="419"/>
      <c r="D66" s="419"/>
      <c r="E66" s="419"/>
      <c r="F66" s="419"/>
      <c r="G66" s="419"/>
      <c r="H66" s="419"/>
      <c r="I66" s="419"/>
      <c r="J66" s="419"/>
      <c r="K66" s="419"/>
      <c r="L66" s="419"/>
      <c r="M66" s="419"/>
      <c r="N66" s="419"/>
      <c r="O66" s="419"/>
    </row>
    <row r="67" spans="1:15">
      <c r="A67" s="419"/>
      <c r="B67" s="419"/>
      <c r="C67" s="419"/>
      <c r="D67" s="419"/>
      <c r="E67" s="419"/>
      <c r="F67" s="419"/>
      <c r="G67" s="419"/>
      <c r="H67" s="419"/>
      <c r="I67" s="419"/>
      <c r="J67" s="419"/>
      <c r="K67" s="419"/>
      <c r="L67" s="419"/>
      <c r="M67" s="419"/>
      <c r="N67" s="419"/>
      <c r="O67" s="419"/>
    </row>
    <row r="68" spans="1:15">
      <c r="A68" s="419"/>
      <c r="B68" s="419"/>
      <c r="C68" s="419"/>
      <c r="D68" s="419"/>
      <c r="E68" s="419"/>
      <c r="F68" s="419"/>
      <c r="G68" s="419"/>
      <c r="H68" s="419"/>
      <c r="I68" s="419"/>
      <c r="J68" s="419"/>
      <c r="K68" s="419"/>
      <c r="L68" s="419"/>
      <c r="M68" s="419"/>
      <c r="N68" s="419"/>
      <c r="O68" s="419"/>
    </row>
    <row r="69" spans="1:15">
      <c r="A69" s="419"/>
      <c r="B69" s="419"/>
      <c r="C69" s="419"/>
      <c r="D69" s="419"/>
      <c r="E69" s="419"/>
      <c r="F69" s="419"/>
      <c r="G69" s="419"/>
      <c r="H69" s="419"/>
      <c r="I69" s="419"/>
      <c r="J69" s="419"/>
      <c r="K69" s="419"/>
      <c r="L69" s="419"/>
      <c r="M69" s="419"/>
      <c r="N69" s="419"/>
      <c r="O69" s="419"/>
    </row>
    <row r="70" spans="1:15">
      <c r="A70" s="419"/>
      <c r="B70" s="419"/>
      <c r="C70" s="419"/>
      <c r="D70" s="419"/>
      <c r="E70" s="419"/>
      <c r="F70" s="419"/>
      <c r="G70" s="419"/>
      <c r="H70" s="419"/>
      <c r="I70" s="419"/>
      <c r="J70" s="419"/>
      <c r="K70" s="419"/>
      <c r="L70" s="419"/>
      <c r="M70" s="419"/>
      <c r="N70" s="419"/>
      <c r="O70" s="419"/>
    </row>
    <row r="71" spans="1:15">
      <c r="A71" s="419"/>
      <c r="B71" s="419"/>
      <c r="C71" s="419"/>
      <c r="D71" s="419"/>
      <c r="E71" s="419"/>
      <c r="F71" s="419"/>
      <c r="G71" s="419"/>
      <c r="H71" s="419"/>
      <c r="I71" s="419"/>
      <c r="J71" s="419"/>
      <c r="K71" s="419"/>
      <c r="L71" s="419"/>
      <c r="M71" s="419"/>
      <c r="N71" s="419"/>
      <c r="O71" s="419"/>
    </row>
    <row r="72" spans="1:15">
      <c r="A72" s="419"/>
      <c r="B72" s="419"/>
      <c r="C72" s="419"/>
      <c r="D72" s="419"/>
      <c r="E72" s="419"/>
      <c r="F72" s="419"/>
      <c r="G72" s="419"/>
      <c r="H72" s="419"/>
      <c r="I72" s="419"/>
      <c r="J72" s="419"/>
      <c r="K72" s="419"/>
      <c r="L72" s="419"/>
      <c r="M72" s="419"/>
      <c r="N72" s="419"/>
      <c r="O72" s="419"/>
    </row>
    <row r="73" spans="1:15">
      <c r="A73" s="419"/>
      <c r="B73" s="419"/>
      <c r="C73" s="419"/>
      <c r="D73" s="419"/>
      <c r="E73" s="419"/>
      <c r="F73" s="419"/>
      <c r="G73" s="419"/>
      <c r="H73" s="419"/>
      <c r="I73" s="419"/>
      <c r="J73" s="419"/>
      <c r="K73" s="419"/>
      <c r="L73" s="419"/>
      <c r="M73" s="419"/>
      <c r="N73" s="419"/>
      <c r="O73" s="419"/>
    </row>
    <row r="74" spans="1:15">
      <c r="A74" s="419"/>
      <c r="B74" s="419"/>
      <c r="C74" s="419"/>
      <c r="D74" s="419"/>
      <c r="E74" s="419"/>
      <c r="F74" s="419"/>
      <c r="G74" s="419"/>
      <c r="H74" s="419"/>
      <c r="I74" s="419"/>
      <c r="J74" s="419"/>
      <c r="K74" s="419"/>
      <c r="L74" s="419"/>
      <c r="M74" s="419"/>
      <c r="N74" s="419"/>
      <c r="O74" s="419"/>
    </row>
    <row r="75" spans="1:15">
      <c r="A75" s="419"/>
      <c r="B75" s="419"/>
      <c r="C75" s="419"/>
      <c r="D75" s="419"/>
      <c r="E75" s="419"/>
      <c r="F75" s="419"/>
      <c r="G75" s="419"/>
      <c r="H75" s="419"/>
      <c r="I75" s="419"/>
      <c r="J75" s="419"/>
      <c r="K75" s="419"/>
      <c r="L75" s="419"/>
      <c r="M75" s="419"/>
      <c r="N75" s="419"/>
      <c r="O75" s="419"/>
    </row>
    <row r="76" spans="1:15">
      <c r="A76" s="419"/>
      <c r="B76" s="419"/>
      <c r="C76" s="419"/>
      <c r="D76" s="419"/>
      <c r="E76" s="419"/>
      <c r="F76" s="419"/>
      <c r="G76" s="419"/>
      <c r="H76" s="419"/>
      <c r="I76" s="419"/>
      <c r="J76" s="419"/>
      <c r="K76" s="419"/>
      <c r="L76" s="419"/>
      <c r="M76" s="419"/>
      <c r="N76" s="419"/>
      <c r="O76" s="419"/>
    </row>
    <row r="77" spans="1:15">
      <c r="A77" s="419"/>
      <c r="B77" s="419"/>
      <c r="C77" s="419"/>
      <c r="D77" s="419"/>
      <c r="E77" s="419"/>
      <c r="F77" s="419"/>
      <c r="G77" s="419"/>
      <c r="H77" s="419"/>
      <c r="I77" s="419"/>
      <c r="J77" s="419"/>
      <c r="K77" s="419"/>
      <c r="L77" s="419"/>
      <c r="M77" s="419"/>
      <c r="N77" s="419"/>
      <c r="O77" s="419"/>
    </row>
    <row r="78" spans="1:15">
      <c r="A78" s="419"/>
      <c r="B78" s="419"/>
      <c r="C78" s="419"/>
      <c r="D78" s="419"/>
      <c r="E78" s="419"/>
      <c r="F78" s="419"/>
      <c r="G78" s="419"/>
      <c r="H78" s="419"/>
      <c r="I78" s="419"/>
      <c r="J78" s="419"/>
      <c r="K78" s="419"/>
      <c r="L78" s="419"/>
      <c r="M78" s="419"/>
      <c r="N78" s="419"/>
      <c r="O78" s="419"/>
    </row>
    <row r="79" spans="1:15">
      <c r="A79" s="419"/>
      <c r="B79" s="419"/>
      <c r="C79" s="419"/>
      <c r="D79" s="419"/>
      <c r="E79" s="419"/>
      <c r="F79" s="419"/>
      <c r="G79" s="419"/>
      <c r="H79" s="419"/>
      <c r="I79" s="419"/>
      <c r="J79" s="419"/>
      <c r="K79" s="419"/>
      <c r="L79" s="419"/>
      <c r="M79" s="419"/>
      <c r="N79" s="419"/>
      <c r="O79" s="419"/>
    </row>
    <row r="80" spans="1:15">
      <c r="A80" s="419"/>
      <c r="B80" s="419"/>
      <c r="C80" s="419"/>
      <c r="D80" s="419"/>
      <c r="E80" s="419"/>
      <c r="F80" s="419"/>
      <c r="G80" s="419"/>
      <c r="H80" s="419"/>
      <c r="I80" s="419"/>
      <c r="J80" s="419"/>
      <c r="K80" s="419"/>
      <c r="L80" s="419"/>
      <c r="M80" s="419"/>
      <c r="N80" s="419"/>
      <c r="O80" s="419"/>
    </row>
    <row r="81" spans="1:15">
      <c r="A81" s="419"/>
      <c r="B81" s="419"/>
      <c r="C81" s="419"/>
      <c r="D81" s="419"/>
      <c r="E81" s="419"/>
      <c r="F81" s="419"/>
      <c r="G81" s="419"/>
      <c r="H81" s="419"/>
      <c r="I81" s="419"/>
      <c r="J81" s="419"/>
      <c r="K81" s="419"/>
      <c r="L81" s="419"/>
      <c r="M81" s="419"/>
      <c r="N81" s="419"/>
      <c r="O81" s="419"/>
    </row>
    <row r="82" spans="1:15">
      <c r="A82" s="419"/>
      <c r="B82" s="419"/>
      <c r="C82" s="419"/>
      <c r="D82" s="419"/>
      <c r="E82" s="419"/>
      <c r="F82" s="419"/>
      <c r="G82" s="419"/>
      <c r="H82" s="419"/>
      <c r="I82" s="419"/>
      <c r="J82" s="419"/>
      <c r="K82" s="419"/>
      <c r="L82" s="419"/>
      <c r="M82" s="419"/>
      <c r="N82" s="419"/>
      <c r="O82" s="419"/>
    </row>
    <row r="83" spans="1:15">
      <c r="A83" s="419"/>
      <c r="B83" s="419"/>
      <c r="C83" s="419"/>
      <c r="D83" s="419"/>
      <c r="E83" s="419"/>
      <c r="F83" s="419"/>
      <c r="G83" s="419"/>
      <c r="H83" s="419"/>
      <c r="I83" s="419"/>
      <c r="J83" s="419"/>
      <c r="K83" s="419"/>
      <c r="L83" s="419"/>
      <c r="M83" s="419"/>
      <c r="N83" s="419"/>
      <c r="O83" s="419"/>
    </row>
    <row r="84" spans="1:15">
      <c r="A84" s="419"/>
      <c r="B84" s="419"/>
      <c r="C84" s="419"/>
      <c r="D84" s="419"/>
      <c r="E84" s="419"/>
      <c r="F84" s="419"/>
      <c r="G84" s="419"/>
      <c r="H84" s="419"/>
      <c r="I84" s="419"/>
      <c r="J84" s="419"/>
      <c r="K84" s="419"/>
      <c r="L84" s="419"/>
      <c r="M84" s="419"/>
      <c r="N84" s="419"/>
      <c r="O84" s="419"/>
    </row>
    <row r="85" spans="1:15">
      <c r="A85" s="419"/>
      <c r="B85" s="419"/>
      <c r="C85" s="419"/>
      <c r="D85" s="419"/>
      <c r="E85" s="419"/>
      <c r="F85" s="419"/>
      <c r="G85" s="419"/>
      <c r="H85" s="419"/>
      <c r="I85" s="419"/>
      <c r="J85" s="419"/>
      <c r="K85" s="419"/>
      <c r="L85" s="419"/>
      <c r="M85" s="419"/>
      <c r="N85" s="419"/>
      <c r="O85" s="419"/>
    </row>
    <row r="86" spans="1:15">
      <c r="A86" s="419"/>
      <c r="B86" s="419"/>
      <c r="C86" s="419"/>
      <c r="D86" s="419"/>
      <c r="E86" s="419"/>
      <c r="F86" s="419"/>
      <c r="G86" s="419"/>
      <c r="H86" s="419"/>
      <c r="I86" s="419"/>
      <c r="J86" s="419"/>
      <c r="K86" s="419"/>
      <c r="L86" s="419"/>
      <c r="M86" s="419"/>
      <c r="N86" s="419"/>
      <c r="O86" s="419"/>
    </row>
    <row r="87" spans="1:15">
      <c r="A87" s="419"/>
      <c r="B87" s="419"/>
      <c r="C87" s="419"/>
      <c r="D87" s="419"/>
      <c r="E87" s="419"/>
      <c r="F87" s="419"/>
      <c r="G87" s="419"/>
      <c r="H87" s="419"/>
      <c r="I87" s="419"/>
      <c r="J87" s="419"/>
      <c r="K87" s="419"/>
      <c r="L87" s="419"/>
      <c r="M87" s="419"/>
      <c r="N87" s="419"/>
      <c r="O87" s="419"/>
    </row>
    <row r="88" spans="1:15">
      <c r="A88" s="419"/>
      <c r="B88" s="419"/>
      <c r="C88" s="419"/>
      <c r="D88" s="419"/>
      <c r="E88" s="419"/>
      <c r="F88" s="419"/>
      <c r="G88" s="419"/>
      <c r="H88" s="419"/>
      <c r="I88" s="419"/>
      <c r="J88" s="419"/>
      <c r="K88" s="419"/>
      <c r="L88" s="419"/>
      <c r="M88" s="419"/>
      <c r="N88" s="419"/>
      <c r="O88" s="419"/>
    </row>
    <row r="89" spans="1:15">
      <c r="A89" s="419"/>
      <c r="B89" s="419"/>
      <c r="C89" s="419"/>
      <c r="D89" s="419"/>
      <c r="E89" s="419"/>
      <c r="F89" s="419"/>
      <c r="G89" s="419"/>
      <c r="H89" s="419"/>
      <c r="I89" s="419"/>
      <c r="J89" s="419"/>
      <c r="K89" s="419"/>
      <c r="L89" s="419"/>
      <c r="M89" s="419"/>
      <c r="N89" s="419"/>
      <c r="O89" s="419"/>
    </row>
    <row r="90" spans="1:15">
      <c r="A90" s="419"/>
      <c r="B90" s="419"/>
      <c r="C90" s="419"/>
      <c r="D90" s="419"/>
      <c r="E90" s="419"/>
      <c r="F90" s="419"/>
      <c r="G90" s="419"/>
      <c r="H90" s="419"/>
      <c r="I90" s="419"/>
      <c r="J90" s="419"/>
      <c r="K90" s="419"/>
      <c r="L90" s="419"/>
      <c r="M90" s="419"/>
      <c r="N90" s="419"/>
      <c r="O90" s="419"/>
    </row>
    <row r="91" spans="1:15">
      <c r="A91" s="419"/>
      <c r="B91" s="419"/>
      <c r="C91" s="419"/>
      <c r="D91" s="419"/>
      <c r="E91" s="419"/>
      <c r="F91" s="419"/>
      <c r="G91" s="419"/>
      <c r="H91" s="419"/>
      <c r="I91" s="419"/>
      <c r="J91" s="419"/>
      <c r="K91" s="419"/>
      <c r="L91" s="419"/>
      <c r="M91" s="419"/>
      <c r="N91" s="419"/>
      <c r="O91" s="419"/>
    </row>
    <row r="92" spans="1:15">
      <c r="A92" s="419"/>
      <c r="B92" s="419"/>
      <c r="C92" s="419"/>
      <c r="D92" s="419"/>
      <c r="E92" s="419"/>
      <c r="F92" s="419"/>
      <c r="G92" s="419"/>
      <c r="H92" s="419"/>
      <c r="I92" s="419"/>
      <c r="J92" s="419"/>
      <c r="K92" s="419"/>
      <c r="L92" s="419"/>
      <c r="M92" s="419"/>
      <c r="N92" s="419"/>
      <c r="O92" s="419"/>
    </row>
    <row r="93" spans="1:15">
      <c r="A93" s="419"/>
      <c r="B93" s="419"/>
      <c r="C93" s="419"/>
      <c r="D93" s="419"/>
      <c r="E93" s="419"/>
      <c r="F93" s="419"/>
      <c r="G93" s="419"/>
      <c r="H93" s="419"/>
      <c r="I93" s="419"/>
      <c r="J93" s="419"/>
      <c r="K93" s="419"/>
      <c r="L93" s="419"/>
      <c r="M93" s="419"/>
      <c r="N93" s="419"/>
      <c r="O93" s="419"/>
    </row>
    <row r="94" spans="1:15">
      <c r="A94" s="419"/>
      <c r="B94" s="419"/>
      <c r="C94" s="419"/>
      <c r="D94" s="419"/>
      <c r="E94" s="419"/>
      <c r="F94" s="419"/>
      <c r="G94" s="419"/>
      <c r="H94" s="419"/>
      <c r="I94" s="419"/>
      <c r="J94" s="419"/>
      <c r="K94" s="419"/>
      <c r="L94" s="419"/>
      <c r="M94" s="419"/>
      <c r="N94" s="419"/>
      <c r="O94" s="419"/>
    </row>
    <row r="95" spans="1:15">
      <c r="A95" s="419"/>
      <c r="B95" s="419"/>
      <c r="C95" s="419"/>
      <c r="D95" s="419"/>
      <c r="E95" s="419"/>
      <c r="F95" s="419"/>
      <c r="G95" s="419"/>
      <c r="H95" s="419"/>
      <c r="I95" s="419"/>
      <c r="J95" s="419"/>
      <c r="K95" s="419"/>
      <c r="L95" s="419"/>
      <c r="M95" s="419"/>
      <c r="N95" s="419"/>
      <c r="O95" s="419"/>
    </row>
    <row r="96" spans="1:15">
      <c r="A96" s="419"/>
      <c r="B96" s="419"/>
      <c r="C96" s="419"/>
      <c r="D96" s="419"/>
      <c r="E96" s="419"/>
      <c r="F96" s="419"/>
      <c r="G96" s="419"/>
      <c r="H96" s="419"/>
      <c r="I96" s="419"/>
      <c r="J96" s="419"/>
      <c r="K96" s="419"/>
      <c r="L96" s="419"/>
      <c r="M96" s="419"/>
      <c r="N96" s="419"/>
      <c r="O96" s="419"/>
    </row>
    <row r="97" spans="1:15">
      <c r="A97" s="419"/>
      <c r="B97" s="419"/>
      <c r="C97" s="419"/>
      <c r="D97" s="419"/>
      <c r="E97" s="419"/>
      <c r="F97" s="419"/>
      <c r="G97" s="419"/>
      <c r="H97" s="419"/>
      <c r="I97" s="419"/>
      <c r="J97" s="419"/>
      <c r="K97" s="419"/>
      <c r="L97" s="419"/>
      <c r="M97" s="419"/>
      <c r="N97" s="419"/>
      <c r="O97" s="419"/>
    </row>
    <row r="98" spans="1:15">
      <c r="A98" s="419"/>
      <c r="B98" s="419"/>
      <c r="C98" s="419"/>
      <c r="D98" s="419"/>
      <c r="E98" s="419"/>
      <c r="F98" s="419"/>
      <c r="G98" s="419"/>
      <c r="H98" s="419"/>
      <c r="I98" s="419"/>
      <c r="J98" s="419"/>
      <c r="K98" s="419"/>
      <c r="L98" s="419"/>
      <c r="M98" s="419"/>
      <c r="N98" s="419"/>
      <c r="O98" s="419"/>
    </row>
    <row r="99" spans="1:15">
      <c r="A99" s="419"/>
      <c r="B99" s="419"/>
      <c r="C99" s="419"/>
      <c r="D99" s="419"/>
      <c r="E99" s="419"/>
      <c r="F99" s="419"/>
      <c r="G99" s="419"/>
      <c r="H99" s="419"/>
      <c r="I99" s="419"/>
      <c r="J99" s="419"/>
      <c r="K99" s="419"/>
      <c r="L99" s="419"/>
      <c r="M99" s="419"/>
      <c r="N99" s="419"/>
      <c r="O99" s="419"/>
    </row>
    <row r="100" spans="1:15">
      <c r="A100" s="419"/>
      <c r="B100" s="419"/>
      <c r="C100" s="419"/>
      <c r="D100" s="419"/>
      <c r="E100" s="419"/>
      <c r="F100" s="419"/>
      <c r="G100" s="419"/>
      <c r="H100" s="419"/>
      <c r="I100" s="419"/>
      <c r="J100" s="419"/>
      <c r="K100" s="419"/>
      <c r="L100" s="419"/>
      <c r="M100" s="419"/>
      <c r="N100" s="419"/>
      <c r="O100" s="419"/>
    </row>
    <row r="101" spans="1:15">
      <c r="A101" s="419"/>
      <c r="B101" s="419"/>
      <c r="C101" s="419"/>
      <c r="D101" s="419"/>
      <c r="E101" s="419"/>
      <c r="F101" s="419"/>
      <c r="G101" s="419"/>
      <c r="H101" s="419"/>
      <c r="I101" s="419"/>
      <c r="J101" s="419"/>
      <c r="K101" s="419"/>
      <c r="L101" s="419"/>
      <c r="M101" s="419"/>
      <c r="N101" s="419"/>
      <c r="O101" s="419"/>
    </row>
    <row r="102" spans="1:15">
      <c r="A102" s="419"/>
      <c r="B102" s="419"/>
      <c r="C102" s="419"/>
      <c r="D102" s="419"/>
      <c r="E102" s="419"/>
      <c r="F102" s="419"/>
      <c r="G102" s="419"/>
      <c r="H102" s="419"/>
      <c r="I102" s="419"/>
      <c r="J102" s="419"/>
      <c r="K102" s="419"/>
      <c r="L102" s="419"/>
      <c r="M102" s="419"/>
      <c r="N102" s="419"/>
      <c r="O102" s="419"/>
    </row>
    <row r="103" spans="1:15">
      <c r="A103" s="419"/>
      <c r="B103" s="419"/>
      <c r="C103" s="419"/>
      <c r="D103" s="419"/>
      <c r="E103" s="419"/>
      <c r="F103" s="419"/>
      <c r="G103" s="419"/>
      <c r="H103" s="419"/>
      <c r="I103" s="419"/>
      <c r="J103" s="419"/>
      <c r="K103" s="419"/>
      <c r="L103" s="419"/>
      <c r="M103" s="419"/>
      <c r="N103" s="419"/>
      <c r="O103" s="419"/>
    </row>
    <row r="104" spans="1:15">
      <c r="A104" s="419"/>
      <c r="B104" s="419"/>
      <c r="C104" s="419"/>
      <c r="D104" s="419"/>
      <c r="E104" s="419"/>
      <c r="F104" s="419"/>
      <c r="G104" s="419"/>
      <c r="H104" s="419"/>
      <c r="I104" s="419"/>
      <c r="J104" s="419"/>
      <c r="K104" s="419"/>
      <c r="L104" s="419"/>
      <c r="M104" s="419"/>
      <c r="N104" s="419"/>
      <c r="O104" s="419"/>
    </row>
    <row r="105" spans="1:15">
      <c r="A105" s="419"/>
      <c r="B105" s="419"/>
      <c r="C105" s="419"/>
      <c r="D105" s="419"/>
      <c r="E105" s="419"/>
      <c r="F105" s="419"/>
      <c r="G105" s="419"/>
      <c r="H105" s="419"/>
      <c r="I105" s="419"/>
      <c r="J105" s="419"/>
      <c r="K105" s="419"/>
      <c r="L105" s="419"/>
      <c r="M105" s="419"/>
      <c r="N105" s="419"/>
      <c r="O105" s="419"/>
    </row>
    <row r="106" spans="1:15">
      <c r="A106" s="419"/>
      <c r="B106" s="419"/>
      <c r="C106" s="419"/>
      <c r="D106" s="419"/>
      <c r="E106" s="419"/>
      <c r="F106" s="419"/>
      <c r="G106" s="419"/>
      <c r="H106" s="419"/>
      <c r="I106" s="419"/>
      <c r="J106" s="419"/>
      <c r="K106" s="419"/>
      <c r="L106" s="419"/>
      <c r="M106" s="419"/>
      <c r="N106" s="419"/>
      <c r="O106" s="419"/>
    </row>
    <row r="107" spans="1:15">
      <c r="A107" s="419"/>
      <c r="B107" s="419"/>
      <c r="C107" s="419"/>
      <c r="D107" s="419"/>
      <c r="E107" s="419"/>
      <c r="F107" s="419"/>
      <c r="G107" s="419"/>
      <c r="H107" s="419"/>
      <c r="I107" s="419"/>
      <c r="J107" s="419"/>
      <c r="K107" s="419"/>
      <c r="L107" s="419"/>
      <c r="M107" s="419"/>
      <c r="N107" s="419"/>
      <c r="O107" s="419"/>
    </row>
    <row r="108" spans="1:15">
      <c r="A108" s="419"/>
      <c r="B108" s="419"/>
      <c r="C108" s="419"/>
      <c r="D108" s="419"/>
      <c r="E108" s="419"/>
      <c r="F108" s="419"/>
      <c r="G108" s="419"/>
      <c r="H108" s="419"/>
      <c r="I108" s="419"/>
      <c r="J108" s="419"/>
      <c r="K108" s="419"/>
      <c r="L108" s="419"/>
      <c r="M108" s="419"/>
      <c r="N108" s="419"/>
      <c r="O108" s="419"/>
    </row>
    <row r="109" spans="1:15">
      <c r="A109" s="419"/>
      <c r="B109" s="419"/>
      <c r="C109" s="419"/>
      <c r="D109" s="419"/>
      <c r="E109" s="419"/>
      <c r="F109" s="419"/>
      <c r="G109" s="419"/>
      <c r="H109" s="419"/>
      <c r="I109" s="419"/>
      <c r="J109" s="419"/>
      <c r="K109" s="419"/>
      <c r="L109" s="419"/>
      <c r="M109" s="419"/>
      <c r="N109" s="419"/>
      <c r="O109" s="419"/>
    </row>
    <row r="110" spans="1:15">
      <c r="A110" s="419"/>
      <c r="B110" s="419"/>
      <c r="C110" s="419"/>
      <c r="D110" s="419"/>
      <c r="E110" s="419"/>
      <c r="F110" s="419"/>
      <c r="G110" s="419"/>
      <c r="H110" s="419"/>
      <c r="I110" s="419"/>
      <c r="J110" s="419"/>
      <c r="K110" s="419"/>
      <c r="L110" s="419"/>
      <c r="M110" s="419"/>
      <c r="N110" s="419"/>
      <c r="O110" s="419"/>
    </row>
    <row r="111" spans="1:15">
      <c r="A111" s="419"/>
      <c r="B111" s="419"/>
      <c r="C111" s="419"/>
      <c r="D111" s="419"/>
      <c r="E111" s="419"/>
      <c r="F111" s="419"/>
      <c r="G111" s="419"/>
      <c r="H111" s="419"/>
      <c r="I111" s="419"/>
      <c r="J111" s="419"/>
      <c r="K111" s="419"/>
      <c r="L111" s="419"/>
      <c r="M111" s="419"/>
      <c r="N111" s="419"/>
      <c r="O111" s="419"/>
    </row>
    <row r="112" spans="1:15">
      <c r="A112" s="419"/>
      <c r="B112" s="419"/>
      <c r="C112" s="419"/>
      <c r="D112" s="419"/>
      <c r="E112" s="419"/>
      <c r="F112" s="419"/>
      <c r="G112" s="419"/>
      <c r="H112" s="419"/>
      <c r="I112" s="419"/>
      <c r="J112" s="419"/>
      <c r="K112" s="419"/>
      <c r="L112" s="419"/>
      <c r="M112" s="419"/>
      <c r="N112" s="419"/>
      <c r="O112" s="419"/>
    </row>
    <row r="113" spans="1:15">
      <c r="A113" s="419"/>
      <c r="B113" s="419"/>
      <c r="C113" s="419"/>
      <c r="D113" s="419"/>
      <c r="E113" s="419"/>
      <c r="F113" s="419"/>
      <c r="G113" s="419"/>
      <c r="H113" s="419"/>
      <c r="I113" s="419"/>
      <c r="J113" s="419"/>
      <c r="K113" s="419"/>
      <c r="L113" s="419"/>
      <c r="M113" s="419"/>
      <c r="N113" s="419"/>
      <c r="O113" s="419"/>
    </row>
    <row r="114" spans="1:15">
      <c r="A114" s="419"/>
      <c r="B114" s="419"/>
      <c r="C114" s="419"/>
      <c r="D114" s="419"/>
      <c r="E114" s="419"/>
      <c r="F114" s="419"/>
      <c r="G114" s="419"/>
      <c r="H114" s="419"/>
      <c r="I114" s="419"/>
      <c r="J114" s="419"/>
      <c r="K114" s="419"/>
      <c r="L114" s="419"/>
      <c r="M114" s="419"/>
      <c r="N114" s="419"/>
      <c r="O114" s="419"/>
    </row>
    <row r="115" spans="1:15">
      <c r="A115" s="419"/>
      <c r="B115" s="419"/>
      <c r="C115" s="419"/>
      <c r="D115" s="419"/>
      <c r="E115" s="419"/>
      <c r="F115" s="419"/>
      <c r="G115" s="419"/>
      <c r="H115" s="419"/>
      <c r="I115" s="419"/>
      <c r="J115" s="419"/>
      <c r="K115" s="419"/>
      <c r="L115" s="419"/>
      <c r="M115" s="419"/>
      <c r="N115" s="419"/>
      <c r="O115" s="419"/>
    </row>
    <row r="116" spans="1:15">
      <c r="A116" s="419"/>
      <c r="B116" s="419"/>
      <c r="C116" s="419"/>
      <c r="D116" s="419"/>
      <c r="E116" s="419"/>
      <c r="F116" s="419"/>
      <c r="G116" s="419"/>
      <c r="H116" s="419"/>
      <c r="I116" s="419"/>
      <c r="J116" s="419"/>
      <c r="K116" s="419"/>
      <c r="L116" s="419"/>
      <c r="M116" s="419"/>
      <c r="N116" s="419"/>
      <c r="O116" s="419"/>
    </row>
    <row r="117" spans="1:15">
      <c r="A117" s="419"/>
      <c r="B117" s="419"/>
      <c r="C117" s="419"/>
      <c r="D117" s="419"/>
      <c r="E117" s="419"/>
      <c r="F117" s="419"/>
      <c r="G117" s="419"/>
      <c r="H117" s="419"/>
      <c r="I117" s="419"/>
      <c r="J117" s="419"/>
      <c r="K117" s="419"/>
      <c r="L117" s="419"/>
      <c r="M117" s="419"/>
      <c r="N117" s="419"/>
      <c r="O117" s="419"/>
    </row>
    <row r="118" spans="1:15">
      <c r="A118" s="419"/>
      <c r="B118" s="419"/>
      <c r="C118" s="419"/>
      <c r="D118" s="419"/>
      <c r="E118" s="419"/>
      <c r="F118" s="419"/>
      <c r="G118" s="419"/>
      <c r="H118" s="419"/>
      <c r="I118" s="419"/>
      <c r="J118" s="419"/>
      <c r="K118" s="419"/>
      <c r="L118" s="419"/>
      <c r="M118" s="419"/>
      <c r="N118" s="419"/>
      <c r="O118" s="419"/>
    </row>
    <row r="119" spans="1:15">
      <c r="A119" s="419"/>
      <c r="B119" s="419"/>
      <c r="C119" s="419"/>
      <c r="D119" s="419"/>
      <c r="E119" s="419"/>
      <c r="F119" s="419"/>
      <c r="G119" s="419"/>
      <c r="H119" s="419"/>
      <c r="I119" s="419"/>
      <c r="J119" s="419"/>
      <c r="K119" s="419"/>
      <c r="L119" s="419"/>
      <c r="M119" s="419"/>
      <c r="N119" s="419"/>
      <c r="O119" s="419"/>
    </row>
    <row r="120" spans="1:15">
      <c r="A120" s="419"/>
      <c r="B120" s="419"/>
      <c r="C120" s="419"/>
      <c r="D120" s="419"/>
      <c r="E120" s="419"/>
      <c r="F120" s="419"/>
      <c r="G120" s="419"/>
      <c r="H120" s="419"/>
      <c r="I120" s="419"/>
      <c r="J120" s="419"/>
      <c r="K120" s="419"/>
      <c r="L120" s="419"/>
      <c r="M120" s="419"/>
      <c r="N120" s="419"/>
      <c r="O120" s="419"/>
    </row>
    <row r="121" spans="1:15">
      <c r="A121" s="419"/>
      <c r="B121" s="419"/>
      <c r="C121" s="419"/>
      <c r="D121" s="419"/>
      <c r="E121" s="419"/>
      <c r="F121" s="419"/>
      <c r="G121" s="419"/>
      <c r="H121" s="419"/>
      <c r="I121" s="419"/>
      <c r="J121" s="419"/>
      <c r="K121" s="419"/>
      <c r="L121" s="419"/>
      <c r="M121" s="419"/>
      <c r="N121" s="419"/>
      <c r="O121" s="419"/>
    </row>
    <row r="122" spans="1:15">
      <c r="A122" s="419"/>
      <c r="B122" s="419"/>
      <c r="C122" s="419"/>
      <c r="D122" s="419"/>
      <c r="E122" s="419"/>
      <c r="F122" s="419"/>
      <c r="G122" s="419"/>
      <c r="H122" s="419"/>
      <c r="I122" s="419"/>
      <c r="J122" s="419"/>
      <c r="K122" s="419"/>
      <c r="L122" s="419"/>
      <c r="M122" s="419"/>
      <c r="N122" s="419"/>
      <c r="O122" s="419"/>
    </row>
  </sheetData>
  <sheetProtection password="CCD2" sheet="1" objects="1" scenarios="1"/>
  <mergeCells count="22">
    <mergeCell ref="D14:M14"/>
    <mergeCell ref="D15:M15"/>
    <mergeCell ref="D35:H35"/>
    <mergeCell ref="D37:M39"/>
    <mergeCell ref="D22:M22"/>
    <mergeCell ref="D23:M23"/>
    <mergeCell ref="D25:M25"/>
    <mergeCell ref="D26:M26"/>
    <mergeCell ref="D27:M27"/>
    <mergeCell ref="D29:M31"/>
    <mergeCell ref="B2:N3"/>
    <mergeCell ref="C5:E5"/>
    <mergeCell ref="C7:M8"/>
    <mergeCell ref="D11:M12"/>
    <mergeCell ref="D13:M13"/>
    <mergeCell ref="G5:M5"/>
    <mergeCell ref="B45:I45"/>
    <mergeCell ref="D40:M41"/>
    <mergeCell ref="D17:M17"/>
    <mergeCell ref="D18:M18"/>
    <mergeCell ref="D19:M19"/>
    <mergeCell ref="D20:M20"/>
  </mergeCells>
  <phoneticPr fontId="15" type="noConversion"/>
  <pageMargins left="0.55118110236220474" right="0.59055118110236227" top="0.6692913385826772" bottom="0.70866141732283472" header="0.51181102362204722" footer="0.51181102362204722"/>
  <pageSetup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AA208"/>
  <sheetViews>
    <sheetView workbookViewId="0">
      <selection activeCell="H17" sqref="H17"/>
    </sheetView>
  </sheetViews>
  <sheetFormatPr defaultRowHeight="12.75"/>
  <cols>
    <col min="1" max="1" width="9.140625" style="64"/>
    <col min="3" max="3" width="12.140625" customWidth="1"/>
    <col min="7" max="8" width="9.140625" style="64"/>
    <col min="9" max="9" width="12.140625" style="64" customWidth="1"/>
    <col min="10" max="27" width="9.140625" style="64"/>
  </cols>
  <sheetData>
    <row r="1" spans="1:16" ht="18.75" customHeight="1" thickBot="1">
      <c r="B1" s="1858" t="s">
        <v>896</v>
      </c>
      <c r="C1" s="1858"/>
      <c r="D1" s="1858"/>
      <c r="E1" s="1858"/>
      <c r="F1" s="1858"/>
      <c r="G1" s="1858"/>
      <c r="H1" s="1858"/>
      <c r="I1" s="1858"/>
      <c r="J1" s="1858"/>
      <c r="K1" s="1858"/>
      <c r="L1" s="1858"/>
    </row>
    <row r="2" spans="1:16" ht="13.5" customHeight="1">
      <c r="A2" s="826" t="s">
        <v>882</v>
      </c>
      <c r="B2" s="1874" t="s">
        <v>1009</v>
      </c>
      <c r="C2" s="1875"/>
      <c r="D2" s="1875"/>
      <c r="E2" s="1875"/>
      <c r="F2" s="1875"/>
      <c r="G2" s="1875"/>
      <c r="H2" s="1875"/>
      <c r="I2" s="1875"/>
      <c r="J2" s="1875"/>
      <c r="K2" s="1875"/>
      <c r="L2" s="1876"/>
    </row>
    <row r="3" spans="1:16" ht="13.5" customHeight="1" thickBot="1">
      <c r="A3" s="826" t="s">
        <v>883</v>
      </c>
      <c r="B3" s="1871" t="s">
        <v>895</v>
      </c>
      <c r="C3" s="1872"/>
      <c r="D3" s="1872"/>
      <c r="E3" s="1872"/>
      <c r="F3" s="1872"/>
      <c r="G3" s="1872"/>
      <c r="H3" s="1872"/>
      <c r="I3" s="1872"/>
      <c r="J3" s="1872"/>
      <c r="K3" s="1872"/>
      <c r="L3" s="1873"/>
    </row>
    <row r="4" spans="1:16" ht="6.75" customHeight="1">
      <c r="B4" s="825"/>
      <c r="C4" s="825"/>
      <c r="D4" s="825"/>
      <c r="E4" s="825"/>
      <c r="F4" s="825"/>
      <c r="G4" s="825"/>
      <c r="H4" s="825"/>
      <c r="I4" s="825"/>
      <c r="J4" s="825"/>
      <c r="K4" s="825"/>
      <c r="L4" s="825"/>
    </row>
    <row r="5" spans="1:16" ht="4.5" customHeight="1" thickBot="1">
      <c r="B5" s="64"/>
      <c r="C5" s="64"/>
      <c r="D5" s="64"/>
      <c r="E5" s="64"/>
      <c r="F5" s="64"/>
    </row>
    <row r="6" spans="1:16" ht="11.25" customHeight="1">
      <c r="B6" s="1865" t="s">
        <v>850</v>
      </c>
      <c r="C6" s="1866"/>
      <c r="D6" s="1866"/>
      <c r="E6" s="1866"/>
      <c r="F6" s="1867"/>
      <c r="H6" s="1857"/>
      <c r="I6" s="1857"/>
      <c r="J6" s="1857"/>
      <c r="K6" s="1857"/>
      <c r="L6" s="1857"/>
      <c r="M6" s="1188"/>
      <c r="N6" s="1188"/>
      <c r="O6" s="1188"/>
      <c r="P6" s="1188"/>
    </row>
    <row r="7" spans="1:16" ht="13.5" thickBot="1">
      <c r="B7" s="1868"/>
      <c r="C7" s="1869"/>
      <c r="D7" s="1869"/>
      <c r="E7" s="1869"/>
      <c r="F7" s="1870"/>
      <c r="H7" s="1857"/>
      <c r="I7" s="1857"/>
      <c r="J7" s="1857"/>
      <c r="K7" s="1857"/>
      <c r="L7" s="1857"/>
      <c r="M7" s="1188"/>
      <c r="N7" s="1188"/>
      <c r="O7" s="1188"/>
      <c r="P7" s="1188"/>
    </row>
    <row r="8" spans="1:16" ht="12.75" customHeight="1">
      <c r="B8" s="1881" t="s">
        <v>49</v>
      </c>
      <c r="C8" s="1862" t="s">
        <v>726</v>
      </c>
      <c r="D8" s="1859" t="s">
        <v>732</v>
      </c>
      <c r="E8" s="1860"/>
      <c r="F8" s="1861"/>
      <c r="H8" s="1856"/>
      <c r="I8" s="1857"/>
      <c r="J8" s="1857"/>
      <c r="K8" s="1857"/>
      <c r="L8" s="1857"/>
      <c r="M8" s="1188"/>
      <c r="N8" s="1188"/>
      <c r="O8" s="1188"/>
      <c r="P8" s="1188"/>
    </row>
    <row r="9" spans="1:16" ht="12.75" customHeight="1">
      <c r="B9" s="1882"/>
      <c r="C9" s="1863"/>
      <c r="D9" s="1863" t="s">
        <v>411</v>
      </c>
      <c r="E9" s="1877" t="s">
        <v>270</v>
      </c>
      <c r="F9" s="1879" t="s">
        <v>271</v>
      </c>
      <c r="H9" s="1856"/>
      <c r="I9" s="1857"/>
      <c r="J9" s="1857"/>
      <c r="K9" s="1884"/>
      <c r="L9" s="1884"/>
      <c r="M9" s="1188"/>
      <c r="N9" s="1188"/>
      <c r="O9" s="1188"/>
      <c r="P9" s="1188"/>
    </row>
    <row r="10" spans="1:16" ht="13.5" thickBot="1">
      <c r="B10" s="1883"/>
      <c r="C10" s="1864"/>
      <c r="D10" s="1864"/>
      <c r="E10" s="1878"/>
      <c r="F10" s="1880"/>
      <c r="H10" s="1856"/>
      <c r="I10" s="1857"/>
      <c r="J10" s="1857"/>
      <c r="K10" s="1884"/>
      <c r="L10" s="1884"/>
      <c r="M10" s="1188"/>
      <c r="N10" s="1188"/>
      <c r="O10" s="1188"/>
      <c r="P10" s="1188"/>
    </row>
    <row r="11" spans="1:16" ht="13.5" thickTop="1">
      <c r="B11" s="733" t="s">
        <v>728</v>
      </c>
      <c r="C11" s="734" t="s">
        <v>936</v>
      </c>
      <c r="D11" s="583">
        <v>0.4</v>
      </c>
      <c r="E11" s="801">
        <v>65</v>
      </c>
      <c r="F11" s="802">
        <v>60</v>
      </c>
      <c r="H11" s="1253"/>
      <c r="I11" s="1253"/>
      <c r="J11" s="1254"/>
      <c r="K11" s="1255"/>
      <c r="L11" s="1255"/>
      <c r="M11" s="1188"/>
      <c r="N11" s="1188"/>
      <c r="O11" s="1188"/>
      <c r="P11" s="1188"/>
    </row>
    <row r="12" spans="1:16">
      <c r="B12" s="735" t="str">
        <f t="shared" ref="B12:B22" si="0">B11</f>
        <v>EPB</v>
      </c>
      <c r="C12" s="622" t="s">
        <v>937</v>
      </c>
      <c r="D12" s="11">
        <v>1.8</v>
      </c>
      <c r="E12" s="803">
        <v>80</v>
      </c>
      <c r="F12" s="804">
        <v>65</v>
      </c>
      <c r="H12" s="1253"/>
      <c r="I12" s="1253"/>
      <c r="J12" s="1254"/>
      <c r="K12" s="1255"/>
      <c r="L12" s="1255"/>
      <c r="M12" s="1188"/>
      <c r="N12" s="1188"/>
      <c r="O12" s="1188"/>
      <c r="P12" s="1188"/>
    </row>
    <row r="13" spans="1:16">
      <c r="B13" s="736" t="str">
        <f t="shared" si="0"/>
        <v>EPB</v>
      </c>
      <c r="C13" s="623" t="s">
        <v>938</v>
      </c>
      <c r="D13" s="11">
        <v>0.4</v>
      </c>
      <c r="E13" s="803">
        <v>80</v>
      </c>
      <c r="F13" s="804">
        <v>75</v>
      </c>
      <c r="H13" s="1253"/>
      <c r="I13" s="1253"/>
      <c r="J13" s="1254"/>
      <c r="K13" s="1255"/>
      <c r="L13" s="1255"/>
      <c r="M13" s="1188"/>
      <c r="N13" s="1188"/>
      <c r="O13" s="1188"/>
      <c r="P13" s="1188"/>
    </row>
    <row r="14" spans="1:16">
      <c r="B14" s="735" t="str">
        <f t="shared" si="0"/>
        <v>EPB</v>
      </c>
      <c r="C14" s="622" t="s">
        <v>939</v>
      </c>
      <c r="D14" s="116">
        <v>1.8</v>
      </c>
      <c r="E14" s="805">
        <v>115</v>
      </c>
      <c r="F14" s="806">
        <v>85</v>
      </c>
      <c r="H14" s="1253"/>
      <c r="I14" s="1253"/>
      <c r="J14" s="1254"/>
      <c r="K14" s="1255"/>
      <c r="L14" s="1255"/>
      <c r="M14" s="1188"/>
      <c r="N14" s="1188"/>
      <c r="O14" s="1188"/>
      <c r="P14" s="1188"/>
    </row>
    <row r="15" spans="1:16">
      <c r="B15" s="736" t="str">
        <f t="shared" si="0"/>
        <v>EPB</v>
      </c>
      <c r="C15" s="623" t="s">
        <v>940</v>
      </c>
      <c r="D15" s="11">
        <v>0.4</v>
      </c>
      <c r="E15" s="803">
        <v>95</v>
      </c>
      <c r="F15" s="804">
        <v>100</v>
      </c>
      <c r="H15" s="1253"/>
      <c r="I15" s="1253"/>
      <c r="J15" s="1254"/>
      <c r="K15" s="1255"/>
      <c r="L15" s="1255"/>
      <c r="M15" s="1188"/>
      <c r="N15" s="1188"/>
      <c r="O15" s="1188"/>
      <c r="P15" s="1188"/>
    </row>
    <row r="16" spans="1:16" ht="13.5" thickBot="1">
      <c r="B16" s="737" t="str">
        <f t="shared" si="0"/>
        <v>EPB</v>
      </c>
      <c r="C16" s="624" t="s">
        <v>941</v>
      </c>
      <c r="D16" s="117">
        <v>1.2</v>
      </c>
      <c r="E16" s="807">
        <v>140</v>
      </c>
      <c r="F16" s="808">
        <v>115</v>
      </c>
      <c r="H16" s="1253"/>
      <c r="I16" s="1253"/>
      <c r="J16" s="1254"/>
      <c r="K16" s="1255"/>
      <c r="L16" s="1255"/>
      <c r="M16" s="1188"/>
      <c r="N16" s="1188"/>
      <c r="O16" s="1188"/>
      <c r="P16" s="1188"/>
    </row>
    <row r="17" spans="2:16">
      <c r="B17" s="738" t="str">
        <f t="shared" si="0"/>
        <v>EPB</v>
      </c>
      <c r="C17" s="625" t="s">
        <v>840</v>
      </c>
      <c r="D17" s="116">
        <v>0.4</v>
      </c>
      <c r="E17" s="805">
        <v>80</v>
      </c>
      <c r="F17" s="806">
        <v>75</v>
      </c>
      <c r="H17" s="1253"/>
      <c r="I17" s="1253"/>
      <c r="J17" s="1254"/>
      <c r="K17" s="1255"/>
      <c r="L17" s="1255"/>
      <c r="M17" s="1188"/>
      <c r="N17" s="1188"/>
      <c r="O17" s="1188"/>
      <c r="P17" s="1188"/>
    </row>
    <row r="18" spans="2:16">
      <c r="B18" s="735" t="str">
        <f t="shared" si="0"/>
        <v>EPB</v>
      </c>
      <c r="C18" s="622" t="s">
        <v>841</v>
      </c>
      <c r="D18" s="11">
        <v>1.2</v>
      </c>
      <c r="E18" s="803">
        <v>95</v>
      </c>
      <c r="F18" s="804">
        <v>85</v>
      </c>
      <c r="H18" s="1253"/>
      <c r="I18" s="1253"/>
      <c r="J18" s="1254"/>
      <c r="K18" s="1255"/>
      <c r="L18" s="1255"/>
      <c r="M18" s="1188"/>
      <c r="N18" s="1188"/>
      <c r="O18" s="1188"/>
      <c r="P18" s="1188"/>
    </row>
    <row r="19" spans="2:16">
      <c r="B19" s="736" t="str">
        <f t="shared" si="0"/>
        <v>EPB</v>
      </c>
      <c r="C19" s="623" t="s">
        <v>842</v>
      </c>
      <c r="D19" s="11">
        <v>0.4</v>
      </c>
      <c r="E19" s="809">
        <v>95</v>
      </c>
      <c r="F19" s="804">
        <v>110</v>
      </c>
      <c r="H19" s="1253"/>
      <c r="I19" s="1253"/>
      <c r="J19" s="1254"/>
      <c r="K19" s="1255"/>
      <c r="L19" s="1255"/>
      <c r="M19" s="1188"/>
      <c r="N19" s="1188"/>
      <c r="O19" s="1188"/>
      <c r="P19" s="1188"/>
    </row>
    <row r="20" spans="2:16">
      <c r="B20" s="735" t="str">
        <f t="shared" si="0"/>
        <v>EPB</v>
      </c>
      <c r="C20" s="622" t="s">
        <v>843</v>
      </c>
      <c r="D20" s="116">
        <v>1.2</v>
      </c>
      <c r="E20" s="805">
        <v>150</v>
      </c>
      <c r="F20" s="804">
        <v>140</v>
      </c>
      <c r="H20" s="1253"/>
      <c r="I20" s="1253"/>
      <c r="J20" s="1254"/>
      <c r="K20" s="1255"/>
      <c r="L20" s="1255"/>
      <c r="M20" s="1188"/>
      <c r="N20" s="1188"/>
      <c r="O20" s="1188"/>
      <c r="P20" s="1188"/>
    </row>
    <row r="21" spans="2:16">
      <c r="B21" s="738" t="str">
        <f t="shared" si="0"/>
        <v>EPB</v>
      </c>
      <c r="C21" s="625" t="s">
        <v>844</v>
      </c>
      <c r="D21" s="11">
        <v>0.4</v>
      </c>
      <c r="E21" s="805">
        <v>110</v>
      </c>
      <c r="F21" s="806">
        <v>115</v>
      </c>
      <c r="H21" s="1253"/>
      <c r="I21" s="1253"/>
      <c r="J21" s="1254"/>
      <c r="K21" s="1255"/>
      <c r="L21" s="1255"/>
      <c r="M21" s="1188"/>
      <c r="N21" s="1188"/>
      <c r="O21" s="1188"/>
      <c r="P21" s="1188"/>
    </row>
    <row r="22" spans="2:16" ht="13.5" thickBot="1">
      <c r="B22" s="737" t="str">
        <f t="shared" si="0"/>
        <v>EPB</v>
      </c>
      <c r="C22" s="624" t="s">
        <v>845</v>
      </c>
      <c r="D22" s="620">
        <v>1.2</v>
      </c>
      <c r="E22" s="807">
        <v>150</v>
      </c>
      <c r="F22" s="808">
        <v>145</v>
      </c>
      <c r="H22" s="1253"/>
      <c r="I22" s="1253"/>
      <c r="J22" s="1254"/>
      <c r="K22" s="1255"/>
      <c r="L22" s="1255"/>
      <c r="M22" s="1188"/>
      <c r="N22" s="1188"/>
      <c r="O22" s="1188"/>
      <c r="P22" s="1188"/>
    </row>
    <row r="23" spans="2:16">
      <c r="B23" s="738" t="str">
        <f>B11</f>
        <v>EPB</v>
      </c>
      <c r="C23" s="625" t="s">
        <v>846</v>
      </c>
      <c r="D23" s="621">
        <v>0.4</v>
      </c>
      <c r="E23" s="810">
        <v>100</v>
      </c>
      <c r="F23" s="806">
        <v>115</v>
      </c>
      <c r="H23" s="1253"/>
      <c r="I23" s="1253"/>
      <c r="J23" s="1254"/>
      <c r="K23" s="1255"/>
      <c r="L23" s="1255"/>
      <c r="M23" s="1188"/>
      <c r="N23" s="1188"/>
      <c r="O23" s="1188"/>
      <c r="P23" s="1188"/>
    </row>
    <row r="24" spans="2:16">
      <c r="B24" s="735" t="str">
        <f>B11</f>
        <v>EPB</v>
      </c>
      <c r="C24" s="622" t="s">
        <v>847</v>
      </c>
      <c r="D24" s="11">
        <v>1.2</v>
      </c>
      <c r="E24" s="805">
        <v>150</v>
      </c>
      <c r="F24" s="804">
        <v>150</v>
      </c>
      <c r="H24" s="1253"/>
      <c r="I24" s="1253"/>
      <c r="J24" s="1254"/>
      <c r="K24" s="1255"/>
      <c r="L24" s="1255"/>
      <c r="M24" s="1188"/>
      <c r="N24" s="1188"/>
      <c r="O24" s="1188"/>
      <c r="P24" s="1188"/>
    </row>
    <row r="25" spans="2:16">
      <c r="B25" s="738" t="str">
        <f>B11</f>
        <v>EPB</v>
      </c>
      <c r="C25" s="625" t="s">
        <v>848</v>
      </c>
      <c r="D25" s="11">
        <v>0.4</v>
      </c>
      <c r="E25" s="811">
        <v>120</v>
      </c>
      <c r="F25" s="806">
        <v>135</v>
      </c>
      <c r="H25" s="1253"/>
      <c r="I25" s="1253"/>
      <c r="J25" s="1254"/>
      <c r="K25" s="1255"/>
      <c r="L25" s="1255"/>
      <c r="M25" s="1188"/>
      <c r="N25" s="1188"/>
      <c r="O25" s="1188"/>
      <c r="P25" s="1188"/>
    </row>
    <row r="26" spans="2:16" ht="13.5" thickBot="1">
      <c r="B26" s="739" t="str">
        <f>B12</f>
        <v>EPB</v>
      </c>
      <c r="C26" s="740" t="s">
        <v>849</v>
      </c>
      <c r="D26" s="741">
        <v>1.2</v>
      </c>
      <c r="E26" s="812">
        <v>150</v>
      </c>
      <c r="F26" s="813">
        <v>150</v>
      </c>
      <c r="H26" s="1253"/>
      <c r="I26" s="1253"/>
      <c r="J26" s="1254"/>
      <c r="K26" s="1255"/>
      <c r="L26" s="1255"/>
      <c r="M26" s="1188"/>
      <c r="N26" s="1188"/>
      <c r="O26" s="1188"/>
      <c r="P26" s="1188"/>
    </row>
    <row r="27" spans="2:16" s="64" customFormat="1" ht="13.5" thickTop="1">
      <c r="H27" s="1188"/>
      <c r="I27" s="1188"/>
      <c r="J27" s="1188"/>
      <c r="K27" s="1188"/>
      <c r="L27" s="1188"/>
      <c r="M27" s="1188"/>
      <c r="N27" s="1188"/>
      <c r="O27" s="1188"/>
      <c r="P27" s="1188"/>
    </row>
    <row r="28" spans="2:16" s="64" customFormat="1">
      <c r="H28" s="1188"/>
      <c r="I28" s="1188"/>
      <c r="J28" s="1188"/>
      <c r="K28" s="1188"/>
      <c r="L28" s="1188"/>
      <c r="M28" s="1188"/>
      <c r="N28" s="1188"/>
      <c r="O28" s="1188"/>
      <c r="P28" s="1188"/>
    </row>
    <row r="29" spans="2:16" s="64" customFormat="1">
      <c r="H29" s="1188"/>
      <c r="I29" s="1188"/>
      <c r="J29" s="1188"/>
      <c r="K29" s="1188"/>
      <c r="L29" s="1188"/>
      <c r="M29" s="1188"/>
      <c r="N29" s="1188"/>
      <c r="O29" s="1188"/>
      <c r="P29" s="1188"/>
    </row>
    <row r="30" spans="2:16" s="64" customFormat="1"/>
    <row r="31" spans="2:16" s="64" customFormat="1"/>
    <row r="32" spans="2:16"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sheetData>
  <sheetProtection password="CCD2" sheet="1" objects="1" scenarios="1"/>
  <mergeCells count="17">
    <mergeCell ref="L9:L10"/>
    <mergeCell ref="H8:H10"/>
    <mergeCell ref="J9:J10"/>
    <mergeCell ref="B1:L1"/>
    <mergeCell ref="D8:F8"/>
    <mergeCell ref="H6:L7"/>
    <mergeCell ref="J8:L8"/>
    <mergeCell ref="C8:C10"/>
    <mergeCell ref="D9:D10"/>
    <mergeCell ref="B6:F7"/>
    <mergeCell ref="B3:L3"/>
    <mergeCell ref="B2:L2"/>
    <mergeCell ref="I8:I10"/>
    <mergeCell ref="E9:E10"/>
    <mergeCell ref="F9:F10"/>
    <mergeCell ref="B8:B10"/>
    <mergeCell ref="K9:K1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AD237"/>
  <sheetViews>
    <sheetView zoomScale="90" zoomScaleNormal="90" workbookViewId="0">
      <selection activeCell="B4" sqref="B4:M4"/>
    </sheetView>
  </sheetViews>
  <sheetFormatPr defaultColWidth="9.140625" defaultRowHeight="12.75"/>
  <cols>
    <col min="1" max="1" width="5.7109375" style="38" customWidth="1"/>
    <col min="2" max="2" width="16" style="38" customWidth="1"/>
    <col min="3" max="3" width="10" style="38" customWidth="1"/>
    <col min="4" max="4" width="9.28515625" style="38" bestFit="1" customWidth="1"/>
    <col min="5" max="5" width="10.28515625" style="38" customWidth="1"/>
    <col min="6" max="6" width="9.140625" style="38"/>
    <col min="7" max="7" width="10.7109375" style="38" customWidth="1"/>
    <col min="8" max="8" width="10.85546875" style="38" customWidth="1"/>
    <col min="9" max="9" width="8.7109375" style="38" customWidth="1"/>
    <col min="10" max="10" width="9.28515625" style="38" customWidth="1"/>
    <col min="11" max="12" width="9.85546875" style="38" customWidth="1"/>
    <col min="13" max="13" width="9.140625" style="38"/>
    <col min="14" max="14" width="11.5703125" style="38" customWidth="1"/>
    <col min="15" max="17" width="9.140625" style="38"/>
    <col min="18" max="18" width="9.28515625" style="38" customWidth="1"/>
    <col min="19" max="19" width="9.7109375" style="38" customWidth="1"/>
    <col min="20" max="20" width="9.140625" style="38"/>
    <col min="21" max="21" width="10.28515625" style="38" customWidth="1"/>
    <col min="22" max="23" width="9.140625" style="38"/>
    <col min="24" max="30" width="9.140625" style="38" hidden="1" customWidth="1"/>
    <col min="31" max="16384" width="9.140625" style="38"/>
  </cols>
  <sheetData>
    <row r="1" spans="1:19" ht="12.75" customHeight="1" thickBot="1"/>
    <row r="2" spans="1:19" ht="34.5" customHeight="1" thickBot="1">
      <c r="A2" s="784" t="s">
        <v>882</v>
      </c>
      <c r="B2" s="1910" t="s">
        <v>876</v>
      </c>
      <c r="C2" s="1911"/>
      <c r="D2" s="1911"/>
      <c r="E2" s="1911"/>
      <c r="F2" s="1911"/>
      <c r="G2" s="1911"/>
      <c r="H2" s="1911"/>
      <c r="I2" s="1911"/>
      <c r="J2" s="1911"/>
      <c r="K2" s="1911"/>
      <c r="L2" s="1911"/>
      <c r="M2" s="1912"/>
      <c r="N2" s="780"/>
    </row>
    <row r="3" spans="1:19" ht="13.5" customHeight="1" thickBot="1">
      <c r="A3" s="784"/>
      <c r="B3" s="1202"/>
      <c r="C3" s="1203"/>
      <c r="D3" s="1203"/>
      <c r="E3" s="1203"/>
      <c r="F3" s="1203"/>
      <c r="G3" s="1203"/>
      <c r="H3" s="1203"/>
      <c r="I3" s="1203"/>
      <c r="J3" s="1203"/>
      <c r="K3" s="1203"/>
      <c r="L3" s="1203"/>
      <c r="M3" s="1204"/>
      <c r="N3" s="780"/>
    </row>
    <row r="4" spans="1:19" ht="36.75" customHeight="1" thickBot="1">
      <c r="A4" s="784" t="s">
        <v>883</v>
      </c>
      <c r="B4" s="1910" t="s">
        <v>1005</v>
      </c>
      <c r="C4" s="1911"/>
      <c r="D4" s="1911"/>
      <c r="E4" s="1911"/>
      <c r="F4" s="1911"/>
      <c r="G4" s="1911"/>
      <c r="H4" s="1911"/>
      <c r="I4" s="1911"/>
      <c r="J4" s="1911"/>
      <c r="K4" s="1911"/>
      <c r="L4" s="1911"/>
      <c r="M4" s="1912"/>
      <c r="N4" s="780"/>
    </row>
    <row r="5" spans="1:19" ht="13.5" customHeight="1" thickBot="1">
      <c r="A5" s="784"/>
      <c r="B5" s="1202"/>
      <c r="C5" s="1203"/>
      <c r="D5" s="1203"/>
      <c r="E5" s="1203"/>
      <c r="F5" s="1203"/>
      <c r="G5" s="1203"/>
      <c r="H5" s="1203"/>
      <c r="I5" s="1203"/>
      <c r="J5" s="1203"/>
      <c r="K5" s="1203"/>
      <c r="L5" s="1203"/>
      <c r="M5" s="1204"/>
      <c r="N5" s="780"/>
    </row>
    <row r="6" spans="1:19" ht="37.5" customHeight="1" thickBot="1">
      <c r="A6" s="784" t="s">
        <v>884</v>
      </c>
      <c r="B6" s="1910" t="s">
        <v>1006</v>
      </c>
      <c r="C6" s="1911"/>
      <c r="D6" s="1911"/>
      <c r="E6" s="1911"/>
      <c r="F6" s="1911"/>
      <c r="G6" s="1911"/>
      <c r="H6" s="1911"/>
      <c r="I6" s="1911"/>
      <c r="J6" s="1911"/>
      <c r="K6" s="1911"/>
      <c r="L6" s="1911"/>
      <c r="M6" s="1912"/>
      <c r="N6" s="780"/>
    </row>
    <row r="7" spans="1:19" ht="12.75" customHeight="1"/>
    <row r="8" spans="1:19" ht="12.75" customHeight="1" thickBot="1"/>
    <row r="9" spans="1:19" ht="12.75" customHeight="1" thickBot="1">
      <c r="I9" s="1889" t="s">
        <v>887</v>
      </c>
      <c r="J9" s="1890"/>
      <c r="K9" s="1891"/>
      <c r="L9" s="814"/>
      <c r="M9" s="815"/>
      <c r="N9" s="816"/>
    </row>
    <row r="10" spans="1:19" ht="12.75" customHeight="1" thickBot="1">
      <c r="B10" s="1892" t="s">
        <v>871</v>
      </c>
      <c r="C10" s="1893"/>
      <c r="D10" s="1893"/>
      <c r="E10" s="1893"/>
      <c r="F10" s="1893"/>
      <c r="G10" s="1894"/>
      <c r="I10" s="286" t="s">
        <v>675</v>
      </c>
      <c r="J10" s="817"/>
      <c r="K10" s="817"/>
      <c r="L10" s="817"/>
      <c r="M10" s="817"/>
      <c r="N10" s="818"/>
    </row>
    <row r="11" spans="1:19" ht="12.75" customHeight="1">
      <c r="B11" s="1895"/>
      <c r="C11" s="1896"/>
      <c r="D11" s="1896"/>
      <c r="E11" s="1896"/>
      <c r="F11" s="1896"/>
      <c r="G11" s="1897"/>
    </row>
    <row r="12" spans="1:19" ht="12.75" customHeight="1" thickBot="1">
      <c r="B12" s="1898"/>
      <c r="C12" s="1899"/>
      <c r="D12" s="1899"/>
      <c r="E12" s="1899"/>
      <c r="F12" s="1899"/>
      <c r="G12" s="1900"/>
    </row>
    <row r="13" spans="1:19" ht="12.75" customHeight="1"/>
    <row r="14" spans="1:19" ht="12.75" customHeight="1">
      <c r="B14" s="208" t="s">
        <v>530</v>
      </c>
      <c r="C14" s="209"/>
      <c r="D14" s="209"/>
      <c r="E14" s="654" t="str">
        <f>WindCalc!AB80</f>
        <v>Low</v>
      </c>
      <c r="G14" s="38" t="s">
        <v>325</v>
      </c>
      <c r="O14" s="819"/>
      <c r="P14" s="819"/>
      <c r="Q14" s="819"/>
      <c r="R14" s="819"/>
      <c r="S14" s="819"/>
    </row>
    <row r="15" spans="1:19" ht="12.75" customHeight="1">
      <c r="B15" s="212" t="s">
        <v>155</v>
      </c>
      <c r="E15" s="210">
        <f>'Project Demand'!AK7</f>
        <v>2</v>
      </c>
      <c r="G15" s="204" t="s">
        <v>592</v>
      </c>
      <c r="O15" s="819"/>
      <c r="P15" s="819"/>
      <c r="Q15" s="819"/>
      <c r="R15" s="819"/>
      <c r="S15" s="819"/>
    </row>
    <row r="16" spans="1:19" ht="12.75" customHeight="1">
      <c r="B16" s="213" t="s">
        <v>156</v>
      </c>
      <c r="C16" s="214"/>
      <c r="D16" s="214"/>
      <c r="E16" s="210">
        <f>'Project Demand'!N14</f>
        <v>55</v>
      </c>
      <c r="G16" s="204" t="s">
        <v>533</v>
      </c>
    </row>
    <row r="17" spans="2:19" ht="12.75" customHeight="1"/>
    <row r="18" spans="2:19" ht="12.75" customHeight="1" thickBot="1">
      <c r="B18" s="781"/>
      <c r="C18" s="782"/>
      <c r="D18" s="783" t="s">
        <v>31</v>
      </c>
      <c r="E18" s="368" t="s">
        <v>71</v>
      </c>
    </row>
    <row r="19" spans="2:19" ht="12.75" customHeight="1">
      <c r="B19" s="1908" t="s">
        <v>72</v>
      </c>
      <c r="C19" s="1960"/>
      <c r="D19" s="215">
        <f>'Project Demand'!E26</f>
        <v>8.9</v>
      </c>
      <c r="E19" s="215">
        <f>'Project Demand'!E27</f>
        <v>6.8</v>
      </c>
      <c r="G19" s="204" t="s">
        <v>812</v>
      </c>
      <c r="H19" s="204"/>
      <c r="I19" s="694">
        <f>'Project Demand'!AX5</f>
        <v>1</v>
      </c>
      <c r="K19" s="1926" t="s">
        <v>888</v>
      </c>
      <c r="L19" s="1927"/>
      <c r="M19" s="1938" t="s">
        <v>423</v>
      </c>
      <c r="N19" s="1938" t="s">
        <v>424</v>
      </c>
      <c r="O19" s="1939"/>
      <c r="P19" s="1938" t="s">
        <v>425</v>
      </c>
      <c r="Q19" s="1939"/>
      <c r="R19" s="1932" t="s">
        <v>426</v>
      </c>
      <c r="S19" s="1933"/>
    </row>
    <row r="20" spans="2:19" ht="12.75" customHeight="1">
      <c r="B20" s="1901" t="s">
        <v>167</v>
      </c>
      <c r="C20" s="1902"/>
      <c r="D20" s="215">
        <f>'Project Demand'!E36</f>
        <v>7.2</v>
      </c>
      <c r="E20" s="215">
        <f>'Project Demand'!E37</f>
        <v>5.6</v>
      </c>
      <c r="G20" s="204"/>
      <c r="H20" s="204"/>
      <c r="I20" s="204"/>
      <c r="K20" s="1928"/>
      <c r="L20" s="1929"/>
      <c r="M20" s="1940"/>
      <c r="N20" s="1940"/>
      <c r="O20" s="1941"/>
      <c r="P20" s="1940"/>
      <c r="Q20" s="1941"/>
      <c r="R20" s="1934"/>
      <c r="S20" s="1935"/>
    </row>
    <row r="21" spans="2:19" ht="12.75" customHeight="1">
      <c r="B21" s="1901" t="s">
        <v>168</v>
      </c>
      <c r="C21" s="1902"/>
      <c r="D21" s="215">
        <f>'Project Demand'!E46</f>
        <v>12</v>
      </c>
      <c r="E21" s="215">
        <f>'Project Demand'!E47</f>
        <v>10</v>
      </c>
      <c r="G21" s="204" t="s">
        <v>813</v>
      </c>
      <c r="H21" s="204"/>
      <c r="I21" s="695">
        <v>1</v>
      </c>
      <c r="K21" s="1928"/>
      <c r="L21" s="1929"/>
      <c r="M21" s="1940"/>
      <c r="N21" s="1940"/>
      <c r="O21" s="1941"/>
      <c r="P21" s="1940"/>
      <c r="Q21" s="1941"/>
      <c r="R21" s="1934"/>
      <c r="S21" s="1935"/>
    </row>
    <row r="22" spans="2:19" ht="12.75" customHeight="1">
      <c r="B22" s="1903" t="s">
        <v>169</v>
      </c>
      <c r="C22" s="1904"/>
      <c r="D22" s="215">
        <f>'Project Demand'!E56</f>
        <v>12</v>
      </c>
      <c r="E22" s="215">
        <f>'Project Demand'!E57</f>
        <v>10</v>
      </c>
      <c r="G22" s="204" t="s">
        <v>870</v>
      </c>
      <c r="H22" s="204"/>
      <c r="I22" s="263">
        <v>20</v>
      </c>
      <c r="K22" s="1930"/>
      <c r="L22" s="1931"/>
      <c r="M22" s="1942"/>
      <c r="N22" s="1942"/>
      <c r="O22" s="1943"/>
      <c r="P22" s="1942"/>
      <c r="Q22" s="1943"/>
      <c r="R22" s="1936"/>
      <c r="S22" s="1937"/>
    </row>
    <row r="23" spans="2:19" ht="12.75" customHeight="1">
      <c r="G23" s="204"/>
      <c r="H23" s="204"/>
      <c r="I23" s="217"/>
      <c r="J23" s="218"/>
      <c r="K23" s="1966" t="s">
        <v>427</v>
      </c>
      <c r="L23" s="1967"/>
      <c r="M23" s="219">
        <f>IF(RoofType&lt;&gt;3,E19,E19*2)</f>
        <v>6.8</v>
      </c>
      <c r="N23" s="1948">
        <f>Height_Above_Eaves/TAN(Roof_Pitch*PI()/180)*2</f>
        <v>7.1434412905820182</v>
      </c>
      <c r="O23" s="1949"/>
      <c r="P23" s="1950">
        <f>IF(Calculated_Roof_Width&gt;Roof_Width,Calculated_Roof_Width,Roof_Width)</f>
        <v>7.1434412905820182</v>
      </c>
      <c r="Q23" s="1951"/>
      <c r="R23" s="1952" t="str">
        <f>IF(Calculated_Roof_Width&gt;Roof_Width,"Calculated","Entered")</f>
        <v>Calculated</v>
      </c>
      <c r="S23" s="1953"/>
    </row>
    <row r="24" spans="2:19" ht="12.75" customHeight="1">
      <c r="D24" s="220"/>
      <c r="G24" s="204" t="s">
        <v>814</v>
      </c>
      <c r="H24" s="204"/>
      <c r="I24" s="228">
        <f>IF(I$19=1,I22,I21)</f>
        <v>20</v>
      </c>
      <c r="J24" s="221"/>
      <c r="K24" s="222"/>
      <c r="L24" s="223"/>
      <c r="M24" s="224"/>
      <c r="N24" s="225"/>
      <c r="O24" s="226"/>
      <c r="P24" s="225"/>
      <c r="Q24" s="226"/>
      <c r="R24" s="223"/>
      <c r="S24" s="227"/>
    </row>
    <row r="25" spans="2:19" ht="12.75" customHeight="1">
      <c r="E25" s="220"/>
      <c r="G25" s="204" t="s">
        <v>873</v>
      </c>
      <c r="H25" s="204"/>
      <c r="I25" s="228">
        <f>IF(I$19=1,I21,I22)</f>
        <v>1</v>
      </c>
      <c r="J25" s="218"/>
      <c r="K25" s="1966" t="s">
        <v>428</v>
      </c>
      <c r="L25" s="1967"/>
      <c r="M25" s="224">
        <f>RoofH</f>
        <v>1.3</v>
      </c>
      <c r="N25" s="1948">
        <f>Roof_Width/2*TAN(Roof_Pitch*PI()/180)</f>
        <v>1.2374987965050879</v>
      </c>
      <c r="O25" s="1949"/>
      <c r="P25" s="1950">
        <f>IF(Calculated_Eaves_Height&gt;Height_Above_Eaves, Calculated_Eaves_Height,Height_Above_Eaves)</f>
        <v>1.3</v>
      </c>
      <c r="Q25" s="1951"/>
      <c r="R25" s="1952" t="str">
        <f>IF(Calculated_Eaves_Height&gt;Height_Above_Eaves, "Calculated","Entered")</f>
        <v>Entered</v>
      </c>
      <c r="S25" s="1953"/>
    </row>
    <row r="26" spans="2:19" ht="12.75" customHeight="1">
      <c r="B26" s="229" t="s">
        <v>337</v>
      </c>
      <c r="C26" s="229"/>
      <c r="D26" s="229"/>
      <c r="E26" s="229">
        <f>IF(RoofType=2,RoofH^2/TAN(K109*PI()/180),0)</f>
        <v>0</v>
      </c>
      <c r="J26" s="221"/>
      <c r="K26" s="222"/>
      <c r="L26" s="223"/>
      <c r="M26" s="224"/>
      <c r="N26" s="225"/>
      <c r="O26" s="226"/>
      <c r="P26" s="225"/>
      <c r="Q26" s="226"/>
      <c r="R26" s="223"/>
      <c r="S26" s="227"/>
    </row>
    <row r="27" spans="2:19" ht="12.75" customHeight="1" thickBot="1">
      <c r="B27" s="38" t="s">
        <v>157</v>
      </c>
      <c r="F27" s="230">
        <f>'Project Demand'!E31</f>
        <v>8.5</v>
      </c>
      <c r="G27" s="38" t="s">
        <v>45</v>
      </c>
      <c r="H27" s="231"/>
      <c r="K27" s="1977" t="s">
        <v>429</v>
      </c>
      <c r="L27" s="1978"/>
      <c r="M27" s="232">
        <f>F29</f>
        <v>20</v>
      </c>
      <c r="N27" s="1985">
        <f>ATAN(Height_Above_Eaves/(Roof_Width/2))/PI()*180</f>
        <v>20.924501744921169</v>
      </c>
      <c r="O27" s="1986"/>
      <c r="P27" s="1946">
        <f>IF(Calculated_Roof_Pitch&gt;Roof_Pitch,Calculated_Roof_Pitch,Roof_Pitch)</f>
        <v>20.924501744921169</v>
      </c>
      <c r="Q27" s="1947"/>
      <c r="R27" s="1944" t="str">
        <f>IF(Calculated_Roof_Pitch&gt;Roof_Pitch,"Calculated","Entered")</f>
        <v>Calculated</v>
      </c>
      <c r="S27" s="1945"/>
    </row>
    <row r="28" spans="2:19" ht="12.75" customHeight="1">
      <c r="B28" s="38" t="s">
        <v>258</v>
      </c>
      <c r="F28" s="233">
        <f>IF('Project Demand'!E30 &gt; F27,F27,'Project Demand'!E30)</f>
        <v>1.3</v>
      </c>
      <c r="G28" s="38" t="s">
        <v>45</v>
      </c>
      <c r="H28" s="231"/>
    </row>
    <row r="29" spans="2:19" ht="12.75" customHeight="1">
      <c r="B29" s="38" t="s">
        <v>158</v>
      </c>
      <c r="F29" s="211">
        <f>'Project Demand'!E25</f>
        <v>20</v>
      </c>
      <c r="G29" s="234">
        <f>Calculated_Roof_Pitch</f>
        <v>20.924501744921169</v>
      </c>
      <c r="H29" s="234">
        <f>Roof_Pitch</f>
        <v>20</v>
      </c>
    </row>
    <row r="30" spans="2:19" ht="12.75" customHeight="1">
      <c r="B30" s="204" t="s">
        <v>874</v>
      </c>
      <c r="F30" s="235">
        <f>'Project Demand'!AQ25</f>
        <v>1</v>
      </c>
      <c r="G30" s="211">
        <f>'Project Demand'!E41</f>
        <v>19</v>
      </c>
      <c r="I30" s="38" t="s">
        <v>164</v>
      </c>
    </row>
    <row r="31" spans="2:19" ht="12.75" customHeight="1">
      <c r="B31" s="204" t="s">
        <v>875</v>
      </c>
      <c r="F31" s="235">
        <f>'Project Demand'!AX25</f>
        <v>1</v>
      </c>
      <c r="G31" s="211">
        <f>'Project Demand'!E51</f>
        <v>41</v>
      </c>
      <c r="I31" s="204" t="s">
        <v>164</v>
      </c>
    </row>
    <row r="32" spans="2:19" ht="12.75" customHeight="1">
      <c r="B32" s="38" t="s">
        <v>159</v>
      </c>
      <c r="F32" s="235">
        <f>'Project Demand'!AQ18</f>
        <v>1</v>
      </c>
      <c r="G32" s="211">
        <f>'Project Demand'!AR17</f>
        <v>20</v>
      </c>
      <c r="I32" s="38" t="s">
        <v>165</v>
      </c>
    </row>
    <row r="33" spans="2:14" ht="12.75" customHeight="1">
      <c r="B33" s="204" t="s">
        <v>531</v>
      </c>
      <c r="F33" s="235">
        <f>'Project Demand'!AQ13</f>
        <v>2</v>
      </c>
      <c r="G33" s="211">
        <f>'Project Demand'!AR12</f>
        <v>2</v>
      </c>
      <c r="I33" s="38" t="s">
        <v>165</v>
      </c>
      <c r="N33" s="204" t="s">
        <v>654</v>
      </c>
    </row>
    <row r="34" spans="2:14" ht="12.75" customHeight="1">
      <c r="B34" s="38" t="s">
        <v>314</v>
      </c>
      <c r="F34" s="230">
        <f>'Project Demand'!AQ21</f>
        <v>1</v>
      </c>
      <c r="G34" s="236" t="str">
        <f>IF(RoofType=1,"Typical", IF(RoofType=2,"Hip","Mono Pitced"))</f>
        <v>Typical</v>
      </c>
      <c r="I34" s="237" t="s">
        <v>315</v>
      </c>
    </row>
    <row r="35" spans="2:14" ht="12.75" customHeight="1">
      <c r="B35" s="238" t="s">
        <v>160</v>
      </c>
    </row>
    <row r="36" spans="2:14" ht="12.75" customHeight="1">
      <c r="B36" s="38" t="s">
        <v>161</v>
      </c>
      <c r="F36" s="230">
        <f>'Project Demand'!AQ34</f>
        <v>1</v>
      </c>
      <c r="G36" s="211">
        <f>'Project Demand'!AR33</f>
        <v>10</v>
      </c>
      <c r="I36" s="38" t="s">
        <v>166</v>
      </c>
    </row>
    <row r="37" spans="2:14" ht="12.75" customHeight="1">
      <c r="B37" s="239" t="s">
        <v>180</v>
      </c>
      <c r="F37" s="211">
        <f>'Project Demand'!E38</f>
        <v>38</v>
      </c>
      <c r="G37" s="38" t="s">
        <v>170</v>
      </c>
    </row>
    <row r="38" spans="2:14" ht="12.75" customHeight="1">
      <c r="B38" s="38" t="s">
        <v>238</v>
      </c>
      <c r="F38" s="230">
        <f>'Project Demand'!E34</f>
        <v>4.5999999999999996</v>
      </c>
      <c r="G38" s="38" t="s">
        <v>45</v>
      </c>
      <c r="H38" s="38" t="s">
        <v>338</v>
      </c>
      <c r="I38" s="38" t="s">
        <v>171</v>
      </c>
      <c r="L38" s="234"/>
    </row>
    <row r="39" spans="2:14" ht="12.75" customHeight="1">
      <c r="B39" s="38" t="s">
        <v>239</v>
      </c>
      <c r="E39" s="230">
        <f>'Project Demand'!E35</f>
        <v>2.4</v>
      </c>
      <c r="F39" s="234">
        <f>IF(E39&lt;HUE,HUE,E39)</f>
        <v>4.5999999999999996</v>
      </c>
      <c r="G39" s="38" t="s">
        <v>45</v>
      </c>
    </row>
    <row r="40" spans="2:14" ht="12.75" customHeight="1"/>
    <row r="41" spans="2:14" ht="12.75" customHeight="1">
      <c r="B41" s="238" t="s">
        <v>162</v>
      </c>
    </row>
    <row r="42" spans="2:14" ht="12.75" customHeight="1">
      <c r="B42" s="38" t="s">
        <v>161</v>
      </c>
      <c r="F42" s="230">
        <f>'Project Demand'!AQ40</f>
        <v>1</v>
      </c>
      <c r="G42" s="211">
        <f>'Project Demand'!AR38</f>
        <v>10</v>
      </c>
      <c r="I42" s="38" t="s">
        <v>166</v>
      </c>
    </row>
    <row r="43" spans="2:14" ht="12.75" customHeight="1">
      <c r="B43" s="239" t="s">
        <v>181</v>
      </c>
      <c r="F43" s="211">
        <f>'Project Demand'!E48</f>
        <v>120</v>
      </c>
      <c r="G43" s="38" t="s">
        <v>170</v>
      </c>
    </row>
    <row r="44" spans="2:14" ht="12.75" customHeight="1">
      <c r="B44" s="38" t="s">
        <v>240</v>
      </c>
      <c r="F44" s="234">
        <f>IF(F45&gt;G44,G44,G44+XX)</f>
        <v>2.4</v>
      </c>
      <c r="G44" s="230">
        <f>'Project Demand'!E44</f>
        <v>2.4</v>
      </c>
    </row>
    <row r="45" spans="2:14" ht="12.75" customHeight="1">
      <c r="B45" s="204" t="s">
        <v>1021</v>
      </c>
      <c r="F45" s="230">
        <f>'Project Demand'!E45</f>
        <v>2.4</v>
      </c>
      <c r="G45" s="38" t="s">
        <v>45</v>
      </c>
    </row>
    <row r="46" spans="2:14" ht="12.75" customHeight="1">
      <c r="B46" s="38" t="s">
        <v>342</v>
      </c>
      <c r="D46" s="240">
        <f>G44-HLI</f>
        <v>0</v>
      </c>
      <c r="E46" s="240">
        <f>IF(D46&lt;0.15,0.15,IF(D46&gt;0.3,0.3,D46))*0</f>
        <v>0</v>
      </c>
      <c r="F46" s="241" t="s">
        <v>45</v>
      </c>
    </row>
    <row r="47" spans="2:14" ht="12.75" customHeight="1">
      <c r="B47" s="242" t="s">
        <v>65</v>
      </c>
    </row>
    <row r="48" spans="2:14" ht="12.75" customHeight="1">
      <c r="B48" s="38" t="s">
        <v>161</v>
      </c>
      <c r="F48" s="230">
        <f>'Project Demand'!AQ50</f>
        <v>1</v>
      </c>
      <c r="G48" s="211">
        <f>'Project Demand'!AR48</f>
        <v>10</v>
      </c>
      <c r="I48" s="38" t="s">
        <v>166</v>
      </c>
    </row>
    <row r="49" spans="2:27" ht="12.75" customHeight="1">
      <c r="B49" s="38" t="s">
        <v>163</v>
      </c>
      <c r="F49" s="211">
        <f>'Project Demand'!E58</f>
        <v>120</v>
      </c>
      <c r="G49" s="38" t="s">
        <v>170</v>
      </c>
    </row>
    <row r="50" spans="2:27" ht="12.75" customHeight="1">
      <c r="B50" s="204" t="s">
        <v>1025</v>
      </c>
      <c r="F50" s="230">
        <f>IF(Slab=1,0,'Project Demand'!E54)</f>
        <v>0.2</v>
      </c>
      <c r="G50" s="38" t="s">
        <v>45</v>
      </c>
    </row>
    <row r="51" spans="2:27" ht="12.75" customHeight="1">
      <c r="B51" s="204" t="s">
        <v>1058</v>
      </c>
    </row>
    <row r="52" spans="2:27" ht="12.75" customHeight="1">
      <c r="B52" s="38" t="s">
        <v>176</v>
      </c>
      <c r="D52" s="230">
        <f>'Project Demand'!AQ6</f>
        <v>2</v>
      </c>
      <c r="F52" s="38" t="s">
        <v>177</v>
      </c>
    </row>
    <row r="53" spans="2:27" ht="12.75" customHeight="1">
      <c r="B53" s="38" t="s">
        <v>178</v>
      </c>
      <c r="D53" s="230">
        <f>'Project Demand'!AQ9</f>
        <v>2</v>
      </c>
      <c r="F53" s="204" t="s">
        <v>655</v>
      </c>
    </row>
    <row r="54" spans="2:27" ht="12.75" customHeight="1"/>
    <row r="55" spans="2:27" ht="12.75" customHeight="1">
      <c r="B55" s="238" t="s">
        <v>179</v>
      </c>
      <c r="C55" s="239"/>
      <c r="D55" s="243">
        <f>'Project Demand'!AK59</f>
        <v>1</v>
      </c>
      <c r="F55" s="244" t="s">
        <v>277</v>
      </c>
      <c r="G55" s="239"/>
      <c r="H55" s="239"/>
    </row>
    <row r="56" spans="2:27" ht="12.75" customHeight="1">
      <c r="B56" s="242" t="s">
        <v>276</v>
      </c>
      <c r="D56" s="211">
        <f>'Project Demand'!AK64</f>
        <v>5</v>
      </c>
      <c r="F56" s="244" t="s">
        <v>339</v>
      </c>
    </row>
    <row r="57" spans="2:27" ht="12.75" customHeight="1">
      <c r="B57" s="204" t="s">
        <v>490</v>
      </c>
      <c r="D57" s="211">
        <f>'Project Demand'!AX62</f>
        <v>1</v>
      </c>
    </row>
    <row r="58" spans="2:27" ht="12.75" customHeight="1"/>
    <row r="59" spans="2:27" ht="12.75" customHeight="1" thickBot="1"/>
    <row r="60" spans="2:27" ht="12.75" customHeight="1">
      <c r="B60" s="1968" t="s">
        <v>872</v>
      </c>
      <c r="C60" s="1969"/>
      <c r="D60" s="1969"/>
      <c r="E60" s="1969"/>
      <c r="F60" s="1970"/>
    </row>
    <row r="61" spans="2:27" ht="12.75" customHeight="1">
      <c r="B61" s="1971"/>
      <c r="C61" s="1972"/>
      <c r="D61" s="1972"/>
      <c r="E61" s="1972"/>
      <c r="F61" s="1973"/>
    </row>
    <row r="62" spans="2:27" ht="12.75" customHeight="1" thickBot="1">
      <c r="B62" s="1974"/>
      <c r="C62" s="1975"/>
      <c r="D62" s="1975"/>
      <c r="E62" s="1975"/>
      <c r="F62" s="1976"/>
    </row>
    <row r="63" spans="2:27" ht="12.75" customHeight="1" thickBot="1"/>
    <row r="64" spans="2:27" ht="12.75" customHeight="1">
      <c r="B64" s="839"/>
      <c r="C64" s="840"/>
      <c r="D64" s="841"/>
      <c r="E64" s="1964" t="s">
        <v>172</v>
      </c>
      <c r="F64" s="1965"/>
      <c r="G64" s="1915" t="s">
        <v>162</v>
      </c>
      <c r="H64" s="1965"/>
      <c r="I64" s="1915" t="s">
        <v>65</v>
      </c>
      <c r="J64" s="1916"/>
      <c r="Z64" s="203"/>
      <c r="AA64" s="203"/>
    </row>
    <row r="65" spans="2:27" ht="12.75" customHeight="1" thickBot="1">
      <c r="B65" s="836"/>
      <c r="C65" s="837"/>
      <c r="D65" s="838"/>
      <c r="E65" s="241"/>
      <c r="F65" s="241"/>
      <c r="G65" s="241"/>
      <c r="H65" s="241"/>
      <c r="I65" s="241"/>
      <c r="J65" s="245"/>
      <c r="Z65" s="203"/>
      <c r="AA65" s="204"/>
    </row>
    <row r="66" spans="2:27" ht="12.75" customHeight="1">
      <c r="B66" s="842" t="s">
        <v>878</v>
      </c>
      <c r="C66" s="843"/>
      <c r="D66" s="844"/>
      <c r="E66" s="1917" t="s">
        <v>173</v>
      </c>
      <c r="F66" s="1918"/>
      <c r="G66" s="1887" t="s">
        <v>173</v>
      </c>
      <c r="H66" s="1918"/>
      <c r="I66" s="1887" t="s">
        <v>173</v>
      </c>
      <c r="J66" s="1888"/>
      <c r="Z66" s="205"/>
      <c r="AA66" s="206"/>
    </row>
    <row r="67" spans="2:27" ht="12.75" customHeight="1">
      <c r="B67" s="835" t="s">
        <v>174</v>
      </c>
      <c r="C67" s="833"/>
      <c r="D67" s="834"/>
      <c r="E67" s="1885">
        <f>IF($E$15&lt;&gt;4,IF(E$14="Specific Design","N/A",IF($I$19=1,(ROUND(H$112,0)),ROUND(H$112,1))),IF($I$19=1,ROUND(H$112,0),ROUND(H$112,1)))</f>
        <v>204</v>
      </c>
      <c r="F67" s="1886"/>
      <c r="G67" s="1961">
        <f>IF(NumStoreys=1,"N/A",IF($E$15&lt;&gt;4,IF(E$14="Specific Design","N/A",IF($I$19=1,(ROUND(H$113,0)),ROUND(H$113,1))),IF($I$19=1,ROUND(H$113,0),ROUND(H$113,1))))</f>
        <v>531</v>
      </c>
      <c r="H67" s="1886"/>
      <c r="I67" s="1961">
        <f>IF(Slab=1,"N/A",IF($E$15&lt;&gt;4,IF(E$14="Specific Design","N/A",IF($I$19=1,(ROUND(H$114,0)),ROUND(H$114,1))),IF($I$19=1,ROUND(H$114,0),ROUND(H$114,1))))</f>
        <v>685</v>
      </c>
      <c r="J67" s="1962"/>
      <c r="Z67" s="205"/>
      <c r="AA67" s="206"/>
    </row>
    <row r="68" spans="2:27" ht="12.75" customHeight="1" thickBot="1">
      <c r="B68" s="845" t="s">
        <v>175</v>
      </c>
      <c r="C68" s="846"/>
      <c r="D68" s="847"/>
      <c r="E68" s="1923">
        <f>IF($E$15&lt;&gt;4,IF(E$14="Specific Design","N/A",IF($I$19=1,(ROUND(G$112,0)),ROUND(G$112,1))),IF($I$19=1,ROUND(G$112,0),ROUND(G$112,1)))</f>
        <v>210</v>
      </c>
      <c r="F68" s="1921"/>
      <c r="G68" s="1920">
        <f>IF(NumStoreys=1,"N/A",IF($E$15&lt;&gt;4,IF(E$14="Specific Design","N/A",IF($I$19=1,(ROUND(G$113,0)),ROUND(G$113,1))),IF($I$19=1,ROUND(G$113,0),ROUND(G$113,1))))</f>
        <v>586</v>
      </c>
      <c r="H68" s="1921"/>
      <c r="I68" s="1920">
        <f>IF(Slab=1,"N/A",IF($E$15&lt;&gt;4,IF(E$14="Specific Design","N/A",IF($I$19=1,(ROUND(G$114,0)),ROUND(G$114,1))),IF($I$19=1,ROUND(G$114,0),ROUND(G$116,1))))</f>
        <v>770</v>
      </c>
      <c r="J68" s="1922"/>
      <c r="Z68" s="205"/>
      <c r="AA68" s="206"/>
    </row>
    <row r="69" spans="2:27" ht="12.75" customHeight="1" thickBot="1">
      <c r="B69" s="836"/>
      <c r="C69" s="837"/>
      <c r="D69" s="838"/>
      <c r="E69" s="204"/>
      <c r="F69" s="204"/>
      <c r="G69" s="204"/>
      <c r="H69" s="204"/>
      <c r="I69" s="204"/>
      <c r="J69" s="696"/>
      <c r="Z69" s="205"/>
      <c r="AA69" s="206"/>
    </row>
    <row r="70" spans="2:27" ht="12.75" customHeight="1">
      <c r="B70" s="827" t="s">
        <v>879</v>
      </c>
      <c r="C70" s="828"/>
      <c r="D70" s="829"/>
      <c r="E70" s="1913" t="s">
        <v>173</v>
      </c>
      <c r="F70" s="1914"/>
      <c r="G70" s="1919" t="s">
        <v>173</v>
      </c>
      <c r="H70" s="1914"/>
      <c r="I70" s="1919" t="s">
        <v>173</v>
      </c>
      <c r="J70" s="1963"/>
      <c r="Z70" s="205"/>
      <c r="AA70" s="206"/>
    </row>
    <row r="71" spans="2:27" ht="12.75" customHeight="1" thickBot="1">
      <c r="B71" s="830"/>
      <c r="C71" s="831"/>
      <c r="D71" s="832"/>
      <c r="E71" s="1958">
        <f>(IF($I$19=1,ROUND(P232,0),ROUND(P232,1)))*D57</f>
        <v>523</v>
      </c>
      <c r="F71" s="1959"/>
      <c r="G71" s="1906">
        <f>IF(NumStoreys=1,"N/A",(IF($I$19=1,ROUND(P233,0),ROUND(P233,1)))*D57)</f>
        <v>1159</v>
      </c>
      <c r="H71" s="1959"/>
      <c r="I71" s="1906">
        <f>IF(Slab=2,(IF($I$19=1,ROUND(P234,0),ROUND(P234,1)))*D57,"N/A")</f>
        <v>1206</v>
      </c>
      <c r="J71" s="1907"/>
    </row>
    <row r="72" spans="2:27" ht="12.75" customHeight="1">
      <c r="E72" s="241"/>
      <c r="F72" s="241"/>
      <c r="G72" s="241"/>
      <c r="H72" s="241"/>
      <c r="I72" s="241"/>
      <c r="J72" s="241"/>
    </row>
    <row r="73" spans="2:27" ht="12.75" customHeight="1"/>
    <row r="74" spans="2:27" ht="12.75" customHeight="1"/>
    <row r="75" spans="2:27" ht="12.75" customHeight="1" thickBot="1"/>
    <row r="76" spans="2:27" ht="12.75" customHeight="1">
      <c r="B76" s="1979" t="s">
        <v>877</v>
      </c>
      <c r="C76" s="1980"/>
      <c r="D76" s="1980"/>
      <c r="E76" s="1981"/>
    </row>
    <row r="77" spans="2:27" ht="23.25" customHeight="1" thickBot="1">
      <c r="B77" s="1982"/>
      <c r="C77" s="1983"/>
      <c r="D77" s="1983"/>
      <c r="E77" s="1984"/>
      <c r="F77" s="239"/>
      <c r="G77" s="239"/>
      <c r="H77" s="239"/>
      <c r="I77" s="239"/>
      <c r="J77" s="239"/>
      <c r="K77" s="239"/>
      <c r="L77" s="239"/>
      <c r="M77" s="239"/>
      <c r="N77" s="1925"/>
      <c r="O77" s="1925"/>
      <c r="P77" s="1924"/>
      <c r="Q77" s="1924"/>
      <c r="R77" s="1924"/>
      <c r="S77" s="1924"/>
      <c r="T77" s="1924"/>
      <c r="U77" s="1924"/>
    </row>
    <row r="78" spans="2:27" ht="12.75" customHeight="1">
      <c r="B78" s="239"/>
      <c r="C78" s="239"/>
      <c r="D78" s="239"/>
      <c r="E78" s="239"/>
      <c r="F78" s="239"/>
      <c r="G78" s="239"/>
      <c r="H78" s="239"/>
      <c r="I78" s="239"/>
      <c r="J78" s="239"/>
      <c r="K78" s="239"/>
      <c r="L78" s="333"/>
      <c r="M78" s="239"/>
      <c r="O78" s="247"/>
      <c r="P78" s="247"/>
      <c r="Q78" s="247"/>
      <c r="R78" s="247"/>
      <c r="S78" s="247"/>
      <c r="T78" s="247"/>
      <c r="U78" s="247"/>
    </row>
    <row r="79" spans="2:27" ht="12.75" customHeight="1">
      <c r="B79" s="239"/>
      <c r="C79" s="239"/>
      <c r="D79" s="239"/>
      <c r="E79" s="239"/>
      <c r="F79" s="239"/>
      <c r="G79" s="239"/>
      <c r="H79" s="239"/>
      <c r="I79" s="239"/>
      <c r="J79" s="239"/>
      <c r="K79" s="239"/>
      <c r="L79" s="239"/>
      <c r="M79" s="239"/>
      <c r="O79" s="239"/>
      <c r="P79" s="204"/>
      <c r="Q79" s="204"/>
      <c r="R79" s="239"/>
      <c r="S79" s="239"/>
      <c r="T79" s="247"/>
      <c r="U79" s="247"/>
    </row>
    <row r="80" spans="2:27" ht="12.75" customHeight="1">
      <c r="B80" s="239"/>
      <c r="C80" s="239"/>
      <c r="D80" s="239"/>
      <c r="E80" s="239"/>
      <c r="F80" s="239"/>
      <c r="G80" s="239"/>
      <c r="H80" s="239"/>
      <c r="I80" s="239"/>
      <c r="J80" s="239"/>
      <c r="K80" s="239"/>
      <c r="L80" s="1329"/>
      <c r="M80" s="333"/>
      <c r="O80" s="333"/>
      <c r="R80" s="333"/>
      <c r="S80" s="333"/>
      <c r="T80" s="333"/>
      <c r="U80" s="1329"/>
    </row>
    <row r="81" spans="2:21" ht="12.75" customHeight="1">
      <c r="B81" s="239"/>
      <c r="C81" s="239"/>
      <c r="D81" s="239"/>
      <c r="E81" s="239"/>
      <c r="F81" s="239"/>
      <c r="G81" s="239"/>
      <c r="H81" s="239"/>
      <c r="I81" s="239"/>
      <c r="J81" s="239"/>
      <c r="K81" s="239"/>
      <c r="L81" s="1329"/>
      <c r="M81" s="333"/>
      <c r="O81" s="1330"/>
      <c r="R81" s="333"/>
      <c r="S81" s="333"/>
      <c r="T81" s="333"/>
      <c r="U81" s="1329"/>
    </row>
    <row r="82" spans="2:21" ht="12.75" customHeight="1">
      <c r="B82" s="239"/>
      <c r="C82" s="239"/>
      <c r="D82" s="239"/>
      <c r="E82" s="239"/>
      <c r="F82" s="239"/>
      <c r="G82" s="239"/>
      <c r="H82" s="239"/>
      <c r="I82" s="239"/>
      <c r="J82" s="239"/>
      <c r="K82" s="239"/>
      <c r="L82" s="1329"/>
      <c r="M82" s="333"/>
      <c r="N82" s="333"/>
      <c r="P82" s="333"/>
      <c r="Q82" s="333"/>
      <c r="S82" s="247"/>
      <c r="T82" s="333"/>
      <c r="U82" s="1329"/>
    </row>
    <row r="83" spans="2:21" ht="12.75" customHeight="1">
      <c r="B83" s="239"/>
      <c r="C83" s="239"/>
      <c r="D83" s="239"/>
      <c r="E83" s="239"/>
      <c r="F83" s="239"/>
      <c r="G83" s="239"/>
      <c r="H83" s="239"/>
      <c r="I83" s="239"/>
      <c r="J83" s="239"/>
      <c r="K83" s="239"/>
      <c r="L83" s="239"/>
      <c r="M83" s="239"/>
      <c r="N83" s="247"/>
      <c r="O83" s="247"/>
      <c r="P83" s="247"/>
      <c r="Q83" s="247"/>
      <c r="R83" s="247"/>
      <c r="S83" s="247"/>
      <c r="T83" s="247"/>
      <c r="U83" s="247"/>
    </row>
    <row r="84" spans="2:21" ht="12.75" customHeight="1">
      <c r="B84" s="239"/>
      <c r="C84" s="239"/>
      <c r="D84" s="239"/>
      <c r="E84" s="239"/>
      <c r="F84" s="239"/>
      <c r="G84" s="239"/>
      <c r="H84" s="239"/>
      <c r="I84" s="239"/>
      <c r="J84" s="239"/>
      <c r="K84" s="239"/>
      <c r="L84" s="239"/>
      <c r="M84" s="239"/>
      <c r="P84" s="247"/>
      <c r="Q84" s="247"/>
      <c r="R84" s="247"/>
      <c r="S84" s="247"/>
      <c r="T84" s="247"/>
      <c r="U84" s="247"/>
    </row>
    <row r="85" spans="2:21" ht="12.75" customHeight="1">
      <c r="B85" s="239"/>
      <c r="C85" s="239"/>
      <c r="D85" s="239"/>
      <c r="E85" s="239"/>
      <c r="F85" s="239"/>
      <c r="G85" s="239"/>
      <c r="H85" s="239"/>
      <c r="I85" s="239"/>
      <c r="J85" s="239"/>
      <c r="K85" s="239"/>
      <c r="L85" s="239"/>
      <c r="M85" s="239"/>
      <c r="O85" s="203"/>
      <c r="P85" s="247"/>
      <c r="Q85" s="247"/>
      <c r="R85" s="247"/>
      <c r="S85" s="247"/>
      <c r="T85" s="247"/>
      <c r="U85" s="247"/>
    </row>
    <row r="86" spans="2:21" ht="12.75" customHeight="1" thickBot="1">
      <c r="B86" s="239"/>
      <c r="C86" s="239"/>
      <c r="D86" s="239"/>
      <c r="E86" s="239"/>
      <c r="F86" s="239"/>
      <c r="G86" s="239"/>
      <c r="H86" s="239"/>
      <c r="I86" s="239"/>
      <c r="J86" s="239"/>
      <c r="K86" s="239"/>
      <c r="L86" s="239"/>
      <c r="M86" s="239"/>
      <c r="P86" s="247"/>
      <c r="Q86" s="247"/>
      <c r="R86" s="247"/>
      <c r="S86" s="247"/>
      <c r="T86" s="247"/>
      <c r="U86" s="247"/>
    </row>
    <row r="87" spans="2:21" ht="12.75" customHeight="1">
      <c r="B87" s="239"/>
      <c r="C87" s="239"/>
      <c r="D87" s="239"/>
      <c r="E87" s="239"/>
      <c r="F87" s="239"/>
      <c r="G87" s="239"/>
      <c r="H87" s="239"/>
      <c r="I87" s="239"/>
      <c r="J87" s="239"/>
      <c r="K87" s="239"/>
      <c r="L87" s="239"/>
      <c r="M87" s="239"/>
      <c r="P87" s="247"/>
      <c r="Q87" s="247"/>
      <c r="R87" s="254"/>
      <c r="S87" s="255" t="s">
        <v>417</v>
      </c>
      <c r="T87" s="255"/>
      <c r="U87" s="256"/>
    </row>
    <row r="88" spans="2:21" ht="12.75" customHeight="1">
      <c r="B88" s="239"/>
      <c r="C88" s="239"/>
      <c r="D88" s="239"/>
      <c r="E88" s="239"/>
      <c r="F88" s="239"/>
      <c r="G88" s="239"/>
      <c r="H88" s="239"/>
      <c r="I88" s="239"/>
      <c r="J88" s="239"/>
      <c r="K88" s="239"/>
      <c r="L88" s="239"/>
      <c r="M88" s="239"/>
      <c r="P88" s="247"/>
      <c r="Q88" s="247"/>
      <c r="R88" s="262"/>
      <c r="S88" s="263" t="s">
        <v>70</v>
      </c>
      <c r="T88" s="264" t="s">
        <v>418</v>
      </c>
      <c r="U88" s="265" t="s">
        <v>419</v>
      </c>
    </row>
    <row r="89" spans="2:21" ht="12.75" customHeight="1" thickBot="1">
      <c r="B89" s="239"/>
      <c r="C89" s="239"/>
      <c r="D89" s="239"/>
      <c r="E89" s="239"/>
      <c r="F89" s="239"/>
      <c r="G89" s="239"/>
      <c r="H89" s="239"/>
      <c r="I89" s="239"/>
      <c r="J89" s="239"/>
      <c r="K89" s="239"/>
      <c r="L89" s="239"/>
      <c r="M89" s="239"/>
      <c r="P89" s="247"/>
      <c r="Q89" s="247"/>
      <c r="R89" s="222" t="s">
        <v>26</v>
      </c>
      <c r="S89" s="270">
        <v>32</v>
      </c>
      <c r="T89" s="271">
        <f>(S89*S89*0.6/1000)</f>
        <v>0.61439999999999995</v>
      </c>
      <c r="U89" s="272">
        <f>T89*0.8</f>
        <v>0.49151999999999996</v>
      </c>
    </row>
    <row r="90" spans="2:21" ht="12.75" customHeight="1" thickTop="1">
      <c r="B90" s="248" t="s">
        <v>327</v>
      </c>
      <c r="C90" s="249">
        <f>IF(E14="Low",C93,IF(E14="Medium",D93,IF(E14="High",E93,IF(E14="Very High",F93,G93))))</f>
        <v>0.61439999999999995</v>
      </c>
      <c r="D90" s="250"/>
      <c r="E90" s="250"/>
      <c r="F90" s="250"/>
      <c r="G90" s="250"/>
      <c r="H90" s="251"/>
      <c r="I90" s="250"/>
      <c r="J90" s="249" t="s">
        <v>31</v>
      </c>
      <c r="K90" s="252" t="s">
        <v>71</v>
      </c>
      <c r="L90" s="253"/>
      <c r="M90" s="239"/>
      <c r="N90" s="1954" t="s">
        <v>525</v>
      </c>
      <c r="O90" s="1955"/>
      <c r="P90" s="247"/>
      <c r="R90" s="222" t="s">
        <v>27</v>
      </c>
      <c r="S90" s="270">
        <v>37</v>
      </c>
      <c r="T90" s="271">
        <f>(S90*S90*0.6/1000)</f>
        <v>0.82140000000000002</v>
      </c>
      <c r="U90" s="272">
        <f>T90*0.8</f>
        <v>0.65712000000000004</v>
      </c>
    </row>
    <row r="91" spans="2:21" ht="12.75" customHeight="1" thickBot="1">
      <c r="B91" s="257" t="s">
        <v>328</v>
      </c>
      <c r="C91" s="258">
        <f>IF(OR(E15=1,E15=2,E15=3),0.8*C90,0.8*0.6*E16*E16/1000)</f>
        <v>0.49151999999999996</v>
      </c>
      <c r="D91" s="239"/>
      <c r="E91" s="239"/>
      <c r="F91" s="239"/>
      <c r="G91" s="239"/>
      <c r="H91" s="1908" t="s">
        <v>72</v>
      </c>
      <c r="I91" s="1909"/>
      <c r="J91" s="259">
        <f t="shared" ref="J91:K94" si="0">D19</f>
        <v>8.9</v>
      </c>
      <c r="K91" s="260">
        <f t="shared" si="0"/>
        <v>6.8</v>
      </c>
      <c r="L91" s="261"/>
      <c r="M91" s="239"/>
      <c r="N91" s="1956"/>
      <c r="O91" s="1957"/>
      <c r="R91" s="222" t="s">
        <v>28</v>
      </c>
      <c r="S91" s="270">
        <v>44</v>
      </c>
      <c r="T91" s="271">
        <f>(S91*S91*0.6/1000)</f>
        <v>1.1616</v>
      </c>
      <c r="U91" s="272">
        <f>T91*0.8</f>
        <v>0.92927999999999999</v>
      </c>
    </row>
    <row r="92" spans="2:21" ht="12.75" customHeight="1" thickBot="1">
      <c r="B92" s="266"/>
      <c r="C92" s="267" t="s">
        <v>5</v>
      </c>
      <c r="D92" s="267" t="s">
        <v>7</v>
      </c>
      <c r="E92" s="267" t="s">
        <v>6</v>
      </c>
      <c r="F92" s="267" t="s">
        <v>73</v>
      </c>
      <c r="G92" s="267" t="s">
        <v>273</v>
      </c>
      <c r="H92" s="1901" t="s">
        <v>74</v>
      </c>
      <c r="I92" s="1905"/>
      <c r="J92" s="259">
        <f t="shared" si="0"/>
        <v>7.2</v>
      </c>
      <c r="K92" s="260">
        <f t="shared" si="0"/>
        <v>5.6</v>
      </c>
      <c r="L92" s="261"/>
      <c r="M92" s="239"/>
      <c r="R92" s="222" t="s">
        <v>29</v>
      </c>
      <c r="S92" s="270">
        <v>50</v>
      </c>
      <c r="T92" s="271">
        <f>(S92*S92*0.6/1000)</f>
        <v>1.5</v>
      </c>
      <c r="U92" s="272">
        <f>T92*0.8</f>
        <v>1.2000000000000002</v>
      </c>
    </row>
    <row r="93" spans="2:21" ht="12.75" customHeight="1" thickBot="1">
      <c r="B93" s="273" t="s">
        <v>75</v>
      </c>
      <c r="C93" s="274">
        <f>0.6*C94*C94/1000</f>
        <v>0.61439999999999995</v>
      </c>
      <c r="D93" s="274">
        <f>0.6*D94*D94/1000</f>
        <v>0.82140000000000002</v>
      </c>
      <c r="E93" s="274">
        <f>0.6*E94*E94/1000</f>
        <v>1.1616</v>
      </c>
      <c r="F93" s="274">
        <f>0.6*F94*F94/1000</f>
        <v>1.5</v>
      </c>
      <c r="G93" s="274">
        <f>0.6*G94*G94/1000</f>
        <v>1.8149999999999999</v>
      </c>
      <c r="H93" s="1901" t="s">
        <v>76</v>
      </c>
      <c r="I93" s="1905"/>
      <c r="J93" s="259">
        <f t="shared" si="0"/>
        <v>12</v>
      </c>
      <c r="K93" s="260">
        <f t="shared" si="0"/>
        <v>10</v>
      </c>
      <c r="L93" s="261"/>
      <c r="M93" s="275"/>
      <c r="N93" s="268" t="s">
        <v>524</v>
      </c>
      <c r="O93" s="269">
        <f>CprAlong</f>
        <v>1.2</v>
      </c>
      <c r="R93" s="286" t="s">
        <v>274</v>
      </c>
      <c r="S93" s="287">
        <v>55</v>
      </c>
      <c r="T93" s="288">
        <f>(S93*S93*0.6/1000)</f>
        <v>1.8149999999999999</v>
      </c>
      <c r="U93" s="289">
        <f>T93*0.8</f>
        <v>1.452</v>
      </c>
    </row>
    <row r="94" spans="2:21" ht="12.75" customHeight="1">
      <c r="B94" s="276" t="s">
        <v>656</v>
      </c>
      <c r="C94" s="277">
        <v>32</v>
      </c>
      <c r="D94" s="277">
        <v>37</v>
      </c>
      <c r="E94" s="277">
        <v>44</v>
      </c>
      <c r="F94" s="277">
        <v>50</v>
      </c>
      <c r="G94" s="277">
        <v>55</v>
      </c>
      <c r="H94" s="1903" t="s">
        <v>77</v>
      </c>
      <c r="I94" s="2013"/>
      <c r="J94" s="279">
        <f t="shared" si="0"/>
        <v>12</v>
      </c>
      <c r="K94" s="280">
        <f t="shared" si="0"/>
        <v>10</v>
      </c>
      <c r="L94" s="261"/>
      <c r="M94" s="239"/>
      <c r="N94" s="281" t="s">
        <v>1032</v>
      </c>
      <c r="O94" s="282">
        <f>CPR</f>
        <v>0.132320055725902</v>
      </c>
    </row>
    <row r="95" spans="2:21" ht="12.75" customHeight="1" thickBot="1">
      <c r="B95" s="276"/>
      <c r="C95" s="1992"/>
      <c r="D95" s="1992"/>
      <c r="E95" s="246"/>
      <c r="F95" s="239"/>
      <c r="G95" s="1992"/>
      <c r="H95" s="1992"/>
      <c r="I95" s="246"/>
      <c r="J95" s="239"/>
      <c r="K95" s="239"/>
      <c r="L95" s="261"/>
      <c r="M95" s="239"/>
      <c r="N95" s="290" t="s">
        <v>345</v>
      </c>
      <c r="O95" s="1322">
        <f>CPW</f>
        <v>1.2</v>
      </c>
      <c r="P95" s="247"/>
    </row>
    <row r="96" spans="2:21" ht="12.75" customHeight="1" thickBot="1">
      <c r="B96" s="283"/>
      <c r="C96" s="284"/>
      <c r="D96" s="284"/>
      <c r="E96" s="284"/>
      <c r="F96" s="284"/>
      <c r="G96" s="1996"/>
      <c r="H96" s="1996"/>
      <c r="I96" s="1996"/>
      <c r="J96" s="1996"/>
      <c r="K96" s="1996"/>
      <c r="L96" s="261"/>
      <c r="M96" s="239"/>
      <c r="P96" s="247"/>
    </row>
    <row r="97" spans="2:21" ht="12.75" customHeight="1">
      <c r="B97" s="283"/>
      <c r="C97" s="284"/>
      <c r="D97" s="284"/>
      <c r="E97" s="284"/>
      <c r="F97" s="284"/>
      <c r="G97" s="1996"/>
      <c r="H97" s="1996"/>
      <c r="I97" s="1996"/>
      <c r="J97" s="1996"/>
      <c r="K97" s="1996"/>
      <c r="L97" s="261"/>
      <c r="M97" s="239"/>
      <c r="N97" s="1321" t="s">
        <v>347</v>
      </c>
      <c r="O97" s="269">
        <f>RoofH</f>
        <v>1.3</v>
      </c>
      <c r="P97" s="1321" t="s">
        <v>346</v>
      </c>
      <c r="Q97" s="269">
        <f>LR</f>
        <v>8.9</v>
      </c>
      <c r="R97" s="1321" t="s">
        <v>349</v>
      </c>
      <c r="S97" s="1323">
        <f>WR</f>
        <v>6.8</v>
      </c>
      <c r="T97" s="247"/>
      <c r="U97" s="247"/>
    </row>
    <row r="98" spans="2:21" ht="12.75" customHeight="1">
      <c r="B98" s="283"/>
      <c r="C98" s="284"/>
      <c r="D98" s="284"/>
      <c r="E98" s="284"/>
      <c r="F98" s="284"/>
      <c r="G98" s="1996"/>
      <c r="H98" s="1996"/>
      <c r="I98" s="1996"/>
      <c r="J98" s="1996"/>
      <c r="K98" s="1996"/>
      <c r="L98" s="261"/>
      <c r="M98" s="239"/>
      <c r="N98" s="281" t="s">
        <v>344</v>
      </c>
      <c r="O98" s="282">
        <f>HUE</f>
        <v>4.5999999999999996</v>
      </c>
      <c r="P98" s="281" t="s">
        <v>343</v>
      </c>
      <c r="Q98" s="282">
        <f>LU</f>
        <v>7.2</v>
      </c>
      <c r="R98" s="281" t="s">
        <v>348</v>
      </c>
      <c r="S98" s="1320">
        <f>WU</f>
        <v>5.6</v>
      </c>
      <c r="T98" s="247"/>
      <c r="U98" s="247"/>
    </row>
    <row r="99" spans="2:21" ht="12.75" customHeight="1">
      <c r="B99" s="283"/>
      <c r="C99" s="284"/>
      <c r="D99" s="284"/>
      <c r="E99" s="284"/>
      <c r="F99" s="284"/>
      <c r="G99" s="239"/>
      <c r="H99" s="284"/>
      <c r="I99" s="284"/>
      <c r="J99" s="284"/>
      <c r="K99" s="285"/>
      <c r="L99" s="261"/>
      <c r="M99" s="239"/>
      <c r="N99" s="281" t="s">
        <v>1029</v>
      </c>
      <c r="O99" s="282">
        <f>HLE</f>
        <v>2.4</v>
      </c>
      <c r="P99" s="281" t="s">
        <v>1022</v>
      </c>
      <c r="Q99" s="282">
        <f>LL</f>
        <v>12</v>
      </c>
      <c r="R99" s="281" t="s">
        <v>1023</v>
      </c>
      <c r="S99" s="1320">
        <f>WL</f>
        <v>10</v>
      </c>
      <c r="T99" s="247"/>
      <c r="U99" s="247"/>
    </row>
    <row r="100" spans="2:21" ht="12.75" customHeight="1" thickBot="1">
      <c r="B100" s="283"/>
      <c r="E100" s="284"/>
      <c r="F100" s="284"/>
      <c r="G100" s="239"/>
      <c r="H100" s="284"/>
      <c r="I100" s="284"/>
      <c r="J100" s="284"/>
      <c r="K100" s="285"/>
      <c r="L100" s="261"/>
      <c r="M100" s="239"/>
      <c r="N100" s="290" t="s">
        <v>1026</v>
      </c>
      <c r="O100" s="1324">
        <f>HS</f>
        <v>0.2</v>
      </c>
      <c r="P100" s="290" t="s">
        <v>1027</v>
      </c>
      <c r="Q100" s="1324">
        <f>LS</f>
        <v>12</v>
      </c>
      <c r="R100" s="290" t="s">
        <v>1028</v>
      </c>
      <c r="S100" s="1319">
        <f>WS</f>
        <v>10</v>
      </c>
      <c r="T100" s="247"/>
      <c r="U100" s="247"/>
    </row>
    <row r="101" spans="2:21" ht="12.75" customHeight="1">
      <c r="B101" s="283"/>
      <c r="D101" s="234"/>
      <c r="E101" s="284"/>
      <c r="F101" s="297" t="s">
        <v>335</v>
      </c>
      <c r="G101" s="298"/>
      <c r="H101" s="299">
        <f>IF(RoofType =3,0.6,L113)</f>
        <v>0.132320055725902</v>
      </c>
      <c r="I101" s="298"/>
      <c r="J101" s="285"/>
      <c r="K101" s="285"/>
      <c r="L101" s="261"/>
      <c r="P101" s="247"/>
      <c r="Q101" s="247"/>
      <c r="R101" s="247"/>
      <c r="S101" s="247"/>
      <c r="T101" s="247"/>
      <c r="U101" s="247"/>
    </row>
    <row r="102" spans="2:21" ht="12.75" customHeight="1">
      <c r="B102" s="291"/>
      <c r="F102" s="298" t="s">
        <v>336</v>
      </c>
      <c r="G102" s="298"/>
      <c r="H102" s="1328">
        <f>IF(RoofType=2,CPR,CPW)</f>
        <v>1.2</v>
      </c>
      <c r="I102" s="298" t="s">
        <v>45</v>
      </c>
      <c r="J102" s="239"/>
      <c r="K102" s="239"/>
      <c r="L102" s="261"/>
      <c r="M102" s="239"/>
      <c r="U102" s="247"/>
    </row>
    <row r="103" spans="2:21" ht="12.75" customHeight="1" thickBot="1">
      <c r="B103" s="291"/>
      <c r="D103" s="292" t="s">
        <v>332</v>
      </c>
      <c r="F103" s="298" t="s">
        <v>78</v>
      </c>
      <c r="G103" s="298"/>
      <c r="H103" s="308">
        <f>F28</f>
        <v>1.3</v>
      </c>
      <c r="I103" s="298" t="s">
        <v>45</v>
      </c>
      <c r="J103" s="239"/>
      <c r="K103" s="239"/>
      <c r="L103" s="261"/>
      <c r="M103" s="239"/>
      <c r="N103" s="204" t="s">
        <v>1024</v>
      </c>
    </row>
    <row r="104" spans="2:21" ht="12.75" customHeight="1">
      <c r="B104" s="276"/>
      <c r="C104" s="1327" t="s">
        <v>1030</v>
      </c>
      <c r="D104" s="292" t="s">
        <v>333</v>
      </c>
      <c r="E104" s="246"/>
      <c r="F104" s="298" t="s">
        <v>316</v>
      </c>
      <c r="G104" s="298"/>
      <c r="H104" s="306" t="str">
        <f>G34</f>
        <v>Typical</v>
      </c>
      <c r="I104" s="298"/>
      <c r="J104" s="216" t="s">
        <v>1031</v>
      </c>
      <c r="K104" s="239">
        <f>XX</f>
        <v>0</v>
      </c>
      <c r="L104" s="261"/>
      <c r="M104" s="239"/>
      <c r="N104" s="293" t="s">
        <v>432</v>
      </c>
      <c r="O104" s="1325">
        <f>IF(NumStoreys=1,HUE,(HLE-XX))</f>
        <v>2.4</v>
      </c>
      <c r="P104" s="239" t="s">
        <v>441</v>
      </c>
      <c r="Q104" s="239"/>
      <c r="R104" s="239"/>
      <c r="S104" s="239"/>
    </row>
    <row r="105" spans="2:21" ht="12.75" customHeight="1">
      <c r="B105" s="295"/>
      <c r="C105" s="296"/>
      <c r="D105" s="229">
        <v>0</v>
      </c>
      <c r="E105" s="246"/>
      <c r="J105" s="300" t="s">
        <v>430</v>
      </c>
      <c r="K105" s="284">
        <f>MAX(LL-LU,0)</f>
        <v>4.8</v>
      </c>
      <c r="L105" s="261"/>
      <c r="M105" s="247"/>
      <c r="N105" s="294" t="s">
        <v>433</v>
      </c>
      <c r="O105" s="1326">
        <f>IF(NumStoreys=1,LU,LL)</f>
        <v>12</v>
      </c>
      <c r="P105" s="239" t="s">
        <v>259</v>
      </c>
      <c r="Q105" s="239"/>
      <c r="R105" s="239"/>
      <c r="S105" s="239"/>
    </row>
    <row r="106" spans="2:21" ht="12.75" customHeight="1" thickBot="1">
      <c r="B106" s="303">
        <v>1</v>
      </c>
      <c r="C106" s="304">
        <v>0</v>
      </c>
      <c r="D106" s="305">
        <f>ATAN(B106/3.6)*180/PI()</f>
        <v>15.524110996754256</v>
      </c>
      <c r="E106" s="246"/>
      <c r="J106" s="216" t="s">
        <v>431</v>
      </c>
      <c r="K106" s="284">
        <f>MAX(WL-WU,0)</f>
        <v>4.4000000000000004</v>
      </c>
      <c r="L106" s="307"/>
      <c r="M106" s="247"/>
      <c r="N106" s="301" t="s">
        <v>434</v>
      </c>
      <c r="O106" s="302">
        <f>IF(NumStoreys=1,WU,WL)</f>
        <v>10</v>
      </c>
      <c r="P106" s="239" t="s">
        <v>260</v>
      </c>
      <c r="Q106" s="247"/>
      <c r="R106" s="247"/>
      <c r="S106" s="247"/>
    </row>
    <row r="107" spans="2:21" ht="12.75" customHeight="1">
      <c r="B107" s="303">
        <v>2</v>
      </c>
      <c r="C107" s="304">
        <v>0.4</v>
      </c>
      <c r="D107" s="305">
        <f>ATAN(B107/3.6)*180/PI()</f>
        <v>29.054604099077146</v>
      </c>
      <c r="E107" s="246"/>
      <c r="J107" s="239"/>
      <c r="K107" s="239"/>
      <c r="L107" s="307"/>
      <c r="M107" s="247"/>
      <c r="N107" s="247"/>
      <c r="O107" s="247"/>
      <c r="P107" s="239"/>
      <c r="Q107" s="239"/>
      <c r="R107" s="239"/>
      <c r="S107" s="239"/>
      <c r="T107" s="239"/>
      <c r="U107" s="239"/>
    </row>
    <row r="108" spans="2:21" ht="12.75" customHeight="1" thickBot="1">
      <c r="B108" s="303">
        <v>3</v>
      </c>
      <c r="C108" s="304">
        <v>0.7</v>
      </c>
      <c r="D108" s="305">
        <f t="shared" ref="D108:D114" si="1">ATAN(B108/3.6)*180/PI()</f>
        <v>39.80557109226519</v>
      </c>
      <c r="E108" s="247"/>
      <c r="F108" s="2007" t="s">
        <v>960</v>
      </c>
      <c r="G108" s="2008"/>
      <c r="H108" s="2009"/>
      <c r="K108" s="309"/>
      <c r="L108" s="307"/>
      <c r="M108" s="237"/>
      <c r="N108" s="239"/>
      <c r="O108" s="239"/>
      <c r="P108" s="239"/>
      <c r="Q108" s="239"/>
      <c r="R108" s="239"/>
      <c r="S108" s="239"/>
      <c r="T108" s="239"/>
      <c r="U108" s="239"/>
    </row>
    <row r="109" spans="2:21" ht="12.75" customHeight="1">
      <c r="B109" s="303">
        <v>4</v>
      </c>
      <c r="C109" s="304">
        <v>0.85</v>
      </c>
      <c r="D109" s="305">
        <f t="shared" si="1"/>
        <v>48.012787504183336</v>
      </c>
      <c r="E109" s="247"/>
      <c r="F109" s="2010"/>
      <c r="G109" s="2011"/>
      <c r="H109" s="2012"/>
      <c r="I109" s="247"/>
      <c r="J109" s="310" t="s">
        <v>334</v>
      </c>
      <c r="K109" s="311">
        <f>H29</f>
        <v>20</v>
      </c>
      <c r="L109" s="307"/>
      <c r="M109" s="275"/>
      <c r="N109" s="1954" t="s">
        <v>512</v>
      </c>
      <c r="O109" s="2001"/>
      <c r="P109" s="1955"/>
      <c r="Q109" s="239"/>
      <c r="R109" s="239"/>
      <c r="S109" s="239"/>
      <c r="T109" s="239"/>
      <c r="U109" s="239"/>
    </row>
    <row r="110" spans="2:21" ht="12.75" customHeight="1">
      <c r="B110" s="303">
        <v>5</v>
      </c>
      <c r="C110" s="304">
        <v>1.2</v>
      </c>
      <c r="D110" s="305">
        <f t="shared" si="1"/>
        <v>54.246112745563259</v>
      </c>
      <c r="E110" s="247"/>
      <c r="F110" s="795" t="s">
        <v>526</v>
      </c>
      <c r="G110" s="292"/>
      <c r="H110" s="796"/>
      <c r="I110" s="247"/>
      <c r="J110" s="312" t="s">
        <v>79</v>
      </c>
      <c r="K110" s="312"/>
      <c r="L110" s="313"/>
      <c r="M110" s="239"/>
      <c r="N110" s="2002"/>
      <c r="O110" s="2003"/>
      <c r="P110" s="2004"/>
      <c r="Q110" s="239"/>
      <c r="R110" s="239"/>
      <c r="S110" s="239"/>
      <c r="T110" s="239"/>
      <c r="U110" s="239"/>
    </row>
    <row r="111" spans="2:21" ht="12.75" customHeight="1">
      <c r="B111" s="303">
        <v>6</v>
      </c>
      <c r="C111" s="304">
        <v>1.2</v>
      </c>
      <c r="D111" s="305">
        <f t="shared" si="1"/>
        <v>59.036243467926482</v>
      </c>
      <c r="F111" s="314"/>
      <c r="G111" s="315" t="s">
        <v>18</v>
      </c>
      <c r="H111" s="316" t="s">
        <v>66</v>
      </c>
      <c r="I111" s="284"/>
      <c r="J111" s="310">
        <f>IF(H103&gt;=0,MATCH(K109,RoofAngle,1),0)</f>
        <v>2</v>
      </c>
      <c r="K111" s="632">
        <f>INDEX(RoofAngle,J111)</f>
        <v>15.524110996754256</v>
      </c>
      <c r="L111" s="317">
        <f>IF(J111=1,0,INDEX(CPs,J111-1,1))</f>
        <v>0</v>
      </c>
      <c r="N111" s="318"/>
      <c r="O111" s="319" t="s">
        <v>18</v>
      </c>
      <c r="P111" s="320" t="s">
        <v>66</v>
      </c>
      <c r="Q111" s="239"/>
      <c r="R111" s="239"/>
      <c r="S111" s="239"/>
      <c r="T111" s="239"/>
      <c r="U111" s="239"/>
    </row>
    <row r="112" spans="2:21" ht="12.75" customHeight="1">
      <c r="B112" s="303">
        <v>7</v>
      </c>
      <c r="C112" s="304">
        <v>1.2</v>
      </c>
      <c r="D112" s="305">
        <f t="shared" si="1"/>
        <v>62.783888442692529</v>
      </c>
      <c r="F112" s="321" t="s">
        <v>67</v>
      </c>
      <c r="G112" s="785">
        <f>I24*QQQ*(LU*HUE/2*CPW+(LR*RoofH-Alost)*CPR)</f>
        <v>210.39949130709743</v>
      </c>
      <c r="H112" s="786">
        <f>I24*QQQ*(CPW*WU*HUE/2+CprAlong*WR*RoofH/2)</f>
        <v>204.07910399999997</v>
      </c>
      <c r="I112" s="247"/>
      <c r="J112" s="310">
        <f>J111+1</f>
        <v>3</v>
      </c>
      <c r="K112" s="632">
        <f>INDEX(RoofAngle,J112)</f>
        <v>29.054604099077146</v>
      </c>
      <c r="L112" s="317">
        <f>IF(J112=1,0,INDEX(CPs,J112-1,1))</f>
        <v>0.4</v>
      </c>
      <c r="N112" s="321" t="s">
        <v>67</v>
      </c>
      <c r="O112" s="322">
        <f t="shared" ref="O112:P114" si="2">G112/J92</f>
        <v>29.222151570430199</v>
      </c>
      <c r="P112" s="323">
        <f t="shared" si="2"/>
        <v>36.442697142857142</v>
      </c>
      <c r="Q112" s="239"/>
      <c r="R112" s="239"/>
      <c r="S112" s="239"/>
      <c r="T112" s="239"/>
      <c r="U112" s="239"/>
    </row>
    <row r="113" spans="2:21" ht="12.75" customHeight="1">
      <c r="B113" s="303">
        <v>8</v>
      </c>
      <c r="C113" s="304">
        <v>1.2</v>
      </c>
      <c r="D113" s="305">
        <f t="shared" si="1"/>
        <v>65.772254682045826</v>
      </c>
      <c r="F113" s="321" t="s">
        <v>14</v>
      </c>
      <c r="G113" s="785">
        <f>IF(NumStoreys=1,G112,QQQ*I24*(LU*HUE*CPW+((HLE-XX)/2+XX)*LL*CPW+(LR*RoofH-Alost)*CPR+IF(YY=0,0,(YY+1.2)*RoofH*CPR)))</f>
        <v>585.76443289839904</v>
      </c>
      <c r="H113" s="786">
        <f>IF(NumStoreys=1,H112,H112+I24*QQQ*CPW*(HUE/2*WU+((HLE-XX)/2+XX)*WL+TanSlope/4*(IF(ZZ=0,0,(ZZ+1.2)^2))))</f>
        <v>531.2370962986738</v>
      </c>
      <c r="I113" s="247"/>
      <c r="J113" s="312" t="s">
        <v>80</v>
      </c>
      <c r="K113" s="229"/>
      <c r="L113" s="324">
        <f>L111+(L112-L111)*(K109-K111)/(K112-K111)</f>
        <v>0.132320055725902</v>
      </c>
      <c r="N113" s="321" t="s">
        <v>14</v>
      </c>
      <c r="O113" s="322">
        <f t="shared" si="2"/>
        <v>48.813702741533255</v>
      </c>
      <c r="P113" s="323">
        <f t="shared" si="2"/>
        <v>53.123709629867378</v>
      </c>
      <c r="Q113" s="239"/>
      <c r="R113" s="239"/>
      <c r="S113" s="239"/>
      <c r="T113" s="239"/>
      <c r="U113" s="239"/>
    </row>
    <row r="114" spans="2:21" ht="12.75" customHeight="1" thickBot="1">
      <c r="B114" s="303">
        <v>9</v>
      </c>
      <c r="C114" s="304">
        <v>1.2</v>
      </c>
      <c r="D114" s="305">
        <f t="shared" si="1"/>
        <v>68.198590513648185</v>
      </c>
      <c r="F114" s="325" t="s">
        <v>257</v>
      </c>
      <c r="G114" s="787">
        <f>IF(Slab=1,G113,G113+I24*QQQ*CPW*(HEI/2*LE+HS/2*LS))</f>
        <v>769.78952089839902</v>
      </c>
      <c r="H114" s="788">
        <f>IF(Slab=1,H113,H113+I24*QQQ*CPW*(HEI/2*WE+HS/2*WS))</f>
        <v>684.59133629867381</v>
      </c>
      <c r="I114" s="239"/>
      <c r="J114" s="239"/>
      <c r="K114" s="239"/>
      <c r="L114" s="261"/>
      <c r="M114" s="239"/>
      <c r="N114" s="325" t="s">
        <v>257</v>
      </c>
      <c r="O114" s="326">
        <f t="shared" si="2"/>
        <v>64.149126741533252</v>
      </c>
      <c r="P114" s="327">
        <f t="shared" si="2"/>
        <v>68.459133629867381</v>
      </c>
      <c r="Q114" s="239"/>
      <c r="R114" s="239"/>
      <c r="S114" s="239"/>
      <c r="T114" s="239"/>
      <c r="U114" s="239"/>
    </row>
    <row r="115" spans="2:21" ht="12.75" customHeight="1" thickBot="1">
      <c r="B115" s="328" t="s">
        <v>81</v>
      </c>
      <c r="C115" s="329">
        <v>1.2</v>
      </c>
      <c r="D115" s="330">
        <v>99999</v>
      </c>
      <c r="E115" s="330"/>
      <c r="F115" s="2006"/>
      <c r="G115" s="2006"/>
      <c r="H115" s="2006"/>
      <c r="I115" s="330"/>
      <c r="J115" s="330"/>
      <c r="K115" s="330"/>
      <c r="L115" s="331"/>
      <c r="M115" s="239"/>
      <c r="U115" s="239"/>
    </row>
    <row r="116" spans="2:21" ht="12.75" customHeight="1" thickTop="1">
      <c r="B116" s="239"/>
      <c r="C116" s="239"/>
      <c r="D116" s="239"/>
      <c r="E116" s="239"/>
      <c r="F116" s="239"/>
      <c r="G116" s="239"/>
      <c r="H116" s="239"/>
      <c r="I116" s="239"/>
      <c r="J116" s="239"/>
      <c r="K116" s="239"/>
      <c r="L116" s="239"/>
      <c r="M116" s="239"/>
      <c r="U116" s="239"/>
    </row>
    <row r="117" spans="2:21" ht="12.75" customHeight="1">
      <c r="B117" s="239"/>
      <c r="C117" s="247"/>
      <c r="D117" s="247"/>
      <c r="E117" s="247"/>
      <c r="F117" s="247"/>
      <c r="G117" s="247"/>
      <c r="H117" s="247"/>
      <c r="I117" s="247"/>
      <c r="J117" s="247"/>
      <c r="K117" s="247"/>
      <c r="L117" s="247"/>
      <c r="M117" s="239"/>
      <c r="N117" s="239"/>
      <c r="O117" s="234"/>
      <c r="P117" s="333"/>
      <c r="R117" s="239"/>
      <c r="S117" s="239"/>
      <c r="T117" s="239"/>
      <c r="U117" s="239"/>
    </row>
    <row r="118" spans="2:21" ht="12.75" customHeight="1" thickBot="1">
      <c r="B118" s="239"/>
      <c r="C118" s="239"/>
      <c r="D118" s="239"/>
      <c r="E118" s="239"/>
      <c r="F118" s="239"/>
      <c r="G118" s="239"/>
      <c r="H118" s="239"/>
      <c r="I118" s="239"/>
      <c r="J118" s="239"/>
      <c r="K118" s="239"/>
      <c r="L118" s="239"/>
      <c r="M118" s="239"/>
      <c r="N118" s="239"/>
      <c r="O118" s="333"/>
      <c r="P118" s="333"/>
      <c r="Q118" s="334"/>
      <c r="R118" s="239"/>
      <c r="S118" s="239"/>
      <c r="T118" s="239"/>
      <c r="U118" s="239"/>
    </row>
    <row r="119" spans="2:21" ht="12.75" customHeight="1">
      <c r="B119" s="1979" t="s">
        <v>880</v>
      </c>
      <c r="C119" s="1980"/>
      <c r="D119" s="1980"/>
      <c r="E119" s="1981"/>
      <c r="F119" s="239"/>
      <c r="G119" s="239"/>
      <c r="H119" s="239"/>
      <c r="I119" s="239"/>
      <c r="J119" s="239"/>
      <c r="K119" s="239"/>
      <c r="L119" s="239"/>
      <c r="M119" s="239"/>
      <c r="N119" s="239"/>
      <c r="O119" s="239"/>
      <c r="P119" s="239"/>
      <c r="Q119" s="239"/>
      <c r="R119" s="239"/>
      <c r="S119" s="239"/>
      <c r="T119" s="239"/>
      <c r="U119" s="239"/>
    </row>
    <row r="120" spans="2:21" ht="12.75" customHeight="1" thickBot="1">
      <c r="B120" s="1982"/>
      <c r="C120" s="1983"/>
      <c r="D120" s="1983"/>
      <c r="E120" s="1984"/>
      <c r="F120" s="239"/>
      <c r="G120" s="239"/>
      <c r="H120" s="239"/>
      <c r="I120" s="239"/>
      <c r="J120" s="239"/>
      <c r="K120" s="239"/>
      <c r="L120" s="239"/>
      <c r="M120" s="239"/>
      <c r="N120" s="239"/>
      <c r="O120" s="239"/>
      <c r="P120" s="239"/>
      <c r="Q120" s="239"/>
      <c r="R120" s="239"/>
      <c r="S120" s="239"/>
      <c r="T120" s="239"/>
      <c r="U120" s="239"/>
    </row>
    <row r="121" spans="2:21" ht="12.75" customHeight="1">
      <c r="B121" s="238"/>
      <c r="C121" s="239"/>
      <c r="D121" s="239"/>
      <c r="E121" s="239"/>
      <c r="F121" s="239"/>
      <c r="G121" s="239"/>
      <c r="H121" s="239"/>
      <c r="I121" s="239"/>
      <c r="J121" s="239"/>
      <c r="K121" s="239"/>
      <c r="L121" s="239"/>
      <c r="M121" s="239"/>
      <c r="N121" s="239"/>
      <c r="O121" s="239"/>
      <c r="P121" s="239"/>
      <c r="Q121" s="239"/>
      <c r="R121" s="239"/>
      <c r="S121" s="239"/>
      <c r="T121" s="239"/>
      <c r="U121" s="239"/>
    </row>
    <row r="122" spans="2:21" ht="12.75" customHeight="1">
      <c r="B122" s="335" t="s">
        <v>82</v>
      </c>
      <c r="C122" s="336"/>
      <c r="D122" s="336"/>
      <c r="E122" s="336"/>
      <c r="F122" s="336"/>
      <c r="G122" s="336"/>
      <c r="H122" s="336"/>
      <c r="I122" s="336"/>
      <c r="J122" s="239"/>
      <c r="K122" s="239"/>
      <c r="L122" s="239"/>
      <c r="M122" s="239"/>
      <c r="N122" s="239"/>
      <c r="O122" s="239"/>
      <c r="P122" s="239"/>
      <c r="Q122" s="239"/>
      <c r="R122" s="239"/>
      <c r="S122" s="239"/>
      <c r="T122" s="239"/>
      <c r="U122" s="239"/>
    </row>
    <row r="123" spans="2:21" ht="12.75" customHeight="1">
      <c r="B123" s="336" t="s">
        <v>83</v>
      </c>
      <c r="C123" s="337">
        <v>0.6</v>
      </c>
      <c r="D123" s="336" t="s">
        <v>389</v>
      </c>
      <c r="E123" s="336"/>
      <c r="F123" s="336"/>
      <c r="G123" s="336"/>
      <c r="H123" s="336"/>
      <c r="I123" s="336"/>
      <c r="J123" s="239"/>
      <c r="K123" s="239"/>
      <c r="L123" s="239"/>
      <c r="M123" s="239"/>
      <c r="N123" s="239"/>
      <c r="O123" s="239"/>
      <c r="P123" s="239"/>
      <c r="Q123" s="239"/>
      <c r="R123" s="239"/>
      <c r="S123" s="239"/>
      <c r="T123" s="239"/>
      <c r="U123" s="239"/>
    </row>
    <row r="124" spans="2:21" ht="12.75" customHeight="1">
      <c r="B124" s="336" t="s">
        <v>84</v>
      </c>
      <c r="C124" s="338">
        <f>IF(F33=1,1.5,IF(F33=2,2,IF(F33=3,3,G33)))</f>
        <v>2</v>
      </c>
      <c r="D124" s="336" t="s">
        <v>389</v>
      </c>
      <c r="E124" s="336" t="s">
        <v>85</v>
      </c>
      <c r="F124" s="336"/>
      <c r="G124" s="339">
        <v>0.18</v>
      </c>
      <c r="H124" s="336"/>
      <c r="I124" s="336"/>
      <c r="J124" s="239"/>
      <c r="K124" s="239"/>
      <c r="L124" s="239"/>
      <c r="M124" s="239"/>
      <c r="N124" s="239"/>
      <c r="O124" s="239"/>
      <c r="P124" s="239"/>
      <c r="Q124" s="239"/>
      <c r="R124" s="239"/>
      <c r="S124" s="239"/>
      <c r="T124" s="239"/>
      <c r="U124" s="239"/>
    </row>
    <row r="125" spans="2:21" ht="12.75" customHeight="1">
      <c r="B125" s="335" t="s">
        <v>86</v>
      </c>
      <c r="C125" s="338">
        <f>C123+(C124*G124)</f>
        <v>0.96</v>
      </c>
      <c r="D125" s="336" t="s">
        <v>389</v>
      </c>
      <c r="E125" s="336"/>
      <c r="F125" s="336"/>
      <c r="G125" s="340"/>
      <c r="H125" s="336"/>
      <c r="I125" s="336"/>
      <c r="J125" s="239"/>
      <c r="K125" s="239"/>
      <c r="L125" s="239"/>
      <c r="M125" s="239"/>
      <c r="N125" s="239"/>
      <c r="O125" s="239"/>
      <c r="P125" s="239"/>
      <c r="Q125" s="239"/>
      <c r="R125" s="239"/>
      <c r="S125" s="239"/>
      <c r="T125" s="239"/>
      <c r="U125" s="239"/>
    </row>
    <row r="126" spans="2:21" ht="12.75" customHeight="1">
      <c r="B126" s="335" t="s">
        <v>87</v>
      </c>
      <c r="C126" s="336">
        <f>C125*MAX(F43,F37*0.8)</f>
        <v>115.19999999999999</v>
      </c>
      <c r="D126" s="336" t="s">
        <v>88</v>
      </c>
      <c r="E126" s="336"/>
      <c r="F126" s="336"/>
      <c r="G126" s="340"/>
      <c r="H126" s="336"/>
      <c r="I126" s="336"/>
      <c r="J126" s="239"/>
      <c r="K126" s="239"/>
      <c r="L126" s="239"/>
      <c r="M126" s="239"/>
      <c r="N126" s="239"/>
      <c r="O126" s="239"/>
      <c r="P126" s="239"/>
      <c r="Q126" s="239"/>
      <c r="R126" s="239"/>
      <c r="S126" s="239"/>
      <c r="T126" s="239"/>
      <c r="U126" s="239"/>
    </row>
    <row r="127" spans="2:21" ht="12.75" customHeight="1">
      <c r="B127" s="335" t="s">
        <v>89</v>
      </c>
      <c r="C127" s="336">
        <f>C125*MAX(F49,F43*0.8)</f>
        <v>115.19999999999999</v>
      </c>
      <c r="D127" s="336" t="s">
        <v>88</v>
      </c>
      <c r="E127" s="335" t="s">
        <v>234</v>
      </c>
      <c r="F127" s="336"/>
      <c r="G127" s="340"/>
      <c r="H127" s="336">
        <f>C125*MAX(F49,F37*0.8)</f>
        <v>115.19999999999999</v>
      </c>
      <c r="I127" s="336" t="s">
        <v>88</v>
      </c>
      <c r="J127" s="239"/>
      <c r="K127" s="239"/>
      <c r="L127" s="239"/>
      <c r="M127" s="239"/>
      <c r="N127" s="239"/>
      <c r="O127" s="239"/>
      <c r="P127" s="239"/>
      <c r="Q127" s="239"/>
      <c r="R127" s="239"/>
      <c r="S127" s="239"/>
      <c r="T127" s="239"/>
      <c r="U127" s="239"/>
    </row>
    <row r="128" spans="2:21" ht="12.75" customHeight="1">
      <c r="B128" s="238"/>
      <c r="C128" s="239"/>
      <c r="D128" s="239"/>
      <c r="E128" s="239"/>
      <c r="F128" s="239"/>
      <c r="G128" s="239"/>
      <c r="H128" s="239"/>
      <c r="I128" s="239"/>
      <c r="J128" s="239"/>
      <c r="K128" s="239"/>
      <c r="L128" s="239"/>
      <c r="M128" s="239"/>
      <c r="N128" s="239"/>
      <c r="O128" s="239"/>
      <c r="P128" s="239"/>
      <c r="Q128" s="239"/>
      <c r="R128" s="239"/>
      <c r="S128" s="239"/>
      <c r="T128" s="239"/>
      <c r="U128" s="239"/>
    </row>
    <row r="129" spans="2:21" ht="12.75" customHeight="1">
      <c r="B129" s="341" t="s">
        <v>90</v>
      </c>
      <c r="C129" s="342"/>
      <c r="D129" s="342"/>
      <c r="E129" s="342"/>
      <c r="F129" s="342"/>
      <c r="G129" s="342"/>
      <c r="H129" s="342"/>
      <c r="I129" s="342"/>
      <c r="J129" s="342"/>
      <c r="K129" s="342"/>
      <c r="L129" s="342"/>
      <c r="M129" s="342"/>
      <c r="N129" s="342"/>
      <c r="O129" s="239"/>
      <c r="P129" s="239"/>
      <c r="Q129" s="239"/>
      <c r="R129" s="239"/>
      <c r="S129" s="239"/>
      <c r="T129" s="239"/>
      <c r="U129" s="239"/>
    </row>
    <row r="130" spans="2:21" ht="12.75" customHeight="1">
      <c r="B130" s="341" t="s">
        <v>91</v>
      </c>
      <c r="C130" s="342"/>
      <c r="D130" s="342"/>
      <c r="E130" s="342"/>
      <c r="F130" s="342"/>
      <c r="G130" s="342"/>
      <c r="H130" s="342"/>
      <c r="I130" s="342"/>
      <c r="J130" s="342"/>
      <c r="K130" s="342"/>
      <c r="L130" s="342"/>
      <c r="M130" s="342"/>
      <c r="N130" s="342"/>
      <c r="O130" s="239"/>
      <c r="P130" s="239"/>
      <c r="Q130" s="239"/>
      <c r="R130" s="239"/>
      <c r="S130" s="239"/>
      <c r="T130" s="239"/>
      <c r="U130" s="239"/>
    </row>
    <row r="131" spans="2:21" ht="12.75" customHeight="1">
      <c r="B131" s="342" t="s">
        <v>92</v>
      </c>
      <c r="C131" s="342"/>
      <c r="D131" s="342"/>
      <c r="E131" s="342"/>
      <c r="F131" s="342"/>
      <c r="G131" s="342"/>
      <c r="H131" s="342"/>
      <c r="I131" s="342"/>
      <c r="J131" s="342"/>
      <c r="K131" s="342"/>
      <c r="L131" s="342"/>
      <c r="M131" s="342"/>
      <c r="N131" s="342"/>
      <c r="O131" s="239"/>
      <c r="P131" s="239"/>
      <c r="Q131" s="239"/>
      <c r="R131" s="239"/>
      <c r="S131" s="239"/>
      <c r="T131" s="239"/>
      <c r="U131" s="239"/>
    </row>
    <row r="132" spans="2:21" ht="12.75" customHeight="1">
      <c r="B132" s="342"/>
      <c r="C132" s="343" t="s">
        <v>93</v>
      </c>
      <c r="D132" s="342"/>
      <c r="E132" s="344">
        <v>30</v>
      </c>
      <c r="F132" s="342"/>
      <c r="G132" s="342"/>
      <c r="H132" s="342"/>
      <c r="I132" s="342"/>
      <c r="J132" s="342"/>
      <c r="K132" s="342"/>
      <c r="L132" s="342"/>
      <c r="M132" s="342"/>
      <c r="N132" s="342"/>
      <c r="O132" s="239"/>
      <c r="P132" s="239"/>
      <c r="Q132" s="239"/>
      <c r="R132" s="239"/>
      <c r="S132" s="239"/>
      <c r="T132" s="239"/>
      <c r="U132" s="239"/>
    </row>
    <row r="133" spans="2:21" ht="12.75" customHeight="1">
      <c r="B133" s="342"/>
      <c r="C133" s="343" t="s">
        <v>94</v>
      </c>
      <c r="D133" s="342"/>
      <c r="E133" s="344">
        <v>30</v>
      </c>
      <c r="F133" s="342"/>
      <c r="G133" s="342"/>
      <c r="H133" s="342"/>
      <c r="I133" s="342"/>
      <c r="J133" s="342"/>
      <c r="K133" s="342"/>
      <c r="L133" s="342"/>
      <c r="M133" s="342"/>
      <c r="N133" s="342"/>
      <c r="O133" s="239"/>
      <c r="P133" s="239"/>
      <c r="Q133" s="239"/>
      <c r="R133" s="239"/>
      <c r="S133" s="239"/>
      <c r="T133" s="239"/>
      <c r="U133" s="239"/>
    </row>
    <row r="134" spans="2:21" ht="12.75" customHeight="1">
      <c r="B134" s="342"/>
      <c r="C134" s="343" t="s">
        <v>65</v>
      </c>
      <c r="D134" s="342"/>
      <c r="E134" s="344">
        <v>0</v>
      </c>
      <c r="F134" s="342"/>
      <c r="G134" s="342"/>
      <c r="H134" s="342"/>
      <c r="I134" s="342"/>
      <c r="J134" s="342"/>
      <c r="K134" s="342"/>
      <c r="L134" s="342"/>
      <c r="M134" s="342"/>
      <c r="N134" s="342"/>
      <c r="O134" s="239"/>
      <c r="P134" s="239"/>
      <c r="Q134" s="239"/>
      <c r="R134" s="239"/>
      <c r="S134" s="239"/>
      <c r="T134" s="239"/>
      <c r="U134" s="239"/>
    </row>
    <row r="135" spans="2:21" ht="12.75" customHeight="1">
      <c r="B135" s="342" t="s">
        <v>95</v>
      </c>
      <c r="C135" s="343"/>
      <c r="D135" s="342"/>
      <c r="E135" s="345"/>
      <c r="F135" s="342"/>
      <c r="G135" s="342"/>
      <c r="H135" s="342"/>
      <c r="I135" s="342"/>
      <c r="J135" s="342"/>
      <c r="K135" s="342"/>
      <c r="L135" s="342"/>
      <c r="M135" s="342"/>
      <c r="N135" s="342"/>
      <c r="O135" s="239"/>
      <c r="P135" s="239"/>
      <c r="Q135" s="239"/>
      <c r="R135" s="239"/>
      <c r="S135" s="239"/>
      <c r="T135" s="239"/>
      <c r="U135" s="239"/>
    </row>
    <row r="136" spans="2:21" ht="12.75" customHeight="1">
      <c r="B136" s="342"/>
      <c r="C136" s="343" t="s">
        <v>96</v>
      </c>
      <c r="D136" s="339">
        <f>1/3</f>
        <v>0.33333333333333331</v>
      </c>
      <c r="E136" s="342"/>
      <c r="F136" s="342"/>
      <c r="G136" s="342"/>
      <c r="H136" s="342"/>
      <c r="I136" s="342"/>
      <c r="J136" s="342"/>
      <c r="K136" s="342"/>
      <c r="L136" s="342"/>
      <c r="M136" s="342"/>
      <c r="N136" s="342"/>
      <c r="O136" s="239"/>
      <c r="P136" s="239"/>
      <c r="Q136" s="239"/>
      <c r="R136" s="239"/>
      <c r="S136" s="239"/>
      <c r="T136" s="239"/>
      <c r="U136" s="239"/>
    </row>
    <row r="137" spans="2:21" ht="12.75" customHeight="1">
      <c r="B137" s="342"/>
      <c r="C137" s="343" t="s">
        <v>97</v>
      </c>
      <c r="D137" s="339">
        <f>2/3</f>
        <v>0.66666666666666663</v>
      </c>
      <c r="E137" s="342"/>
      <c r="F137" s="342"/>
      <c r="G137" s="342"/>
      <c r="H137" s="342"/>
      <c r="I137" s="342"/>
      <c r="J137" s="342"/>
      <c r="K137" s="342"/>
      <c r="L137" s="342"/>
      <c r="M137" s="342"/>
      <c r="N137" s="342"/>
      <c r="O137" s="239"/>
      <c r="P137" s="239"/>
      <c r="Q137" s="239"/>
      <c r="R137" s="239"/>
      <c r="S137" s="239"/>
      <c r="T137" s="239"/>
      <c r="U137" s="239"/>
    </row>
    <row r="138" spans="2:21" ht="12.75" customHeight="1">
      <c r="B138" s="342" t="s">
        <v>98</v>
      </c>
      <c r="C138" s="342" t="s">
        <v>99</v>
      </c>
      <c r="D138" s="277">
        <v>0.2</v>
      </c>
      <c r="E138" s="342" t="s">
        <v>389</v>
      </c>
      <c r="F138" s="342"/>
      <c r="G138" s="342"/>
      <c r="H138" s="342"/>
      <c r="I138" s="342"/>
      <c r="J138" s="342"/>
      <c r="K138" s="342"/>
      <c r="L138" s="342"/>
      <c r="M138" s="342"/>
      <c r="N138" s="342"/>
      <c r="O138" s="239"/>
      <c r="P138" s="239"/>
      <c r="Q138" s="239"/>
      <c r="R138" s="239"/>
      <c r="S138" s="239"/>
      <c r="T138" s="239"/>
      <c r="U138" s="239"/>
    </row>
    <row r="139" spans="2:21" ht="12.75" customHeight="1">
      <c r="B139" s="342" t="s">
        <v>100</v>
      </c>
      <c r="C139" s="342"/>
      <c r="D139" s="342"/>
      <c r="E139" s="342"/>
      <c r="F139" s="342"/>
      <c r="G139" s="342"/>
      <c r="H139" s="342">
        <f>2*(D20+E20)</f>
        <v>25.6</v>
      </c>
      <c r="I139" s="342" t="s">
        <v>45</v>
      </c>
      <c r="J139" s="342"/>
      <c r="K139" s="342"/>
      <c r="L139" s="342"/>
      <c r="M139" s="342"/>
      <c r="N139" s="342"/>
      <c r="O139" s="239"/>
      <c r="P139" s="239"/>
      <c r="Q139" s="239"/>
      <c r="R139" s="239"/>
      <c r="S139" s="239"/>
      <c r="T139" s="239"/>
      <c r="U139" s="239"/>
    </row>
    <row r="140" spans="2:21" ht="12.75" customHeight="1">
      <c r="B140" s="342" t="s">
        <v>101</v>
      </c>
      <c r="C140" s="342"/>
      <c r="D140" s="342"/>
      <c r="E140" s="342"/>
      <c r="F140" s="342"/>
      <c r="G140" s="342"/>
      <c r="H140" s="342">
        <f>2*(D21+E21)</f>
        <v>44</v>
      </c>
      <c r="I140" s="342" t="s">
        <v>45</v>
      </c>
      <c r="J140" s="342"/>
      <c r="K140" s="342"/>
      <c r="L140" s="342"/>
      <c r="M140" s="342"/>
      <c r="N140" s="342"/>
      <c r="O140" s="239"/>
      <c r="P140" s="239"/>
      <c r="Q140" s="239"/>
      <c r="R140" s="239"/>
      <c r="S140" s="239"/>
      <c r="T140" s="239"/>
      <c r="U140" s="239"/>
    </row>
    <row r="141" spans="2:21" ht="12.75" customHeight="1">
      <c r="B141" s="342" t="s">
        <v>102</v>
      </c>
      <c r="C141" s="342"/>
      <c r="D141" s="342"/>
      <c r="E141" s="342"/>
      <c r="F141" s="342"/>
      <c r="G141" s="342"/>
      <c r="H141" s="342">
        <f>2*(D22+E22)</f>
        <v>44</v>
      </c>
      <c r="I141" s="342" t="s">
        <v>45</v>
      </c>
      <c r="J141" s="342"/>
      <c r="K141" s="342"/>
      <c r="L141" s="342"/>
      <c r="M141" s="342"/>
      <c r="N141" s="342"/>
      <c r="O141" s="239"/>
      <c r="P141" s="239"/>
      <c r="Q141" s="239"/>
      <c r="R141" s="239"/>
      <c r="S141" s="239"/>
      <c r="T141" s="239"/>
      <c r="U141" s="239"/>
    </row>
    <row r="142" spans="2:21" ht="12.75" customHeight="1">
      <c r="B142" s="342" t="s">
        <v>103</v>
      </c>
      <c r="C142" s="342"/>
      <c r="D142" s="342">
        <f>IF(F36=1,30,IF(F36=2,80,IF(F36=3,220,G36+20)))</f>
        <v>30</v>
      </c>
      <c r="E142" s="342" t="s">
        <v>104</v>
      </c>
      <c r="F142" s="342" t="s">
        <v>105</v>
      </c>
      <c r="G142" s="346">
        <f>D142/101.9</f>
        <v>0.29440628066732089</v>
      </c>
      <c r="H142" s="342" t="s">
        <v>106</v>
      </c>
      <c r="I142" s="347" t="s">
        <v>107</v>
      </c>
      <c r="J142" s="342"/>
      <c r="K142" s="342"/>
      <c r="L142" s="342"/>
      <c r="M142" s="342"/>
      <c r="N142" s="342"/>
      <c r="O142" s="239"/>
      <c r="P142" s="239"/>
      <c r="Q142" s="239"/>
      <c r="R142" s="239"/>
      <c r="S142" s="239"/>
      <c r="T142" s="239"/>
      <c r="U142" s="239"/>
    </row>
    <row r="143" spans="2:21" ht="12.75" customHeight="1">
      <c r="B143" s="342" t="s">
        <v>108</v>
      </c>
      <c r="C143" s="342"/>
      <c r="D143" s="342">
        <f>IF(F42=1,30,IF(F42=2,80,IF(F42=3,220,G42+20)))</f>
        <v>30</v>
      </c>
      <c r="E143" s="342" t="s">
        <v>104</v>
      </c>
      <c r="F143" s="342" t="s">
        <v>105</v>
      </c>
      <c r="G143" s="346">
        <f>D143/101.9</f>
        <v>0.29440628066732089</v>
      </c>
      <c r="H143" s="342" t="s">
        <v>106</v>
      </c>
      <c r="I143" s="347" t="s">
        <v>107</v>
      </c>
      <c r="J143" s="342"/>
      <c r="K143" s="342"/>
      <c r="L143" s="342"/>
      <c r="M143" s="342"/>
      <c r="N143" s="342"/>
      <c r="O143" s="239"/>
      <c r="P143" s="239"/>
      <c r="Q143" s="239"/>
      <c r="R143" s="239"/>
      <c r="S143" s="239"/>
      <c r="T143" s="239"/>
      <c r="U143" s="239"/>
    </row>
    <row r="144" spans="2:21" ht="12.75" customHeight="1">
      <c r="B144" s="342" t="s">
        <v>109</v>
      </c>
      <c r="C144" s="342"/>
      <c r="D144" s="342">
        <f>IF(F48=1,30,IF(F48=2,80,IF(F48=3,220,G48+20)))</f>
        <v>30</v>
      </c>
      <c r="E144" s="342" t="s">
        <v>104</v>
      </c>
      <c r="F144" s="342" t="s">
        <v>105</v>
      </c>
      <c r="G144" s="346">
        <f>D144/101.9</f>
        <v>0.29440628066732089</v>
      </c>
      <c r="H144" s="342" t="s">
        <v>106</v>
      </c>
      <c r="I144" s="347" t="s">
        <v>107</v>
      </c>
      <c r="J144" s="342"/>
      <c r="K144" s="342"/>
      <c r="L144" s="342"/>
      <c r="M144" s="342"/>
      <c r="N144" s="342"/>
      <c r="O144" s="239"/>
      <c r="P144" s="239"/>
      <c r="Q144" s="239"/>
      <c r="R144" s="239"/>
      <c r="S144" s="239"/>
      <c r="T144" s="239"/>
      <c r="U144" s="239"/>
    </row>
    <row r="145" spans="2:21" ht="12.75" customHeight="1">
      <c r="B145" s="341"/>
      <c r="C145" s="342"/>
      <c r="D145" s="342"/>
      <c r="E145" s="342"/>
      <c r="F145" s="342"/>
      <c r="G145" s="342"/>
      <c r="H145" s="342"/>
      <c r="I145" s="342"/>
      <c r="J145" s="342"/>
      <c r="K145" s="342"/>
      <c r="L145" s="342"/>
      <c r="M145" s="342"/>
      <c r="N145" s="342"/>
      <c r="O145" s="239"/>
      <c r="P145" s="239"/>
      <c r="Q145" s="239"/>
      <c r="R145" s="239"/>
      <c r="S145" s="239"/>
      <c r="T145" s="239"/>
      <c r="U145" s="239"/>
    </row>
    <row r="146" spans="2:21" ht="12.75" customHeight="1">
      <c r="B146" s="341" t="s">
        <v>110</v>
      </c>
      <c r="C146" s="342"/>
      <c r="D146" s="342"/>
      <c r="E146" s="342"/>
      <c r="F146" s="342"/>
      <c r="G146" s="342"/>
      <c r="H146" s="342"/>
      <c r="I146" s="342"/>
      <c r="J146" s="342"/>
      <c r="K146" s="342"/>
      <c r="L146" s="342"/>
      <c r="M146" s="342"/>
      <c r="N146" s="342"/>
      <c r="O146" s="239"/>
      <c r="P146" s="239"/>
      <c r="Q146" s="239"/>
      <c r="R146" s="239"/>
      <c r="S146" s="239"/>
      <c r="T146" s="239"/>
      <c r="U146" s="239"/>
    </row>
    <row r="147" spans="2:21" ht="12.75" customHeight="1">
      <c r="B147" s="342" t="s">
        <v>111</v>
      </c>
      <c r="C147" s="342"/>
      <c r="D147" s="348">
        <f>G142*H139*HUI*D136*(100-E132)/100</f>
        <v>8.0894995093228648</v>
      </c>
      <c r="E147" s="342" t="s">
        <v>88</v>
      </c>
      <c r="F147" s="342"/>
      <c r="G147" s="342"/>
      <c r="H147" s="342"/>
      <c r="I147" s="342"/>
      <c r="J147" s="342"/>
      <c r="K147" s="342"/>
      <c r="L147" s="342"/>
      <c r="M147" s="342"/>
      <c r="N147" s="342"/>
      <c r="O147" s="239"/>
      <c r="P147" s="239"/>
      <c r="Q147" s="239"/>
      <c r="R147" s="239"/>
      <c r="S147" s="239"/>
      <c r="T147" s="239"/>
      <c r="U147" s="239"/>
    </row>
    <row r="148" spans="2:21" ht="12.75" customHeight="1">
      <c r="B148" s="342" t="s">
        <v>99</v>
      </c>
      <c r="C148" s="342"/>
      <c r="D148" s="348">
        <f>D138*F37*D136</f>
        <v>2.5333333333333332</v>
      </c>
      <c r="E148" s="342" t="s">
        <v>88</v>
      </c>
      <c r="F148" s="342" t="s">
        <v>357</v>
      </c>
      <c r="G148" s="342"/>
      <c r="H148" s="342"/>
      <c r="I148" s="342"/>
      <c r="J148" s="342"/>
      <c r="K148" s="342"/>
      <c r="L148" s="342"/>
      <c r="M148" s="342"/>
      <c r="N148" s="342"/>
      <c r="O148" s="239"/>
      <c r="P148" s="239"/>
      <c r="Q148" s="239"/>
      <c r="R148" s="239"/>
      <c r="S148" s="239"/>
      <c r="T148" s="239"/>
      <c r="U148" s="239"/>
    </row>
    <row r="149" spans="2:21" ht="12.75" customHeight="1" thickBot="1">
      <c r="B149" s="341" t="s">
        <v>86</v>
      </c>
      <c r="C149" s="342"/>
      <c r="D149" s="349">
        <f>D147+D148</f>
        <v>10.622832842656198</v>
      </c>
      <c r="E149" s="342" t="s">
        <v>356</v>
      </c>
      <c r="F149" s="342" t="s">
        <v>657</v>
      </c>
      <c r="G149" s="342"/>
      <c r="H149" s="342"/>
      <c r="I149" s="342"/>
      <c r="J149" s="342"/>
      <c r="K149" s="342"/>
      <c r="L149" s="342"/>
      <c r="M149" s="342"/>
      <c r="N149" s="342"/>
      <c r="O149" s="239"/>
      <c r="P149" s="239"/>
      <c r="Q149" s="239"/>
      <c r="R149" s="239"/>
      <c r="S149" s="239"/>
      <c r="T149" s="239"/>
      <c r="U149" s="239"/>
    </row>
    <row r="150" spans="2:21" ht="12.75" customHeight="1" thickTop="1">
      <c r="B150" s="341"/>
      <c r="C150" s="342"/>
      <c r="D150" s="348"/>
      <c r="E150" s="342"/>
      <c r="F150" s="342"/>
      <c r="G150" s="342"/>
      <c r="H150" s="342"/>
      <c r="I150" s="342"/>
      <c r="J150" s="342"/>
      <c r="K150" s="342"/>
      <c r="L150" s="342"/>
      <c r="M150" s="342"/>
      <c r="N150" s="342"/>
      <c r="O150" s="239"/>
      <c r="P150" s="239"/>
      <c r="Q150" s="239"/>
      <c r="R150" s="239"/>
      <c r="S150" s="239"/>
      <c r="T150" s="239"/>
      <c r="U150" s="239"/>
    </row>
    <row r="151" spans="2:21" ht="12.75" customHeight="1">
      <c r="B151" s="341" t="s">
        <v>112</v>
      </c>
      <c r="C151" s="342"/>
      <c r="D151" s="348"/>
      <c r="E151" s="342"/>
      <c r="F151" s="342"/>
      <c r="G151" s="342"/>
      <c r="H151" s="342"/>
      <c r="I151" s="342"/>
      <c r="J151" s="342"/>
      <c r="K151" s="342"/>
      <c r="L151" s="342"/>
      <c r="M151" s="342"/>
      <c r="N151" s="342"/>
      <c r="O151" s="239"/>
      <c r="P151" s="239"/>
      <c r="Q151" s="239"/>
      <c r="R151" s="239"/>
      <c r="S151" s="239"/>
      <c r="T151" s="239"/>
      <c r="U151" s="239"/>
    </row>
    <row r="152" spans="2:21" ht="12.75" customHeight="1">
      <c r="B152" s="350" t="s">
        <v>113</v>
      </c>
      <c r="C152" s="342"/>
      <c r="D152" s="348"/>
      <c r="E152" s="342"/>
      <c r="F152" s="342"/>
      <c r="G152" s="342"/>
      <c r="H152" s="342"/>
      <c r="I152" s="342"/>
      <c r="J152" s="342"/>
      <c r="K152" s="342"/>
      <c r="L152" s="342"/>
      <c r="M152" s="342"/>
      <c r="N152" s="342"/>
      <c r="O152" s="239"/>
      <c r="P152" s="239"/>
      <c r="Q152" s="239"/>
      <c r="R152" s="239"/>
      <c r="S152" s="239"/>
      <c r="T152" s="239"/>
      <c r="U152" s="239"/>
    </row>
    <row r="153" spans="2:21" ht="12.75" customHeight="1">
      <c r="B153" s="342" t="s">
        <v>114</v>
      </c>
      <c r="C153" s="342"/>
      <c r="D153" s="348">
        <f>G142*H139*HUI*D137*(100-E132)/100</f>
        <v>16.17899901864573</v>
      </c>
      <c r="E153" s="342" t="s">
        <v>88</v>
      </c>
      <c r="F153" s="342"/>
      <c r="G153" s="342"/>
      <c r="H153" s="342"/>
      <c r="I153" s="342"/>
      <c r="J153" s="342"/>
      <c r="K153" s="342"/>
      <c r="L153" s="342"/>
      <c r="M153" s="342"/>
      <c r="N153" s="342"/>
      <c r="O153" s="239"/>
      <c r="P153" s="239"/>
      <c r="Q153" s="239"/>
      <c r="R153" s="239"/>
      <c r="S153" s="239"/>
      <c r="T153" s="239"/>
      <c r="U153" s="239"/>
    </row>
    <row r="154" spans="2:21" ht="12.75" customHeight="1">
      <c r="B154" s="342" t="s">
        <v>99</v>
      </c>
      <c r="C154" s="342"/>
      <c r="D154" s="348">
        <f>D138*F37*D137+D138*F43*D136</f>
        <v>13.066666666666666</v>
      </c>
      <c r="E154" s="342" t="s">
        <v>88</v>
      </c>
      <c r="F154" s="342"/>
      <c r="G154" s="342"/>
      <c r="H154" s="342"/>
      <c r="I154" s="342"/>
      <c r="J154" s="342"/>
      <c r="K154" s="342"/>
      <c r="L154" s="342"/>
      <c r="M154" s="342"/>
      <c r="N154" s="342"/>
      <c r="O154" s="239"/>
      <c r="P154" s="239"/>
      <c r="Q154" s="239"/>
      <c r="R154" s="239"/>
      <c r="S154" s="239"/>
      <c r="T154" s="239"/>
      <c r="U154" s="239"/>
    </row>
    <row r="155" spans="2:21" ht="12.75" customHeight="1">
      <c r="B155" s="342" t="s">
        <v>115</v>
      </c>
      <c r="C155" s="342"/>
      <c r="D155" s="348">
        <f>G143*H140*HLE*D136*(100-E133)/100</f>
        <v>7.2541707556427868</v>
      </c>
      <c r="E155" s="342" t="s">
        <v>356</v>
      </c>
      <c r="F155" s="342"/>
      <c r="G155" s="342"/>
      <c r="H155" s="342"/>
      <c r="I155" s="342"/>
      <c r="J155" s="342"/>
      <c r="K155" s="342"/>
      <c r="L155" s="342"/>
      <c r="M155" s="342"/>
      <c r="N155" s="342"/>
      <c r="O155" s="239"/>
      <c r="P155" s="239"/>
      <c r="Q155" s="239"/>
      <c r="R155" s="239"/>
      <c r="S155" s="239"/>
      <c r="T155" s="239"/>
      <c r="U155" s="239"/>
    </row>
    <row r="156" spans="2:21" ht="12.75" customHeight="1" thickBot="1">
      <c r="B156" s="341" t="s">
        <v>86</v>
      </c>
      <c r="C156" s="342"/>
      <c r="D156" s="349">
        <f>D153+D154+D155</f>
        <v>36.499836440955185</v>
      </c>
      <c r="E156" s="342" t="s">
        <v>88</v>
      </c>
      <c r="F156" s="342"/>
      <c r="G156" s="342"/>
      <c r="H156" s="342"/>
      <c r="I156" s="342"/>
      <c r="J156" s="342"/>
      <c r="K156" s="342"/>
      <c r="L156" s="342"/>
      <c r="M156" s="342"/>
      <c r="N156" s="342"/>
      <c r="O156" s="239"/>
      <c r="P156" s="239"/>
      <c r="Q156" s="239"/>
      <c r="R156" s="239"/>
      <c r="S156" s="239"/>
      <c r="T156" s="239"/>
      <c r="U156" s="239"/>
    </row>
    <row r="157" spans="2:21" ht="12.75" customHeight="1" thickTop="1">
      <c r="B157" s="341"/>
      <c r="C157" s="342"/>
      <c r="D157" s="348"/>
      <c r="E157" s="342"/>
      <c r="F157" s="342"/>
      <c r="G157" s="342"/>
      <c r="H157" s="342"/>
      <c r="I157" s="342"/>
      <c r="J157" s="342"/>
      <c r="K157" s="342"/>
      <c r="L157" s="342"/>
      <c r="M157" s="342"/>
      <c r="N157" s="342"/>
      <c r="O157" s="239"/>
      <c r="P157" s="239"/>
      <c r="Q157" s="239"/>
      <c r="R157" s="239"/>
      <c r="S157" s="239"/>
      <c r="T157" s="239"/>
      <c r="U157" s="239"/>
    </row>
    <row r="158" spans="2:21" ht="12.75" customHeight="1">
      <c r="B158" s="341" t="s">
        <v>182</v>
      </c>
      <c r="C158" s="342"/>
      <c r="D158" s="348"/>
      <c r="E158" s="342"/>
      <c r="F158" s="342"/>
      <c r="G158" s="342"/>
      <c r="H158" s="342"/>
      <c r="I158" s="342"/>
      <c r="J158" s="342"/>
      <c r="K158" s="342"/>
      <c r="L158" s="342"/>
      <c r="M158" s="342"/>
      <c r="N158" s="342"/>
      <c r="O158" s="239"/>
      <c r="P158" s="239"/>
      <c r="Q158" s="239"/>
      <c r="R158" s="239"/>
      <c r="S158" s="239"/>
      <c r="T158" s="239"/>
      <c r="U158" s="239"/>
    </row>
    <row r="159" spans="2:21" ht="12.75" customHeight="1">
      <c r="B159" s="342" t="s">
        <v>116</v>
      </c>
      <c r="C159" s="342"/>
      <c r="D159" s="348">
        <f>G143*H140*HLE*D137*(100-E133)/100</f>
        <v>14.508341511285574</v>
      </c>
      <c r="E159" s="342" t="s">
        <v>88</v>
      </c>
      <c r="F159" s="342"/>
      <c r="G159" s="342"/>
      <c r="H159" s="342"/>
      <c r="I159" s="342"/>
      <c r="J159" s="342"/>
      <c r="K159" s="342"/>
      <c r="L159" s="342"/>
      <c r="M159" s="342"/>
      <c r="N159" s="342"/>
      <c r="O159" s="239"/>
      <c r="P159" s="239"/>
      <c r="Q159" s="239"/>
      <c r="R159" s="239"/>
      <c r="S159" s="239"/>
      <c r="T159" s="239"/>
      <c r="U159" s="239"/>
    </row>
    <row r="160" spans="2:21" ht="12.75" customHeight="1">
      <c r="B160" s="342" t="s">
        <v>117</v>
      </c>
      <c r="C160" s="342"/>
      <c r="D160" s="348">
        <f>D138*F43*D137</f>
        <v>16</v>
      </c>
      <c r="E160" s="342" t="s">
        <v>88</v>
      </c>
      <c r="F160" s="342" t="s">
        <v>118</v>
      </c>
      <c r="G160" s="342"/>
      <c r="H160" s="342"/>
      <c r="I160" s="342"/>
      <c r="J160" s="342"/>
      <c r="K160" s="342"/>
      <c r="L160" s="342"/>
      <c r="M160" s="342"/>
      <c r="N160" s="342"/>
      <c r="O160" s="239"/>
      <c r="P160" s="239"/>
      <c r="Q160" s="239"/>
      <c r="R160" s="239"/>
      <c r="S160" s="239"/>
      <c r="T160" s="239"/>
      <c r="U160" s="239"/>
    </row>
    <row r="161" spans="2:21" ht="12.75" customHeight="1">
      <c r="B161" s="342" t="s">
        <v>119</v>
      </c>
      <c r="C161" s="342"/>
      <c r="D161" s="348">
        <f>G144*H141*HS*D136*(100-E134)/100</f>
        <v>0.86359175662414112</v>
      </c>
      <c r="E161" s="342" t="s">
        <v>356</v>
      </c>
      <c r="F161" s="342"/>
      <c r="G161" s="342"/>
      <c r="H161" s="342"/>
      <c r="I161" s="342"/>
      <c r="J161" s="342"/>
      <c r="K161" s="342"/>
      <c r="L161" s="342"/>
      <c r="M161" s="342"/>
      <c r="N161" s="342"/>
      <c r="O161" s="239"/>
      <c r="P161" s="239"/>
      <c r="Q161" s="239"/>
      <c r="R161" s="239"/>
      <c r="S161" s="239"/>
      <c r="T161" s="239"/>
      <c r="U161" s="239"/>
    </row>
    <row r="162" spans="2:21" ht="12.75" customHeight="1" thickBot="1">
      <c r="B162" s="341" t="s">
        <v>86</v>
      </c>
      <c r="C162" s="342"/>
      <c r="D162" s="349">
        <f>D159+D160+D161</f>
        <v>31.371933267909714</v>
      </c>
      <c r="E162" s="342" t="s">
        <v>88</v>
      </c>
      <c r="F162" s="342"/>
      <c r="G162" s="342"/>
      <c r="H162" s="342"/>
      <c r="I162" s="342"/>
      <c r="J162" s="342"/>
      <c r="K162" s="342"/>
      <c r="L162" s="342"/>
      <c r="M162" s="342"/>
      <c r="N162" s="342"/>
      <c r="O162" s="239"/>
      <c r="P162" s="239"/>
      <c r="Q162" s="239"/>
      <c r="R162" s="239"/>
      <c r="S162" s="239"/>
      <c r="T162" s="239"/>
      <c r="U162" s="239"/>
    </row>
    <row r="163" spans="2:21" ht="12.75" customHeight="1" thickTop="1">
      <c r="B163" s="341"/>
      <c r="C163" s="342"/>
      <c r="D163" s="348"/>
      <c r="E163" s="342"/>
      <c r="F163" s="342"/>
      <c r="G163" s="342"/>
      <c r="H163" s="342"/>
      <c r="I163" s="342"/>
      <c r="J163" s="342"/>
      <c r="K163" s="342"/>
      <c r="L163" s="342"/>
      <c r="M163" s="342"/>
      <c r="N163" s="342"/>
      <c r="O163" s="239"/>
      <c r="P163" s="239"/>
      <c r="Q163" s="239"/>
      <c r="R163" s="239"/>
      <c r="S163" s="239"/>
      <c r="T163" s="239"/>
      <c r="U163" s="239"/>
    </row>
    <row r="164" spans="2:21" ht="12.75" customHeight="1">
      <c r="B164" s="341" t="s">
        <v>183</v>
      </c>
      <c r="C164" s="342"/>
      <c r="D164" s="348"/>
      <c r="E164" s="342"/>
      <c r="F164" s="342"/>
      <c r="G164" s="342"/>
      <c r="H164" s="342"/>
      <c r="I164" s="342"/>
      <c r="J164" s="342"/>
      <c r="K164" s="342"/>
      <c r="L164" s="342"/>
      <c r="M164" s="342"/>
      <c r="N164" s="342"/>
      <c r="O164" s="239"/>
      <c r="P164" s="239"/>
      <c r="Q164" s="239"/>
      <c r="R164" s="239"/>
      <c r="S164" s="239"/>
      <c r="T164" s="239"/>
      <c r="U164" s="239"/>
    </row>
    <row r="165" spans="2:21" ht="12.75" customHeight="1">
      <c r="B165" s="342" t="s">
        <v>120</v>
      </c>
      <c r="C165" s="342"/>
      <c r="D165" s="348">
        <f>G142*H139*HUI*D137*(100-E132)/100</f>
        <v>16.17899901864573</v>
      </c>
      <c r="E165" s="342" t="s">
        <v>88</v>
      </c>
      <c r="F165" s="342"/>
      <c r="G165" s="342"/>
      <c r="H165" s="342"/>
      <c r="I165" s="342"/>
      <c r="J165" s="342"/>
      <c r="K165" s="342"/>
      <c r="L165" s="342"/>
      <c r="M165" s="342"/>
      <c r="N165" s="342"/>
      <c r="O165" s="239"/>
      <c r="P165" s="239"/>
      <c r="Q165" s="239"/>
      <c r="R165" s="239"/>
      <c r="S165" s="239"/>
      <c r="T165" s="239"/>
      <c r="U165" s="239"/>
    </row>
    <row r="166" spans="2:21" ht="12.75" customHeight="1">
      <c r="B166" s="342" t="s">
        <v>99</v>
      </c>
      <c r="C166" s="342"/>
      <c r="D166" s="348">
        <f>D138*F37*D137</f>
        <v>5.0666666666666664</v>
      </c>
      <c r="E166" s="342" t="s">
        <v>88</v>
      </c>
      <c r="F166" s="342"/>
      <c r="G166" s="342"/>
      <c r="H166" s="342"/>
      <c r="I166" s="342"/>
      <c r="J166" s="342"/>
      <c r="K166" s="342"/>
      <c r="L166" s="342"/>
      <c r="M166" s="342"/>
      <c r="N166" s="342"/>
      <c r="O166" s="239"/>
      <c r="P166" s="239"/>
      <c r="Q166" s="239"/>
      <c r="R166" s="239"/>
      <c r="S166" s="239"/>
      <c r="T166" s="239"/>
      <c r="U166" s="239"/>
    </row>
    <row r="167" spans="2:21" ht="12.75" customHeight="1">
      <c r="B167" s="342" t="s">
        <v>121</v>
      </c>
      <c r="C167" s="342"/>
      <c r="D167" s="348">
        <f>G144*H141*HS*D136*(100-E134)/100</f>
        <v>0.86359175662414112</v>
      </c>
      <c r="E167" s="342" t="s">
        <v>356</v>
      </c>
      <c r="F167" s="342"/>
      <c r="G167" s="342"/>
      <c r="H167" s="342"/>
      <c r="I167" s="342"/>
      <c r="J167" s="342"/>
      <c r="K167" s="342"/>
      <c r="L167" s="342"/>
      <c r="M167" s="342"/>
      <c r="N167" s="342"/>
      <c r="O167" s="239"/>
      <c r="P167" s="239"/>
      <c r="Q167" s="239"/>
      <c r="R167" s="239"/>
      <c r="S167" s="239"/>
      <c r="T167" s="239"/>
      <c r="U167" s="239"/>
    </row>
    <row r="168" spans="2:21" ht="12.75" customHeight="1" thickBot="1">
      <c r="B168" s="341" t="s">
        <v>86</v>
      </c>
      <c r="C168" s="342"/>
      <c r="D168" s="349">
        <f>D165+D166+D167</f>
        <v>22.109257441936538</v>
      </c>
      <c r="E168" s="342" t="s">
        <v>88</v>
      </c>
      <c r="F168" s="342"/>
      <c r="G168" s="342"/>
      <c r="H168" s="342"/>
      <c r="I168" s="342"/>
      <c r="J168" s="342"/>
      <c r="K168" s="342"/>
      <c r="L168" s="342"/>
      <c r="M168" s="342"/>
      <c r="N168" s="342"/>
      <c r="O168" s="239"/>
      <c r="P168" s="239"/>
      <c r="Q168" s="239"/>
      <c r="R168" s="239"/>
      <c r="S168" s="239"/>
      <c r="T168" s="239"/>
      <c r="U168" s="239"/>
    </row>
    <row r="169" spans="2:21" ht="12.75" customHeight="1" thickTop="1">
      <c r="B169" s="341"/>
      <c r="C169" s="342"/>
      <c r="D169" s="342"/>
      <c r="E169" s="342"/>
      <c r="F169" s="342"/>
      <c r="G169" s="342"/>
      <c r="H169" s="342"/>
      <c r="I169" s="342"/>
      <c r="J169" s="342"/>
      <c r="K169" s="342"/>
      <c r="L169" s="342"/>
      <c r="M169" s="342"/>
      <c r="N169" s="342"/>
      <c r="O169" s="239"/>
      <c r="P169" s="239"/>
      <c r="Q169" s="239"/>
      <c r="R169" s="239"/>
      <c r="S169" s="239"/>
      <c r="T169" s="239"/>
      <c r="U169" s="239"/>
    </row>
    <row r="170" spans="2:21" ht="12.75" customHeight="1">
      <c r="B170" s="238"/>
      <c r="C170" s="239"/>
      <c r="D170" s="239"/>
      <c r="E170" s="239"/>
      <c r="F170" s="239"/>
      <c r="G170" s="239"/>
      <c r="H170" s="239"/>
      <c r="I170" s="239"/>
      <c r="J170" s="239"/>
      <c r="K170" s="239"/>
      <c r="L170" s="239"/>
      <c r="M170" s="239"/>
      <c r="N170" s="239"/>
      <c r="O170" s="239"/>
      <c r="P170" s="239"/>
      <c r="Q170" s="239"/>
      <c r="R170" s="239"/>
      <c r="S170" s="239"/>
      <c r="T170" s="239"/>
      <c r="U170" s="239"/>
    </row>
    <row r="171" spans="2:21" ht="12.75" customHeight="1">
      <c r="B171" s="335" t="s">
        <v>122</v>
      </c>
      <c r="C171" s="336"/>
      <c r="D171" s="336"/>
      <c r="E171" s="336"/>
      <c r="F171" s="336"/>
      <c r="G171" s="336"/>
      <c r="H171" s="336"/>
      <c r="I171" s="336"/>
      <c r="J171" s="336"/>
      <c r="K171" s="336"/>
      <c r="L171" s="336"/>
      <c r="M171" s="336"/>
      <c r="N171" s="336"/>
      <c r="O171" s="239"/>
      <c r="P171" s="239"/>
      <c r="Q171" s="239"/>
      <c r="R171" s="239"/>
      <c r="S171" s="239"/>
      <c r="T171" s="239"/>
      <c r="U171" s="239"/>
    </row>
    <row r="172" spans="2:21" ht="12.75" customHeight="1">
      <c r="B172" s="336" t="s">
        <v>123</v>
      </c>
      <c r="C172" s="351">
        <f>F37</f>
        <v>38</v>
      </c>
      <c r="D172" s="336"/>
      <c r="E172" s="336"/>
      <c r="F172" s="336"/>
      <c r="G172" s="336"/>
      <c r="H172" s="336"/>
      <c r="I172" s="336"/>
      <c r="J172" s="336"/>
      <c r="K172" s="336"/>
      <c r="L172" s="336"/>
      <c r="M172" s="336"/>
      <c r="N172" s="336"/>
      <c r="O172" s="239"/>
      <c r="P172" s="239"/>
    </row>
    <row r="173" spans="2:21" ht="12.75" customHeight="1">
      <c r="B173" s="336" t="s">
        <v>124</v>
      </c>
      <c r="C173" s="336"/>
      <c r="D173" s="336"/>
      <c r="E173" s="336"/>
      <c r="F173" s="336"/>
      <c r="G173" s="336"/>
      <c r="H173" s="336"/>
      <c r="I173" s="336"/>
      <c r="J173" s="336"/>
      <c r="K173" s="336"/>
      <c r="L173" s="336"/>
      <c r="M173" s="336"/>
      <c r="N173" s="336"/>
      <c r="O173" s="239"/>
      <c r="P173" s="239"/>
    </row>
    <row r="174" spans="2:21" ht="12.75" customHeight="1">
      <c r="B174" s="336" t="s">
        <v>125</v>
      </c>
      <c r="C174" s="336">
        <f>D19*(E19-E20)+E20*(D19-D20)</f>
        <v>20.200000000000003</v>
      </c>
      <c r="D174" s="336"/>
      <c r="E174" s="336"/>
      <c r="F174" s="336"/>
      <c r="G174" s="336"/>
      <c r="H174" s="336"/>
      <c r="I174" s="336"/>
      <c r="J174" s="336"/>
      <c r="K174" s="336"/>
      <c r="L174" s="336"/>
      <c r="M174" s="336"/>
      <c r="N174" s="336"/>
      <c r="O174" s="239"/>
      <c r="P174" s="239"/>
    </row>
    <row r="175" spans="2:21" ht="12.75" customHeight="1">
      <c r="B175" s="336" t="s">
        <v>126</v>
      </c>
      <c r="C175" s="351">
        <f>C172+C174</f>
        <v>58.2</v>
      </c>
      <c r="D175" s="336" t="s">
        <v>658</v>
      </c>
      <c r="E175" s="336"/>
      <c r="F175" s="336"/>
      <c r="G175" s="336"/>
      <c r="H175" s="336"/>
      <c r="I175" s="336"/>
      <c r="J175" s="336">
        <f>D19*E19</f>
        <v>60.52</v>
      </c>
      <c r="K175" s="336" t="s">
        <v>127</v>
      </c>
      <c r="L175" s="336"/>
      <c r="M175" s="336"/>
      <c r="N175" s="336"/>
      <c r="O175" s="239"/>
      <c r="P175" s="239"/>
    </row>
    <row r="176" spans="2:21" ht="12.75" customHeight="1">
      <c r="B176" s="336" t="s">
        <v>128</v>
      </c>
      <c r="C176" s="336"/>
      <c r="D176" s="336">
        <f>IF(F32=1,20,IF(F32=2,60,G32))</f>
        <v>20</v>
      </c>
      <c r="E176" s="336" t="s">
        <v>104</v>
      </c>
      <c r="F176" s="336" t="s">
        <v>105</v>
      </c>
      <c r="G176" s="352">
        <f>D176/101.9</f>
        <v>0.19627085377821393</v>
      </c>
      <c r="H176" s="336" t="s">
        <v>106</v>
      </c>
      <c r="I176" s="336"/>
      <c r="J176" s="336"/>
      <c r="K176" s="336"/>
      <c r="L176" s="336"/>
      <c r="M176" s="336"/>
      <c r="N176" s="336"/>
      <c r="O176" s="239"/>
      <c r="P176" s="239"/>
    </row>
    <row r="177" spans="2:21" ht="12.75" customHeight="1">
      <c r="B177" s="336" t="s">
        <v>129</v>
      </c>
      <c r="C177" s="336"/>
      <c r="D177" s="351">
        <f>H29</f>
        <v>20</v>
      </c>
      <c r="E177" s="336" t="s">
        <v>130</v>
      </c>
      <c r="F177" s="336" t="s">
        <v>527</v>
      </c>
      <c r="G177" s="336"/>
      <c r="H177" s="352">
        <f>TAN($D$177*PI()/180)</f>
        <v>0.36397023426620234</v>
      </c>
      <c r="I177" s="336"/>
      <c r="J177" s="336"/>
      <c r="K177" s="336"/>
      <c r="L177" s="336"/>
      <c r="M177" s="336"/>
      <c r="N177" s="336"/>
      <c r="O177" s="239"/>
      <c r="P177" s="239"/>
    </row>
    <row r="178" spans="2:21" ht="12.75" customHeight="1">
      <c r="B178" s="336" t="s">
        <v>131</v>
      </c>
      <c r="C178" s="336"/>
      <c r="D178" s="351">
        <f>G176/COS(D177*PI()/180)</f>
        <v>0.20886707997564516</v>
      </c>
      <c r="E178" s="336" t="s">
        <v>106</v>
      </c>
      <c r="F178" s="336"/>
      <c r="G178" s="336"/>
      <c r="H178" s="336"/>
      <c r="I178" s="336"/>
      <c r="J178" s="336"/>
      <c r="K178" s="336"/>
      <c r="L178" s="336"/>
      <c r="M178" s="336"/>
      <c r="N178" s="336"/>
      <c r="O178" s="239"/>
      <c r="P178" s="239"/>
    </row>
    <row r="179" spans="2:21" ht="12.75" customHeight="1">
      <c r="B179" s="336" t="s">
        <v>132</v>
      </c>
      <c r="C179" s="336"/>
      <c r="D179" s="353">
        <v>0.24</v>
      </c>
      <c r="E179" s="336" t="s">
        <v>106</v>
      </c>
      <c r="F179" s="336" t="s">
        <v>133</v>
      </c>
      <c r="G179" s="336"/>
      <c r="H179" s="336"/>
      <c r="I179" s="336"/>
      <c r="J179" s="336"/>
      <c r="K179" s="336"/>
      <c r="L179" s="336"/>
      <c r="M179" s="336"/>
      <c r="N179" s="336"/>
      <c r="O179" s="239"/>
      <c r="P179" s="239"/>
    </row>
    <row r="180" spans="2:21" ht="12.75" customHeight="1">
      <c r="B180" s="336" t="s">
        <v>134</v>
      </c>
      <c r="C180" s="336"/>
      <c r="D180" s="351">
        <f>D178+D179</f>
        <v>0.44886707997564512</v>
      </c>
      <c r="E180" s="336" t="s">
        <v>106</v>
      </c>
      <c r="F180" s="336"/>
      <c r="G180" s="336"/>
      <c r="H180" s="336"/>
      <c r="I180" s="336"/>
      <c r="J180" s="336"/>
      <c r="K180" s="336"/>
      <c r="L180" s="336"/>
      <c r="M180" s="336"/>
      <c r="N180" s="336"/>
      <c r="O180" s="239"/>
      <c r="P180" s="239"/>
    </row>
    <row r="181" spans="2:21" ht="12.75" customHeight="1">
      <c r="B181" s="336" t="s">
        <v>135</v>
      </c>
      <c r="C181" s="336"/>
      <c r="D181" s="354">
        <f>D180*C175+D149</f>
        <v>36.746896897238742</v>
      </c>
      <c r="E181" s="336" t="s">
        <v>88</v>
      </c>
      <c r="F181" s="336"/>
      <c r="G181" s="336"/>
      <c r="H181" s="336"/>
      <c r="I181" s="336"/>
      <c r="J181" s="336"/>
      <c r="K181" s="336"/>
      <c r="L181" s="336"/>
      <c r="M181" s="336"/>
      <c r="N181" s="336"/>
      <c r="O181" s="239"/>
      <c r="P181" s="239"/>
      <c r="Q181" s="239"/>
      <c r="R181" s="239"/>
      <c r="S181" s="239"/>
      <c r="T181" s="239"/>
      <c r="U181" s="239"/>
    </row>
    <row r="182" spans="2:21" ht="12.75" customHeight="1">
      <c r="B182" s="216"/>
      <c r="C182" s="239"/>
      <c r="D182" s="217"/>
      <c r="E182" s="239"/>
      <c r="F182" s="239"/>
      <c r="G182" s="239"/>
      <c r="H182" s="239"/>
      <c r="I182" s="239"/>
      <c r="J182" s="239"/>
      <c r="K182" s="239"/>
      <c r="L182" s="239"/>
      <c r="M182" s="239"/>
      <c r="N182" s="239"/>
      <c r="O182" s="239"/>
      <c r="P182" s="239"/>
      <c r="Q182" s="239"/>
      <c r="R182" s="239"/>
      <c r="S182" s="239"/>
      <c r="T182" s="239"/>
      <c r="U182" s="239"/>
    </row>
    <row r="183" spans="2:21" ht="12.75" customHeight="1">
      <c r="B183" s="355" t="s">
        <v>136</v>
      </c>
      <c r="C183" s="356"/>
      <c r="D183" s="357"/>
      <c r="E183" s="356"/>
      <c r="F183" s="356"/>
      <c r="G183" s="356"/>
      <c r="H183" s="356"/>
      <c r="I183" s="356"/>
      <c r="J183" s="356"/>
      <c r="K183" s="356"/>
      <c r="L183" s="239"/>
      <c r="M183" s="239"/>
      <c r="N183" s="239"/>
      <c r="O183" s="239"/>
      <c r="P183" s="239"/>
      <c r="Q183" s="239"/>
      <c r="R183" s="239"/>
      <c r="S183" s="239"/>
    </row>
    <row r="184" spans="2:21" ht="12.75" customHeight="1">
      <c r="B184" s="356" t="s">
        <v>137</v>
      </c>
      <c r="C184" s="356"/>
      <c r="D184" s="357">
        <f>D156</f>
        <v>36.499836440955185</v>
      </c>
      <c r="E184" s="356" t="s">
        <v>88</v>
      </c>
      <c r="F184" s="356"/>
      <c r="G184" s="356"/>
      <c r="H184" s="356"/>
      <c r="I184" s="356"/>
      <c r="J184" s="356"/>
      <c r="K184" s="356"/>
      <c r="L184" s="239"/>
      <c r="M184" s="239"/>
      <c r="N184" s="239"/>
      <c r="O184" s="239"/>
      <c r="P184" s="239"/>
      <c r="Q184" s="239"/>
      <c r="R184" s="239"/>
      <c r="S184" s="358"/>
    </row>
    <row r="185" spans="2:21" ht="12.75" customHeight="1">
      <c r="B185" s="356" t="s">
        <v>138</v>
      </c>
      <c r="C185" s="356"/>
      <c r="D185" s="357">
        <f>C126</f>
        <v>115.19999999999999</v>
      </c>
      <c r="E185" s="356" t="s">
        <v>88</v>
      </c>
      <c r="F185" s="356"/>
      <c r="G185" s="356"/>
      <c r="H185" s="356"/>
      <c r="I185" s="356"/>
      <c r="J185" s="356"/>
      <c r="K185" s="356"/>
      <c r="L185" s="239"/>
      <c r="M185" s="239"/>
      <c r="N185" s="239"/>
      <c r="O185" s="239"/>
      <c r="P185" s="239"/>
      <c r="Q185" s="239"/>
      <c r="R185" s="239"/>
      <c r="S185" s="358"/>
    </row>
    <row r="186" spans="2:21" ht="12.75" customHeight="1">
      <c r="B186" s="355" t="s">
        <v>86</v>
      </c>
      <c r="C186" s="356"/>
      <c r="D186" s="359">
        <f>D184+D185</f>
        <v>151.69983644095518</v>
      </c>
      <c r="E186" s="356" t="s">
        <v>88</v>
      </c>
      <c r="F186" s="356"/>
      <c r="G186" s="356"/>
      <c r="H186" s="356"/>
      <c r="I186" s="356"/>
      <c r="J186" s="356"/>
      <c r="K186" s="356"/>
      <c r="L186" s="239"/>
      <c r="M186" s="239"/>
      <c r="N186" s="239"/>
      <c r="O186" s="239"/>
      <c r="P186" s="239"/>
      <c r="Q186" s="239"/>
      <c r="R186" s="239"/>
      <c r="S186" s="358"/>
    </row>
    <row r="187" spans="2:21" ht="12.75" customHeight="1">
      <c r="B187" s="355"/>
      <c r="C187" s="356"/>
      <c r="D187" s="357"/>
      <c r="E187" s="356"/>
      <c r="F187" s="356"/>
      <c r="G187" s="356"/>
      <c r="H187" s="356"/>
      <c r="I187" s="356"/>
      <c r="J187" s="356"/>
      <c r="K187" s="356"/>
      <c r="L187" s="239"/>
      <c r="M187" s="239"/>
      <c r="N187" s="239"/>
      <c r="O187" s="239"/>
      <c r="P187" s="239"/>
      <c r="Q187" s="239"/>
      <c r="R187" s="239"/>
      <c r="S187" s="358"/>
    </row>
    <row r="188" spans="2:21" ht="12.75" customHeight="1">
      <c r="B188" s="355" t="s">
        <v>139</v>
      </c>
      <c r="C188" s="356"/>
      <c r="D188" s="357"/>
      <c r="E188" s="356"/>
      <c r="F188" s="356"/>
      <c r="G188" s="356"/>
      <c r="H188" s="356"/>
      <c r="I188" s="356"/>
      <c r="J188" s="356"/>
      <c r="K188" s="356"/>
      <c r="L188" s="239"/>
      <c r="M188" s="239"/>
      <c r="N188" s="239"/>
      <c r="O188" s="239"/>
      <c r="P188" s="239"/>
      <c r="Q188" s="239"/>
      <c r="R188" s="239"/>
      <c r="S188" s="239"/>
    </row>
    <row r="189" spans="2:21" ht="12.75" customHeight="1">
      <c r="B189" s="356" t="s">
        <v>137</v>
      </c>
      <c r="C189" s="356"/>
      <c r="D189" s="357">
        <f>D162</f>
        <v>31.371933267909714</v>
      </c>
      <c r="E189" s="356" t="s">
        <v>88</v>
      </c>
      <c r="F189" s="356"/>
      <c r="G189" s="356"/>
      <c r="H189" s="356"/>
      <c r="I189" s="356"/>
      <c r="J189" s="356"/>
      <c r="K189" s="356"/>
      <c r="L189" s="239"/>
      <c r="M189" s="239"/>
      <c r="N189" s="239"/>
      <c r="O189" s="239"/>
      <c r="P189" s="239"/>
      <c r="Q189" s="239"/>
      <c r="R189" s="239"/>
      <c r="S189" s="358"/>
    </row>
    <row r="190" spans="2:21" ht="12.75" customHeight="1">
      <c r="B190" s="356" t="s">
        <v>138</v>
      </c>
      <c r="C190" s="356"/>
      <c r="D190" s="357">
        <f>C127</f>
        <v>115.19999999999999</v>
      </c>
      <c r="E190" s="356" t="s">
        <v>88</v>
      </c>
      <c r="F190" s="356"/>
      <c r="G190" s="356"/>
      <c r="H190" s="356"/>
      <c r="I190" s="356"/>
      <c r="J190" s="356"/>
      <c r="K190" s="356"/>
      <c r="L190" s="239"/>
      <c r="M190" s="239"/>
      <c r="N190" s="239"/>
      <c r="O190" s="239"/>
      <c r="P190" s="239"/>
      <c r="Q190" s="239"/>
      <c r="R190" s="239"/>
      <c r="S190" s="358"/>
    </row>
    <row r="191" spans="2:21" ht="12.75" customHeight="1">
      <c r="B191" s="355" t="s">
        <v>86</v>
      </c>
      <c r="C191" s="356"/>
      <c r="D191" s="359">
        <f>D189+D190</f>
        <v>146.57193326790971</v>
      </c>
      <c r="E191" s="356" t="s">
        <v>88</v>
      </c>
      <c r="F191" s="356"/>
      <c r="G191" s="356"/>
      <c r="H191" s="356"/>
      <c r="I191" s="356"/>
      <c r="J191" s="356"/>
      <c r="K191" s="356"/>
      <c r="L191" s="239"/>
      <c r="R191" s="239"/>
      <c r="S191" s="358"/>
    </row>
    <row r="192" spans="2:21" ht="12.75" customHeight="1">
      <c r="B192" s="355"/>
      <c r="C192" s="356"/>
      <c r="D192" s="357"/>
      <c r="E192" s="356"/>
      <c r="F192" s="356"/>
      <c r="G192" s="356"/>
      <c r="H192" s="356"/>
      <c r="I192" s="356"/>
      <c r="J192" s="356"/>
      <c r="K192" s="356"/>
      <c r="L192" s="239"/>
      <c r="R192" s="239"/>
      <c r="S192" s="239"/>
      <c r="T192" s="239"/>
      <c r="U192" s="239"/>
    </row>
    <row r="193" spans="2:30" ht="12.75" customHeight="1">
      <c r="B193" s="355" t="s">
        <v>140</v>
      </c>
      <c r="C193" s="356"/>
      <c r="D193" s="357"/>
      <c r="E193" s="356"/>
      <c r="F193" s="356"/>
      <c r="G193" s="356"/>
      <c r="H193" s="356"/>
      <c r="I193" s="356"/>
      <c r="J193" s="356"/>
      <c r="K193" s="356"/>
      <c r="L193" s="239"/>
      <c r="R193" s="239"/>
      <c r="S193" s="239"/>
      <c r="T193" s="239"/>
      <c r="U193" s="239"/>
    </row>
    <row r="194" spans="2:30" ht="12.75" customHeight="1" thickBot="1">
      <c r="B194" s="356" t="s">
        <v>137</v>
      </c>
      <c r="C194" s="356"/>
      <c r="D194" s="357">
        <f>D168</f>
        <v>22.109257441936538</v>
      </c>
      <c r="E194" s="356" t="s">
        <v>88</v>
      </c>
      <c r="F194" s="356"/>
      <c r="G194" s="356"/>
      <c r="H194" s="356"/>
      <c r="I194" s="356"/>
      <c r="J194" s="356"/>
      <c r="K194" s="356"/>
      <c r="L194" s="239"/>
      <c r="R194" s="239"/>
      <c r="S194" s="239"/>
      <c r="T194" s="239"/>
      <c r="U194" s="239"/>
    </row>
    <row r="195" spans="2:30" ht="12.75" customHeight="1">
      <c r="B195" s="356" t="s">
        <v>138</v>
      </c>
      <c r="C195" s="356"/>
      <c r="D195" s="357">
        <f>H127</f>
        <v>115.19999999999999</v>
      </c>
      <c r="E195" s="356" t="s">
        <v>88</v>
      </c>
      <c r="F195" s="356"/>
      <c r="G195" s="356"/>
      <c r="H195" s="356"/>
      <c r="I195" s="356"/>
      <c r="J195" s="356"/>
      <c r="K195" s="356"/>
      <c r="S195" s="239"/>
      <c r="X195" s="360"/>
      <c r="Y195" s="815"/>
      <c r="Z195" s="2014" t="s">
        <v>415</v>
      </c>
      <c r="AA195" s="2015"/>
      <c r="AB195" s="2015"/>
      <c r="AC195" s="2016"/>
      <c r="AD195" s="361"/>
    </row>
    <row r="196" spans="2:30" ht="12.75" customHeight="1">
      <c r="B196" s="355" t="s">
        <v>86</v>
      </c>
      <c r="C196" s="356"/>
      <c r="D196" s="359">
        <f>D194+D195</f>
        <v>137.30925744193652</v>
      </c>
      <c r="E196" s="356" t="s">
        <v>88</v>
      </c>
      <c r="F196" s="356"/>
      <c r="G196" s="356"/>
      <c r="H196" s="356"/>
      <c r="I196" s="356"/>
      <c r="J196" s="356"/>
      <c r="K196" s="356"/>
      <c r="S196" s="239"/>
      <c r="X196" s="362"/>
      <c r="Y196" s="363"/>
      <c r="Z196" s="1307">
        <v>0.1966</v>
      </c>
      <c r="AA196" s="1308">
        <v>0.29520000000000002</v>
      </c>
      <c r="AB196" s="1309">
        <v>0.40500000000000003</v>
      </c>
      <c r="AC196" s="1310">
        <v>0.6</v>
      </c>
      <c r="AD196" s="1311"/>
    </row>
    <row r="197" spans="2:30" ht="12.75" customHeight="1" thickBot="1">
      <c r="B197" s="355"/>
      <c r="C197" s="364"/>
      <c r="D197" s="356"/>
      <c r="E197" s="356"/>
      <c r="F197" s="365" t="s">
        <v>329</v>
      </c>
      <c r="G197" s="2017" t="s">
        <v>194</v>
      </c>
      <c r="H197" s="2018"/>
      <c r="I197" s="2018"/>
      <c r="J197" s="2019"/>
      <c r="K197" s="356"/>
      <c r="S197" s="239"/>
      <c r="X197" s="2020" t="s">
        <v>416</v>
      </c>
      <c r="Y197" s="1312" t="s">
        <v>329</v>
      </c>
      <c r="Z197" s="1989" t="s">
        <v>413</v>
      </c>
      <c r="AA197" s="1990"/>
      <c r="AB197" s="1990"/>
      <c r="AC197" s="1991"/>
      <c r="AD197" s="1987" t="s">
        <v>414</v>
      </c>
    </row>
    <row r="198" spans="2:30" ht="12.75" customHeight="1" thickBot="1">
      <c r="B198" s="366" t="s">
        <v>529</v>
      </c>
      <c r="C198" s="367"/>
      <c r="D198" s="367"/>
      <c r="E198" s="368">
        <f>Zone</f>
        <v>1</v>
      </c>
      <c r="F198" s="369" t="s">
        <v>330</v>
      </c>
      <c r="G198" s="315">
        <v>1</v>
      </c>
      <c r="H198" s="315">
        <v>2</v>
      </c>
      <c r="I198" s="315">
        <v>3</v>
      </c>
      <c r="J198" s="315">
        <v>4</v>
      </c>
      <c r="K198" s="239"/>
      <c r="S198" s="239"/>
      <c r="X198" s="2021"/>
      <c r="Y198" s="369" t="s">
        <v>330</v>
      </c>
      <c r="Z198" s="373">
        <v>1</v>
      </c>
      <c r="AA198" s="373">
        <v>2</v>
      </c>
      <c r="AB198" s="373">
        <v>3</v>
      </c>
      <c r="AC198" s="1313">
        <v>4</v>
      </c>
      <c r="AD198" s="1988"/>
    </row>
    <row r="199" spans="2:30" ht="12.75" customHeight="1" thickBot="1">
      <c r="B199" s="366" t="s">
        <v>528</v>
      </c>
      <c r="C199" s="367"/>
      <c r="D199" s="367"/>
      <c r="E199" s="370">
        <f>SoilClass</f>
        <v>5</v>
      </c>
      <c r="F199" s="315" t="s">
        <v>2</v>
      </c>
      <c r="G199" s="371">
        <v>0.108</v>
      </c>
      <c r="H199" s="371">
        <v>0.16300000000000001</v>
      </c>
      <c r="I199" s="371">
        <v>0.223</v>
      </c>
      <c r="J199" s="371">
        <v>0.33100000000000002</v>
      </c>
      <c r="K199" s="239"/>
      <c r="M199" s="218"/>
      <c r="N199" s="218"/>
      <c r="O199" s="218"/>
      <c r="P199" s="218"/>
      <c r="S199" s="239"/>
      <c r="X199" s="372">
        <v>1.89</v>
      </c>
      <c r="Y199" s="373" t="s">
        <v>2</v>
      </c>
      <c r="Z199" s="789">
        <f t="shared" ref="Z199:AC200" si="3">$X199*Z$196*0.7/$AD199</f>
        <v>0.10837574999999998</v>
      </c>
      <c r="AA199" s="790">
        <f t="shared" si="3"/>
        <v>0.16272899999999998</v>
      </c>
      <c r="AB199" s="790">
        <f t="shared" si="3"/>
        <v>0.22325624999999999</v>
      </c>
      <c r="AC199" s="790">
        <f t="shared" si="3"/>
        <v>0.33074999999999993</v>
      </c>
      <c r="AD199" s="1314">
        <v>2.4</v>
      </c>
    </row>
    <row r="200" spans="2:30" ht="12.75" customHeight="1" thickBot="1">
      <c r="B200" s="216"/>
      <c r="C200" s="246"/>
      <c r="D200" s="239"/>
      <c r="E200" s="239"/>
      <c r="F200" s="315" t="s">
        <v>3</v>
      </c>
      <c r="G200" s="371">
        <v>0.108</v>
      </c>
      <c r="H200" s="371">
        <v>0.16300000000000001</v>
      </c>
      <c r="I200" s="371">
        <v>0.223</v>
      </c>
      <c r="J200" s="371">
        <v>0.33100000000000002</v>
      </c>
      <c r="K200" s="239"/>
      <c r="M200" s="218"/>
      <c r="N200" s="218"/>
      <c r="O200" s="218"/>
      <c r="P200" s="218"/>
      <c r="S200" s="239"/>
      <c r="X200" s="372">
        <v>1.89</v>
      </c>
      <c r="Y200" s="373" t="s">
        <v>3</v>
      </c>
      <c r="Z200" s="789">
        <f t="shared" si="3"/>
        <v>0.10837574999999998</v>
      </c>
      <c r="AA200" s="790">
        <f t="shared" si="3"/>
        <v>0.16272899999999998</v>
      </c>
      <c r="AB200" s="790">
        <f t="shared" si="3"/>
        <v>0.22325624999999999</v>
      </c>
      <c r="AC200" s="790">
        <f t="shared" si="3"/>
        <v>0.33074999999999993</v>
      </c>
      <c r="AD200" s="1314">
        <v>2.4</v>
      </c>
    </row>
    <row r="201" spans="2:30" ht="12.75" customHeight="1" thickBot="1">
      <c r="B201" s="374" t="s">
        <v>331</v>
      </c>
      <c r="C201" s="800">
        <f>INDEX(SCoeff,SoilClass,Zone)</f>
        <v>0.18</v>
      </c>
      <c r="E201" s="239"/>
      <c r="F201" s="315" t="s">
        <v>4</v>
      </c>
      <c r="G201" s="371">
        <v>0.126</v>
      </c>
      <c r="H201" s="371">
        <v>0.189</v>
      </c>
      <c r="I201" s="371">
        <v>0.26</v>
      </c>
      <c r="J201" s="371">
        <v>0.38500000000000001</v>
      </c>
      <c r="K201" s="239"/>
      <c r="M201" s="218"/>
      <c r="N201" s="218"/>
      <c r="O201" s="218"/>
      <c r="P201" s="218"/>
      <c r="S201" s="239"/>
      <c r="X201" s="372">
        <v>2.36</v>
      </c>
      <c r="Y201" s="373" t="s">
        <v>4</v>
      </c>
      <c r="Z201" s="1315">
        <f>($X201-0.16)*Z$196*0.7/$AD201</f>
        <v>0.12615166666666666</v>
      </c>
      <c r="AA201" s="791">
        <f>($X201-0.16)*AA$196*0.7/$AD201</f>
        <v>0.18941999999999998</v>
      </c>
      <c r="AB201" s="1318">
        <f>($X201-0.16)*AB$196*0.7/$AD201</f>
        <v>0.25987499999999997</v>
      </c>
      <c r="AC201" s="791">
        <f>($X201-0.16)*AC$196*0.7/$AD201</f>
        <v>0.38499999999999995</v>
      </c>
      <c r="AD201" s="1316">
        <v>2.4</v>
      </c>
    </row>
    <row r="202" spans="2:30" ht="12.75" customHeight="1" thickBot="1">
      <c r="B202" s="278"/>
      <c r="C202" s="214"/>
      <c r="E202" s="239"/>
      <c r="F202" s="315" t="s">
        <v>33</v>
      </c>
      <c r="G202" s="371">
        <v>0.17199999999999999</v>
      </c>
      <c r="H202" s="371">
        <v>0.25800000000000001</v>
      </c>
      <c r="I202" s="371">
        <v>0.35399999999999998</v>
      </c>
      <c r="J202" s="371">
        <v>0.52500000000000002</v>
      </c>
      <c r="K202" s="239"/>
      <c r="M202" s="218"/>
      <c r="N202" s="218"/>
      <c r="O202" s="218"/>
      <c r="P202" s="218"/>
      <c r="S202" s="239"/>
      <c r="X202" s="372">
        <v>3</v>
      </c>
      <c r="Y202" s="373" t="s">
        <v>33</v>
      </c>
      <c r="Z202" s="1315">
        <f t="shared" ref="Z202:AC203" si="4">$X202*Z$196*0.7/$AD202</f>
        <v>0.17202499999999998</v>
      </c>
      <c r="AA202" s="791">
        <f t="shared" si="4"/>
        <v>0.25830000000000003</v>
      </c>
      <c r="AB202" s="791">
        <f t="shared" si="4"/>
        <v>0.35437500000000005</v>
      </c>
      <c r="AC202" s="791">
        <f t="shared" si="4"/>
        <v>0.52499999999999991</v>
      </c>
      <c r="AD202" s="1316">
        <v>2.4</v>
      </c>
    </row>
    <row r="203" spans="2:30" ht="12.75" customHeight="1" thickBot="1">
      <c r="B203" s="216"/>
      <c r="C203" s="246"/>
      <c r="D203" s="239"/>
      <c r="E203" s="239"/>
      <c r="F203" s="315" t="s">
        <v>34</v>
      </c>
      <c r="G203" s="371">
        <v>0.18</v>
      </c>
      <c r="H203" s="371">
        <v>0.27</v>
      </c>
      <c r="I203" s="371">
        <v>0.37</v>
      </c>
      <c r="J203" s="371">
        <v>0.54800000000000004</v>
      </c>
      <c r="K203" s="239"/>
      <c r="M203" s="218"/>
      <c r="N203" s="218"/>
      <c r="O203" s="218"/>
      <c r="P203" s="218"/>
      <c r="S203" s="239"/>
      <c r="X203" s="375">
        <v>3</v>
      </c>
      <c r="Y203" s="373" t="s">
        <v>34</v>
      </c>
      <c r="Z203" s="792">
        <f t="shared" si="4"/>
        <v>0.17950434782608696</v>
      </c>
      <c r="AA203" s="793">
        <f t="shared" si="4"/>
        <v>0.26953043478260874</v>
      </c>
      <c r="AB203" s="793">
        <f t="shared" si="4"/>
        <v>0.36978260869565222</v>
      </c>
      <c r="AC203" s="793">
        <f t="shared" si="4"/>
        <v>0.54782608695652169</v>
      </c>
      <c r="AD203" s="1317">
        <v>2.2999999999999998</v>
      </c>
    </row>
    <row r="204" spans="2:30" ht="12.75" customHeight="1">
      <c r="B204" s="216"/>
      <c r="C204" s="246"/>
      <c r="D204" s="239"/>
      <c r="E204" s="239"/>
      <c r="F204" s="332"/>
      <c r="G204" s="376"/>
      <c r="H204" s="376"/>
      <c r="I204" s="376"/>
      <c r="J204" s="376"/>
      <c r="K204" s="239"/>
      <c r="L204" s="377"/>
      <c r="M204" s="378"/>
      <c r="N204" s="379"/>
      <c r="O204" s="379"/>
      <c r="P204" s="379"/>
      <c r="Q204" s="379"/>
      <c r="R204" s="380"/>
      <c r="S204" s="239"/>
    </row>
    <row r="205" spans="2:30" ht="12.75" customHeight="1">
      <c r="B205" s="216"/>
      <c r="C205" s="246"/>
      <c r="D205" s="239"/>
      <c r="E205" s="239"/>
      <c r="F205" s="332"/>
      <c r="G205" s="376"/>
      <c r="H205" s="376"/>
      <c r="I205" s="376"/>
      <c r="J205" s="376" t="s">
        <v>88</v>
      </c>
      <c r="N205" s="379"/>
      <c r="O205" s="379"/>
      <c r="P205" s="379"/>
      <c r="Q205" s="379"/>
      <c r="R205" s="380"/>
      <c r="S205" s="239"/>
    </row>
    <row r="206" spans="2:30" ht="12.75" customHeight="1" thickBot="1">
      <c r="B206" s="381" t="s">
        <v>523</v>
      </c>
      <c r="C206" s="382"/>
      <c r="D206" s="382"/>
      <c r="E206" s="382"/>
      <c r="F206" s="239"/>
      <c r="G206" s="239"/>
      <c r="H206" s="239"/>
      <c r="I206" s="239"/>
      <c r="J206" s="239"/>
      <c r="K206" s="239"/>
      <c r="L206" s="239"/>
      <c r="Q206" s="239"/>
      <c r="R206" s="239"/>
      <c r="S206" s="239"/>
      <c r="T206" s="239"/>
      <c r="U206" s="239"/>
    </row>
    <row r="207" spans="2:30" ht="12.75" customHeight="1" thickTop="1" thickBot="1">
      <c r="D207" s="239"/>
      <c r="J207" s="383">
        <f>E208*SeismicFactor</f>
        <v>6.6144414415029731</v>
      </c>
      <c r="K207" s="239" t="s">
        <v>354</v>
      </c>
      <c r="M207" s="239"/>
      <c r="N207" s="239"/>
      <c r="O207" s="239"/>
      <c r="P207" s="384"/>
      <c r="Q207" s="376"/>
      <c r="R207" s="239"/>
      <c r="S207" s="239"/>
      <c r="T207" s="239"/>
      <c r="U207" s="239"/>
    </row>
    <row r="208" spans="2:30" ht="12.75" customHeight="1" thickTop="1">
      <c r="B208" s="385" t="s">
        <v>141</v>
      </c>
      <c r="C208" s="386"/>
      <c r="D208" s="387"/>
      <c r="E208" s="388">
        <f>D181</f>
        <v>36.746896897238742</v>
      </c>
      <c r="F208" s="389" t="s">
        <v>88</v>
      </c>
      <c r="G208" s="387"/>
      <c r="H208" s="390"/>
      <c r="K208" s="239" t="s">
        <v>355</v>
      </c>
      <c r="M208" s="239"/>
      <c r="P208" s="384"/>
      <c r="Q208" s="376"/>
      <c r="R208" s="239"/>
      <c r="S208" s="239"/>
      <c r="T208" s="239"/>
      <c r="U208" s="239"/>
    </row>
    <row r="209" spans="2:21" ht="12.75" customHeight="1">
      <c r="B209" s="239"/>
      <c r="C209" s="239"/>
      <c r="D209" s="239"/>
      <c r="E209" s="239"/>
      <c r="F209" s="239"/>
      <c r="G209" s="239"/>
      <c r="H209" s="239"/>
      <c r="I209" s="239"/>
      <c r="J209" s="239"/>
      <c r="K209" s="239"/>
      <c r="L209" s="239"/>
      <c r="N209" s="384"/>
      <c r="O209" s="384"/>
      <c r="P209" s="384"/>
      <c r="Q209" s="376"/>
      <c r="R209" s="239"/>
      <c r="S209" s="239"/>
      <c r="T209" s="239"/>
      <c r="U209" s="239"/>
    </row>
    <row r="210" spans="2:21" ht="12.75" customHeight="1">
      <c r="B210" s="239"/>
      <c r="C210" s="239"/>
      <c r="D210" s="239"/>
      <c r="E210" s="239"/>
      <c r="F210" s="239"/>
      <c r="G210" s="239"/>
      <c r="H210" s="238" t="s">
        <v>142</v>
      </c>
      <c r="I210" s="239"/>
      <c r="J210" s="239" t="s">
        <v>143</v>
      </c>
      <c r="K210" s="239"/>
      <c r="L210" s="239"/>
      <c r="N210" s="384"/>
      <c r="O210" s="384"/>
      <c r="P210" s="384"/>
      <c r="Q210" s="376"/>
      <c r="R210" s="239"/>
      <c r="S210" s="239"/>
      <c r="T210" s="239"/>
      <c r="U210" s="239"/>
    </row>
    <row r="211" spans="2:21" ht="12.75" customHeight="1" thickBot="1">
      <c r="B211" s="381" t="s">
        <v>520</v>
      </c>
      <c r="C211" s="382"/>
      <c r="D211" s="382"/>
      <c r="E211" s="382"/>
      <c r="F211" s="239"/>
      <c r="G211" s="332" t="s">
        <v>144</v>
      </c>
      <c r="H211" s="332" t="s">
        <v>145</v>
      </c>
      <c r="I211" s="239"/>
      <c r="J211" s="239" t="s">
        <v>146</v>
      </c>
      <c r="K211" s="239"/>
      <c r="L211" s="239"/>
      <c r="M211" s="239"/>
      <c r="N211" s="239"/>
      <c r="O211" s="239"/>
      <c r="P211" s="239"/>
      <c r="Q211" s="239"/>
      <c r="R211" s="239"/>
      <c r="S211" s="239"/>
      <c r="T211" s="239"/>
      <c r="U211" s="239"/>
    </row>
    <row r="212" spans="2:21" ht="12.75" customHeight="1" thickTop="1" thickBot="1">
      <c r="B212" s="389" t="s">
        <v>147</v>
      </c>
      <c r="C212" s="391">
        <f>C213-HUI</f>
        <v>2.6000000000000014</v>
      </c>
      <c r="D212" s="392" t="s">
        <v>148</v>
      </c>
      <c r="E212" s="393">
        <f>D186</f>
        <v>151.69983644095518</v>
      </c>
      <c r="F212" s="389" t="s">
        <v>88</v>
      </c>
      <c r="G212" s="393">
        <f>C212*E212</f>
        <v>394.4195747464837</v>
      </c>
      <c r="H212" s="393">
        <f>0.92*E214*G212/G214</f>
        <v>103.76510041149025</v>
      </c>
      <c r="I212" s="239"/>
      <c r="J212" s="383">
        <f>H214*SeismicFactor</f>
        <v>33.920412000874911</v>
      </c>
      <c r="K212" s="239" t="s">
        <v>350</v>
      </c>
      <c r="L212" s="239"/>
      <c r="M212" s="239"/>
      <c r="N212" s="239"/>
      <c r="O212" s="239"/>
      <c r="P212" s="239"/>
      <c r="Q212" s="239"/>
      <c r="R212" s="239"/>
      <c r="S212" s="239"/>
      <c r="T212" s="239"/>
      <c r="U212" s="239"/>
    </row>
    <row r="213" spans="2:21" ht="12.75" customHeight="1" thickTop="1" thickBot="1">
      <c r="B213" s="389" t="s">
        <v>147</v>
      </c>
      <c r="C213" s="391">
        <f>TotH-RoofH+HUI-HUE</f>
        <v>7.2000000000000011</v>
      </c>
      <c r="D213" s="392" t="s">
        <v>148</v>
      </c>
      <c r="E213" s="393">
        <f>D181</f>
        <v>36.746896897238742</v>
      </c>
      <c r="F213" s="389" t="s">
        <v>88</v>
      </c>
      <c r="G213" s="393">
        <f>C213*E213</f>
        <v>264.57765766011897</v>
      </c>
      <c r="H213" s="393">
        <f>0.08*E214+0.92*E214*G213/G214</f>
        <v>84.681632926703685</v>
      </c>
      <c r="I213" s="239"/>
      <c r="J213" s="383">
        <f>H213*SeismicFactor</f>
        <v>15.242693926806663</v>
      </c>
      <c r="K213" s="239" t="s">
        <v>152</v>
      </c>
      <c r="L213" s="239"/>
      <c r="M213" s="239"/>
      <c r="N213" s="239"/>
      <c r="O213" s="239"/>
      <c r="P213" s="239"/>
      <c r="Q213" s="239"/>
      <c r="R213" s="239"/>
      <c r="S213" s="239"/>
      <c r="T213" s="239"/>
      <c r="U213" s="239"/>
    </row>
    <row r="214" spans="2:21" ht="12.75" customHeight="1" thickTop="1">
      <c r="B214" s="389"/>
      <c r="C214" s="389"/>
      <c r="D214" s="389" t="s">
        <v>86</v>
      </c>
      <c r="E214" s="394">
        <f>E212+E213</f>
        <v>188.44673333819392</v>
      </c>
      <c r="F214" s="389" t="s">
        <v>88</v>
      </c>
      <c r="G214" s="394">
        <f>G212+G213</f>
        <v>658.99723240660273</v>
      </c>
      <c r="H214" s="394">
        <f>H212+H213</f>
        <v>188.44673333819395</v>
      </c>
      <c r="I214" s="239"/>
      <c r="J214" s="217"/>
      <c r="K214" s="239"/>
      <c r="L214" s="239"/>
      <c r="M214" s="239"/>
      <c r="N214" s="239"/>
      <c r="O214" s="239"/>
      <c r="P214" s="239"/>
      <c r="Q214" s="239"/>
      <c r="R214" s="239"/>
      <c r="S214" s="239"/>
      <c r="T214" s="239"/>
      <c r="U214" s="239"/>
    </row>
    <row r="215" spans="2:21" ht="12.75" customHeight="1">
      <c r="B215" s="239"/>
      <c r="C215" s="239"/>
      <c r="D215" s="239"/>
      <c r="E215" s="395"/>
      <c r="F215" s="239"/>
      <c r="G215" s="396"/>
      <c r="H215" s="396"/>
      <c r="I215" s="239"/>
      <c r="J215" s="217"/>
      <c r="K215" s="239"/>
      <c r="L215" s="239"/>
      <c r="M215" s="239"/>
      <c r="N215" s="239"/>
      <c r="O215" s="239"/>
      <c r="P215" s="239"/>
      <c r="Q215" s="239"/>
      <c r="R215" s="239"/>
      <c r="S215" s="239"/>
      <c r="T215" s="239"/>
      <c r="U215" s="239"/>
    </row>
    <row r="216" spans="2:21" ht="12.75" customHeight="1">
      <c r="B216" s="239"/>
      <c r="C216" s="239"/>
      <c r="D216" s="239"/>
      <c r="E216" s="395"/>
      <c r="F216" s="239"/>
      <c r="G216" s="396"/>
      <c r="H216" s="397" t="s">
        <v>142</v>
      </c>
      <c r="I216" s="239"/>
      <c r="J216" s="217" t="s">
        <v>143</v>
      </c>
      <c r="K216" s="239"/>
      <c r="L216" s="239"/>
      <c r="M216" s="239"/>
      <c r="N216" s="239"/>
      <c r="O216" s="239"/>
      <c r="P216" s="239"/>
      <c r="Q216" s="239"/>
      <c r="R216" s="239"/>
      <c r="S216" s="239"/>
      <c r="T216" s="239"/>
      <c r="U216" s="239"/>
    </row>
    <row r="217" spans="2:21" ht="12.75" customHeight="1" thickBot="1">
      <c r="B217" s="381" t="s">
        <v>521</v>
      </c>
      <c r="C217" s="382"/>
      <c r="D217" s="382"/>
      <c r="E217" s="398"/>
      <c r="F217" s="239"/>
      <c r="G217" s="399" t="s">
        <v>144</v>
      </c>
      <c r="H217" s="399" t="s">
        <v>145</v>
      </c>
      <c r="I217" s="239"/>
      <c r="J217" s="217" t="s">
        <v>146</v>
      </c>
      <c r="K217" s="239"/>
      <c r="L217" s="239"/>
      <c r="M217" s="239"/>
      <c r="N217" s="239"/>
      <c r="O217" s="239"/>
      <c r="P217" s="239"/>
      <c r="Q217" s="239"/>
      <c r="R217" s="239"/>
      <c r="S217" s="239"/>
      <c r="T217" s="239"/>
      <c r="U217" s="239"/>
    </row>
    <row r="218" spans="2:21" ht="12.75" customHeight="1" thickTop="1" thickBot="1">
      <c r="B218" s="389" t="s">
        <v>147</v>
      </c>
      <c r="C218" s="391">
        <f>F50</f>
        <v>0.2</v>
      </c>
      <c r="D218" s="392" t="s">
        <v>148</v>
      </c>
      <c r="E218" s="393">
        <f>D191</f>
        <v>146.57193326790971</v>
      </c>
      <c r="F218" s="389" t="s">
        <v>88</v>
      </c>
      <c r="G218" s="393">
        <f>C218*E218</f>
        <v>29.314386653581945</v>
      </c>
      <c r="H218" s="393">
        <f>0.92*E221*G218/G221</f>
        <v>13.126608850611399</v>
      </c>
      <c r="I218" s="239"/>
      <c r="J218" s="383">
        <f>H221*SeismicFactor</f>
        <v>60.303359989098652</v>
      </c>
      <c r="K218" s="239" t="s">
        <v>351</v>
      </c>
      <c r="L218" s="239"/>
      <c r="M218" s="239"/>
      <c r="N218" s="239"/>
      <c r="O218" s="239"/>
      <c r="P218" s="239"/>
      <c r="Q218" s="239"/>
      <c r="R218" s="239"/>
      <c r="S218" s="239"/>
      <c r="T218" s="239"/>
      <c r="U218" s="239"/>
    </row>
    <row r="219" spans="2:21" ht="12.75" customHeight="1" thickTop="1" thickBot="1">
      <c r="B219" s="389" t="s">
        <v>147</v>
      </c>
      <c r="C219" s="391">
        <f>C212</f>
        <v>2.6000000000000014</v>
      </c>
      <c r="D219" s="392" t="s">
        <v>148</v>
      </c>
      <c r="E219" s="393">
        <f>D186</f>
        <v>151.69983644095518</v>
      </c>
      <c r="F219" s="389" t="s">
        <v>88</v>
      </c>
      <c r="G219" s="393">
        <f>C219*E219</f>
        <v>394.4195747464837</v>
      </c>
      <c r="H219" s="393">
        <f>0.92*E221*G219/G221</f>
        <v>176.61606029505475</v>
      </c>
      <c r="I219" s="239"/>
      <c r="J219" s="383">
        <f>(H220+H219)*SeismicFactor</f>
        <v>57.940570395988601</v>
      </c>
      <c r="K219" s="239" t="s">
        <v>352</v>
      </c>
      <c r="L219" s="239"/>
      <c r="M219" s="239"/>
      <c r="N219" s="239"/>
      <c r="O219" s="239"/>
      <c r="P219" s="239"/>
      <c r="Q219" s="239"/>
      <c r="R219" s="239"/>
      <c r="S219" s="239"/>
      <c r="T219" s="239"/>
      <c r="U219" s="239"/>
    </row>
    <row r="220" spans="2:21" ht="12.75" customHeight="1" thickTop="1" thickBot="1">
      <c r="B220" s="389" t="s">
        <v>147</v>
      </c>
      <c r="C220" s="391">
        <f>C213</f>
        <v>7.2000000000000011</v>
      </c>
      <c r="D220" s="392" t="s">
        <v>148</v>
      </c>
      <c r="E220" s="393">
        <f>D181</f>
        <v>36.746896897238742</v>
      </c>
      <c r="F220" s="389" t="s">
        <v>88</v>
      </c>
      <c r="G220" s="393">
        <f>C220*E220</f>
        <v>264.57765766011897</v>
      </c>
      <c r="H220" s="393">
        <f>0.08*E221+0.92*E221*G220/G221</f>
        <v>145.27599746043748</v>
      </c>
      <c r="I220" s="239"/>
      <c r="J220" s="383">
        <f>H220*SeismicFactor</f>
        <v>26.149679542878747</v>
      </c>
      <c r="K220" s="239" t="s">
        <v>353</v>
      </c>
      <c r="L220" s="239"/>
      <c r="M220" s="239"/>
      <c r="N220" s="239"/>
      <c r="O220" s="239"/>
      <c r="P220" s="239"/>
      <c r="Q220" s="239"/>
      <c r="R220" s="239"/>
      <c r="S220" s="239"/>
      <c r="T220" s="239"/>
      <c r="U220" s="239"/>
    </row>
    <row r="221" spans="2:21" ht="12.75" customHeight="1" thickTop="1">
      <c r="B221" s="389"/>
      <c r="C221" s="389"/>
      <c r="D221" s="389" t="s">
        <v>86</v>
      </c>
      <c r="E221" s="394">
        <f>E218+E220+E219</f>
        <v>335.01866660610364</v>
      </c>
      <c r="F221" s="389" t="s">
        <v>88</v>
      </c>
      <c r="G221" s="394">
        <f>G218+G220+G219</f>
        <v>688.31161906018463</v>
      </c>
      <c r="H221" s="394">
        <f>H218+H220+H219</f>
        <v>335.01866660610364</v>
      </c>
      <c r="I221" s="239"/>
      <c r="J221" s="217"/>
      <c r="K221" s="239"/>
      <c r="L221" s="239"/>
      <c r="M221" s="239"/>
      <c r="N221" s="239"/>
      <c r="O221" s="239"/>
      <c r="P221" s="239"/>
      <c r="Q221" s="239"/>
      <c r="R221" s="239"/>
      <c r="S221" s="239"/>
      <c r="T221" s="239"/>
      <c r="U221" s="239"/>
    </row>
    <row r="222" spans="2:21" ht="12.75" customHeight="1">
      <c r="B222" s="239"/>
      <c r="C222" s="239"/>
      <c r="D222" s="239"/>
      <c r="E222" s="217"/>
      <c r="F222" s="239"/>
      <c r="G222" s="239"/>
      <c r="H222" s="239"/>
      <c r="I222" s="239"/>
      <c r="J222" s="217"/>
      <c r="K222" s="239"/>
      <c r="L222" s="239"/>
      <c r="M222" s="239"/>
      <c r="N222" s="239"/>
      <c r="O222" s="239"/>
      <c r="P222" s="239"/>
      <c r="Q222" s="239"/>
      <c r="R222" s="239"/>
      <c r="S222" s="239"/>
      <c r="T222" s="239"/>
      <c r="U222" s="239"/>
    </row>
    <row r="223" spans="2:21" ht="12.75" customHeight="1">
      <c r="B223" s="239"/>
      <c r="C223" s="239"/>
      <c r="D223" s="239"/>
      <c r="E223" s="217"/>
      <c r="F223" s="239"/>
      <c r="G223" s="239"/>
      <c r="H223" s="238" t="s">
        <v>142</v>
      </c>
      <c r="I223" s="239"/>
      <c r="J223" s="217" t="s">
        <v>143</v>
      </c>
      <c r="K223" s="239"/>
      <c r="L223" s="238"/>
      <c r="M223" s="238"/>
      <c r="N223" s="238"/>
      <c r="O223" s="239"/>
      <c r="P223" s="239"/>
      <c r="Q223" s="239"/>
      <c r="R223" s="239"/>
      <c r="S223" s="239"/>
      <c r="T223" s="239"/>
      <c r="U223" s="239"/>
    </row>
    <row r="224" spans="2:21" ht="12.75" customHeight="1" thickBot="1">
      <c r="B224" s="381" t="s">
        <v>522</v>
      </c>
      <c r="C224" s="382"/>
      <c r="D224" s="382"/>
      <c r="E224" s="400"/>
      <c r="F224" s="239"/>
      <c r="G224" s="332" t="s">
        <v>144</v>
      </c>
      <c r="H224" s="332" t="s">
        <v>145</v>
      </c>
      <c r="I224" s="239"/>
      <c r="J224" s="217" t="s">
        <v>146</v>
      </c>
      <c r="K224" s="239"/>
      <c r="O224" s="239"/>
      <c r="P224" s="239"/>
      <c r="Q224" s="239"/>
      <c r="R224" s="239"/>
      <c r="S224" s="239"/>
      <c r="T224" s="239"/>
      <c r="U224" s="239"/>
    </row>
    <row r="225" spans="2:21" ht="12.75" customHeight="1" thickTop="1" thickBot="1">
      <c r="B225" s="389" t="s">
        <v>147</v>
      </c>
      <c r="C225" s="391">
        <f>F50</f>
        <v>0.2</v>
      </c>
      <c r="D225" s="392" t="s">
        <v>148</v>
      </c>
      <c r="E225" s="393">
        <f>D196</f>
        <v>137.30925744193652</v>
      </c>
      <c r="F225" s="401" t="s">
        <v>88</v>
      </c>
      <c r="G225" s="393">
        <f>C225*E225</f>
        <v>27.461851488387307</v>
      </c>
      <c r="H225" s="393">
        <f>0.92*E227*G225/G227</f>
        <v>21.572615032698799</v>
      </c>
      <c r="I225" s="239"/>
      <c r="J225" s="383">
        <f>H227*SeismicFactor</f>
        <v>31.330107781051545</v>
      </c>
      <c r="K225" s="239"/>
      <c r="O225" s="239"/>
      <c r="P225" s="239"/>
      <c r="Q225" s="239"/>
      <c r="R225" s="239"/>
      <c r="S225" s="239"/>
      <c r="T225" s="239"/>
      <c r="U225" s="239"/>
    </row>
    <row r="226" spans="2:21" ht="12.75" customHeight="1" thickTop="1" thickBot="1">
      <c r="B226" s="389" t="s">
        <v>147</v>
      </c>
      <c r="C226" s="391">
        <f>C225+HUI</f>
        <v>4.8</v>
      </c>
      <c r="D226" s="392" t="s">
        <v>148</v>
      </c>
      <c r="E226" s="393">
        <f>D181</f>
        <v>36.746896897238742</v>
      </c>
      <c r="F226" s="401" t="s">
        <v>88</v>
      </c>
      <c r="G226" s="393">
        <f>C226*E226</f>
        <v>176.38510510674595</v>
      </c>
      <c r="H226" s="393">
        <f>0.08*E227+0.92*E227*G226/G227</f>
        <v>152.48353930647647</v>
      </c>
      <c r="I226" s="239"/>
      <c r="J226" s="383">
        <f>H226*SeismicFactor</f>
        <v>27.447037075165763</v>
      </c>
      <c r="O226" s="239"/>
      <c r="P226" s="239"/>
      <c r="Q226" s="239"/>
      <c r="R226" s="239"/>
      <c r="S226" s="239"/>
      <c r="T226" s="239"/>
      <c r="U226" s="239"/>
    </row>
    <row r="227" spans="2:21" ht="12.75" customHeight="1" thickTop="1">
      <c r="B227" s="389"/>
      <c r="C227" s="389"/>
      <c r="D227" s="389" t="s">
        <v>86</v>
      </c>
      <c r="E227" s="394">
        <f>E225+E226</f>
        <v>174.05615433917527</v>
      </c>
      <c r="F227" s="401" t="s">
        <v>88</v>
      </c>
      <c r="G227" s="394">
        <f>G225+G226</f>
        <v>203.84695659513326</v>
      </c>
      <c r="H227" s="394">
        <f>H225+H226</f>
        <v>174.05615433917527</v>
      </c>
      <c r="I227" s="239"/>
      <c r="J227" s="239"/>
      <c r="M227" s="204"/>
      <c r="N227" s="1997" t="s">
        <v>513</v>
      </c>
      <c r="O227" s="1998"/>
      <c r="P227" s="1993" t="s">
        <v>519</v>
      </c>
      <c r="Q227" s="239"/>
      <c r="R227" s="239"/>
      <c r="S227" s="239"/>
      <c r="T227" s="239"/>
      <c r="U227" s="239"/>
    </row>
    <row r="228" spans="2:21" ht="12.75" customHeight="1">
      <c r="B228" s="239"/>
      <c r="C228" s="239"/>
      <c r="D228" s="239"/>
      <c r="E228" s="239"/>
      <c r="F228" s="239"/>
      <c r="G228" s="239"/>
      <c r="H228" s="239"/>
      <c r="I228" s="239"/>
      <c r="J228" s="239"/>
      <c r="M228" s="204"/>
      <c r="N228" s="1999"/>
      <c r="O228" s="2000"/>
      <c r="P228" s="1994"/>
      <c r="Q228" s="239"/>
      <c r="R228" s="239"/>
      <c r="S228" s="239"/>
      <c r="T228" s="239"/>
      <c r="U228" s="239"/>
    </row>
    <row r="229" spans="2:21" ht="12.75" customHeight="1">
      <c r="B229" s="799" t="s">
        <v>885</v>
      </c>
      <c r="C229" s="799"/>
      <c r="D229" s="239"/>
      <c r="E229" s="239"/>
      <c r="F229" s="239"/>
      <c r="G229" s="239"/>
      <c r="H229" s="239"/>
      <c r="I229" s="239"/>
      <c r="J229" s="239"/>
      <c r="M229" s="204"/>
      <c r="N229" s="797"/>
      <c r="O229" s="798"/>
      <c r="P229" s="1994"/>
      <c r="Q229" s="239"/>
      <c r="R229" s="239"/>
      <c r="S229" s="239"/>
      <c r="T229" s="239"/>
      <c r="U229" s="239"/>
    </row>
    <row r="230" spans="2:21" ht="12.75" customHeight="1">
      <c r="B230" s="402" t="s">
        <v>149</v>
      </c>
      <c r="C230" s="2005" t="s">
        <v>515</v>
      </c>
      <c r="D230" s="2005"/>
      <c r="E230" s="2005" t="s">
        <v>516</v>
      </c>
      <c r="F230" s="2005"/>
      <c r="G230" s="239"/>
      <c r="H230" s="402" t="s">
        <v>50</v>
      </c>
      <c r="I230" s="403" t="str">
        <f>IF(NumStoreys=1,"Single","Double")</f>
        <v>Double</v>
      </c>
      <c r="J230" s="404" t="s">
        <v>518</v>
      </c>
      <c r="K230" s="239"/>
      <c r="L230" s="402" t="s">
        <v>50</v>
      </c>
      <c r="M230" s="405"/>
      <c r="N230" s="406" t="s">
        <v>67</v>
      </c>
      <c r="O230" s="407" t="s">
        <v>14</v>
      </c>
      <c r="P230" s="1994"/>
      <c r="Q230" s="239"/>
      <c r="R230" s="239"/>
      <c r="S230" s="239"/>
      <c r="T230" s="239"/>
      <c r="U230" s="239"/>
    </row>
    <row r="231" spans="2:21" ht="12.75" customHeight="1">
      <c r="B231" s="408" t="s">
        <v>150</v>
      </c>
      <c r="C231" s="409" t="s">
        <v>517</v>
      </c>
      <c r="D231" s="409" t="s">
        <v>151</v>
      </c>
      <c r="E231" s="409" t="s">
        <v>517</v>
      </c>
      <c r="F231" s="409" t="s">
        <v>151</v>
      </c>
      <c r="G231" s="239"/>
      <c r="H231" s="408" t="s">
        <v>150</v>
      </c>
      <c r="I231" s="409" t="s">
        <v>517</v>
      </c>
      <c r="J231" s="409" t="s">
        <v>151</v>
      </c>
      <c r="K231" s="239"/>
      <c r="L231" s="408" t="s">
        <v>150</v>
      </c>
      <c r="M231" s="410"/>
      <c r="N231" s="411" t="s">
        <v>514</v>
      </c>
      <c r="O231" s="412" t="s">
        <v>514</v>
      </c>
      <c r="P231" s="1995"/>
      <c r="Q231" s="239"/>
      <c r="R231" s="239"/>
      <c r="S231" s="239"/>
      <c r="T231" s="239"/>
      <c r="U231" s="239"/>
    </row>
    <row r="232" spans="2:21" ht="12.75" customHeight="1">
      <c r="B232" s="408" t="s">
        <v>152</v>
      </c>
      <c r="C232" s="413">
        <f>J207*20</f>
        <v>132.28882883005946</v>
      </c>
      <c r="D232" s="413">
        <f>J226*20</f>
        <v>548.94074150331528</v>
      </c>
      <c r="E232" s="413">
        <f>J213*20</f>
        <v>304.85387853613327</v>
      </c>
      <c r="F232" s="413">
        <f>J220*20</f>
        <v>522.99359085757499</v>
      </c>
      <c r="G232" s="239"/>
      <c r="H232" s="408" t="s">
        <v>152</v>
      </c>
      <c r="I232" s="413">
        <f t="shared" ref="I232:J234" si="5">IF(NumStoreys=1,C232,E232)</f>
        <v>304.85387853613327</v>
      </c>
      <c r="J232" s="413">
        <f t="shared" si="5"/>
        <v>522.99359085757499</v>
      </c>
      <c r="K232" s="239"/>
      <c r="L232" s="408" t="s">
        <v>152</v>
      </c>
      <c r="M232" s="413">
        <f>IF(Slab=2,J232,I232)</f>
        <v>522.99359085757499</v>
      </c>
      <c r="N232" s="414">
        <f>IF($F30=1,0,8*$G30)</f>
        <v>0</v>
      </c>
      <c r="O232" s="415">
        <v>0</v>
      </c>
      <c r="P232" s="794">
        <f>(M232+N$232+O$232)/I25</f>
        <v>522.99359085757499</v>
      </c>
      <c r="Q232" s="239" t="s">
        <v>881</v>
      </c>
      <c r="R232" s="239"/>
      <c r="S232" s="239"/>
      <c r="T232" s="239"/>
      <c r="U232" s="239"/>
    </row>
    <row r="233" spans="2:21" ht="12.75" customHeight="1">
      <c r="B233" s="408" t="s">
        <v>153</v>
      </c>
      <c r="C233" s="416" t="s">
        <v>154</v>
      </c>
      <c r="D233" s="416" t="s">
        <v>154</v>
      </c>
      <c r="E233" s="413">
        <f>J212*20</f>
        <v>678.4082400174982</v>
      </c>
      <c r="F233" s="413">
        <f>J219*20</f>
        <v>1158.8114079197721</v>
      </c>
      <c r="G233" s="239"/>
      <c r="H233" s="408" t="s">
        <v>153</v>
      </c>
      <c r="I233" s="413">
        <f t="shared" si="5"/>
        <v>678.4082400174982</v>
      </c>
      <c r="J233" s="413">
        <f t="shared" si="5"/>
        <v>1158.8114079197721</v>
      </c>
      <c r="K233" s="239"/>
      <c r="L233" s="408" t="s">
        <v>153</v>
      </c>
      <c r="M233" s="413">
        <f>IF(Slab=2,J233,I233)</f>
        <v>1158.8114079197721</v>
      </c>
      <c r="N233" s="414">
        <f>IF($F30=1,0,8*$G30)</f>
        <v>0</v>
      </c>
      <c r="O233" s="415">
        <f>IF($F31=1,0,(IF($D52=1,0,8*$G31)))</f>
        <v>0</v>
      </c>
      <c r="P233" s="794">
        <f>(IF(M233="N/A","N/A",N$233+M233+O$233))/I25</f>
        <v>1158.8114079197721</v>
      </c>
      <c r="Q233" s="239" t="s">
        <v>881</v>
      </c>
      <c r="R233" s="239"/>
      <c r="S233" s="239"/>
      <c r="T233" s="239"/>
      <c r="U233" s="239"/>
    </row>
    <row r="234" spans="2:21" ht="12.75" customHeight="1">
      <c r="B234" s="408" t="s">
        <v>65</v>
      </c>
      <c r="C234" s="416" t="s">
        <v>154</v>
      </c>
      <c r="D234" s="413">
        <f>J225*20</f>
        <v>626.60215562103087</v>
      </c>
      <c r="E234" s="416" t="s">
        <v>154</v>
      </c>
      <c r="F234" s="413">
        <f>J218*20</f>
        <v>1206.0671997819732</v>
      </c>
      <c r="G234" s="239"/>
      <c r="H234" s="408" t="s">
        <v>65</v>
      </c>
      <c r="I234" s="413" t="str">
        <f t="shared" si="5"/>
        <v>N/A</v>
      </c>
      <c r="J234" s="413">
        <f t="shared" si="5"/>
        <v>1206.0671997819732</v>
      </c>
      <c r="K234" s="239"/>
      <c r="L234" s="408" t="s">
        <v>65</v>
      </c>
      <c r="M234" s="413">
        <f>IF(Slab=2,J234,I234)</f>
        <v>1206.0671997819732</v>
      </c>
      <c r="N234" s="417">
        <f>IF($F30=1,0,8*$G30)</f>
        <v>0</v>
      </c>
      <c r="O234" s="418">
        <f>IF($F31=1,0,(IF($D52=1,0,8*$G31)))</f>
        <v>0</v>
      </c>
      <c r="P234" s="794">
        <f>(IF(M234="N/A","N/A",N$234+M234+O$234))/I25</f>
        <v>1206.0671997819732</v>
      </c>
      <c r="Q234" s="239" t="s">
        <v>881</v>
      </c>
      <c r="R234" s="239"/>
      <c r="S234" s="239"/>
      <c r="T234" s="239"/>
      <c r="U234" s="239"/>
    </row>
    <row r="235" spans="2:21" ht="12.75" customHeight="1"/>
    <row r="236" spans="2:21" ht="12.75" customHeight="1"/>
    <row r="237" spans="2:21" ht="12.75" customHeight="1"/>
  </sheetData>
  <sheetProtection password="CCD2" sheet="1" objects="1" scenarios="1"/>
  <mergeCells count="71">
    <mergeCell ref="H94:I94"/>
    <mergeCell ref="Z195:AC195"/>
    <mergeCell ref="G197:J197"/>
    <mergeCell ref="X197:X198"/>
    <mergeCell ref="G96:K96"/>
    <mergeCell ref="G97:K97"/>
    <mergeCell ref="AD197:AD198"/>
    <mergeCell ref="Z197:AC197"/>
    <mergeCell ref="C95:D95"/>
    <mergeCell ref="P227:P231"/>
    <mergeCell ref="G98:K98"/>
    <mergeCell ref="N227:O228"/>
    <mergeCell ref="N109:P110"/>
    <mergeCell ref="B119:E120"/>
    <mergeCell ref="C230:D230"/>
    <mergeCell ref="E230:F230"/>
    <mergeCell ref="F115:H115"/>
    <mergeCell ref="F108:H109"/>
    <mergeCell ref="G95:H95"/>
    <mergeCell ref="N90:O91"/>
    <mergeCell ref="E71:F71"/>
    <mergeCell ref="B19:C19"/>
    <mergeCell ref="I67:J67"/>
    <mergeCell ref="I70:J70"/>
    <mergeCell ref="E64:F64"/>
    <mergeCell ref="G64:H64"/>
    <mergeCell ref="K23:L23"/>
    <mergeCell ref="B60:F62"/>
    <mergeCell ref="K27:L27"/>
    <mergeCell ref="B76:E77"/>
    <mergeCell ref="G71:H71"/>
    <mergeCell ref="K25:L25"/>
    <mergeCell ref="G67:H67"/>
    <mergeCell ref="N25:O25"/>
    <mergeCell ref="N27:O27"/>
    <mergeCell ref="P77:U77"/>
    <mergeCell ref="N77:O77"/>
    <mergeCell ref="K19:L22"/>
    <mergeCell ref="R19:S22"/>
    <mergeCell ref="P19:Q22"/>
    <mergeCell ref="M19:M22"/>
    <mergeCell ref="N19:O22"/>
    <mergeCell ref="R27:S27"/>
    <mergeCell ref="P27:Q27"/>
    <mergeCell ref="N23:O23"/>
    <mergeCell ref="P25:Q25"/>
    <mergeCell ref="R23:S23"/>
    <mergeCell ref="R25:S25"/>
    <mergeCell ref="P23:Q23"/>
    <mergeCell ref="H93:I93"/>
    <mergeCell ref="I71:J71"/>
    <mergeCell ref="H91:I91"/>
    <mergeCell ref="B2:M2"/>
    <mergeCell ref="B6:M6"/>
    <mergeCell ref="B4:M4"/>
    <mergeCell ref="E70:F70"/>
    <mergeCell ref="I64:J64"/>
    <mergeCell ref="E66:F66"/>
    <mergeCell ref="G66:H66"/>
    <mergeCell ref="G70:H70"/>
    <mergeCell ref="G68:H68"/>
    <mergeCell ref="I68:J68"/>
    <mergeCell ref="H92:I92"/>
    <mergeCell ref="B20:C20"/>
    <mergeCell ref="E68:F68"/>
    <mergeCell ref="E67:F67"/>
    <mergeCell ref="I66:J66"/>
    <mergeCell ref="I9:K9"/>
    <mergeCell ref="B10:G12"/>
    <mergeCell ref="B21:C21"/>
    <mergeCell ref="B22:C22"/>
  </mergeCells>
  <phoneticPr fontId="37" type="noConversion"/>
  <dataValidations disablePrompts="1" count="2">
    <dataValidation type="decimal" allowBlank="1" showInputMessage="1" showErrorMessage="1" errorTitle="Invalid data" error="Building height must be greater than 2.4 metres and less than 10.0 metres. Press retry or cancel." promptTitle="Building height to apex" prompt="Enter building height in metres as defined in adjacent figure._x000a_Measure from the top of the concrete slab (or if a subfloor from the adjacent ground level) to the roof ridge" sqref="H27" xr:uid="{00000000-0002-0000-0300-000000000000}">
      <formula1>2.4</formula1>
      <formula2>10</formula2>
    </dataValidation>
    <dataValidation type="decimal" allowBlank="1" showInputMessage="1" showErrorMessage="1" errorTitle="Invalid data" error="Roof height must be greater than 0.5 m and less than 8 m. Press retry or cancel." promptTitle="Roof height above eaves" prompt="Enter roof height above top of wall as defined in adjacent figure" sqref="H28" xr:uid="{00000000-0002-0000-0300-000001000000}">
      <formula1>0.5</formula1>
      <formula2>8</formula2>
    </dataValidation>
  </dataValidations>
  <pageMargins left="0.74803149606299213" right="0.74803149606299213" top="0.98425196850393704" bottom="0.98425196850393704" header="0.51181102362204722" footer="0.51181102362204722"/>
  <pageSetup paperSize="9" scale="98" orientation="landscape"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indexed="11"/>
    <pageSetUpPr fitToPage="1"/>
  </sheetPr>
  <dimension ref="A1:CV602"/>
  <sheetViews>
    <sheetView zoomScale="85" zoomScaleNormal="85" workbookViewId="0">
      <selection activeCell="E10" sqref="E10:E12"/>
    </sheetView>
  </sheetViews>
  <sheetFormatPr defaultColWidth="9.140625" defaultRowHeight="12.75"/>
  <cols>
    <col min="1" max="1" width="1.7109375" style="27" customWidth="1"/>
    <col min="2" max="2" width="2.140625" style="27" customWidth="1"/>
    <col min="3" max="3" width="7.85546875" style="1" customWidth="1"/>
    <col min="4" max="4" width="10.42578125" style="1" customWidth="1"/>
    <col min="5" max="5" width="13.5703125" style="1" customWidth="1"/>
    <col min="6" max="6" width="8.5703125" style="1" customWidth="1"/>
    <col min="7" max="7" width="8.140625" style="1" customWidth="1"/>
    <col min="8" max="8" width="8" style="1" customWidth="1"/>
    <col min="9" max="9" width="3.85546875" style="1" customWidth="1"/>
    <col min="10" max="10" width="13.42578125" style="1" customWidth="1"/>
    <col min="11" max="11" width="11.7109375" style="1" customWidth="1"/>
    <col min="12" max="12" width="1.85546875" style="1" customWidth="1"/>
    <col min="13" max="13" width="38.28515625" style="1" customWidth="1"/>
    <col min="14" max="14" width="3.7109375" style="64" customWidth="1"/>
    <col min="15" max="15" width="11" style="1" hidden="1" customWidth="1"/>
    <col min="16" max="16" width="1.28515625" style="64" hidden="1" customWidth="1"/>
    <col min="17" max="17" width="10.140625" style="64" hidden="1" customWidth="1"/>
    <col min="18" max="18" width="12.5703125" style="27" customWidth="1"/>
    <col min="19" max="19" width="12.5703125" style="27" hidden="1" customWidth="1"/>
    <col min="20" max="20" width="13.140625" style="27" hidden="1" customWidth="1"/>
    <col min="21" max="21" width="15.140625" style="576" hidden="1" customWidth="1"/>
    <col min="22" max="22" width="35.7109375" style="576" hidden="1" customWidth="1"/>
    <col min="23" max="23" width="9.28515625" style="576" hidden="1" customWidth="1"/>
    <col min="24" max="24" width="9.85546875" style="576" hidden="1" customWidth="1"/>
    <col min="25" max="25" width="13.85546875" style="576" hidden="1" customWidth="1"/>
    <col min="26" max="27" width="9.140625" style="576" hidden="1" customWidth="1"/>
    <col min="28" max="29" width="9.140625" style="578" hidden="1" customWidth="1"/>
    <col min="30" max="33" width="9.140625" style="578" customWidth="1"/>
    <col min="34" max="41" width="9.140625" style="1" customWidth="1"/>
    <col min="42" max="55" width="9.140625" style="27" customWidth="1"/>
    <col min="56" max="100" width="9.140625" style="27"/>
    <col min="101" max="16384" width="9.140625" style="1"/>
  </cols>
  <sheetData>
    <row r="1" spans="3:41" s="27" customFormat="1" ht="8.25" customHeight="1" thickBot="1">
      <c r="N1" s="64"/>
      <c r="P1" s="64"/>
      <c r="Q1" s="64"/>
      <c r="S1" s="641"/>
      <c r="T1" s="641"/>
      <c r="U1" s="656"/>
      <c r="V1" s="641"/>
      <c r="W1" s="641"/>
      <c r="X1" s="656"/>
      <c r="Y1" s="656"/>
      <c r="Z1" s="656"/>
      <c r="AA1" s="656"/>
      <c r="AB1" s="576"/>
      <c r="AC1" s="576"/>
      <c r="AD1" s="576"/>
      <c r="AE1" s="576"/>
      <c r="AF1" s="576"/>
      <c r="AG1" s="576"/>
    </row>
    <row r="2" spans="3:41" ht="16.5" customHeight="1" thickBot="1">
      <c r="C2" s="2194" t="str">
        <f>'Project Demand'!E8</f>
        <v xml:space="preserve"> </v>
      </c>
      <c r="D2" s="2195"/>
      <c r="E2" s="2195"/>
      <c r="F2" s="2196"/>
      <c r="G2" s="27"/>
      <c r="H2" s="1562" t="str">
        <f>'Project Demand'!E10</f>
        <v xml:space="preserve"> </v>
      </c>
      <c r="I2" s="1563"/>
      <c r="J2" s="1614"/>
      <c r="K2" s="1564"/>
      <c r="L2" s="1410"/>
      <c r="M2" s="1407" t="str">
        <f>'Project Demand'!E12</f>
        <v xml:space="preserve"> </v>
      </c>
      <c r="O2" s="1599"/>
      <c r="S2" s="742">
        <v>1</v>
      </c>
      <c r="V2" s="576" t="s">
        <v>653</v>
      </c>
      <c r="W2" s="576">
        <v>1</v>
      </c>
      <c r="AB2" s="576"/>
      <c r="AC2" s="576"/>
      <c r="AD2" s="576"/>
      <c r="AE2" s="576"/>
      <c r="AF2" s="576"/>
      <c r="AG2" s="576"/>
      <c r="AH2" s="27"/>
      <c r="AI2" s="27"/>
      <c r="AJ2" s="27"/>
      <c r="AK2" s="27"/>
      <c r="AL2" s="27"/>
      <c r="AM2" s="27"/>
      <c r="AN2" s="27"/>
      <c r="AO2" s="27"/>
    </row>
    <row r="3" spans="3:41" ht="9" customHeight="1" thickBot="1">
      <c r="C3" s="634"/>
      <c r="D3" s="634"/>
      <c r="E3" s="634"/>
      <c r="F3" s="27"/>
      <c r="G3" s="27"/>
      <c r="H3" s="27"/>
      <c r="I3" s="27"/>
      <c r="J3" s="27"/>
      <c r="K3" s="27"/>
      <c r="L3" s="27"/>
      <c r="M3" s="27"/>
      <c r="O3" s="27"/>
      <c r="AB3" s="576"/>
      <c r="AC3" s="576"/>
      <c r="AD3" s="576"/>
      <c r="AE3" s="576"/>
      <c r="AF3" s="576"/>
      <c r="AG3" s="576"/>
      <c r="AH3" s="27"/>
      <c r="AI3" s="27"/>
      <c r="AJ3" s="27"/>
      <c r="AK3" s="27"/>
      <c r="AL3" s="27"/>
      <c r="AM3" s="27"/>
      <c r="AN3" s="27"/>
      <c r="AO3" s="27"/>
    </row>
    <row r="4" spans="3:41" ht="34.5" customHeight="1" thickBot="1">
      <c r="C4" s="2205" t="s">
        <v>1114</v>
      </c>
      <c r="D4" s="2206"/>
      <c r="E4" s="2206"/>
      <c r="F4" s="2206"/>
      <c r="G4" s="2206"/>
      <c r="H4" s="2206"/>
      <c r="I4" s="2206"/>
      <c r="J4" s="2206"/>
      <c r="K4" s="2206"/>
      <c r="L4" s="2206"/>
      <c r="M4" s="2207"/>
      <c r="O4" s="1600"/>
      <c r="AB4" s="576"/>
      <c r="AC4" s="576"/>
      <c r="AD4" s="576"/>
      <c r="AE4" s="576"/>
      <c r="AF4" s="576"/>
      <c r="AG4" s="576"/>
      <c r="AH4" s="27"/>
      <c r="AI4" s="27"/>
      <c r="AJ4" s="27"/>
      <c r="AK4" s="27"/>
      <c r="AL4" s="27"/>
      <c r="AM4" s="27"/>
      <c r="AN4" s="27"/>
      <c r="AO4" s="27"/>
    </row>
    <row r="5" spans="3:41" ht="17.100000000000001" customHeight="1" thickBot="1">
      <c r="C5" s="2185" t="str">
        <f>S5</f>
        <v>Supplier</v>
      </c>
      <c r="D5" s="2187" t="str">
        <f>T5</f>
        <v>Internal or External Usage</v>
      </c>
      <c r="E5" s="2235" t="s">
        <v>1120</v>
      </c>
      <c r="F5" s="2201" t="s">
        <v>732</v>
      </c>
      <c r="G5" s="2202"/>
      <c r="H5" s="2203"/>
      <c r="I5" s="2257" t="s">
        <v>1077</v>
      </c>
      <c r="J5" s="2258"/>
      <c r="K5" s="2199" t="s">
        <v>1082</v>
      </c>
      <c r="L5" s="1390"/>
      <c r="M5" s="1411" t="s">
        <v>748</v>
      </c>
      <c r="O5" s="2218" t="s">
        <v>8</v>
      </c>
      <c r="P5" s="2218"/>
      <c r="Q5" s="2218"/>
      <c r="S5" s="2184" t="s">
        <v>49</v>
      </c>
      <c r="T5" s="2186" t="s">
        <v>1004</v>
      </c>
      <c r="U5" s="2232" t="s">
        <v>1113</v>
      </c>
      <c r="V5" s="1406" t="s">
        <v>8</v>
      </c>
      <c r="W5" s="2178" t="s">
        <v>609</v>
      </c>
      <c r="X5" s="2179"/>
      <c r="Y5" s="2175" t="s">
        <v>645</v>
      </c>
      <c r="AB5" s="576"/>
      <c r="AC5" s="576"/>
      <c r="AD5" s="576"/>
      <c r="AE5" s="576"/>
      <c r="AF5" s="576"/>
      <c r="AG5" s="576"/>
      <c r="AH5" s="27"/>
      <c r="AI5" s="27"/>
      <c r="AJ5" s="27"/>
      <c r="AK5" s="27"/>
      <c r="AL5" s="27"/>
      <c r="AM5" s="27"/>
      <c r="AN5" s="27"/>
      <c r="AO5" s="27"/>
    </row>
    <row r="6" spans="3:41" ht="17.100000000000001" customHeight="1">
      <c r="C6" s="2185"/>
      <c r="D6" s="2187"/>
      <c r="E6" s="2235"/>
      <c r="F6" s="2246" t="s">
        <v>411</v>
      </c>
      <c r="G6" s="2248" t="str">
        <f>IF($S$2=1,G83,G146)</f>
        <v>BU's/m   Wind</v>
      </c>
      <c r="H6" s="2251" t="str">
        <f>IF($S$2=1,H83,H146)</f>
        <v>BU's/m   EQ</v>
      </c>
      <c r="I6" s="2259"/>
      <c r="J6" s="2260"/>
      <c r="K6" s="2199"/>
      <c r="L6" s="1390"/>
      <c r="M6" s="2023" t="str">
        <f>V6</f>
        <v xml:space="preserve">Elephant Plasterboard       </v>
      </c>
      <c r="O6" s="1862" t="s">
        <v>1100</v>
      </c>
      <c r="Q6" s="1862" t="s">
        <v>1101</v>
      </c>
      <c r="S6" s="2185"/>
      <c r="T6" s="2187"/>
      <c r="U6" s="2233"/>
      <c r="V6" s="2172" t="s">
        <v>752</v>
      </c>
      <c r="W6" s="2180"/>
      <c r="X6" s="2181"/>
      <c r="Y6" s="2176"/>
      <c r="AB6" s="576"/>
      <c r="AC6" s="576"/>
      <c r="AD6" s="576"/>
      <c r="AE6" s="576"/>
      <c r="AF6" s="576"/>
      <c r="AG6" s="576"/>
      <c r="AH6" s="27"/>
      <c r="AI6" s="27"/>
      <c r="AJ6" s="27"/>
      <c r="AK6" s="27"/>
      <c r="AL6" s="27"/>
      <c r="AM6" s="27"/>
      <c r="AN6" s="27"/>
      <c r="AO6" s="27"/>
    </row>
    <row r="7" spans="3:41" ht="6.75" customHeight="1">
      <c r="C7" s="2185"/>
      <c r="D7" s="2187"/>
      <c r="E7" s="2235"/>
      <c r="F7" s="2246"/>
      <c r="G7" s="2249"/>
      <c r="H7" s="2252"/>
      <c r="I7" s="2259"/>
      <c r="J7" s="2260"/>
      <c r="K7" s="2199"/>
      <c r="L7" s="1390"/>
      <c r="M7" s="2023"/>
      <c r="O7" s="1863"/>
      <c r="Q7" s="1863"/>
      <c r="S7" s="2185"/>
      <c r="T7" s="2187"/>
      <c r="U7" s="2233"/>
      <c r="V7" s="2173"/>
      <c r="W7" s="2180"/>
      <c r="X7" s="2181"/>
      <c r="Y7" s="2176"/>
      <c r="AB7" s="576"/>
      <c r="AC7" s="576"/>
      <c r="AD7" s="576"/>
      <c r="AE7" s="576"/>
      <c r="AF7" s="576"/>
      <c r="AG7" s="576"/>
      <c r="AH7" s="27"/>
      <c r="AI7" s="27"/>
      <c r="AJ7" s="27"/>
      <c r="AK7" s="27"/>
      <c r="AL7" s="27"/>
      <c r="AM7" s="27"/>
      <c r="AN7" s="27"/>
      <c r="AO7" s="27"/>
    </row>
    <row r="8" spans="3:41" ht="17.100000000000001" customHeight="1" thickBot="1">
      <c r="C8" s="2198"/>
      <c r="D8" s="2197"/>
      <c r="E8" s="2236"/>
      <c r="F8" s="2247"/>
      <c r="G8" s="2250"/>
      <c r="H8" s="2253"/>
      <c r="I8" s="2261"/>
      <c r="J8" s="2262"/>
      <c r="K8" s="2200"/>
      <c r="L8" s="1390"/>
      <c r="M8" s="2188"/>
      <c r="O8" s="2160"/>
      <c r="Q8" s="2160"/>
      <c r="S8" s="2185"/>
      <c r="T8" s="2187"/>
      <c r="U8" s="2234"/>
      <c r="V8" s="2174"/>
      <c r="W8" s="2182"/>
      <c r="X8" s="2183"/>
      <c r="Y8" s="2177"/>
      <c r="AB8" s="576"/>
      <c r="AC8" s="576"/>
      <c r="AD8" s="576"/>
      <c r="AE8" s="576"/>
      <c r="AF8" s="576"/>
      <c r="AG8" s="576"/>
      <c r="AH8" s="27"/>
      <c r="AI8" s="27"/>
      <c r="AJ8" s="27"/>
      <c r="AK8" s="27"/>
      <c r="AL8" s="27"/>
      <c r="AM8" s="27"/>
      <c r="AN8" s="27"/>
      <c r="AO8" s="27"/>
    </row>
    <row r="9" spans="3:41" ht="20.100000000000001" customHeight="1" thickBot="1">
      <c r="C9" s="2229" t="str">
        <f>S9</f>
        <v xml:space="preserve">Elephant Plasterboard ®  (EPB)  </v>
      </c>
      <c r="D9" s="2239" t="str">
        <f>T9</f>
        <v xml:space="preserve"> Internal or External</v>
      </c>
      <c r="E9" s="2238" t="str">
        <f>U9</f>
        <v>Plasterboard on One Side</v>
      </c>
      <c r="F9" s="2238"/>
      <c r="G9" s="2238"/>
      <c r="H9" s="2238"/>
      <c r="I9" s="1389"/>
      <c r="J9" s="1389"/>
      <c r="K9" s="1398"/>
      <c r="L9" s="1390"/>
      <c r="M9" s="1370"/>
      <c r="O9" s="874"/>
      <c r="S9" s="2063" t="s">
        <v>1078</v>
      </c>
      <c r="T9" s="2027" t="s">
        <v>614</v>
      </c>
      <c r="U9" s="2066" t="s">
        <v>611</v>
      </c>
      <c r="V9" s="2066"/>
      <c r="W9" s="619"/>
      <c r="X9" s="619"/>
      <c r="Y9" s="743"/>
      <c r="AB9" s="576"/>
      <c r="AC9" s="576"/>
      <c r="AD9" s="576"/>
      <c r="AE9" s="576"/>
      <c r="AF9" s="576"/>
      <c r="AG9" s="576"/>
      <c r="AH9" s="27"/>
      <c r="AI9" s="27"/>
      <c r="AJ9" s="27"/>
      <c r="AK9" s="27"/>
      <c r="AL9" s="27"/>
      <c r="AM9" s="27"/>
      <c r="AN9" s="27"/>
      <c r="AO9" s="27"/>
    </row>
    <row r="10" spans="3:41" ht="20.100000000000001" customHeight="1" thickBot="1">
      <c r="C10" s="2230"/>
      <c r="D10" s="2240"/>
      <c r="E10" s="2219" t="str">
        <f>U10</f>
        <v>ER1</v>
      </c>
      <c r="F10" s="1284">
        <v>0.4</v>
      </c>
      <c r="G10" s="1285">
        <f t="shared" ref="G10:H12" si="0">IF($S$2=1,G86,G149)</f>
        <v>40</v>
      </c>
      <c r="H10" s="1285">
        <f t="shared" si="0"/>
        <v>30</v>
      </c>
      <c r="I10" s="2263" t="s">
        <v>1020</v>
      </c>
      <c r="J10" s="2264"/>
      <c r="K10" s="2030" t="s">
        <v>154</v>
      </c>
      <c r="L10" s="1171"/>
      <c r="M10" s="2131" t="str">
        <f>IF($W$2=1,V10,#REF!)</f>
        <v>Any Elephant Plasterboard on One side</v>
      </c>
      <c r="O10" s="1604" t="s">
        <v>307</v>
      </c>
      <c r="Q10" s="1604" t="s">
        <v>305</v>
      </c>
      <c r="S10" s="2064"/>
      <c r="T10" s="2028"/>
      <c r="U10" s="2046" t="str">
        <f>Table!AI72</f>
        <v>ER1</v>
      </c>
      <c r="V10" s="2077" t="s">
        <v>1083</v>
      </c>
      <c r="W10" s="2062" t="s">
        <v>652</v>
      </c>
      <c r="X10" s="2170" t="s">
        <v>1007</v>
      </c>
      <c r="Y10" s="2058">
        <v>1</v>
      </c>
      <c r="AB10" s="576"/>
      <c r="AC10" s="576"/>
      <c r="AD10" s="576"/>
      <c r="AE10" s="576"/>
      <c r="AF10" s="576"/>
      <c r="AG10" s="576"/>
      <c r="AH10" s="27"/>
      <c r="AI10" s="27"/>
      <c r="AJ10" s="27"/>
      <c r="AK10" s="27"/>
      <c r="AL10" s="27"/>
      <c r="AM10" s="27"/>
      <c r="AN10" s="27"/>
      <c r="AO10" s="27"/>
    </row>
    <row r="11" spans="3:41" ht="20.100000000000001" hidden="1" customHeight="1">
      <c r="C11" s="2230"/>
      <c r="D11" s="2240"/>
      <c r="E11" s="2220"/>
      <c r="F11" s="660">
        <v>0.8</v>
      </c>
      <c r="G11" s="1173">
        <f t="shared" si="0"/>
        <v>40</v>
      </c>
      <c r="H11" s="1173">
        <f t="shared" si="0"/>
        <v>30</v>
      </c>
      <c r="I11" s="2265"/>
      <c r="J11" s="2266"/>
      <c r="K11" s="2031"/>
      <c r="L11" s="1171"/>
      <c r="M11" s="2090"/>
      <c r="O11" s="661" t="s">
        <v>231</v>
      </c>
      <c r="Q11" s="661" t="s">
        <v>231</v>
      </c>
      <c r="S11" s="2064"/>
      <c r="T11" s="2028"/>
      <c r="U11" s="2047"/>
      <c r="V11" s="2025"/>
      <c r="W11" s="2056"/>
      <c r="X11" s="2034"/>
      <c r="Y11" s="2059"/>
      <c r="AB11" s="576"/>
      <c r="AC11" s="576"/>
      <c r="AD11" s="576"/>
      <c r="AE11" s="576"/>
      <c r="AF11" s="576"/>
      <c r="AG11" s="576"/>
      <c r="AH11" s="27"/>
      <c r="AI11" s="27"/>
      <c r="AJ11" s="27"/>
      <c r="AK11" s="27"/>
      <c r="AL11" s="27"/>
      <c r="AM11" s="27"/>
      <c r="AN11" s="27"/>
      <c r="AO11" s="27"/>
    </row>
    <row r="12" spans="3:41" ht="20.100000000000001" hidden="1" customHeight="1" thickBot="1">
      <c r="C12" s="2230"/>
      <c r="D12" s="2241"/>
      <c r="E12" s="2221"/>
      <c r="F12" s="1282">
        <v>1.2</v>
      </c>
      <c r="G12" s="1283">
        <f t="shared" si="0"/>
        <v>40</v>
      </c>
      <c r="H12" s="1283">
        <f t="shared" si="0"/>
        <v>30</v>
      </c>
      <c r="I12" s="2267"/>
      <c r="J12" s="2268"/>
      <c r="K12" s="2032"/>
      <c r="L12" s="1171"/>
      <c r="M12" s="2132"/>
      <c r="O12" s="1287" t="s">
        <v>231</v>
      </c>
      <c r="Q12" s="1287" t="s">
        <v>231</v>
      </c>
      <c r="S12" s="2064"/>
      <c r="T12" s="2028"/>
      <c r="U12" s="2047"/>
      <c r="V12" s="2025"/>
      <c r="W12" s="2056"/>
      <c r="X12" s="2034"/>
      <c r="Y12" s="2060"/>
      <c r="AB12" s="576"/>
      <c r="AC12" s="576"/>
      <c r="AD12" s="576"/>
      <c r="AE12" s="576"/>
      <c r="AF12" s="576"/>
      <c r="AG12" s="576"/>
      <c r="AH12" s="27"/>
      <c r="AI12" s="27"/>
      <c r="AJ12" s="27"/>
      <c r="AK12" s="27"/>
      <c r="AL12" s="27"/>
      <c r="AM12" s="27"/>
      <c r="AN12" s="27"/>
      <c r="AO12" s="27"/>
    </row>
    <row r="13" spans="3:41" ht="20.100000000000001" customHeight="1" thickBot="1">
      <c r="C13" s="2230"/>
      <c r="D13" s="2243" t="str">
        <f>T13</f>
        <v>Internal</v>
      </c>
      <c r="E13" s="2242" t="str">
        <f>U13</f>
        <v>Plasterboard on Both Sides</v>
      </c>
      <c r="F13" s="2242"/>
      <c r="G13" s="2242"/>
      <c r="H13" s="2242"/>
      <c r="I13" s="1404"/>
      <c r="J13" s="1404"/>
      <c r="K13" s="1405" t="s">
        <v>8</v>
      </c>
      <c r="L13" s="1390"/>
      <c r="M13" s="1403"/>
      <c r="O13" s="1603"/>
      <c r="P13" s="1188"/>
      <c r="Q13" s="1603"/>
      <c r="S13" s="2064"/>
      <c r="T13" s="2191" t="s">
        <v>318</v>
      </c>
      <c r="U13" s="2171" t="s">
        <v>612</v>
      </c>
      <c r="V13" s="2171"/>
      <c r="W13" s="1391"/>
      <c r="X13" s="1391"/>
      <c r="Y13" s="1371"/>
      <c r="AB13" s="576"/>
      <c r="AC13" s="576"/>
      <c r="AD13" s="576"/>
      <c r="AE13" s="576"/>
      <c r="AF13" s="576"/>
      <c r="AG13" s="576"/>
      <c r="AH13" s="27"/>
      <c r="AI13" s="27"/>
      <c r="AJ13" s="27"/>
      <c r="AK13" s="27"/>
      <c r="AL13" s="27"/>
      <c r="AM13" s="27"/>
      <c r="AN13" s="27"/>
      <c r="AO13" s="27"/>
    </row>
    <row r="14" spans="3:41" ht="20.100000000000001" customHeight="1">
      <c r="C14" s="2230"/>
      <c r="D14" s="2244"/>
      <c r="E14" s="2219" t="str">
        <f>U14</f>
        <v>ER2</v>
      </c>
      <c r="F14" s="1284">
        <v>0.4</v>
      </c>
      <c r="G14" s="1285">
        <f t="shared" ref="G14:H16" si="1">IF($S$2=1,G90,G153)</f>
        <v>56</v>
      </c>
      <c r="H14" s="1285">
        <f t="shared" si="1"/>
        <v>51</v>
      </c>
      <c r="I14" s="2263" t="s">
        <v>1020</v>
      </c>
      <c r="J14" s="2264"/>
      <c r="K14" s="2030" t="s">
        <v>154</v>
      </c>
      <c r="L14" s="1301"/>
      <c r="M14" s="2131" t="str">
        <f>IF($W$2=1,V14,#REF!)</f>
        <v>Any Elephant Plasterboard on Both sides</v>
      </c>
      <c r="O14" s="1604" t="s">
        <v>307</v>
      </c>
      <c r="Q14" s="1604" t="s">
        <v>305</v>
      </c>
      <c r="S14" s="2064"/>
      <c r="T14" s="2192"/>
      <c r="U14" s="2046" t="str">
        <f>Table!AI77</f>
        <v>ER2</v>
      </c>
      <c r="V14" s="2077" t="s">
        <v>1080</v>
      </c>
      <c r="W14" s="2062" t="str">
        <f>W10</f>
        <v>as per</v>
      </c>
      <c r="X14" s="2170" t="s">
        <v>1008</v>
      </c>
      <c r="Y14" s="2058">
        <v>1</v>
      </c>
      <c r="AB14" s="576"/>
      <c r="AC14" s="576"/>
      <c r="AD14" s="576"/>
      <c r="AE14" s="576"/>
      <c r="AF14" s="576"/>
      <c r="AG14" s="576"/>
      <c r="AH14" s="27"/>
      <c r="AI14" s="27"/>
      <c r="AJ14" s="27"/>
      <c r="AK14" s="27"/>
      <c r="AL14" s="27"/>
      <c r="AM14" s="27"/>
      <c r="AN14" s="27"/>
      <c r="AO14" s="27"/>
    </row>
    <row r="15" spans="3:41" ht="20.100000000000001" hidden="1" customHeight="1">
      <c r="C15" s="2230"/>
      <c r="D15" s="2244"/>
      <c r="E15" s="2220"/>
      <c r="F15" s="660">
        <v>0.8</v>
      </c>
      <c r="G15" s="1173">
        <f t="shared" si="1"/>
        <v>58</v>
      </c>
      <c r="H15" s="1173">
        <f t="shared" si="1"/>
        <v>53</v>
      </c>
      <c r="I15" s="2265"/>
      <c r="J15" s="2266"/>
      <c r="K15" s="2031"/>
      <c r="L15" s="1301"/>
      <c r="M15" s="2090"/>
      <c r="O15" s="1605" t="s">
        <v>231</v>
      </c>
      <c r="Q15" s="1605" t="s">
        <v>231</v>
      </c>
      <c r="S15" s="2064"/>
      <c r="T15" s="2192"/>
      <c r="U15" s="2047"/>
      <c r="V15" s="2025"/>
      <c r="W15" s="2056"/>
      <c r="X15" s="2034"/>
      <c r="Y15" s="2059"/>
      <c r="AB15" s="576"/>
      <c r="AC15" s="576"/>
      <c r="AD15" s="576"/>
      <c r="AE15" s="576"/>
      <c r="AF15" s="576"/>
      <c r="AG15" s="576"/>
      <c r="AH15" s="27"/>
      <c r="AI15" s="27"/>
      <c r="AJ15" s="27"/>
      <c r="AK15" s="27"/>
      <c r="AL15" s="27"/>
      <c r="AM15" s="27"/>
      <c r="AN15" s="27"/>
      <c r="AO15" s="27"/>
    </row>
    <row r="16" spans="3:41" ht="20.100000000000001" customHeight="1" thickBot="1">
      <c r="C16" s="2231"/>
      <c r="D16" s="2245"/>
      <c r="E16" s="2221"/>
      <c r="F16" s="1282">
        <v>1.2</v>
      </c>
      <c r="G16" s="1283">
        <f t="shared" si="1"/>
        <v>60</v>
      </c>
      <c r="H16" s="1283">
        <f t="shared" si="1"/>
        <v>55</v>
      </c>
      <c r="I16" s="2267"/>
      <c r="J16" s="2268"/>
      <c r="K16" s="2032"/>
      <c r="L16" s="1301"/>
      <c r="M16" s="2132"/>
      <c r="O16" s="1606" t="s">
        <v>307</v>
      </c>
      <c r="Q16" s="1606" t="s">
        <v>305</v>
      </c>
      <c r="S16" s="2064"/>
      <c r="T16" s="2193"/>
      <c r="U16" s="2047"/>
      <c r="V16" s="2025"/>
      <c r="W16" s="2056"/>
      <c r="X16" s="2034"/>
      <c r="Y16" s="2060"/>
      <c r="AB16" s="576"/>
      <c r="AC16" s="576"/>
      <c r="AD16" s="576"/>
      <c r="AE16" s="576"/>
      <c r="AF16" s="576"/>
      <c r="AG16" s="576"/>
      <c r="AH16" s="27"/>
      <c r="AI16" s="27"/>
      <c r="AJ16" s="27"/>
      <c r="AK16" s="27"/>
      <c r="AL16" s="27"/>
      <c r="AM16" s="27"/>
      <c r="AN16" s="27"/>
      <c r="AO16" s="27"/>
    </row>
    <row r="17" spans="1:100" ht="23.25" customHeight="1" thickBot="1">
      <c r="C17" s="1527"/>
      <c r="D17" s="1610"/>
      <c r="E17" s="1528"/>
      <c r="F17" s="1528"/>
      <c r="G17" s="1529"/>
      <c r="H17" s="1529"/>
      <c r="I17" s="1530"/>
      <c r="J17" s="1530"/>
      <c r="K17" s="1531"/>
      <c r="L17" s="1529"/>
      <c r="M17" s="1532"/>
      <c r="N17" s="1533"/>
      <c r="O17" s="1528"/>
      <c r="P17" s="1533"/>
      <c r="Q17" s="1528"/>
      <c r="R17" s="100"/>
      <c r="S17" s="1534"/>
      <c r="T17" s="1535"/>
      <c r="U17" s="1536"/>
      <c r="V17" s="1391"/>
      <c r="W17" s="1391"/>
      <c r="X17" s="1391"/>
      <c r="Y17" s="1391"/>
      <c r="Z17" s="1537"/>
      <c r="AA17" s="1537"/>
      <c r="AB17" s="1537"/>
      <c r="AC17" s="1537"/>
      <c r="AD17" s="1537"/>
      <c r="AE17" s="1537"/>
      <c r="AF17" s="1537"/>
      <c r="AG17" s="1537"/>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row>
    <row r="18" spans="1:100" ht="20.25" customHeight="1" thickBot="1">
      <c r="C18" s="1518"/>
      <c r="D18" s="1518"/>
      <c r="E18" s="1519"/>
      <c r="F18" s="1519"/>
      <c r="G18" s="1152"/>
      <c r="H18" s="1152"/>
      <c r="I18" s="1389"/>
      <c r="J18" s="1389"/>
      <c r="K18" s="1517"/>
      <c r="L18" s="1152"/>
      <c r="M18" s="1155"/>
      <c r="O18" s="1519"/>
      <c r="Q18" s="1519"/>
      <c r="S18" s="1516"/>
      <c r="T18" s="1520"/>
      <c r="U18" s="874"/>
      <c r="V18" s="1397"/>
      <c r="W18" s="1397"/>
      <c r="X18" s="1397"/>
      <c r="Y18" s="1397"/>
      <c r="AB18" s="576"/>
      <c r="AC18" s="576"/>
      <c r="AD18" s="576"/>
      <c r="AE18" s="576"/>
      <c r="AF18" s="576"/>
      <c r="AG18" s="576"/>
      <c r="AH18" s="27"/>
      <c r="AI18" s="27"/>
      <c r="AJ18" s="27"/>
      <c r="AK18" s="27"/>
      <c r="AL18" s="27"/>
      <c r="AM18" s="27"/>
      <c r="AN18" s="27"/>
      <c r="AO18" s="27"/>
    </row>
    <row r="19" spans="1:100" s="1431" customFormat="1" ht="34.5" customHeight="1" thickBot="1">
      <c r="A19" s="1420"/>
      <c r="B19" s="1420"/>
      <c r="C19" s="2254" t="s">
        <v>1086</v>
      </c>
      <c r="D19" s="2255"/>
      <c r="E19" s="2255"/>
      <c r="F19" s="2255"/>
      <c r="G19" s="2255"/>
      <c r="H19" s="2255"/>
      <c r="I19" s="2255"/>
      <c r="J19" s="2255"/>
      <c r="K19" s="2255"/>
      <c r="L19" s="2255"/>
      <c r="M19" s="2256"/>
      <c r="N19" s="1421"/>
      <c r="O19" s="1601"/>
      <c r="P19" s="1602"/>
      <c r="Q19" s="1601"/>
      <c r="R19" s="1420"/>
      <c r="S19" s="1422" t="s">
        <v>1087</v>
      </c>
      <c r="T19" s="1423"/>
      <c r="U19" s="1424"/>
      <c r="V19" s="1425" t="s">
        <v>484</v>
      </c>
      <c r="W19" s="1426"/>
      <c r="X19" s="1426"/>
      <c r="Y19" s="1426"/>
      <c r="Z19" s="1426"/>
      <c r="AA19" s="1427"/>
      <c r="AB19" s="1428"/>
      <c r="AC19" s="1429" t="s">
        <v>748</v>
      </c>
      <c r="AD19" s="1430"/>
      <c r="AE19" s="1430"/>
      <c r="AF19" s="1430"/>
      <c r="AG19" s="143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row>
    <row r="20" spans="1:100" ht="17.100000000000001" customHeight="1" thickBot="1">
      <c r="C20" s="2185" t="str">
        <f>S20</f>
        <v>Supplier</v>
      </c>
      <c r="D20" s="2187" t="str">
        <f>T20</f>
        <v>Internal or External Usage</v>
      </c>
      <c r="E20" s="2044" t="str">
        <f>U20</f>
        <v>QuickBrace©  System Number</v>
      </c>
      <c r="F20" s="2201" t="s">
        <v>732</v>
      </c>
      <c r="G20" s="2202"/>
      <c r="H20" s="2203"/>
      <c r="I20" s="2189" t="s">
        <v>1088</v>
      </c>
      <c r="J20" s="2190"/>
      <c r="K20" s="2199" t="s">
        <v>1103</v>
      </c>
      <c r="L20" s="1390"/>
      <c r="M20" s="1411" t="s">
        <v>748</v>
      </c>
      <c r="O20" s="2218" t="s">
        <v>8</v>
      </c>
      <c r="P20" s="2218"/>
      <c r="Q20" s="2218"/>
      <c r="S20" s="2184" t="s">
        <v>49</v>
      </c>
      <c r="T20" s="2186" t="s">
        <v>1004</v>
      </c>
      <c r="U20" s="2232" t="s">
        <v>726</v>
      </c>
      <c r="V20" s="1406" t="s">
        <v>8</v>
      </c>
      <c r="W20" s="2178" t="s">
        <v>609</v>
      </c>
      <c r="X20" s="2179"/>
      <c r="Y20" s="2175" t="s">
        <v>645</v>
      </c>
      <c r="AB20" s="576"/>
      <c r="AC20" s="576"/>
      <c r="AD20" s="576"/>
      <c r="AE20" s="576"/>
      <c r="AF20" s="576"/>
      <c r="AG20" s="576"/>
      <c r="AH20" s="27"/>
      <c r="AI20" s="27"/>
      <c r="AJ20" s="27"/>
      <c r="AK20" s="27"/>
      <c r="AL20" s="27"/>
      <c r="AM20" s="27"/>
      <c r="AN20" s="27"/>
      <c r="AO20" s="27"/>
    </row>
    <row r="21" spans="1:100" ht="12.75" customHeight="1">
      <c r="C21" s="2185"/>
      <c r="D21" s="2187"/>
      <c r="E21" s="2044"/>
      <c r="F21" s="2246" t="s">
        <v>411</v>
      </c>
      <c r="G21" s="2248" t="str">
        <f>IF($S$2=1,G83,G146)</f>
        <v>BU's/m   Wind</v>
      </c>
      <c r="H21" s="2251" t="str">
        <f>IF($S$2=1,H83,H146)</f>
        <v>BU's/m   EQ</v>
      </c>
      <c r="I21" s="2037"/>
      <c r="J21" s="2038"/>
      <c r="K21" s="2199"/>
      <c r="L21" s="1390"/>
      <c r="M21" s="2023" t="str">
        <f>V21</f>
        <v xml:space="preserve">Elephant Plasterboard       </v>
      </c>
      <c r="O21" s="1862" t="s">
        <v>1100</v>
      </c>
      <c r="Q21" s="1862" t="s">
        <v>1101</v>
      </c>
      <c r="S21" s="2185"/>
      <c r="T21" s="2187"/>
      <c r="U21" s="2233"/>
      <c r="V21" s="2172" t="s">
        <v>752</v>
      </c>
      <c r="W21" s="2180"/>
      <c r="X21" s="2181"/>
      <c r="Y21" s="2176"/>
      <c r="AB21" s="576"/>
      <c r="AC21" s="576"/>
      <c r="AD21" s="576"/>
      <c r="AE21" s="576"/>
      <c r="AF21" s="576"/>
      <c r="AG21" s="576"/>
      <c r="AH21" s="27"/>
      <c r="AI21" s="27"/>
      <c r="AJ21" s="27"/>
      <c r="AK21" s="27"/>
      <c r="AL21" s="27"/>
      <c r="AM21" s="27"/>
      <c r="AN21" s="27"/>
      <c r="AO21" s="27"/>
    </row>
    <row r="22" spans="1:100" ht="9.75" customHeight="1">
      <c r="C22" s="2185"/>
      <c r="D22" s="2187"/>
      <c r="E22" s="2044"/>
      <c r="F22" s="2246"/>
      <c r="G22" s="2249"/>
      <c r="H22" s="2252"/>
      <c r="I22" s="2037"/>
      <c r="J22" s="2038"/>
      <c r="K22" s="2199"/>
      <c r="L22" s="1390"/>
      <c r="M22" s="2023"/>
      <c r="O22" s="1863"/>
      <c r="Q22" s="1863"/>
      <c r="S22" s="2185"/>
      <c r="T22" s="2187"/>
      <c r="U22" s="2233"/>
      <c r="V22" s="2173"/>
      <c r="W22" s="2180"/>
      <c r="X22" s="2181"/>
      <c r="Y22" s="2176"/>
      <c r="AB22" s="576"/>
      <c r="AC22" s="576"/>
      <c r="AD22" s="576"/>
      <c r="AE22" s="576"/>
      <c r="AF22" s="576"/>
      <c r="AG22" s="576"/>
      <c r="AH22" s="27"/>
      <c r="AI22" s="27"/>
      <c r="AJ22" s="27"/>
      <c r="AK22" s="27"/>
      <c r="AL22" s="27"/>
      <c r="AM22" s="27"/>
      <c r="AN22" s="27"/>
      <c r="AO22" s="27"/>
    </row>
    <row r="23" spans="1:100" ht="17.100000000000001" customHeight="1" thickBot="1">
      <c r="C23" s="2185"/>
      <c r="D23" s="2187"/>
      <c r="E23" s="2237"/>
      <c r="F23" s="2247"/>
      <c r="G23" s="2250"/>
      <c r="H23" s="2253"/>
      <c r="I23" s="2050"/>
      <c r="J23" s="2051"/>
      <c r="K23" s="2200"/>
      <c r="L23" s="1390"/>
      <c r="M23" s="2188"/>
      <c r="O23" s="2160"/>
      <c r="Q23" s="2160"/>
      <c r="S23" s="2185"/>
      <c r="T23" s="2187"/>
      <c r="U23" s="2234"/>
      <c r="V23" s="2174"/>
      <c r="W23" s="2182"/>
      <c r="X23" s="2183"/>
      <c r="Y23" s="2177"/>
      <c r="AB23" s="576"/>
      <c r="AC23" s="576"/>
      <c r="AD23" s="576"/>
      <c r="AE23" s="576"/>
      <c r="AF23" s="576"/>
      <c r="AG23" s="576"/>
      <c r="AH23" s="27"/>
      <c r="AI23" s="27"/>
      <c r="AJ23" s="27"/>
      <c r="AK23" s="27"/>
      <c r="AL23" s="27"/>
      <c r="AM23" s="27"/>
      <c r="AN23" s="27"/>
      <c r="AO23" s="27"/>
    </row>
    <row r="24" spans="1:100" ht="15" customHeight="1" thickBot="1">
      <c r="C24" s="2125" t="str">
        <f>IF($W$2=1,S24,#REF!)</f>
        <v xml:space="preserve">Elephant Plasterboard ®  (EPB)  </v>
      </c>
      <c r="D24" s="2136" t="str">
        <f>U24</f>
        <v>Plasterboard on One Side</v>
      </c>
      <c r="E24" s="2137"/>
      <c r="F24" s="2137"/>
      <c r="G24" s="2137"/>
      <c r="H24" s="1300"/>
      <c r="I24" s="1300"/>
      <c r="J24" s="1300"/>
      <c r="K24" s="1400"/>
      <c r="L24" s="1171"/>
      <c r="M24" s="1354"/>
      <c r="O24" s="1300"/>
      <c r="Q24" s="1300"/>
      <c r="S24" s="2063" t="s">
        <v>725</v>
      </c>
      <c r="T24" s="2027" t="s">
        <v>614</v>
      </c>
      <c r="U24" s="2066" t="s">
        <v>611</v>
      </c>
      <c r="V24" s="2066"/>
      <c r="W24" s="619"/>
      <c r="X24" s="619"/>
      <c r="Y24" s="743"/>
      <c r="AB24" s="576"/>
      <c r="AC24" s="576"/>
      <c r="AD24" s="576"/>
      <c r="AE24" s="576"/>
      <c r="AF24" s="576"/>
      <c r="AG24" s="576"/>
      <c r="AH24" s="27"/>
      <c r="AI24" s="27"/>
      <c r="AJ24" s="27"/>
      <c r="AK24" s="27"/>
      <c r="AL24" s="27"/>
      <c r="AM24" s="27"/>
      <c r="AN24" s="27"/>
      <c r="AO24" s="27"/>
    </row>
    <row r="25" spans="1:100" ht="15" hidden="1" customHeight="1">
      <c r="C25" s="2126"/>
      <c r="D25" s="2273" t="str">
        <f>T24</f>
        <v xml:space="preserve"> Internal or External</v>
      </c>
      <c r="E25" s="2128" t="str">
        <f>U25</f>
        <v>ER1</v>
      </c>
      <c r="F25" s="1284">
        <v>0.4</v>
      </c>
      <c r="G25" s="1285">
        <f>IF($S$2=1,G102,G165)</f>
        <v>40</v>
      </c>
      <c r="H25" s="1285">
        <f>IF($S$2=1,H102,H165)</f>
        <v>30</v>
      </c>
      <c r="I25" s="2043" t="s">
        <v>1020</v>
      </c>
      <c r="J25" s="1629"/>
      <c r="K25" s="2030" t="s">
        <v>305</v>
      </c>
      <c r="L25" s="1171"/>
      <c r="M25" s="2131" t="str">
        <f>IF($W$2=1,V25,#REF!)</f>
        <v xml:space="preserve">Elephant Standard-Plus board One side </v>
      </c>
      <c r="O25" s="1286" t="s">
        <v>231</v>
      </c>
      <c r="Q25" s="1286" t="s">
        <v>231</v>
      </c>
      <c r="S25" s="2064"/>
      <c r="T25" s="2028"/>
      <c r="U25" s="2046" t="str">
        <f>Table!AI72</f>
        <v>ER1</v>
      </c>
      <c r="V25" s="2077" t="s">
        <v>1038</v>
      </c>
      <c r="W25" s="2062" t="s">
        <v>652</v>
      </c>
      <c r="X25" s="2170" t="s">
        <v>1007</v>
      </c>
      <c r="Y25" s="2058">
        <v>1</v>
      </c>
      <c r="AB25" s="576"/>
      <c r="AC25" s="576"/>
      <c r="AD25" s="576"/>
      <c r="AE25" s="576"/>
      <c r="AF25" s="576"/>
      <c r="AG25" s="576"/>
      <c r="AH25" s="27"/>
      <c r="AI25" s="27"/>
      <c r="AJ25" s="27"/>
      <c r="AK25" s="27"/>
      <c r="AL25" s="27"/>
      <c r="AM25" s="27"/>
      <c r="AN25" s="27"/>
      <c r="AO25" s="27"/>
    </row>
    <row r="26" spans="1:100" ht="15" hidden="1" customHeight="1">
      <c r="C26" s="2126"/>
      <c r="D26" s="2273"/>
      <c r="E26" s="2129"/>
      <c r="F26" s="660">
        <v>0.8</v>
      </c>
      <c r="G26" s="1173">
        <f>IF($S$2=1,G103,G147)</f>
        <v>40</v>
      </c>
      <c r="H26" s="1173">
        <f>IF($S$2=1,H103,H147)</f>
        <v>30</v>
      </c>
      <c r="I26" s="2044"/>
      <c r="J26" s="1630"/>
      <c r="K26" s="2031"/>
      <c r="L26" s="1171"/>
      <c r="M26" s="2090"/>
      <c r="O26" s="661" t="s">
        <v>231</v>
      </c>
      <c r="Q26" s="661" t="s">
        <v>231</v>
      </c>
      <c r="S26" s="2064"/>
      <c r="T26" s="2028"/>
      <c r="U26" s="2047"/>
      <c r="V26" s="2025"/>
      <c r="W26" s="2056"/>
      <c r="X26" s="2034"/>
      <c r="Y26" s="2059"/>
      <c r="AB26" s="576"/>
      <c r="AC26" s="576"/>
      <c r="AD26" s="576"/>
      <c r="AE26" s="576"/>
      <c r="AF26" s="576"/>
      <c r="AG26" s="576"/>
      <c r="AH26" s="27"/>
      <c r="AI26" s="27"/>
      <c r="AJ26" s="27"/>
      <c r="AK26" s="27"/>
      <c r="AL26" s="27"/>
      <c r="AM26" s="27"/>
      <c r="AN26" s="27"/>
      <c r="AO26" s="27"/>
    </row>
    <row r="27" spans="1:100" ht="15" hidden="1" customHeight="1" thickBot="1">
      <c r="C27" s="2126"/>
      <c r="D27" s="2273"/>
      <c r="E27" s="2130"/>
      <c r="F27" s="1282">
        <v>1.2</v>
      </c>
      <c r="G27" s="1283">
        <f>IF($S$2=1,G104,G164)</f>
        <v>40</v>
      </c>
      <c r="H27" s="1283">
        <f>IF($S$2=1,H104,H164)</f>
        <v>30</v>
      </c>
      <c r="I27" s="2045"/>
      <c r="J27" s="1631"/>
      <c r="K27" s="2032"/>
      <c r="L27" s="1171"/>
      <c r="M27" s="2132"/>
      <c r="O27" s="1287" t="s">
        <v>231</v>
      </c>
      <c r="Q27" s="1287" t="s">
        <v>231</v>
      </c>
      <c r="S27" s="2064"/>
      <c r="T27" s="2028"/>
      <c r="U27" s="2047"/>
      <c r="V27" s="2025"/>
      <c r="W27" s="2056"/>
      <c r="X27" s="2034"/>
      <c r="Y27" s="2060"/>
      <c r="AB27" s="576"/>
      <c r="AC27" s="576"/>
      <c r="AD27" s="576"/>
      <c r="AE27" s="576"/>
      <c r="AF27" s="576"/>
      <c r="AG27" s="576"/>
      <c r="AH27" s="27"/>
      <c r="AI27" s="27"/>
      <c r="AJ27" s="27"/>
      <c r="AK27" s="27"/>
      <c r="AL27" s="27"/>
      <c r="AM27" s="27"/>
      <c r="AN27" s="27"/>
      <c r="AO27" s="27"/>
    </row>
    <row r="28" spans="1:100" ht="15" customHeight="1">
      <c r="C28" s="2126"/>
      <c r="D28" s="2273"/>
      <c r="E28" s="2128" t="str">
        <f>U28</f>
        <v>ES-N</v>
      </c>
      <c r="F28" s="1284">
        <v>0.4</v>
      </c>
      <c r="G28" s="1285">
        <f t="shared" ref="G28:H36" si="2">IF($S$2=1,G105,G168)</f>
        <v>66</v>
      </c>
      <c r="H28" s="1285">
        <f t="shared" si="2"/>
        <v>61</v>
      </c>
      <c r="I28" s="2035" t="s">
        <v>1037</v>
      </c>
      <c r="J28" s="2036"/>
      <c r="K28" s="2030" t="s">
        <v>305</v>
      </c>
      <c r="L28" s="1301"/>
      <c r="M28" s="2131" t="str">
        <f>IF($W$2=1,V28,#REF!)</f>
        <v xml:space="preserve">Elephant Standard-Plus board One side </v>
      </c>
      <c r="O28" s="1604" t="s">
        <v>307</v>
      </c>
      <c r="Q28" s="1604" t="s">
        <v>305</v>
      </c>
      <c r="S28" s="2064"/>
      <c r="T28" s="2028"/>
      <c r="U28" s="2046" t="str">
        <f>Table!AI73</f>
        <v>ES-N</v>
      </c>
      <c r="V28" s="2077" t="s">
        <v>1038</v>
      </c>
      <c r="W28" s="2062" t="s">
        <v>652</v>
      </c>
      <c r="X28" s="2170" t="s">
        <v>763</v>
      </c>
      <c r="Y28" s="2058">
        <v>3</v>
      </c>
      <c r="AB28" s="576"/>
      <c r="AC28" s="576"/>
      <c r="AD28" s="576"/>
      <c r="AE28" s="576"/>
      <c r="AF28" s="576"/>
      <c r="AG28" s="576"/>
      <c r="AH28" s="27"/>
      <c r="AI28" s="27"/>
      <c r="AJ28" s="27"/>
      <c r="AK28" s="27"/>
      <c r="AL28" s="27"/>
      <c r="AM28" s="27"/>
      <c r="AN28" s="27"/>
      <c r="AO28" s="27"/>
    </row>
    <row r="29" spans="1:100" ht="15" customHeight="1">
      <c r="C29" s="2126"/>
      <c r="D29" s="2273"/>
      <c r="E29" s="2129"/>
      <c r="F29" s="660">
        <v>1.2</v>
      </c>
      <c r="G29" s="1173">
        <f t="shared" si="2"/>
        <v>72</v>
      </c>
      <c r="H29" s="1173">
        <f t="shared" si="2"/>
        <v>64</v>
      </c>
      <c r="I29" s="2037"/>
      <c r="J29" s="2038"/>
      <c r="K29" s="2031"/>
      <c r="L29" s="1301"/>
      <c r="M29" s="2090"/>
      <c r="O29" s="1605" t="s">
        <v>307</v>
      </c>
      <c r="Q29" s="1605" t="s">
        <v>305</v>
      </c>
      <c r="S29" s="2064"/>
      <c r="T29" s="2028"/>
      <c r="U29" s="2047"/>
      <c r="V29" s="2025"/>
      <c r="W29" s="2056"/>
      <c r="X29" s="2034"/>
      <c r="Y29" s="2059"/>
      <c r="AB29" s="576"/>
      <c r="AC29" s="576"/>
      <c r="AD29" s="576"/>
      <c r="AE29" s="576"/>
      <c r="AF29" s="576"/>
      <c r="AG29" s="576"/>
      <c r="AH29" s="27"/>
      <c r="AI29" s="27"/>
      <c r="AJ29" s="27"/>
      <c r="AK29" s="27"/>
      <c r="AL29" s="27"/>
      <c r="AM29" s="27"/>
      <c r="AN29" s="27"/>
      <c r="AO29" s="27"/>
    </row>
    <row r="30" spans="1:100" ht="15" customHeight="1" thickBot="1">
      <c r="C30" s="2126"/>
      <c r="D30" s="2273"/>
      <c r="E30" s="2130"/>
      <c r="F30" s="1282">
        <v>1.8</v>
      </c>
      <c r="G30" s="1283">
        <f t="shared" si="2"/>
        <v>83</v>
      </c>
      <c r="H30" s="1283">
        <f t="shared" si="2"/>
        <v>64</v>
      </c>
      <c r="I30" s="2039"/>
      <c r="J30" s="2040"/>
      <c r="K30" s="2032"/>
      <c r="L30" s="1301"/>
      <c r="M30" s="2132"/>
      <c r="O30" s="1606" t="s">
        <v>307</v>
      </c>
      <c r="Q30" s="1606" t="s">
        <v>305</v>
      </c>
      <c r="S30" s="2064"/>
      <c r="T30" s="2028"/>
      <c r="U30" s="2047"/>
      <c r="V30" s="2025"/>
      <c r="W30" s="2056"/>
      <c r="X30" s="2034"/>
      <c r="Y30" s="2060"/>
      <c r="AB30" s="576"/>
      <c r="AC30" s="576"/>
      <c r="AD30" s="576"/>
      <c r="AE30" s="576"/>
      <c r="AF30" s="576"/>
      <c r="AG30" s="576"/>
      <c r="AH30" s="27"/>
      <c r="AI30" s="27"/>
      <c r="AJ30" s="27"/>
      <c r="AK30" s="27"/>
      <c r="AL30" s="27"/>
      <c r="AM30" s="27"/>
      <c r="AN30" s="27"/>
      <c r="AO30" s="27"/>
    </row>
    <row r="31" spans="1:100" ht="15" customHeight="1">
      <c r="C31" s="2126"/>
      <c r="D31" s="2273"/>
      <c r="E31" s="2128" t="str">
        <f>U31</f>
        <v>ES-H</v>
      </c>
      <c r="F31" s="1284">
        <v>0.4</v>
      </c>
      <c r="G31" s="1285">
        <f t="shared" si="2"/>
        <v>75</v>
      </c>
      <c r="H31" s="1285">
        <f t="shared" si="2"/>
        <v>75</v>
      </c>
      <c r="I31" s="2035" t="str">
        <f>I28</f>
        <v>Specialised QuickBrace Pattern</v>
      </c>
      <c r="J31" s="2036"/>
      <c r="K31" s="2030" t="s">
        <v>307</v>
      </c>
      <c r="L31" s="1301"/>
      <c r="M31" s="2133" t="str">
        <f>IF($W$2=1,V31,#REF!)</f>
        <v>Elephant Standard-Plus board One side</v>
      </c>
      <c r="O31" s="1608" t="s">
        <v>307</v>
      </c>
      <c r="Q31" s="1608" t="s">
        <v>305</v>
      </c>
      <c r="S31" s="2064"/>
      <c r="T31" s="2028"/>
      <c r="U31" s="2047" t="str">
        <f>Table!AI74</f>
        <v>ES-H</v>
      </c>
      <c r="V31" s="2024" t="s">
        <v>1039</v>
      </c>
      <c r="W31" s="2056" t="str">
        <f>W41</f>
        <v>as per</v>
      </c>
      <c r="X31" s="2033" t="s">
        <v>764</v>
      </c>
      <c r="Y31" s="2080">
        <v>3</v>
      </c>
      <c r="AB31" s="576"/>
      <c r="AC31" s="576"/>
      <c r="AD31" s="576"/>
      <c r="AE31" s="576"/>
      <c r="AF31" s="576"/>
      <c r="AG31" s="576"/>
      <c r="AH31" s="27"/>
      <c r="AI31" s="27"/>
      <c r="AJ31" s="27"/>
      <c r="AK31" s="27"/>
      <c r="AL31" s="27"/>
      <c r="AM31" s="27"/>
      <c r="AN31" s="27"/>
      <c r="AO31" s="27"/>
    </row>
    <row r="32" spans="1:100" ht="15" customHeight="1">
      <c r="C32" s="2126"/>
      <c r="D32" s="2273"/>
      <c r="E32" s="2129"/>
      <c r="F32" s="660">
        <v>0.8</v>
      </c>
      <c r="G32" s="1173">
        <f t="shared" si="2"/>
        <v>95</v>
      </c>
      <c r="H32" s="1173">
        <f t="shared" si="2"/>
        <v>83</v>
      </c>
      <c r="I32" s="2037"/>
      <c r="J32" s="2038"/>
      <c r="K32" s="2031"/>
      <c r="L32" s="1301"/>
      <c r="M32" s="2123"/>
      <c r="O32" s="1605" t="s">
        <v>307</v>
      </c>
      <c r="Q32" s="1605" t="s">
        <v>305</v>
      </c>
      <c r="S32" s="2064"/>
      <c r="T32" s="2028"/>
      <c r="U32" s="2047"/>
      <c r="V32" s="2025"/>
      <c r="W32" s="2056"/>
      <c r="X32" s="2034"/>
      <c r="Y32" s="2059"/>
      <c r="AB32" s="576"/>
      <c r="AC32" s="576"/>
      <c r="AD32" s="576"/>
      <c r="AE32" s="576"/>
      <c r="AF32" s="576"/>
      <c r="AG32" s="576"/>
      <c r="AH32" s="27"/>
      <c r="AI32" s="27"/>
      <c r="AJ32" s="27"/>
      <c r="AK32" s="27"/>
      <c r="AL32" s="27"/>
      <c r="AM32" s="27"/>
      <c r="AN32" s="27"/>
      <c r="AO32" s="27"/>
    </row>
    <row r="33" spans="3:41" ht="15" customHeight="1" thickBot="1">
      <c r="C33" s="2126"/>
      <c r="D33" s="2273"/>
      <c r="E33" s="2130"/>
      <c r="F33" s="1282">
        <v>1.8</v>
      </c>
      <c r="G33" s="1283">
        <f t="shared" si="2"/>
        <v>110</v>
      </c>
      <c r="H33" s="1283">
        <f t="shared" si="2"/>
        <v>84</v>
      </c>
      <c r="I33" s="2039"/>
      <c r="J33" s="2040"/>
      <c r="K33" s="2031"/>
      <c r="L33" s="1301"/>
      <c r="M33" s="2124"/>
      <c r="O33" s="1606" t="s">
        <v>307</v>
      </c>
      <c r="Q33" s="1606" t="s">
        <v>305</v>
      </c>
      <c r="S33" s="2064"/>
      <c r="T33" s="2028"/>
      <c r="U33" s="2047"/>
      <c r="V33" s="2025"/>
      <c r="W33" s="2056"/>
      <c r="X33" s="2034"/>
      <c r="Y33" s="2060"/>
      <c r="AB33" s="576"/>
      <c r="AC33" s="576"/>
      <c r="AD33" s="576"/>
      <c r="AE33" s="576"/>
      <c r="AF33" s="576"/>
      <c r="AG33" s="576"/>
      <c r="AH33" s="27"/>
      <c r="AI33" s="27"/>
      <c r="AJ33" s="27"/>
      <c r="AK33" s="27"/>
      <c r="AL33" s="27"/>
      <c r="AM33" s="27"/>
      <c r="AN33" s="27"/>
      <c r="AO33" s="27"/>
    </row>
    <row r="34" spans="3:41" ht="15" customHeight="1">
      <c r="C34" s="2126"/>
      <c r="D34" s="2273"/>
      <c r="E34" s="2129" t="str">
        <f>U34</f>
        <v>EM-H</v>
      </c>
      <c r="F34" s="1288">
        <v>0.4</v>
      </c>
      <c r="G34" s="1289">
        <f t="shared" si="2"/>
        <v>98</v>
      </c>
      <c r="H34" s="1289">
        <f t="shared" si="2"/>
        <v>100</v>
      </c>
      <c r="I34" s="2035" t="str">
        <f>I28</f>
        <v>Specialised QuickBrace Pattern</v>
      </c>
      <c r="J34" s="2036"/>
      <c r="K34" s="2030" t="s">
        <v>307</v>
      </c>
      <c r="L34" s="1301"/>
      <c r="M34" s="2133" t="str">
        <f>IF($W$2=1,$V34,#REF!)</f>
        <v>Elephant Multiboard One side</v>
      </c>
      <c r="O34" s="1609" t="s">
        <v>307</v>
      </c>
      <c r="Q34" s="1609" t="s">
        <v>305</v>
      </c>
      <c r="S34" s="2064"/>
      <c r="T34" s="2028"/>
      <c r="U34" s="2047" t="str">
        <f>Table!AI75</f>
        <v>EM-H</v>
      </c>
      <c r="V34" s="2024" t="s">
        <v>1011</v>
      </c>
      <c r="W34" s="2056" t="str">
        <f>W54</f>
        <v>as per</v>
      </c>
      <c r="X34" s="2033" t="s">
        <v>765</v>
      </c>
      <c r="Y34" s="2059">
        <v>3</v>
      </c>
      <c r="AB34" s="576"/>
      <c r="AC34" s="576"/>
      <c r="AD34" s="576"/>
      <c r="AE34" s="576"/>
      <c r="AF34" s="576"/>
      <c r="AG34" s="576"/>
      <c r="AH34" s="27"/>
      <c r="AI34" s="27"/>
      <c r="AJ34" s="27"/>
      <c r="AK34" s="27"/>
      <c r="AL34" s="27"/>
      <c r="AM34" s="27"/>
      <c r="AN34" s="27"/>
      <c r="AO34" s="27"/>
    </row>
    <row r="35" spans="3:41" ht="15" customHeight="1">
      <c r="C35" s="2126"/>
      <c r="D35" s="2273"/>
      <c r="E35" s="2129"/>
      <c r="F35" s="660">
        <v>0.8</v>
      </c>
      <c r="G35" s="1173">
        <f t="shared" si="2"/>
        <v>120</v>
      </c>
      <c r="H35" s="1173">
        <f t="shared" si="2"/>
        <v>109</v>
      </c>
      <c r="I35" s="2037"/>
      <c r="J35" s="2038"/>
      <c r="K35" s="2031"/>
      <c r="L35" s="1301"/>
      <c r="M35" s="2123"/>
      <c r="O35" s="1605" t="s">
        <v>307</v>
      </c>
      <c r="Q35" s="1605" t="s">
        <v>307</v>
      </c>
      <c r="S35" s="2064"/>
      <c r="T35" s="2028"/>
      <c r="U35" s="2047"/>
      <c r="V35" s="2025"/>
      <c r="W35" s="2056"/>
      <c r="X35" s="2034"/>
      <c r="Y35" s="2059"/>
      <c r="AB35" s="576"/>
      <c r="AC35" s="576"/>
      <c r="AD35" s="576"/>
      <c r="AE35" s="576"/>
      <c r="AF35" s="576"/>
      <c r="AG35" s="576"/>
      <c r="AH35" s="27"/>
      <c r="AI35" s="27"/>
      <c r="AJ35" s="27"/>
      <c r="AK35" s="27"/>
      <c r="AL35" s="27"/>
      <c r="AM35" s="27"/>
      <c r="AN35" s="27"/>
      <c r="AO35" s="27"/>
    </row>
    <row r="36" spans="3:41" ht="15" customHeight="1" thickBot="1">
      <c r="C36" s="2126"/>
      <c r="D36" s="2274"/>
      <c r="E36" s="2130"/>
      <c r="F36" s="1282">
        <v>1.2</v>
      </c>
      <c r="G36" s="1283">
        <f t="shared" si="2"/>
        <v>140</v>
      </c>
      <c r="H36" s="1283">
        <f t="shared" si="2"/>
        <v>115</v>
      </c>
      <c r="I36" s="2039"/>
      <c r="J36" s="2040"/>
      <c r="K36" s="2032"/>
      <c r="L36" s="1301"/>
      <c r="M36" s="2124"/>
      <c r="O36" s="1606" t="s">
        <v>307</v>
      </c>
      <c r="Q36" s="1606" t="s">
        <v>307</v>
      </c>
      <c r="S36" s="2064"/>
      <c r="T36" s="2029"/>
      <c r="U36" s="2067"/>
      <c r="V36" s="2026"/>
      <c r="W36" s="2057"/>
      <c r="X36" s="2055"/>
      <c r="Y36" s="2060"/>
      <c r="AB36" s="576"/>
      <c r="AC36" s="576"/>
      <c r="AD36" s="576"/>
      <c r="AE36" s="576"/>
      <c r="AF36" s="576"/>
      <c r="AG36" s="576"/>
      <c r="AH36" s="27"/>
      <c r="AI36" s="27"/>
      <c r="AJ36" s="27"/>
      <c r="AK36" s="27"/>
      <c r="AL36" s="27"/>
      <c r="AM36" s="27"/>
      <c r="AN36" s="27"/>
      <c r="AO36" s="27"/>
    </row>
    <row r="37" spans="3:41" ht="15" customHeight="1" thickBot="1">
      <c r="C37" s="2126"/>
      <c r="D37" s="2277" t="str">
        <f>U37</f>
        <v>Plasterboard on Both Sides</v>
      </c>
      <c r="E37" s="2278"/>
      <c r="F37" s="2278"/>
      <c r="G37" s="2278"/>
      <c r="H37" s="1290"/>
      <c r="I37" s="1290"/>
      <c r="J37" s="1290"/>
      <c r="K37" s="1401"/>
      <c r="L37" s="1171"/>
      <c r="M37" s="183"/>
      <c r="O37" s="1290"/>
      <c r="Q37" s="1290"/>
      <c r="S37" s="2064"/>
      <c r="T37" s="2191" t="s">
        <v>318</v>
      </c>
      <c r="U37" s="2171" t="s">
        <v>612</v>
      </c>
      <c r="V37" s="2171"/>
      <c r="W37" s="618"/>
      <c r="X37" s="724"/>
      <c r="Y37" s="744"/>
      <c r="AB37" s="576"/>
      <c r="AC37" s="576"/>
      <c r="AD37" s="576"/>
      <c r="AE37" s="576"/>
      <c r="AF37" s="576"/>
      <c r="AG37" s="576"/>
      <c r="AH37" s="27"/>
      <c r="AI37" s="27"/>
      <c r="AJ37" s="27"/>
      <c r="AK37" s="27"/>
      <c r="AL37" s="27"/>
      <c r="AM37" s="27"/>
      <c r="AN37" s="27"/>
      <c r="AO37" s="27"/>
    </row>
    <row r="38" spans="3:41" ht="15" hidden="1" customHeight="1">
      <c r="C38" s="2126"/>
      <c r="D38" s="2275" t="str">
        <f>+T37</f>
        <v>Internal</v>
      </c>
      <c r="E38" s="2128" t="str">
        <f>U38</f>
        <v>ER2</v>
      </c>
      <c r="F38" s="1284">
        <v>0.4</v>
      </c>
      <c r="G38" s="1285">
        <f t="shared" ref="G38:H49" si="3">IF($S$2=1,G115,G178)</f>
        <v>56</v>
      </c>
      <c r="H38" s="1285">
        <f t="shared" si="3"/>
        <v>51</v>
      </c>
      <c r="I38" s="2043" t="s">
        <v>1020</v>
      </c>
      <c r="J38" s="1629"/>
      <c r="K38" s="2030" t="s">
        <v>305</v>
      </c>
      <c r="L38" s="1301"/>
      <c r="M38" s="2131" t="str">
        <f>IF($W$2=1,V38,#REF!)</f>
        <v xml:space="preserve">Elephant Standard-Plus board Both sides </v>
      </c>
      <c r="O38" s="1286" t="s">
        <v>231</v>
      </c>
      <c r="Q38" s="1286" t="s">
        <v>231</v>
      </c>
      <c r="S38" s="2064"/>
      <c r="T38" s="2192"/>
      <c r="U38" s="2046" t="str">
        <f>Table!AI77</f>
        <v>ER2</v>
      </c>
      <c r="V38" s="2077" t="s">
        <v>1040</v>
      </c>
      <c r="W38" s="2062" t="str">
        <f>W25</f>
        <v>as per</v>
      </c>
      <c r="X38" s="2170" t="s">
        <v>1008</v>
      </c>
      <c r="Y38" s="2058">
        <v>1</v>
      </c>
      <c r="AB38" s="576"/>
      <c r="AC38" s="576"/>
      <c r="AD38" s="576"/>
      <c r="AE38" s="576"/>
      <c r="AF38" s="576"/>
      <c r="AG38" s="576"/>
      <c r="AH38" s="27"/>
      <c r="AI38" s="27"/>
      <c r="AJ38" s="27"/>
      <c r="AK38" s="27"/>
      <c r="AL38" s="27"/>
      <c r="AM38" s="27"/>
      <c r="AN38" s="27"/>
      <c r="AO38" s="27"/>
    </row>
    <row r="39" spans="3:41" ht="15" hidden="1" customHeight="1">
      <c r="C39" s="2126"/>
      <c r="D39" s="2275"/>
      <c r="E39" s="2129"/>
      <c r="F39" s="660">
        <v>0.8</v>
      </c>
      <c r="G39" s="1173">
        <f t="shared" si="3"/>
        <v>58</v>
      </c>
      <c r="H39" s="1173">
        <f t="shared" si="3"/>
        <v>53</v>
      </c>
      <c r="I39" s="2044"/>
      <c r="J39" s="1630"/>
      <c r="K39" s="2031"/>
      <c r="L39" s="1301"/>
      <c r="M39" s="2090"/>
      <c r="O39" s="661" t="s">
        <v>231</v>
      </c>
      <c r="Q39" s="661" t="s">
        <v>231</v>
      </c>
      <c r="S39" s="2064"/>
      <c r="T39" s="2192"/>
      <c r="U39" s="2047"/>
      <c r="V39" s="2025"/>
      <c r="W39" s="2056"/>
      <c r="X39" s="2034"/>
      <c r="Y39" s="2059"/>
      <c r="AB39" s="576"/>
      <c r="AC39" s="576"/>
      <c r="AD39" s="576"/>
      <c r="AE39" s="576"/>
      <c r="AF39" s="576"/>
      <c r="AG39" s="576"/>
      <c r="AH39" s="27"/>
      <c r="AI39" s="27"/>
      <c r="AJ39" s="27"/>
      <c r="AK39" s="27"/>
      <c r="AL39" s="27"/>
      <c r="AM39" s="27"/>
      <c r="AN39" s="27"/>
      <c r="AO39" s="27"/>
    </row>
    <row r="40" spans="3:41" ht="15" hidden="1" customHeight="1" thickBot="1">
      <c r="C40" s="2126"/>
      <c r="D40" s="2275"/>
      <c r="E40" s="2130"/>
      <c r="F40" s="1282">
        <v>1.2</v>
      </c>
      <c r="G40" s="1283">
        <f t="shared" si="3"/>
        <v>60</v>
      </c>
      <c r="H40" s="1283">
        <f t="shared" si="3"/>
        <v>55</v>
      </c>
      <c r="I40" s="2045"/>
      <c r="J40" s="1631"/>
      <c r="K40" s="2032"/>
      <c r="L40" s="1301"/>
      <c r="M40" s="2132"/>
      <c r="O40" s="1287" t="s">
        <v>231</v>
      </c>
      <c r="Q40" s="1287" t="s">
        <v>231</v>
      </c>
      <c r="S40" s="2064"/>
      <c r="T40" s="2192"/>
      <c r="U40" s="2047"/>
      <c r="V40" s="2025"/>
      <c r="W40" s="2056"/>
      <c r="X40" s="2034"/>
      <c r="Y40" s="2060"/>
      <c r="AB40" s="576"/>
      <c r="AC40" s="576"/>
      <c r="AD40" s="576"/>
      <c r="AE40" s="576"/>
      <c r="AF40" s="576"/>
      <c r="AG40" s="576"/>
      <c r="AH40" s="27"/>
      <c r="AI40" s="27"/>
      <c r="AJ40" s="27"/>
      <c r="AK40" s="27"/>
      <c r="AL40" s="27"/>
      <c r="AM40" s="27"/>
      <c r="AN40" s="27"/>
      <c r="AO40" s="27"/>
    </row>
    <row r="41" spans="3:41" ht="15" customHeight="1">
      <c r="C41" s="2126"/>
      <c r="D41" s="2275"/>
      <c r="E41" s="2128" t="str">
        <f>U41</f>
        <v>ESSN</v>
      </c>
      <c r="F41" s="1284">
        <v>0.4</v>
      </c>
      <c r="G41" s="1285">
        <f t="shared" si="3"/>
        <v>79</v>
      </c>
      <c r="H41" s="1285">
        <f t="shared" si="3"/>
        <v>74</v>
      </c>
      <c r="I41" s="2035" t="str">
        <f>I28</f>
        <v>Specialised QuickBrace Pattern</v>
      </c>
      <c r="J41" s="2036"/>
      <c r="K41" s="2030" t="s">
        <v>305</v>
      </c>
      <c r="L41" s="1301"/>
      <c r="M41" s="2131" t="str">
        <f>IF($W$2=1,V41,#REF!)</f>
        <v xml:space="preserve">Elephant Standard-Plus board Both sides </v>
      </c>
      <c r="O41" s="1604" t="s">
        <v>307</v>
      </c>
      <c r="Q41" s="1604" t="s">
        <v>305</v>
      </c>
      <c r="S41" s="2064"/>
      <c r="T41" s="2192"/>
      <c r="U41" s="2046" t="str">
        <f>Table!AI78</f>
        <v>ESSN</v>
      </c>
      <c r="V41" s="2077" t="s">
        <v>1040</v>
      </c>
      <c r="W41" s="2062" t="str">
        <f>W28</f>
        <v>as per</v>
      </c>
      <c r="X41" s="2170" t="s">
        <v>758</v>
      </c>
      <c r="Y41" s="2058">
        <v>3</v>
      </c>
      <c r="AB41" s="576"/>
      <c r="AC41" s="576"/>
      <c r="AD41" s="576"/>
      <c r="AE41" s="576"/>
      <c r="AF41" s="576"/>
      <c r="AG41" s="576"/>
      <c r="AH41" s="27"/>
      <c r="AI41" s="27"/>
      <c r="AJ41" s="27"/>
      <c r="AK41" s="27"/>
      <c r="AL41" s="27"/>
      <c r="AM41" s="27"/>
      <c r="AN41" s="27"/>
      <c r="AO41" s="27"/>
    </row>
    <row r="42" spans="3:41" ht="15" customHeight="1">
      <c r="C42" s="2126"/>
      <c r="D42" s="2275"/>
      <c r="E42" s="2129"/>
      <c r="F42" s="660">
        <v>0.8</v>
      </c>
      <c r="G42" s="1173">
        <f t="shared" si="3"/>
        <v>93</v>
      </c>
      <c r="H42" s="1173">
        <f t="shared" si="3"/>
        <v>83</v>
      </c>
      <c r="I42" s="2037"/>
      <c r="J42" s="2038"/>
      <c r="K42" s="2031"/>
      <c r="L42" s="1301"/>
      <c r="M42" s="2090"/>
      <c r="O42" s="1605" t="s">
        <v>307</v>
      </c>
      <c r="Q42" s="1605" t="s">
        <v>305</v>
      </c>
      <c r="S42" s="2064"/>
      <c r="T42" s="2192"/>
      <c r="U42" s="2047"/>
      <c r="V42" s="2025"/>
      <c r="W42" s="2056"/>
      <c r="X42" s="2034"/>
      <c r="Y42" s="2059"/>
      <c r="AB42" s="576"/>
      <c r="AC42" s="576"/>
      <c r="AD42" s="576"/>
      <c r="AE42" s="576"/>
      <c r="AF42" s="576"/>
      <c r="AG42" s="576"/>
      <c r="AH42" s="27"/>
      <c r="AI42" s="27"/>
      <c r="AJ42" s="27"/>
      <c r="AK42" s="27"/>
      <c r="AL42" s="27"/>
      <c r="AM42" s="27"/>
      <c r="AN42" s="27"/>
      <c r="AO42" s="27"/>
    </row>
    <row r="43" spans="3:41" ht="15" customHeight="1" thickBot="1">
      <c r="C43" s="2126"/>
      <c r="D43" s="2275"/>
      <c r="E43" s="2130"/>
      <c r="F43" s="1282">
        <v>1.2</v>
      </c>
      <c r="G43" s="1283">
        <f t="shared" si="3"/>
        <v>98</v>
      </c>
      <c r="H43" s="1283">
        <f t="shared" si="3"/>
        <v>88</v>
      </c>
      <c r="I43" s="2039"/>
      <c r="J43" s="2040"/>
      <c r="K43" s="2032"/>
      <c r="L43" s="1301"/>
      <c r="M43" s="2132"/>
      <c r="O43" s="1606" t="s">
        <v>307</v>
      </c>
      <c r="Q43" s="1606" t="s">
        <v>305</v>
      </c>
      <c r="S43" s="2064"/>
      <c r="T43" s="2192"/>
      <c r="U43" s="2047"/>
      <c r="V43" s="2025"/>
      <c r="W43" s="2056"/>
      <c r="X43" s="2034"/>
      <c r="Y43" s="2060"/>
      <c r="AB43" s="576"/>
      <c r="AC43" s="576"/>
      <c r="AD43" s="576"/>
      <c r="AE43" s="576"/>
      <c r="AF43" s="576"/>
      <c r="AG43" s="576"/>
      <c r="AH43" s="27"/>
      <c r="AI43" s="27"/>
      <c r="AJ43" s="27"/>
      <c r="AK43" s="27"/>
      <c r="AL43" s="27"/>
      <c r="AM43" s="27"/>
      <c r="AN43" s="27"/>
      <c r="AO43" s="27"/>
    </row>
    <row r="44" spans="3:41" ht="15" customHeight="1">
      <c r="C44" s="2126"/>
      <c r="D44" s="2275"/>
      <c r="E44" s="2128" t="str">
        <f>U44</f>
        <v>ESSH</v>
      </c>
      <c r="F44" s="1284">
        <v>0.4</v>
      </c>
      <c r="G44" s="1285">
        <f t="shared" si="3"/>
        <v>95</v>
      </c>
      <c r="H44" s="1285">
        <f t="shared" si="3"/>
        <v>109</v>
      </c>
      <c r="I44" s="2035" t="str">
        <f>I28</f>
        <v>Specialised QuickBrace Pattern</v>
      </c>
      <c r="J44" s="2036"/>
      <c r="K44" s="2030" t="s">
        <v>307</v>
      </c>
      <c r="L44" s="1301"/>
      <c r="M44" s="2133" t="str">
        <f>IF($W$2=1,V44,#REF!)</f>
        <v>Elephant Standard-Plus board Both sides</v>
      </c>
      <c r="O44" s="1604" t="s">
        <v>307</v>
      </c>
      <c r="Q44" s="1604" t="s">
        <v>305</v>
      </c>
      <c r="S44" s="2064"/>
      <c r="T44" s="2192"/>
      <c r="U44" s="2047" t="str">
        <f>Table!AI79</f>
        <v>ESSH</v>
      </c>
      <c r="V44" s="2024" t="s">
        <v>1041</v>
      </c>
      <c r="W44" s="2056" t="str">
        <f>W31</f>
        <v>as per</v>
      </c>
      <c r="X44" s="2033" t="s">
        <v>762</v>
      </c>
      <c r="Y44" s="2080">
        <v>3</v>
      </c>
      <c r="AB44" s="576"/>
      <c r="AC44" s="576"/>
      <c r="AD44" s="576"/>
      <c r="AE44" s="576"/>
      <c r="AF44" s="576"/>
      <c r="AG44" s="576"/>
      <c r="AH44" s="27"/>
      <c r="AI44" s="27"/>
      <c r="AJ44" s="27"/>
      <c r="AK44" s="27"/>
      <c r="AL44" s="27"/>
      <c r="AM44" s="27"/>
      <c r="AN44" s="27"/>
      <c r="AO44" s="27"/>
    </row>
    <row r="45" spans="3:41" ht="15" customHeight="1">
      <c r="C45" s="2126"/>
      <c r="D45" s="2275"/>
      <c r="E45" s="2129"/>
      <c r="F45" s="660">
        <v>0.8</v>
      </c>
      <c r="G45" s="1173">
        <f t="shared" si="3"/>
        <v>135</v>
      </c>
      <c r="H45" s="1173">
        <f t="shared" si="3"/>
        <v>125</v>
      </c>
      <c r="I45" s="2037"/>
      <c r="J45" s="2038"/>
      <c r="K45" s="2031"/>
      <c r="L45" s="1301"/>
      <c r="M45" s="2123"/>
      <c r="O45" s="1605" t="s">
        <v>307</v>
      </c>
      <c r="Q45" s="1605" t="s">
        <v>307</v>
      </c>
      <c r="S45" s="2064"/>
      <c r="T45" s="2192"/>
      <c r="U45" s="2047"/>
      <c r="V45" s="2025"/>
      <c r="W45" s="2056"/>
      <c r="X45" s="2034"/>
      <c r="Y45" s="2059"/>
      <c r="AB45" s="576"/>
      <c r="AC45" s="576"/>
      <c r="AD45" s="576"/>
      <c r="AE45" s="576"/>
      <c r="AF45" s="576"/>
      <c r="AG45" s="576"/>
      <c r="AH45" s="27"/>
      <c r="AI45" s="27"/>
      <c r="AJ45" s="27"/>
      <c r="AK45" s="27"/>
      <c r="AL45" s="27"/>
      <c r="AM45" s="27"/>
      <c r="AN45" s="27"/>
      <c r="AO45" s="27"/>
    </row>
    <row r="46" spans="3:41" ht="15" customHeight="1" thickBot="1">
      <c r="C46" s="2126"/>
      <c r="D46" s="2275"/>
      <c r="E46" s="2130"/>
      <c r="F46" s="1282">
        <v>1.2</v>
      </c>
      <c r="G46" s="1283">
        <f t="shared" si="3"/>
        <v>150</v>
      </c>
      <c r="H46" s="1283">
        <f t="shared" si="3"/>
        <v>135</v>
      </c>
      <c r="I46" s="2039"/>
      <c r="J46" s="2040"/>
      <c r="K46" s="2031"/>
      <c r="L46" s="1301"/>
      <c r="M46" s="2124"/>
      <c r="O46" s="1606" t="s">
        <v>307</v>
      </c>
      <c r="Q46" s="1606" t="s">
        <v>307</v>
      </c>
      <c r="S46" s="2064"/>
      <c r="T46" s="2192"/>
      <c r="U46" s="2047"/>
      <c r="V46" s="2025"/>
      <c r="W46" s="2056"/>
      <c r="X46" s="2034"/>
      <c r="Y46" s="2060"/>
      <c r="AB46" s="576"/>
      <c r="AC46" s="576"/>
      <c r="AD46" s="576"/>
      <c r="AE46" s="576"/>
      <c r="AF46" s="576"/>
      <c r="AG46" s="576"/>
      <c r="AH46" s="27"/>
      <c r="AI46" s="27"/>
      <c r="AJ46" s="27"/>
      <c r="AK46" s="27"/>
      <c r="AL46" s="27"/>
      <c r="AM46" s="27"/>
      <c r="AN46" s="27"/>
      <c r="AO46" s="27"/>
    </row>
    <row r="47" spans="3:41" ht="15" customHeight="1">
      <c r="C47" s="2126"/>
      <c r="D47" s="2275"/>
      <c r="E47" s="2129" t="str">
        <f>U47</f>
        <v>EMSH</v>
      </c>
      <c r="F47" s="1281">
        <v>0.4</v>
      </c>
      <c r="G47" s="1289">
        <f t="shared" si="3"/>
        <v>110</v>
      </c>
      <c r="H47" s="1289">
        <f t="shared" si="3"/>
        <v>115</v>
      </c>
      <c r="I47" s="2037" t="str">
        <f>I28</f>
        <v>Specialised QuickBrace Pattern</v>
      </c>
      <c r="J47" s="2038"/>
      <c r="K47" s="2030" t="s">
        <v>307</v>
      </c>
      <c r="L47" s="1301"/>
      <c r="M47" s="2133" t="str">
        <f>IF($W$2=1,V47,#REF!)</f>
        <v>Elephant Multiboard One side,           Elephant Standard-Plus board the Other</v>
      </c>
      <c r="O47" s="1608" t="s">
        <v>307</v>
      </c>
      <c r="Q47" s="1608" t="s">
        <v>305</v>
      </c>
      <c r="S47" s="2064"/>
      <c r="T47" s="2192"/>
      <c r="U47" s="2047" t="str">
        <f>Table!AI80</f>
        <v>EMSH</v>
      </c>
      <c r="V47" s="2024" t="s">
        <v>1042</v>
      </c>
      <c r="W47" s="2056" t="str">
        <f>W34</f>
        <v>as per</v>
      </c>
      <c r="X47" s="2033" t="s">
        <v>759</v>
      </c>
      <c r="Y47" s="2059">
        <v>3</v>
      </c>
      <c r="AB47" s="576"/>
      <c r="AC47" s="576"/>
      <c r="AD47" s="576"/>
      <c r="AE47" s="576"/>
      <c r="AF47" s="576"/>
      <c r="AG47" s="576"/>
      <c r="AH47" s="27"/>
      <c r="AI47" s="27"/>
      <c r="AJ47" s="27"/>
      <c r="AK47" s="27"/>
      <c r="AL47" s="27"/>
      <c r="AM47" s="27"/>
      <c r="AN47" s="27"/>
      <c r="AO47" s="27"/>
    </row>
    <row r="48" spans="3:41" ht="15" customHeight="1">
      <c r="C48" s="2126"/>
      <c r="D48" s="2275"/>
      <c r="E48" s="2129"/>
      <c r="F48" s="660">
        <v>0.8</v>
      </c>
      <c r="G48" s="1173">
        <f t="shared" si="3"/>
        <v>143</v>
      </c>
      <c r="H48" s="1173">
        <f t="shared" si="3"/>
        <v>134</v>
      </c>
      <c r="I48" s="2037"/>
      <c r="J48" s="2038"/>
      <c r="K48" s="2031"/>
      <c r="L48" s="1301"/>
      <c r="M48" s="2123"/>
      <c r="O48" s="1605" t="s">
        <v>307</v>
      </c>
      <c r="Q48" s="1605" t="s">
        <v>307</v>
      </c>
      <c r="S48" s="2064"/>
      <c r="T48" s="2192"/>
      <c r="U48" s="2047"/>
      <c r="V48" s="2025"/>
      <c r="W48" s="2056"/>
      <c r="X48" s="2034"/>
      <c r="Y48" s="2059"/>
      <c r="AB48" s="576"/>
      <c r="AC48" s="576"/>
      <c r="AD48" s="576"/>
      <c r="AE48" s="576"/>
      <c r="AF48" s="576"/>
      <c r="AG48" s="576"/>
      <c r="AH48" s="27"/>
      <c r="AI48" s="27"/>
      <c r="AJ48" s="27"/>
      <c r="AK48" s="27"/>
      <c r="AL48" s="27"/>
      <c r="AM48" s="27"/>
      <c r="AN48" s="27"/>
      <c r="AO48" s="27"/>
    </row>
    <row r="49" spans="3:41" ht="15" customHeight="1" thickBot="1">
      <c r="C49" s="2126"/>
      <c r="D49" s="2276"/>
      <c r="E49" s="2130"/>
      <c r="F49" s="1282">
        <v>1.2</v>
      </c>
      <c r="G49" s="1283">
        <f t="shared" si="3"/>
        <v>150</v>
      </c>
      <c r="H49" s="1283">
        <f t="shared" si="3"/>
        <v>148</v>
      </c>
      <c r="I49" s="2039"/>
      <c r="J49" s="2040"/>
      <c r="K49" s="2032"/>
      <c r="L49" s="1301"/>
      <c r="M49" s="2123"/>
      <c r="O49" s="1606" t="s">
        <v>307</v>
      </c>
      <c r="Q49" s="1606" t="s">
        <v>307</v>
      </c>
      <c r="S49" s="2064"/>
      <c r="T49" s="2193"/>
      <c r="U49" s="2067"/>
      <c r="V49" s="2026"/>
      <c r="W49" s="2057"/>
      <c r="X49" s="2055"/>
      <c r="Y49" s="2060"/>
      <c r="AB49" s="576"/>
      <c r="AC49" s="576"/>
      <c r="AD49" s="576"/>
      <c r="AE49" s="576"/>
      <c r="AF49" s="576"/>
      <c r="AG49" s="576"/>
      <c r="AH49" s="27"/>
      <c r="AI49" s="27"/>
      <c r="AJ49" s="27"/>
      <c r="AK49" s="27"/>
      <c r="AL49" s="27"/>
      <c r="AM49" s="27"/>
      <c r="AN49" s="27"/>
      <c r="AO49" s="27"/>
    </row>
    <row r="50" spans="3:41" ht="15" customHeight="1" thickBot="1">
      <c r="C50" s="2126"/>
      <c r="D50" s="2271" t="str">
        <f>U50</f>
        <v>Plasterboard One Side, Plywood the Other</v>
      </c>
      <c r="E50" s="2272"/>
      <c r="F50" s="2272"/>
      <c r="G50" s="2272"/>
      <c r="H50" s="2272"/>
      <c r="I50" s="1298"/>
      <c r="J50" s="1298"/>
      <c r="K50" s="1402"/>
      <c r="L50" s="1611"/>
      <c r="M50" s="1399"/>
      <c r="O50" s="1291"/>
      <c r="Q50" s="1291"/>
      <c r="S50" s="2064"/>
      <c r="T50" s="2226" t="s">
        <v>319</v>
      </c>
      <c r="U50" s="2224" t="s">
        <v>613</v>
      </c>
      <c r="V50" s="2224"/>
      <c r="W50" s="617"/>
      <c r="X50" s="626"/>
      <c r="Y50" s="745"/>
      <c r="AB50" s="576"/>
      <c r="AC50" s="576"/>
      <c r="AD50" s="576"/>
      <c r="AE50" s="576"/>
      <c r="AF50" s="576"/>
      <c r="AG50" s="576"/>
      <c r="AH50" s="27"/>
      <c r="AI50" s="27"/>
      <c r="AJ50" s="27"/>
      <c r="AK50" s="27"/>
      <c r="AL50" s="27"/>
      <c r="AM50" s="27"/>
      <c r="AN50" s="27"/>
      <c r="AO50" s="27"/>
    </row>
    <row r="51" spans="3:41" ht="15" hidden="1" customHeight="1">
      <c r="C51" s="2126"/>
      <c r="D51" s="1297"/>
      <c r="E51" s="2222" t="str">
        <f>U51</f>
        <v>ESPH (not used)</v>
      </c>
      <c r="F51" s="1281">
        <v>0.4</v>
      </c>
      <c r="G51" s="1296">
        <v>105</v>
      </c>
      <c r="H51" s="1296">
        <v>115</v>
      </c>
      <c r="I51" s="1863" t="s">
        <v>973</v>
      </c>
      <c r="J51" s="429"/>
      <c r="K51" s="2110" t="s">
        <v>307</v>
      </c>
      <c r="L51" s="1301"/>
      <c r="M51" s="2090" t="str">
        <f>IF($W$2=1,V51,#REF!)</f>
        <v>Elephant Standard one side,          Plywood the other</v>
      </c>
      <c r="O51" s="1172" t="s">
        <v>231</v>
      </c>
      <c r="Q51" s="1172" t="s">
        <v>231</v>
      </c>
      <c r="S51" s="2064"/>
      <c r="T51" s="2227"/>
      <c r="U51" s="2046" t="str">
        <f>Table!AI82</f>
        <v>ESPH (not used)</v>
      </c>
      <c r="V51" s="2077" t="s">
        <v>981</v>
      </c>
      <c r="W51" s="2062" t="str">
        <f>W57</f>
        <v>as per</v>
      </c>
      <c r="X51" s="2061" t="s">
        <v>650</v>
      </c>
      <c r="Y51" s="2058">
        <v>3</v>
      </c>
      <c r="AB51" s="576"/>
      <c r="AC51" s="576"/>
      <c r="AD51" s="576"/>
      <c r="AE51" s="576"/>
      <c r="AF51" s="576"/>
      <c r="AG51" s="576"/>
      <c r="AH51" s="27"/>
      <c r="AI51" s="27"/>
      <c r="AJ51" s="27"/>
      <c r="AK51" s="27"/>
      <c r="AL51" s="27"/>
      <c r="AM51" s="27"/>
      <c r="AN51" s="27"/>
      <c r="AO51" s="27"/>
    </row>
    <row r="52" spans="3:41" ht="15" hidden="1" customHeight="1">
      <c r="C52" s="2126"/>
      <c r="D52" s="1297"/>
      <c r="E52" s="2222"/>
      <c r="F52" s="662">
        <v>0.8</v>
      </c>
      <c r="G52" s="663">
        <v>145</v>
      </c>
      <c r="H52" s="663">
        <v>140</v>
      </c>
      <c r="I52" s="1863"/>
      <c r="J52" s="429"/>
      <c r="K52" s="2110"/>
      <c r="L52" s="1301"/>
      <c r="M52" s="2090"/>
      <c r="O52" s="661" t="s">
        <v>231</v>
      </c>
      <c r="Q52" s="661" t="s">
        <v>231</v>
      </c>
      <c r="S52" s="2064"/>
      <c r="T52" s="2227"/>
      <c r="U52" s="2047"/>
      <c r="V52" s="2025"/>
      <c r="W52" s="2056"/>
      <c r="X52" s="2034"/>
      <c r="Y52" s="2059"/>
      <c r="AB52" s="576"/>
      <c r="AC52" s="576"/>
      <c r="AD52" s="576"/>
      <c r="AE52" s="576"/>
      <c r="AF52" s="576"/>
      <c r="AG52" s="576"/>
      <c r="AH52" s="27"/>
      <c r="AI52" s="27"/>
      <c r="AJ52" s="27"/>
      <c r="AK52" s="27"/>
      <c r="AL52" s="27"/>
      <c r="AM52" s="27"/>
      <c r="AN52" s="27"/>
      <c r="AO52" s="27"/>
    </row>
    <row r="53" spans="3:41" ht="15" hidden="1" customHeight="1" thickBot="1">
      <c r="C53" s="2126"/>
      <c r="D53" s="1299"/>
      <c r="E53" s="2222"/>
      <c r="F53" s="1292">
        <v>1.2</v>
      </c>
      <c r="G53" s="1293">
        <v>150</v>
      </c>
      <c r="H53" s="1293">
        <v>150</v>
      </c>
      <c r="I53" s="1863"/>
      <c r="J53" s="429"/>
      <c r="K53" s="2270"/>
      <c r="L53" s="1301"/>
      <c r="M53" s="2132"/>
      <c r="O53" s="1294" t="s">
        <v>231</v>
      </c>
      <c r="Q53" s="1294" t="s">
        <v>231</v>
      </c>
      <c r="S53" s="2064"/>
      <c r="T53" s="2227"/>
      <c r="U53" s="2047"/>
      <c r="V53" s="2025"/>
      <c r="W53" s="2056"/>
      <c r="X53" s="2034"/>
      <c r="Y53" s="2060"/>
      <c r="AB53" s="576"/>
      <c r="AC53" s="576"/>
      <c r="AD53" s="576"/>
      <c r="AE53" s="576"/>
      <c r="AF53" s="576"/>
      <c r="AG53" s="576"/>
      <c r="AH53" s="27"/>
      <c r="AI53" s="27"/>
      <c r="AJ53" s="27"/>
      <c r="AK53" s="27"/>
      <c r="AL53" s="27"/>
      <c r="AM53" s="27"/>
      <c r="AN53" s="27"/>
      <c r="AO53" s="27"/>
    </row>
    <row r="54" spans="3:41" ht="15" customHeight="1">
      <c r="C54" s="2126"/>
      <c r="D54" s="2134" t="str">
        <f>+T50</f>
        <v>External</v>
      </c>
      <c r="E54" s="2128" t="str">
        <f>U54</f>
        <v>ESPH</v>
      </c>
      <c r="F54" s="1284">
        <v>0.4</v>
      </c>
      <c r="G54" s="1285">
        <f t="shared" ref="G54:H59" si="4">IF($S$2=1,G131,G194)</f>
        <v>102</v>
      </c>
      <c r="H54" s="1285">
        <f t="shared" si="4"/>
        <v>114</v>
      </c>
      <c r="I54" s="2035" t="str">
        <f>I28</f>
        <v>Specialised QuickBrace Pattern</v>
      </c>
      <c r="J54" s="2036"/>
      <c r="K54" s="2030" t="s">
        <v>307</v>
      </c>
      <c r="L54" s="1301"/>
      <c r="M54" s="2123" t="str">
        <f>IF($W$2=1,V54,#REF!)</f>
        <v>Elephant Standard-Plus board One side,       Plywood the Other</v>
      </c>
      <c r="O54" s="1604" t="s">
        <v>307</v>
      </c>
      <c r="Q54" s="1604" t="s">
        <v>305</v>
      </c>
      <c r="S54" s="2064"/>
      <c r="T54" s="2227"/>
      <c r="U54" s="2047" t="str">
        <f>Table!AI83</f>
        <v>ESPH</v>
      </c>
      <c r="V54" s="2024" t="s">
        <v>1043</v>
      </c>
      <c r="W54" s="2056" t="str">
        <f>W44</f>
        <v>as per</v>
      </c>
      <c r="X54" s="2033" t="s">
        <v>760</v>
      </c>
      <c r="Y54" s="2080">
        <v>3</v>
      </c>
      <c r="AB54" s="576"/>
      <c r="AC54" s="576"/>
      <c r="AD54" s="576"/>
      <c r="AE54" s="576"/>
      <c r="AF54" s="576"/>
      <c r="AG54" s="576"/>
      <c r="AH54" s="27"/>
      <c r="AI54" s="27"/>
      <c r="AJ54" s="27"/>
      <c r="AK54" s="27"/>
      <c r="AL54" s="27"/>
      <c r="AM54" s="27"/>
      <c r="AN54" s="27"/>
      <c r="AO54" s="27"/>
    </row>
    <row r="55" spans="3:41" ht="15" customHeight="1">
      <c r="C55" s="2126"/>
      <c r="D55" s="2134"/>
      <c r="E55" s="2129"/>
      <c r="F55" s="662">
        <v>0.8</v>
      </c>
      <c r="G55" s="1173">
        <f t="shared" si="4"/>
        <v>140</v>
      </c>
      <c r="H55" s="1173">
        <f t="shared" si="4"/>
        <v>140</v>
      </c>
      <c r="I55" s="2037"/>
      <c r="J55" s="2038"/>
      <c r="K55" s="2031"/>
      <c r="L55" s="1301"/>
      <c r="M55" s="2123"/>
      <c r="O55" s="1605" t="s">
        <v>307</v>
      </c>
      <c r="Q55" s="1605" t="s">
        <v>307</v>
      </c>
      <c r="S55" s="2064"/>
      <c r="T55" s="2227"/>
      <c r="U55" s="2047"/>
      <c r="V55" s="2025"/>
      <c r="W55" s="2056"/>
      <c r="X55" s="2034"/>
      <c r="Y55" s="2059"/>
      <c r="AB55" s="576"/>
      <c r="AC55" s="576"/>
      <c r="AD55" s="576"/>
      <c r="AE55" s="576"/>
      <c r="AF55" s="576"/>
      <c r="AG55" s="576"/>
      <c r="AH55" s="27"/>
      <c r="AI55" s="27"/>
      <c r="AJ55" s="27"/>
      <c r="AK55" s="27"/>
      <c r="AL55" s="27"/>
      <c r="AM55" s="27"/>
      <c r="AN55" s="27"/>
      <c r="AO55" s="27"/>
    </row>
    <row r="56" spans="3:41" ht="15" customHeight="1" thickBot="1">
      <c r="C56" s="2126"/>
      <c r="D56" s="2134"/>
      <c r="E56" s="2130"/>
      <c r="F56" s="1295">
        <v>1.2</v>
      </c>
      <c r="G56" s="1283">
        <f t="shared" si="4"/>
        <v>150</v>
      </c>
      <c r="H56" s="1283">
        <f t="shared" si="4"/>
        <v>150</v>
      </c>
      <c r="I56" s="2039"/>
      <c r="J56" s="2040"/>
      <c r="K56" s="2031"/>
      <c r="L56" s="1301"/>
      <c r="M56" s="2124"/>
      <c r="O56" s="1606" t="s">
        <v>307</v>
      </c>
      <c r="Q56" s="1606" t="s">
        <v>307</v>
      </c>
      <c r="S56" s="2064"/>
      <c r="T56" s="2227"/>
      <c r="U56" s="2047"/>
      <c r="V56" s="2025"/>
      <c r="W56" s="2056"/>
      <c r="X56" s="2034"/>
      <c r="Y56" s="2060"/>
      <c r="AB56" s="576"/>
      <c r="AC56" s="576"/>
      <c r="AD56" s="576"/>
      <c r="AE56" s="576"/>
      <c r="AF56" s="576"/>
      <c r="AG56" s="576"/>
      <c r="AH56" s="27"/>
      <c r="AI56" s="27"/>
      <c r="AJ56" s="27"/>
      <c r="AK56" s="27"/>
      <c r="AL56" s="27"/>
      <c r="AM56" s="27"/>
      <c r="AN56" s="27"/>
      <c r="AO56" s="27"/>
    </row>
    <row r="57" spans="3:41" ht="15" customHeight="1">
      <c r="C57" s="2126"/>
      <c r="D57" s="2134"/>
      <c r="E57" s="2128" t="str">
        <f>U57</f>
        <v>EMPH</v>
      </c>
      <c r="F57" s="1284">
        <v>0.4</v>
      </c>
      <c r="G57" s="1285">
        <f t="shared" si="4"/>
        <v>121</v>
      </c>
      <c r="H57" s="1285">
        <f t="shared" si="4"/>
        <v>138</v>
      </c>
      <c r="I57" s="2035" t="str">
        <f>I28</f>
        <v>Specialised QuickBrace Pattern</v>
      </c>
      <c r="J57" s="2036"/>
      <c r="K57" s="2030" t="s">
        <v>307</v>
      </c>
      <c r="L57" s="1301"/>
      <c r="M57" s="2123" t="str">
        <f>IF($W$2=1,V57,#REF!)</f>
        <v>Elephant Multiboard One side,               Plywood the Other</v>
      </c>
      <c r="O57" s="1604" t="s">
        <v>307</v>
      </c>
      <c r="Q57" s="1604" t="s">
        <v>307</v>
      </c>
      <c r="S57" s="2064"/>
      <c r="T57" s="2227"/>
      <c r="U57" s="2047" t="str">
        <f>Table!AI84</f>
        <v>EMPH</v>
      </c>
      <c r="V57" s="2024" t="s">
        <v>1017</v>
      </c>
      <c r="W57" s="2056" t="str">
        <f>W47</f>
        <v>as per</v>
      </c>
      <c r="X57" s="2033" t="s">
        <v>761</v>
      </c>
      <c r="Y57" s="2059">
        <v>3</v>
      </c>
      <c r="AB57" s="576"/>
      <c r="AC57" s="576"/>
      <c r="AD57" s="576"/>
      <c r="AE57" s="576"/>
      <c r="AF57" s="576"/>
      <c r="AG57" s="576"/>
      <c r="AH57" s="27"/>
      <c r="AI57" s="27"/>
      <c r="AJ57" s="27"/>
      <c r="AK57" s="27"/>
      <c r="AL57" s="27"/>
      <c r="AM57" s="27"/>
      <c r="AN57" s="27"/>
      <c r="AO57" s="27"/>
    </row>
    <row r="58" spans="3:41" ht="15" customHeight="1">
      <c r="C58" s="2126"/>
      <c r="D58" s="2134"/>
      <c r="E58" s="2129"/>
      <c r="F58" s="660">
        <v>0.8</v>
      </c>
      <c r="G58" s="1173">
        <f t="shared" si="4"/>
        <v>148</v>
      </c>
      <c r="H58" s="1173">
        <f t="shared" si="4"/>
        <v>150</v>
      </c>
      <c r="I58" s="2037"/>
      <c r="J58" s="2038"/>
      <c r="K58" s="2031"/>
      <c r="L58" s="1301"/>
      <c r="M58" s="2123"/>
      <c r="O58" s="1605" t="s">
        <v>307</v>
      </c>
      <c r="Q58" s="1605" t="s">
        <v>307</v>
      </c>
      <c r="S58" s="2064"/>
      <c r="T58" s="2227"/>
      <c r="U58" s="2047"/>
      <c r="V58" s="2025"/>
      <c r="W58" s="2056"/>
      <c r="X58" s="2034"/>
      <c r="Y58" s="2059"/>
      <c r="AB58" s="576"/>
      <c r="AC58" s="576"/>
      <c r="AD58" s="576"/>
      <c r="AE58" s="576"/>
      <c r="AF58" s="576"/>
      <c r="AG58" s="576"/>
      <c r="AH58" s="27"/>
      <c r="AI58" s="27"/>
      <c r="AJ58" s="27"/>
      <c r="AK58" s="27"/>
      <c r="AL58" s="27"/>
      <c r="AM58" s="27"/>
      <c r="AN58" s="27"/>
      <c r="AO58" s="27"/>
    </row>
    <row r="59" spans="3:41" ht="15" customHeight="1" thickBot="1">
      <c r="C59" s="2127"/>
      <c r="D59" s="2135"/>
      <c r="E59" s="2269"/>
      <c r="F59" s="665">
        <v>1.2</v>
      </c>
      <c r="G59" s="1174">
        <f t="shared" si="4"/>
        <v>150</v>
      </c>
      <c r="H59" s="1174">
        <f t="shared" si="4"/>
        <v>150</v>
      </c>
      <c r="I59" s="2050"/>
      <c r="J59" s="2051"/>
      <c r="K59" s="2122"/>
      <c r="L59" s="1301"/>
      <c r="M59" s="2204"/>
      <c r="O59" s="1607" t="s">
        <v>307</v>
      </c>
      <c r="Q59" s="1607" t="s">
        <v>307</v>
      </c>
      <c r="S59" s="2065"/>
      <c r="T59" s="2228"/>
      <c r="U59" s="2067"/>
      <c r="V59" s="2026"/>
      <c r="W59" s="2057"/>
      <c r="X59" s="2055"/>
      <c r="Y59" s="2225"/>
      <c r="AB59" s="576"/>
      <c r="AC59" s="576"/>
      <c r="AD59" s="576"/>
      <c r="AE59" s="576"/>
      <c r="AF59" s="576"/>
      <c r="AG59" s="576"/>
      <c r="AH59" s="27"/>
      <c r="AI59" s="27"/>
      <c r="AJ59" s="27"/>
      <c r="AK59" s="27"/>
      <c r="AL59" s="27"/>
      <c r="AM59" s="27"/>
      <c r="AN59" s="27"/>
      <c r="AO59" s="27"/>
    </row>
    <row r="60" spans="3:41" ht="15" customHeight="1">
      <c r="C60" s="596"/>
      <c r="D60" s="596"/>
      <c r="E60" s="27"/>
      <c r="F60" s="27"/>
      <c r="G60" s="27"/>
      <c r="H60" s="27"/>
      <c r="I60" s="27"/>
      <c r="J60" s="27"/>
      <c r="K60" s="27"/>
      <c r="L60" s="27"/>
      <c r="M60" s="27"/>
      <c r="O60" s="27"/>
      <c r="Q60" s="27"/>
      <c r="V60" s="593"/>
      <c r="W60" s="597"/>
      <c r="X60" s="594"/>
      <c r="Y60" s="595"/>
      <c r="AB60" s="576"/>
      <c r="AC60" s="576"/>
      <c r="AD60" s="576"/>
      <c r="AE60" s="576"/>
      <c r="AF60" s="576"/>
      <c r="AG60" s="576"/>
      <c r="AH60" s="27"/>
      <c r="AI60" s="27"/>
      <c r="AJ60" s="27"/>
      <c r="AK60" s="27"/>
      <c r="AL60" s="27"/>
      <c r="AM60" s="27"/>
      <c r="AN60" s="27"/>
      <c r="AO60" s="27"/>
    </row>
    <row r="61" spans="3:41" ht="27.75" customHeight="1">
      <c r="C61" s="2208" t="s">
        <v>1106</v>
      </c>
      <c r="D61" s="2208"/>
      <c r="E61" s="2208"/>
      <c r="F61" s="2208"/>
      <c r="G61" s="2208"/>
      <c r="H61" s="2208"/>
      <c r="I61" s="2208"/>
      <c r="J61" s="2208"/>
      <c r="K61" s="2208"/>
      <c r="L61" s="2208"/>
      <c r="M61" s="2208"/>
      <c r="O61" s="1565"/>
      <c r="Q61" s="1565"/>
      <c r="V61" s="2223" t="s">
        <v>603</v>
      </c>
      <c r="W61" s="2223"/>
      <c r="X61" s="2223"/>
      <c r="Y61" s="503" t="s">
        <v>8</v>
      </c>
      <c r="AB61" s="576"/>
      <c r="AC61" s="576"/>
      <c r="AD61" s="576"/>
      <c r="AE61" s="576"/>
      <c r="AF61" s="576"/>
      <c r="AG61" s="576"/>
      <c r="AH61" s="27"/>
      <c r="AI61" s="27"/>
      <c r="AJ61" s="27"/>
      <c r="AK61" s="27"/>
      <c r="AL61" s="27"/>
      <c r="AM61" s="27"/>
      <c r="AN61" s="27"/>
      <c r="AO61" s="27"/>
    </row>
    <row r="62" spans="3:41" ht="15.95" customHeight="1" thickBot="1">
      <c r="C62" s="1032"/>
      <c r="D62" s="1032"/>
      <c r="E62" s="1032"/>
      <c r="F62" s="1032"/>
      <c r="G62" s="1032"/>
      <c r="H62" s="1032"/>
      <c r="I62" s="1032"/>
      <c r="J62" s="1032"/>
      <c r="K62" s="1032"/>
      <c r="L62" s="1032"/>
      <c r="M62" s="1032"/>
      <c r="O62" s="1032"/>
      <c r="Q62" s="1032"/>
      <c r="V62" s="2223"/>
      <c r="W62" s="2223"/>
      <c r="X62" s="2223"/>
      <c r="Y62" s="503"/>
      <c r="AB62" s="576"/>
      <c r="AC62" s="576"/>
      <c r="AD62" s="576"/>
      <c r="AE62" s="576"/>
      <c r="AF62" s="576"/>
      <c r="AG62" s="576"/>
      <c r="AH62" s="27"/>
      <c r="AI62" s="27"/>
      <c r="AJ62" s="27"/>
      <c r="AK62" s="27"/>
      <c r="AL62" s="27"/>
      <c r="AM62" s="27"/>
      <c r="AN62" s="27"/>
      <c r="AO62" s="27"/>
    </row>
    <row r="63" spans="3:41" ht="23.25" customHeight="1" thickTop="1">
      <c r="C63" s="2209" t="s">
        <v>1081</v>
      </c>
      <c r="D63" s="2210"/>
      <c r="E63" s="2210"/>
      <c r="F63" s="2210"/>
      <c r="G63" s="2210"/>
      <c r="H63" s="2210"/>
      <c r="I63" s="2210"/>
      <c r="J63" s="2210"/>
      <c r="K63" s="2210"/>
      <c r="L63" s="2210"/>
      <c r="M63" s="2211"/>
      <c r="O63" s="1566"/>
      <c r="Q63" s="1566"/>
      <c r="V63" s="577"/>
      <c r="W63" s="577"/>
      <c r="X63" s="577"/>
      <c r="AB63" s="576"/>
      <c r="AC63" s="576"/>
      <c r="AD63" s="576"/>
      <c r="AE63" s="576"/>
      <c r="AF63" s="576"/>
      <c r="AG63" s="576"/>
      <c r="AH63" s="27"/>
      <c r="AI63" s="27"/>
      <c r="AJ63" s="27"/>
      <c r="AK63" s="27"/>
      <c r="AL63" s="27"/>
      <c r="AM63" s="27"/>
      <c r="AN63" s="27"/>
      <c r="AO63" s="27"/>
    </row>
    <row r="64" spans="3:41" ht="14.45" customHeight="1">
      <c r="C64" s="2212"/>
      <c r="D64" s="2213"/>
      <c r="E64" s="2213"/>
      <c r="F64" s="2213"/>
      <c r="G64" s="2213"/>
      <c r="H64" s="2213"/>
      <c r="I64" s="2213"/>
      <c r="J64" s="2213"/>
      <c r="K64" s="2213"/>
      <c r="L64" s="2213"/>
      <c r="M64" s="2214"/>
      <c r="O64" s="1566"/>
      <c r="Q64" s="1566"/>
      <c r="V64" s="577"/>
      <c r="W64" s="577"/>
      <c r="X64" s="577"/>
      <c r="AB64" s="576"/>
      <c r="AC64" s="576"/>
      <c r="AD64" s="576"/>
      <c r="AE64" s="576"/>
      <c r="AF64" s="576"/>
      <c r="AG64" s="576"/>
      <c r="AH64" s="27"/>
      <c r="AI64" s="27"/>
      <c r="AJ64" s="27"/>
      <c r="AK64" s="27"/>
      <c r="AL64" s="27"/>
      <c r="AM64" s="27"/>
      <c r="AN64" s="27"/>
      <c r="AO64" s="27"/>
    </row>
    <row r="65" spans="3:41" ht="14.45" customHeight="1" thickBot="1">
      <c r="C65" s="2215"/>
      <c r="D65" s="2216"/>
      <c r="E65" s="2216"/>
      <c r="F65" s="2216"/>
      <c r="G65" s="2216"/>
      <c r="H65" s="2216"/>
      <c r="I65" s="2216"/>
      <c r="J65" s="2216"/>
      <c r="K65" s="2216"/>
      <c r="L65" s="2216"/>
      <c r="M65" s="2217"/>
      <c r="O65" s="1566"/>
      <c r="Q65" s="1566"/>
      <c r="V65" s="577"/>
      <c r="W65" s="577"/>
      <c r="X65" s="577"/>
      <c r="AB65" s="576"/>
      <c r="AC65" s="576"/>
      <c r="AD65" s="576"/>
      <c r="AE65" s="576"/>
      <c r="AF65" s="576"/>
      <c r="AG65" s="576"/>
      <c r="AH65" s="27"/>
      <c r="AI65" s="27"/>
      <c r="AJ65" s="27"/>
      <c r="AK65" s="27"/>
      <c r="AL65" s="27"/>
      <c r="AM65" s="27"/>
      <c r="AN65" s="27"/>
      <c r="AO65" s="27"/>
    </row>
    <row r="66" spans="3:41" ht="14.45" customHeight="1" thickTop="1">
      <c r="C66" s="27"/>
      <c r="D66" s="27"/>
      <c r="E66" s="27"/>
      <c r="F66" s="27"/>
      <c r="G66" s="27"/>
      <c r="H66" s="27"/>
      <c r="I66" s="27"/>
      <c r="J66" s="27"/>
      <c r="K66" s="27"/>
      <c r="L66" s="27"/>
      <c r="M66" s="542"/>
      <c r="O66" s="27"/>
      <c r="Q66" s="27"/>
      <c r="V66" s="577"/>
      <c r="W66" s="577"/>
      <c r="X66" s="577"/>
      <c r="AB66" s="576"/>
      <c r="AC66" s="576"/>
      <c r="AD66" s="576"/>
      <c r="AE66" s="576"/>
      <c r="AF66" s="576"/>
      <c r="AG66" s="576"/>
      <c r="AH66" s="27"/>
      <c r="AI66" s="27"/>
      <c r="AJ66" s="27"/>
      <c r="AK66" s="27"/>
      <c r="AL66" s="27"/>
      <c r="AM66" s="27"/>
      <c r="AN66" s="27"/>
      <c r="AO66" s="27"/>
    </row>
    <row r="67" spans="3:41" ht="14.45" customHeight="1">
      <c r="C67" s="27"/>
      <c r="D67" s="27"/>
      <c r="E67" s="27"/>
      <c r="F67" s="27"/>
      <c r="G67" s="27"/>
      <c r="H67" s="27"/>
      <c r="I67" s="27"/>
      <c r="J67" s="27"/>
      <c r="K67" s="27"/>
      <c r="L67" s="27"/>
      <c r="M67" s="542"/>
      <c r="O67" s="27"/>
      <c r="Q67" s="27"/>
      <c r="V67" s="577"/>
      <c r="W67" s="577"/>
      <c r="X67" s="577"/>
      <c r="AB67" s="576"/>
      <c r="AC67" s="576"/>
      <c r="AD67" s="576"/>
      <c r="AE67" s="576"/>
      <c r="AF67" s="576"/>
      <c r="AG67" s="576"/>
      <c r="AH67" s="27"/>
      <c r="AI67" s="27"/>
      <c r="AJ67" s="27"/>
      <c r="AK67" s="27"/>
      <c r="AL67" s="27"/>
      <c r="AM67" s="27"/>
      <c r="AN67" s="27"/>
      <c r="AO67" s="27"/>
    </row>
    <row r="68" spans="3:41" ht="14.45" customHeight="1">
      <c r="C68" s="27"/>
      <c r="D68" s="27"/>
      <c r="E68" s="27"/>
      <c r="F68" s="27"/>
      <c r="G68" s="27"/>
      <c r="H68" s="27"/>
      <c r="I68" s="27"/>
      <c r="J68" s="27"/>
      <c r="K68" s="27"/>
      <c r="L68" s="27"/>
      <c r="M68" s="542"/>
      <c r="O68" s="27"/>
      <c r="Q68" s="27"/>
      <c r="V68" s="577"/>
      <c r="W68" s="577"/>
      <c r="X68" s="577"/>
      <c r="AB68" s="576"/>
      <c r="AC68" s="576"/>
      <c r="AD68" s="576"/>
      <c r="AE68" s="576"/>
      <c r="AF68" s="576"/>
      <c r="AG68" s="576"/>
      <c r="AH68" s="27"/>
      <c r="AI68" s="27"/>
      <c r="AJ68" s="27"/>
      <c r="AK68" s="27"/>
      <c r="AL68" s="27"/>
      <c r="AM68" s="27"/>
      <c r="AN68" s="27"/>
      <c r="AO68" s="27"/>
    </row>
    <row r="69" spans="3:41" ht="14.45" customHeight="1">
      <c r="C69" s="27" t="str">
        <f>'Terms and Conditions'!B19</f>
        <v>Elephant QuickBrace™ September 2018  V.1.0</v>
      </c>
      <c r="D69" s="27"/>
      <c r="E69" s="27"/>
      <c r="F69" s="27"/>
      <c r="G69" s="27"/>
      <c r="H69" s="27"/>
      <c r="I69" s="27"/>
      <c r="J69" s="27"/>
      <c r="K69" s="27"/>
      <c r="L69" s="27"/>
      <c r="M69" s="542"/>
      <c r="O69" s="27"/>
      <c r="Q69" s="27"/>
      <c r="V69" s="577"/>
      <c r="W69" s="577"/>
      <c r="X69" s="577"/>
      <c r="AB69" s="576"/>
      <c r="AC69" s="576"/>
      <c r="AD69" s="576"/>
      <c r="AE69" s="576"/>
      <c r="AF69" s="576"/>
      <c r="AG69" s="576"/>
      <c r="AH69" s="27"/>
      <c r="AI69" s="27"/>
      <c r="AJ69" s="27"/>
      <c r="AK69" s="27"/>
      <c r="AL69" s="27"/>
      <c r="AM69" s="27"/>
      <c r="AN69" s="27"/>
      <c r="AO69" s="27"/>
    </row>
    <row r="70" spans="3:41" ht="14.45" customHeight="1">
      <c r="C70" s="27"/>
      <c r="D70" s="27"/>
      <c r="E70" s="27"/>
      <c r="F70" s="27"/>
      <c r="G70" s="27"/>
      <c r="H70" s="27"/>
      <c r="I70" s="27"/>
      <c r="J70" s="27"/>
      <c r="K70" s="27"/>
      <c r="L70" s="27"/>
      <c r="M70" s="542"/>
      <c r="O70" s="27"/>
      <c r="Q70" s="27"/>
      <c r="V70" s="577"/>
      <c r="W70" s="577"/>
      <c r="X70" s="577"/>
      <c r="AB70" s="576"/>
      <c r="AC70" s="576"/>
      <c r="AD70" s="576"/>
      <c r="AE70" s="576"/>
      <c r="AF70" s="576"/>
      <c r="AG70" s="576"/>
      <c r="AH70" s="27"/>
      <c r="AI70" s="27"/>
      <c r="AJ70" s="27"/>
      <c r="AK70" s="27"/>
      <c r="AL70" s="27"/>
      <c r="AM70" s="27"/>
      <c r="AN70" s="27"/>
      <c r="AO70" s="27"/>
    </row>
    <row r="71" spans="3:41" ht="14.45" customHeight="1">
      <c r="C71" s="27"/>
      <c r="D71" s="27"/>
      <c r="E71" s="27"/>
      <c r="F71" s="27"/>
      <c r="G71" s="27"/>
      <c r="H71" s="27"/>
      <c r="I71" s="27"/>
      <c r="J71" s="27"/>
      <c r="K71" s="27"/>
      <c r="L71" s="27"/>
      <c r="M71" s="542"/>
      <c r="O71" s="27"/>
      <c r="Q71" s="27"/>
      <c r="V71" s="577"/>
      <c r="W71" s="577"/>
      <c r="X71" s="577"/>
      <c r="AB71" s="576"/>
      <c r="AC71" s="576"/>
      <c r="AD71" s="576"/>
      <c r="AE71" s="576"/>
      <c r="AF71" s="576"/>
      <c r="AG71" s="576"/>
      <c r="AH71" s="27"/>
      <c r="AI71" s="27"/>
      <c r="AJ71" s="27"/>
      <c r="AK71" s="27"/>
      <c r="AL71" s="27"/>
      <c r="AM71" s="27"/>
      <c r="AN71" s="27"/>
      <c r="AO71" s="27"/>
    </row>
    <row r="72" spans="3:41" ht="14.45" hidden="1" customHeight="1">
      <c r="C72" s="27"/>
      <c r="D72" s="27"/>
      <c r="E72" s="27"/>
      <c r="F72" s="27"/>
      <c r="G72" s="27"/>
      <c r="H72" s="27"/>
      <c r="I72" s="27"/>
      <c r="J72" s="27"/>
      <c r="K72" s="27"/>
      <c r="L72" s="27"/>
      <c r="M72" s="542"/>
      <c r="O72" s="27"/>
      <c r="Q72" s="27"/>
      <c r="V72" s="577"/>
      <c r="W72" s="577"/>
      <c r="X72" s="577"/>
      <c r="AB72" s="576"/>
      <c r="AC72" s="576"/>
      <c r="AD72" s="576"/>
      <c r="AE72" s="576"/>
      <c r="AF72" s="576"/>
      <c r="AG72" s="576"/>
      <c r="AH72" s="27"/>
      <c r="AI72" s="27"/>
      <c r="AJ72" s="27"/>
      <c r="AK72" s="27"/>
      <c r="AL72" s="27"/>
      <c r="AM72" s="27"/>
      <c r="AN72" s="27"/>
      <c r="AO72" s="27"/>
    </row>
    <row r="73" spans="3:41" s="188" customFormat="1" ht="14.45" hidden="1" customHeight="1">
      <c r="M73" s="894"/>
      <c r="N73" s="506"/>
      <c r="P73" s="506"/>
      <c r="V73" s="894"/>
      <c r="W73" s="894"/>
      <c r="X73" s="894"/>
    </row>
    <row r="74" spans="3:41" s="188" customFormat="1" ht="14.45" hidden="1" customHeight="1">
      <c r="M74" s="894"/>
      <c r="N74" s="506"/>
      <c r="P74" s="506"/>
      <c r="V74" s="894"/>
      <c r="W74" s="894"/>
      <c r="X74" s="894"/>
    </row>
    <row r="75" spans="3:41" s="188" customFormat="1" ht="14.45" hidden="1" customHeight="1">
      <c r="M75" s="894"/>
      <c r="N75" s="506"/>
      <c r="P75" s="506"/>
      <c r="V75" s="894"/>
      <c r="W75" s="894"/>
      <c r="X75" s="894"/>
    </row>
    <row r="76" spans="3:41" s="188" customFormat="1" ht="14.45" hidden="1" customHeight="1">
      <c r="C76" s="2114" t="s">
        <v>839</v>
      </c>
      <c r="D76" s="2115"/>
      <c r="E76" s="2116"/>
      <c r="M76" s="894"/>
      <c r="N76" s="506"/>
      <c r="P76" s="506"/>
      <c r="V76" s="894"/>
      <c r="W76" s="894"/>
      <c r="X76" s="894"/>
    </row>
    <row r="77" spans="3:41" s="188" customFormat="1" hidden="1">
      <c r="C77" s="2117"/>
      <c r="D77" s="2118"/>
      <c r="E77" s="2119"/>
      <c r="N77" s="506"/>
      <c r="P77" s="506"/>
      <c r="Y77" s="477"/>
    </row>
    <row r="78" spans="3:41" s="188" customFormat="1" ht="13.5" hidden="1" thickBot="1">
      <c r="I78" s="488"/>
      <c r="J78" s="488"/>
      <c r="K78" s="488"/>
      <c r="L78" s="488"/>
      <c r="M78" s="488"/>
      <c r="O78" s="488"/>
      <c r="Q78" s="488"/>
      <c r="W78" s="488"/>
      <c r="X78" s="477"/>
      <c r="Y78" s="477"/>
    </row>
    <row r="79" spans="3:41" s="188" customFormat="1" ht="14.25" hidden="1" customHeight="1">
      <c r="C79" s="2150" t="s">
        <v>1079</v>
      </c>
      <c r="D79" s="2151"/>
      <c r="E79" s="2151"/>
      <c r="F79" s="1553" t="s">
        <v>484</v>
      </c>
      <c r="G79" s="1554"/>
      <c r="H79" s="1554"/>
      <c r="I79" s="1554"/>
      <c r="J79" s="1554"/>
      <c r="K79" s="1554"/>
      <c r="L79" s="1125"/>
      <c r="M79" s="2048" t="s">
        <v>748</v>
      </c>
      <c r="N79" s="506"/>
      <c r="O79" s="1554"/>
      <c r="P79" s="506"/>
      <c r="Q79" s="1554"/>
    </row>
    <row r="80" spans="3:41" s="188" customFormat="1" ht="15.75" hidden="1" customHeight="1" thickBot="1">
      <c r="C80" s="2163"/>
      <c r="D80" s="2164"/>
      <c r="E80" s="2164"/>
      <c r="F80" s="1555"/>
      <c r="G80" s="1556"/>
      <c r="H80" s="1556"/>
      <c r="I80" s="1556"/>
      <c r="J80" s="1556"/>
      <c r="K80" s="1556"/>
      <c r="L80" s="1125"/>
      <c r="M80" s="2049"/>
      <c r="N80" s="506"/>
      <c r="O80" s="1556"/>
      <c r="P80" s="506"/>
      <c r="Q80" s="1556"/>
    </row>
    <row r="81" spans="3:29" s="188" customFormat="1" ht="14.1" hidden="1" customHeight="1">
      <c r="C81" s="2078" t="str">
        <f>S81</f>
        <v>Supplier</v>
      </c>
      <c r="D81" s="2041" t="str">
        <f>T81</f>
        <v>Internal or External Wall?</v>
      </c>
      <c r="E81" s="2041" t="str">
        <f>U81</f>
        <v>QuickBrace©  System Number</v>
      </c>
      <c r="F81" s="2154" t="s">
        <v>732</v>
      </c>
      <c r="G81" s="2155"/>
      <c r="H81" s="2156"/>
      <c r="I81" s="1862" t="s">
        <v>974</v>
      </c>
      <c r="J81" s="1632"/>
      <c r="K81" s="2157" t="s">
        <v>541</v>
      </c>
      <c r="L81" s="666"/>
      <c r="M81" s="2022" t="str">
        <f>IF($W$2=1,V81,#REF!)</f>
        <v xml:space="preserve">Elephant Plasterboard       </v>
      </c>
      <c r="N81" s="506"/>
      <c r="O81" s="2041" t="s">
        <v>272</v>
      </c>
      <c r="P81" s="506"/>
      <c r="Q81" s="2041" t="s">
        <v>272</v>
      </c>
      <c r="S81" s="2078" t="s">
        <v>49</v>
      </c>
      <c r="T81" s="2041" t="s">
        <v>747</v>
      </c>
      <c r="U81" s="2041" t="s">
        <v>726</v>
      </c>
      <c r="V81" s="2068" t="s">
        <v>752</v>
      </c>
      <c r="W81" s="2071" t="s">
        <v>609</v>
      </c>
      <c r="X81" s="2072"/>
      <c r="Y81" s="2052" t="s">
        <v>645</v>
      </c>
    </row>
    <row r="82" spans="3:29" s="188" customFormat="1" ht="14.1" hidden="1" customHeight="1">
      <c r="C82" s="2079"/>
      <c r="D82" s="2042"/>
      <c r="E82" s="2042"/>
      <c r="F82" s="2117"/>
      <c r="G82" s="2118"/>
      <c r="H82" s="2119"/>
      <c r="I82" s="1863"/>
      <c r="J82" s="429"/>
      <c r="K82" s="2158"/>
      <c r="L82" s="666"/>
      <c r="M82" s="2023"/>
      <c r="N82" s="506"/>
      <c r="O82" s="2042"/>
      <c r="P82" s="506"/>
      <c r="Q82" s="2042"/>
      <c r="S82" s="2079"/>
      <c r="T82" s="2042"/>
      <c r="U82" s="2042"/>
      <c r="V82" s="2069"/>
      <c r="W82" s="2073"/>
      <c r="X82" s="2074"/>
      <c r="Y82" s="2053"/>
    </row>
    <row r="83" spans="3:29" s="188" customFormat="1" ht="14.1" hidden="1" customHeight="1">
      <c r="C83" s="2079"/>
      <c r="D83" s="2042"/>
      <c r="E83" s="2042"/>
      <c r="F83" s="2042" t="s">
        <v>411</v>
      </c>
      <c r="G83" s="2120" t="s">
        <v>270</v>
      </c>
      <c r="H83" s="2120" t="s">
        <v>271</v>
      </c>
      <c r="I83" s="1863"/>
      <c r="J83" s="429"/>
      <c r="K83" s="2158"/>
      <c r="L83" s="666"/>
      <c r="M83" s="2023"/>
      <c r="N83" s="506"/>
      <c r="O83" s="2042"/>
      <c r="P83" s="506"/>
      <c r="Q83" s="2042"/>
      <c r="S83" s="2079"/>
      <c r="T83" s="2042"/>
      <c r="U83" s="2042"/>
      <c r="V83" s="2069"/>
      <c r="W83" s="2073"/>
      <c r="X83" s="2074"/>
      <c r="Y83" s="2053"/>
    </row>
    <row r="84" spans="3:29" s="188" customFormat="1" ht="13.5" hidden="1" customHeight="1" thickBot="1">
      <c r="C84" s="2079"/>
      <c r="D84" s="2042"/>
      <c r="E84" s="2042"/>
      <c r="F84" s="2042"/>
      <c r="G84" s="2120"/>
      <c r="H84" s="2120"/>
      <c r="I84" s="2160"/>
      <c r="J84" s="1613"/>
      <c r="K84" s="2159"/>
      <c r="L84" s="666"/>
      <c r="M84" s="2023"/>
      <c r="N84" s="506"/>
      <c r="O84" s="2042"/>
      <c r="P84" s="506"/>
      <c r="Q84" s="2042"/>
      <c r="S84" s="2079"/>
      <c r="T84" s="2042"/>
      <c r="U84" s="2042"/>
      <c r="V84" s="2070"/>
      <c r="W84" s="2075"/>
      <c r="X84" s="2076"/>
      <c r="Y84" s="2054"/>
    </row>
    <row r="85" spans="3:29" s="188" customFormat="1" ht="13.5" hidden="1" customHeight="1" thickBot="1">
      <c r="C85" s="1392"/>
      <c r="D85" s="1392"/>
      <c r="E85" s="1557" t="str">
        <f>U85</f>
        <v>Plasterboard on One Side</v>
      </c>
      <c r="F85" s="1557"/>
      <c r="G85" s="1557"/>
      <c r="H85" s="1557"/>
      <c r="I85" s="1557"/>
      <c r="J85" s="1557"/>
      <c r="K85" s="1558"/>
      <c r="L85" s="667"/>
      <c r="M85" s="673"/>
      <c r="N85" s="506"/>
      <c r="O85" s="1557"/>
      <c r="P85" s="506"/>
      <c r="Q85" s="1557"/>
      <c r="S85" s="1392"/>
      <c r="T85" s="1392"/>
      <c r="U85" s="2089" t="s">
        <v>611</v>
      </c>
      <c r="V85" s="2089"/>
      <c r="W85" s="1126"/>
      <c r="X85" s="1126"/>
      <c r="Y85" s="1126"/>
    </row>
    <row r="86" spans="3:29" s="188" customFormat="1" ht="13.5" hidden="1" customHeight="1">
      <c r="C86" s="1392"/>
      <c r="D86" s="1392"/>
      <c r="E86" s="2106" t="str">
        <f>U86</f>
        <v>ER1</v>
      </c>
      <c r="F86" s="1127">
        <v>0.4</v>
      </c>
      <c r="G86" s="1128">
        <f>Table!K25</f>
        <v>40</v>
      </c>
      <c r="H86" s="1128">
        <f>Table!L25</f>
        <v>30</v>
      </c>
      <c r="I86" s="2143" t="s">
        <v>972</v>
      </c>
      <c r="J86" s="1633"/>
      <c r="K86" s="2109" t="s">
        <v>305</v>
      </c>
      <c r="L86" s="668"/>
      <c r="M86" s="2090" t="str">
        <f>IF($W$2=1,V86,#REF!)</f>
        <v xml:space="preserve">Elephant Standard One side </v>
      </c>
      <c r="N86" s="506"/>
      <c r="O86" s="1129" t="s">
        <v>231</v>
      </c>
      <c r="P86" s="506"/>
      <c r="Q86" s="1129" t="s">
        <v>231</v>
      </c>
      <c r="S86" s="1392"/>
      <c r="T86" s="1392"/>
      <c r="U86" s="2087" t="str">
        <f>U10</f>
        <v>ER1</v>
      </c>
      <c r="V86" s="2081" t="s">
        <v>1010</v>
      </c>
      <c r="W86" s="2083" t="s">
        <v>652</v>
      </c>
      <c r="X86" s="2085"/>
      <c r="Y86" s="2096">
        <v>1</v>
      </c>
    </row>
    <row r="87" spans="3:29" s="188" customFormat="1" ht="13.5" hidden="1" customHeight="1">
      <c r="C87" s="1392"/>
      <c r="D87" s="1392"/>
      <c r="E87" s="2107"/>
      <c r="F87" s="1130">
        <v>0.8</v>
      </c>
      <c r="G87" s="1131">
        <f>Table!K27</f>
        <v>40</v>
      </c>
      <c r="H87" s="1131">
        <f>Table!L27</f>
        <v>30</v>
      </c>
      <c r="I87" s="1863"/>
      <c r="J87" s="429"/>
      <c r="K87" s="2110"/>
      <c r="L87" s="668"/>
      <c r="M87" s="2090"/>
      <c r="N87" s="506"/>
      <c r="O87" s="664" t="s">
        <v>231</v>
      </c>
      <c r="P87" s="506"/>
      <c r="Q87" s="664" t="s">
        <v>231</v>
      </c>
      <c r="S87" s="1392"/>
      <c r="T87" s="1392"/>
      <c r="U87" s="2088"/>
      <c r="V87" s="2082"/>
      <c r="W87" s="2084"/>
      <c r="X87" s="2086"/>
      <c r="Y87" s="2097"/>
    </row>
    <row r="88" spans="3:29" s="188" customFormat="1" ht="13.5" hidden="1" customHeight="1" thickBot="1">
      <c r="C88" s="1392"/>
      <c r="D88" s="1392"/>
      <c r="E88" s="2113"/>
      <c r="F88" s="1132">
        <v>1.2</v>
      </c>
      <c r="G88" s="1133">
        <f>Table!K29</f>
        <v>40</v>
      </c>
      <c r="H88" s="1133">
        <f>Table!L29</f>
        <v>30</v>
      </c>
      <c r="I88" s="2144"/>
      <c r="J88" s="1634"/>
      <c r="K88" s="2111"/>
      <c r="L88" s="668"/>
      <c r="M88" s="2091"/>
      <c r="N88" s="506"/>
      <c r="O88" s="664" t="s">
        <v>231</v>
      </c>
      <c r="P88" s="506"/>
      <c r="Q88" s="664" t="s">
        <v>231</v>
      </c>
      <c r="S88" s="1392"/>
      <c r="T88" s="1392"/>
      <c r="U88" s="2088"/>
      <c r="V88" s="2082"/>
      <c r="W88" s="2084"/>
      <c r="X88" s="2086"/>
      <c r="Y88" s="2098"/>
    </row>
    <row r="89" spans="3:29" s="188" customFormat="1" ht="13.5" hidden="1" customHeight="1" thickBot="1">
      <c r="C89" s="1392"/>
      <c r="D89" s="1392"/>
      <c r="E89" s="1559" t="str">
        <f>U89</f>
        <v>Plasterboard on Both Sides</v>
      </c>
      <c r="F89" s="1559"/>
      <c r="G89" s="1559"/>
      <c r="H89" s="1559"/>
      <c r="I89" s="1559"/>
      <c r="J89" s="1635"/>
      <c r="K89" s="1560"/>
      <c r="L89" s="667"/>
      <c r="M89" s="1137"/>
      <c r="N89" s="506"/>
      <c r="O89" s="1559"/>
      <c r="P89" s="506"/>
      <c r="Q89" s="1559"/>
      <c r="S89" s="1392"/>
      <c r="T89" s="1392"/>
      <c r="U89" s="2089" t="s">
        <v>612</v>
      </c>
      <c r="V89" s="2089"/>
      <c r="W89" s="1126"/>
      <c r="X89" s="1138"/>
      <c r="Y89" s="1139"/>
    </row>
    <row r="90" spans="3:29" s="188" customFormat="1" ht="13.5" hidden="1" customHeight="1">
      <c r="C90" s="1392"/>
      <c r="D90" s="1392"/>
      <c r="E90" s="2106" t="str">
        <f>U90</f>
        <v>ER2</v>
      </c>
      <c r="F90" s="1127">
        <v>0.4</v>
      </c>
      <c r="G90" s="1128">
        <f>Table!K31</f>
        <v>56</v>
      </c>
      <c r="H90" s="1128">
        <f>Table!L31</f>
        <v>51</v>
      </c>
      <c r="I90" s="2143" t="s">
        <v>972</v>
      </c>
      <c r="J90" s="1633"/>
      <c r="K90" s="2109" t="s">
        <v>305</v>
      </c>
      <c r="L90" s="668"/>
      <c r="M90" s="2112" t="str">
        <f>IF($W$2=1,V90,#REF!)</f>
        <v xml:space="preserve">Elephant Standard  Both sides </v>
      </c>
      <c r="N90" s="506"/>
      <c r="O90" s="1129" t="s">
        <v>231</v>
      </c>
      <c r="P90" s="506"/>
      <c r="Q90" s="1129" t="s">
        <v>231</v>
      </c>
      <c r="S90" s="1392"/>
      <c r="T90" s="1392"/>
      <c r="U90" s="2087" t="str">
        <f>U14</f>
        <v>ER2</v>
      </c>
      <c r="V90" s="2081" t="s">
        <v>1012</v>
      </c>
      <c r="W90" s="2083" t="str">
        <f>W86</f>
        <v>as per</v>
      </c>
      <c r="X90" s="2085"/>
      <c r="Y90" s="2103">
        <v>1</v>
      </c>
    </row>
    <row r="91" spans="3:29" s="188" customFormat="1" ht="13.5" hidden="1" customHeight="1">
      <c r="C91" s="1392"/>
      <c r="D91" s="1392"/>
      <c r="E91" s="2107"/>
      <c r="F91" s="1130">
        <v>0.8</v>
      </c>
      <c r="G91" s="1131">
        <f>Table!K33</f>
        <v>58</v>
      </c>
      <c r="H91" s="1131">
        <f>Table!L33</f>
        <v>53</v>
      </c>
      <c r="I91" s="1863"/>
      <c r="J91" s="429"/>
      <c r="K91" s="2110"/>
      <c r="L91" s="668"/>
      <c r="M91" s="2090"/>
      <c r="N91" s="506"/>
      <c r="O91" s="664" t="s">
        <v>231</v>
      </c>
      <c r="P91" s="506"/>
      <c r="Q91" s="664" t="s">
        <v>231</v>
      </c>
      <c r="S91" s="1392"/>
      <c r="T91" s="1392"/>
      <c r="U91" s="2088"/>
      <c r="V91" s="2082"/>
      <c r="W91" s="2084"/>
      <c r="X91" s="2086"/>
      <c r="Y91" s="2104"/>
    </row>
    <row r="92" spans="3:29" s="188" customFormat="1" ht="13.5" hidden="1" customHeight="1">
      <c r="C92" s="1392"/>
      <c r="D92" s="1392"/>
      <c r="E92" s="2113"/>
      <c r="F92" s="1132">
        <v>1.2</v>
      </c>
      <c r="G92" s="1133">
        <f>Table!K35</f>
        <v>60</v>
      </c>
      <c r="H92" s="1133">
        <f>Table!L35</f>
        <v>55</v>
      </c>
      <c r="I92" s="2144"/>
      <c r="J92" s="1634"/>
      <c r="K92" s="2111"/>
      <c r="L92" s="668"/>
      <c r="M92" s="2091"/>
      <c r="N92" s="506"/>
      <c r="O92" s="664" t="s">
        <v>231</v>
      </c>
      <c r="P92" s="506"/>
      <c r="Q92" s="664" t="s">
        <v>231</v>
      </c>
      <c r="S92" s="1392"/>
      <c r="T92" s="1392"/>
      <c r="U92" s="2088"/>
      <c r="V92" s="2082"/>
      <c r="W92" s="2084"/>
      <c r="X92" s="2086"/>
      <c r="Y92" s="2105"/>
    </row>
    <row r="93" spans="3:29" s="188" customFormat="1" ht="13.5" hidden="1" customHeight="1" thickBot="1">
      <c r="C93" s="1392"/>
      <c r="D93" s="1392"/>
      <c r="E93" s="1392"/>
      <c r="F93" s="1392"/>
      <c r="G93" s="1390"/>
      <c r="H93" s="1390"/>
      <c r="I93" s="874"/>
      <c r="J93" s="874"/>
      <c r="K93" s="1390"/>
      <c r="L93" s="666"/>
      <c r="M93" s="1370"/>
      <c r="N93" s="506"/>
      <c r="O93" s="1392"/>
      <c r="P93" s="506"/>
      <c r="Q93" s="1392"/>
      <c r="S93" s="1392"/>
      <c r="T93" s="1392"/>
      <c r="U93" s="1392"/>
      <c r="V93" s="1393"/>
      <c r="W93" s="1393"/>
      <c r="X93" s="1393"/>
      <c r="Y93" s="1393"/>
    </row>
    <row r="94" spans="3:29" s="188" customFormat="1" ht="13.5" hidden="1" customHeight="1" thickBot="1">
      <c r="C94" s="1392"/>
      <c r="D94" s="1392"/>
      <c r="E94" s="1392"/>
      <c r="F94" s="1392"/>
      <c r="G94" s="1390"/>
      <c r="H94" s="1390"/>
      <c r="I94" s="874"/>
      <c r="J94" s="874"/>
      <c r="K94" s="1390"/>
      <c r="L94" s="666"/>
      <c r="M94" s="1370"/>
      <c r="N94" s="506"/>
      <c r="O94" s="1392"/>
      <c r="P94" s="506"/>
      <c r="Q94" s="1392"/>
      <c r="S94" s="1392"/>
      <c r="T94" s="1392"/>
      <c r="U94" s="1392"/>
      <c r="V94" s="1393"/>
      <c r="W94" s="1393"/>
      <c r="X94" s="1393"/>
      <c r="Y94" s="1393"/>
    </row>
    <row r="95" spans="3:29" s="188" customFormat="1" ht="13.5" hidden="1" customHeight="1">
      <c r="C95" s="2150" t="s">
        <v>733</v>
      </c>
      <c r="D95" s="2151"/>
      <c r="E95" s="2151"/>
      <c r="F95" s="1553" t="s">
        <v>484</v>
      </c>
      <c r="G95" s="1554"/>
      <c r="H95" s="1554"/>
      <c r="I95" s="1554"/>
      <c r="J95" s="1554"/>
      <c r="K95" s="1554"/>
      <c r="L95" s="1125"/>
      <c r="M95" s="2048" t="s">
        <v>748</v>
      </c>
      <c r="N95" s="506"/>
      <c r="O95" s="1554"/>
      <c r="P95" s="506"/>
      <c r="Q95" s="1554"/>
      <c r="S95" s="2150" t="s">
        <v>733</v>
      </c>
      <c r="T95" s="2151"/>
      <c r="U95" s="2151"/>
      <c r="V95" s="2166" t="s">
        <v>484</v>
      </c>
      <c r="W95" s="2167"/>
      <c r="X95" s="2167"/>
      <c r="Y95" s="2167"/>
      <c r="Z95" s="2167"/>
      <c r="AA95" s="2167"/>
      <c r="AB95" s="1125"/>
      <c r="AC95" s="2048" t="s">
        <v>748</v>
      </c>
    </row>
    <row r="96" spans="3:29" s="188" customFormat="1" ht="13.5" hidden="1" customHeight="1" thickBot="1">
      <c r="C96" s="2152"/>
      <c r="D96" s="2153"/>
      <c r="E96" s="2153"/>
      <c r="F96" s="1555"/>
      <c r="G96" s="1556"/>
      <c r="H96" s="1556"/>
      <c r="I96" s="1556"/>
      <c r="J96" s="1556"/>
      <c r="K96" s="1556"/>
      <c r="L96" s="1125"/>
      <c r="M96" s="2049"/>
      <c r="N96" s="506"/>
      <c r="O96" s="1556"/>
      <c r="P96" s="506"/>
      <c r="Q96" s="1556"/>
      <c r="S96" s="2152"/>
      <c r="T96" s="2153"/>
      <c r="U96" s="2153"/>
      <c r="V96" s="2168"/>
      <c r="W96" s="2169"/>
      <c r="X96" s="2169"/>
      <c r="Y96" s="2169"/>
      <c r="Z96" s="2169"/>
      <c r="AA96" s="2169"/>
      <c r="AB96" s="1125"/>
      <c r="AC96" s="2049"/>
    </row>
    <row r="97" spans="3:25" s="188" customFormat="1" ht="13.5" hidden="1" customHeight="1">
      <c r="C97" s="2078" t="str">
        <f>S97</f>
        <v>Supplier</v>
      </c>
      <c r="D97" s="2041" t="str">
        <f>T97</f>
        <v>Internal or External Wall?</v>
      </c>
      <c r="E97" s="2041" t="str">
        <f>U97</f>
        <v>QuickBrace©  System Number</v>
      </c>
      <c r="F97" s="2154" t="s">
        <v>732</v>
      </c>
      <c r="G97" s="2155"/>
      <c r="H97" s="2156"/>
      <c r="I97" s="1862" t="s">
        <v>974</v>
      </c>
      <c r="J97" s="1632"/>
      <c r="K97" s="2157" t="s">
        <v>541</v>
      </c>
      <c r="L97" s="666"/>
      <c r="M97" s="2022" t="str">
        <f>IF($W$2=1,V97,#REF!)</f>
        <v xml:space="preserve">Elephant Plasterboard       </v>
      </c>
      <c r="N97" s="506"/>
      <c r="O97" s="2041" t="s">
        <v>272</v>
      </c>
      <c r="P97" s="506"/>
      <c r="Q97" s="2041" t="s">
        <v>272</v>
      </c>
      <c r="S97" s="2078" t="s">
        <v>49</v>
      </c>
      <c r="T97" s="2041" t="s">
        <v>747</v>
      </c>
      <c r="U97" s="2041" t="s">
        <v>726</v>
      </c>
      <c r="V97" s="2068" t="s">
        <v>752</v>
      </c>
      <c r="W97" s="2071" t="s">
        <v>609</v>
      </c>
      <c r="X97" s="2072"/>
      <c r="Y97" s="2052" t="s">
        <v>645</v>
      </c>
    </row>
    <row r="98" spans="3:25" s="188" customFormat="1" ht="13.5" hidden="1" customHeight="1">
      <c r="C98" s="2079"/>
      <c r="D98" s="2042"/>
      <c r="E98" s="2042"/>
      <c r="F98" s="2117"/>
      <c r="G98" s="2118"/>
      <c r="H98" s="2119"/>
      <c r="I98" s="1863"/>
      <c r="J98" s="429"/>
      <c r="K98" s="2158"/>
      <c r="L98" s="666"/>
      <c r="M98" s="2023"/>
      <c r="N98" s="506"/>
      <c r="O98" s="2042"/>
      <c r="P98" s="506"/>
      <c r="Q98" s="2042"/>
      <c r="S98" s="2079"/>
      <c r="T98" s="2042"/>
      <c r="U98" s="2042"/>
      <c r="V98" s="2069"/>
      <c r="W98" s="2073"/>
      <c r="X98" s="2074"/>
      <c r="Y98" s="2053"/>
    </row>
    <row r="99" spans="3:25" s="188" customFormat="1" ht="13.5" hidden="1" customHeight="1">
      <c r="C99" s="2079"/>
      <c r="D99" s="2042"/>
      <c r="E99" s="2042"/>
      <c r="F99" s="2042" t="s">
        <v>411</v>
      </c>
      <c r="G99" s="2120" t="s">
        <v>270</v>
      </c>
      <c r="H99" s="2120" t="s">
        <v>271</v>
      </c>
      <c r="I99" s="1863"/>
      <c r="J99" s="429"/>
      <c r="K99" s="2158"/>
      <c r="L99" s="666"/>
      <c r="M99" s="2023"/>
      <c r="N99" s="506"/>
      <c r="O99" s="2042"/>
      <c r="P99" s="506"/>
      <c r="Q99" s="2042"/>
      <c r="S99" s="2079"/>
      <c r="T99" s="2042"/>
      <c r="U99" s="2042"/>
      <c r="V99" s="2069"/>
      <c r="W99" s="2073"/>
      <c r="X99" s="2074"/>
      <c r="Y99" s="2053"/>
    </row>
    <row r="100" spans="3:25" s="188" customFormat="1" ht="13.5" hidden="1" customHeight="1" thickBot="1">
      <c r="C100" s="2079"/>
      <c r="D100" s="2042"/>
      <c r="E100" s="2042"/>
      <c r="F100" s="2042"/>
      <c r="G100" s="2120"/>
      <c r="H100" s="2120"/>
      <c r="I100" s="2160"/>
      <c r="J100" s="1613"/>
      <c r="K100" s="2159"/>
      <c r="L100" s="666"/>
      <c r="M100" s="2023"/>
      <c r="N100" s="506"/>
      <c r="O100" s="2042"/>
      <c r="P100" s="506"/>
      <c r="Q100" s="2042"/>
      <c r="S100" s="2079"/>
      <c r="T100" s="2042"/>
      <c r="U100" s="2042"/>
      <c r="V100" s="2070"/>
      <c r="W100" s="2075"/>
      <c r="X100" s="2076"/>
      <c r="Y100" s="2054"/>
    </row>
    <row r="101" spans="3:25" s="188" customFormat="1" ht="15.95" hidden="1" customHeight="1" thickBot="1">
      <c r="C101" s="2138" t="str">
        <f>IF($W$2=1,S101,#REF!)</f>
        <v xml:space="preserve">Elephant Plasterboard ®  (EPB)  </v>
      </c>
      <c r="D101" s="2093" t="str">
        <f>T101</f>
        <v xml:space="preserve"> Internal or External</v>
      </c>
      <c r="E101" s="1557" t="str">
        <f>U101</f>
        <v>Plasterboard on One Side</v>
      </c>
      <c r="F101" s="1557"/>
      <c r="G101" s="1557"/>
      <c r="H101" s="1557"/>
      <c r="I101" s="1557"/>
      <c r="J101" s="1557"/>
      <c r="K101" s="1558"/>
      <c r="L101" s="667"/>
      <c r="M101" s="673"/>
      <c r="N101" s="506"/>
      <c r="O101" s="1557"/>
      <c r="P101" s="506"/>
      <c r="Q101" s="1557"/>
      <c r="S101" s="2138" t="s">
        <v>725</v>
      </c>
      <c r="T101" s="2093" t="s">
        <v>614</v>
      </c>
      <c r="U101" s="2089" t="s">
        <v>611</v>
      </c>
      <c r="V101" s="2089"/>
      <c r="W101" s="1126"/>
      <c r="X101" s="1126"/>
      <c r="Y101" s="1126"/>
    </row>
    <row r="102" spans="3:25" s="188" customFormat="1" ht="15.95" hidden="1" customHeight="1">
      <c r="C102" s="2139"/>
      <c r="D102" s="2094"/>
      <c r="E102" s="2106" t="str">
        <f>U102</f>
        <v>ER1</v>
      </c>
      <c r="F102" s="1127">
        <v>0.4</v>
      </c>
      <c r="G102" s="1128">
        <f>Table!K25</f>
        <v>40</v>
      </c>
      <c r="H102" s="1128">
        <f>Table!L25</f>
        <v>30</v>
      </c>
      <c r="I102" s="2143" t="s">
        <v>972</v>
      </c>
      <c r="J102" s="1633"/>
      <c r="K102" s="2109" t="s">
        <v>305</v>
      </c>
      <c r="L102" s="668"/>
      <c r="M102" s="2090" t="str">
        <f>IF($W$2=1,V102,#REF!)</f>
        <v xml:space="preserve">Elephant Standard One side </v>
      </c>
      <c r="N102" s="506"/>
      <c r="O102" s="1129" t="s">
        <v>231</v>
      </c>
      <c r="P102" s="506"/>
      <c r="Q102" s="1129" t="s">
        <v>231</v>
      </c>
      <c r="S102" s="2139"/>
      <c r="T102" s="2094"/>
      <c r="U102" s="2087" t="str">
        <f>U25</f>
        <v>ER1</v>
      </c>
      <c r="V102" s="2081" t="s">
        <v>1010</v>
      </c>
      <c r="W102" s="2083" t="s">
        <v>652</v>
      </c>
      <c r="X102" s="2085"/>
      <c r="Y102" s="2096">
        <v>1</v>
      </c>
    </row>
    <row r="103" spans="3:25" s="188" customFormat="1" ht="15.95" hidden="1" customHeight="1">
      <c r="C103" s="2139"/>
      <c r="D103" s="2094"/>
      <c r="E103" s="2107"/>
      <c r="F103" s="1130">
        <v>0.8</v>
      </c>
      <c r="G103" s="1131">
        <f>Table!K27</f>
        <v>40</v>
      </c>
      <c r="H103" s="1131">
        <f>Table!L27</f>
        <v>30</v>
      </c>
      <c r="I103" s="1863"/>
      <c r="J103" s="429"/>
      <c r="K103" s="2110"/>
      <c r="L103" s="668"/>
      <c r="M103" s="2090"/>
      <c r="N103" s="506"/>
      <c r="O103" s="664" t="s">
        <v>231</v>
      </c>
      <c r="P103" s="506"/>
      <c r="Q103" s="664" t="s">
        <v>231</v>
      </c>
      <c r="S103" s="2139"/>
      <c r="T103" s="2094"/>
      <c r="U103" s="2088"/>
      <c r="V103" s="2082"/>
      <c r="W103" s="2084"/>
      <c r="X103" s="2086"/>
      <c r="Y103" s="2097"/>
    </row>
    <row r="104" spans="3:25" s="188" customFormat="1" ht="15.95" hidden="1" customHeight="1" thickBot="1">
      <c r="C104" s="2139"/>
      <c r="D104" s="2094"/>
      <c r="E104" s="2113"/>
      <c r="F104" s="1132">
        <v>1.2</v>
      </c>
      <c r="G104" s="1133">
        <f>Table!K29</f>
        <v>40</v>
      </c>
      <c r="H104" s="1133">
        <f>Table!L29</f>
        <v>30</v>
      </c>
      <c r="I104" s="2144"/>
      <c r="J104" s="1634"/>
      <c r="K104" s="2111"/>
      <c r="L104" s="668"/>
      <c r="M104" s="2091"/>
      <c r="N104" s="506"/>
      <c r="O104" s="664" t="s">
        <v>231</v>
      </c>
      <c r="P104" s="506"/>
      <c r="Q104" s="664" t="s">
        <v>231</v>
      </c>
      <c r="S104" s="2139"/>
      <c r="T104" s="2094"/>
      <c r="U104" s="2088"/>
      <c r="V104" s="2082"/>
      <c r="W104" s="2084"/>
      <c r="X104" s="2086"/>
      <c r="Y104" s="2098"/>
    </row>
    <row r="105" spans="3:25" s="188" customFormat="1" ht="14.1" hidden="1" customHeight="1">
      <c r="C105" s="2139"/>
      <c r="D105" s="2094"/>
      <c r="E105" s="2106" t="str">
        <f>U105</f>
        <v>ES-N</v>
      </c>
      <c r="F105" s="1127">
        <v>0.4</v>
      </c>
      <c r="G105" s="1128">
        <f>Table!E25</f>
        <v>66</v>
      </c>
      <c r="H105" s="1128">
        <f>Table!F25</f>
        <v>61</v>
      </c>
      <c r="I105" s="2143" t="s">
        <v>973</v>
      </c>
      <c r="J105" s="1633"/>
      <c r="K105" s="2109" t="s">
        <v>305</v>
      </c>
      <c r="L105" s="668"/>
      <c r="M105" s="2090" t="str">
        <f>IF($W$2=1,V105,#REF!)</f>
        <v xml:space="preserve">Elephant Standard One side </v>
      </c>
      <c r="N105" s="506"/>
      <c r="O105" s="1129" t="s">
        <v>231</v>
      </c>
      <c r="P105" s="506"/>
      <c r="Q105" s="1129" t="s">
        <v>231</v>
      </c>
      <c r="S105" s="2139"/>
      <c r="T105" s="2094"/>
      <c r="U105" s="2087" t="str">
        <f>U28</f>
        <v>ES-N</v>
      </c>
      <c r="V105" s="2081" t="s">
        <v>1010</v>
      </c>
      <c r="W105" s="2083" t="s">
        <v>652</v>
      </c>
      <c r="X105" s="2085" t="s">
        <v>478</v>
      </c>
      <c r="Y105" s="2096">
        <v>1</v>
      </c>
    </row>
    <row r="106" spans="3:25" s="188" customFormat="1" ht="14.1" hidden="1" customHeight="1">
      <c r="C106" s="2139"/>
      <c r="D106" s="2094"/>
      <c r="E106" s="2107"/>
      <c r="F106" s="1130">
        <v>1.2</v>
      </c>
      <c r="G106" s="1131">
        <f>Table!E28</f>
        <v>72</v>
      </c>
      <c r="H106" s="1131">
        <f>Table!F28</f>
        <v>64</v>
      </c>
      <c r="I106" s="1863"/>
      <c r="J106" s="429"/>
      <c r="K106" s="2110"/>
      <c r="L106" s="668"/>
      <c r="M106" s="2090"/>
      <c r="N106" s="506"/>
      <c r="O106" s="664" t="s">
        <v>231</v>
      </c>
      <c r="P106" s="506"/>
      <c r="Q106" s="664" t="s">
        <v>231</v>
      </c>
      <c r="S106" s="2139"/>
      <c r="T106" s="2094"/>
      <c r="U106" s="2088"/>
      <c r="V106" s="2082"/>
      <c r="W106" s="2084"/>
      <c r="X106" s="2086"/>
      <c r="Y106" s="2097"/>
    </row>
    <row r="107" spans="3:25" s="188" customFormat="1" ht="14.1" hidden="1" customHeight="1">
      <c r="C107" s="2139"/>
      <c r="D107" s="2094"/>
      <c r="E107" s="2113"/>
      <c r="F107" s="1132">
        <v>1.8</v>
      </c>
      <c r="G107" s="1133">
        <f>Table!E29</f>
        <v>83</v>
      </c>
      <c r="H107" s="1133">
        <f>Table!F29</f>
        <v>64</v>
      </c>
      <c r="I107" s="1863"/>
      <c r="J107" s="429"/>
      <c r="K107" s="2111"/>
      <c r="L107" s="668"/>
      <c r="M107" s="2091"/>
      <c r="N107" s="506"/>
      <c r="O107" s="664" t="s">
        <v>231</v>
      </c>
      <c r="P107" s="506"/>
      <c r="Q107" s="664" t="s">
        <v>231</v>
      </c>
      <c r="S107" s="2139"/>
      <c r="T107" s="2094"/>
      <c r="U107" s="2088"/>
      <c r="V107" s="2082"/>
      <c r="W107" s="2084"/>
      <c r="X107" s="2086"/>
      <c r="Y107" s="2098"/>
    </row>
    <row r="108" spans="3:25" s="188" customFormat="1" ht="14.1" hidden="1" customHeight="1">
      <c r="C108" s="2139"/>
      <c r="D108" s="2094"/>
      <c r="E108" s="2106" t="str">
        <f>U108</f>
        <v>ES-H</v>
      </c>
      <c r="F108" s="1134">
        <v>0.4</v>
      </c>
      <c r="G108" s="1135">
        <f>Table!Q25</f>
        <v>75</v>
      </c>
      <c r="H108" s="1135">
        <f>Table!R25</f>
        <v>75</v>
      </c>
      <c r="I108" s="1863"/>
      <c r="J108" s="429"/>
      <c r="K108" s="2110" t="s">
        <v>307</v>
      </c>
      <c r="L108" s="668"/>
      <c r="M108" s="2090" t="str">
        <f>IF($W$2=1,V108,#REF!)</f>
        <v>Elephant Standard  one side</v>
      </c>
      <c r="N108" s="506"/>
      <c r="O108" s="664" t="s">
        <v>231</v>
      </c>
      <c r="P108" s="506"/>
      <c r="Q108" s="664" t="s">
        <v>231</v>
      </c>
      <c r="S108" s="2139"/>
      <c r="T108" s="2094"/>
      <c r="U108" s="2088" t="str">
        <f>U31</f>
        <v>ES-H</v>
      </c>
      <c r="V108" s="2082" t="s">
        <v>982</v>
      </c>
      <c r="W108" s="2084" t="str">
        <f>W118</f>
        <v>as per</v>
      </c>
      <c r="X108" s="2086" t="s">
        <v>646</v>
      </c>
      <c r="Y108" s="2165">
        <v>3</v>
      </c>
    </row>
    <row r="109" spans="3:25" s="188" customFormat="1" ht="14.1" hidden="1" customHeight="1">
      <c r="C109" s="2139"/>
      <c r="D109" s="2094"/>
      <c r="E109" s="2107"/>
      <c r="F109" s="1130">
        <v>0.8</v>
      </c>
      <c r="G109" s="1131">
        <f>Table!Q27</f>
        <v>95</v>
      </c>
      <c r="H109" s="1131">
        <f>Table!R27</f>
        <v>83</v>
      </c>
      <c r="I109" s="1863"/>
      <c r="J109" s="429"/>
      <c r="K109" s="2110"/>
      <c r="L109" s="668"/>
      <c r="M109" s="2090"/>
      <c r="N109" s="506"/>
      <c r="O109" s="664" t="s">
        <v>231</v>
      </c>
      <c r="P109" s="506"/>
      <c r="Q109" s="664" t="s">
        <v>231</v>
      </c>
      <c r="S109" s="2139"/>
      <c r="T109" s="2094"/>
      <c r="U109" s="2088"/>
      <c r="V109" s="2082"/>
      <c r="W109" s="2084"/>
      <c r="X109" s="2086"/>
      <c r="Y109" s="2104"/>
    </row>
    <row r="110" spans="3:25" s="188" customFormat="1" ht="14.1" hidden="1" customHeight="1">
      <c r="C110" s="2139"/>
      <c r="D110" s="2094"/>
      <c r="E110" s="2113"/>
      <c r="F110" s="1132">
        <v>1.8</v>
      </c>
      <c r="G110" s="1133">
        <f>Table!Q29</f>
        <v>110</v>
      </c>
      <c r="H110" s="1133">
        <f>Table!R29</f>
        <v>84</v>
      </c>
      <c r="I110" s="1863"/>
      <c r="J110" s="429"/>
      <c r="K110" s="2110"/>
      <c r="L110" s="668"/>
      <c r="M110" s="2091"/>
      <c r="N110" s="506"/>
      <c r="O110" s="664" t="s">
        <v>231</v>
      </c>
      <c r="P110" s="506"/>
      <c r="Q110" s="664" t="s">
        <v>231</v>
      </c>
      <c r="S110" s="2139"/>
      <c r="T110" s="2094"/>
      <c r="U110" s="2088"/>
      <c r="V110" s="2082"/>
      <c r="W110" s="2084"/>
      <c r="X110" s="2086"/>
      <c r="Y110" s="2105"/>
    </row>
    <row r="111" spans="3:25" s="188" customFormat="1" ht="14.1" hidden="1" customHeight="1">
      <c r="C111" s="2139"/>
      <c r="D111" s="2094"/>
      <c r="E111" s="2106" t="str">
        <f>U111</f>
        <v>EM-H</v>
      </c>
      <c r="F111" s="1134">
        <v>0.4</v>
      </c>
      <c r="G111" s="1135">
        <f>Table!AC25</f>
        <v>98</v>
      </c>
      <c r="H111" s="1135">
        <f>Table!AD25</f>
        <v>100</v>
      </c>
      <c r="I111" s="1863"/>
      <c r="J111" s="429"/>
      <c r="K111" s="2110"/>
      <c r="L111" s="668"/>
      <c r="M111" s="2090" t="str">
        <f>IF($W$2=1,$V111,#REF!)</f>
        <v>Elephant Multiboard One side</v>
      </c>
      <c r="N111" s="506"/>
      <c r="O111" s="664" t="s">
        <v>231</v>
      </c>
      <c r="P111" s="506"/>
      <c r="Q111" s="664" t="s">
        <v>231</v>
      </c>
      <c r="S111" s="2139"/>
      <c r="T111" s="2094"/>
      <c r="U111" s="2088" t="str">
        <f>U34</f>
        <v>EM-H</v>
      </c>
      <c r="V111" s="2082" t="s">
        <v>1011</v>
      </c>
      <c r="W111" s="2084" t="str">
        <f>W131</f>
        <v>as per</v>
      </c>
      <c r="X111" s="2086" t="s">
        <v>647</v>
      </c>
      <c r="Y111" s="2104">
        <v>3</v>
      </c>
    </row>
    <row r="112" spans="3:25" s="188" customFormat="1" ht="14.1" hidden="1" customHeight="1">
      <c r="C112" s="2139"/>
      <c r="D112" s="2094"/>
      <c r="E112" s="2107"/>
      <c r="F112" s="1130">
        <v>0.8</v>
      </c>
      <c r="G112" s="1131">
        <f>Table!AC27</f>
        <v>120</v>
      </c>
      <c r="H112" s="1131">
        <f>Table!AD27</f>
        <v>109</v>
      </c>
      <c r="I112" s="1863"/>
      <c r="J112" s="429"/>
      <c r="K112" s="2110"/>
      <c r="L112" s="668"/>
      <c r="M112" s="2090"/>
      <c r="N112" s="506"/>
      <c r="O112" s="664" t="s">
        <v>231</v>
      </c>
      <c r="P112" s="506"/>
      <c r="Q112" s="664" t="s">
        <v>231</v>
      </c>
      <c r="S112" s="2139"/>
      <c r="T112" s="2094"/>
      <c r="U112" s="2088"/>
      <c r="V112" s="2082"/>
      <c r="W112" s="2084"/>
      <c r="X112" s="2086"/>
      <c r="Y112" s="2104"/>
    </row>
    <row r="113" spans="3:25" s="188" customFormat="1" ht="14.1" hidden="1" customHeight="1" thickBot="1">
      <c r="C113" s="2139"/>
      <c r="D113" s="2094"/>
      <c r="E113" s="2113"/>
      <c r="F113" s="1132">
        <v>1.2</v>
      </c>
      <c r="G113" s="1133">
        <f>Table!AC29</f>
        <v>140</v>
      </c>
      <c r="H113" s="1133">
        <f>Table!AD29</f>
        <v>115</v>
      </c>
      <c r="I113" s="2144"/>
      <c r="J113" s="1634"/>
      <c r="K113" s="2111"/>
      <c r="L113" s="668"/>
      <c r="M113" s="2092"/>
      <c r="N113" s="506"/>
      <c r="O113" s="1136" t="s">
        <v>231</v>
      </c>
      <c r="P113" s="506"/>
      <c r="Q113" s="1136" t="s">
        <v>231</v>
      </c>
      <c r="S113" s="2139"/>
      <c r="T113" s="2095"/>
      <c r="U113" s="2099"/>
      <c r="V113" s="2100"/>
      <c r="W113" s="2101"/>
      <c r="X113" s="2102"/>
      <c r="Y113" s="2105"/>
    </row>
    <row r="114" spans="3:25" s="188" customFormat="1" ht="15.95" hidden="1" customHeight="1" thickBot="1">
      <c r="C114" s="2139"/>
      <c r="D114" s="2094" t="str">
        <f>T114</f>
        <v>Internal</v>
      </c>
      <c r="E114" s="1559" t="str">
        <f>U114</f>
        <v>Plasterboard on Both Sides</v>
      </c>
      <c r="F114" s="1559"/>
      <c r="G114" s="1559"/>
      <c r="H114" s="1559"/>
      <c r="I114" s="1559"/>
      <c r="J114" s="1635"/>
      <c r="K114" s="1560"/>
      <c r="L114" s="667"/>
      <c r="M114" s="1137"/>
      <c r="N114" s="506"/>
      <c r="O114" s="1559"/>
      <c r="P114" s="506"/>
      <c r="Q114" s="1559"/>
      <c r="S114" s="2139"/>
      <c r="T114" s="2093" t="s">
        <v>318</v>
      </c>
      <c r="U114" s="2089" t="s">
        <v>612</v>
      </c>
      <c r="V114" s="2089"/>
      <c r="W114" s="1126"/>
      <c r="X114" s="1138"/>
      <c r="Y114" s="1139"/>
    </row>
    <row r="115" spans="3:25" s="188" customFormat="1" ht="15.95" hidden="1" customHeight="1">
      <c r="C115" s="2139"/>
      <c r="D115" s="2094"/>
      <c r="E115" s="2106" t="str">
        <f>U115</f>
        <v>ER2</v>
      </c>
      <c r="F115" s="1127">
        <v>0.4</v>
      </c>
      <c r="G115" s="1128">
        <f>Table!K31</f>
        <v>56</v>
      </c>
      <c r="H115" s="1128">
        <f>Table!L31</f>
        <v>51</v>
      </c>
      <c r="I115" s="2143" t="s">
        <v>972</v>
      </c>
      <c r="J115" s="1633"/>
      <c r="K115" s="2109" t="s">
        <v>305</v>
      </c>
      <c r="L115" s="668"/>
      <c r="M115" s="2112" t="str">
        <f>IF($W$2=1,V115,#REF!)</f>
        <v xml:space="preserve">Elephant Standard  Both sides </v>
      </c>
      <c r="N115" s="506"/>
      <c r="O115" s="1129" t="s">
        <v>231</v>
      </c>
      <c r="P115" s="506"/>
      <c r="Q115" s="1129" t="s">
        <v>231</v>
      </c>
      <c r="S115" s="2139"/>
      <c r="T115" s="2094"/>
      <c r="U115" s="2087" t="str">
        <f>U38</f>
        <v>ER2</v>
      </c>
      <c r="V115" s="2081" t="s">
        <v>1012</v>
      </c>
      <c r="W115" s="2083" t="str">
        <f>W102</f>
        <v>as per</v>
      </c>
      <c r="X115" s="2085"/>
      <c r="Y115" s="2103">
        <v>1</v>
      </c>
    </row>
    <row r="116" spans="3:25" s="188" customFormat="1" ht="15.95" hidden="1" customHeight="1">
      <c r="C116" s="2139"/>
      <c r="D116" s="2094"/>
      <c r="E116" s="2107"/>
      <c r="F116" s="1130">
        <v>0.8</v>
      </c>
      <c r="G116" s="1131">
        <f>Table!K33</f>
        <v>58</v>
      </c>
      <c r="H116" s="1131">
        <f>Table!L33</f>
        <v>53</v>
      </c>
      <c r="I116" s="1863"/>
      <c r="J116" s="429"/>
      <c r="K116" s="2110"/>
      <c r="L116" s="668"/>
      <c r="M116" s="2090"/>
      <c r="N116" s="506"/>
      <c r="O116" s="664" t="s">
        <v>231</v>
      </c>
      <c r="P116" s="506"/>
      <c r="Q116" s="664" t="s">
        <v>231</v>
      </c>
      <c r="S116" s="2139"/>
      <c r="T116" s="2094"/>
      <c r="U116" s="2088"/>
      <c r="V116" s="2082"/>
      <c r="W116" s="2084"/>
      <c r="X116" s="2086"/>
      <c r="Y116" s="2104"/>
    </row>
    <row r="117" spans="3:25" s="188" customFormat="1" ht="15.95" hidden="1" customHeight="1" thickBot="1">
      <c r="C117" s="2139"/>
      <c r="D117" s="2094"/>
      <c r="E117" s="2113"/>
      <c r="F117" s="1132">
        <v>1.2</v>
      </c>
      <c r="G117" s="1133">
        <f>Table!K35</f>
        <v>60</v>
      </c>
      <c r="H117" s="1133">
        <f>Table!L35</f>
        <v>55</v>
      </c>
      <c r="I117" s="2144"/>
      <c r="J117" s="1634"/>
      <c r="K117" s="2111"/>
      <c r="L117" s="668"/>
      <c r="M117" s="2091"/>
      <c r="N117" s="506"/>
      <c r="O117" s="664" t="s">
        <v>231</v>
      </c>
      <c r="P117" s="506"/>
      <c r="Q117" s="664" t="s">
        <v>231</v>
      </c>
      <c r="S117" s="2139"/>
      <c r="T117" s="2094"/>
      <c r="U117" s="2088"/>
      <c r="V117" s="2082"/>
      <c r="W117" s="2084"/>
      <c r="X117" s="2086"/>
      <c r="Y117" s="2105"/>
    </row>
    <row r="118" spans="3:25" s="188" customFormat="1" ht="14.1" hidden="1" customHeight="1">
      <c r="C118" s="2139"/>
      <c r="D118" s="2094"/>
      <c r="E118" s="2106" t="str">
        <f>U118</f>
        <v>ESSN</v>
      </c>
      <c r="F118" s="1127">
        <v>0.4</v>
      </c>
      <c r="G118" s="1128">
        <f>Table!E31</f>
        <v>79</v>
      </c>
      <c r="H118" s="1128">
        <f>Table!F31</f>
        <v>74</v>
      </c>
      <c r="I118" s="2143" t="s">
        <v>973</v>
      </c>
      <c r="J118" s="1633"/>
      <c r="K118" s="2109" t="s">
        <v>305</v>
      </c>
      <c r="L118" s="668"/>
      <c r="M118" s="2112" t="str">
        <f>IF($W$2=1,V118,#REF!)</f>
        <v xml:space="preserve">Elephant Standard  Both sides </v>
      </c>
      <c r="N118" s="506"/>
      <c r="O118" s="1129" t="s">
        <v>231</v>
      </c>
      <c r="P118" s="506"/>
      <c r="Q118" s="1129" t="s">
        <v>231</v>
      </c>
      <c r="S118" s="2139"/>
      <c r="T118" s="2094"/>
      <c r="U118" s="2087" t="str">
        <f>U41</f>
        <v>ESSN</v>
      </c>
      <c r="V118" s="2081" t="s">
        <v>1012</v>
      </c>
      <c r="W118" s="2083" t="str">
        <f>W105</f>
        <v>as per</v>
      </c>
      <c r="X118" s="2085" t="s">
        <v>479</v>
      </c>
      <c r="Y118" s="2103">
        <v>1</v>
      </c>
    </row>
    <row r="119" spans="3:25" s="188" customFormat="1" ht="14.1" hidden="1" customHeight="1">
      <c r="C119" s="2139"/>
      <c r="D119" s="2094"/>
      <c r="E119" s="2107"/>
      <c r="F119" s="1130">
        <v>0.8</v>
      </c>
      <c r="G119" s="1131">
        <f>Table!E33</f>
        <v>93</v>
      </c>
      <c r="H119" s="1131">
        <f>Table!F33</f>
        <v>83</v>
      </c>
      <c r="I119" s="1863"/>
      <c r="J119" s="429"/>
      <c r="K119" s="2110"/>
      <c r="L119" s="668"/>
      <c r="M119" s="2090"/>
      <c r="N119" s="506"/>
      <c r="O119" s="664" t="s">
        <v>231</v>
      </c>
      <c r="P119" s="506"/>
      <c r="Q119" s="664" t="s">
        <v>231</v>
      </c>
      <c r="S119" s="2139"/>
      <c r="T119" s="2094"/>
      <c r="U119" s="2088"/>
      <c r="V119" s="2082"/>
      <c r="W119" s="2084"/>
      <c r="X119" s="2086"/>
      <c r="Y119" s="2104"/>
    </row>
    <row r="120" spans="3:25" s="188" customFormat="1" ht="14.1" hidden="1" customHeight="1">
      <c r="C120" s="2139"/>
      <c r="D120" s="2094"/>
      <c r="E120" s="2113"/>
      <c r="F120" s="1132">
        <v>1.2</v>
      </c>
      <c r="G120" s="1133">
        <f>Table!E35</f>
        <v>98</v>
      </c>
      <c r="H120" s="1133">
        <f>Table!F35</f>
        <v>88</v>
      </c>
      <c r="I120" s="1863"/>
      <c r="J120" s="429"/>
      <c r="K120" s="2111"/>
      <c r="L120" s="668"/>
      <c r="M120" s="2091"/>
      <c r="N120" s="506"/>
      <c r="O120" s="664" t="s">
        <v>231</v>
      </c>
      <c r="P120" s="506"/>
      <c r="Q120" s="664" t="s">
        <v>231</v>
      </c>
      <c r="S120" s="2139"/>
      <c r="T120" s="2094"/>
      <c r="U120" s="2088"/>
      <c r="V120" s="2082"/>
      <c r="W120" s="2084"/>
      <c r="X120" s="2086"/>
      <c r="Y120" s="2105"/>
    </row>
    <row r="121" spans="3:25" s="188" customFormat="1" ht="14.1" hidden="1" customHeight="1">
      <c r="C121" s="2139"/>
      <c r="D121" s="2094"/>
      <c r="E121" s="2106" t="str">
        <f>U121</f>
        <v>ESSH</v>
      </c>
      <c r="F121" s="1134">
        <v>0.4</v>
      </c>
      <c r="G121" s="1135">
        <f>Table!Q31</f>
        <v>95</v>
      </c>
      <c r="H121" s="1135">
        <f>Table!R31</f>
        <v>109</v>
      </c>
      <c r="I121" s="1863"/>
      <c r="J121" s="429"/>
      <c r="K121" s="2110" t="s">
        <v>307</v>
      </c>
      <c r="L121" s="668"/>
      <c r="M121" s="2090" t="str">
        <f>IF($W$2=1,V121,#REF!)</f>
        <v>Elephant Standard  Both sides</v>
      </c>
      <c r="N121" s="506"/>
      <c r="O121" s="664" t="s">
        <v>231</v>
      </c>
      <c r="P121" s="506"/>
      <c r="Q121" s="664" t="s">
        <v>231</v>
      </c>
      <c r="S121" s="2139"/>
      <c r="T121" s="2094"/>
      <c r="U121" s="2088" t="str">
        <f>U44</f>
        <v>ESSH</v>
      </c>
      <c r="V121" s="2082" t="s">
        <v>1013</v>
      </c>
      <c r="W121" s="2084" t="str">
        <f>W108</f>
        <v>as per</v>
      </c>
      <c r="X121" s="2086" t="s">
        <v>648</v>
      </c>
      <c r="Y121" s="2165">
        <v>3</v>
      </c>
    </row>
    <row r="122" spans="3:25" s="188" customFormat="1" ht="14.1" hidden="1" customHeight="1">
      <c r="C122" s="2139"/>
      <c r="D122" s="2094"/>
      <c r="E122" s="2107"/>
      <c r="F122" s="1130">
        <v>0.8</v>
      </c>
      <c r="G122" s="1131">
        <f>Table!Q33</f>
        <v>135</v>
      </c>
      <c r="H122" s="1131">
        <f>Table!R33</f>
        <v>125</v>
      </c>
      <c r="I122" s="1863"/>
      <c r="J122" s="429"/>
      <c r="K122" s="2110"/>
      <c r="L122" s="668"/>
      <c r="M122" s="2090"/>
      <c r="N122" s="506"/>
      <c r="O122" s="664" t="s">
        <v>231</v>
      </c>
      <c r="P122" s="506"/>
      <c r="Q122" s="664" t="s">
        <v>231</v>
      </c>
      <c r="S122" s="2139"/>
      <c r="T122" s="2094"/>
      <c r="U122" s="2088"/>
      <c r="V122" s="2082"/>
      <c r="W122" s="2084"/>
      <c r="X122" s="2086"/>
      <c r="Y122" s="2104"/>
    </row>
    <row r="123" spans="3:25" s="188" customFormat="1" ht="14.1" hidden="1" customHeight="1">
      <c r="C123" s="2139"/>
      <c r="D123" s="2094"/>
      <c r="E123" s="2113"/>
      <c r="F123" s="1132">
        <v>1.2</v>
      </c>
      <c r="G123" s="1133">
        <v>150</v>
      </c>
      <c r="H123" s="1133">
        <f>Table!R35</f>
        <v>135</v>
      </c>
      <c r="I123" s="1863"/>
      <c r="J123" s="429"/>
      <c r="K123" s="2110"/>
      <c r="L123" s="668"/>
      <c r="M123" s="2091"/>
      <c r="N123" s="506"/>
      <c r="O123" s="664" t="s">
        <v>231</v>
      </c>
      <c r="P123" s="506"/>
      <c r="Q123" s="664" t="s">
        <v>231</v>
      </c>
      <c r="S123" s="2139"/>
      <c r="T123" s="2094"/>
      <c r="U123" s="2088"/>
      <c r="V123" s="2082"/>
      <c r="W123" s="2084"/>
      <c r="X123" s="2086"/>
      <c r="Y123" s="2105"/>
    </row>
    <row r="124" spans="3:25" s="188" customFormat="1" ht="14.1" hidden="1" customHeight="1">
      <c r="C124" s="2139"/>
      <c r="D124" s="2094"/>
      <c r="E124" s="2106" t="str">
        <f>U124</f>
        <v>EMSH</v>
      </c>
      <c r="F124" s="1134">
        <v>0.4</v>
      </c>
      <c r="G124" s="1135">
        <f>Table!AC31</f>
        <v>110</v>
      </c>
      <c r="H124" s="1135">
        <f>Table!AD31</f>
        <v>115</v>
      </c>
      <c r="I124" s="1863"/>
      <c r="J124" s="429"/>
      <c r="K124" s="2110"/>
      <c r="L124" s="668"/>
      <c r="M124" s="2112" t="str">
        <f>IF($W$2=1,V124,#REF!)</f>
        <v>Elephant Multiboard One side,           Elephant Standard  the Other</v>
      </c>
      <c r="N124" s="506"/>
      <c r="O124" s="664" t="s">
        <v>231</v>
      </c>
      <c r="P124" s="506"/>
      <c r="Q124" s="664" t="s">
        <v>231</v>
      </c>
      <c r="S124" s="2139"/>
      <c r="T124" s="2094"/>
      <c r="U124" s="2088" t="str">
        <f>U47</f>
        <v>EMSH</v>
      </c>
      <c r="V124" s="2082" t="s">
        <v>1014</v>
      </c>
      <c r="W124" s="2084" t="str">
        <f>W111</f>
        <v>as per</v>
      </c>
      <c r="X124" s="2086" t="s">
        <v>649</v>
      </c>
      <c r="Y124" s="2104">
        <v>3</v>
      </c>
    </row>
    <row r="125" spans="3:25" s="188" customFormat="1" ht="14.1" hidden="1" customHeight="1">
      <c r="C125" s="2139"/>
      <c r="D125" s="2094"/>
      <c r="E125" s="2107"/>
      <c r="F125" s="1130">
        <v>0.8</v>
      </c>
      <c r="G125" s="1131">
        <f>Table!AC33</f>
        <v>143</v>
      </c>
      <c r="H125" s="1131">
        <f>Table!AD33</f>
        <v>134</v>
      </c>
      <c r="I125" s="1863"/>
      <c r="J125" s="429"/>
      <c r="K125" s="2110"/>
      <c r="L125" s="668"/>
      <c r="M125" s="2090"/>
      <c r="N125" s="506"/>
      <c r="O125" s="664" t="s">
        <v>231</v>
      </c>
      <c r="P125" s="506"/>
      <c r="Q125" s="664" t="s">
        <v>231</v>
      </c>
      <c r="S125" s="2139"/>
      <c r="T125" s="2094"/>
      <c r="U125" s="2088"/>
      <c r="V125" s="2082"/>
      <c r="W125" s="2084"/>
      <c r="X125" s="2086"/>
      <c r="Y125" s="2104"/>
    </row>
    <row r="126" spans="3:25" s="188" customFormat="1" ht="14.1" hidden="1" customHeight="1" thickBot="1">
      <c r="C126" s="2139"/>
      <c r="D126" s="2094"/>
      <c r="E126" s="2113"/>
      <c r="F126" s="1132">
        <v>1.2</v>
      </c>
      <c r="G126" s="1133">
        <v>150</v>
      </c>
      <c r="H126" s="1133">
        <f>Table!AD35</f>
        <v>148</v>
      </c>
      <c r="I126" s="2144"/>
      <c r="J126" s="1634"/>
      <c r="K126" s="2111"/>
      <c r="L126" s="668"/>
      <c r="M126" s="2092"/>
      <c r="N126" s="506"/>
      <c r="O126" s="1136" t="s">
        <v>231</v>
      </c>
      <c r="P126" s="506"/>
      <c r="Q126" s="1136" t="s">
        <v>231</v>
      </c>
      <c r="S126" s="2139"/>
      <c r="T126" s="2095"/>
      <c r="U126" s="2099"/>
      <c r="V126" s="2100"/>
      <c r="W126" s="2101"/>
      <c r="X126" s="2102"/>
      <c r="Y126" s="2105"/>
    </row>
    <row r="127" spans="3:25" s="188" customFormat="1" ht="15.95" hidden="1" customHeight="1" thickBot="1">
      <c r="C127" s="2139"/>
      <c r="D127" s="2094" t="str">
        <f>T127</f>
        <v>External</v>
      </c>
      <c r="E127" s="1561" t="str">
        <f>U127</f>
        <v>Plasterboard One Side, Plywood the Other</v>
      </c>
      <c r="F127" s="1561"/>
      <c r="G127" s="1561"/>
      <c r="H127" s="1561"/>
      <c r="I127" s="1561"/>
      <c r="J127" s="1636"/>
      <c r="K127" s="1561"/>
      <c r="L127" s="669"/>
      <c r="M127" s="1137"/>
      <c r="N127" s="506"/>
      <c r="O127" s="1561"/>
      <c r="P127" s="506"/>
      <c r="Q127" s="1561"/>
      <c r="S127" s="2139"/>
      <c r="T127" s="2093" t="s">
        <v>319</v>
      </c>
      <c r="U127" s="2162" t="s">
        <v>613</v>
      </c>
      <c r="V127" s="2162"/>
      <c r="W127" s="1140"/>
      <c r="X127" s="1141"/>
      <c r="Y127" s="1140"/>
    </row>
    <row r="128" spans="3:25" s="188" customFormat="1" ht="14.1" hidden="1" customHeight="1">
      <c r="C128" s="2139"/>
      <c r="D128" s="2094"/>
      <c r="E128" s="2147">
        <f>U128</f>
        <v>0</v>
      </c>
      <c r="F128" s="1127">
        <v>0.4</v>
      </c>
      <c r="G128" s="1128">
        <v>105</v>
      </c>
      <c r="H128" s="1128">
        <v>115</v>
      </c>
      <c r="I128" s="2143" t="s">
        <v>973</v>
      </c>
      <c r="J128" s="1633"/>
      <c r="K128" s="2109" t="s">
        <v>307</v>
      </c>
      <c r="L128" s="668"/>
      <c r="M128" s="2090" t="str">
        <f>IF($W$2=1,V128,#REF!)</f>
        <v>Elephant Standard One side,          Plywood the Other</v>
      </c>
      <c r="N128" s="506"/>
      <c r="O128" s="1129" t="s">
        <v>231</v>
      </c>
      <c r="P128" s="506"/>
      <c r="Q128" s="1129" t="s">
        <v>231</v>
      </c>
      <c r="S128" s="2139"/>
      <c r="T128" s="2094"/>
      <c r="U128" s="2087">
        <f>Table!AI129</f>
        <v>0</v>
      </c>
      <c r="V128" s="2081" t="s">
        <v>1015</v>
      </c>
      <c r="W128" s="2083" t="str">
        <f>W134</f>
        <v>as per</v>
      </c>
      <c r="X128" s="2085" t="s">
        <v>650</v>
      </c>
      <c r="Y128" s="2103">
        <v>3</v>
      </c>
    </row>
    <row r="129" spans="1:27" s="188" customFormat="1" ht="14.1" hidden="1" customHeight="1">
      <c r="C129" s="2139"/>
      <c r="D129" s="2094"/>
      <c r="E129" s="2148"/>
      <c r="F129" s="1130">
        <v>0.8</v>
      </c>
      <c r="G129" s="1131">
        <v>145</v>
      </c>
      <c r="H129" s="1131">
        <v>140</v>
      </c>
      <c r="I129" s="1863"/>
      <c r="J129" s="429"/>
      <c r="K129" s="2110"/>
      <c r="L129" s="668"/>
      <c r="M129" s="2090"/>
      <c r="N129" s="506"/>
      <c r="O129" s="664" t="s">
        <v>231</v>
      </c>
      <c r="P129" s="506"/>
      <c r="Q129" s="664" t="s">
        <v>231</v>
      </c>
      <c r="S129" s="2139"/>
      <c r="T129" s="2094"/>
      <c r="U129" s="2088"/>
      <c r="V129" s="2082"/>
      <c r="W129" s="2084"/>
      <c r="X129" s="2086"/>
      <c r="Y129" s="2104"/>
    </row>
    <row r="130" spans="1:27" s="188" customFormat="1" ht="14.1" hidden="1" customHeight="1">
      <c r="C130" s="2139"/>
      <c r="D130" s="2094"/>
      <c r="E130" s="2149"/>
      <c r="F130" s="1132">
        <v>1.2</v>
      </c>
      <c r="G130" s="1133">
        <v>150</v>
      </c>
      <c r="H130" s="1133">
        <v>150</v>
      </c>
      <c r="I130" s="1863"/>
      <c r="J130" s="429"/>
      <c r="K130" s="2110"/>
      <c r="L130" s="668"/>
      <c r="M130" s="2091"/>
      <c r="N130" s="506"/>
      <c r="O130" s="664" t="s">
        <v>231</v>
      </c>
      <c r="P130" s="506"/>
      <c r="Q130" s="664" t="s">
        <v>231</v>
      </c>
      <c r="S130" s="2139"/>
      <c r="T130" s="2094"/>
      <c r="U130" s="2088"/>
      <c r="V130" s="2082"/>
      <c r="W130" s="2084"/>
      <c r="X130" s="2086"/>
      <c r="Y130" s="2105"/>
    </row>
    <row r="131" spans="1:27" s="188" customFormat="1" ht="14.1" hidden="1" customHeight="1">
      <c r="C131" s="2139"/>
      <c r="D131" s="2094"/>
      <c r="E131" s="2106" t="str">
        <f>U131</f>
        <v>ESPH</v>
      </c>
      <c r="F131" s="1134">
        <v>0.4</v>
      </c>
      <c r="G131" s="1135">
        <f>Table!Q37</f>
        <v>102</v>
      </c>
      <c r="H131" s="1135">
        <f>Table!R37</f>
        <v>114</v>
      </c>
      <c r="I131" s="1863"/>
      <c r="J131" s="429"/>
      <c r="K131" s="2110" t="s">
        <v>307</v>
      </c>
      <c r="L131" s="668"/>
      <c r="M131" s="2112" t="str">
        <f>IF($W$2=1,V131,#REF!)</f>
        <v>Elephant Standard One side,         Plywood the Other</v>
      </c>
      <c r="N131" s="506"/>
      <c r="O131" s="664" t="s">
        <v>231</v>
      </c>
      <c r="P131" s="506"/>
      <c r="Q131" s="664" t="s">
        <v>231</v>
      </c>
      <c r="S131" s="2139"/>
      <c r="T131" s="2094"/>
      <c r="U131" s="2088" t="str">
        <f>U54</f>
        <v>ESPH</v>
      </c>
      <c r="V131" s="2082" t="s">
        <v>1016</v>
      </c>
      <c r="W131" s="2084" t="str">
        <f>W121</f>
        <v>as per</v>
      </c>
      <c r="X131" s="2086" t="s">
        <v>650</v>
      </c>
      <c r="Y131" s="2165">
        <v>3</v>
      </c>
    </row>
    <row r="132" spans="1:27" s="188" customFormat="1" ht="14.1" hidden="1" customHeight="1">
      <c r="C132" s="2139"/>
      <c r="D132" s="2094"/>
      <c r="E132" s="2107"/>
      <c r="F132" s="1130">
        <v>0.8</v>
      </c>
      <c r="G132" s="1131">
        <f>Table!Q39</f>
        <v>140</v>
      </c>
      <c r="H132" s="1131">
        <f>Table!R39</f>
        <v>140</v>
      </c>
      <c r="I132" s="1863"/>
      <c r="J132" s="429"/>
      <c r="K132" s="2110"/>
      <c r="L132" s="668"/>
      <c r="M132" s="2090"/>
      <c r="N132" s="506"/>
      <c r="O132" s="664" t="s">
        <v>231</v>
      </c>
      <c r="P132" s="506"/>
      <c r="Q132" s="664" t="s">
        <v>231</v>
      </c>
      <c r="S132" s="2139"/>
      <c r="T132" s="2094"/>
      <c r="U132" s="2088"/>
      <c r="V132" s="2082"/>
      <c r="W132" s="2084"/>
      <c r="X132" s="2086"/>
      <c r="Y132" s="2104"/>
    </row>
    <row r="133" spans="1:27" s="188" customFormat="1" ht="14.1" hidden="1" customHeight="1">
      <c r="C133" s="2139"/>
      <c r="D133" s="2094"/>
      <c r="E133" s="2113"/>
      <c r="F133" s="1132">
        <v>1.2</v>
      </c>
      <c r="G133" s="1133">
        <v>150</v>
      </c>
      <c r="H133" s="1133">
        <v>150</v>
      </c>
      <c r="I133" s="1863"/>
      <c r="J133" s="429"/>
      <c r="K133" s="2110"/>
      <c r="L133" s="668"/>
      <c r="M133" s="2091"/>
      <c r="N133" s="506"/>
      <c r="O133" s="664" t="s">
        <v>231</v>
      </c>
      <c r="P133" s="506"/>
      <c r="Q133" s="664" t="s">
        <v>231</v>
      </c>
      <c r="S133" s="2139"/>
      <c r="T133" s="2094"/>
      <c r="U133" s="2088"/>
      <c r="V133" s="2082"/>
      <c r="W133" s="2084"/>
      <c r="X133" s="2086"/>
      <c r="Y133" s="2105"/>
    </row>
    <row r="134" spans="1:27" s="188" customFormat="1" ht="14.1" hidden="1" customHeight="1">
      <c r="C134" s="2139"/>
      <c r="D134" s="2094"/>
      <c r="E134" s="2106" t="str">
        <f>U134</f>
        <v>EMPH</v>
      </c>
      <c r="F134" s="1134">
        <v>0.4</v>
      </c>
      <c r="G134" s="1135">
        <f>Table!AC37</f>
        <v>121</v>
      </c>
      <c r="H134" s="1135">
        <f>Table!AD37</f>
        <v>138</v>
      </c>
      <c r="I134" s="1863"/>
      <c r="J134" s="429"/>
      <c r="K134" s="2110"/>
      <c r="L134" s="668"/>
      <c r="M134" s="2090" t="str">
        <f>IF($W$2=1,V134,#REF!)</f>
        <v>Elephant Multiboard One side,               Plywood the Other</v>
      </c>
      <c r="N134" s="506"/>
      <c r="O134" s="664" t="s">
        <v>231</v>
      </c>
      <c r="P134" s="506"/>
      <c r="Q134" s="664" t="s">
        <v>231</v>
      </c>
      <c r="S134" s="2139"/>
      <c r="T134" s="2094"/>
      <c r="U134" s="2088" t="str">
        <f>U57</f>
        <v>EMPH</v>
      </c>
      <c r="V134" s="2082" t="s">
        <v>1017</v>
      </c>
      <c r="W134" s="2084" t="str">
        <f>W124</f>
        <v>as per</v>
      </c>
      <c r="X134" s="2086" t="s">
        <v>651</v>
      </c>
      <c r="Y134" s="2104">
        <v>3</v>
      </c>
    </row>
    <row r="135" spans="1:27" s="188" customFormat="1" ht="14.1" hidden="1" customHeight="1">
      <c r="C135" s="2139"/>
      <c r="D135" s="2094"/>
      <c r="E135" s="2107"/>
      <c r="F135" s="1130">
        <v>0.8</v>
      </c>
      <c r="G135" s="1131">
        <f>Table!AC39</f>
        <v>148</v>
      </c>
      <c r="H135" s="1131">
        <v>150</v>
      </c>
      <c r="I135" s="1863"/>
      <c r="J135" s="429"/>
      <c r="K135" s="2110"/>
      <c r="L135" s="668"/>
      <c r="M135" s="2090"/>
      <c r="N135" s="506"/>
      <c r="O135" s="664" t="s">
        <v>231</v>
      </c>
      <c r="P135" s="506"/>
      <c r="Q135" s="664" t="s">
        <v>231</v>
      </c>
      <c r="S135" s="2139"/>
      <c r="T135" s="2094"/>
      <c r="U135" s="2088"/>
      <c r="V135" s="2082"/>
      <c r="W135" s="2084"/>
      <c r="X135" s="2086"/>
      <c r="Y135" s="2104"/>
    </row>
    <row r="136" spans="1:27" s="188" customFormat="1" ht="14.1" hidden="1" customHeight="1" thickBot="1">
      <c r="C136" s="2140"/>
      <c r="D136" s="2095"/>
      <c r="E136" s="2108"/>
      <c r="F136" s="1142">
        <v>1.2</v>
      </c>
      <c r="G136" s="1143">
        <v>150</v>
      </c>
      <c r="H136" s="1143">
        <v>150</v>
      </c>
      <c r="I136" s="2160"/>
      <c r="J136" s="1613"/>
      <c r="K136" s="2161"/>
      <c r="L136" s="668"/>
      <c r="M136" s="2092"/>
      <c r="N136" s="506"/>
      <c r="O136" s="1144" t="s">
        <v>231</v>
      </c>
      <c r="P136" s="506"/>
      <c r="Q136" s="1144" t="s">
        <v>231</v>
      </c>
      <c r="S136" s="2140"/>
      <c r="T136" s="2095"/>
      <c r="U136" s="2099"/>
      <c r="V136" s="2100"/>
      <c r="W136" s="2101"/>
      <c r="X136" s="2102"/>
      <c r="Y136" s="2105"/>
    </row>
    <row r="137" spans="1:27" s="506" customFormat="1" hidden="1">
      <c r="A137" s="188"/>
      <c r="B137" s="188"/>
      <c r="C137" s="188"/>
      <c r="D137" s="188"/>
      <c r="R137" s="188"/>
      <c r="S137" s="188"/>
      <c r="T137" s="188"/>
      <c r="U137" s="188"/>
      <c r="V137" s="188"/>
      <c r="W137" s="188"/>
      <c r="X137" s="188"/>
      <c r="Y137" s="188"/>
      <c r="Z137" s="188"/>
      <c r="AA137" s="188"/>
    </row>
    <row r="138" spans="1:27" s="506" customFormat="1" hidden="1">
      <c r="A138" s="188"/>
      <c r="B138" s="188"/>
      <c r="C138" s="188"/>
      <c r="D138" s="188"/>
      <c r="R138" s="188"/>
      <c r="S138" s="188"/>
      <c r="T138" s="188"/>
      <c r="U138" s="188"/>
      <c r="V138" s="188"/>
      <c r="W138" s="188"/>
      <c r="X138" s="188"/>
      <c r="Y138" s="188"/>
      <c r="Z138" s="188"/>
      <c r="AA138" s="188"/>
    </row>
    <row r="139" spans="1:27" s="506" customFormat="1" hidden="1">
      <c r="A139" s="188"/>
      <c r="B139" s="188"/>
      <c r="C139" s="188"/>
      <c r="D139" s="188"/>
      <c r="R139" s="188"/>
      <c r="S139" s="188"/>
      <c r="T139" s="188"/>
      <c r="U139" s="188"/>
      <c r="V139" s="188"/>
      <c r="W139" s="188"/>
      <c r="X139" s="188"/>
      <c r="Y139" s="188"/>
      <c r="Z139" s="188"/>
      <c r="AA139" s="188"/>
    </row>
    <row r="140" spans="1:27" s="506" customFormat="1" hidden="1">
      <c r="A140" s="188"/>
      <c r="B140" s="188"/>
      <c r="C140" s="188"/>
      <c r="D140" s="188"/>
      <c r="R140" s="188"/>
      <c r="S140" s="188"/>
      <c r="T140" s="188"/>
      <c r="U140" s="188"/>
      <c r="V140" s="188"/>
      <c r="W140" s="188"/>
      <c r="X140" s="188"/>
      <c r="Y140" s="188"/>
      <c r="Z140" s="188"/>
      <c r="AA140" s="188"/>
    </row>
    <row r="141" spans="1:27" s="506" customFormat="1" ht="13.5" hidden="1" thickBot="1">
      <c r="A141" s="188"/>
      <c r="B141" s="188"/>
      <c r="C141" s="188"/>
      <c r="D141" s="188"/>
      <c r="R141" s="188"/>
      <c r="S141" s="188"/>
      <c r="T141" s="188"/>
      <c r="U141" s="188"/>
      <c r="V141" s="188"/>
      <c r="W141" s="188"/>
      <c r="X141" s="188"/>
      <c r="Y141" s="188"/>
      <c r="Z141" s="188"/>
      <c r="AA141" s="188"/>
    </row>
    <row r="142" spans="1:27" s="188" customFormat="1" ht="14.25" hidden="1" customHeight="1">
      <c r="C142" s="2150" t="s">
        <v>1079</v>
      </c>
      <c r="D142" s="2151"/>
      <c r="E142" s="2151"/>
      <c r="F142" s="1553" t="s">
        <v>484</v>
      </c>
      <c r="G142" s="1554"/>
      <c r="H142" s="1554"/>
      <c r="I142" s="1554"/>
      <c r="J142" s="1554"/>
      <c r="K142" s="1554"/>
      <c r="L142" s="1125"/>
      <c r="M142" s="2048" t="s">
        <v>748</v>
      </c>
      <c r="N142" s="506"/>
      <c r="O142" s="1554"/>
      <c r="P142" s="506"/>
      <c r="Q142" s="1554"/>
    </row>
    <row r="143" spans="1:27" s="188" customFormat="1" ht="15.75" hidden="1" customHeight="1" thickBot="1">
      <c r="C143" s="2163"/>
      <c r="D143" s="2164"/>
      <c r="E143" s="2164"/>
      <c r="F143" s="1555"/>
      <c r="G143" s="1556"/>
      <c r="H143" s="1556"/>
      <c r="I143" s="1556"/>
      <c r="J143" s="1556"/>
      <c r="K143" s="1556"/>
      <c r="L143" s="1125"/>
      <c r="M143" s="2049"/>
      <c r="N143" s="506"/>
      <c r="O143" s="1556"/>
      <c r="P143" s="506"/>
      <c r="Q143" s="1556"/>
    </row>
    <row r="144" spans="1:27" s="188" customFormat="1" ht="14.1" hidden="1" customHeight="1">
      <c r="C144" s="2078" t="str">
        <f>S144</f>
        <v>Supplier</v>
      </c>
      <c r="D144" s="2041" t="str">
        <f>T144</f>
        <v>Internal or External Wall?</v>
      </c>
      <c r="E144" s="2041" t="str">
        <f>U144</f>
        <v>QuickBrace©  System Number</v>
      </c>
      <c r="F144" s="2154" t="s">
        <v>732</v>
      </c>
      <c r="G144" s="2155"/>
      <c r="H144" s="2156"/>
      <c r="I144" s="1169"/>
      <c r="J144" s="1169"/>
      <c r="K144" s="2157" t="s">
        <v>541</v>
      </c>
      <c r="L144" s="666"/>
      <c r="M144" s="2022" t="str">
        <f>IF($W$2=1,V144,#REF!)</f>
        <v xml:space="preserve">Elephant Plasterboard       </v>
      </c>
      <c r="N144" s="506"/>
      <c r="O144" s="2041" t="s">
        <v>272</v>
      </c>
      <c r="P144" s="506"/>
      <c r="Q144" s="2041" t="s">
        <v>272</v>
      </c>
      <c r="S144" s="2078" t="s">
        <v>49</v>
      </c>
      <c r="T144" s="2041" t="s">
        <v>747</v>
      </c>
      <c r="U144" s="2041" t="s">
        <v>726</v>
      </c>
      <c r="V144" s="2068" t="s">
        <v>752</v>
      </c>
      <c r="W144" s="2071" t="s">
        <v>609</v>
      </c>
      <c r="X144" s="2072"/>
      <c r="Y144" s="2052" t="s">
        <v>645</v>
      </c>
    </row>
    <row r="145" spans="3:29" s="188" customFormat="1" ht="14.1" hidden="1" customHeight="1">
      <c r="C145" s="2079"/>
      <c r="D145" s="2042"/>
      <c r="E145" s="2042"/>
      <c r="F145" s="2117"/>
      <c r="G145" s="2118"/>
      <c r="H145" s="2119"/>
      <c r="I145" s="1170"/>
      <c r="J145" s="1170"/>
      <c r="K145" s="2158"/>
      <c r="L145" s="666"/>
      <c r="M145" s="2023"/>
      <c r="N145" s="506"/>
      <c r="O145" s="2042"/>
      <c r="P145" s="506"/>
      <c r="Q145" s="2042"/>
      <c r="S145" s="2079"/>
      <c r="T145" s="2042"/>
      <c r="U145" s="2042"/>
      <c r="V145" s="2069"/>
      <c r="W145" s="2073"/>
      <c r="X145" s="2074"/>
      <c r="Y145" s="2053"/>
    </row>
    <row r="146" spans="3:29" s="188" customFormat="1" ht="14.1" hidden="1" customHeight="1">
      <c r="C146" s="2079"/>
      <c r="D146" s="2042"/>
      <c r="E146" s="2042"/>
      <c r="F146" s="2042" t="s">
        <v>411</v>
      </c>
      <c r="G146" s="2120" t="s">
        <v>837</v>
      </c>
      <c r="H146" s="2120" t="s">
        <v>838</v>
      </c>
      <c r="I146" s="1170"/>
      <c r="J146" s="1170"/>
      <c r="K146" s="2158"/>
      <c r="L146" s="666"/>
      <c r="M146" s="2023"/>
      <c r="N146" s="506"/>
      <c r="O146" s="2042"/>
      <c r="P146" s="506"/>
      <c r="Q146" s="2042"/>
      <c r="S146" s="2079"/>
      <c r="T146" s="2042"/>
      <c r="U146" s="2042"/>
      <c r="V146" s="2069"/>
      <c r="W146" s="2073"/>
      <c r="X146" s="2074"/>
      <c r="Y146" s="2053"/>
    </row>
    <row r="147" spans="3:29" s="188" customFormat="1" ht="13.5" hidden="1" customHeight="1" thickBot="1">
      <c r="C147" s="2079"/>
      <c r="D147" s="2042"/>
      <c r="E147" s="2042"/>
      <c r="F147" s="2042"/>
      <c r="G147" s="2121"/>
      <c r="H147" s="2121"/>
      <c r="I147" s="1170"/>
      <c r="J147" s="1170"/>
      <c r="K147" s="2159"/>
      <c r="L147" s="666"/>
      <c r="M147" s="2023"/>
      <c r="N147" s="506"/>
      <c r="O147" s="2042"/>
      <c r="P147" s="506"/>
      <c r="Q147" s="2042"/>
      <c r="S147" s="2079"/>
      <c r="T147" s="2042"/>
      <c r="U147" s="2042"/>
      <c r="V147" s="2070"/>
      <c r="W147" s="2075"/>
      <c r="X147" s="2076"/>
      <c r="Y147" s="2054"/>
    </row>
    <row r="148" spans="3:29" s="188" customFormat="1" ht="13.5" hidden="1" customHeight="1" thickBot="1">
      <c r="C148" s="1392"/>
      <c r="D148" s="1392"/>
      <c r="E148" s="1557" t="str">
        <f>U148</f>
        <v>Plasterboard on One Side</v>
      </c>
      <c r="F148" s="1557"/>
      <c r="G148" s="1557"/>
      <c r="H148" s="1557"/>
      <c r="I148" s="1557"/>
      <c r="J148" s="1557"/>
      <c r="K148" s="1558"/>
      <c r="L148" s="667"/>
      <c r="M148" s="673"/>
      <c r="N148" s="506"/>
      <c r="O148" s="1557"/>
      <c r="P148" s="506"/>
      <c r="Q148" s="1557"/>
      <c r="S148" s="1392"/>
      <c r="T148" s="1392"/>
      <c r="U148" s="2089" t="s">
        <v>611</v>
      </c>
      <c r="V148" s="2089"/>
      <c r="W148" s="1126"/>
      <c r="X148" s="1126"/>
      <c r="Y148" s="1126"/>
    </row>
    <row r="149" spans="3:29" s="188" customFormat="1" ht="13.5" hidden="1" customHeight="1">
      <c r="C149" s="1392"/>
      <c r="D149" s="1392"/>
      <c r="E149" s="2106" t="str">
        <f>U149</f>
        <v>ER1</v>
      </c>
      <c r="F149" s="1127">
        <v>0.4</v>
      </c>
      <c r="G149" s="1145">
        <f t="shared" ref="G149:H151" si="5">G86/20</f>
        <v>2</v>
      </c>
      <c r="H149" s="1145">
        <f t="shared" si="5"/>
        <v>1.5</v>
      </c>
      <c r="I149" s="2143" t="s">
        <v>972</v>
      </c>
      <c r="J149" s="1633"/>
      <c r="K149" s="2109" t="s">
        <v>305</v>
      </c>
      <c r="L149" s="668"/>
      <c r="M149" s="2090" t="str">
        <f>IF($W$2=1,V149,#REF!)</f>
        <v xml:space="preserve">Elephant Standard  one side </v>
      </c>
      <c r="N149" s="506"/>
      <c r="O149" s="1129" t="s">
        <v>231</v>
      </c>
      <c r="P149" s="506"/>
      <c r="Q149" s="1129" t="s">
        <v>231</v>
      </c>
      <c r="S149" s="1392"/>
      <c r="T149" s="1392"/>
      <c r="U149" s="2087" t="str">
        <f>U10</f>
        <v>ER1</v>
      </c>
      <c r="V149" s="2081" t="s">
        <v>987</v>
      </c>
      <c r="W149" s="2083" t="s">
        <v>652</v>
      </c>
      <c r="X149" s="2085"/>
      <c r="Y149" s="2096">
        <v>1</v>
      </c>
    </row>
    <row r="150" spans="3:29" s="188" customFormat="1" ht="13.5" hidden="1" customHeight="1">
      <c r="C150" s="1392"/>
      <c r="D150" s="1392"/>
      <c r="E150" s="2107"/>
      <c r="F150" s="1130">
        <v>0.8</v>
      </c>
      <c r="G150" s="1146">
        <f t="shared" si="5"/>
        <v>2</v>
      </c>
      <c r="H150" s="1146">
        <f t="shared" si="5"/>
        <v>1.5</v>
      </c>
      <c r="I150" s="1863"/>
      <c r="J150" s="429"/>
      <c r="K150" s="2110"/>
      <c r="L150" s="668"/>
      <c r="M150" s="2090"/>
      <c r="N150" s="506"/>
      <c r="O150" s="664" t="s">
        <v>231</v>
      </c>
      <c r="P150" s="506"/>
      <c r="Q150" s="664" t="s">
        <v>231</v>
      </c>
      <c r="S150" s="1392"/>
      <c r="T150" s="1392"/>
      <c r="U150" s="2088"/>
      <c r="V150" s="2082"/>
      <c r="W150" s="2084"/>
      <c r="X150" s="2086"/>
      <c r="Y150" s="2097"/>
    </row>
    <row r="151" spans="3:29" s="188" customFormat="1" ht="13.5" hidden="1" customHeight="1" thickBot="1">
      <c r="C151" s="1392"/>
      <c r="D151" s="1392"/>
      <c r="E151" s="2113"/>
      <c r="F151" s="1132">
        <v>1.8</v>
      </c>
      <c r="G151" s="1147">
        <f t="shared" si="5"/>
        <v>2</v>
      </c>
      <c r="H151" s="1147">
        <f t="shared" si="5"/>
        <v>1.5</v>
      </c>
      <c r="I151" s="2144"/>
      <c r="J151" s="1634"/>
      <c r="K151" s="2111"/>
      <c r="L151" s="668"/>
      <c r="M151" s="2091"/>
      <c r="N151" s="506"/>
      <c r="O151" s="664" t="s">
        <v>231</v>
      </c>
      <c r="P151" s="506"/>
      <c r="Q151" s="664" t="s">
        <v>231</v>
      </c>
      <c r="S151" s="1392"/>
      <c r="T151" s="1392"/>
      <c r="U151" s="2088"/>
      <c r="V151" s="2082"/>
      <c r="W151" s="2084"/>
      <c r="X151" s="2086"/>
      <c r="Y151" s="2098"/>
    </row>
    <row r="152" spans="3:29" s="188" customFormat="1" ht="13.5" hidden="1" customHeight="1" thickBot="1">
      <c r="C152" s="1392"/>
      <c r="D152" s="1392"/>
      <c r="E152" s="1559" t="str">
        <f>U152</f>
        <v>Plasterboard on Both Sides</v>
      </c>
      <c r="F152" s="1559"/>
      <c r="G152" s="1559"/>
      <c r="H152" s="1559"/>
      <c r="I152" s="1559"/>
      <c r="J152" s="1635"/>
      <c r="K152" s="1560"/>
      <c r="L152" s="667"/>
      <c r="M152" s="1137"/>
      <c r="N152" s="506"/>
      <c r="O152" s="1559"/>
      <c r="P152" s="506"/>
      <c r="Q152" s="1559"/>
      <c r="S152" s="1392"/>
      <c r="T152" s="1392"/>
      <c r="U152" s="2089" t="s">
        <v>612</v>
      </c>
      <c r="V152" s="2089"/>
      <c r="W152" s="1126"/>
      <c r="X152" s="1138"/>
      <c r="Y152" s="1139"/>
    </row>
    <row r="153" spans="3:29" s="188" customFormat="1" ht="13.5" hidden="1" customHeight="1">
      <c r="C153" s="1392"/>
      <c r="D153" s="1392"/>
      <c r="E153" s="2106" t="str">
        <f>U153</f>
        <v>ER2</v>
      </c>
      <c r="F153" s="1127">
        <v>0.4</v>
      </c>
      <c r="G153" s="1145">
        <f t="shared" ref="G153:H155" si="6">G90/20</f>
        <v>2.8</v>
      </c>
      <c r="H153" s="1145">
        <f t="shared" si="6"/>
        <v>2.5499999999999998</v>
      </c>
      <c r="I153" s="2143" t="s">
        <v>972</v>
      </c>
      <c r="J153" s="1633"/>
      <c r="K153" s="2109" t="s">
        <v>305</v>
      </c>
      <c r="L153" s="668"/>
      <c r="M153" s="2112" t="str">
        <f>IF($W$2=1,V153,#REF!)</f>
        <v xml:space="preserve">Elephant Standard  sides </v>
      </c>
      <c r="N153" s="506"/>
      <c r="O153" s="1129" t="s">
        <v>231</v>
      </c>
      <c r="P153" s="506"/>
      <c r="Q153" s="1129" t="s">
        <v>231</v>
      </c>
      <c r="S153" s="1392"/>
      <c r="T153" s="1392"/>
      <c r="U153" s="2087" t="str">
        <f>U14</f>
        <v>ER2</v>
      </c>
      <c r="V153" s="2081" t="s">
        <v>988</v>
      </c>
      <c r="W153" s="2083" t="str">
        <f>W149</f>
        <v>as per</v>
      </c>
      <c r="X153" s="2085" t="s">
        <v>479</v>
      </c>
      <c r="Y153" s="2103">
        <v>1</v>
      </c>
    </row>
    <row r="154" spans="3:29" s="188" customFormat="1" ht="13.5" hidden="1" customHeight="1">
      <c r="C154" s="1392"/>
      <c r="D154" s="1392"/>
      <c r="E154" s="2107"/>
      <c r="F154" s="1130">
        <v>0.8</v>
      </c>
      <c r="G154" s="1146">
        <f t="shared" si="6"/>
        <v>2.9</v>
      </c>
      <c r="H154" s="1146">
        <f t="shared" si="6"/>
        <v>2.65</v>
      </c>
      <c r="I154" s="1863"/>
      <c r="J154" s="429"/>
      <c r="K154" s="2110"/>
      <c r="L154" s="668"/>
      <c r="M154" s="2090"/>
      <c r="N154" s="506"/>
      <c r="O154" s="664" t="s">
        <v>231</v>
      </c>
      <c r="P154" s="506"/>
      <c r="Q154" s="664" t="s">
        <v>231</v>
      </c>
      <c r="S154" s="1392"/>
      <c r="T154" s="1392"/>
      <c r="U154" s="2088"/>
      <c r="V154" s="2082"/>
      <c r="W154" s="2084"/>
      <c r="X154" s="2086"/>
      <c r="Y154" s="2104"/>
    </row>
    <row r="155" spans="3:29" s="188" customFormat="1" ht="13.5" hidden="1" customHeight="1">
      <c r="C155" s="1392"/>
      <c r="D155" s="1392"/>
      <c r="E155" s="2113"/>
      <c r="F155" s="1132">
        <v>1.2</v>
      </c>
      <c r="G155" s="1147">
        <f t="shared" si="6"/>
        <v>3</v>
      </c>
      <c r="H155" s="1147">
        <f t="shared" si="6"/>
        <v>2.75</v>
      </c>
      <c r="I155" s="2144"/>
      <c r="J155" s="1634"/>
      <c r="K155" s="2111"/>
      <c r="L155" s="668"/>
      <c r="M155" s="2091"/>
      <c r="N155" s="506"/>
      <c r="O155" s="664" t="s">
        <v>231</v>
      </c>
      <c r="P155" s="506"/>
      <c r="Q155" s="664" t="s">
        <v>231</v>
      </c>
      <c r="S155" s="1392"/>
      <c r="T155" s="1392"/>
      <c r="U155" s="2088"/>
      <c r="V155" s="2082"/>
      <c r="W155" s="2084"/>
      <c r="X155" s="2086"/>
      <c r="Y155" s="2105"/>
    </row>
    <row r="156" spans="3:29" s="188" customFormat="1" ht="13.5" hidden="1" customHeight="1" thickBot="1">
      <c r="C156" s="1392"/>
      <c r="D156" s="1392"/>
      <c r="E156" s="1392"/>
      <c r="F156" s="1392"/>
      <c r="G156" s="1390"/>
      <c r="H156" s="1390"/>
      <c r="I156" s="1392"/>
      <c r="J156" s="1392"/>
      <c r="K156" s="1390"/>
      <c r="L156" s="666"/>
      <c r="M156" s="1370"/>
      <c r="N156" s="506"/>
      <c r="O156" s="1392"/>
      <c r="P156" s="506"/>
      <c r="Q156" s="1392"/>
      <c r="S156" s="1392"/>
      <c r="T156" s="1392"/>
      <c r="U156" s="1392"/>
      <c r="V156" s="1393"/>
      <c r="W156" s="1393"/>
      <c r="X156" s="1393"/>
      <c r="Y156" s="1393"/>
    </row>
    <row r="157" spans="3:29" s="188" customFormat="1" ht="13.5" hidden="1" customHeight="1" thickBot="1">
      <c r="C157" s="1392"/>
      <c r="D157" s="1392"/>
      <c r="E157" s="1392"/>
      <c r="F157" s="1392"/>
      <c r="G157" s="1390"/>
      <c r="H157" s="1390"/>
      <c r="I157" s="1392"/>
      <c r="J157" s="1392"/>
      <c r="K157" s="1390"/>
      <c r="L157" s="666"/>
      <c r="M157" s="1370"/>
      <c r="N157" s="506"/>
      <c r="O157" s="1392"/>
      <c r="P157" s="506"/>
      <c r="Q157" s="1392"/>
      <c r="S157" s="1392"/>
      <c r="T157" s="1392"/>
      <c r="U157" s="1392"/>
      <c r="V157" s="1393"/>
      <c r="W157" s="1393"/>
      <c r="X157" s="1393"/>
      <c r="Y157" s="1393"/>
    </row>
    <row r="158" spans="3:29" s="188" customFormat="1" ht="13.5" hidden="1" customHeight="1">
      <c r="C158" s="2150" t="s">
        <v>733</v>
      </c>
      <c r="D158" s="2151"/>
      <c r="E158" s="2151"/>
      <c r="F158" s="1553" t="s">
        <v>484</v>
      </c>
      <c r="G158" s="1554"/>
      <c r="H158" s="1554"/>
      <c r="I158" s="1554"/>
      <c r="J158" s="1554"/>
      <c r="K158" s="1554"/>
      <c r="L158" s="1125"/>
      <c r="M158" s="2048" t="s">
        <v>748</v>
      </c>
      <c r="N158" s="506"/>
      <c r="O158" s="1554"/>
      <c r="P158" s="506"/>
      <c r="Q158" s="1554"/>
      <c r="S158" s="2150" t="s">
        <v>733</v>
      </c>
      <c r="T158" s="2151"/>
      <c r="U158" s="2151"/>
      <c r="V158" s="2166" t="s">
        <v>484</v>
      </c>
      <c r="W158" s="2167"/>
      <c r="X158" s="2167"/>
      <c r="Y158" s="2167"/>
      <c r="Z158" s="2167"/>
      <c r="AA158" s="2167"/>
      <c r="AB158" s="1125"/>
      <c r="AC158" s="2048" t="s">
        <v>748</v>
      </c>
    </row>
    <row r="159" spans="3:29" s="188" customFormat="1" ht="13.5" hidden="1" customHeight="1" thickBot="1">
      <c r="C159" s="2152"/>
      <c r="D159" s="2153"/>
      <c r="E159" s="2153"/>
      <c r="F159" s="1555"/>
      <c r="G159" s="1556"/>
      <c r="H159" s="1556"/>
      <c r="I159" s="1556"/>
      <c r="J159" s="1556"/>
      <c r="K159" s="1556"/>
      <c r="L159" s="1125"/>
      <c r="M159" s="2049"/>
      <c r="N159" s="506"/>
      <c r="O159" s="1556"/>
      <c r="P159" s="506"/>
      <c r="Q159" s="1556"/>
      <c r="S159" s="2152"/>
      <c r="T159" s="2153"/>
      <c r="U159" s="2153"/>
      <c r="V159" s="2168"/>
      <c r="W159" s="2169"/>
      <c r="X159" s="2169"/>
      <c r="Y159" s="2169"/>
      <c r="Z159" s="2169"/>
      <c r="AA159" s="2169"/>
      <c r="AB159" s="1125"/>
      <c r="AC159" s="2049"/>
    </row>
    <row r="160" spans="3:29" s="188" customFormat="1" ht="13.5" hidden="1" customHeight="1">
      <c r="C160" s="2078" t="str">
        <f>S160</f>
        <v>Supplier</v>
      </c>
      <c r="D160" s="2041" t="str">
        <f>T160</f>
        <v>Internal or External Wall?</v>
      </c>
      <c r="E160" s="2041" t="str">
        <f>U160</f>
        <v>QuickBrace©  System Number</v>
      </c>
      <c r="F160" s="2154" t="s">
        <v>732</v>
      </c>
      <c r="G160" s="2155"/>
      <c r="H160" s="2156"/>
      <c r="I160" s="1169"/>
      <c r="J160" s="1169"/>
      <c r="K160" s="2157" t="s">
        <v>541</v>
      </c>
      <c r="L160" s="666"/>
      <c r="M160" s="2022" t="str">
        <f>IF($W$2=1,V160,#REF!)</f>
        <v xml:space="preserve">Elephant Plasterboard       </v>
      </c>
      <c r="N160" s="506"/>
      <c r="O160" s="2041" t="s">
        <v>272</v>
      </c>
      <c r="P160" s="506"/>
      <c r="Q160" s="2041" t="s">
        <v>272</v>
      </c>
      <c r="S160" s="2078" t="s">
        <v>49</v>
      </c>
      <c r="T160" s="2041" t="s">
        <v>747</v>
      </c>
      <c r="U160" s="2041" t="s">
        <v>726</v>
      </c>
      <c r="V160" s="2068" t="s">
        <v>752</v>
      </c>
      <c r="W160" s="2071" t="s">
        <v>609</v>
      </c>
      <c r="X160" s="2072"/>
      <c r="Y160" s="2052" t="s">
        <v>645</v>
      </c>
    </row>
    <row r="161" spans="3:25" s="188" customFormat="1" ht="13.5" hidden="1" customHeight="1">
      <c r="C161" s="2079"/>
      <c r="D161" s="2042"/>
      <c r="E161" s="2042"/>
      <c r="F161" s="2117"/>
      <c r="G161" s="2118"/>
      <c r="H161" s="2119"/>
      <c r="I161" s="1170"/>
      <c r="J161" s="1170"/>
      <c r="K161" s="2158"/>
      <c r="L161" s="666"/>
      <c r="M161" s="2023"/>
      <c r="N161" s="506"/>
      <c r="O161" s="2042"/>
      <c r="P161" s="506"/>
      <c r="Q161" s="2042"/>
      <c r="S161" s="2079"/>
      <c r="T161" s="2042"/>
      <c r="U161" s="2042"/>
      <c r="V161" s="2069"/>
      <c r="W161" s="2073"/>
      <c r="X161" s="2074"/>
      <c r="Y161" s="2053"/>
    </row>
    <row r="162" spans="3:25" s="188" customFormat="1" ht="13.5" hidden="1" customHeight="1">
      <c r="C162" s="2079"/>
      <c r="D162" s="2042"/>
      <c r="E162" s="2042"/>
      <c r="F162" s="2042" t="s">
        <v>411</v>
      </c>
      <c r="G162" s="2120" t="s">
        <v>837</v>
      </c>
      <c r="H162" s="2120" t="s">
        <v>838</v>
      </c>
      <c r="I162" s="1170"/>
      <c r="J162" s="1170"/>
      <c r="K162" s="2158"/>
      <c r="L162" s="666"/>
      <c r="M162" s="2023"/>
      <c r="N162" s="506"/>
      <c r="O162" s="2042"/>
      <c r="P162" s="506"/>
      <c r="Q162" s="2042"/>
      <c r="S162" s="2079"/>
      <c r="T162" s="2042"/>
      <c r="U162" s="2042"/>
      <c r="V162" s="2069"/>
      <c r="W162" s="2073"/>
      <c r="X162" s="2074"/>
      <c r="Y162" s="2053"/>
    </row>
    <row r="163" spans="3:25" s="188" customFormat="1" ht="13.5" hidden="1" customHeight="1" thickBot="1">
      <c r="C163" s="2079"/>
      <c r="D163" s="2042"/>
      <c r="E163" s="2042"/>
      <c r="F163" s="2042"/>
      <c r="G163" s="2121"/>
      <c r="H163" s="2121"/>
      <c r="I163" s="1170"/>
      <c r="J163" s="1170"/>
      <c r="K163" s="2159"/>
      <c r="L163" s="666"/>
      <c r="M163" s="2023"/>
      <c r="N163" s="506"/>
      <c r="O163" s="2042"/>
      <c r="P163" s="506"/>
      <c r="Q163" s="2042"/>
      <c r="S163" s="2079"/>
      <c r="T163" s="2042"/>
      <c r="U163" s="2042"/>
      <c r="V163" s="2070"/>
      <c r="W163" s="2075"/>
      <c r="X163" s="2076"/>
      <c r="Y163" s="2054"/>
    </row>
    <row r="164" spans="3:25" s="188" customFormat="1" ht="15.95" hidden="1" customHeight="1" thickBot="1">
      <c r="C164" s="2138" t="str">
        <f>IF($W$2=1,S164,#REF!)</f>
        <v xml:space="preserve">Elephant Plasterboard ®  (EPB)  </v>
      </c>
      <c r="D164" s="2141" t="str">
        <f>T164</f>
        <v xml:space="preserve"> Internal or External</v>
      </c>
      <c r="E164" s="1557" t="str">
        <f>U164</f>
        <v>Plasterboard on One Side</v>
      </c>
      <c r="F164" s="1557"/>
      <c r="G164" s="1557"/>
      <c r="H164" s="1557"/>
      <c r="I164" s="1557"/>
      <c r="J164" s="1557"/>
      <c r="K164" s="1558"/>
      <c r="L164" s="667"/>
      <c r="M164" s="673"/>
      <c r="N164" s="506"/>
      <c r="O164" s="1557"/>
      <c r="P164" s="506"/>
      <c r="Q164" s="1557"/>
      <c r="S164" s="2138" t="s">
        <v>725</v>
      </c>
      <c r="T164" s="2093" t="s">
        <v>614</v>
      </c>
      <c r="U164" s="2089" t="s">
        <v>611</v>
      </c>
      <c r="V164" s="2089"/>
      <c r="W164" s="1126"/>
      <c r="X164" s="1126"/>
      <c r="Y164" s="1126"/>
    </row>
    <row r="165" spans="3:25" s="188" customFormat="1" ht="15.95" hidden="1" customHeight="1">
      <c r="C165" s="2139"/>
      <c r="D165" s="2142"/>
      <c r="E165" s="2106" t="str">
        <f>U165</f>
        <v>ER1</v>
      </c>
      <c r="F165" s="1127">
        <v>0.4</v>
      </c>
      <c r="G165" s="1145">
        <f t="shared" ref="G165:H176" si="7">G102/20</f>
        <v>2</v>
      </c>
      <c r="H165" s="1145">
        <f t="shared" si="7"/>
        <v>1.5</v>
      </c>
      <c r="I165" s="2143" t="s">
        <v>972</v>
      </c>
      <c r="J165" s="1633"/>
      <c r="K165" s="2109" t="s">
        <v>305</v>
      </c>
      <c r="L165" s="668"/>
      <c r="M165" s="2090" t="str">
        <f>IF($W$2=1,V165,#REF!)</f>
        <v xml:space="preserve">Elephant Standard  one side </v>
      </c>
      <c r="N165" s="506"/>
      <c r="O165" s="1129" t="s">
        <v>231</v>
      </c>
      <c r="P165" s="506"/>
      <c r="Q165" s="1129" t="s">
        <v>231</v>
      </c>
      <c r="S165" s="2139"/>
      <c r="T165" s="2094"/>
      <c r="U165" s="2087" t="str">
        <f>U25</f>
        <v>ER1</v>
      </c>
      <c r="V165" s="2081" t="s">
        <v>987</v>
      </c>
      <c r="W165" s="2083" t="s">
        <v>652</v>
      </c>
      <c r="X165" s="2085"/>
      <c r="Y165" s="2096">
        <v>1</v>
      </c>
    </row>
    <row r="166" spans="3:25" s="188" customFormat="1" ht="15.95" hidden="1" customHeight="1">
      <c r="C166" s="2139"/>
      <c r="D166" s="2142"/>
      <c r="E166" s="2107"/>
      <c r="F166" s="1130">
        <v>0.8</v>
      </c>
      <c r="G166" s="1146">
        <f t="shared" si="7"/>
        <v>2</v>
      </c>
      <c r="H166" s="1146">
        <f t="shared" si="7"/>
        <v>1.5</v>
      </c>
      <c r="I166" s="1863"/>
      <c r="J166" s="429"/>
      <c r="K166" s="2110"/>
      <c r="L166" s="668"/>
      <c r="M166" s="2090"/>
      <c r="N166" s="506"/>
      <c r="O166" s="664" t="s">
        <v>231</v>
      </c>
      <c r="P166" s="506"/>
      <c r="Q166" s="664" t="s">
        <v>231</v>
      </c>
      <c r="S166" s="2139"/>
      <c r="T166" s="2094"/>
      <c r="U166" s="2088"/>
      <c r="V166" s="2082"/>
      <c r="W166" s="2084"/>
      <c r="X166" s="2086"/>
      <c r="Y166" s="2097"/>
    </row>
    <row r="167" spans="3:25" s="188" customFormat="1" ht="15.95" hidden="1" customHeight="1" thickBot="1">
      <c r="C167" s="2139"/>
      <c r="D167" s="2142"/>
      <c r="E167" s="2113"/>
      <c r="F167" s="1132">
        <v>1.8</v>
      </c>
      <c r="G167" s="1147">
        <f t="shared" si="7"/>
        <v>2</v>
      </c>
      <c r="H167" s="1147">
        <f t="shared" si="7"/>
        <v>1.5</v>
      </c>
      <c r="I167" s="2144"/>
      <c r="J167" s="1634"/>
      <c r="K167" s="2111"/>
      <c r="L167" s="668"/>
      <c r="M167" s="2091"/>
      <c r="N167" s="506"/>
      <c r="O167" s="664" t="s">
        <v>231</v>
      </c>
      <c r="P167" s="506"/>
      <c r="Q167" s="664" t="s">
        <v>231</v>
      </c>
      <c r="S167" s="2139"/>
      <c r="T167" s="2094"/>
      <c r="U167" s="2088"/>
      <c r="V167" s="2082"/>
      <c r="W167" s="2084"/>
      <c r="X167" s="2086"/>
      <c r="Y167" s="2098"/>
    </row>
    <row r="168" spans="3:25" s="188" customFormat="1" ht="14.1" hidden="1" customHeight="1">
      <c r="C168" s="2139"/>
      <c r="D168" s="2142"/>
      <c r="E168" s="2106" t="str">
        <f>U168</f>
        <v>ES-N</v>
      </c>
      <c r="F168" s="1127">
        <v>0.4</v>
      </c>
      <c r="G168" s="1145">
        <f t="shared" si="7"/>
        <v>3.3</v>
      </c>
      <c r="H168" s="1145">
        <f t="shared" si="7"/>
        <v>3.05</v>
      </c>
      <c r="I168" s="2143" t="s">
        <v>973</v>
      </c>
      <c r="J168" s="1633"/>
      <c r="K168" s="2109" t="s">
        <v>305</v>
      </c>
      <c r="L168" s="668"/>
      <c r="M168" s="2090" t="str">
        <f>IF($W$2=1,V168,#REF!)</f>
        <v xml:space="preserve">Elephant Standard  one side </v>
      </c>
      <c r="N168" s="506"/>
      <c r="O168" s="1129" t="s">
        <v>231</v>
      </c>
      <c r="P168" s="506"/>
      <c r="Q168" s="1129" t="s">
        <v>231</v>
      </c>
      <c r="S168" s="2139"/>
      <c r="T168" s="2094"/>
      <c r="U168" s="2087" t="str">
        <f>U28</f>
        <v>ES-N</v>
      </c>
      <c r="V168" s="2081" t="s">
        <v>987</v>
      </c>
      <c r="W168" s="2083" t="s">
        <v>652</v>
      </c>
      <c r="X168" s="2085" t="s">
        <v>478</v>
      </c>
      <c r="Y168" s="2096">
        <v>1</v>
      </c>
    </row>
    <row r="169" spans="3:25" s="188" customFormat="1" ht="14.1" hidden="1" customHeight="1">
      <c r="C169" s="2139"/>
      <c r="D169" s="2142"/>
      <c r="E169" s="2107"/>
      <c r="F169" s="1130">
        <v>0.8</v>
      </c>
      <c r="G169" s="1146">
        <f t="shared" si="7"/>
        <v>3.6</v>
      </c>
      <c r="H169" s="1146">
        <f t="shared" si="7"/>
        <v>3.2</v>
      </c>
      <c r="I169" s="1863"/>
      <c r="J169" s="429"/>
      <c r="K169" s="2110"/>
      <c r="L169" s="668"/>
      <c r="M169" s="2090"/>
      <c r="N169" s="506"/>
      <c r="O169" s="664" t="s">
        <v>231</v>
      </c>
      <c r="P169" s="506"/>
      <c r="Q169" s="664" t="s">
        <v>231</v>
      </c>
      <c r="S169" s="2139"/>
      <c r="T169" s="2094"/>
      <c r="U169" s="2088"/>
      <c r="V169" s="2082"/>
      <c r="W169" s="2084"/>
      <c r="X169" s="2086"/>
      <c r="Y169" s="2097"/>
    </row>
    <row r="170" spans="3:25" s="188" customFormat="1" ht="14.1" hidden="1" customHeight="1">
      <c r="C170" s="2139"/>
      <c r="D170" s="2142"/>
      <c r="E170" s="2113"/>
      <c r="F170" s="1132">
        <v>1.8</v>
      </c>
      <c r="G170" s="1147">
        <f t="shared" si="7"/>
        <v>4.1500000000000004</v>
      </c>
      <c r="H170" s="1147">
        <f t="shared" si="7"/>
        <v>3.2</v>
      </c>
      <c r="I170" s="1863"/>
      <c r="J170" s="429"/>
      <c r="K170" s="2111"/>
      <c r="L170" s="668"/>
      <c r="M170" s="2091"/>
      <c r="N170" s="506"/>
      <c r="O170" s="664" t="s">
        <v>231</v>
      </c>
      <c r="P170" s="506"/>
      <c r="Q170" s="664" t="s">
        <v>231</v>
      </c>
      <c r="S170" s="2139"/>
      <c r="T170" s="2094"/>
      <c r="U170" s="2088"/>
      <c r="V170" s="2082"/>
      <c r="W170" s="2084"/>
      <c r="X170" s="2086"/>
      <c r="Y170" s="2098"/>
    </row>
    <row r="171" spans="3:25" s="188" customFormat="1" ht="14.1" hidden="1" customHeight="1">
      <c r="C171" s="2139"/>
      <c r="D171" s="2142"/>
      <c r="E171" s="2106" t="str">
        <f>U171</f>
        <v>ES-H</v>
      </c>
      <c r="F171" s="1134">
        <v>0.4</v>
      </c>
      <c r="G171" s="1148">
        <f t="shared" si="7"/>
        <v>3.75</v>
      </c>
      <c r="H171" s="1148">
        <f t="shared" si="7"/>
        <v>3.75</v>
      </c>
      <c r="I171" s="1863"/>
      <c r="J171" s="429"/>
      <c r="K171" s="2110" t="s">
        <v>307</v>
      </c>
      <c r="L171" s="668"/>
      <c r="M171" s="2090" t="str">
        <f>IF($W$2=1,V171,#REF!)</f>
        <v>Elephant Standard  one side</v>
      </c>
      <c r="N171" s="506"/>
      <c r="O171" s="664" t="s">
        <v>231</v>
      </c>
      <c r="P171" s="506"/>
      <c r="Q171" s="664" t="s">
        <v>231</v>
      </c>
      <c r="S171" s="2139"/>
      <c r="T171" s="2094"/>
      <c r="U171" s="2088" t="str">
        <f>U31</f>
        <v>ES-H</v>
      </c>
      <c r="V171" s="2082" t="s">
        <v>982</v>
      </c>
      <c r="W171" s="2084" t="str">
        <f>W181</f>
        <v>as per</v>
      </c>
      <c r="X171" s="2086" t="s">
        <v>646</v>
      </c>
      <c r="Y171" s="2165">
        <v>3</v>
      </c>
    </row>
    <row r="172" spans="3:25" s="188" customFormat="1" ht="14.1" hidden="1" customHeight="1">
      <c r="C172" s="2139"/>
      <c r="D172" s="2142"/>
      <c r="E172" s="2107"/>
      <c r="F172" s="1130">
        <v>0.8</v>
      </c>
      <c r="G172" s="1146">
        <f t="shared" si="7"/>
        <v>4.75</v>
      </c>
      <c r="H172" s="1146">
        <f t="shared" si="7"/>
        <v>4.1500000000000004</v>
      </c>
      <c r="I172" s="1863"/>
      <c r="J172" s="429"/>
      <c r="K172" s="2110"/>
      <c r="L172" s="668"/>
      <c r="M172" s="2090"/>
      <c r="N172" s="506"/>
      <c r="O172" s="664" t="s">
        <v>231</v>
      </c>
      <c r="P172" s="506"/>
      <c r="Q172" s="664" t="s">
        <v>231</v>
      </c>
      <c r="S172" s="2139"/>
      <c r="T172" s="2094"/>
      <c r="U172" s="2088"/>
      <c r="V172" s="2082"/>
      <c r="W172" s="2084"/>
      <c r="X172" s="2086"/>
      <c r="Y172" s="2104"/>
    </row>
    <row r="173" spans="3:25" s="188" customFormat="1" ht="14.1" hidden="1" customHeight="1">
      <c r="C173" s="2139"/>
      <c r="D173" s="2142"/>
      <c r="E173" s="2113"/>
      <c r="F173" s="1132">
        <v>1.8</v>
      </c>
      <c r="G173" s="1147">
        <f t="shared" si="7"/>
        <v>5.5</v>
      </c>
      <c r="H173" s="1147">
        <f t="shared" si="7"/>
        <v>4.2</v>
      </c>
      <c r="I173" s="1863"/>
      <c r="J173" s="429"/>
      <c r="K173" s="2110"/>
      <c r="L173" s="668"/>
      <c r="M173" s="2091"/>
      <c r="N173" s="506"/>
      <c r="O173" s="664" t="s">
        <v>231</v>
      </c>
      <c r="P173" s="506"/>
      <c r="Q173" s="664" t="s">
        <v>231</v>
      </c>
      <c r="S173" s="2139"/>
      <c r="T173" s="2094"/>
      <c r="U173" s="2088"/>
      <c r="V173" s="2082"/>
      <c r="W173" s="2084"/>
      <c r="X173" s="2086"/>
      <c r="Y173" s="2105"/>
    </row>
    <row r="174" spans="3:25" s="188" customFormat="1" ht="14.1" hidden="1" customHeight="1">
      <c r="C174" s="2139"/>
      <c r="D174" s="2142"/>
      <c r="E174" s="2106" t="str">
        <f>U174</f>
        <v>EM-H</v>
      </c>
      <c r="F174" s="1134">
        <v>0.4</v>
      </c>
      <c r="G174" s="1148">
        <f t="shared" si="7"/>
        <v>4.9000000000000004</v>
      </c>
      <c r="H174" s="1148">
        <f t="shared" si="7"/>
        <v>5</v>
      </c>
      <c r="I174" s="1863"/>
      <c r="J174" s="429"/>
      <c r="K174" s="2110"/>
      <c r="L174" s="668"/>
      <c r="M174" s="2090" t="str">
        <f>IF($W$2=1,$V174,#REF!)</f>
        <v>Elephant Multiboard one side</v>
      </c>
      <c r="N174" s="506"/>
      <c r="O174" s="664" t="s">
        <v>231</v>
      </c>
      <c r="P174" s="506"/>
      <c r="Q174" s="664" t="s">
        <v>231</v>
      </c>
      <c r="S174" s="2139"/>
      <c r="T174" s="2094"/>
      <c r="U174" s="2088" t="str">
        <f>U34</f>
        <v>EM-H</v>
      </c>
      <c r="V174" s="2082" t="s">
        <v>540</v>
      </c>
      <c r="W174" s="2084" t="str">
        <f>W194</f>
        <v>as per</v>
      </c>
      <c r="X174" s="2086" t="s">
        <v>647</v>
      </c>
      <c r="Y174" s="2104">
        <v>3</v>
      </c>
    </row>
    <row r="175" spans="3:25" s="188" customFormat="1" ht="14.1" hidden="1" customHeight="1">
      <c r="C175" s="2139"/>
      <c r="D175" s="2142"/>
      <c r="E175" s="2107"/>
      <c r="F175" s="1130">
        <v>0.8</v>
      </c>
      <c r="G175" s="1146">
        <f t="shared" si="7"/>
        <v>6</v>
      </c>
      <c r="H175" s="1146">
        <f t="shared" si="7"/>
        <v>5.45</v>
      </c>
      <c r="I175" s="1863"/>
      <c r="J175" s="429"/>
      <c r="K175" s="2110"/>
      <c r="L175" s="668"/>
      <c r="M175" s="2090"/>
      <c r="N175" s="506"/>
      <c r="O175" s="664" t="s">
        <v>231</v>
      </c>
      <c r="P175" s="506"/>
      <c r="Q175" s="664" t="s">
        <v>231</v>
      </c>
      <c r="S175" s="2139"/>
      <c r="T175" s="2094"/>
      <c r="U175" s="2088"/>
      <c r="V175" s="2082"/>
      <c r="W175" s="2084"/>
      <c r="X175" s="2086"/>
      <c r="Y175" s="2104"/>
    </row>
    <row r="176" spans="3:25" s="188" customFormat="1" ht="14.1" hidden="1" customHeight="1" thickBot="1">
      <c r="C176" s="2139"/>
      <c r="D176" s="2142"/>
      <c r="E176" s="2113"/>
      <c r="F176" s="1132">
        <v>1.2</v>
      </c>
      <c r="G176" s="1147">
        <f t="shared" si="7"/>
        <v>7</v>
      </c>
      <c r="H176" s="1147">
        <f t="shared" si="7"/>
        <v>5.75</v>
      </c>
      <c r="I176" s="2144"/>
      <c r="J176" s="1634"/>
      <c r="K176" s="2111"/>
      <c r="L176" s="668"/>
      <c r="M176" s="2092"/>
      <c r="N176" s="506"/>
      <c r="O176" s="1136" t="s">
        <v>231</v>
      </c>
      <c r="P176" s="506"/>
      <c r="Q176" s="1136" t="s">
        <v>231</v>
      </c>
      <c r="S176" s="2139"/>
      <c r="T176" s="2095"/>
      <c r="U176" s="2099"/>
      <c r="V176" s="2100"/>
      <c r="W176" s="2101"/>
      <c r="X176" s="2102"/>
      <c r="Y176" s="2105"/>
    </row>
    <row r="177" spans="3:25" s="188" customFormat="1" ht="15.95" hidden="1" customHeight="1" thickBot="1">
      <c r="C177" s="2139"/>
      <c r="D177" s="2142" t="str">
        <f>T177</f>
        <v>Internal</v>
      </c>
      <c r="E177" s="1559" t="str">
        <f>U177</f>
        <v>Plasterboard on Both Sides</v>
      </c>
      <c r="F177" s="1559"/>
      <c r="G177" s="1559"/>
      <c r="H177" s="1559"/>
      <c r="I177" s="1559"/>
      <c r="J177" s="1635"/>
      <c r="K177" s="1560"/>
      <c r="L177" s="667"/>
      <c r="M177" s="1137"/>
      <c r="N177" s="506"/>
      <c r="O177" s="1559"/>
      <c r="P177" s="506"/>
      <c r="Q177" s="1559"/>
      <c r="S177" s="2139"/>
      <c r="T177" s="2093" t="s">
        <v>318</v>
      </c>
      <c r="U177" s="2089" t="s">
        <v>612</v>
      </c>
      <c r="V177" s="2089"/>
      <c r="W177" s="1126"/>
      <c r="X177" s="1138"/>
      <c r="Y177" s="1139"/>
    </row>
    <row r="178" spans="3:25" s="188" customFormat="1" ht="15.95" hidden="1" customHeight="1">
      <c r="C178" s="2139"/>
      <c r="D178" s="2142"/>
      <c r="E178" s="2106" t="str">
        <f>U178</f>
        <v>ER2</v>
      </c>
      <c r="F178" s="1127">
        <v>0.4</v>
      </c>
      <c r="G178" s="1145">
        <f t="shared" ref="G178:H178" si="8">G115/20</f>
        <v>2.8</v>
      </c>
      <c r="H178" s="1145">
        <f t="shared" si="8"/>
        <v>2.5499999999999998</v>
      </c>
      <c r="I178" s="2143" t="s">
        <v>972</v>
      </c>
      <c r="J178" s="1633"/>
      <c r="K178" s="2109" t="s">
        <v>305</v>
      </c>
      <c r="L178" s="668"/>
      <c r="M178" s="2112" t="str">
        <f>IF($W$2=1,V178,#REF!)</f>
        <v xml:space="preserve">Elephant Standard  sides </v>
      </c>
      <c r="N178" s="506"/>
      <c r="O178" s="1129" t="s">
        <v>231</v>
      </c>
      <c r="P178" s="506"/>
      <c r="Q178" s="1129" t="s">
        <v>231</v>
      </c>
      <c r="S178" s="2139"/>
      <c r="T178" s="2094"/>
      <c r="U178" s="2087" t="str">
        <f>U38</f>
        <v>ER2</v>
      </c>
      <c r="V178" s="2081" t="s">
        <v>988</v>
      </c>
      <c r="W178" s="2083" t="str">
        <f>W165</f>
        <v>as per</v>
      </c>
      <c r="X178" s="2085" t="s">
        <v>479</v>
      </c>
      <c r="Y178" s="2103">
        <v>1</v>
      </c>
    </row>
    <row r="179" spans="3:25" s="188" customFormat="1" ht="15.95" hidden="1" customHeight="1">
      <c r="C179" s="2139"/>
      <c r="D179" s="2142"/>
      <c r="E179" s="2107"/>
      <c r="F179" s="1130">
        <v>0.8</v>
      </c>
      <c r="G179" s="1146">
        <f t="shared" ref="G179:H179" si="9">G116/20</f>
        <v>2.9</v>
      </c>
      <c r="H179" s="1146">
        <f t="shared" si="9"/>
        <v>2.65</v>
      </c>
      <c r="I179" s="1863"/>
      <c r="J179" s="429"/>
      <c r="K179" s="2110"/>
      <c r="L179" s="668"/>
      <c r="M179" s="2090"/>
      <c r="N179" s="506"/>
      <c r="O179" s="664" t="s">
        <v>231</v>
      </c>
      <c r="P179" s="506"/>
      <c r="Q179" s="664" t="s">
        <v>231</v>
      </c>
      <c r="S179" s="2139"/>
      <c r="T179" s="2094"/>
      <c r="U179" s="2088"/>
      <c r="V179" s="2082"/>
      <c r="W179" s="2084"/>
      <c r="X179" s="2086"/>
      <c r="Y179" s="2104"/>
    </row>
    <row r="180" spans="3:25" s="188" customFormat="1" ht="15.95" hidden="1" customHeight="1" thickBot="1">
      <c r="C180" s="2139"/>
      <c r="D180" s="2142"/>
      <c r="E180" s="2113"/>
      <c r="F180" s="1132">
        <v>1.2</v>
      </c>
      <c r="G180" s="1147">
        <f t="shared" ref="G180:H180" si="10">G117/20</f>
        <v>3</v>
      </c>
      <c r="H180" s="1147">
        <f t="shared" si="10"/>
        <v>2.75</v>
      </c>
      <c r="I180" s="2144"/>
      <c r="J180" s="1634"/>
      <c r="K180" s="2111"/>
      <c r="L180" s="668"/>
      <c r="M180" s="2091"/>
      <c r="N180" s="506"/>
      <c r="O180" s="664" t="s">
        <v>231</v>
      </c>
      <c r="P180" s="506"/>
      <c r="Q180" s="664" t="s">
        <v>231</v>
      </c>
      <c r="S180" s="2139"/>
      <c r="T180" s="2094"/>
      <c r="U180" s="2088"/>
      <c r="V180" s="2082"/>
      <c r="W180" s="2084"/>
      <c r="X180" s="2086"/>
      <c r="Y180" s="2105"/>
    </row>
    <row r="181" spans="3:25" s="188" customFormat="1" ht="14.1" hidden="1" customHeight="1">
      <c r="C181" s="2139"/>
      <c r="D181" s="2142"/>
      <c r="E181" s="2106" t="str">
        <f>U181</f>
        <v>ESSN</v>
      </c>
      <c r="F181" s="1127">
        <v>0.4</v>
      </c>
      <c r="G181" s="1145">
        <f t="shared" ref="G181:H189" si="11">G118/20</f>
        <v>3.95</v>
      </c>
      <c r="H181" s="1145">
        <f t="shared" si="11"/>
        <v>3.7</v>
      </c>
      <c r="I181" s="2143" t="s">
        <v>973</v>
      </c>
      <c r="J181" s="1633"/>
      <c r="K181" s="2109" t="s">
        <v>305</v>
      </c>
      <c r="L181" s="668"/>
      <c r="M181" s="2112" t="str">
        <f>IF($W$2=1,V181,#REF!)</f>
        <v xml:space="preserve">Elephant Standard  both sides </v>
      </c>
      <c r="N181" s="506"/>
      <c r="O181" s="1129" t="s">
        <v>231</v>
      </c>
      <c r="P181" s="506"/>
      <c r="Q181" s="1129" t="s">
        <v>231</v>
      </c>
      <c r="S181" s="2139"/>
      <c r="T181" s="2094"/>
      <c r="U181" s="2087" t="str">
        <f>U41</f>
        <v>ESSN</v>
      </c>
      <c r="V181" s="2081" t="s">
        <v>983</v>
      </c>
      <c r="W181" s="2083" t="str">
        <f>W168</f>
        <v>as per</v>
      </c>
      <c r="X181" s="2085" t="s">
        <v>479</v>
      </c>
      <c r="Y181" s="2103">
        <v>1</v>
      </c>
    </row>
    <row r="182" spans="3:25" s="188" customFormat="1" ht="14.1" hidden="1" customHeight="1">
      <c r="C182" s="2139"/>
      <c r="D182" s="2142"/>
      <c r="E182" s="2107"/>
      <c r="F182" s="1130">
        <v>0.8</v>
      </c>
      <c r="G182" s="1146">
        <f t="shared" si="11"/>
        <v>4.6500000000000004</v>
      </c>
      <c r="H182" s="1146">
        <f t="shared" si="11"/>
        <v>4.1500000000000004</v>
      </c>
      <c r="I182" s="1863"/>
      <c r="J182" s="429"/>
      <c r="K182" s="2110"/>
      <c r="L182" s="668"/>
      <c r="M182" s="2090"/>
      <c r="N182" s="506"/>
      <c r="O182" s="664" t="s">
        <v>231</v>
      </c>
      <c r="P182" s="506"/>
      <c r="Q182" s="664" t="s">
        <v>231</v>
      </c>
      <c r="S182" s="2139"/>
      <c r="T182" s="2094"/>
      <c r="U182" s="2088"/>
      <c r="V182" s="2082"/>
      <c r="W182" s="2084"/>
      <c r="X182" s="2086"/>
      <c r="Y182" s="2104"/>
    </row>
    <row r="183" spans="3:25" s="188" customFormat="1" ht="14.1" hidden="1" customHeight="1">
      <c r="C183" s="2139"/>
      <c r="D183" s="2142"/>
      <c r="E183" s="2113"/>
      <c r="F183" s="1132">
        <v>1.2</v>
      </c>
      <c r="G183" s="1147">
        <f t="shared" si="11"/>
        <v>4.9000000000000004</v>
      </c>
      <c r="H183" s="1147">
        <f t="shared" si="11"/>
        <v>4.4000000000000004</v>
      </c>
      <c r="I183" s="1863"/>
      <c r="J183" s="429"/>
      <c r="K183" s="2111"/>
      <c r="L183" s="668"/>
      <c r="M183" s="2091"/>
      <c r="N183" s="506"/>
      <c r="O183" s="664" t="s">
        <v>231</v>
      </c>
      <c r="P183" s="506"/>
      <c r="Q183" s="664" t="s">
        <v>231</v>
      </c>
      <c r="S183" s="2139"/>
      <c r="T183" s="2094"/>
      <c r="U183" s="2088"/>
      <c r="V183" s="2082"/>
      <c r="W183" s="2084"/>
      <c r="X183" s="2086"/>
      <c r="Y183" s="2105"/>
    </row>
    <row r="184" spans="3:25" s="188" customFormat="1" ht="14.1" hidden="1" customHeight="1">
      <c r="C184" s="2139"/>
      <c r="D184" s="2142"/>
      <c r="E184" s="2106" t="str">
        <f>U184</f>
        <v>ESSH</v>
      </c>
      <c r="F184" s="1134">
        <v>0.4</v>
      </c>
      <c r="G184" s="1148">
        <f t="shared" si="11"/>
        <v>4.75</v>
      </c>
      <c r="H184" s="1148">
        <f t="shared" si="11"/>
        <v>5.45</v>
      </c>
      <c r="I184" s="1863"/>
      <c r="J184" s="429"/>
      <c r="K184" s="2110" t="s">
        <v>307</v>
      </c>
      <c r="L184" s="668"/>
      <c r="M184" s="2090" t="str">
        <f>IF($W$2=1,V184,#REF!)</f>
        <v>Elephant Standard  both sides</v>
      </c>
      <c r="N184" s="506"/>
      <c r="O184" s="664" t="s">
        <v>231</v>
      </c>
      <c r="P184" s="506"/>
      <c r="Q184" s="664" t="s">
        <v>231</v>
      </c>
      <c r="S184" s="2139"/>
      <c r="T184" s="2094"/>
      <c r="U184" s="2088" t="str">
        <f>U44</f>
        <v>ESSH</v>
      </c>
      <c r="V184" s="2082" t="s">
        <v>984</v>
      </c>
      <c r="W184" s="2084" t="str">
        <f>W171</f>
        <v>as per</v>
      </c>
      <c r="X184" s="2086" t="s">
        <v>648</v>
      </c>
      <c r="Y184" s="2165">
        <v>3</v>
      </c>
    </row>
    <row r="185" spans="3:25" s="188" customFormat="1" ht="14.1" hidden="1" customHeight="1">
      <c r="C185" s="2139"/>
      <c r="D185" s="2142"/>
      <c r="E185" s="2107"/>
      <c r="F185" s="1130">
        <v>0.8</v>
      </c>
      <c r="G185" s="1146">
        <f t="shared" si="11"/>
        <v>6.75</v>
      </c>
      <c r="H185" s="1146">
        <f t="shared" si="11"/>
        <v>6.25</v>
      </c>
      <c r="I185" s="1863"/>
      <c r="J185" s="429"/>
      <c r="K185" s="2110"/>
      <c r="L185" s="668"/>
      <c r="M185" s="2090"/>
      <c r="N185" s="506"/>
      <c r="O185" s="664" t="s">
        <v>231</v>
      </c>
      <c r="P185" s="506"/>
      <c r="Q185" s="664" t="s">
        <v>231</v>
      </c>
      <c r="S185" s="2139"/>
      <c r="T185" s="2094"/>
      <c r="U185" s="2088"/>
      <c r="V185" s="2082"/>
      <c r="W185" s="2084"/>
      <c r="X185" s="2086"/>
      <c r="Y185" s="2104"/>
    </row>
    <row r="186" spans="3:25" s="188" customFormat="1" ht="14.1" hidden="1" customHeight="1">
      <c r="C186" s="2139"/>
      <c r="D186" s="2142"/>
      <c r="E186" s="2113"/>
      <c r="F186" s="1132">
        <v>1.2</v>
      </c>
      <c r="G186" s="1147">
        <f t="shared" si="11"/>
        <v>7.5</v>
      </c>
      <c r="H186" s="1147">
        <f t="shared" si="11"/>
        <v>6.75</v>
      </c>
      <c r="I186" s="1863"/>
      <c r="J186" s="429"/>
      <c r="K186" s="2110"/>
      <c r="L186" s="668"/>
      <c r="M186" s="2091"/>
      <c r="N186" s="506"/>
      <c r="O186" s="664" t="s">
        <v>231</v>
      </c>
      <c r="P186" s="506"/>
      <c r="Q186" s="664" t="s">
        <v>231</v>
      </c>
      <c r="S186" s="2139"/>
      <c r="T186" s="2094"/>
      <c r="U186" s="2088"/>
      <c r="V186" s="2082"/>
      <c r="W186" s="2084"/>
      <c r="X186" s="2086"/>
      <c r="Y186" s="2105"/>
    </row>
    <row r="187" spans="3:25" s="188" customFormat="1" ht="14.1" hidden="1" customHeight="1">
      <c r="C187" s="2139"/>
      <c r="D187" s="2142"/>
      <c r="E187" s="2106" t="str">
        <f>U187</f>
        <v>EMSH</v>
      </c>
      <c r="F187" s="1134">
        <v>0.4</v>
      </c>
      <c r="G187" s="1148">
        <f t="shared" si="11"/>
        <v>5.5</v>
      </c>
      <c r="H187" s="1148">
        <f t="shared" si="11"/>
        <v>5.75</v>
      </c>
      <c r="I187" s="1863"/>
      <c r="J187" s="429"/>
      <c r="K187" s="2110"/>
      <c r="L187" s="668"/>
      <c r="M187" s="2112" t="str">
        <f>IF($W$2=1,V187,#REF!)</f>
        <v>Elephant Multiboard one side,           Elephant Standard  the other</v>
      </c>
      <c r="N187" s="506"/>
      <c r="O187" s="664" t="s">
        <v>231</v>
      </c>
      <c r="P187" s="506"/>
      <c r="Q187" s="664" t="s">
        <v>231</v>
      </c>
      <c r="S187" s="2139"/>
      <c r="T187" s="2094"/>
      <c r="U187" s="2088" t="str">
        <f>U47</f>
        <v>EMSH</v>
      </c>
      <c r="V187" s="2082" t="s">
        <v>985</v>
      </c>
      <c r="W187" s="2084" t="str">
        <f>W174</f>
        <v>as per</v>
      </c>
      <c r="X187" s="2086" t="s">
        <v>649</v>
      </c>
      <c r="Y187" s="2104">
        <v>3</v>
      </c>
    </row>
    <row r="188" spans="3:25" s="188" customFormat="1" ht="14.1" hidden="1" customHeight="1">
      <c r="C188" s="2139"/>
      <c r="D188" s="2142"/>
      <c r="E188" s="2107"/>
      <c r="F188" s="1130">
        <v>0.8</v>
      </c>
      <c r="G188" s="1146">
        <f t="shared" si="11"/>
        <v>7.15</v>
      </c>
      <c r="H188" s="1146">
        <f t="shared" si="11"/>
        <v>6.7</v>
      </c>
      <c r="I188" s="1863"/>
      <c r="J188" s="429"/>
      <c r="K188" s="2110"/>
      <c r="L188" s="668"/>
      <c r="M188" s="2090"/>
      <c r="N188" s="506"/>
      <c r="O188" s="664" t="s">
        <v>231</v>
      </c>
      <c r="P188" s="506"/>
      <c r="Q188" s="664" t="s">
        <v>231</v>
      </c>
      <c r="S188" s="2139"/>
      <c r="T188" s="2094"/>
      <c r="U188" s="2088"/>
      <c r="V188" s="2082"/>
      <c r="W188" s="2084"/>
      <c r="X188" s="2086"/>
      <c r="Y188" s="2104"/>
    </row>
    <row r="189" spans="3:25" s="188" customFormat="1" ht="14.1" hidden="1" customHeight="1" thickBot="1">
      <c r="C189" s="2139"/>
      <c r="D189" s="2142"/>
      <c r="E189" s="2113"/>
      <c r="F189" s="1132">
        <v>1.2</v>
      </c>
      <c r="G189" s="1147">
        <f t="shared" si="11"/>
        <v>7.5</v>
      </c>
      <c r="H189" s="1147">
        <f t="shared" si="11"/>
        <v>7.4</v>
      </c>
      <c r="I189" s="2144"/>
      <c r="J189" s="1634"/>
      <c r="K189" s="2111"/>
      <c r="L189" s="668"/>
      <c r="M189" s="2092"/>
      <c r="N189" s="506"/>
      <c r="O189" s="1136" t="s">
        <v>231</v>
      </c>
      <c r="P189" s="506"/>
      <c r="Q189" s="1136" t="s">
        <v>231</v>
      </c>
      <c r="S189" s="2139"/>
      <c r="T189" s="2095"/>
      <c r="U189" s="2099"/>
      <c r="V189" s="2100"/>
      <c r="W189" s="2101"/>
      <c r="X189" s="2102"/>
      <c r="Y189" s="2105"/>
    </row>
    <row r="190" spans="3:25" s="188" customFormat="1" ht="15.95" hidden="1" customHeight="1" thickBot="1">
      <c r="C190" s="2139"/>
      <c r="D190" s="2145" t="str">
        <f>T190</f>
        <v>External</v>
      </c>
      <c r="E190" s="1561" t="str">
        <f>U190</f>
        <v>Plasterboard One Side, Plywood the Other</v>
      </c>
      <c r="F190" s="1561"/>
      <c r="G190" s="1561"/>
      <c r="H190" s="1561"/>
      <c r="I190" s="1561"/>
      <c r="J190" s="1636"/>
      <c r="K190" s="1561"/>
      <c r="L190" s="669"/>
      <c r="M190" s="1137"/>
      <c r="N190" s="506"/>
      <c r="O190" s="1561"/>
      <c r="P190" s="506"/>
      <c r="Q190" s="1561"/>
      <c r="S190" s="2139"/>
      <c r="T190" s="2093" t="s">
        <v>319</v>
      </c>
      <c r="U190" s="2162" t="s">
        <v>613</v>
      </c>
      <c r="V190" s="2162"/>
      <c r="W190" s="1140"/>
      <c r="X190" s="1141"/>
      <c r="Y190" s="1140"/>
    </row>
    <row r="191" spans="3:25" s="188" customFormat="1" ht="14.1" hidden="1" customHeight="1">
      <c r="C191" s="2139"/>
      <c r="D191" s="2145"/>
      <c r="E191" s="2147">
        <f>U191</f>
        <v>0</v>
      </c>
      <c r="F191" s="1127">
        <v>0.4</v>
      </c>
      <c r="G191" s="1128">
        <v>105</v>
      </c>
      <c r="H191" s="1128">
        <v>115</v>
      </c>
      <c r="I191" s="2143" t="s">
        <v>973</v>
      </c>
      <c r="J191" s="1633"/>
      <c r="K191" s="674" t="s">
        <v>307</v>
      </c>
      <c r="L191" s="668"/>
      <c r="M191" s="2090" t="str">
        <f>IF($W$2=1,V191,#REF!)</f>
        <v>Elephant Standard one side,          Plywood the other</v>
      </c>
      <c r="N191" s="506"/>
      <c r="O191" s="1129" t="s">
        <v>231</v>
      </c>
      <c r="P191" s="506"/>
      <c r="Q191" s="1129" t="s">
        <v>231</v>
      </c>
      <c r="S191" s="2139"/>
      <c r="T191" s="2094"/>
      <c r="U191" s="2087">
        <f>Table!AI170</f>
        <v>0</v>
      </c>
      <c r="V191" s="2081" t="s">
        <v>981</v>
      </c>
      <c r="W191" s="2083" t="str">
        <f>W197</f>
        <v>as per</v>
      </c>
      <c r="X191" s="2085" t="s">
        <v>650</v>
      </c>
      <c r="Y191" s="2103">
        <v>3</v>
      </c>
    </row>
    <row r="192" spans="3:25" s="188" customFormat="1" ht="14.1" hidden="1" customHeight="1">
      <c r="C192" s="2139"/>
      <c r="D192" s="2145"/>
      <c r="E192" s="2148"/>
      <c r="F192" s="1130">
        <v>0.8</v>
      </c>
      <c r="G192" s="1131">
        <v>145</v>
      </c>
      <c r="H192" s="1131">
        <v>140</v>
      </c>
      <c r="I192" s="1863"/>
      <c r="J192" s="429"/>
      <c r="K192" s="675"/>
      <c r="L192" s="668"/>
      <c r="M192" s="2090"/>
      <c r="N192" s="506"/>
      <c r="O192" s="664" t="s">
        <v>231</v>
      </c>
      <c r="P192" s="506"/>
      <c r="Q192" s="664" t="s">
        <v>231</v>
      </c>
      <c r="S192" s="2139"/>
      <c r="T192" s="2094"/>
      <c r="U192" s="2088"/>
      <c r="V192" s="2082"/>
      <c r="W192" s="2084"/>
      <c r="X192" s="2086"/>
      <c r="Y192" s="2104"/>
    </row>
    <row r="193" spans="3:25" s="188" customFormat="1" ht="14.1" hidden="1" customHeight="1">
      <c r="C193" s="2139"/>
      <c r="D193" s="2145"/>
      <c r="E193" s="2149"/>
      <c r="F193" s="1132">
        <v>1.2</v>
      </c>
      <c r="G193" s="1133">
        <v>150</v>
      </c>
      <c r="H193" s="1133">
        <v>150</v>
      </c>
      <c r="I193" s="1863"/>
      <c r="J193" s="429"/>
      <c r="K193" s="675"/>
      <c r="L193" s="668"/>
      <c r="M193" s="2091"/>
      <c r="N193" s="506"/>
      <c r="O193" s="664" t="s">
        <v>231</v>
      </c>
      <c r="P193" s="506"/>
      <c r="Q193" s="664" t="s">
        <v>231</v>
      </c>
      <c r="S193" s="2139"/>
      <c r="T193" s="2094"/>
      <c r="U193" s="2088"/>
      <c r="V193" s="2082"/>
      <c r="W193" s="2084"/>
      <c r="X193" s="2086"/>
      <c r="Y193" s="2105"/>
    </row>
    <row r="194" spans="3:25" s="188" customFormat="1" ht="14.1" hidden="1" customHeight="1">
      <c r="C194" s="2139"/>
      <c r="D194" s="2145"/>
      <c r="E194" s="2106" t="str">
        <f>U194</f>
        <v>ESPH</v>
      </c>
      <c r="F194" s="1134">
        <v>0.4</v>
      </c>
      <c r="G194" s="1148">
        <f t="shared" ref="G194:H199" si="12">G131/20</f>
        <v>5.0999999999999996</v>
      </c>
      <c r="H194" s="1148">
        <f t="shared" si="12"/>
        <v>5.7</v>
      </c>
      <c r="I194" s="1863"/>
      <c r="J194" s="429"/>
      <c r="K194" s="2110" t="s">
        <v>307</v>
      </c>
      <c r="L194" s="668"/>
      <c r="M194" s="2112" t="str">
        <f>IF($W$2=1,V194,#REF!)</f>
        <v>Elephant Standard one side,         Plywood the other</v>
      </c>
      <c r="N194" s="506"/>
      <c r="O194" s="664" t="s">
        <v>231</v>
      </c>
      <c r="P194" s="506"/>
      <c r="Q194" s="664" t="s">
        <v>231</v>
      </c>
      <c r="S194" s="2139"/>
      <c r="T194" s="2094"/>
      <c r="U194" s="2088" t="str">
        <f>U54</f>
        <v>ESPH</v>
      </c>
      <c r="V194" s="2082" t="s">
        <v>986</v>
      </c>
      <c r="W194" s="2084" t="str">
        <f>W184</f>
        <v>as per</v>
      </c>
      <c r="X194" s="2086" t="s">
        <v>650</v>
      </c>
      <c r="Y194" s="2165">
        <v>3</v>
      </c>
    </row>
    <row r="195" spans="3:25" s="188" customFormat="1" ht="14.1" hidden="1" customHeight="1">
      <c r="C195" s="2139"/>
      <c r="D195" s="2145"/>
      <c r="E195" s="2107"/>
      <c r="F195" s="1130">
        <v>0.6</v>
      </c>
      <c r="G195" s="1146">
        <f t="shared" si="12"/>
        <v>7</v>
      </c>
      <c r="H195" s="1146">
        <f t="shared" si="12"/>
        <v>7</v>
      </c>
      <c r="I195" s="1863"/>
      <c r="J195" s="429"/>
      <c r="K195" s="2110"/>
      <c r="L195" s="668"/>
      <c r="M195" s="2090"/>
      <c r="N195" s="506"/>
      <c r="O195" s="664" t="s">
        <v>231</v>
      </c>
      <c r="P195" s="506"/>
      <c r="Q195" s="664" t="s">
        <v>231</v>
      </c>
      <c r="S195" s="2139"/>
      <c r="T195" s="2094"/>
      <c r="U195" s="2088"/>
      <c r="V195" s="2082"/>
      <c r="W195" s="2084"/>
      <c r="X195" s="2086"/>
      <c r="Y195" s="2104"/>
    </row>
    <row r="196" spans="3:25" s="188" customFormat="1" ht="14.1" hidden="1" customHeight="1">
      <c r="C196" s="2139"/>
      <c r="D196" s="2145"/>
      <c r="E196" s="2113"/>
      <c r="F196" s="1132">
        <v>0.8</v>
      </c>
      <c r="G196" s="1147">
        <f t="shared" si="12"/>
        <v>7.5</v>
      </c>
      <c r="H196" s="1147">
        <f t="shared" si="12"/>
        <v>7.5</v>
      </c>
      <c r="I196" s="1863"/>
      <c r="J196" s="429"/>
      <c r="K196" s="2110"/>
      <c r="L196" s="668"/>
      <c r="M196" s="2091"/>
      <c r="N196" s="506"/>
      <c r="O196" s="664" t="s">
        <v>231</v>
      </c>
      <c r="P196" s="506"/>
      <c r="Q196" s="664" t="s">
        <v>231</v>
      </c>
      <c r="S196" s="2139"/>
      <c r="T196" s="2094"/>
      <c r="U196" s="2088"/>
      <c r="V196" s="2082"/>
      <c r="W196" s="2084"/>
      <c r="X196" s="2086"/>
      <c r="Y196" s="2105"/>
    </row>
    <row r="197" spans="3:25" s="188" customFormat="1" ht="14.1" hidden="1" customHeight="1">
      <c r="C197" s="2139"/>
      <c r="D197" s="2145"/>
      <c r="E197" s="2106" t="str">
        <f>U197</f>
        <v>EMPH</v>
      </c>
      <c r="F197" s="1134">
        <v>0.4</v>
      </c>
      <c r="G197" s="1148">
        <f t="shared" si="12"/>
        <v>6.05</v>
      </c>
      <c r="H197" s="1148">
        <f t="shared" si="12"/>
        <v>6.9</v>
      </c>
      <c r="I197" s="1863"/>
      <c r="J197" s="429"/>
      <c r="K197" s="2110"/>
      <c r="L197" s="668"/>
      <c r="M197" s="2090" t="str">
        <f>IF($W$2=1,V197,#REF!)</f>
        <v>Elephant Multiboard one side,               Plywood the other</v>
      </c>
      <c r="N197" s="506"/>
      <c r="O197" s="664" t="s">
        <v>231</v>
      </c>
      <c r="P197" s="506"/>
      <c r="Q197" s="664" t="s">
        <v>231</v>
      </c>
      <c r="S197" s="2139"/>
      <c r="T197" s="2094"/>
      <c r="U197" s="2088" t="str">
        <f>U57</f>
        <v>EMPH</v>
      </c>
      <c r="V197" s="2082" t="s">
        <v>615</v>
      </c>
      <c r="W197" s="2084" t="str">
        <f>W187</f>
        <v>as per</v>
      </c>
      <c r="X197" s="2086" t="s">
        <v>651</v>
      </c>
      <c r="Y197" s="2104">
        <v>3</v>
      </c>
    </row>
    <row r="198" spans="3:25" s="188" customFormat="1" ht="14.1" hidden="1" customHeight="1">
      <c r="C198" s="2139"/>
      <c r="D198" s="2145"/>
      <c r="E198" s="2107"/>
      <c r="F198" s="1130">
        <v>0.6</v>
      </c>
      <c r="G198" s="1146">
        <f t="shared" si="12"/>
        <v>7.4</v>
      </c>
      <c r="H198" s="1146">
        <f t="shared" si="12"/>
        <v>7.5</v>
      </c>
      <c r="I198" s="1863"/>
      <c r="J198" s="429"/>
      <c r="K198" s="2110"/>
      <c r="L198" s="668"/>
      <c r="M198" s="2090"/>
      <c r="N198" s="506"/>
      <c r="O198" s="664" t="s">
        <v>231</v>
      </c>
      <c r="P198" s="506"/>
      <c r="Q198" s="664" t="s">
        <v>231</v>
      </c>
      <c r="S198" s="2139"/>
      <c r="T198" s="2094"/>
      <c r="U198" s="2088"/>
      <c r="V198" s="2082"/>
      <c r="W198" s="2084"/>
      <c r="X198" s="2086"/>
      <c r="Y198" s="2104"/>
    </row>
    <row r="199" spans="3:25" s="188" customFormat="1" ht="14.1" hidden="1" customHeight="1" thickBot="1">
      <c r="C199" s="2140"/>
      <c r="D199" s="2146"/>
      <c r="E199" s="2108"/>
      <c r="F199" s="1142">
        <v>0.8</v>
      </c>
      <c r="G199" s="1149">
        <f t="shared" si="12"/>
        <v>7.5</v>
      </c>
      <c r="H199" s="1149">
        <f t="shared" si="12"/>
        <v>7.5</v>
      </c>
      <c r="I199" s="2160"/>
      <c r="J199" s="1613"/>
      <c r="K199" s="2161"/>
      <c r="L199" s="668"/>
      <c r="M199" s="2092"/>
      <c r="N199" s="506"/>
      <c r="O199" s="1144" t="s">
        <v>231</v>
      </c>
      <c r="P199" s="506"/>
      <c r="Q199" s="1144" t="s">
        <v>231</v>
      </c>
      <c r="S199" s="2140"/>
      <c r="T199" s="2095"/>
      <c r="U199" s="2099"/>
      <c r="V199" s="2100"/>
      <c r="W199" s="2101"/>
      <c r="X199" s="2102"/>
      <c r="Y199" s="2105"/>
    </row>
    <row r="200" spans="3:25" s="188" customFormat="1" hidden="1">
      <c r="N200" s="506"/>
      <c r="P200" s="506"/>
      <c r="Q200" s="506"/>
    </row>
    <row r="201" spans="3:25" s="188" customFormat="1" hidden="1">
      <c r="N201" s="506"/>
      <c r="P201" s="506"/>
      <c r="Q201" s="506"/>
    </row>
    <row r="202" spans="3:25" s="188" customFormat="1" hidden="1">
      <c r="N202" s="506"/>
      <c r="P202" s="506"/>
      <c r="Q202" s="506"/>
    </row>
    <row r="203" spans="3:25" s="188" customFormat="1" hidden="1">
      <c r="N203" s="506"/>
      <c r="P203" s="506"/>
      <c r="Q203" s="506"/>
    </row>
    <row r="204" spans="3:25" s="188" customFormat="1" hidden="1">
      <c r="N204" s="506"/>
      <c r="P204" s="506"/>
      <c r="Q204" s="506"/>
    </row>
    <row r="205" spans="3:25" s="188" customFormat="1" hidden="1">
      <c r="N205" s="506"/>
      <c r="P205" s="506"/>
      <c r="Q205" s="506"/>
    </row>
    <row r="206" spans="3:25" s="188" customFormat="1" hidden="1">
      <c r="N206" s="506"/>
      <c r="P206" s="506"/>
      <c r="Q206" s="506"/>
    </row>
    <row r="207" spans="3:25" s="188" customFormat="1" hidden="1">
      <c r="N207" s="506"/>
      <c r="P207" s="506"/>
      <c r="Q207" s="506"/>
    </row>
    <row r="208" spans="3:25" s="188" customFormat="1" hidden="1">
      <c r="N208" s="506"/>
      <c r="P208" s="506"/>
      <c r="Q208" s="506"/>
    </row>
    <row r="209" spans="14:17" s="188" customFormat="1" hidden="1">
      <c r="N209" s="506"/>
      <c r="P209" s="506"/>
      <c r="Q209" s="506"/>
    </row>
    <row r="210" spans="14:17" s="188" customFormat="1" hidden="1">
      <c r="N210" s="506"/>
      <c r="P210" s="506"/>
      <c r="Q210" s="506"/>
    </row>
    <row r="211" spans="14:17" s="188" customFormat="1" hidden="1">
      <c r="N211" s="506"/>
      <c r="P211" s="506"/>
      <c r="Q211" s="506"/>
    </row>
    <row r="212" spans="14:17" s="188" customFormat="1" hidden="1">
      <c r="N212" s="506"/>
      <c r="P212" s="506"/>
      <c r="Q212" s="506"/>
    </row>
    <row r="213" spans="14:17" s="188" customFormat="1" hidden="1">
      <c r="N213" s="506"/>
      <c r="P213" s="506"/>
      <c r="Q213" s="506"/>
    </row>
    <row r="214" spans="14:17" s="188" customFormat="1" hidden="1">
      <c r="N214" s="506"/>
      <c r="P214" s="506"/>
      <c r="Q214" s="506"/>
    </row>
    <row r="215" spans="14:17" s="188" customFormat="1" hidden="1">
      <c r="N215" s="506"/>
      <c r="P215" s="506"/>
      <c r="Q215" s="506"/>
    </row>
    <row r="216" spans="14:17" s="188" customFormat="1" hidden="1">
      <c r="N216" s="506"/>
      <c r="P216" s="506"/>
      <c r="Q216" s="506"/>
    </row>
    <row r="217" spans="14:17" s="188" customFormat="1" hidden="1">
      <c r="N217" s="506"/>
      <c r="P217" s="506"/>
      <c r="Q217" s="506"/>
    </row>
    <row r="218" spans="14:17" s="188" customFormat="1" hidden="1">
      <c r="N218" s="506"/>
      <c r="P218" s="506"/>
      <c r="Q218" s="506"/>
    </row>
    <row r="219" spans="14:17" s="188" customFormat="1" hidden="1">
      <c r="N219" s="506"/>
      <c r="P219" s="506"/>
      <c r="Q219" s="506"/>
    </row>
    <row r="220" spans="14:17" s="188" customFormat="1" hidden="1">
      <c r="N220" s="506"/>
      <c r="P220" s="506"/>
      <c r="Q220" s="506"/>
    </row>
    <row r="221" spans="14:17" s="188" customFormat="1" hidden="1">
      <c r="N221" s="506"/>
      <c r="P221" s="506"/>
      <c r="Q221" s="506"/>
    </row>
    <row r="222" spans="14:17" s="188" customFormat="1" hidden="1">
      <c r="N222" s="506"/>
      <c r="P222" s="506"/>
      <c r="Q222" s="506"/>
    </row>
    <row r="223" spans="14:17" s="188" customFormat="1" hidden="1">
      <c r="N223" s="506"/>
      <c r="P223" s="506"/>
      <c r="Q223" s="506"/>
    </row>
    <row r="224" spans="14:17" s="188" customFormat="1" hidden="1">
      <c r="N224" s="506"/>
      <c r="P224" s="506"/>
      <c r="Q224" s="506"/>
    </row>
    <row r="225" spans="14:17" s="188" customFormat="1" hidden="1">
      <c r="N225" s="506"/>
      <c r="P225" s="506"/>
      <c r="Q225" s="506"/>
    </row>
    <row r="226" spans="14:17" s="188" customFormat="1" hidden="1">
      <c r="N226" s="506"/>
      <c r="P226" s="506"/>
      <c r="Q226" s="506"/>
    </row>
    <row r="227" spans="14:17" s="188" customFormat="1" hidden="1">
      <c r="N227" s="506"/>
      <c r="P227" s="506"/>
      <c r="Q227" s="506"/>
    </row>
    <row r="228" spans="14:17" s="188" customFormat="1" hidden="1">
      <c r="N228" s="506"/>
      <c r="P228" s="506"/>
      <c r="Q228" s="506"/>
    </row>
    <row r="229" spans="14:17" s="188" customFormat="1" hidden="1">
      <c r="N229" s="506"/>
      <c r="P229" s="506"/>
      <c r="Q229" s="506"/>
    </row>
    <row r="230" spans="14:17" s="188" customFormat="1" hidden="1">
      <c r="N230" s="506"/>
      <c r="P230" s="506"/>
      <c r="Q230" s="506"/>
    </row>
    <row r="231" spans="14:17" s="188" customFormat="1" hidden="1">
      <c r="N231" s="506"/>
      <c r="P231" s="506"/>
      <c r="Q231" s="506"/>
    </row>
    <row r="232" spans="14:17" s="188" customFormat="1" hidden="1">
      <c r="N232" s="506"/>
      <c r="P232" s="506"/>
      <c r="Q232" s="506"/>
    </row>
    <row r="233" spans="14:17" s="188" customFormat="1" hidden="1">
      <c r="N233" s="506"/>
      <c r="P233" s="506"/>
      <c r="Q233" s="506"/>
    </row>
    <row r="234" spans="14:17" s="188" customFormat="1" hidden="1">
      <c r="N234" s="506"/>
      <c r="P234" s="506"/>
      <c r="Q234" s="506"/>
    </row>
    <row r="235" spans="14:17" s="188" customFormat="1" hidden="1">
      <c r="N235" s="506"/>
      <c r="P235" s="506"/>
      <c r="Q235" s="506"/>
    </row>
    <row r="236" spans="14:17" s="188" customFormat="1" hidden="1">
      <c r="N236" s="506"/>
      <c r="P236" s="506"/>
      <c r="Q236" s="506"/>
    </row>
    <row r="237" spans="14:17" s="188" customFormat="1" hidden="1">
      <c r="N237" s="506"/>
      <c r="P237" s="506"/>
      <c r="Q237" s="506"/>
    </row>
    <row r="238" spans="14:17" s="188" customFormat="1" hidden="1">
      <c r="N238" s="506"/>
      <c r="P238" s="506"/>
      <c r="Q238" s="506"/>
    </row>
    <row r="239" spans="14:17" s="188" customFormat="1" hidden="1">
      <c r="N239" s="506"/>
      <c r="P239" s="506"/>
      <c r="Q239" s="506"/>
    </row>
    <row r="240" spans="14:17" s="188" customFormat="1" hidden="1">
      <c r="N240" s="506"/>
      <c r="P240" s="506"/>
      <c r="Q240" s="506"/>
    </row>
    <row r="241" spans="14:17" s="188" customFormat="1" hidden="1">
      <c r="N241" s="506"/>
      <c r="P241" s="506"/>
      <c r="Q241" s="506"/>
    </row>
    <row r="242" spans="14:17" s="188" customFormat="1" hidden="1">
      <c r="N242" s="506"/>
      <c r="P242" s="506"/>
      <c r="Q242" s="506"/>
    </row>
    <row r="243" spans="14:17" s="188" customFormat="1" hidden="1">
      <c r="N243" s="506"/>
      <c r="P243" s="506"/>
      <c r="Q243" s="506"/>
    </row>
    <row r="244" spans="14:17" s="188" customFormat="1" hidden="1">
      <c r="N244" s="506"/>
      <c r="P244" s="506"/>
      <c r="Q244" s="506"/>
    </row>
    <row r="245" spans="14:17" s="188" customFormat="1" hidden="1">
      <c r="N245" s="506"/>
      <c r="P245" s="506"/>
      <c r="Q245" s="506"/>
    </row>
    <row r="246" spans="14:17" s="188" customFormat="1" hidden="1">
      <c r="N246" s="506"/>
      <c r="P246" s="506"/>
      <c r="Q246" s="506"/>
    </row>
    <row r="247" spans="14:17" s="188" customFormat="1">
      <c r="N247" s="506"/>
      <c r="P247" s="506"/>
      <c r="Q247" s="506"/>
    </row>
    <row r="248" spans="14:17" s="188" customFormat="1">
      <c r="N248" s="506"/>
      <c r="P248" s="506"/>
      <c r="Q248" s="506"/>
    </row>
    <row r="249" spans="14:17" s="188" customFormat="1">
      <c r="N249" s="506"/>
      <c r="P249" s="506"/>
      <c r="Q249" s="506"/>
    </row>
    <row r="250" spans="14:17" s="188" customFormat="1">
      <c r="N250" s="506"/>
      <c r="P250" s="506"/>
      <c r="Q250" s="506"/>
    </row>
    <row r="251" spans="14:17" s="188" customFormat="1">
      <c r="N251" s="506"/>
      <c r="P251" s="506"/>
      <c r="Q251" s="506"/>
    </row>
    <row r="252" spans="14:17" s="188" customFormat="1">
      <c r="N252" s="506"/>
      <c r="P252" s="506"/>
      <c r="Q252" s="506"/>
    </row>
    <row r="253" spans="14:17" s="188" customFormat="1">
      <c r="N253" s="506"/>
      <c r="P253" s="506"/>
      <c r="Q253" s="506"/>
    </row>
    <row r="254" spans="14:17" s="188" customFormat="1">
      <c r="N254" s="506"/>
      <c r="P254" s="506"/>
      <c r="Q254" s="506"/>
    </row>
    <row r="255" spans="14:17" s="188" customFormat="1">
      <c r="N255" s="506"/>
      <c r="P255" s="506"/>
      <c r="Q255" s="506"/>
    </row>
    <row r="256" spans="14:17" s="188" customFormat="1">
      <c r="N256" s="506"/>
      <c r="P256" s="506"/>
      <c r="Q256" s="506"/>
    </row>
    <row r="257" spans="14:17" s="188" customFormat="1">
      <c r="N257" s="506"/>
      <c r="P257" s="506"/>
      <c r="Q257" s="506"/>
    </row>
    <row r="258" spans="14:17" s="188" customFormat="1">
      <c r="N258" s="506"/>
      <c r="P258" s="506"/>
      <c r="Q258" s="506"/>
    </row>
    <row r="259" spans="14:17" s="188" customFormat="1">
      <c r="N259" s="506"/>
      <c r="P259" s="506"/>
      <c r="Q259" s="506"/>
    </row>
    <row r="260" spans="14:17" s="188" customFormat="1">
      <c r="N260" s="506"/>
      <c r="P260" s="506"/>
      <c r="Q260" s="506"/>
    </row>
    <row r="261" spans="14:17" s="188" customFormat="1">
      <c r="N261" s="506"/>
      <c r="P261" s="506"/>
      <c r="Q261" s="506"/>
    </row>
    <row r="262" spans="14:17" s="188" customFormat="1">
      <c r="N262" s="506"/>
      <c r="P262" s="506"/>
      <c r="Q262" s="506"/>
    </row>
    <row r="263" spans="14:17" s="188" customFormat="1">
      <c r="N263" s="506"/>
      <c r="P263" s="506"/>
      <c r="Q263" s="506"/>
    </row>
    <row r="264" spans="14:17" s="188" customFormat="1">
      <c r="N264" s="506"/>
      <c r="P264" s="506"/>
      <c r="Q264" s="506"/>
    </row>
    <row r="265" spans="14:17" s="188" customFormat="1">
      <c r="N265" s="506"/>
      <c r="P265" s="506"/>
      <c r="Q265" s="506"/>
    </row>
    <row r="266" spans="14:17" s="188" customFormat="1">
      <c r="N266" s="506"/>
      <c r="P266" s="506"/>
      <c r="Q266" s="506"/>
    </row>
    <row r="267" spans="14:17" s="188" customFormat="1">
      <c r="N267" s="506"/>
      <c r="P267" s="506"/>
      <c r="Q267" s="506"/>
    </row>
    <row r="268" spans="14:17" s="188" customFormat="1">
      <c r="N268" s="506"/>
      <c r="P268" s="506"/>
      <c r="Q268" s="506"/>
    </row>
    <row r="269" spans="14:17" s="188" customFormat="1">
      <c r="N269" s="506"/>
      <c r="P269" s="506"/>
      <c r="Q269" s="506"/>
    </row>
    <row r="270" spans="14:17" s="188" customFormat="1">
      <c r="N270" s="506"/>
      <c r="P270" s="506"/>
      <c r="Q270" s="506"/>
    </row>
    <row r="271" spans="14:17" s="188" customFormat="1">
      <c r="N271" s="506"/>
      <c r="P271" s="506"/>
      <c r="Q271" s="506"/>
    </row>
    <row r="272" spans="14:17" s="188" customFormat="1">
      <c r="N272" s="506"/>
      <c r="P272" s="506"/>
      <c r="Q272" s="506"/>
    </row>
    <row r="273" spans="14:17" s="188" customFormat="1">
      <c r="N273" s="506"/>
      <c r="P273" s="506"/>
      <c r="Q273" s="506"/>
    </row>
    <row r="274" spans="14:17" s="188" customFormat="1">
      <c r="N274" s="506"/>
      <c r="P274" s="506"/>
      <c r="Q274" s="506"/>
    </row>
    <row r="275" spans="14:17" s="188" customFormat="1">
      <c r="N275" s="506"/>
      <c r="P275" s="506"/>
      <c r="Q275" s="506"/>
    </row>
    <row r="276" spans="14:17" s="188" customFormat="1">
      <c r="N276" s="506"/>
      <c r="P276" s="506"/>
      <c r="Q276" s="506"/>
    </row>
    <row r="277" spans="14:17" s="188" customFormat="1">
      <c r="N277" s="506"/>
      <c r="P277" s="506"/>
      <c r="Q277" s="506"/>
    </row>
    <row r="278" spans="14:17" s="188" customFormat="1">
      <c r="N278" s="506"/>
      <c r="P278" s="506"/>
      <c r="Q278" s="506"/>
    </row>
    <row r="279" spans="14:17" s="188" customFormat="1">
      <c r="N279" s="506"/>
      <c r="P279" s="506"/>
      <c r="Q279" s="506"/>
    </row>
    <row r="280" spans="14:17" s="188" customFormat="1">
      <c r="N280" s="506"/>
      <c r="P280" s="506"/>
      <c r="Q280" s="506"/>
    </row>
    <row r="281" spans="14:17" s="188" customFormat="1">
      <c r="N281" s="506"/>
      <c r="P281" s="506"/>
      <c r="Q281" s="506"/>
    </row>
    <row r="282" spans="14:17" s="188" customFormat="1">
      <c r="N282" s="506"/>
      <c r="P282" s="506"/>
      <c r="Q282" s="506"/>
    </row>
    <row r="283" spans="14:17" s="188" customFormat="1">
      <c r="N283" s="506"/>
      <c r="P283" s="506"/>
      <c r="Q283" s="506"/>
    </row>
    <row r="284" spans="14:17" s="188" customFormat="1">
      <c r="N284" s="506"/>
      <c r="P284" s="506"/>
      <c r="Q284" s="506"/>
    </row>
    <row r="285" spans="14:17" s="188" customFormat="1">
      <c r="N285" s="506"/>
      <c r="P285" s="506"/>
      <c r="Q285" s="506"/>
    </row>
    <row r="286" spans="14:17" s="188" customFormat="1">
      <c r="N286" s="506"/>
      <c r="P286" s="506"/>
      <c r="Q286" s="506"/>
    </row>
    <row r="287" spans="14:17" s="188" customFormat="1">
      <c r="N287" s="506"/>
      <c r="P287" s="506"/>
      <c r="Q287" s="506"/>
    </row>
    <row r="288" spans="14:17" s="188" customFormat="1">
      <c r="N288" s="506"/>
      <c r="P288" s="506"/>
      <c r="Q288" s="506"/>
    </row>
    <row r="289" spans="14:17" s="188" customFormat="1">
      <c r="N289" s="506"/>
      <c r="P289" s="506"/>
      <c r="Q289" s="506"/>
    </row>
    <row r="290" spans="14:17" s="188" customFormat="1">
      <c r="N290" s="506"/>
      <c r="P290" s="506"/>
      <c r="Q290" s="506"/>
    </row>
    <row r="291" spans="14:17" s="188" customFormat="1">
      <c r="N291" s="506"/>
      <c r="P291" s="506"/>
      <c r="Q291" s="506"/>
    </row>
    <row r="292" spans="14:17" s="188" customFormat="1">
      <c r="N292" s="506"/>
      <c r="P292" s="506"/>
      <c r="Q292" s="506"/>
    </row>
    <row r="293" spans="14:17" s="188" customFormat="1">
      <c r="N293" s="506"/>
      <c r="P293" s="506"/>
      <c r="Q293" s="506"/>
    </row>
    <row r="294" spans="14:17" s="188" customFormat="1">
      <c r="N294" s="506"/>
      <c r="P294" s="506"/>
      <c r="Q294" s="506"/>
    </row>
    <row r="295" spans="14:17" s="188" customFormat="1">
      <c r="N295" s="506"/>
      <c r="P295" s="506"/>
      <c r="Q295" s="506"/>
    </row>
    <row r="296" spans="14:17" s="188" customFormat="1">
      <c r="N296" s="506"/>
      <c r="P296" s="506"/>
      <c r="Q296" s="506"/>
    </row>
    <row r="297" spans="14:17" s="188" customFormat="1">
      <c r="N297" s="506"/>
      <c r="P297" s="506"/>
      <c r="Q297" s="506"/>
    </row>
    <row r="298" spans="14:17" s="188" customFormat="1">
      <c r="N298" s="506"/>
      <c r="P298" s="506"/>
      <c r="Q298" s="506"/>
    </row>
    <row r="299" spans="14:17" s="188" customFormat="1">
      <c r="N299" s="506"/>
      <c r="P299" s="506"/>
      <c r="Q299" s="506"/>
    </row>
    <row r="300" spans="14:17" s="188" customFormat="1">
      <c r="N300" s="506"/>
      <c r="P300" s="506"/>
      <c r="Q300" s="506"/>
    </row>
    <row r="301" spans="14:17" s="188" customFormat="1">
      <c r="N301" s="506"/>
      <c r="P301" s="506"/>
      <c r="Q301" s="506"/>
    </row>
    <row r="302" spans="14:17" s="188" customFormat="1">
      <c r="N302" s="506"/>
      <c r="P302" s="506"/>
      <c r="Q302" s="506"/>
    </row>
    <row r="303" spans="14:17" s="188" customFormat="1">
      <c r="N303" s="506"/>
      <c r="P303" s="506"/>
      <c r="Q303" s="506"/>
    </row>
    <row r="304" spans="14:17" s="188" customFormat="1">
      <c r="N304" s="506"/>
      <c r="P304" s="506"/>
      <c r="Q304" s="506"/>
    </row>
    <row r="305" spans="14:17" s="188" customFormat="1">
      <c r="N305" s="506"/>
      <c r="P305" s="506"/>
      <c r="Q305" s="506"/>
    </row>
    <row r="306" spans="14:17" s="188" customFormat="1">
      <c r="N306" s="506"/>
      <c r="P306" s="506"/>
      <c r="Q306" s="506"/>
    </row>
    <row r="307" spans="14:17" s="188" customFormat="1">
      <c r="N307" s="506"/>
      <c r="P307" s="506"/>
      <c r="Q307" s="506"/>
    </row>
    <row r="308" spans="14:17" s="188" customFormat="1">
      <c r="N308" s="506"/>
      <c r="P308" s="506"/>
      <c r="Q308" s="506"/>
    </row>
    <row r="309" spans="14:17" s="188" customFormat="1">
      <c r="N309" s="506"/>
      <c r="P309" s="506"/>
      <c r="Q309" s="506"/>
    </row>
    <row r="310" spans="14:17" s="188" customFormat="1">
      <c r="N310" s="506"/>
      <c r="P310" s="506"/>
      <c r="Q310" s="506"/>
    </row>
    <row r="311" spans="14:17" s="188" customFormat="1">
      <c r="N311" s="506"/>
      <c r="P311" s="506"/>
      <c r="Q311" s="506"/>
    </row>
    <row r="312" spans="14:17" s="188" customFormat="1">
      <c r="N312" s="506"/>
      <c r="P312" s="506"/>
      <c r="Q312" s="506"/>
    </row>
    <row r="313" spans="14:17" s="188" customFormat="1">
      <c r="N313" s="506"/>
      <c r="P313" s="506"/>
      <c r="Q313" s="506"/>
    </row>
    <row r="314" spans="14:17" s="188" customFormat="1">
      <c r="N314" s="506"/>
      <c r="P314" s="506"/>
      <c r="Q314" s="506"/>
    </row>
    <row r="315" spans="14:17" s="188" customFormat="1">
      <c r="N315" s="506"/>
      <c r="P315" s="506"/>
      <c r="Q315" s="506"/>
    </row>
    <row r="316" spans="14:17" s="188" customFormat="1">
      <c r="N316" s="506"/>
      <c r="P316" s="506"/>
      <c r="Q316" s="506"/>
    </row>
    <row r="317" spans="14:17" s="188" customFormat="1">
      <c r="N317" s="506"/>
      <c r="P317" s="506"/>
      <c r="Q317" s="506"/>
    </row>
    <row r="318" spans="14:17" s="188" customFormat="1">
      <c r="N318" s="506"/>
      <c r="P318" s="506"/>
      <c r="Q318" s="506"/>
    </row>
    <row r="319" spans="14:17" s="188" customFormat="1">
      <c r="N319" s="506"/>
      <c r="P319" s="506"/>
      <c r="Q319" s="506"/>
    </row>
    <row r="320" spans="14:17" s="188" customFormat="1">
      <c r="N320" s="506"/>
      <c r="P320" s="506"/>
      <c r="Q320" s="506"/>
    </row>
    <row r="321" spans="14:17" s="188" customFormat="1">
      <c r="N321" s="506"/>
      <c r="P321" s="506"/>
      <c r="Q321" s="506"/>
    </row>
    <row r="322" spans="14:17" s="188" customFormat="1">
      <c r="N322" s="506"/>
      <c r="P322" s="506"/>
      <c r="Q322" s="506"/>
    </row>
    <row r="323" spans="14:17" s="188" customFormat="1">
      <c r="N323" s="506"/>
      <c r="P323" s="506"/>
      <c r="Q323" s="506"/>
    </row>
    <row r="324" spans="14:17" s="188" customFormat="1">
      <c r="N324" s="506"/>
      <c r="P324" s="506"/>
      <c r="Q324" s="506"/>
    </row>
    <row r="325" spans="14:17" s="188" customFormat="1">
      <c r="N325" s="506"/>
      <c r="P325" s="506"/>
      <c r="Q325" s="506"/>
    </row>
    <row r="326" spans="14:17" s="188" customFormat="1">
      <c r="N326" s="506"/>
      <c r="P326" s="506"/>
      <c r="Q326" s="506"/>
    </row>
    <row r="327" spans="14:17" s="188" customFormat="1">
      <c r="N327" s="506"/>
      <c r="P327" s="506"/>
      <c r="Q327" s="506"/>
    </row>
    <row r="328" spans="14:17" s="188" customFormat="1">
      <c r="N328" s="506"/>
      <c r="P328" s="506"/>
      <c r="Q328" s="506"/>
    </row>
    <row r="329" spans="14:17" s="188" customFormat="1">
      <c r="N329" s="506"/>
      <c r="P329" s="506"/>
      <c r="Q329" s="506"/>
    </row>
    <row r="330" spans="14:17" s="188" customFormat="1">
      <c r="N330" s="506"/>
      <c r="P330" s="506"/>
      <c r="Q330" s="506"/>
    </row>
    <row r="331" spans="14:17" s="188" customFormat="1">
      <c r="N331" s="506"/>
      <c r="P331" s="506"/>
      <c r="Q331" s="506"/>
    </row>
    <row r="332" spans="14:17" s="188" customFormat="1">
      <c r="N332" s="506"/>
      <c r="P332" s="506"/>
      <c r="Q332" s="506"/>
    </row>
    <row r="333" spans="14:17" s="188" customFormat="1">
      <c r="N333" s="506"/>
      <c r="P333" s="506"/>
      <c r="Q333" s="506"/>
    </row>
    <row r="334" spans="14:17" s="188" customFormat="1">
      <c r="N334" s="506"/>
      <c r="P334" s="506"/>
      <c r="Q334" s="506"/>
    </row>
    <row r="335" spans="14:17" s="188" customFormat="1">
      <c r="N335" s="506"/>
      <c r="P335" s="506"/>
      <c r="Q335" s="506"/>
    </row>
    <row r="336" spans="14:17" s="188" customFormat="1">
      <c r="N336" s="506"/>
      <c r="P336" s="506"/>
      <c r="Q336" s="506"/>
    </row>
    <row r="337" spans="14:17" s="188" customFormat="1">
      <c r="N337" s="506"/>
      <c r="P337" s="506"/>
      <c r="Q337" s="506"/>
    </row>
    <row r="338" spans="14:17" s="188" customFormat="1">
      <c r="N338" s="506"/>
      <c r="P338" s="506"/>
      <c r="Q338" s="506"/>
    </row>
    <row r="339" spans="14:17" s="503" customFormat="1">
      <c r="N339" s="419"/>
      <c r="P339" s="419"/>
      <c r="Q339" s="419"/>
    </row>
    <row r="340" spans="14:17" s="503" customFormat="1">
      <c r="N340" s="419"/>
      <c r="P340" s="419"/>
      <c r="Q340" s="419"/>
    </row>
    <row r="341" spans="14:17" s="503" customFormat="1">
      <c r="N341" s="419"/>
      <c r="P341" s="419"/>
      <c r="Q341" s="419"/>
    </row>
    <row r="342" spans="14:17" s="503" customFormat="1">
      <c r="N342" s="419"/>
      <c r="P342" s="419"/>
      <c r="Q342" s="419"/>
    </row>
    <row r="343" spans="14:17" s="503" customFormat="1">
      <c r="N343" s="419"/>
      <c r="P343" s="419"/>
      <c r="Q343" s="419"/>
    </row>
    <row r="344" spans="14:17" s="503" customFormat="1">
      <c r="N344" s="419"/>
      <c r="P344" s="419"/>
      <c r="Q344" s="419"/>
    </row>
    <row r="345" spans="14:17" s="503" customFormat="1">
      <c r="N345" s="419"/>
      <c r="P345" s="419"/>
      <c r="Q345" s="419"/>
    </row>
    <row r="346" spans="14:17" s="503" customFormat="1">
      <c r="N346" s="419"/>
      <c r="P346" s="419"/>
      <c r="Q346" s="419"/>
    </row>
    <row r="347" spans="14:17" s="503" customFormat="1">
      <c r="N347" s="419"/>
      <c r="P347" s="419"/>
      <c r="Q347" s="419"/>
    </row>
    <row r="348" spans="14:17" s="503" customFormat="1">
      <c r="N348" s="419"/>
      <c r="P348" s="419"/>
      <c r="Q348" s="419"/>
    </row>
    <row r="349" spans="14:17" s="503" customFormat="1">
      <c r="N349" s="419"/>
      <c r="P349" s="419"/>
      <c r="Q349" s="419"/>
    </row>
    <row r="350" spans="14:17" s="503" customFormat="1">
      <c r="N350" s="419"/>
      <c r="P350" s="419"/>
      <c r="Q350" s="419"/>
    </row>
    <row r="351" spans="14:17" s="503" customFormat="1">
      <c r="N351" s="419"/>
      <c r="P351" s="419"/>
      <c r="Q351" s="419"/>
    </row>
    <row r="352" spans="14:17" s="503" customFormat="1">
      <c r="N352" s="419"/>
      <c r="P352" s="419"/>
      <c r="Q352" s="419"/>
    </row>
    <row r="353" spans="14:17" s="503" customFormat="1">
      <c r="N353" s="419"/>
      <c r="P353" s="419"/>
      <c r="Q353" s="419"/>
    </row>
    <row r="354" spans="14:17" s="503" customFormat="1">
      <c r="N354" s="419"/>
      <c r="P354" s="419"/>
      <c r="Q354" s="419"/>
    </row>
    <row r="355" spans="14:17" s="503" customFormat="1">
      <c r="N355" s="419"/>
      <c r="P355" s="419"/>
      <c r="Q355" s="419"/>
    </row>
    <row r="356" spans="14:17" s="503" customFormat="1">
      <c r="N356" s="419"/>
      <c r="P356" s="419"/>
      <c r="Q356" s="419"/>
    </row>
    <row r="357" spans="14:17" s="503" customFormat="1">
      <c r="N357" s="419"/>
      <c r="P357" s="419"/>
      <c r="Q357" s="419"/>
    </row>
    <row r="358" spans="14:17" s="503" customFormat="1">
      <c r="N358" s="419"/>
      <c r="P358" s="419"/>
      <c r="Q358" s="419"/>
    </row>
    <row r="359" spans="14:17" s="503" customFormat="1">
      <c r="N359" s="419"/>
      <c r="P359" s="419"/>
      <c r="Q359" s="419"/>
    </row>
    <row r="360" spans="14:17" s="503" customFormat="1">
      <c r="N360" s="419"/>
      <c r="P360" s="419"/>
      <c r="Q360" s="419"/>
    </row>
    <row r="361" spans="14:17" s="503" customFormat="1">
      <c r="N361" s="419"/>
      <c r="P361" s="419"/>
      <c r="Q361" s="419"/>
    </row>
    <row r="362" spans="14:17" s="503" customFormat="1">
      <c r="N362" s="419"/>
      <c r="P362" s="419"/>
      <c r="Q362" s="419"/>
    </row>
    <row r="363" spans="14:17" s="503" customFormat="1">
      <c r="N363" s="419"/>
      <c r="P363" s="419"/>
      <c r="Q363" s="419"/>
    </row>
    <row r="364" spans="14:17" s="503" customFormat="1">
      <c r="N364" s="419"/>
      <c r="P364" s="419"/>
      <c r="Q364" s="419"/>
    </row>
    <row r="365" spans="14:17" s="503" customFormat="1">
      <c r="N365" s="419"/>
      <c r="P365" s="419"/>
      <c r="Q365" s="419"/>
    </row>
    <row r="366" spans="14:17" s="503" customFormat="1">
      <c r="N366" s="419"/>
      <c r="P366" s="419"/>
      <c r="Q366" s="419"/>
    </row>
    <row r="367" spans="14:17" s="503" customFormat="1">
      <c r="N367" s="419"/>
      <c r="P367" s="419"/>
      <c r="Q367" s="419"/>
    </row>
    <row r="368" spans="14:17" s="503" customFormat="1">
      <c r="N368" s="419"/>
      <c r="P368" s="419"/>
      <c r="Q368" s="419"/>
    </row>
    <row r="369" spans="14:17" s="503" customFormat="1">
      <c r="N369" s="419"/>
      <c r="P369" s="419"/>
      <c r="Q369" s="419"/>
    </row>
    <row r="370" spans="14:17" s="503" customFormat="1">
      <c r="N370" s="419"/>
      <c r="P370" s="419"/>
      <c r="Q370" s="419"/>
    </row>
    <row r="371" spans="14:17" s="503" customFormat="1">
      <c r="N371" s="419"/>
      <c r="P371" s="419"/>
      <c r="Q371" s="419"/>
    </row>
    <row r="372" spans="14:17" s="503" customFormat="1">
      <c r="N372" s="419"/>
      <c r="P372" s="419"/>
      <c r="Q372" s="419"/>
    </row>
    <row r="373" spans="14:17" s="503" customFormat="1">
      <c r="N373" s="419"/>
      <c r="P373" s="419"/>
      <c r="Q373" s="419"/>
    </row>
    <row r="374" spans="14:17" s="503" customFormat="1">
      <c r="N374" s="419"/>
      <c r="P374" s="419"/>
      <c r="Q374" s="419"/>
    </row>
    <row r="375" spans="14:17" s="503" customFormat="1">
      <c r="N375" s="419"/>
      <c r="P375" s="419"/>
      <c r="Q375" s="419"/>
    </row>
    <row r="376" spans="14:17" s="503" customFormat="1">
      <c r="N376" s="419"/>
      <c r="P376" s="419"/>
      <c r="Q376" s="419"/>
    </row>
    <row r="377" spans="14:17" s="503" customFormat="1">
      <c r="N377" s="419"/>
      <c r="P377" s="419"/>
      <c r="Q377" s="419"/>
    </row>
    <row r="378" spans="14:17" s="503" customFormat="1">
      <c r="N378" s="419"/>
      <c r="P378" s="419"/>
      <c r="Q378" s="419"/>
    </row>
    <row r="379" spans="14:17" s="503" customFormat="1">
      <c r="N379" s="419"/>
      <c r="P379" s="419"/>
      <c r="Q379" s="419"/>
    </row>
    <row r="380" spans="14:17" s="503" customFormat="1">
      <c r="N380" s="419"/>
      <c r="P380" s="419"/>
      <c r="Q380" s="419"/>
    </row>
    <row r="381" spans="14:17" s="503" customFormat="1">
      <c r="N381" s="419"/>
      <c r="P381" s="419"/>
      <c r="Q381" s="419"/>
    </row>
    <row r="382" spans="14:17" s="503" customFormat="1">
      <c r="N382" s="419"/>
      <c r="P382" s="419"/>
      <c r="Q382" s="419"/>
    </row>
    <row r="383" spans="14:17" s="503" customFormat="1">
      <c r="N383" s="419"/>
      <c r="P383" s="419"/>
      <c r="Q383" s="419"/>
    </row>
    <row r="384" spans="14:17" s="503" customFormat="1">
      <c r="N384" s="419"/>
      <c r="P384" s="419"/>
      <c r="Q384" s="419"/>
    </row>
    <row r="385" spans="14:17" s="503" customFormat="1">
      <c r="N385" s="419"/>
      <c r="P385" s="419"/>
      <c r="Q385" s="419"/>
    </row>
    <row r="386" spans="14:17" s="503" customFormat="1">
      <c r="N386" s="419"/>
      <c r="P386" s="419"/>
      <c r="Q386" s="419"/>
    </row>
    <row r="387" spans="14:17" s="503" customFormat="1">
      <c r="N387" s="419"/>
      <c r="P387" s="419"/>
      <c r="Q387" s="419"/>
    </row>
    <row r="388" spans="14:17" s="503" customFormat="1">
      <c r="N388" s="419"/>
      <c r="P388" s="419"/>
      <c r="Q388" s="419"/>
    </row>
    <row r="389" spans="14:17" s="503" customFormat="1">
      <c r="N389" s="419"/>
      <c r="P389" s="419"/>
      <c r="Q389" s="419"/>
    </row>
    <row r="390" spans="14:17" s="503" customFormat="1">
      <c r="N390" s="419"/>
      <c r="P390" s="419"/>
      <c r="Q390" s="419"/>
    </row>
    <row r="391" spans="14:17" s="503" customFormat="1">
      <c r="N391" s="419"/>
      <c r="P391" s="419"/>
      <c r="Q391" s="419"/>
    </row>
    <row r="392" spans="14:17" s="503" customFormat="1">
      <c r="N392" s="419"/>
      <c r="P392" s="419"/>
      <c r="Q392" s="419"/>
    </row>
    <row r="393" spans="14:17" s="503" customFormat="1">
      <c r="N393" s="419"/>
      <c r="P393" s="419"/>
      <c r="Q393" s="419"/>
    </row>
    <row r="394" spans="14:17" s="503" customFormat="1">
      <c r="N394" s="419"/>
      <c r="P394" s="419"/>
      <c r="Q394" s="419"/>
    </row>
    <row r="395" spans="14:17" s="503" customFormat="1">
      <c r="N395" s="419"/>
      <c r="P395" s="419"/>
      <c r="Q395" s="419"/>
    </row>
    <row r="396" spans="14:17" s="503" customFormat="1">
      <c r="N396" s="419"/>
      <c r="P396" s="419"/>
      <c r="Q396" s="419"/>
    </row>
    <row r="397" spans="14:17" s="503" customFormat="1">
      <c r="N397" s="419"/>
      <c r="P397" s="419"/>
      <c r="Q397" s="419"/>
    </row>
    <row r="398" spans="14:17" s="503" customFormat="1">
      <c r="N398" s="419"/>
      <c r="P398" s="419"/>
      <c r="Q398" s="419"/>
    </row>
    <row r="399" spans="14:17" s="503" customFormat="1">
      <c r="N399" s="419"/>
      <c r="P399" s="419"/>
      <c r="Q399" s="419"/>
    </row>
    <row r="400" spans="14:17" s="503" customFormat="1">
      <c r="N400" s="419"/>
      <c r="P400" s="419"/>
      <c r="Q400" s="419"/>
    </row>
    <row r="401" spans="14:17" s="503" customFormat="1">
      <c r="N401" s="419"/>
      <c r="P401" s="419"/>
      <c r="Q401" s="419"/>
    </row>
    <row r="402" spans="14:17" s="503" customFormat="1">
      <c r="N402" s="419"/>
      <c r="P402" s="419"/>
      <c r="Q402" s="419"/>
    </row>
    <row r="403" spans="14:17" s="503" customFormat="1">
      <c r="N403" s="419"/>
      <c r="P403" s="419"/>
      <c r="Q403" s="419"/>
    </row>
    <row r="404" spans="14:17" s="503" customFormat="1">
      <c r="N404" s="419"/>
      <c r="P404" s="419"/>
      <c r="Q404" s="419"/>
    </row>
    <row r="405" spans="14:17" s="503" customFormat="1">
      <c r="N405" s="419"/>
      <c r="P405" s="419"/>
      <c r="Q405" s="419"/>
    </row>
    <row r="406" spans="14:17" s="503" customFormat="1">
      <c r="N406" s="419"/>
      <c r="P406" s="419"/>
      <c r="Q406" s="419"/>
    </row>
    <row r="407" spans="14:17" s="503" customFormat="1">
      <c r="N407" s="419"/>
      <c r="P407" s="419"/>
      <c r="Q407" s="419"/>
    </row>
    <row r="408" spans="14:17" s="503" customFormat="1">
      <c r="N408" s="419"/>
      <c r="P408" s="419"/>
      <c r="Q408" s="419"/>
    </row>
    <row r="409" spans="14:17" s="503" customFormat="1">
      <c r="N409" s="419"/>
      <c r="P409" s="419"/>
      <c r="Q409" s="419"/>
    </row>
    <row r="410" spans="14:17" s="503" customFormat="1">
      <c r="N410" s="419"/>
      <c r="P410" s="419"/>
      <c r="Q410" s="419"/>
    </row>
    <row r="411" spans="14:17" s="503" customFormat="1">
      <c r="N411" s="419"/>
      <c r="P411" s="419"/>
      <c r="Q411" s="419"/>
    </row>
    <row r="412" spans="14:17" s="503" customFormat="1">
      <c r="N412" s="419"/>
      <c r="P412" s="419"/>
      <c r="Q412" s="419"/>
    </row>
    <row r="413" spans="14:17" s="503" customFormat="1">
      <c r="N413" s="419"/>
      <c r="P413" s="419"/>
      <c r="Q413" s="419"/>
    </row>
    <row r="414" spans="14:17" s="503" customFormat="1">
      <c r="N414" s="419"/>
      <c r="P414" s="419"/>
      <c r="Q414" s="419"/>
    </row>
    <row r="415" spans="14:17" s="503" customFormat="1">
      <c r="N415" s="419"/>
      <c r="P415" s="419"/>
      <c r="Q415" s="419"/>
    </row>
    <row r="416" spans="14:17" s="503" customFormat="1">
      <c r="N416" s="419"/>
      <c r="P416" s="419"/>
      <c r="Q416" s="419"/>
    </row>
    <row r="417" spans="14:17" s="503" customFormat="1">
      <c r="N417" s="419"/>
      <c r="P417" s="419"/>
      <c r="Q417" s="419"/>
    </row>
    <row r="418" spans="14:17" s="503" customFormat="1">
      <c r="N418" s="419"/>
      <c r="P418" s="419"/>
      <c r="Q418" s="419"/>
    </row>
    <row r="419" spans="14:17" s="503" customFormat="1">
      <c r="N419" s="419"/>
      <c r="P419" s="419"/>
      <c r="Q419" s="419"/>
    </row>
    <row r="420" spans="14:17" s="503" customFormat="1">
      <c r="N420" s="419"/>
      <c r="P420" s="419"/>
      <c r="Q420" s="419"/>
    </row>
    <row r="421" spans="14:17" s="503" customFormat="1">
      <c r="N421" s="419"/>
      <c r="P421" s="419"/>
      <c r="Q421" s="419"/>
    </row>
    <row r="422" spans="14:17" s="503" customFormat="1">
      <c r="N422" s="419"/>
      <c r="P422" s="419"/>
      <c r="Q422" s="419"/>
    </row>
    <row r="423" spans="14:17" s="503" customFormat="1">
      <c r="N423" s="419"/>
      <c r="P423" s="419"/>
      <c r="Q423" s="419"/>
    </row>
    <row r="424" spans="14:17" s="503" customFormat="1">
      <c r="N424" s="419"/>
      <c r="P424" s="419"/>
      <c r="Q424" s="419"/>
    </row>
    <row r="425" spans="14:17" s="503" customFormat="1">
      <c r="N425" s="419"/>
      <c r="P425" s="419"/>
      <c r="Q425" s="419"/>
    </row>
    <row r="426" spans="14:17" s="503" customFormat="1">
      <c r="N426" s="419"/>
      <c r="P426" s="419"/>
      <c r="Q426" s="419"/>
    </row>
    <row r="427" spans="14:17" s="503" customFormat="1">
      <c r="N427" s="419"/>
      <c r="P427" s="419"/>
      <c r="Q427" s="419"/>
    </row>
    <row r="428" spans="14:17" s="503" customFormat="1">
      <c r="N428" s="419"/>
      <c r="P428" s="419"/>
      <c r="Q428" s="419"/>
    </row>
    <row r="429" spans="14:17" s="503" customFormat="1">
      <c r="N429" s="419"/>
      <c r="P429" s="419"/>
      <c r="Q429" s="419"/>
    </row>
    <row r="430" spans="14:17" s="503" customFormat="1">
      <c r="N430" s="419"/>
      <c r="P430" s="419"/>
      <c r="Q430" s="419"/>
    </row>
    <row r="431" spans="14:17" s="503" customFormat="1">
      <c r="N431" s="419"/>
      <c r="P431" s="419"/>
      <c r="Q431" s="419"/>
    </row>
    <row r="432" spans="14:17" s="503" customFormat="1">
      <c r="N432" s="419"/>
      <c r="P432" s="419"/>
      <c r="Q432" s="419"/>
    </row>
    <row r="433" spans="14:17" s="503" customFormat="1">
      <c r="N433" s="419"/>
      <c r="P433" s="419"/>
      <c r="Q433" s="419"/>
    </row>
    <row r="434" spans="14:17" s="503" customFormat="1">
      <c r="N434" s="419"/>
      <c r="P434" s="419"/>
      <c r="Q434" s="419"/>
    </row>
    <row r="435" spans="14:17" s="503" customFormat="1">
      <c r="N435" s="419"/>
      <c r="P435" s="419"/>
      <c r="Q435" s="419"/>
    </row>
    <row r="436" spans="14:17" s="503" customFormat="1">
      <c r="N436" s="419"/>
      <c r="P436" s="419"/>
      <c r="Q436" s="419"/>
    </row>
    <row r="437" spans="14:17" s="503" customFormat="1">
      <c r="N437" s="419"/>
      <c r="P437" s="419"/>
      <c r="Q437" s="419"/>
    </row>
    <row r="438" spans="14:17" s="503" customFormat="1">
      <c r="N438" s="419"/>
      <c r="P438" s="419"/>
      <c r="Q438" s="419"/>
    </row>
    <row r="439" spans="14:17" s="503" customFormat="1">
      <c r="N439" s="419"/>
      <c r="P439" s="419"/>
      <c r="Q439" s="419"/>
    </row>
    <row r="440" spans="14:17" s="503" customFormat="1">
      <c r="N440" s="419"/>
      <c r="P440" s="419"/>
      <c r="Q440" s="419"/>
    </row>
    <row r="441" spans="14:17" s="503" customFormat="1">
      <c r="N441" s="419"/>
      <c r="P441" s="419"/>
      <c r="Q441" s="419"/>
    </row>
    <row r="442" spans="14:17" s="503" customFormat="1">
      <c r="N442" s="419"/>
      <c r="P442" s="419"/>
      <c r="Q442" s="419"/>
    </row>
    <row r="443" spans="14:17" s="503" customFormat="1">
      <c r="N443" s="419"/>
      <c r="P443" s="419"/>
      <c r="Q443" s="419"/>
    </row>
    <row r="444" spans="14:17" s="503" customFormat="1">
      <c r="N444" s="419"/>
      <c r="P444" s="419"/>
      <c r="Q444" s="419"/>
    </row>
    <row r="445" spans="14:17" s="503" customFormat="1">
      <c r="N445" s="419"/>
      <c r="P445" s="419"/>
      <c r="Q445" s="419"/>
    </row>
    <row r="446" spans="14:17" s="503" customFormat="1">
      <c r="N446" s="419"/>
      <c r="P446" s="419"/>
      <c r="Q446" s="419"/>
    </row>
    <row r="447" spans="14:17" s="503" customFormat="1">
      <c r="N447" s="419"/>
      <c r="P447" s="419"/>
      <c r="Q447" s="419"/>
    </row>
    <row r="448" spans="14:17" s="503" customFormat="1">
      <c r="N448" s="419"/>
      <c r="P448" s="419"/>
      <c r="Q448" s="419"/>
    </row>
    <row r="449" spans="14:17" s="503" customFormat="1">
      <c r="N449" s="419"/>
      <c r="P449" s="419"/>
      <c r="Q449" s="419"/>
    </row>
    <row r="450" spans="14:17" s="503" customFormat="1">
      <c r="N450" s="419"/>
      <c r="P450" s="419"/>
      <c r="Q450" s="419"/>
    </row>
    <row r="451" spans="14:17" s="503" customFormat="1">
      <c r="N451" s="419"/>
      <c r="P451" s="419"/>
      <c r="Q451" s="419"/>
    </row>
    <row r="452" spans="14:17" s="503" customFormat="1">
      <c r="N452" s="419"/>
      <c r="P452" s="419"/>
      <c r="Q452" s="419"/>
    </row>
    <row r="453" spans="14:17" s="503" customFormat="1">
      <c r="N453" s="419"/>
      <c r="P453" s="419"/>
      <c r="Q453" s="419"/>
    </row>
    <row r="454" spans="14:17" s="503" customFormat="1">
      <c r="N454" s="419"/>
      <c r="P454" s="419"/>
      <c r="Q454" s="419"/>
    </row>
    <row r="455" spans="14:17" s="503" customFormat="1">
      <c r="N455" s="419"/>
      <c r="P455" s="419"/>
      <c r="Q455" s="419"/>
    </row>
    <row r="456" spans="14:17" s="503" customFormat="1">
      <c r="N456" s="419"/>
      <c r="P456" s="419"/>
      <c r="Q456" s="419"/>
    </row>
    <row r="457" spans="14:17" s="503" customFormat="1">
      <c r="N457" s="419"/>
      <c r="P457" s="419"/>
      <c r="Q457" s="419"/>
    </row>
    <row r="458" spans="14:17" s="503" customFormat="1">
      <c r="N458" s="419"/>
      <c r="P458" s="419"/>
      <c r="Q458" s="419"/>
    </row>
    <row r="459" spans="14:17" s="503" customFormat="1">
      <c r="N459" s="419"/>
      <c r="P459" s="419"/>
      <c r="Q459" s="419"/>
    </row>
    <row r="460" spans="14:17" s="503" customFormat="1">
      <c r="N460" s="419"/>
      <c r="P460" s="419"/>
      <c r="Q460" s="419"/>
    </row>
    <row r="461" spans="14:17" s="503" customFormat="1">
      <c r="N461" s="419"/>
      <c r="P461" s="419"/>
      <c r="Q461" s="419"/>
    </row>
    <row r="462" spans="14:17" s="503" customFormat="1">
      <c r="N462" s="419"/>
      <c r="P462" s="419"/>
      <c r="Q462" s="419"/>
    </row>
    <row r="463" spans="14:17" s="503" customFormat="1">
      <c r="N463" s="419"/>
      <c r="P463" s="419"/>
      <c r="Q463" s="419"/>
    </row>
    <row r="464" spans="14:17" s="503" customFormat="1">
      <c r="N464" s="419"/>
      <c r="P464" s="419"/>
      <c r="Q464" s="419"/>
    </row>
    <row r="465" spans="14:17" s="503" customFormat="1">
      <c r="N465" s="419"/>
      <c r="P465" s="419"/>
      <c r="Q465" s="419"/>
    </row>
    <row r="466" spans="14:17" s="503" customFormat="1">
      <c r="N466" s="419"/>
      <c r="P466" s="419"/>
      <c r="Q466" s="419"/>
    </row>
    <row r="467" spans="14:17" s="503" customFormat="1">
      <c r="N467" s="419"/>
      <c r="P467" s="419"/>
      <c r="Q467" s="419"/>
    </row>
    <row r="468" spans="14:17" s="503" customFormat="1">
      <c r="N468" s="419"/>
      <c r="P468" s="419"/>
      <c r="Q468" s="419"/>
    </row>
    <row r="469" spans="14:17" s="503" customFormat="1">
      <c r="N469" s="419"/>
      <c r="P469" s="419"/>
      <c r="Q469" s="419"/>
    </row>
    <row r="470" spans="14:17" s="503" customFormat="1">
      <c r="N470" s="419"/>
      <c r="P470" s="419"/>
      <c r="Q470" s="419"/>
    </row>
    <row r="471" spans="14:17" s="503" customFormat="1">
      <c r="N471" s="419"/>
      <c r="P471" s="419"/>
      <c r="Q471" s="419"/>
    </row>
    <row r="472" spans="14:17" s="503" customFormat="1">
      <c r="N472" s="419"/>
      <c r="P472" s="419"/>
      <c r="Q472" s="419"/>
    </row>
    <row r="473" spans="14:17" s="503" customFormat="1">
      <c r="N473" s="419"/>
      <c r="P473" s="419"/>
      <c r="Q473" s="419"/>
    </row>
    <row r="474" spans="14:17" s="503" customFormat="1">
      <c r="N474" s="419"/>
      <c r="P474" s="419"/>
      <c r="Q474" s="419"/>
    </row>
    <row r="475" spans="14:17" s="503" customFormat="1">
      <c r="N475" s="419"/>
      <c r="P475" s="419"/>
      <c r="Q475" s="419"/>
    </row>
    <row r="476" spans="14:17" s="503" customFormat="1">
      <c r="N476" s="419"/>
      <c r="P476" s="419"/>
      <c r="Q476" s="419"/>
    </row>
    <row r="477" spans="14:17" s="503" customFormat="1">
      <c r="N477" s="419"/>
      <c r="P477" s="419"/>
      <c r="Q477" s="419"/>
    </row>
    <row r="478" spans="14:17" s="503" customFormat="1">
      <c r="N478" s="419"/>
      <c r="P478" s="419"/>
      <c r="Q478" s="419"/>
    </row>
    <row r="479" spans="14:17" s="503" customFormat="1">
      <c r="N479" s="419"/>
      <c r="P479" s="419"/>
      <c r="Q479" s="419"/>
    </row>
    <row r="480" spans="14:17" s="503" customFormat="1">
      <c r="N480" s="419"/>
      <c r="P480" s="419"/>
      <c r="Q480" s="419"/>
    </row>
    <row r="481" spans="14:17" s="503" customFormat="1">
      <c r="N481" s="419"/>
      <c r="P481" s="419"/>
      <c r="Q481" s="419"/>
    </row>
    <row r="482" spans="14:17" s="503" customFormat="1">
      <c r="N482" s="419"/>
      <c r="P482" s="419"/>
      <c r="Q482" s="419"/>
    </row>
    <row r="483" spans="14:17" s="503" customFormat="1">
      <c r="N483" s="419"/>
      <c r="P483" s="419"/>
      <c r="Q483" s="419"/>
    </row>
    <row r="484" spans="14:17" s="503" customFormat="1">
      <c r="N484" s="419"/>
      <c r="P484" s="419"/>
      <c r="Q484" s="419"/>
    </row>
    <row r="485" spans="14:17" s="503" customFormat="1">
      <c r="N485" s="419"/>
      <c r="P485" s="419"/>
      <c r="Q485" s="419"/>
    </row>
    <row r="486" spans="14:17" s="503" customFormat="1">
      <c r="N486" s="419"/>
      <c r="P486" s="419"/>
      <c r="Q486" s="419"/>
    </row>
    <row r="487" spans="14:17" s="503" customFormat="1">
      <c r="N487" s="419"/>
      <c r="P487" s="419"/>
      <c r="Q487" s="419"/>
    </row>
    <row r="488" spans="14:17" s="503" customFormat="1">
      <c r="N488" s="419"/>
      <c r="P488" s="419"/>
      <c r="Q488" s="419"/>
    </row>
    <row r="489" spans="14:17" s="503" customFormat="1">
      <c r="N489" s="419"/>
      <c r="P489" s="419"/>
      <c r="Q489" s="419"/>
    </row>
    <row r="490" spans="14:17" s="503" customFormat="1">
      <c r="N490" s="419"/>
      <c r="P490" s="419"/>
      <c r="Q490" s="419"/>
    </row>
    <row r="491" spans="14:17" s="503" customFormat="1">
      <c r="N491" s="419"/>
      <c r="P491" s="419"/>
      <c r="Q491" s="419"/>
    </row>
    <row r="492" spans="14:17" s="503" customFormat="1">
      <c r="N492" s="419"/>
      <c r="P492" s="419"/>
      <c r="Q492" s="419"/>
    </row>
    <row r="493" spans="14:17" s="503" customFormat="1">
      <c r="N493" s="419"/>
      <c r="P493" s="419"/>
      <c r="Q493" s="419"/>
    </row>
    <row r="494" spans="14:17" s="503" customFormat="1">
      <c r="N494" s="419"/>
      <c r="P494" s="419"/>
      <c r="Q494" s="419"/>
    </row>
    <row r="495" spans="14:17" s="503" customFormat="1">
      <c r="N495" s="419"/>
      <c r="P495" s="419"/>
      <c r="Q495" s="419"/>
    </row>
    <row r="496" spans="14:17" s="503" customFormat="1">
      <c r="N496" s="419"/>
      <c r="P496" s="419"/>
      <c r="Q496" s="419"/>
    </row>
    <row r="497" spans="14:17" s="503" customFormat="1">
      <c r="N497" s="419"/>
      <c r="P497" s="419"/>
      <c r="Q497" s="419"/>
    </row>
    <row r="498" spans="14:17" s="503" customFormat="1">
      <c r="N498" s="419"/>
      <c r="P498" s="419"/>
      <c r="Q498" s="419"/>
    </row>
    <row r="499" spans="14:17" s="503" customFormat="1">
      <c r="N499" s="419"/>
      <c r="P499" s="419"/>
      <c r="Q499" s="419"/>
    </row>
    <row r="500" spans="14:17" s="503" customFormat="1">
      <c r="N500" s="419"/>
      <c r="P500" s="419"/>
      <c r="Q500" s="419"/>
    </row>
    <row r="501" spans="14:17" s="503" customFormat="1">
      <c r="N501" s="419"/>
      <c r="P501" s="419"/>
      <c r="Q501" s="419"/>
    </row>
    <row r="502" spans="14:17" s="503" customFormat="1">
      <c r="N502" s="419"/>
      <c r="P502" s="419"/>
      <c r="Q502" s="419"/>
    </row>
    <row r="503" spans="14:17" s="503" customFormat="1">
      <c r="N503" s="419"/>
      <c r="P503" s="419"/>
      <c r="Q503" s="419"/>
    </row>
    <row r="504" spans="14:17" s="503" customFormat="1">
      <c r="N504" s="419"/>
      <c r="P504" s="419"/>
      <c r="Q504" s="419"/>
    </row>
    <row r="505" spans="14:17" s="503" customFormat="1">
      <c r="N505" s="419"/>
      <c r="P505" s="419"/>
      <c r="Q505" s="419"/>
    </row>
    <row r="506" spans="14:17" s="503" customFormat="1">
      <c r="N506" s="419"/>
      <c r="P506" s="419"/>
      <c r="Q506" s="419"/>
    </row>
    <row r="507" spans="14:17" s="503" customFormat="1">
      <c r="N507" s="419"/>
      <c r="P507" s="419"/>
      <c r="Q507" s="419"/>
    </row>
    <row r="508" spans="14:17" s="503" customFormat="1">
      <c r="N508" s="419"/>
      <c r="P508" s="419"/>
      <c r="Q508" s="419"/>
    </row>
    <row r="509" spans="14:17" s="503" customFormat="1">
      <c r="N509" s="419"/>
      <c r="P509" s="419"/>
      <c r="Q509" s="419"/>
    </row>
    <row r="510" spans="14:17" s="503" customFormat="1">
      <c r="N510" s="419"/>
      <c r="P510" s="419"/>
      <c r="Q510" s="419"/>
    </row>
    <row r="511" spans="14:17" s="503" customFormat="1">
      <c r="N511" s="419"/>
      <c r="P511" s="419"/>
      <c r="Q511" s="419"/>
    </row>
    <row r="512" spans="14:17" s="503" customFormat="1">
      <c r="N512" s="419"/>
      <c r="P512" s="419"/>
      <c r="Q512" s="419"/>
    </row>
    <row r="513" spans="14:17" s="503" customFormat="1">
      <c r="N513" s="419"/>
      <c r="P513" s="419"/>
      <c r="Q513" s="419"/>
    </row>
    <row r="514" spans="14:17" s="503" customFormat="1">
      <c r="N514" s="419"/>
      <c r="P514" s="419"/>
      <c r="Q514" s="419"/>
    </row>
    <row r="515" spans="14:17" s="503" customFormat="1">
      <c r="N515" s="419"/>
      <c r="P515" s="419"/>
      <c r="Q515" s="419"/>
    </row>
    <row r="516" spans="14:17" s="503" customFormat="1">
      <c r="N516" s="419"/>
      <c r="P516" s="419"/>
      <c r="Q516" s="419"/>
    </row>
    <row r="517" spans="14:17" s="503" customFormat="1">
      <c r="N517" s="419"/>
      <c r="P517" s="419"/>
      <c r="Q517" s="419"/>
    </row>
    <row r="518" spans="14:17" s="503" customFormat="1">
      <c r="N518" s="419"/>
      <c r="P518" s="419"/>
      <c r="Q518" s="419"/>
    </row>
    <row r="519" spans="14:17" s="503" customFormat="1">
      <c r="N519" s="419"/>
      <c r="P519" s="419"/>
      <c r="Q519" s="419"/>
    </row>
    <row r="520" spans="14:17" s="503" customFormat="1">
      <c r="N520" s="419"/>
      <c r="P520" s="419"/>
      <c r="Q520" s="419"/>
    </row>
    <row r="521" spans="14:17" s="503" customFormat="1">
      <c r="N521" s="419"/>
      <c r="P521" s="419"/>
      <c r="Q521" s="419"/>
    </row>
    <row r="522" spans="14:17" s="503" customFormat="1">
      <c r="N522" s="419"/>
      <c r="P522" s="419"/>
      <c r="Q522" s="419"/>
    </row>
    <row r="523" spans="14:17" s="503" customFormat="1">
      <c r="N523" s="419"/>
      <c r="P523" s="419"/>
      <c r="Q523" s="419"/>
    </row>
    <row r="524" spans="14:17" s="503" customFormat="1">
      <c r="N524" s="419"/>
      <c r="P524" s="419"/>
      <c r="Q524" s="419"/>
    </row>
    <row r="525" spans="14:17" s="503" customFormat="1">
      <c r="N525" s="419"/>
      <c r="P525" s="419"/>
      <c r="Q525" s="419"/>
    </row>
    <row r="526" spans="14:17" s="503" customFormat="1">
      <c r="N526" s="419"/>
      <c r="P526" s="419"/>
      <c r="Q526" s="419"/>
    </row>
    <row r="527" spans="14:17" s="503" customFormat="1">
      <c r="N527" s="419"/>
      <c r="P527" s="419"/>
      <c r="Q527" s="419"/>
    </row>
    <row r="528" spans="14:17" s="503" customFormat="1">
      <c r="N528" s="419"/>
      <c r="P528" s="419"/>
      <c r="Q528" s="419"/>
    </row>
    <row r="529" spans="14:17" s="503" customFormat="1">
      <c r="N529" s="419"/>
      <c r="P529" s="419"/>
      <c r="Q529" s="419"/>
    </row>
    <row r="530" spans="14:17" s="503" customFormat="1">
      <c r="N530" s="419"/>
      <c r="P530" s="419"/>
      <c r="Q530" s="419"/>
    </row>
    <row r="531" spans="14:17" s="503" customFormat="1">
      <c r="N531" s="419"/>
      <c r="P531" s="419"/>
      <c r="Q531" s="419"/>
    </row>
    <row r="532" spans="14:17" s="503" customFormat="1">
      <c r="N532" s="419"/>
      <c r="P532" s="419"/>
      <c r="Q532" s="419"/>
    </row>
    <row r="533" spans="14:17" s="503" customFormat="1">
      <c r="N533" s="419"/>
      <c r="P533" s="419"/>
      <c r="Q533" s="419"/>
    </row>
    <row r="534" spans="14:17" s="503" customFormat="1">
      <c r="N534" s="419"/>
      <c r="P534" s="419"/>
      <c r="Q534" s="419"/>
    </row>
    <row r="535" spans="14:17" s="503" customFormat="1">
      <c r="N535" s="419"/>
      <c r="P535" s="419"/>
      <c r="Q535" s="419"/>
    </row>
    <row r="536" spans="14:17" s="503" customFormat="1">
      <c r="N536" s="419"/>
      <c r="P536" s="419"/>
      <c r="Q536" s="419"/>
    </row>
    <row r="537" spans="14:17" s="503" customFormat="1">
      <c r="N537" s="419"/>
      <c r="P537" s="419"/>
      <c r="Q537" s="419"/>
    </row>
    <row r="538" spans="14:17" s="503" customFormat="1">
      <c r="N538" s="419"/>
      <c r="P538" s="419"/>
      <c r="Q538" s="419"/>
    </row>
    <row r="539" spans="14:17" s="503" customFormat="1">
      <c r="N539" s="419"/>
      <c r="P539" s="419"/>
      <c r="Q539" s="419"/>
    </row>
    <row r="540" spans="14:17" s="503" customFormat="1">
      <c r="N540" s="419"/>
      <c r="P540" s="419"/>
      <c r="Q540" s="419"/>
    </row>
    <row r="541" spans="14:17" s="503" customFormat="1">
      <c r="N541" s="419"/>
      <c r="P541" s="419"/>
      <c r="Q541" s="419"/>
    </row>
    <row r="542" spans="14:17" s="503" customFormat="1">
      <c r="N542" s="419"/>
      <c r="P542" s="419"/>
      <c r="Q542" s="419"/>
    </row>
    <row r="543" spans="14:17" s="503" customFormat="1">
      <c r="N543" s="419"/>
      <c r="P543" s="419"/>
      <c r="Q543" s="419"/>
    </row>
    <row r="544" spans="14:17" s="503" customFormat="1">
      <c r="N544" s="419"/>
      <c r="P544" s="419"/>
      <c r="Q544" s="419"/>
    </row>
    <row r="545" spans="14:17" s="503" customFormat="1">
      <c r="N545" s="419"/>
      <c r="P545" s="419"/>
      <c r="Q545" s="419"/>
    </row>
    <row r="546" spans="14:17" s="503" customFormat="1">
      <c r="N546" s="419"/>
      <c r="P546" s="419"/>
      <c r="Q546" s="419"/>
    </row>
    <row r="547" spans="14:17" s="503" customFormat="1">
      <c r="N547" s="419"/>
      <c r="P547" s="419"/>
      <c r="Q547" s="419"/>
    </row>
    <row r="548" spans="14:17" s="503" customFormat="1">
      <c r="N548" s="419"/>
      <c r="P548" s="419"/>
      <c r="Q548" s="419"/>
    </row>
    <row r="549" spans="14:17" s="503" customFormat="1">
      <c r="N549" s="419"/>
      <c r="P549" s="419"/>
      <c r="Q549" s="419"/>
    </row>
    <row r="550" spans="14:17" s="503" customFormat="1">
      <c r="N550" s="419"/>
      <c r="P550" s="419"/>
      <c r="Q550" s="419"/>
    </row>
    <row r="551" spans="14:17" s="503" customFormat="1">
      <c r="N551" s="419"/>
      <c r="P551" s="419"/>
      <c r="Q551" s="419"/>
    </row>
    <row r="552" spans="14:17" s="503" customFormat="1">
      <c r="N552" s="419"/>
      <c r="P552" s="419"/>
      <c r="Q552" s="419"/>
    </row>
    <row r="553" spans="14:17" s="503" customFormat="1">
      <c r="N553" s="419"/>
      <c r="P553" s="419"/>
      <c r="Q553" s="419"/>
    </row>
    <row r="554" spans="14:17" s="503" customFormat="1">
      <c r="N554" s="419"/>
      <c r="P554" s="419"/>
      <c r="Q554" s="419"/>
    </row>
    <row r="555" spans="14:17" s="503" customFormat="1">
      <c r="N555" s="419"/>
      <c r="P555" s="419"/>
      <c r="Q555" s="419"/>
    </row>
    <row r="556" spans="14:17" s="503" customFormat="1">
      <c r="N556" s="419"/>
      <c r="P556" s="419"/>
      <c r="Q556" s="419"/>
    </row>
    <row r="557" spans="14:17" s="503" customFormat="1">
      <c r="N557" s="419"/>
      <c r="P557" s="419"/>
      <c r="Q557" s="419"/>
    </row>
    <row r="558" spans="14:17" s="503" customFormat="1">
      <c r="N558" s="419"/>
      <c r="P558" s="419"/>
      <c r="Q558" s="419"/>
    </row>
    <row r="559" spans="14:17" s="503" customFormat="1">
      <c r="N559" s="419"/>
      <c r="P559" s="419"/>
      <c r="Q559" s="419"/>
    </row>
    <row r="560" spans="14:17" s="503" customFormat="1">
      <c r="N560" s="419"/>
      <c r="P560" s="419"/>
      <c r="Q560" s="419"/>
    </row>
    <row r="561" spans="14:17" s="503" customFormat="1">
      <c r="N561" s="419"/>
      <c r="P561" s="419"/>
      <c r="Q561" s="419"/>
    </row>
    <row r="562" spans="14:17" s="503" customFormat="1">
      <c r="N562" s="419"/>
      <c r="P562" s="419"/>
      <c r="Q562" s="419"/>
    </row>
    <row r="563" spans="14:17" s="503" customFormat="1">
      <c r="N563" s="419"/>
      <c r="P563" s="419"/>
      <c r="Q563" s="419"/>
    </row>
    <row r="564" spans="14:17" s="503" customFormat="1">
      <c r="N564" s="419"/>
      <c r="P564" s="419"/>
      <c r="Q564" s="419"/>
    </row>
    <row r="565" spans="14:17" s="503" customFormat="1">
      <c r="N565" s="419"/>
      <c r="P565" s="419"/>
      <c r="Q565" s="419"/>
    </row>
    <row r="566" spans="14:17" s="503" customFormat="1">
      <c r="N566" s="419"/>
      <c r="P566" s="419"/>
      <c r="Q566" s="419"/>
    </row>
    <row r="567" spans="14:17" s="503" customFormat="1">
      <c r="N567" s="419"/>
      <c r="P567" s="419"/>
      <c r="Q567" s="419"/>
    </row>
    <row r="568" spans="14:17" s="503" customFormat="1">
      <c r="N568" s="419"/>
      <c r="P568" s="419"/>
      <c r="Q568" s="419"/>
    </row>
    <row r="569" spans="14:17" s="503" customFormat="1">
      <c r="N569" s="419"/>
      <c r="P569" s="419"/>
      <c r="Q569" s="419"/>
    </row>
    <row r="570" spans="14:17" s="503" customFormat="1">
      <c r="N570" s="419"/>
      <c r="P570" s="419"/>
      <c r="Q570" s="419"/>
    </row>
    <row r="571" spans="14:17" s="503" customFormat="1">
      <c r="N571" s="419"/>
      <c r="P571" s="419"/>
      <c r="Q571" s="419"/>
    </row>
    <row r="572" spans="14:17" s="503" customFormat="1">
      <c r="N572" s="419"/>
      <c r="P572" s="419"/>
      <c r="Q572" s="419"/>
    </row>
    <row r="573" spans="14:17" s="503" customFormat="1">
      <c r="N573" s="419"/>
      <c r="P573" s="419"/>
      <c r="Q573" s="419"/>
    </row>
    <row r="574" spans="14:17" s="503" customFormat="1">
      <c r="N574" s="419"/>
      <c r="P574" s="419"/>
      <c r="Q574" s="419"/>
    </row>
    <row r="575" spans="14:17" s="503" customFormat="1">
      <c r="N575" s="419"/>
      <c r="P575" s="419"/>
      <c r="Q575" s="419"/>
    </row>
    <row r="576" spans="14:17" s="503" customFormat="1">
      <c r="N576" s="419"/>
      <c r="P576" s="419"/>
      <c r="Q576" s="419"/>
    </row>
    <row r="577" spans="14:17" s="503" customFormat="1">
      <c r="N577" s="419"/>
      <c r="P577" s="419"/>
      <c r="Q577" s="419"/>
    </row>
    <row r="578" spans="14:17" s="503" customFormat="1">
      <c r="N578" s="419"/>
      <c r="P578" s="419"/>
      <c r="Q578" s="419"/>
    </row>
    <row r="579" spans="14:17" s="503" customFormat="1">
      <c r="N579" s="419"/>
      <c r="P579" s="419"/>
      <c r="Q579" s="419"/>
    </row>
    <row r="580" spans="14:17" s="503" customFormat="1">
      <c r="N580" s="419"/>
      <c r="P580" s="419"/>
      <c r="Q580" s="419"/>
    </row>
    <row r="581" spans="14:17" s="503" customFormat="1">
      <c r="N581" s="419"/>
      <c r="P581" s="419"/>
      <c r="Q581" s="419"/>
    </row>
    <row r="582" spans="14:17" s="503" customFormat="1">
      <c r="N582" s="419"/>
      <c r="P582" s="419"/>
      <c r="Q582" s="419"/>
    </row>
    <row r="583" spans="14:17" s="503" customFormat="1">
      <c r="N583" s="419"/>
      <c r="P583" s="419"/>
      <c r="Q583" s="419"/>
    </row>
    <row r="584" spans="14:17" s="503" customFormat="1">
      <c r="N584" s="419"/>
      <c r="P584" s="419"/>
      <c r="Q584" s="419"/>
    </row>
    <row r="585" spans="14:17" s="503" customFormat="1">
      <c r="N585" s="419"/>
      <c r="P585" s="419"/>
      <c r="Q585" s="419"/>
    </row>
    <row r="586" spans="14:17" s="503" customFormat="1">
      <c r="N586" s="419"/>
      <c r="P586" s="419"/>
      <c r="Q586" s="419"/>
    </row>
    <row r="587" spans="14:17" s="503" customFormat="1">
      <c r="N587" s="419"/>
      <c r="P587" s="419"/>
      <c r="Q587" s="419"/>
    </row>
    <row r="588" spans="14:17" s="503" customFormat="1">
      <c r="N588" s="419"/>
      <c r="P588" s="419"/>
      <c r="Q588" s="419"/>
    </row>
    <row r="589" spans="14:17" s="503" customFormat="1">
      <c r="N589" s="419"/>
      <c r="P589" s="419"/>
      <c r="Q589" s="419"/>
    </row>
    <row r="590" spans="14:17" s="503" customFormat="1">
      <c r="N590" s="419"/>
      <c r="P590" s="419"/>
      <c r="Q590" s="419"/>
    </row>
    <row r="591" spans="14:17" s="503" customFormat="1">
      <c r="N591" s="419"/>
      <c r="P591" s="419"/>
      <c r="Q591" s="419"/>
    </row>
    <row r="592" spans="14:17" s="503" customFormat="1">
      <c r="N592" s="419"/>
      <c r="P592" s="419"/>
      <c r="Q592" s="419"/>
    </row>
    <row r="593" spans="14:17" s="503" customFormat="1">
      <c r="N593" s="419"/>
      <c r="P593" s="419"/>
      <c r="Q593" s="419"/>
    </row>
    <row r="594" spans="14:17" s="503" customFormat="1">
      <c r="N594" s="419"/>
      <c r="P594" s="419"/>
      <c r="Q594" s="419"/>
    </row>
    <row r="595" spans="14:17" s="503" customFormat="1">
      <c r="N595" s="419"/>
      <c r="P595" s="419"/>
      <c r="Q595" s="419"/>
    </row>
    <row r="596" spans="14:17" s="503" customFormat="1">
      <c r="N596" s="419"/>
      <c r="P596" s="419"/>
      <c r="Q596" s="419"/>
    </row>
    <row r="597" spans="14:17" s="503" customFormat="1">
      <c r="N597" s="419"/>
      <c r="P597" s="419"/>
      <c r="Q597" s="419"/>
    </row>
    <row r="598" spans="14:17" s="503" customFormat="1">
      <c r="N598" s="419"/>
      <c r="P598" s="419"/>
      <c r="Q598" s="419"/>
    </row>
    <row r="599" spans="14:17" s="503" customFormat="1">
      <c r="N599" s="419"/>
      <c r="P599" s="419"/>
      <c r="Q599" s="419"/>
    </row>
    <row r="600" spans="14:17" s="503" customFormat="1">
      <c r="N600" s="419"/>
      <c r="P600" s="419"/>
      <c r="Q600" s="419"/>
    </row>
    <row r="601" spans="14:17" s="503" customFormat="1">
      <c r="N601" s="419"/>
      <c r="P601" s="419"/>
      <c r="Q601" s="419"/>
    </row>
    <row r="602" spans="14:17" s="503" customFormat="1">
      <c r="N602" s="419"/>
      <c r="P602" s="419"/>
      <c r="Q602" s="419"/>
    </row>
  </sheetData>
  <sheetProtection algorithmName="SHA-512" hashValue="JZGmNCfl+wRj0jv2m983mnnzjLmAu+TFWS8W/mfhDmPga7JjSqrv1ve8eZDCGwUhmHaHqp0HsD9g0W+DBmofTg==" saltValue="mmQUZuqPlQDZHkPUkBcTBw==" spinCount="100000" sheet="1" objects="1" scenarios="1"/>
  <mergeCells count="511">
    <mergeCell ref="D144:D147"/>
    <mergeCell ref="E144:E147"/>
    <mergeCell ref="F144:H145"/>
    <mergeCell ref="H146:H147"/>
    <mergeCell ref="I153:I155"/>
    <mergeCell ref="K153:K155"/>
    <mergeCell ref="C79:E80"/>
    <mergeCell ref="C81:C84"/>
    <mergeCell ref="D81:D84"/>
    <mergeCell ref="K102:K104"/>
    <mergeCell ref="I105:I113"/>
    <mergeCell ref="I115:I117"/>
    <mergeCell ref="I118:I126"/>
    <mergeCell ref="K108:K113"/>
    <mergeCell ref="E115:E117"/>
    <mergeCell ref="F83:F84"/>
    <mergeCell ref="G83:G84"/>
    <mergeCell ref="H83:H84"/>
    <mergeCell ref="K115:K117"/>
    <mergeCell ref="E121:E123"/>
    <mergeCell ref="E124:E126"/>
    <mergeCell ref="E105:E107"/>
    <mergeCell ref="K105:K107"/>
    <mergeCell ref="K121:K126"/>
    <mergeCell ref="E57:E59"/>
    <mergeCell ref="K51:K53"/>
    <mergeCell ref="Q160:Q163"/>
    <mergeCell ref="O21:O23"/>
    <mergeCell ref="Q21:Q23"/>
    <mergeCell ref="O81:O84"/>
    <mergeCell ref="Q144:Q147"/>
    <mergeCell ref="O144:O147"/>
    <mergeCell ref="K144:K147"/>
    <mergeCell ref="E153:E155"/>
    <mergeCell ref="F21:F23"/>
    <mergeCell ref="G21:G23"/>
    <mergeCell ref="H21:H23"/>
    <mergeCell ref="D50:H50"/>
    <mergeCell ref="E34:E36"/>
    <mergeCell ref="D25:D36"/>
    <mergeCell ref="D38:D49"/>
    <mergeCell ref="D37:G37"/>
    <mergeCell ref="E81:E84"/>
    <mergeCell ref="F81:H82"/>
    <mergeCell ref="K128:K130"/>
    <mergeCell ref="K81:K84"/>
    <mergeCell ref="I81:I84"/>
    <mergeCell ref="I102:I104"/>
    <mergeCell ref="C9:C16"/>
    <mergeCell ref="U5:U8"/>
    <mergeCell ref="E5:E8"/>
    <mergeCell ref="U20:U23"/>
    <mergeCell ref="E20:E23"/>
    <mergeCell ref="E9:H9"/>
    <mergeCell ref="D9:D12"/>
    <mergeCell ref="E13:H13"/>
    <mergeCell ref="D13:D16"/>
    <mergeCell ref="F6:F8"/>
    <mergeCell ref="G6:G8"/>
    <mergeCell ref="H6:H8"/>
    <mergeCell ref="E10:E12"/>
    <mergeCell ref="C19:M19"/>
    <mergeCell ref="S5:S8"/>
    <mergeCell ref="T5:T8"/>
    <mergeCell ref="I5:J8"/>
    <mergeCell ref="I10:J12"/>
    <mergeCell ref="I14:J16"/>
    <mergeCell ref="K14:K16"/>
    <mergeCell ref="C20:C23"/>
    <mergeCell ref="D20:D23"/>
    <mergeCell ref="F20:H20"/>
    <mergeCell ref="K20:K23"/>
    <mergeCell ref="AC158:AC159"/>
    <mergeCell ref="S95:U96"/>
    <mergeCell ref="V95:AA96"/>
    <mergeCell ref="AC95:AC96"/>
    <mergeCell ref="T9:T12"/>
    <mergeCell ref="T13:T16"/>
    <mergeCell ref="S9:S16"/>
    <mergeCell ref="V61:X62"/>
    <mergeCell ref="U50:V50"/>
    <mergeCell ref="V57:V59"/>
    <mergeCell ref="V51:V53"/>
    <mergeCell ref="Y57:Y59"/>
    <mergeCell ref="T50:T59"/>
    <mergeCell ref="Y41:Y43"/>
    <mergeCell ref="Y38:Y40"/>
    <mergeCell ref="W54:W56"/>
    <mergeCell ref="S144:S147"/>
    <mergeCell ref="U111:U113"/>
    <mergeCell ref="W111:W113"/>
    <mergeCell ref="W118:W120"/>
    <mergeCell ref="S101:S136"/>
    <mergeCell ref="T101:T113"/>
    <mergeCell ref="Y97:Y100"/>
    <mergeCell ref="U101:V101"/>
    <mergeCell ref="C4:M4"/>
    <mergeCell ref="C61:M61"/>
    <mergeCell ref="C63:M65"/>
    <mergeCell ref="O20:Q20"/>
    <mergeCell ref="O6:O8"/>
    <mergeCell ref="Q6:Q8"/>
    <mergeCell ref="Q81:Q84"/>
    <mergeCell ref="Q97:Q100"/>
    <mergeCell ref="K10:K12"/>
    <mergeCell ref="E86:E88"/>
    <mergeCell ref="I86:I88"/>
    <mergeCell ref="K86:K88"/>
    <mergeCell ref="M86:M88"/>
    <mergeCell ref="E14:E16"/>
    <mergeCell ref="M14:M16"/>
    <mergeCell ref="O5:Q5"/>
    <mergeCell ref="D97:D100"/>
    <mergeCell ref="E97:E100"/>
    <mergeCell ref="F97:H98"/>
    <mergeCell ref="O97:O100"/>
    <mergeCell ref="M31:M33"/>
    <mergeCell ref="E51:E53"/>
    <mergeCell ref="C95:E96"/>
    <mergeCell ref="M6:M8"/>
    <mergeCell ref="Y105:Y107"/>
    <mergeCell ref="Y108:Y110"/>
    <mergeCell ref="U105:U107"/>
    <mergeCell ref="V105:V107"/>
    <mergeCell ref="Y121:Y123"/>
    <mergeCell ref="Y118:Y120"/>
    <mergeCell ref="C2:F2"/>
    <mergeCell ref="D5:D8"/>
    <mergeCell ref="C5:C8"/>
    <mergeCell ref="K5:K8"/>
    <mergeCell ref="F5:H5"/>
    <mergeCell ref="M51:M53"/>
    <mergeCell ref="M57:M59"/>
    <mergeCell ref="C97:C100"/>
    <mergeCell ref="I97:I100"/>
    <mergeCell ref="K97:K100"/>
    <mergeCell ref="M97:M100"/>
    <mergeCell ref="F99:F100"/>
    <mergeCell ref="G99:G100"/>
    <mergeCell ref="H99:H100"/>
    <mergeCell ref="E90:E92"/>
    <mergeCell ref="I90:I92"/>
    <mergeCell ref="K90:K92"/>
    <mergeCell ref="M90:M92"/>
    <mergeCell ref="Y144:Y147"/>
    <mergeCell ref="U144:U147"/>
    <mergeCell ref="Y111:Y113"/>
    <mergeCell ref="W121:W123"/>
    <mergeCell ref="Y124:Y126"/>
    <mergeCell ref="U127:V127"/>
    <mergeCell ref="U115:U117"/>
    <mergeCell ref="Y115:Y117"/>
    <mergeCell ref="X118:X120"/>
    <mergeCell ref="U121:U123"/>
    <mergeCell ref="V131:V133"/>
    <mergeCell ref="U118:U120"/>
    <mergeCell ref="V111:V113"/>
    <mergeCell ref="V121:V123"/>
    <mergeCell ref="X121:X123"/>
    <mergeCell ref="S20:S23"/>
    <mergeCell ref="T20:T23"/>
    <mergeCell ref="M21:M23"/>
    <mergeCell ref="I20:J23"/>
    <mergeCell ref="V54:V56"/>
    <mergeCell ref="U54:U56"/>
    <mergeCell ref="U51:U53"/>
    <mergeCell ref="V28:V30"/>
    <mergeCell ref="U44:U46"/>
    <mergeCell ref="I54:J56"/>
    <mergeCell ref="I51:I53"/>
    <mergeCell ref="M41:M43"/>
    <mergeCell ref="M28:M30"/>
    <mergeCell ref="T37:T49"/>
    <mergeCell ref="M47:M49"/>
    <mergeCell ref="I31:J33"/>
    <mergeCell ref="Y54:Y56"/>
    <mergeCell ref="X54:X56"/>
    <mergeCell ref="X47:X49"/>
    <mergeCell ref="Y47:Y49"/>
    <mergeCell ref="Y28:Y30"/>
    <mergeCell ref="U34:U36"/>
    <mergeCell ref="X41:X43"/>
    <mergeCell ref="W47:W49"/>
    <mergeCell ref="U47:U49"/>
    <mergeCell ref="U28:U30"/>
    <mergeCell ref="X44:X46"/>
    <mergeCell ref="V41:V43"/>
    <mergeCell ref="W44:W46"/>
    <mergeCell ref="V44:V46"/>
    <mergeCell ref="Y44:Y46"/>
    <mergeCell ref="W41:W43"/>
    <mergeCell ref="W38:W40"/>
    <mergeCell ref="X14:X16"/>
    <mergeCell ref="U13:V13"/>
    <mergeCell ref="M10:M12"/>
    <mergeCell ref="X28:X30"/>
    <mergeCell ref="X38:X40"/>
    <mergeCell ref="Y14:Y16"/>
    <mergeCell ref="V6:V8"/>
    <mergeCell ref="U9:V9"/>
    <mergeCell ref="U10:U12"/>
    <mergeCell ref="V10:V12"/>
    <mergeCell ref="W10:W12"/>
    <mergeCell ref="X10:X12"/>
    <mergeCell ref="Y5:Y8"/>
    <mergeCell ref="W5:X8"/>
    <mergeCell ref="Y20:Y23"/>
    <mergeCell ref="V21:V23"/>
    <mergeCell ref="W34:W36"/>
    <mergeCell ref="X25:X27"/>
    <mergeCell ref="Y10:Y12"/>
    <mergeCell ref="W20:X23"/>
    <mergeCell ref="U37:V37"/>
    <mergeCell ref="W28:W30"/>
    <mergeCell ref="M38:M40"/>
    <mergeCell ref="M34:M36"/>
    <mergeCell ref="U14:U16"/>
    <mergeCell ref="V14:V16"/>
    <mergeCell ref="W14:W16"/>
    <mergeCell ref="T177:T189"/>
    <mergeCell ref="Y149:Y151"/>
    <mergeCell ref="Y153:Y155"/>
    <mergeCell ref="W178:W180"/>
    <mergeCell ref="X178:X180"/>
    <mergeCell ref="Y178:Y180"/>
    <mergeCell ref="Y128:Y130"/>
    <mergeCell ref="X131:X133"/>
    <mergeCell ref="Y131:Y133"/>
    <mergeCell ref="Y134:Y136"/>
    <mergeCell ref="X171:X173"/>
    <mergeCell ref="Y171:Y173"/>
    <mergeCell ref="X168:X170"/>
    <mergeCell ref="Y168:Y170"/>
    <mergeCell ref="X165:X167"/>
    <mergeCell ref="X134:X136"/>
    <mergeCell ref="X128:X130"/>
    <mergeCell ref="W134:W136"/>
    <mergeCell ref="W131:W133"/>
    <mergeCell ref="W165:W167"/>
    <mergeCell ref="W171:W173"/>
    <mergeCell ref="U148:V148"/>
    <mergeCell ref="U149:U151"/>
    <mergeCell ref="X149:X151"/>
    <mergeCell ref="U168:U170"/>
    <mergeCell ref="W174:W176"/>
    <mergeCell ref="X174:X176"/>
    <mergeCell ref="S158:U159"/>
    <mergeCell ref="V158:AA159"/>
    <mergeCell ref="S160:S163"/>
    <mergeCell ref="T160:T163"/>
    <mergeCell ref="U160:U163"/>
    <mergeCell ref="V160:V163"/>
    <mergeCell ref="W160:X163"/>
    <mergeCell ref="Y160:Y163"/>
    <mergeCell ref="Y165:Y167"/>
    <mergeCell ref="U165:U167"/>
    <mergeCell ref="V165:V167"/>
    <mergeCell ref="W149:W151"/>
    <mergeCell ref="U184:U186"/>
    <mergeCell ref="X181:X183"/>
    <mergeCell ref="Y181:Y183"/>
    <mergeCell ref="V168:V170"/>
    <mergeCell ref="Y174:Y176"/>
    <mergeCell ref="U171:U173"/>
    <mergeCell ref="V171:V173"/>
    <mergeCell ref="U177:V177"/>
    <mergeCell ref="X191:X193"/>
    <mergeCell ref="Y191:Y193"/>
    <mergeCell ref="U187:U189"/>
    <mergeCell ref="V187:V189"/>
    <mergeCell ref="V184:V186"/>
    <mergeCell ref="W181:W183"/>
    <mergeCell ref="U178:U180"/>
    <mergeCell ref="V178:V180"/>
    <mergeCell ref="X184:X186"/>
    <mergeCell ref="U181:U183"/>
    <mergeCell ref="V181:V183"/>
    <mergeCell ref="Y184:Y186"/>
    <mergeCell ref="W168:W170"/>
    <mergeCell ref="X194:X196"/>
    <mergeCell ref="Y194:Y196"/>
    <mergeCell ref="W194:W196"/>
    <mergeCell ref="M194:M196"/>
    <mergeCell ref="U194:U196"/>
    <mergeCell ref="V194:V196"/>
    <mergeCell ref="U191:U193"/>
    <mergeCell ref="V191:V193"/>
    <mergeCell ref="S164:S199"/>
    <mergeCell ref="T164:T176"/>
    <mergeCell ref="U164:V164"/>
    <mergeCell ref="X197:X199"/>
    <mergeCell ref="Y197:Y199"/>
    <mergeCell ref="W191:W193"/>
    <mergeCell ref="U174:U176"/>
    <mergeCell ref="V174:V176"/>
    <mergeCell ref="M197:M199"/>
    <mergeCell ref="U197:U199"/>
    <mergeCell ref="W187:W189"/>
    <mergeCell ref="X187:X189"/>
    <mergeCell ref="Y187:Y189"/>
    <mergeCell ref="W184:W186"/>
    <mergeCell ref="V197:V199"/>
    <mergeCell ref="W197:W199"/>
    <mergeCell ref="T190:T199"/>
    <mergeCell ref="U190:V190"/>
    <mergeCell ref="E131:E133"/>
    <mergeCell ref="K131:K136"/>
    <mergeCell ref="M131:M133"/>
    <mergeCell ref="E118:E120"/>
    <mergeCell ref="M142:M143"/>
    <mergeCell ref="M128:M130"/>
    <mergeCell ref="E171:E173"/>
    <mergeCell ref="K171:K176"/>
    <mergeCell ref="M171:M173"/>
    <mergeCell ref="E174:E176"/>
    <mergeCell ref="C142:E143"/>
    <mergeCell ref="C101:C136"/>
    <mergeCell ref="D101:D113"/>
    <mergeCell ref="D114:D126"/>
    <mergeCell ref="D127:D136"/>
    <mergeCell ref="M174:M176"/>
    <mergeCell ref="E168:E170"/>
    <mergeCell ref="M153:M155"/>
    <mergeCell ref="E128:E130"/>
    <mergeCell ref="I128:I136"/>
    <mergeCell ref="K184:K189"/>
    <mergeCell ref="E178:E180"/>
    <mergeCell ref="K168:K170"/>
    <mergeCell ref="M168:M170"/>
    <mergeCell ref="M187:M189"/>
    <mergeCell ref="I191:I199"/>
    <mergeCell ref="M184:M186"/>
    <mergeCell ref="E194:E196"/>
    <mergeCell ref="K194:K199"/>
    <mergeCell ref="E197:E199"/>
    <mergeCell ref="E181:E183"/>
    <mergeCell ref="K181:K183"/>
    <mergeCell ref="E184:E186"/>
    <mergeCell ref="M181:M183"/>
    <mergeCell ref="E187:E189"/>
    <mergeCell ref="I178:I180"/>
    <mergeCell ref="I181:I189"/>
    <mergeCell ref="K178:K180"/>
    <mergeCell ref="M178:M180"/>
    <mergeCell ref="C164:C199"/>
    <mergeCell ref="D164:D176"/>
    <mergeCell ref="C144:C147"/>
    <mergeCell ref="I165:I167"/>
    <mergeCell ref="I168:I176"/>
    <mergeCell ref="C160:C163"/>
    <mergeCell ref="D190:D199"/>
    <mergeCell ref="E191:E193"/>
    <mergeCell ref="M191:M193"/>
    <mergeCell ref="E165:E167"/>
    <mergeCell ref="E149:E151"/>
    <mergeCell ref="I149:I151"/>
    <mergeCell ref="C158:E159"/>
    <mergeCell ref="M158:M159"/>
    <mergeCell ref="D160:D163"/>
    <mergeCell ref="E160:E163"/>
    <mergeCell ref="F160:H161"/>
    <mergeCell ref="K160:K163"/>
    <mergeCell ref="M160:M163"/>
    <mergeCell ref="F162:F163"/>
    <mergeCell ref="G162:G163"/>
    <mergeCell ref="H162:H163"/>
    <mergeCell ref="M149:M151"/>
    <mergeCell ref="D177:D189"/>
    <mergeCell ref="K118:K120"/>
    <mergeCell ref="E102:E104"/>
    <mergeCell ref="C76:E77"/>
    <mergeCell ref="F146:F147"/>
    <mergeCell ref="G146:G147"/>
    <mergeCell ref="K57:K59"/>
    <mergeCell ref="M54:M56"/>
    <mergeCell ref="C24:C59"/>
    <mergeCell ref="E31:E33"/>
    <mergeCell ref="E44:E46"/>
    <mergeCell ref="E47:E49"/>
    <mergeCell ref="E25:E27"/>
    <mergeCell ref="K25:K27"/>
    <mergeCell ref="M25:M27"/>
    <mergeCell ref="E38:E40"/>
    <mergeCell ref="M44:M46"/>
    <mergeCell ref="D54:D59"/>
    <mergeCell ref="E54:E56"/>
    <mergeCell ref="E28:E30"/>
    <mergeCell ref="D24:G24"/>
    <mergeCell ref="E41:E43"/>
    <mergeCell ref="E108:E110"/>
    <mergeCell ref="E111:E113"/>
    <mergeCell ref="I28:J30"/>
    <mergeCell ref="E134:E136"/>
    <mergeCell ref="K165:K167"/>
    <mergeCell ref="M165:M167"/>
    <mergeCell ref="V144:V147"/>
    <mergeCell ref="W144:X147"/>
    <mergeCell ref="M121:M123"/>
    <mergeCell ref="X124:X126"/>
    <mergeCell ref="T144:T147"/>
    <mergeCell ref="M115:M117"/>
    <mergeCell ref="M134:M136"/>
    <mergeCell ref="U152:V152"/>
    <mergeCell ref="U153:U155"/>
    <mergeCell ref="V153:V155"/>
    <mergeCell ref="W153:W155"/>
    <mergeCell ref="X153:X155"/>
    <mergeCell ref="K149:K151"/>
    <mergeCell ref="O160:O163"/>
    <mergeCell ref="M124:M126"/>
    <mergeCell ref="M118:M120"/>
    <mergeCell ref="U134:U136"/>
    <mergeCell ref="V128:V130"/>
    <mergeCell ref="U131:U133"/>
    <mergeCell ref="M144:M147"/>
    <mergeCell ref="V149:V151"/>
    <mergeCell ref="T127:T136"/>
    <mergeCell ref="Y102:Y104"/>
    <mergeCell ref="U85:V85"/>
    <mergeCell ref="U124:U126"/>
    <mergeCell ref="V124:V126"/>
    <mergeCell ref="W124:W126"/>
    <mergeCell ref="X102:X104"/>
    <mergeCell ref="V115:V117"/>
    <mergeCell ref="W115:W117"/>
    <mergeCell ref="U108:U110"/>
    <mergeCell ref="V108:V110"/>
    <mergeCell ref="W108:W110"/>
    <mergeCell ref="X108:X110"/>
    <mergeCell ref="U114:V114"/>
    <mergeCell ref="X111:X113"/>
    <mergeCell ref="W105:W107"/>
    <mergeCell ref="X105:X107"/>
    <mergeCell ref="T114:T126"/>
    <mergeCell ref="Y86:Y88"/>
    <mergeCell ref="Y90:Y92"/>
    <mergeCell ref="V134:V136"/>
    <mergeCell ref="U128:U130"/>
    <mergeCell ref="W128:W130"/>
    <mergeCell ref="U86:U88"/>
    <mergeCell ref="V102:V104"/>
    <mergeCell ref="W102:W104"/>
    <mergeCell ref="X115:X117"/>
    <mergeCell ref="V118:V120"/>
    <mergeCell ref="M95:M96"/>
    <mergeCell ref="U102:U104"/>
    <mergeCell ref="V86:V88"/>
    <mergeCell ref="W86:W88"/>
    <mergeCell ref="X86:X88"/>
    <mergeCell ref="S97:S100"/>
    <mergeCell ref="T97:T100"/>
    <mergeCell ref="U97:U100"/>
    <mergeCell ref="V97:V100"/>
    <mergeCell ref="W97:X100"/>
    <mergeCell ref="U89:V89"/>
    <mergeCell ref="U90:U92"/>
    <mergeCell ref="V90:V92"/>
    <mergeCell ref="W90:W92"/>
    <mergeCell ref="X90:X92"/>
    <mergeCell ref="M102:M104"/>
    <mergeCell ref="M111:M113"/>
    <mergeCell ref="M105:M107"/>
    <mergeCell ref="M108:M110"/>
    <mergeCell ref="Y81:Y84"/>
    <mergeCell ref="X57:X59"/>
    <mergeCell ref="W57:W59"/>
    <mergeCell ref="Y51:Y53"/>
    <mergeCell ref="X51:X53"/>
    <mergeCell ref="W51:W53"/>
    <mergeCell ref="S24:S59"/>
    <mergeCell ref="U24:V24"/>
    <mergeCell ref="U57:U59"/>
    <mergeCell ref="U31:U33"/>
    <mergeCell ref="V81:V84"/>
    <mergeCell ref="W81:X84"/>
    <mergeCell ref="V38:V40"/>
    <mergeCell ref="U25:U27"/>
    <mergeCell ref="S81:S84"/>
    <mergeCell ref="Y25:Y27"/>
    <mergeCell ref="Y34:Y36"/>
    <mergeCell ref="Y31:Y33"/>
    <mergeCell ref="V25:V27"/>
    <mergeCell ref="V31:V33"/>
    <mergeCell ref="V34:V36"/>
    <mergeCell ref="W31:W33"/>
    <mergeCell ref="X34:X36"/>
    <mergeCell ref="W25:W27"/>
    <mergeCell ref="M81:M84"/>
    <mergeCell ref="V47:V49"/>
    <mergeCell ref="T24:T36"/>
    <mergeCell ref="K31:K33"/>
    <mergeCell ref="K34:K36"/>
    <mergeCell ref="K44:K46"/>
    <mergeCell ref="K28:K30"/>
    <mergeCell ref="X31:X33"/>
    <mergeCell ref="I34:J36"/>
    <mergeCell ref="I41:J43"/>
    <mergeCell ref="I44:J46"/>
    <mergeCell ref="I47:J49"/>
    <mergeCell ref="T81:T84"/>
    <mergeCell ref="U81:U84"/>
    <mergeCell ref="K38:K40"/>
    <mergeCell ref="I25:I27"/>
    <mergeCell ref="I38:I40"/>
    <mergeCell ref="K41:K43"/>
    <mergeCell ref="U41:U43"/>
    <mergeCell ref="U38:U40"/>
    <mergeCell ref="M79:M80"/>
    <mergeCell ref="I57:J59"/>
    <mergeCell ref="K47:K49"/>
    <mergeCell ref="K54:K56"/>
  </mergeCells>
  <conditionalFormatting sqref="M54 M44 M31 M121 M108 M184 M171">
    <cfRule type="expression" dxfId="2498" priority="167" stopIfTrue="1">
      <formula>$W$2=1</formula>
    </cfRule>
    <cfRule type="expression" dxfId="2497" priority="168" stopIfTrue="1">
      <formula>$W$2=2</formula>
    </cfRule>
  </conditionalFormatting>
  <conditionalFormatting sqref="M57:M59 M47:M49 M34:M36 M124:M126 M111:M113 M187:M189 M174:M176">
    <cfRule type="expression" dxfId="2496" priority="173" stopIfTrue="1">
      <formula>$W$2=1</formula>
    </cfRule>
    <cfRule type="expression" dxfId="2495" priority="174" stopIfTrue="1">
      <formula>$W$2=2</formula>
    </cfRule>
  </conditionalFormatting>
  <conditionalFormatting sqref="M131">
    <cfRule type="expression" dxfId="2494" priority="13" stopIfTrue="1">
      <formula>$W$2=1</formula>
    </cfRule>
    <cfRule type="expression" dxfId="2493" priority="14" stopIfTrue="1">
      <formula>$W$2=2</formula>
    </cfRule>
  </conditionalFormatting>
  <conditionalFormatting sqref="M134:M136">
    <cfRule type="expression" dxfId="2492" priority="15" stopIfTrue="1">
      <formula>$W$2=1</formula>
    </cfRule>
    <cfRule type="expression" dxfId="2491" priority="16" stopIfTrue="1">
      <formula>$W$2=2</formula>
    </cfRule>
  </conditionalFormatting>
  <conditionalFormatting sqref="M194">
    <cfRule type="expression" dxfId="2490" priority="9" stopIfTrue="1">
      <formula>$W$2=1</formula>
    </cfRule>
    <cfRule type="expression" dxfId="2489" priority="10" stopIfTrue="1">
      <formula>$W$2=2</formula>
    </cfRule>
  </conditionalFormatting>
  <conditionalFormatting sqref="M197:M199">
    <cfRule type="expression" dxfId="2488" priority="11" stopIfTrue="1">
      <formula>$W$2=1</formula>
    </cfRule>
    <cfRule type="expression" dxfId="2487" priority="12" stopIfTrue="1">
      <formula>$W$2=2</formula>
    </cfRule>
  </conditionalFormatting>
  <conditionalFormatting sqref="G54:H59 G25:H36 G38:H49 G10:H12 G14:H16">
    <cfRule type="expression" dxfId="2486" priority="2979" stopIfTrue="1">
      <formula>$S$2=2</formula>
    </cfRule>
  </conditionalFormatting>
  <pageMargins left="0.35" right="0.33" top="0.74803149606299213" bottom="0.74803149606299213" header="0.31496062992125984" footer="0.31496062992125984"/>
  <pageSetup paperSize="9" scale="96"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BV273"/>
  <sheetViews>
    <sheetView zoomScale="90" zoomScaleNormal="90" workbookViewId="0">
      <pane ySplit="5" topLeftCell="A6" activePane="bottomLeft" state="frozen"/>
      <selection activeCell="K9" sqref="K9"/>
      <selection pane="bottomLeft" activeCell="E8" sqref="E8:G8"/>
    </sheetView>
  </sheetViews>
  <sheetFormatPr defaultColWidth="9.140625" defaultRowHeight="14.25"/>
  <cols>
    <col min="1" max="1" width="5" customWidth="1"/>
    <col min="2" max="2" width="3.7109375" customWidth="1"/>
    <col min="3" max="3" width="16.7109375" customWidth="1"/>
    <col min="4" max="4" width="16.28515625" customWidth="1"/>
    <col min="5" max="5" width="11.85546875" customWidth="1"/>
    <col min="6" max="6" width="14.28515625" customWidth="1"/>
    <col min="7" max="7" width="8.5703125" customWidth="1"/>
    <col min="8" max="8" width="3.5703125" customWidth="1"/>
    <col min="9" max="9" width="3.140625" customWidth="1"/>
    <col min="10" max="10" width="1.7109375" customWidth="1"/>
    <col min="11" max="11" width="13.28515625" customWidth="1"/>
    <col min="12" max="12" width="14.5703125" customWidth="1"/>
    <col min="13" max="13" width="16.7109375" customWidth="1"/>
    <col min="14" max="15" width="8.28515625" customWidth="1"/>
    <col min="16" max="16" width="3.7109375" customWidth="1"/>
    <col min="17" max="17" width="1.7109375" customWidth="1"/>
    <col min="18" max="18" width="61.28515625" customWidth="1"/>
    <col min="19" max="19" width="5.140625" style="64" customWidth="1"/>
    <col min="20" max="23" width="10.7109375" style="64" customWidth="1"/>
    <col min="24" max="24" width="5" style="64" customWidth="1"/>
    <col min="25" max="28" width="10.7109375" style="64" customWidth="1"/>
    <col min="29" max="29" width="5.42578125" style="64" customWidth="1"/>
    <col min="30" max="30" width="5.42578125" style="419" customWidth="1"/>
    <col min="31" max="31" width="56.7109375" style="505" hidden="1" customWidth="1"/>
    <col min="32" max="33" width="6.85546875" style="509" hidden="1" customWidth="1"/>
    <col min="34" max="35" width="9.140625" style="426" hidden="1" customWidth="1"/>
    <col min="36" max="36" width="18.5703125" style="426" hidden="1" customWidth="1"/>
    <col min="37" max="45" width="9.140625" style="426" hidden="1" customWidth="1"/>
    <col min="46" max="46" width="16.42578125" style="426" hidden="1" customWidth="1"/>
    <col min="47" max="47" width="10.5703125" style="426" hidden="1" customWidth="1"/>
    <col min="48" max="48" width="20" style="426" hidden="1" customWidth="1"/>
    <col min="49" max="49" width="9.140625" style="426" hidden="1" customWidth="1"/>
    <col min="50" max="50" width="12" style="426" hidden="1" customWidth="1"/>
    <col min="51" max="51" width="9.140625" style="426" hidden="1" customWidth="1"/>
    <col min="52" max="54" width="9.140625" style="506" customWidth="1"/>
    <col min="55" max="68" width="9.140625" style="506"/>
    <col min="69" max="74" width="9.140625" style="64"/>
  </cols>
  <sheetData>
    <row r="1" spans="1:51" ht="8.25" customHeight="1" thickBot="1">
      <c r="A1" s="90"/>
      <c r="B1" s="1188"/>
      <c r="C1" s="1188"/>
      <c r="D1" s="1188"/>
      <c r="E1" s="1188"/>
      <c r="F1" s="1188"/>
      <c r="G1" s="1188"/>
      <c r="H1" s="1188"/>
      <c r="I1" s="1188"/>
      <c r="J1" s="1188"/>
      <c r="K1" s="1188"/>
      <c r="L1" s="1188"/>
      <c r="M1" s="1188"/>
      <c r="N1" s="1188"/>
      <c r="O1" s="1188"/>
      <c r="P1" s="1188"/>
      <c r="Q1" s="1188"/>
      <c r="R1" s="1188"/>
    </row>
    <row r="2" spans="1:51" ht="15.75" customHeight="1" thickBot="1">
      <c r="A2" s="90"/>
      <c r="B2" s="2315" t="s">
        <v>991</v>
      </c>
      <c r="C2" s="2316"/>
      <c r="D2" s="2316"/>
      <c r="E2" s="2316"/>
      <c r="F2" s="2316"/>
      <c r="G2" s="2316"/>
      <c r="H2" s="2316"/>
      <c r="I2" s="2316"/>
      <c r="J2" s="2316"/>
      <c r="K2" s="1187" t="s">
        <v>923</v>
      </c>
      <c r="L2" s="1198"/>
      <c r="M2" s="1198"/>
      <c r="N2" s="1198"/>
      <c r="O2" s="1197"/>
      <c r="P2" s="1188"/>
      <c r="Q2" s="1188"/>
      <c r="R2" s="1188"/>
      <c r="V2" s="1028"/>
      <c r="W2" s="1028"/>
      <c r="X2" s="1028"/>
      <c r="Y2" s="1028"/>
      <c r="Z2" s="1028"/>
      <c r="AA2" s="1028"/>
      <c r="AE2" s="504" t="s">
        <v>8</v>
      </c>
      <c r="AF2" s="508"/>
      <c r="AG2" s="508"/>
      <c r="AH2" s="431"/>
      <c r="AI2" s="431"/>
      <c r="AJ2" s="431"/>
      <c r="AK2" s="431"/>
      <c r="AL2" s="431"/>
      <c r="AM2" s="431"/>
      <c r="AN2" s="431"/>
      <c r="AO2" s="431"/>
      <c r="AP2" s="431"/>
      <c r="AQ2" s="431"/>
      <c r="AR2" s="431"/>
      <c r="AS2" s="431"/>
      <c r="AT2" s="431"/>
      <c r="AU2" s="431"/>
      <c r="AV2" s="431"/>
      <c r="AW2" s="431"/>
      <c r="AX2" s="427"/>
      <c r="AY2" s="427"/>
    </row>
    <row r="3" spans="1:51" ht="8.25" customHeight="1" thickBot="1">
      <c r="A3" s="90"/>
      <c r="B3" s="1188"/>
      <c r="C3" s="1188"/>
      <c r="D3" s="1188"/>
      <c r="E3" s="1188"/>
      <c r="F3" s="1188"/>
      <c r="G3" s="1188"/>
      <c r="H3" s="1188"/>
      <c r="I3" s="1188"/>
      <c r="J3" s="1188"/>
      <c r="K3" s="1188"/>
      <c r="L3" s="1188"/>
      <c r="M3" s="1188"/>
      <c r="N3" s="1188"/>
      <c r="O3" s="1188"/>
      <c r="P3" s="1188"/>
      <c r="Q3" s="1188"/>
      <c r="R3" s="1188"/>
      <c r="AE3" s="504"/>
      <c r="AF3" s="508"/>
      <c r="AG3" s="508"/>
      <c r="AH3" s="431"/>
      <c r="AI3" s="431"/>
      <c r="AJ3" s="431"/>
      <c r="AK3" s="431"/>
      <c r="AL3" s="431"/>
      <c r="AM3" s="431"/>
      <c r="AN3" s="431"/>
      <c r="AO3" s="431"/>
      <c r="AP3" s="431"/>
      <c r="AQ3" s="431"/>
      <c r="AR3" s="431"/>
      <c r="AS3" s="431"/>
      <c r="AT3" s="431"/>
      <c r="AU3" s="431"/>
      <c r="AV3" s="431"/>
      <c r="AW3" s="431"/>
      <c r="AX3" s="427"/>
      <c r="AY3" s="427"/>
    </row>
    <row r="4" spans="1:51" ht="15.95" customHeight="1">
      <c r="A4" s="90"/>
      <c r="B4" s="92"/>
      <c r="C4" s="93"/>
      <c r="D4" s="93"/>
      <c r="E4" s="93"/>
      <c r="F4" s="93"/>
      <c r="G4" s="93"/>
      <c r="H4" s="93"/>
      <c r="I4" s="93"/>
      <c r="J4" s="93"/>
      <c r="K4" s="683"/>
      <c r="L4" s="683"/>
      <c r="M4" s="683"/>
      <c r="N4" s="990"/>
      <c r="O4" s="93"/>
      <c r="P4" s="78"/>
      <c r="Q4" s="78"/>
      <c r="R4" s="2367" t="s">
        <v>780</v>
      </c>
      <c r="S4" s="105"/>
      <c r="AC4" s="105"/>
      <c r="AD4" s="420"/>
      <c r="AF4" s="472"/>
      <c r="AG4" s="472"/>
      <c r="AH4" s="430"/>
      <c r="AI4" s="430"/>
      <c r="AJ4" s="1200" t="s">
        <v>1000</v>
      </c>
      <c r="AK4" s="430"/>
      <c r="AL4" s="430"/>
      <c r="AM4" s="430"/>
      <c r="AN4" s="430" t="s">
        <v>391</v>
      </c>
      <c r="AO4" s="430"/>
      <c r="AP4" s="430"/>
      <c r="AQ4" s="430"/>
      <c r="AR4" s="430"/>
      <c r="AS4" s="430"/>
      <c r="AT4" s="430"/>
      <c r="AU4" s="430"/>
      <c r="AV4" s="430"/>
      <c r="AW4" s="691" t="s">
        <v>784</v>
      </c>
    </row>
    <row r="5" spans="1:51" ht="15.95" customHeight="1" thickBot="1">
      <c r="A5" s="90"/>
      <c r="B5" s="94"/>
      <c r="C5" s="2362" t="str">
        <f>'Terms and Conditions'!B19</f>
        <v>Elephant QuickBrace™ September 2018  V.1.0</v>
      </c>
      <c r="D5" s="2363"/>
      <c r="E5" s="2363"/>
      <c r="F5" s="2363"/>
      <c r="G5" s="2363"/>
      <c r="H5" s="2364"/>
      <c r="I5" s="111"/>
      <c r="J5" s="88"/>
      <c r="K5" s="88"/>
      <c r="L5" s="2389" t="s">
        <v>219</v>
      </c>
      <c r="M5" s="2389"/>
      <c r="N5" s="2369">
        <f ca="1">NOW()</f>
        <v>44439.670989930557</v>
      </c>
      <c r="O5" s="2370"/>
      <c r="P5" s="79"/>
      <c r="Q5" s="79"/>
      <c r="R5" s="2368"/>
      <c r="S5" s="105"/>
      <c r="AC5" s="105"/>
      <c r="AD5" s="420"/>
      <c r="AE5" s="505" t="s">
        <v>8</v>
      </c>
      <c r="AF5" s="472"/>
      <c r="AG5" s="472"/>
      <c r="AH5" s="430"/>
      <c r="AI5" s="430"/>
      <c r="AJ5" s="430"/>
      <c r="AK5" s="430"/>
      <c r="AL5" s="430"/>
      <c r="AM5" s="430"/>
      <c r="AN5" s="430"/>
      <c r="AO5" s="430"/>
      <c r="AP5" s="430"/>
      <c r="AQ5" s="430"/>
      <c r="AR5" s="430"/>
      <c r="AS5" s="430"/>
      <c r="AT5" s="430"/>
      <c r="AU5" s="430"/>
      <c r="AV5" s="692" t="s">
        <v>785</v>
      </c>
      <c r="AW5" s="693" t="s">
        <v>786</v>
      </c>
      <c r="AX5" s="692">
        <v>1</v>
      </c>
    </row>
    <row r="6" spans="1:51" ht="15.95" customHeight="1">
      <c r="A6" s="90"/>
      <c r="B6" s="94"/>
      <c r="C6" s="2340" t="s">
        <v>218</v>
      </c>
      <c r="D6" s="2341"/>
      <c r="E6" s="192"/>
      <c r="F6" s="2390" t="s">
        <v>484</v>
      </c>
      <c r="G6" s="2391"/>
      <c r="H6" s="2391"/>
      <c r="I6" s="2391"/>
      <c r="J6" s="2391"/>
      <c r="K6" s="2392"/>
      <c r="L6" s="991"/>
      <c r="M6" s="991"/>
      <c r="N6" s="983"/>
      <c r="O6" s="69"/>
      <c r="P6" s="79"/>
      <c r="Q6" s="79"/>
      <c r="R6" s="180"/>
      <c r="AE6" s="2319" t="s">
        <v>749</v>
      </c>
      <c r="AF6" s="472"/>
      <c r="AG6" s="472"/>
      <c r="AH6" s="457" t="s">
        <v>890</v>
      </c>
      <c r="AI6" s="458"/>
      <c r="AJ6" s="458"/>
      <c r="AK6" s="460">
        <f>IF(AND(M14=AJ46,M20=AJ27),1,IF(AND(M14=AJ46,M20&lt;&gt;AJ27),2,IF(AK47=6,4,3)))</f>
        <v>2</v>
      </c>
      <c r="AL6" s="459"/>
      <c r="AM6" s="430"/>
      <c r="AN6" s="457" t="s">
        <v>380</v>
      </c>
      <c r="AO6" s="458"/>
      <c r="AP6" s="458"/>
      <c r="AQ6" s="458">
        <f>IF(E15="Single",1,2)</f>
        <v>2</v>
      </c>
      <c r="AR6" s="459"/>
      <c r="AS6" s="430" t="s">
        <v>402</v>
      </c>
      <c r="AT6" s="507">
        <f>E31-(E30+E44+E54)</f>
        <v>4.5999999999999996</v>
      </c>
      <c r="AV6" s="430"/>
      <c r="AW6" s="430"/>
    </row>
    <row r="7" spans="1:51" ht="15.95" customHeight="1" thickBot="1">
      <c r="A7" s="90"/>
      <c r="B7" s="94"/>
      <c r="C7" s="80" t="s">
        <v>8</v>
      </c>
      <c r="D7" s="66"/>
      <c r="E7" s="66"/>
      <c r="F7" s="66"/>
      <c r="G7" s="66"/>
      <c r="H7" s="66"/>
      <c r="I7" s="66"/>
      <c r="J7" s="27"/>
      <c r="K7" s="69"/>
      <c r="L7" s="992"/>
      <c r="M7" s="992"/>
      <c r="N7" s="69"/>
      <c r="O7" s="69"/>
      <c r="P7" s="79"/>
      <c r="Q7" s="79"/>
      <c r="R7" s="181"/>
      <c r="T7" s="2326" t="s">
        <v>435</v>
      </c>
      <c r="U7" s="2327"/>
      <c r="V7" s="2327"/>
      <c r="W7" s="2328"/>
      <c r="Y7" s="2320" t="s">
        <v>436</v>
      </c>
      <c r="Z7" s="2321"/>
      <c r="AA7" s="2321"/>
      <c r="AB7" s="2322"/>
      <c r="AE7" s="2319"/>
      <c r="AF7" s="472"/>
      <c r="AG7" s="472"/>
      <c r="AH7" s="460" t="s">
        <v>889</v>
      </c>
      <c r="AI7" s="430"/>
      <c r="AJ7" s="430"/>
      <c r="AK7" s="460">
        <f>IF(AK47=6,4,AK6)</f>
        <v>2</v>
      </c>
      <c r="AL7" s="461"/>
      <c r="AM7" s="430"/>
      <c r="AN7" s="460" t="s">
        <v>379</v>
      </c>
      <c r="AO7" s="430"/>
      <c r="AP7" s="430"/>
      <c r="AQ7" s="430"/>
      <c r="AR7" s="461"/>
      <c r="AS7" s="430" t="s">
        <v>403</v>
      </c>
      <c r="AT7" s="507">
        <f>E31-(E30+E44)</f>
        <v>4.8</v>
      </c>
      <c r="AV7" s="430"/>
      <c r="AW7" s="430"/>
    </row>
    <row r="8" spans="1:51" ht="15.95" customHeight="1" thickBot="1">
      <c r="A8" s="90"/>
      <c r="B8" s="75"/>
      <c r="C8" s="2305" t="s">
        <v>361</v>
      </c>
      <c r="D8" s="2350"/>
      <c r="E8" s="2323" t="s">
        <v>8</v>
      </c>
      <c r="F8" s="2324"/>
      <c r="G8" s="2393"/>
      <c r="H8" s="70"/>
      <c r="I8" s="70"/>
      <c r="J8" s="27"/>
      <c r="K8" s="2342" t="s">
        <v>364</v>
      </c>
      <c r="L8" s="2343"/>
      <c r="M8" s="2323" t="s">
        <v>8</v>
      </c>
      <c r="N8" s="2324"/>
      <c r="O8" s="2325"/>
      <c r="P8" s="79"/>
      <c r="Q8" s="79"/>
      <c r="R8" s="181"/>
      <c r="T8" s="1347"/>
      <c r="U8" s="1348"/>
      <c r="V8" s="1348"/>
      <c r="W8" s="1349"/>
      <c r="Y8" s="1347"/>
      <c r="Z8" s="1348"/>
      <c r="AA8" s="1348"/>
      <c r="AB8" s="1349"/>
      <c r="AE8" s="2329" t="s">
        <v>723</v>
      </c>
      <c r="AF8" s="472"/>
      <c r="AG8" s="472"/>
      <c r="AH8" s="460" t="s">
        <v>374</v>
      </c>
      <c r="AI8" s="430"/>
      <c r="AJ8" s="430"/>
      <c r="AL8" s="461"/>
      <c r="AM8" s="430"/>
      <c r="AN8" s="457" t="s">
        <v>9</v>
      </c>
      <c r="AO8" s="458"/>
      <c r="AP8" s="458"/>
      <c r="AQ8" s="458"/>
      <c r="AR8" s="459"/>
      <c r="AS8" s="430" t="s">
        <v>404</v>
      </c>
      <c r="AT8" s="507">
        <f>E31-(E30+E54)</f>
        <v>7</v>
      </c>
      <c r="AV8" s="430"/>
      <c r="AW8" s="430"/>
    </row>
    <row r="9" spans="1:51" ht="15.95" customHeight="1">
      <c r="A9" s="90"/>
      <c r="B9" s="75"/>
      <c r="C9" s="2305" t="s">
        <v>1068</v>
      </c>
      <c r="D9" s="2350"/>
      <c r="E9" s="2351" t="s">
        <v>8</v>
      </c>
      <c r="F9" s="2352"/>
      <c r="G9" s="2353"/>
      <c r="H9" s="70"/>
      <c r="I9" s="70"/>
      <c r="J9" s="27"/>
      <c r="K9" s="2305" t="s">
        <v>605</v>
      </c>
      <c r="L9" s="2306"/>
      <c r="M9" s="2344" t="s">
        <v>8</v>
      </c>
      <c r="N9" s="2345"/>
      <c r="O9" s="2346"/>
      <c r="P9" s="79"/>
      <c r="Q9" s="79"/>
      <c r="R9" s="181"/>
      <c r="T9" s="1819"/>
      <c r="W9" s="166"/>
      <c r="Y9" s="1819"/>
      <c r="AB9" s="166"/>
      <c r="AE9" s="2330"/>
      <c r="AF9" s="472"/>
      <c r="AG9" s="472"/>
      <c r="AH9" s="460" t="s">
        <v>375</v>
      </c>
      <c r="AI9" s="430"/>
      <c r="AJ9" s="430"/>
      <c r="AK9" s="460"/>
      <c r="AL9" s="461"/>
      <c r="AM9" s="430"/>
      <c r="AN9" s="460" t="s">
        <v>381</v>
      </c>
      <c r="AO9" s="430"/>
      <c r="AP9" s="430"/>
      <c r="AQ9" s="458">
        <f>IF(E16="Slab",1,2)</f>
        <v>2</v>
      </c>
      <c r="AR9" s="461"/>
      <c r="AS9" s="430" t="s">
        <v>405</v>
      </c>
      <c r="AT9" s="507">
        <f>E31-(E30)</f>
        <v>7.2</v>
      </c>
    </row>
    <row r="10" spans="1:51" ht="15.95" customHeight="1">
      <c r="A10" s="90"/>
      <c r="B10" s="75"/>
      <c r="C10" s="2305" t="s">
        <v>1067</v>
      </c>
      <c r="D10" s="2350"/>
      <c r="E10" s="2351" t="s">
        <v>8</v>
      </c>
      <c r="F10" s="2352"/>
      <c r="G10" s="2353"/>
      <c r="H10" s="70"/>
      <c r="I10" s="70"/>
      <c r="J10" s="27"/>
      <c r="K10" s="2305" t="s">
        <v>1105</v>
      </c>
      <c r="L10" s="2306"/>
      <c r="M10" s="2347">
        <f ca="1">TODAY()</f>
        <v>44439</v>
      </c>
      <c r="N10" s="2348"/>
      <c r="O10" s="2349"/>
      <c r="P10" s="79"/>
      <c r="Q10" s="79"/>
      <c r="R10" s="181"/>
      <c r="T10" s="1819"/>
      <c r="W10" s="166"/>
      <c r="Y10" s="1819"/>
      <c r="AB10" s="166"/>
      <c r="AE10" s="552" t="s">
        <v>590</v>
      </c>
      <c r="AF10" s="472"/>
      <c r="AG10" s="472"/>
      <c r="AH10" s="460"/>
      <c r="AI10" s="430"/>
      <c r="AJ10" s="430"/>
      <c r="AK10" s="460"/>
      <c r="AL10" s="461"/>
      <c r="AM10" s="430"/>
      <c r="AN10" s="460" t="s">
        <v>65</v>
      </c>
      <c r="AO10" s="430"/>
      <c r="AP10" s="430"/>
      <c r="AQ10" s="430"/>
      <c r="AR10" s="461"/>
      <c r="AS10" s="430"/>
      <c r="AT10" s="430"/>
      <c r="AU10" s="430"/>
    </row>
    <row r="11" spans="1:51" ht="15.95" customHeight="1" thickBot="1">
      <c r="A11" s="90"/>
      <c r="B11" s="75"/>
      <c r="C11" s="549" t="s">
        <v>362</v>
      </c>
      <c r="D11" s="550"/>
      <c r="E11" s="2351" t="s">
        <v>8</v>
      </c>
      <c r="F11" s="2352"/>
      <c r="G11" s="2353"/>
      <c r="H11" s="70"/>
      <c r="I11" s="70"/>
      <c r="J11" s="27"/>
      <c r="K11" s="2305" t="s">
        <v>673</v>
      </c>
      <c r="L11" s="2306"/>
      <c r="M11" s="2344" t="s">
        <v>8</v>
      </c>
      <c r="N11" s="2345"/>
      <c r="O11" s="2346"/>
      <c r="P11" s="79"/>
      <c r="Q11" s="79"/>
      <c r="R11" s="181"/>
      <c r="T11" s="1819"/>
      <c r="W11" s="166"/>
      <c r="Y11" s="1819"/>
      <c r="AB11" s="166"/>
      <c r="AE11" s="552" t="s">
        <v>450</v>
      </c>
      <c r="AF11" s="472"/>
      <c r="AG11" s="472"/>
      <c r="AH11" s="460"/>
      <c r="AI11" s="430"/>
      <c r="AJ11" s="430"/>
      <c r="AK11" s="460"/>
      <c r="AL11" s="461"/>
      <c r="AM11" s="430"/>
      <c r="AN11" s="460"/>
      <c r="AO11" s="430"/>
      <c r="AP11" s="430"/>
      <c r="AQ11" s="430"/>
      <c r="AR11" s="461"/>
      <c r="AS11" s="430"/>
      <c r="AT11" s="430"/>
      <c r="AU11" s="426" t="s">
        <v>787</v>
      </c>
      <c r="AV11" s="430" t="s">
        <v>788</v>
      </c>
      <c r="AW11" s="430" t="s">
        <v>789</v>
      </c>
    </row>
    <row r="12" spans="1:51" ht="15.95" customHeight="1" thickBot="1">
      <c r="A12" s="90"/>
      <c r="B12" s="75"/>
      <c r="C12" s="2375" t="s">
        <v>363</v>
      </c>
      <c r="D12" s="2376"/>
      <c r="E12" s="2403" t="s">
        <v>8</v>
      </c>
      <c r="F12" s="2404"/>
      <c r="G12" s="2405"/>
      <c r="H12" s="89"/>
      <c r="I12" s="89"/>
      <c r="J12" s="27"/>
      <c r="K12" s="2375" t="s">
        <v>808</v>
      </c>
      <c r="L12" s="2402"/>
      <c r="M12" s="2334" t="s">
        <v>8</v>
      </c>
      <c r="N12" s="2335"/>
      <c r="O12" s="2336"/>
      <c r="P12" s="79"/>
      <c r="Q12" s="79"/>
      <c r="R12" s="181"/>
      <c r="S12" s="106"/>
      <c r="T12" s="1819"/>
      <c r="W12" s="166"/>
      <c r="Y12" s="1819"/>
      <c r="AB12" s="166"/>
      <c r="AC12" s="106"/>
      <c r="AE12" s="552" t="s">
        <v>451</v>
      </c>
      <c r="AF12" s="472"/>
      <c r="AG12" s="472"/>
      <c r="AH12" s="460" t="str">
        <f t="shared" ref="AH12:AH21" si="0">IF(AK$6=2,AK$29,IF(AK$6=1,AJ12,$AN$4))</f>
        <v>T1</v>
      </c>
      <c r="AI12" s="430"/>
      <c r="AJ12" s="460" t="s">
        <v>191</v>
      </c>
      <c r="AK12" s="460">
        <f>IF(M22=AJ12,1,IF(M22=AJ13,2,IF(M22=AJ14,3)))</f>
        <v>2</v>
      </c>
      <c r="AL12" s="461"/>
      <c r="AM12" s="430"/>
      <c r="AN12" s="457" t="s">
        <v>409</v>
      </c>
      <c r="AO12" s="458"/>
      <c r="AP12" s="458"/>
      <c r="AQ12" s="458"/>
      <c r="AR12" s="459">
        <f>IF(AQ13=1,AS13,IF(AQ13=2,AS14,IF(AQ13=3,AS15,AS16)))</f>
        <v>2</v>
      </c>
      <c r="AS12" s="430"/>
      <c r="AT12" s="430"/>
      <c r="AU12" s="692"/>
      <c r="AV12" s="692"/>
      <c r="AW12" s="692"/>
      <c r="AX12" s="692"/>
    </row>
    <row r="13" spans="1:51" ht="15.95" customHeight="1">
      <c r="A13" s="2358" t="str">
        <f>IF(AQ$6=2,"Ensure Rows 43 to 51 are unhidden when Double Storey","")</f>
        <v>Ensure Rows 43 to 51 are unhidden when Double Storey</v>
      </c>
      <c r="B13" s="75"/>
      <c r="C13" s="66"/>
      <c r="D13" s="66"/>
      <c r="E13" s="66"/>
      <c r="F13" s="66"/>
      <c r="G13" s="66"/>
      <c r="H13" s="66"/>
      <c r="I13" s="66"/>
      <c r="J13" s="27"/>
      <c r="K13" s="34"/>
      <c r="N13" s="69"/>
      <c r="O13" s="69"/>
      <c r="P13" s="79"/>
      <c r="Q13" s="79"/>
      <c r="R13" s="181"/>
      <c r="T13" s="1819"/>
      <c r="W13" s="166"/>
      <c r="Y13" s="1819"/>
      <c r="AB13" s="166"/>
      <c r="AE13" s="552" t="s">
        <v>452</v>
      </c>
      <c r="AF13" s="472"/>
      <c r="AG13" s="472"/>
      <c r="AH13" s="460" t="str">
        <f t="shared" si="0"/>
        <v>T1</v>
      </c>
      <c r="AI13" s="430"/>
      <c r="AJ13" s="460" t="s">
        <v>190</v>
      </c>
      <c r="AK13" s="460"/>
      <c r="AL13" s="461"/>
      <c r="AM13" s="430"/>
      <c r="AN13" s="460" t="s">
        <v>1060</v>
      </c>
      <c r="AO13" s="430"/>
      <c r="AP13" s="430"/>
      <c r="AQ13" s="458">
        <f>IF(E17=AN13,1,IF(E17=AN14,2,IF(E17=AN15,3,4)))</f>
        <v>2</v>
      </c>
      <c r="AR13" s="461"/>
      <c r="AS13" s="430">
        <v>1.5</v>
      </c>
      <c r="AT13" s="430"/>
      <c r="AU13" s="430" t="s">
        <v>790</v>
      </c>
      <c r="AV13" s="430" t="s">
        <v>791</v>
      </c>
      <c r="AW13" s="430" t="str">
        <f>IF($AX$5=1,AU13,AV13)</f>
        <v>Alt Demand (Bu's)</v>
      </c>
    </row>
    <row r="14" spans="1:51" ht="15.95" customHeight="1" thickBot="1">
      <c r="A14" s="2358"/>
      <c r="B14" s="75"/>
      <c r="C14" s="2339" t="s">
        <v>616</v>
      </c>
      <c r="D14" s="2339"/>
      <c r="E14" s="69"/>
      <c r="F14" s="69"/>
      <c r="G14" s="69"/>
      <c r="H14" s="66"/>
      <c r="I14" s="66"/>
      <c r="J14" s="27"/>
      <c r="K14" s="2299" t="str">
        <f>"Select Wind Zone   ====&gt;"</f>
        <v>Select Wind Zone   ====&gt;</v>
      </c>
      <c r="L14" s="2300"/>
      <c r="M14" s="1486" t="s">
        <v>962</v>
      </c>
      <c r="N14" s="1260">
        <v>55</v>
      </c>
      <c r="O14" s="83" t="s">
        <v>388</v>
      </c>
      <c r="P14" s="79"/>
      <c r="Q14" s="79"/>
      <c r="R14" s="2380" t="str">
        <f>IF(AK6&lt;&gt;4,IF(AK49="Specific Design",AE8,""),IF(N14&lt;32,AE10,IF(N14&gt;100,AE11,IF(N14&gt;55,AE12,""))))</f>
        <v/>
      </c>
      <c r="T14" s="1819"/>
      <c r="W14" s="166"/>
      <c r="Y14" s="1819"/>
      <c r="AB14" s="166"/>
      <c r="AE14" s="552" t="s">
        <v>453</v>
      </c>
      <c r="AF14" s="472"/>
      <c r="AG14" s="472"/>
      <c r="AH14" s="460" t="str">
        <f t="shared" si="0"/>
        <v>T1</v>
      </c>
      <c r="AI14" s="430"/>
      <c r="AJ14" s="460" t="s">
        <v>926</v>
      </c>
      <c r="AK14" s="460"/>
      <c r="AL14" s="461"/>
      <c r="AM14" s="430"/>
      <c r="AN14" s="460" t="s">
        <v>1061</v>
      </c>
      <c r="AO14" s="430"/>
      <c r="AP14" s="430"/>
      <c r="AQ14" s="430"/>
      <c r="AR14" s="461"/>
      <c r="AS14" s="430">
        <v>2</v>
      </c>
      <c r="AT14" s="430"/>
      <c r="AU14" s="430" t="s">
        <v>792</v>
      </c>
      <c r="AV14" s="430" t="s">
        <v>793</v>
      </c>
      <c r="AW14" s="430" t="str">
        <f>IF($AX$5=1,AU14,AV14)</f>
        <v>Demands (Bu's)</v>
      </c>
    </row>
    <row r="15" spans="1:51" ht="15.95" customHeight="1">
      <c r="A15" s="2358"/>
      <c r="B15" s="75"/>
      <c r="C15" s="2305" t="s">
        <v>1065</v>
      </c>
      <c r="D15" s="2377"/>
      <c r="E15" s="1503" t="s">
        <v>379</v>
      </c>
      <c r="F15" s="1504"/>
      <c r="G15" s="1505"/>
      <c r="H15" s="66"/>
      <c r="I15" s="66"/>
      <c r="J15" s="27"/>
      <c r="K15" s="2309" t="s">
        <v>961</v>
      </c>
      <c r="L15" s="2309"/>
      <c r="M15" s="2310"/>
      <c r="N15" s="2400" t="str">
        <f>WindCalc!AB80</f>
        <v>Low</v>
      </c>
      <c r="O15" s="2401"/>
      <c r="P15" s="79"/>
      <c r="Q15" s="79"/>
      <c r="R15" s="2380"/>
      <c r="T15" s="1819"/>
      <c r="W15" s="166"/>
      <c r="Y15" s="1819"/>
      <c r="AB15" s="166"/>
      <c r="AE15" s="552" t="s">
        <v>454</v>
      </c>
      <c r="AF15" s="472"/>
      <c r="AG15" s="472"/>
      <c r="AH15" s="460" t="str">
        <f t="shared" si="0"/>
        <v>T1</v>
      </c>
      <c r="AI15" s="430"/>
      <c r="AJ15" s="460" t="s">
        <v>305</v>
      </c>
      <c r="AK15" s="460">
        <f>IF(M24=AJ15,1,2)</f>
        <v>1</v>
      </c>
      <c r="AL15" s="461"/>
      <c r="AM15" s="430"/>
      <c r="AN15" s="460" t="s">
        <v>1062</v>
      </c>
      <c r="AO15" s="430"/>
      <c r="AP15" s="430"/>
      <c r="AQ15" s="430"/>
      <c r="AR15" s="461"/>
      <c r="AS15" s="430">
        <v>3</v>
      </c>
      <c r="AT15" s="430"/>
      <c r="AU15" s="426" t="s">
        <v>1128</v>
      </c>
      <c r="AV15" s="426" t="s">
        <v>794</v>
      </c>
      <c r="AW15" s="430" t="str">
        <f>IF($AX$5=1,AU15,AV15)</f>
        <v>Limit Element Resistance to 120 bu's/m</v>
      </c>
    </row>
    <row r="16" spans="1:51" ht="15.95" customHeight="1" thickBot="1">
      <c r="A16" s="2358"/>
      <c r="B16" s="75"/>
      <c r="C16" s="2305" t="s">
        <v>9</v>
      </c>
      <c r="D16" s="2350"/>
      <c r="E16" s="1506" t="s">
        <v>65</v>
      </c>
      <c r="F16" s="1473"/>
      <c r="G16" s="1474"/>
      <c r="H16" s="66"/>
      <c r="I16" s="66"/>
      <c r="J16" s="27"/>
      <c r="K16" s="2301" t="str">
        <f>"Wind Region:"</f>
        <v>Wind Region:</v>
      </c>
      <c r="L16" s="2302"/>
      <c r="M16" s="1263" t="s">
        <v>2</v>
      </c>
      <c r="N16" s="156"/>
      <c r="O16" s="87"/>
      <c r="P16" s="79"/>
      <c r="Q16" s="79"/>
      <c r="R16" s="182" t="str">
        <f>IF(AQ13=4,IF(F17&lt;1.5,AE13,IF(F17&gt;3,AE14,"")),"")</f>
        <v/>
      </c>
      <c r="T16" s="1820"/>
      <c r="U16" s="1351"/>
      <c r="V16" s="1351"/>
      <c r="W16" s="1821"/>
      <c r="Y16" s="1820"/>
      <c r="Z16" s="1351"/>
      <c r="AA16" s="1351"/>
      <c r="AB16" s="1821"/>
      <c r="AE16" s="552" t="s">
        <v>455</v>
      </c>
      <c r="AF16" s="472"/>
      <c r="AG16" s="472"/>
      <c r="AH16" s="460" t="str">
        <f t="shared" si="0"/>
        <v>T1</v>
      </c>
      <c r="AI16" s="430"/>
      <c r="AJ16" s="460" t="s">
        <v>307</v>
      </c>
      <c r="AK16" s="460"/>
      <c r="AL16" s="461"/>
      <c r="AM16" s="430"/>
      <c r="AN16" s="462" t="s">
        <v>392</v>
      </c>
      <c r="AO16" s="463"/>
      <c r="AP16" s="463"/>
      <c r="AQ16" s="463"/>
      <c r="AR16" s="464"/>
      <c r="AS16" s="430">
        <f>F17</f>
        <v>2</v>
      </c>
      <c r="AT16" s="430"/>
      <c r="AU16" s="430" t="s">
        <v>1129</v>
      </c>
      <c r="AV16" s="430" t="s">
        <v>795</v>
      </c>
      <c r="AW16" s="430" t="str">
        <f>IF($AX$5=1,AU16,AV16)</f>
        <v>Limit Element Resistance to 150 bu's/m</v>
      </c>
    </row>
    <row r="17" spans="1:51" ht="15.95" customHeight="1">
      <c r="A17" s="2358"/>
      <c r="B17" s="75"/>
      <c r="C17" s="2305" t="s">
        <v>1066</v>
      </c>
      <c r="D17" s="2377"/>
      <c r="E17" s="1261" t="s">
        <v>1061</v>
      </c>
      <c r="F17" s="1476">
        <v>2</v>
      </c>
      <c r="G17" s="1474" t="s">
        <v>389</v>
      </c>
      <c r="H17" s="66"/>
      <c r="I17" s="66"/>
      <c r="J17" s="27"/>
      <c r="K17" s="2303" t="s">
        <v>1095</v>
      </c>
      <c r="L17" s="2304"/>
      <c r="M17" s="1264" t="s">
        <v>20</v>
      </c>
      <c r="N17" s="156"/>
      <c r="O17" s="87"/>
      <c r="P17" s="79"/>
      <c r="Q17" s="79"/>
      <c r="R17" s="539" t="str">
        <f>IF($E31&gt;10,IF(AQ9=1,AE15,AE16),"")</f>
        <v/>
      </c>
      <c r="AE17" s="552" t="s">
        <v>456</v>
      </c>
      <c r="AF17" s="472"/>
      <c r="AG17" s="472"/>
      <c r="AH17" s="460" t="str">
        <f t="shared" si="0"/>
        <v>T1</v>
      </c>
      <c r="AI17" s="430"/>
      <c r="AJ17" s="460" t="s">
        <v>1001</v>
      </c>
      <c r="AK17" s="460">
        <f>IF(M23=AJ17,1,IF(M23=AJ18,2,IF(M23=AJ19,3,IF(M23=AJ20,4,IF(M23=AJ21,5)))))</f>
        <v>3</v>
      </c>
      <c r="AL17" s="461"/>
      <c r="AM17" s="430"/>
      <c r="AN17" s="460" t="s">
        <v>408</v>
      </c>
      <c r="AR17" s="461">
        <f>IF(AQ18=1,AS18,IF(AQ18=2,AS19,AS20))</f>
        <v>20</v>
      </c>
      <c r="AS17" s="465"/>
      <c r="AT17" s="430"/>
    </row>
    <row r="18" spans="1:51" ht="15.95" customHeight="1">
      <c r="A18" s="2358"/>
      <c r="B18" s="75"/>
      <c r="C18" s="2421" t="str">
        <f>IF(AQ18&lt;&gt;3,"Roof Weight:","Roof Weight (Include Sarking)")</f>
        <v>Roof Weight:</v>
      </c>
      <c r="D18" s="2430"/>
      <c r="E18" s="1262" t="s">
        <v>382</v>
      </c>
      <c r="F18" s="1475">
        <v>20</v>
      </c>
      <c r="G18" s="1474" t="s">
        <v>104</v>
      </c>
      <c r="H18" s="66"/>
      <c r="I18" s="66"/>
      <c r="J18" s="27"/>
      <c r="K18" s="2303" t="str">
        <f>"Site Exposure:"</f>
        <v>Site Exposure:</v>
      </c>
      <c r="L18" s="2304"/>
      <c r="M18" s="1265" t="s">
        <v>15</v>
      </c>
      <c r="N18" s="156"/>
      <c r="O18" s="87"/>
      <c r="P18" s="79"/>
      <c r="Q18" s="79"/>
      <c r="R18" s="540" t="str">
        <f>IF($E31&lt;2.5,AE17,"")</f>
        <v/>
      </c>
      <c r="T18" s="2331" t="s">
        <v>437</v>
      </c>
      <c r="U18" s="2332"/>
      <c r="V18" s="2332"/>
      <c r="W18" s="2333"/>
      <c r="Y18" s="2320" t="s">
        <v>438</v>
      </c>
      <c r="Z18" s="2321"/>
      <c r="AA18" s="2321"/>
      <c r="AB18" s="2322"/>
      <c r="AE18" s="552" t="s">
        <v>591</v>
      </c>
      <c r="AF18" s="472"/>
      <c r="AG18" s="472"/>
      <c r="AH18" s="460" t="str">
        <f t="shared" si="0"/>
        <v>T1</v>
      </c>
      <c r="AI18" s="430"/>
      <c r="AJ18" s="460" t="s">
        <v>999</v>
      </c>
      <c r="AK18" s="460"/>
      <c r="AL18" s="461"/>
      <c r="AM18" s="430"/>
      <c r="AN18" s="460" t="s">
        <v>382</v>
      </c>
      <c r="AO18" s="430"/>
      <c r="AP18" s="430"/>
      <c r="AQ18" s="430">
        <f>IF(E18=AN18,1,IF(E18=AN19,2,IF(E18=AN20,3)))</f>
        <v>1</v>
      </c>
      <c r="AS18" s="461">
        <f>20</f>
        <v>20</v>
      </c>
      <c r="AT18" s="430"/>
    </row>
    <row r="19" spans="1:51" ht="15.95" customHeight="1">
      <c r="A19" s="2358"/>
      <c r="B19" s="75"/>
      <c r="C19" s="2421" t="str">
        <f>IF(AQ6=2,"Upper Storey Cladding Weight:","Single Storey Cladding Weight:")</f>
        <v>Upper Storey Cladding Weight:</v>
      </c>
      <c r="D19" s="2422"/>
      <c r="E19" s="1523" t="s">
        <v>382</v>
      </c>
      <c r="F19" s="1522">
        <v>10</v>
      </c>
      <c r="G19" s="1524" t="s">
        <v>104</v>
      </c>
      <c r="H19" s="66"/>
      <c r="I19" s="66"/>
      <c r="J19" s="27"/>
      <c r="K19" s="2303" t="str">
        <f>"Lee Zone:"</f>
        <v>Lee Zone:</v>
      </c>
      <c r="L19" s="2304"/>
      <c r="M19" s="1266" t="s">
        <v>305</v>
      </c>
      <c r="N19" s="156"/>
      <c r="O19" s="87"/>
      <c r="P19" s="79"/>
      <c r="Q19" s="79"/>
      <c r="R19" s="2379" t="str">
        <f>IF(G25&gt;(E25+15),AE6,IF(G25&lt;(E25-15),AE6,""))</f>
        <v/>
      </c>
      <c r="T19" s="1347"/>
      <c r="U19" s="1348"/>
      <c r="V19" s="1348"/>
      <c r="W19" s="1349"/>
      <c r="Y19" s="1347"/>
      <c r="Z19" s="1348"/>
      <c r="AA19" s="1348"/>
      <c r="AB19" s="1349"/>
      <c r="AE19" s="552" t="s">
        <v>457</v>
      </c>
      <c r="AF19" s="472"/>
      <c r="AG19" s="472"/>
      <c r="AH19" s="460" t="str">
        <f t="shared" si="0"/>
        <v>T1</v>
      </c>
      <c r="AI19" s="430"/>
      <c r="AJ19" s="460" t="s">
        <v>998</v>
      </c>
      <c r="AK19" s="460"/>
      <c r="AL19" s="461"/>
      <c r="AM19" s="430"/>
      <c r="AN19" s="460" t="s">
        <v>383</v>
      </c>
      <c r="AO19" s="430"/>
      <c r="AP19" s="430"/>
      <c r="AQ19" s="430"/>
      <c r="AS19" s="461">
        <f>60</f>
        <v>60</v>
      </c>
      <c r="AT19" s="430"/>
      <c r="AV19" s="426" t="e">
        <f>IF(AW21=0,xxx,yyy)</f>
        <v>#NAME?</v>
      </c>
      <c r="AX19" s="426" t="s">
        <v>923</v>
      </c>
    </row>
    <row r="20" spans="1:51" ht="15.95" customHeight="1" thickBot="1">
      <c r="A20" s="2358"/>
      <c r="B20" s="75"/>
      <c r="C20" s="2421" t="str">
        <f>"Lower Storey Cladding Weight:"</f>
        <v>Lower Storey Cladding Weight:</v>
      </c>
      <c r="D20" s="2422"/>
      <c r="E20" s="1267" t="s">
        <v>382</v>
      </c>
      <c r="F20" s="1525">
        <v>10</v>
      </c>
      <c r="G20" s="1474" t="s">
        <v>104</v>
      </c>
      <c r="H20" s="66"/>
      <c r="I20" s="66"/>
      <c r="J20" s="27"/>
      <c r="K20" s="2307" t="str">
        <f>"Topographic Class"</f>
        <v>Topographic Class</v>
      </c>
      <c r="L20" s="2308"/>
      <c r="M20" s="1267" t="s">
        <v>22</v>
      </c>
      <c r="N20" s="156"/>
      <c r="O20" s="87"/>
      <c r="P20" s="79"/>
      <c r="Q20" s="79"/>
      <c r="R20" s="2379"/>
      <c r="T20" s="1819"/>
      <c r="W20" s="166"/>
      <c r="Y20" s="1819"/>
      <c r="AB20" s="166"/>
      <c r="AE20" s="552" t="s">
        <v>496</v>
      </c>
      <c r="AF20" s="472"/>
      <c r="AG20" s="472"/>
      <c r="AH20" s="460" t="str">
        <f t="shared" si="0"/>
        <v>T1</v>
      </c>
      <c r="AI20" s="430"/>
      <c r="AJ20" s="460" t="s">
        <v>997</v>
      </c>
      <c r="AK20" s="460"/>
      <c r="AL20" s="461"/>
      <c r="AM20" s="430"/>
      <c r="AN20" s="462" t="s">
        <v>1054</v>
      </c>
      <c r="AO20" s="463"/>
      <c r="AP20" s="463"/>
      <c r="AQ20" s="463"/>
      <c r="AR20" s="466"/>
      <c r="AS20" s="464">
        <f>F18</f>
        <v>20</v>
      </c>
      <c r="AT20" s="430"/>
      <c r="AX20" s="426" t="s">
        <v>922</v>
      </c>
    </row>
    <row r="21" spans="1:51" ht="15.95" customHeight="1" thickBot="1">
      <c r="A21" s="2358"/>
      <c r="B21" s="75"/>
      <c r="C21" s="2426" t="str">
        <f>"Sub Floor Cladding Weight:"</f>
        <v>Sub Floor Cladding Weight:</v>
      </c>
      <c r="D21" s="2427"/>
      <c r="E21" s="1507" t="s">
        <v>382</v>
      </c>
      <c r="F21" s="1477">
        <v>10</v>
      </c>
      <c r="G21" s="1526" t="s">
        <v>104</v>
      </c>
      <c r="H21" s="66"/>
      <c r="I21" s="66"/>
      <c r="J21" s="27"/>
      <c r="K21" s="2365" t="s">
        <v>964</v>
      </c>
      <c r="L21" s="2365"/>
      <c r="M21" s="2366"/>
      <c r="N21" s="1465" t="str">
        <f>WindCalc!U81</f>
        <v>T1</v>
      </c>
      <c r="O21" s="1450"/>
      <c r="P21" s="79"/>
      <c r="Q21" s="79"/>
      <c r="R21" s="541" t="str">
        <f>IF(E25&gt;60,AE30,"")</f>
        <v/>
      </c>
      <c r="S21" s="107"/>
      <c r="T21" s="1819"/>
      <c r="W21" s="166"/>
      <c r="Y21" s="1819"/>
      <c r="AB21" s="166"/>
      <c r="AC21" s="107"/>
      <c r="AD21" s="422"/>
      <c r="AE21" s="552" t="s">
        <v>1002</v>
      </c>
      <c r="AF21" s="472"/>
      <c r="AG21" s="472"/>
      <c r="AH21" s="460" t="str">
        <f t="shared" si="0"/>
        <v>T1</v>
      </c>
      <c r="AI21" s="430"/>
      <c r="AJ21" s="460" t="s">
        <v>390</v>
      </c>
      <c r="AK21" s="460"/>
      <c r="AL21" s="461"/>
      <c r="AM21" s="430"/>
      <c r="AN21" s="460" t="s">
        <v>497</v>
      </c>
      <c r="AO21" s="430"/>
      <c r="AP21" s="430"/>
      <c r="AQ21" s="430">
        <f>IF(E24=AN21,1,IF(E24=AN22,2,3))</f>
        <v>1</v>
      </c>
      <c r="AR21" s="461"/>
      <c r="AS21" s="430"/>
      <c r="AT21" s="430"/>
      <c r="AW21" s="426">
        <v>0</v>
      </c>
      <c r="AX21" s="430">
        <f>IF(K2=AX19,1,2)</f>
        <v>1</v>
      </c>
    </row>
    <row r="22" spans="1:51" ht="15.95" customHeight="1">
      <c r="A22" s="2358"/>
      <c r="B22" s="75"/>
      <c r="C22" s="1188"/>
      <c r="D22" s="1188"/>
      <c r="E22" s="1188"/>
      <c r="F22" s="1188"/>
      <c r="G22" s="1188"/>
      <c r="H22" s="66"/>
      <c r="I22" s="66"/>
      <c r="J22" s="27"/>
      <c r="K22" s="1122" t="str">
        <f>"Topographic Zone:"</f>
        <v>Topographic Zone:</v>
      </c>
      <c r="L22" s="1464"/>
      <c r="M22" s="1185" t="s">
        <v>190</v>
      </c>
      <c r="N22" s="1123"/>
      <c r="O22" s="1124"/>
      <c r="P22" s="79"/>
      <c r="Q22" s="79"/>
      <c r="R22" s="539" t="str">
        <f>IF(E30&lt;0.5,AE18,IF(E30&gt;8,AE19,""))</f>
        <v/>
      </c>
      <c r="S22" s="108"/>
      <c r="T22" s="1819"/>
      <c r="W22" s="166"/>
      <c r="Y22" s="1819"/>
      <c r="AB22" s="166"/>
      <c r="AC22" s="108"/>
      <c r="AD22" s="423"/>
      <c r="AE22" s="552" t="s">
        <v>458</v>
      </c>
      <c r="AF22" s="472"/>
      <c r="AG22" s="472"/>
      <c r="AH22" s="460"/>
      <c r="AI22" s="430"/>
      <c r="AJ22" s="460"/>
      <c r="AK22" s="460"/>
      <c r="AL22" s="461"/>
      <c r="AM22" s="430"/>
      <c r="AN22" s="460" t="s">
        <v>384</v>
      </c>
      <c r="AO22" s="430"/>
      <c r="AP22" s="430"/>
      <c r="AQ22" s="430"/>
      <c r="AR22" s="461"/>
      <c r="AS22" s="430"/>
      <c r="AT22" s="430"/>
    </row>
    <row r="23" spans="1:51" ht="15.95" customHeight="1" thickBot="1">
      <c r="A23" s="2358"/>
      <c r="B23" s="75"/>
      <c r="C23" s="1484" t="s">
        <v>212</v>
      </c>
      <c r="D23" s="1484"/>
      <c r="E23" s="1188"/>
      <c r="F23" s="1188"/>
      <c r="G23" s="1485"/>
      <c r="H23" s="66"/>
      <c r="I23" s="66"/>
      <c r="J23" s="27"/>
      <c r="K23" s="549" t="str">
        <f>"Gradient:"</f>
        <v>Gradient:</v>
      </c>
      <c r="L23" s="1117"/>
      <c r="M23" s="1186" t="s">
        <v>998</v>
      </c>
      <c r="N23" s="155"/>
      <c r="O23" s="83"/>
      <c r="P23" s="79"/>
      <c r="Q23" s="79"/>
      <c r="R23" s="539" t="str">
        <f>IF(AQ18=3,IF(F18&gt;60,AE20,""),"")</f>
        <v/>
      </c>
      <c r="T23" s="1819"/>
      <c r="W23" s="166"/>
      <c r="Y23" s="1819"/>
      <c r="AB23" s="166"/>
      <c r="AE23" s="552" t="s">
        <v>459</v>
      </c>
      <c r="AF23" s="472"/>
      <c r="AG23" s="472"/>
      <c r="AH23" s="460" t="str">
        <f>IF(AK$6=2,AK$29,IF(AK$6=1,AJ23,$AN$4))</f>
        <v>T1</v>
      </c>
      <c r="AI23" s="430"/>
      <c r="AJ23" s="460" t="s">
        <v>305</v>
      </c>
      <c r="AK23" s="460">
        <f>IF(M25=AJ23,1,2)</f>
        <v>1</v>
      </c>
      <c r="AL23" s="461"/>
      <c r="AM23" s="430"/>
      <c r="AN23" s="460" t="s">
        <v>385</v>
      </c>
      <c r="AO23" s="430"/>
      <c r="AP23" s="430"/>
      <c r="AQ23" s="430"/>
      <c r="AR23" s="461"/>
      <c r="AS23" s="430"/>
      <c r="AT23" s="430"/>
    </row>
    <row r="24" spans="1:51" ht="15.95" customHeight="1">
      <c r="A24" s="2358"/>
      <c r="B24" s="75"/>
      <c r="C24" s="1467" t="s">
        <v>365</v>
      </c>
      <c r="D24" s="1466"/>
      <c r="E24" s="2371" t="s">
        <v>497</v>
      </c>
      <c r="F24" s="2372"/>
      <c r="G24" s="1481"/>
      <c r="H24" s="67"/>
      <c r="I24" s="67"/>
      <c r="J24" s="27"/>
      <c r="K24" s="549" t="str">
        <f>"Undulations &lt; 10m:"</f>
        <v>Undulations &lt; 10m:</v>
      </c>
      <c r="L24" s="1117"/>
      <c r="M24" s="1266" t="s">
        <v>305</v>
      </c>
      <c r="N24" s="155"/>
      <c r="O24" s="83"/>
      <c r="P24" s="79"/>
      <c r="Q24" s="79"/>
      <c r="R24" s="539" t="str">
        <f>IF(E26-E36&lt;0,IF(AQ6=2,AE22,AE23),IF(E26-E36&gt;3,IF(AQ6=2,AE24,AE25),""))</f>
        <v/>
      </c>
      <c r="T24" s="1819"/>
      <c r="W24" s="166"/>
      <c r="Y24" s="1819"/>
      <c r="AB24" s="166"/>
      <c r="AE24" s="552" t="s">
        <v>460</v>
      </c>
      <c r="AF24" s="472"/>
      <c r="AG24" s="472"/>
      <c r="AH24" s="460" t="str">
        <f>IF(AK$6=2,AK$29,IF(AK$6=1,AJ24,$AN$4))</f>
        <v>T1</v>
      </c>
      <c r="AI24" s="430"/>
      <c r="AJ24" s="460" t="s">
        <v>307</v>
      </c>
      <c r="AK24" s="460"/>
      <c r="AL24" s="461"/>
      <c r="AM24" s="430"/>
      <c r="AN24" s="457" t="s">
        <v>671</v>
      </c>
      <c r="AO24" s="458"/>
      <c r="AP24" s="458"/>
      <c r="AQ24" s="458"/>
      <c r="AR24" s="459"/>
      <c r="AS24" s="430"/>
      <c r="AT24" s="430"/>
      <c r="AU24" s="457" t="s">
        <v>672</v>
      </c>
      <c r="AV24" s="458"/>
      <c r="AW24" s="458"/>
      <c r="AX24" s="458"/>
      <c r="AY24" s="459"/>
    </row>
    <row r="25" spans="1:51" ht="15.95" customHeight="1">
      <c r="A25" s="2358"/>
      <c r="B25" s="75"/>
      <c r="C25" s="1467" t="s">
        <v>366</v>
      </c>
      <c r="D25" s="1468"/>
      <c r="E25" s="1479">
        <v>20</v>
      </c>
      <c r="F25" s="97" t="s">
        <v>130</v>
      </c>
      <c r="G25" s="1480">
        <f>'FP Calcs'!G29</f>
        <v>20.924501744921169</v>
      </c>
      <c r="H25" s="68"/>
      <c r="I25" s="68"/>
      <c r="J25" s="27"/>
      <c r="K25" s="1118" t="str">
        <f>"Known Accelerated Wind flows:"</f>
        <v>Known Accelerated Wind flows:</v>
      </c>
      <c r="L25" s="1119"/>
      <c r="M25" s="1268" t="s">
        <v>305</v>
      </c>
      <c r="N25" s="1120"/>
      <c r="O25" s="1121"/>
      <c r="P25" s="79"/>
      <c r="Q25" s="79"/>
      <c r="R25" s="539" t="str">
        <f>IF(E27-E37&lt;0,IF(AQ$6=2,AE26,AE27),IF(E27-E37&gt;3,IF(AQ$6=2,AE28,AE29),""))</f>
        <v/>
      </c>
      <c r="S25" s="109"/>
      <c r="T25" s="1819"/>
      <c r="W25" s="166"/>
      <c r="Y25" s="1819"/>
      <c r="AB25" s="166"/>
      <c r="AC25" s="109"/>
      <c r="AD25" s="424"/>
      <c r="AE25" s="552" t="s">
        <v>461</v>
      </c>
      <c r="AF25" s="472"/>
      <c r="AG25" s="472"/>
      <c r="AM25" s="430"/>
      <c r="AN25" s="460" t="s">
        <v>305</v>
      </c>
      <c r="AO25" s="430"/>
      <c r="AP25" s="430"/>
      <c r="AQ25" s="430">
        <f>IF(E40=AN25,1,2)</f>
        <v>1</v>
      </c>
      <c r="AR25" s="461"/>
      <c r="AS25" s="430"/>
      <c r="AT25" s="430"/>
      <c r="AU25" s="430" t="str">
        <f>IF(AQ$6=1,AW25,AV25)</f>
        <v>No</v>
      </c>
      <c r="AV25" s="460" t="s">
        <v>305</v>
      </c>
      <c r="AW25" s="430" t="s">
        <v>396</v>
      </c>
      <c r="AX25" s="430">
        <f>IF(E50=AV25,1,2)</f>
        <v>1</v>
      </c>
      <c r="AY25" s="461"/>
    </row>
    <row r="26" spans="1:51" ht="15.95" customHeight="1" thickBot="1">
      <c r="A26" s="1687"/>
      <c r="B26" s="75"/>
      <c r="C26" s="2423" t="str">
        <f>IF(AQ6=1,"Roof Length:","Upper Storey Roof Length:")</f>
        <v>Upper Storey Roof Length:</v>
      </c>
      <c r="D26" s="2377"/>
      <c r="E26" s="102">
        <v>8.9</v>
      </c>
      <c r="F26" s="97" t="s">
        <v>45</v>
      </c>
      <c r="G26" s="85"/>
      <c r="H26" s="68"/>
      <c r="I26" s="68"/>
      <c r="J26" s="27"/>
      <c r="L26" s="34"/>
      <c r="M26" s="34"/>
      <c r="N26" s="34"/>
      <c r="O26" s="34"/>
      <c r="P26" s="79"/>
      <c r="Q26" s="79"/>
      <c r="R26" s="633"/>
      <c r="T26" s="1819"/>
      <c r="W26" s="166"/>
      <c r="Y26" s="1819"/>
      <c r="AB26" s="166"/>
      <c r="AE26" s="552" t="s">
        <v>462</v>
      </c>
      <c r="AF26" s="472"/>
      <c r="AG26" s="472"/>
      <c r="AM26" s="430"/>
      <c r="AN26" s="462" t="s">
        <v>307</v>
      </c>
      <c r="AO26" s="463"/>
      <c r="AP26" s="463"/>
      <c r="AQ26" s="463"/>
      <c r="AR26" s="464"/>
      <c r="AS26" s="430"/>
      <c r="AT26" s="430"/>
      <c r="AU26" s="430" t="str">
        <f>IF(AQ$6=1,AW26,AV26)</f>
        <v>Yes</v>
      </c>
      <c r="AV26" s="462" t="s">
        <v>307</v>
      </c>
      <c r="AW26" s="430" t="s">
        <v>396</v>
      </c>
      <c r="AX26" s="463"/>
      <c r="AY26" s="464"/>
    </row>
    <row r="27" spans="1:51" ht="15.95" customHeight="1" thickBot="1">
      <c r="A27" s="2358" t="str">
        <f>IF(AQ$9=2,"Ensure Rows 53 to 59 are unhidden when on Sub Floor","")</f>
        <v>Ensure Rows 53 to 59 are unhidden when on Sub Floor</v>
      </c>
      <c r="B27" s="75"/>
      <c r="C27" s="2424" t="str">
        <f>IF(AQ6=1,"Roof Width:","Upper Storey Roof Width:")</f>
        <v>Upper Storey Roof Width:</v>
      </c>
      <c r="D27" s="2425"/>
      <c r="E27" s="628">
        <v>6.8</v>
      </c>
      <c r="F27" s="629" t="s">
        <v>45</v>
      </c>
      <c r="G27" s="113"/>
      <c r="H27" s="34"/>
      <c r="I27" s="34"/>
      <c r="J27" s="27"/>
      <c r="K27" s="2339" t="s">
        <v>477</v>
      </c>
      <c r="L27" s="2339"/>
      <c r="M27" s="2339"/>
      <c r="N27" s="2339"/>
      <c r="O27" s="2339"/>
      <c r="P27" s="79"/>
      <c r="Q27" s="79"/>
      <c r="R27" s="1346"/>
      <c r="S27" s="109"/>
      <c r="T27" s="1819"/>
      <c r="W27" s="166"/>
      <c r="Y27" s="1819"/>
      <c r="AB27" s="166"/>
      <c r="AC27" s="109"/>
      <c r="AD27" s="424"/>
      <c r="AE27" s="552" t="s">
        <v>463</v>
      </c>
      <c r="AF27" s="472"/>
      <c r="AG27" s="472"/>
      <c r="AH27" s="460" t="str">
        <f>IF(AK$6=1,AK$29,IF(AK$6=2,AJ27,$AN$4))</f>
        <v>Calculate</v>
      </c>
      <c r="AI27" s="431"/>
      <c r="AJ27" s="671" t="s">
        <v>963</v>
      </c>
      <c r="AK27" s="460"/>
      <c r="AL27" s="461"/>
      <c r="AM27" s="430"/>
      <c r="AN27" s="460" t="s">
        <v>1093</v>
      </c>
      <c r="AP27" s="426">
        <f>E38/2</f>
        <v>19</v>
      </c>
      <c r="AS27" s="430"/>
      <c r="AT27" s="430"/>
      <c r="AU27" s="430"/>
      <c r="AV27" s="430"/>
      <c r="AW27" s="430"/>
    </row>
    <row r="28" spans="1:51" ht="15.95" customHeight="1">
      <c r="A28" s="2358"/>
      <c r="B28" s="75"/>
      <c r="C28" s="1188"/>
      <c r="D28" s="1188"/>
      <c r="E28" s="1188"/>
      <c r="F28" s="1188"/>
      <c r="G28" s="1188"/>
      <c r="H28" s="68"/>
      <c r="I28" s="68"/>
      <c r="J28" s="27"/>
      <c r="K28" s="2305" t="s">
        <v>359</v>
      </c>
      <c r="L28" s="2306"/>
      <c r="M28" s="1269">
        <v>1</v>
      </c>
      <c r="N28" s="157"/>
      <c r="O28" s="86"/>
      <c r="P28" s="79"/>
      <c r="Q28" s="79"/>
      <c r="R28" s="633"/>
      <c r="S28" s="109"/>
      <c r="T28" s="1819"/>
      <c r="W28" s="166"/>
      <c r="Y28" s="1819"/>
      <c r="AB28" s="166"/>
      <c r="AC28" s="109"/>
      <c r="AD28" s="424"/>
      <c r="AE28" s="552" t="s">
        <v>495</v>
      </c>
      <c r="AF28" s="472"/>
      <c r="AG28" s="472"/>
      <c r="AH28" s="460" t="str">
        <f>IF(AK$6=1,AK$29,IF(AK$6=2,AJ28,$AN$4))</f>
        <v>T1</v>
      </c>
      <c r="AI28" s="430"/>
      <c r="AJ28" s="460" t="str">
        <f>IF(AM8=4,"","T1")</f>
        <v>T1</v>
      </c>
      <c r="AK28" s="460">
        <f>IF(M20=AJ27,0,IF(M20=AJ28,1,IF(M20=AJ29,2,IF(M20=AJ30,3,4))))</f>
        <v>1</v>
      </c>
      <c r="AL28" s="461"/>
      <c r="AM28" s="430"/>
      <c r="AN28" s="460" t="s">
        <v>1094</v>
      </c>
      <c r="AP28" s="426">
        <f>IF(E48&lt;E38,0,(E48-E38)/2)</f>
        <v>41</v>
      </c>
      <c r="AS28" s="430"/>
      <c r="AT28" s="430"/>
      <c r="AU28" s="430"/>
      <c r="AV28" s="430"/>
      <c r="AW28" s="430"/>
    </row>
    <row r="29" spans="1:51" ht="15.95" customHeight="1" thickBot="1">
      <c r="A29" s="2358"/>
      <c r="B29" s="75"/>
      <c r="C29" s="1484" t="s">
        <v>1096</v>
      </c>
      <c r="D29" s="1188"/>
      <c r="E29" s="1188"/>
      <c r="F29" s="1188"/>
      <c r="G29" s="1188"/>
      <c r="H29" s="34"/>
      <c r="I29" s="34"/>
      <c r="J29" s="27"/>
      <c r="K29" s="2305" t="s">
        <v>360</v>
      </c>
      <c r="L29" s="2306">
        <v>0</v>
      </c>
      <c r="M29" s="1266" t="s">
        <v>412</v>
      </c>
      <c r="N29" s="156"/>
      <c r="O29" s="104"/>
      <c r="P29" s="79"/>
      <c r="Q29" s="79"/>
      <c r="R29" s="2378" t="str">
        <f>IF(AW62=2,AE72,IF(AW62=3,AE74,""))</f>
        <v/>
      </c>
      <c r="S29" s="109"/>
      <c r="T29" s="1820"/>
      <c r="U29" s="1351"/>
      <c r="V29" s="1351"/>
      <c r="W29" s="1821"/>
      <c r="Y29" s="1820"/>
      <c r="Z29" s="1351"/>
      <c r="AA29" s="1351"/>
      <c r="AB29" s="1821"/>
      <c r="AC29" s="109"/>
      <c r="AD29" s="424"/>
      <c r="AE29" s="552" t="s">
        <v>464</v>
      </c>
      <c r="AF29" s="472"/>
      <c r="AG29" s="472"/>
      <c r="AH29" s="460" t="str">
        <f>IF(AK$6=1,AK$29,IF(AK$6=2,AJ29,$AN$4))</f>
        <v>T2</v>
      </c>
      <c r="AI29" s="430"/>
      <c r="AJ29" s="460" t="str">
        <f>IF(AM8=4,"","T2")</f>
        <v>T2</v>
      </c>
      <c r="AK29" s="460" t="str">
        <f>WindCalc!U81</f>
        <v>T1</v>
      </c>
      <c r="AL29" s="461"/>
      <c r="AM29" s="430"/>
      <c r="AS29" s="430"/>
      <c r="AT29" s="430"/>
      <c r="AU29" s="430"/>
      <c r="AV29" s="430"/>
      <c r="AW29" s="430"/>
    </row>
    <row r="30" spans="1:51" ht="15.95" customHeight="1" thickBot="1">
      <c r="A30" s="2358"/>
      <c r="B30" s="75"/>
      <c r="C30" s="2423" t="str">
        <f>IF(AQ6=1,"Height (h) above Eaves:","Upper Height (h) above Eaves")</f>
        <v>Upper Height (h) above Eaves</v>
      </c>
      <c r="D30" s="2377"/>
      <c r="E30" s="1482">
        <v>1.3</v>
      </c>
      <c r="F30" s="103" t="s">
        <v>45</v>
      </c>
      <c r="G30" s="1483"/>
      <c r="H30" s="68"/>
      <c r="I30" s="68"/>
      <c r="J30" s="27"/>
      <c r="K30" s="2373" t="s">
        <v>489</v>
      </c>
      <c r="L30" s="2374"/>
      <c r="M30" s="2313" t="s">
        <v>1099</v>
      </c>
      <c r="N30" s="2314"/>
      <c r="O30" s="84"/>
      <c r="P30" s="79"/>
      <c r="Q30" s="79"/>
      <c r="R30" s="2378"/>
      <c r="S30" s="109"/>
      <c r="AC30" s="109"/>
      <c r="AD30" s="424"/>
      <c r="AE30" s="552" t="s">
        <v>465</v>
      </c>
      <c r="AF30" s="472"/>
      <c r="AG30" s="472"/>
      <c r="AH30" s="460" t="str">
        <f>IF(AK$6=1,AK$29,IF(AK$6=2,AJ30,$AN$4))</f>
        <v>T3</v>
      </c>
      <c r="AI30" s="430"/>
      <c r="AJ30" s="460" t="str">
        <f>IF(AM8=4,"","T3")</f>
        <v>T3</v>
      </c>
      <c r="AK30" s="460"/>
      <c r="AL30" s="461"/>
      <c r="AM30" s="430"/>
      <c r="AN30" s="460"/>
      <c r="AO30" s="430"/>
      <c r="AP30" s="430"/>
      <c r="AQ30" s="430"/>
      <c r="AR30" s="461"/>
      <c r="AS30" s="430"/>
      <c r="AT30" s="430"/>
      <c r="AU30" s="430"/>
      <c r="AV30" s="430"/>
      <c r="AW30" s="430"/>
    </row>
    <row r="31" spans="1:51" ht="15.95" customHeight="1" thickBot="1">
      <c r="A31" s="2358"/>
      <c r="B31" s="75"/>
      <c r="C31" s="2428" t="str">
        <f>IF(AQ9=1,"Height: Top of Slab to Apex (H)","Height: Avg Ground to Apex (H)")</f>
        <v>Height: Avg Ground to Apex (H)</v>
      </c>
      <c r="D31" s="2429"/>
      <c r="E31" s="165">
        <v>8.5</v>
      </c>
      <c r="F31" s="186" t="s">
        <v>45</v>
      </c>
      <c r="G31" s="84"/>
      <c r="H31" s="68"/>
      <c r="I31" s="68"/>
      <c r="J31" s="27"/>
      <c r="K31" s="1188"/>
      <c r="L31" s="1188"/>
      <c r="M31" s="1188"/>
      <c r="N31" s="1188"/>
      <c r="O31" s="1188"/>
      <c r="P31" s="79"/>
      <c r="Q31" s="79"/>
      <c r="R31" s="539" t="s">
        <v>8</v>
      </c>
      <c r="S31" s="109"/>
      <c r="T31" s="2331" t="s">
        <v>491</v>
      </c>
      <c r="U31" s="2332"/>
      <c r="V31" s="2332"/>
      <c r="W31" s="2333"/>
      <c r="Y31" s="2394" t="s">
        <v>492</v>
      </c>
      <c r="Z31" s="2395"/>
      <c r="AA31" s="2395"/>
      <c r="AB31" s="2396"/>
      <c r="AC31" s="109"/>
      <c r="AD31" s="424"/>
      <c r="AE31" s="552"/>
      <c r="AF31" s="472"/>
      <c r="AG31" s="472"/>
      <c r="AH31" s="460" t="str">
        <f>IF(AK$6=1,AK$29,IF(AK$6=2,AJ31,$AN$4))</f>
        <v>T4</v>
      </c>
      <c r="AI31" s="430"/>
      <c r="AJ31" s="460" t="str">
        <f>IF(AM8=4,"","T4")</f>
        <v>T4</v>
      </c>
      <c r="AK31" s="460"/>
      <c r="AL31" s="461"/>
      <c r="AM31" s="430"/>
      <c r="AN31" s="460" t="s">
        <v>305</v>
      </c>
      <c r="AO31" s="430"/>
      <c r="AP31" s="430"/>
      <c r="AQ31" s="430"/>
      <c r="AR31" s="461"/>
      <c r="AS31" s="430"/>
      <c r="AT31" s="430"/>
      <c r="AU31" s="430"/>
      <c r="AV31" s="430"/>
      <c r="AW31" s="430"/>
    </row>
    <row r="32" spans="1:51" ht="15.95" customHeight="1" thickBot="1">
      <c r="A32" s="2358"/>
      <c r="B32" s="75"/>
      <c r="C32" s="1188"/>
      <c r="D32" s="1188"/>
      <c r="E32" s="1188"/>
      <c r="F32" s="1188"/>
      <c r="G32" s="1188"/>
      <c r="H32" s="1188"/>
      <c r="I32" s="1188"/>
      <c r="J32" s="1188"/>
      <c r="K32" s="1188"/>
      <c r="L32" s="1188"/>
      <c r="M32" s="1188"/>
      <c r="N32" s="1188"/>
      <c r="O32" s="1188"/>
      <c r="P32" s="79"/>
      <c r="Q32" s="79"/>
      <c r="R32" s="539" t="str">
        <f>IF(E34&lt;1.8,IF(AQ$6=1,AE36,AE35),"")</f>
        <v/>
      </c>
      <c r="S32" s="109"/>
      <c r="T32" s="1347"/>
      <c r="U32" s="1348"/>
      <c r="V32" s="1348"/>
      <c r="W32" s="1349"/>
      <c r="Y32" s="1347"/>
      <c r="Z32" s="1348"/>
      <c r="AA32" s="1348"/>
      <c r="AB32" s="1349"/>
      <c r="AC32" s="109"/>
      <c r="AD32" s="424"/>
      <c r="AE32" s="552" t="s">
        <v>466</v>
      </c>
      <c r="AF32" s="472"/>
      <c r="AG32" s="472"/>
      <c r="AI32" s="430"/>
      <c r="AK32" s="460"/>
      <c r="AL32" s="461"/>
      <c r="AM32" s="430"/>
      <c r="AN32" s="460" t="s">
        <v>307</v>
      </c>
      <c r="AO32" s="430"/>
      <c r="AP32" s="430"/>
      <c r="AQ32" s="430"/>
      <c r="AR32" s="461"/>
      <c r="AS32" s="430"/>
      <c r="AT32" s="430"/>
      <c r="AU32" s="430"/>
      <c r="AV32" s="430"/>
      <c r="AW32" s="430"/>
    </row>
    <row r="33" spans="1:51" ht="15.95" customHeight="1" thickBot="1">
      <c r="A33" s="2358"/>
      <c r="B33" s="75"/>
      <c r="C33" s="1451" t="str">
        <f>IF(AQ6=2,"Upper Storey Specifications","Single Storey Specifications")</f>
        <v>Upper Storey Specifications</v>
      </c>
      <c r="D33" s="1451"/>
      <c r="E33" s="1451"/>
      <c r="F33" s="627"/>
      <c r="G33" s="627"/>
      <c r="H33" s="68"/>
      <c r="I33" s="68"/>
      <c r="J33" s="27"/>
      <c r="K33" s="1451" t="str">
        <f>IF(AQ6=2,"Upper Level Demand","Single Level Demand")</f>
        <v>Upper Level Demand</v>
      </c>
      <c r="L33" s="1451"/>
      <c r="M33" s="1813" t="s">
        <v>965</v>
      </c>
      <c r="N33" s="2293" t="s">
        <v>1003</v>
      </c>
      <c r="O33" s="2294"/>
      <c r="P33" s="79"/>
      <c r="Q33" s="79"/>
      <c r="R33" s="539" t="str">
        <f>IF(AQ$6=1,IF(E35&gt;4.8,AE42,IF(E35&lt;1.8,AE44,"")),IF(E35&gt;4.8,AE41,IF(E35&lt;1.8,AE43,"")))</f>
        <v/>
      </c>
      <c r="S33" s="109"/>
      <c r="T33" s="1819"/>
      <c r="W33" s="166"/>
      <c r="Y33" s="1819"/>
      <c r="AB33" s="166"/>
      <c r="AC33" s="109"/>
      <c r="AD33" s="424"/>
      <c r="AE33" s="552" t="s">
        <v>467</v>
      </c>
      <c r="AF33" s="472"/>
      <c r="AG33" s="472"/>
      <c r="AH33" s="460"/>
      <c r="AI33" s="430"/>
      <c r="AJ33" s="460"/>
      <c r="AK33" s="460"/>
      <c r="AL33" s="461"/>
      <c r="AM33" s="430"/>
      <c r="AN33" s="457" t="s">
        <v>393</v>
      </c>
      <c r="AO33" s="458"/>
      <c r="AP33" s="458"/>
      <c r="AQ33" s="458"/>
      <c r="AR33" s="459">
        <f>IF(AQ34=1,AS34,IF(AQ34=2,AS35,IF(AQ34=3,AS36,AS37)))</f>
        <v>10</v>
      </c>
      <c r="AS33" s="430"/>
      <c r="AT33" s="430"/>
      <c r="AU33" s="430"/>
      <c r="AV33" s="430"/>
      <c r="AW33" s="430"/>
    </row>
    <row r="34" spans="1:51" ht="15.95" customHeight="1">
      <c r="A34" s="2358"/>
      <c r="B34" s="75"/>
      <c r="C34" s="2455" t="str">
        <f>IF(AQ6=1,"External Wall Height:","Upper External Wall Height")</f>
        <v>Upper External Wall Height</v>
      </c>
      <c r="D34" s="2456"/>
      <c r="E34" s="1784">
        <f>IF(AND(AQ6=1,AQ9=1),AT9,IF(AND(AQ6=1,AQ9=2),AT8,IF(AND(AQ6=2,AQ9=1),AT7,AT6)))</f>
        <v>4.5999999999999996</v>
      </c>
      <c r="F34" s="95" t="s">
        <v>45</v>
      </c>
      <c r="G34" s="82"/>
      <c r="H34" s="66"/>
      <c r="I34" s="66"/>
      <c r="J34" s="27"/>
      <c r="K34" s="2283" t="s">
        <v>410</v>
      </c>
      <c r="L34" s="2295" t="s">
        <v>1104</v>
      </c>
      <c r="M34" s="2296"/>
      <c r="N34" s="2289" t="str">
        <f>IF(AQ59=1,'Terms and Conditions'!B22,"")</f>
        <v>QuickBrace©                        First Principles</v>
      </c>
      <c r="O34" s="2290"/>
      <c r="P34" s="79"/>
      <c r="Q34" s="79"/>
      <c r="R34" s="539" t="str">
        <f>IF(AQ34=4,IF(F19&gt;200,IF(AQ$6=1,AE46,AE45),""),"")</f>
        <v/>
      </c>
      <c r="S34" s="109"/>
      <c r="T34" s="1819"/>
      <c r="W34" s="166"/>
      <c r="Y34" s="1819"/>
      <c r="AB34" s="166"/>
      <c r="AC34" s="109"/>
      <c r="AD34" s="424"/>
      <c r="AE34" s="552" t="s">
        <v>468</v>
      </c>
      <c r="AF34" s="472"/>
      <c r="AG34" s="472"/>
      <c r="AH34" s="460" t="str">
        <f>IF(OR(AK$6=1,AK$6=2),AJ34,$AN$4)</f>
        <v>A</v>
      </c>
      <c r="AI34" s="430"/>
      <c r="AJ34" s="460" t="s">
        <v>2</v>
      </c>
      <c r="AK34" s="460">
        <f>IF(M16="A",1,2)</f>
        <v>1</v>
      </c>
      <c r="AL34" s="461"/>
      <c r="AM34" s="430"/>
      <c r="AN34" s="467" t="str">
        <f>AP34</f>
        <v>Light</v>
      </c>
      <c r="AO34" s="430"/>
      <c r="AP34" s="1201" t="s">
        <v>382</v>
      </c>
      <c r="AQ34" s="430">
        <f>IF(E19=AN34,1,IF(E19=AN35,2,IF(E19=AN36,3,4)))</f>
        <v>1</v>
      </c>
      <c r="AS34" s="461">
        <v>10</v>
      </c>
      <c r="AT34" s="430"/>
      <c r="AU34" s="430"/>
    </row>
    <row r="35" spans="1:51" ht="15.95" customHeight="1" thickBot="1">
      <c r="A35" s="2358"/>
      <c r="B35" s="75"/>
      <c r="C35" s="1453" t="str">
        <f>IF(AQ6=1,"Internal Stud Height","Upper Internal Stud Height")</f>
        <v>Upper Internal Stud Height</v>
      </c>
      <c r="D35" s="1452"/>
      <c r="E35" s="91">
        <v>2.4</v>
      </c>
      <c r="F35" s="187" t="s">
        <v>45</v>
      </c>
      <c r="G35" s="83"/>
      <c r="H35" s="34"/>
      <c r="I35" s="34"/>
      <c r="J35" s="27"/>
      <c r="K35" s="2284"/>
      <c r="L35" s="2297"/>
      <c r="M35" s="2298"/>
      <c r="N35" s="2291"/>
      <c r="O35" s="2292"/>
      <c r="P35" s="79"/>
      <c r="Q35" s="79"/>
      <c r="R35" s="539" t="str">
        <f>IF((E31-E30)&gt;7,IF(AQ34&lt;3,"",IF(AQ34=4,IF(F19&gt;60,AE21,""),AE21)),"")</f>
        <v/>
      </c>
      <c r="S35" s="109"/>
      <c r="T35" s="1819"/>
      <c r="W35" s="166"/>
      <c r="Y35" s="1819"/>
      <c r="AB35" s="166"/>
      <c r="AC35" s="109"/>
      <c r="AD35" s="424"/>
      <c r="AE35" s="552" t="s">
        <v>1063</v>
      </c>
      <c r="AF35" s="472"/>
      <c r="AG35" s="472"/>
      <c r="AH35" s="460" t="str">
        <f>IF(OR(AK$6=1,AK$6=2),AJ35,$AN$4)</f>
        <v>W</v>
      </c>
      <c r="AI35" s="430"/>
      <c r="AJ35" s="460" t="s">
        <v>275</v>
      </c>
      <c r="AK35" s="460"/>
      <c r="AL35" s="461"/>
      <c r="AM35" s="430"/>
      <c r="AN35" s="467" t="str">
        <f>AP35</f>
        <v>Medium</v>
      </c>
      <c r="AO35" s="430"/>
      <c r="AP35" s="468" t="s">
        <v>27</v>
      </c>
      <c r="AQ35" s="430"/>
      <c r="AS35" s="461">
        <v>60</v>
      </c>
      <c r="AT35" s="430"/>
      <c r="AU35" s="430"/>
    </row>
    <row r="36" spans="1:51" ht="15.95" customHeight="1" thickBot="1">
      <c r="A36" s="2358"/>
      <c r="B36" s="75"/>
      <c r="C36" s="2423" t="str">
        <f>IF(AQ6=1,"Building Length  ","Upper Storey Building Length")</f>
        <v>Upper Storey Building Length</v>
      </c>
      <c r="D36" s="2306"/>
      <c r="E36" s="99">
        <v>7.2</v>
      </c>
      <c r="F36" s="187" t="s">
        <v>45</v>
      </c>
      <c r="G36" s="83"/>
      <c r="H36" s="34"/>
      <c r="I36" s="34"/>
      <c r="J36" s="27"/>
      <c r="K36" s="81"/>
      <c r="L36" s="755" t="s">
        <v>811</v>
      </c>
      <c r="M36" s="1822" t="str">
        <f>AW13</f>
        <v>Alt Demand (Bu's)</v>
      </c>
      <c r="N36" s="2337" t="str">
        <f>AW14</f>
        <v>Demands (Bu's)</v>
      </c>
      <c r="O36" s="2338"/>
      <c r="P36" s="79"/>
      <c r="Q36" s="79"/>
      <c r="R36" s="539" t="str">
        <f>IF(AQ9=1,"",IF(AR33&gt;AR48,AE62,""))</f>
        <v/>
      </c>
      <c r="S36" s="109"/>
      <c r="T36" s="1819"/>
      <c r="W36" s="166"/>
      <c r="Y36" s="1819"/>
      <c r="AB36" s="166"/>
      <c r="AC36" s="109"/>
      <c r="AD36" s="424"/>
      <c r="AE36" s="552" t="s">
        <v>1064</v>
      </c>
      <c r="AF36" s="472"/>
      <c r="AG36" s="472"/>
      <c r="AH36" s="460"/>
      <c r="AI36" s="430"/>
      <c r="AJ36" s="460"/>
      <c r="AK36" s="460"/>
      <c r="AL36" s="461"/>
      <c r="AM36" s="430"/>
      <c r="AN36" s="467" t="str">
        <f>AP36</f>
        <v>Heavy</v>
      </c>
      <c r="AO36" s="430"/>
      <c r="AP36" s="468" t="s">
        <v>383</v>
      </c>
      <c r="AQ36" s="430"/>
      <c r="AS36" s="461">
        <v>200</v>
      </c>
      <c r="AT36" s="430"/>
      <c r="AU36" s="430"/>
      <c r="AV36" s="430"/>
      <c r="AW36" s="430" t="s">
        <v>784</v>
      </c>
      <c r="AX36" s="426" t="s">
        <v>786</v>
      </c>
      <c r="AY36" s="426" t="s">
        <v>796</v>
      </c>
    </row>
    <row r="37" spans="1:51" ht="15.95" customHeight="1" thickBot="1">
      <c r="A37" s="670"/>
      <c r="B37" s="75"/>
      <c r="C37" s="2423" t="str">
        <f>IF(AQ6=1,"Building Width    ","Upper Storey Building Width ")</f>
        <v xml:space="preserve">Upper Storey Building Width </v>
      </c>
      <c r="D37" s="2306"/>
      <c r="E37" s="99">
        <v>5.6</v>
      </c>
      <c r="F37" s="187" t="s">
        <v>45</v>
      </c>
      <c r="G37" s="83"/>
      <c r="H37" s="34"/>
      <c r="I37" s="34"/>
      <c r="J37" s="27"/>
      <c r="K37" s="1798" t="s">
        <v>223</v>
      </c>
      <c r="L37" s="1799">
        <f>IF(AQ$59=1,N37/E37,M37/E37)</f>
        <v>36.428571428571431</v>
      </c>
      <c r="M37" s="1521">
        <f>AW37</f>
        <v>200</v>
      </c>
      <c r="N37" s="2311">
        <f>'FP Calcs'!E67</f>
        <v>204</v>
      </c>
      <c r="O37" s="2312"/>
      <c r="P37" s="79"/>
      <c r="Q37" s="79"/>
      <c r="R37" s="539" t="str">
        <f>IF(AQ25=2,IF(E41&gt;(E38/2),IF(AQ6=1,AE33,AE32),""),"")</f>
        <v/>
      </c>
      <c r="S37" s="109"/>
      <c r="T37" s="1819"/>
      <c r="W37" s="166"/>
      <c r="Y37" s="1819"/>
      <c r="AB37" s="166"/>
      <c r="AC37" s="109"/>
      <c r="AD37" s="424"/>
      <c r="AE37" s="552" t="s">
        <v>469</v>
      </c>
      <c r="AF37" s="472"/>
      <c r="AG37" s="472"/>
      <c r="AH37" s="460" t="str">
        <f>IF(OR(AK$6=1,AK$6=2),AJ37,$AN$4)</f>
        <v>Urban</v>
      </c>
      <c r="AI37" s="430"/>
      <c r="AJ37" s="460" t="s">
        <v>20</v>
      </c>
      <c r="AK37" s="460">
        <f>IF(M17="Urban",1,2)</f>
        <v>1</v>
      </c>
      <c r="AL37" s="461"/>
      <c r="AM37" s="430"/>
      <c r="AN37" s="467" t="str">
        <f>AP37</f>
        <v>Weight =</v>
      </c>
      <c r="AO37" s="463"/>
      <c r="AP37" s="469" t="s">
        <v>1054</v>
      </c>
      <c r="AQ37" s="463"/>
      <c r="AS37" s="464">
        <f>F19</f>
        <v>10</v>
      </c>
      <c r="AT37" s="430"/>
      <c r="AU37" s="430"/>
      <c r="AV37" s="430" t="s">
        <v>797</v>
      </c>
      <c r="AW37" s="430">
        <v>200</v>
      </c>
      <c r="AX37" s="426">
        <f>AW37/20</f>
        <v>10</v>
      </c>
      <c r="AY37" s="426">
        <f>IF($AX$5=1,AW37,AX37)</f>
        <v>200</v>
      </c>
    </row>
    <row r="38" spans="1:51" ht="15.95" customHeight="1">
      <c r="A38" s="670"/>
      <c r="B38" s="75"/>
      <c r="C38" s="1467" t="str">
        <f>IF(AQ6=1,"Gross Plan Area (GPA)","Upper Gross Plan Area (GPA)")</f>
        <v>Upper Gross Plan Area (GPA)</v>
      </c>
      <c r="D38" s="1466"/>
      <c r="E38" s="630">
        <v>38</v>
      </c>
      <c r="F38" s="187" t="s">
        <v>170</v>
      </c>
      <c r="G38" s="83" t="s">
        <v>8</v>
      </c>
      <c r="H38" s="34"/>
      <c r="I38" s="34"/>
      <c r="J38" s="27"/>
      <c r="K38" s="1800" t="s">
        <v>224</v>
      </c>
      <c r="L38" s="1801">
        <f>IF(AQ$59=1,N38/E36,M38/E36)</f>
        <v>29.166666666666664</v>
      </c>
      <c r="M38" s="1521">
        <f>AW38</f>
        <v>200</v>
      </c>
      <c r="N38" s="2285">
        <f>'FP Calcs'!E68</f>
        <v>210</v>
      </c>
      <c r="O38" s="2286"/>
      <c r="P38" s="79"/>
      <c r="Q38" s="79"/>
      <c r="R38" s="539" t="str">
        <f>IF(E38&gt;300,IF(AQ$6=1,AE48,AE47),"")</f>
        <v/>
      </c>
      <c r="S38" s="109"/>
      <c r="T38" s="1819"/>
      <c r="W38" s="166"/>
      <c r="Y38" s="1819"/>
      <c r="AB38" s="166"/>
      <c r="AC38" s="109"/>
      <c r="AD38" s="424"/>
      <c r="AE38" s="552" t="s">
        <v>470</v>
      </c>
      <c r="AF38" s="472"/>
      <c r="AG38" s="472"/>
      <c r="AH38" s="460" t="str">
        <f>IF(OR(AK$6=1,AK$6=2),AJ38,$AN$4)</f>
        <v>Open</v>
      </c>
      <c r="AI38" s="430"/>
      <c r="AJ38" s="460" t="s">
        <v>21</v>
      </c>
      <c r="AK38" s="460"/>
      <c r="AL38" s="461"/>
      <c r="AM38" s="430"/>
      <c r="AN38" s="470" t="s">
        <v>394</v>
      </c>
      <c r="AO38" s="458"/>
      <c r="AP38" s="471"/>
      <c r="AQ38" s="458"/>
      <c r="AR38" s="459">
        <f>IF(AQ40=1,AS40,IF(AQ40=2,AS41,IF(AQ40=3,AS42,AS43)))</f>
        <v>10</v>
      </c>
      <c r="AS38" s="430"/>
      <c r="AT38" s="430"/>
      <c r="AU38" s="430"/>
      <c r="AV38" s="430" t="s">
        <v>798</v>
      </c>
      <c r="AW38" s="430">
        <v>200</v>
      </c>
      <c r="AX38" s="426">
        <f>AW38/20</f>
        <v>10</v>
      </c>
      <c r="AY38" s="426">
        <f>IF($AX$5=1,AW38,AX38)</f>
        <v>200</v>
      </c>
    </row>
    <row r="39" spans="1:51" ht="15.95" customHeight="1" thickBot="1">
      <c r="A39" s="670"/>
      <c r="B39" s="75"/>
      <c r="C39" s="2423" t="str">
        <f>IF(AQ6=1,IF(AQ9=1,AW16,AW15),AW15)</f>
        <v>Limit Element Resistance to 120 bu's/m</v>
      </c>
      <c r="D39" s="2377"/>
      <c r="E39" s="2317" t="s">
        <v>485</v>
      </c>
      <c r="F39" s="2318"/>
      <c r="G39" s="83"/>
      <c r="H39" s="34"/>
      <c r="I39" s="34"/>
      <c r="J39" s="27"/>
      <c r="K39" s="1802" t="s">
        <v>17</v>
      </c>
      <c r="L39" s="1803">
        <f>IF(AQ$59=1,N39/E38,M39/E38)</f>
        <v>13.763157894736842</v>
      </c>
      <c r="M39" s="754">
        <f>AW39</f>
        <v>200</v>
      </c>
      <c r="N39" s="2287">
        <f>'FP Calcs'!E71</f>
        <v>523</v>
      </c>
      <c r="O39" s="2288"/>
      <c r="P39" s="79"/>
      <c r="Q39" s="79"/>
      <c r="R39" s="539" t="str">
        <f>IF(AX72&gt;AY72,AE39,"")</f>
        <v/>
      </c>
      <c r="S39" s="109"/>
      <c r="T39" s="1819"/>
      <c r="W39" s="166"/>
      <c r="Y39" s="1819"/>
      <c r="AB39" s="166"/>
      <c r="AC39" s="109"/>
      <c r="AD39" s="424"/>
      <c r="AE39" s="552" t="s">
        <v>1126</v>
      </c>
      <c r="AF39" s="472"/>
      <c r="AG39" s="472"/>
      <c r="AH39" s="460"/>
      <c r="AI39" s="430"/>
      <c r="AJ39" s="460"/>
      <c r="AK39" s="460"/>
      <c r="AL39" s="461"/>
      <c r="AM39" s="430"/>
      <c r="AN39" s="467"/>
      <c r="AO39" s="430"/>
      <c r="AP39" s="468"/>
      <c r="AQ39" s="430"/>
      <c r="AR39" s="461"/>
      <c r="AS39" s="430"/>
      <c r="AT39" s="430"/>
      <c r="AU39" s="430"/>
      <c r="AV39" s="430" t="s">
        <v>799</v>
      </c>
      <c r="AW39" s="430">
        <v>200</v>
      </c>
      <c r="AX39" s="426">
        <f>AW39/20</f>
        <v>10</v>
      </c>
      <c r="AY39" s="426">
        <f>IF($AX$5=1,AW39,AX39)</f>
        <v>200</v>
      </c>
    </row>
    <row r="40" spans="1:51" ht="15.95" customHeight="1">
      <c r="A40" s="670"/>
      <c r="B40" s="75"/>
      <c r="C40" s="1469" t="str">
        <f>IF(AQ6=1,"Room in Roof Space?","Upper Level Room in Roof Space?")</f>
        <v>Upper Level Room in Roof Space?</v>
      </c>
      <c r="D40" s="1470"/>
      <c r="E40" s="1366" t="s">
        <v>305</v>
      </c>
      <c r="F40" s="1367"/>
      <c r="G40" s="1368"/>
      <c r="H40" s="34"/>
      <c r="I40" s="1487"/>
      <c r="J40" s="1487"/>
      <c r="K40" s="1188"/>
      <c r="L40" s="1188"/>
      <c r="M40" s="1188"/>
      <c r="N40" s="1188"/>
      <c r="O40" s="1188"/>
      <c r="P40" s="79"/>
      <c r="Q40" s="64"/>
      <c r="R40" s="539" t="str">
        <f>IF(AX72&lt;AY72,AE40,"")</f>
        <v/>
      </c>
      <c r="S40" s="109"/>
      <c r="T40" s="1819"/>
      <c r="W40" s="166"/>
      <c r="Y40" s="1819"/>
      <c r="AB40" s="166"/>
      <c r="AC40" s="109"/>
      <c r="AD40" s="424"/>
      <c r="AE40" s="552" t="s">
        <v>1127</v>
      </c>
      <c r="AF40" s="472"/>
      <c r="AG40" s="472"/>
      <c r="AH40" s="460"/>
      <c r="AI40" s="430"/>
      <c r="AJ40" s="460"/>
      <c r="AK40" s="460"/>
      <c r="AL40" s="461"/>
      <c r="AM40" s="430"/>
      <c r="AN40" s="467" t="str">
        <f>AP40</f>
        <v>Light</v>
      </c>
      <c r="AO40" s="430"/>
      <c r="AP40" s="468" t="s">
        <v>382</v>
      </c>
      <c r="AQ40" s="430">
        <f>IF(E20=AN40,1,IF(E20=AN41,2,IF(E20=AN42,3,4)))</f>
        <v>1</v>
      </c>
      <c r="AR40" s="461" t="s">
        <v>396</v>
      </c>
      <c r="AS40" s="430">
        <v>10</v>
      </c>
      <c r="AT40" s="430"/>
      <c r="AU40" s="430"/>
    </row>
    <row r="41" spans="1:51" ht="15.95" customHeight="1" thickBot="1">
      <c r="A41" s="670"/>
      <c r="B41" s="75"/>
      <c r="C41" s="1542" t="str">
        <f>IF(AQ6=1,"Room in Roof Space Area:", "Upper: Room in Roof Space Area:")</f>
        <v>Upper: Room in Roof Space Area:</v>
      </c>
      <c r="D41" s="1543"/>
      <c r="E41" s="1489">
        <f>E38/2</f>
        <v>19</v>
      </c>
      <c r="F41" s="1540" t="s">
        <v>170</v>
      </c>
      <c r="G41" s="1541"/>
      <c r="H41" s="1159"/>
      <c r="I41" s="1488"/>
      <c r="J41" s="1188"/>
      <c r="K41" s="1188"/>
      <c r="L41" s="1188"/>
      <c r="M41" s="1188"/>
      <c r="N41" s="1188"/>
      <c r="O41" s="1188"/>
      <c r="P41" s="79"/>
      <c r="Q41" s="64"/>
      <c r="R41" s="539" t="str">
        <f>IF(E45&gt;E44,IF(AQ$6=2,AE50,""),"")</f>
        <v/>
      </c>
      <c r="S41" s="109"/>
      <c r="T41" s="1820"/>
      <c r="U41" s="1351"/>
      <c r="V41" s="1351"/>
      <c r="W41" s="1821"/>
      <c r="Y41" s="1820"/>
      <c r="Z41" s="1351"/>
      <c r="AA41" s="1351"/>
      <c r="AB41" s="1821"/>
      <c r="AC41" s="109"/>
      <c r="AD41" s="424"/>
      <c r="AE41" s="552" t="s">
        <v>471</v>
      </c>
      <c r="AF41" s="472"/>
      <c r="AG41" s="472"/>
      <c r="AH41" s="460" t="str">
        <f>IF(OR(AK$6=1,AK$6=2),AJ41,$AN$4)</f>
        <v>Sheltered</v>
      </c>
      <c r="AI41" s="430"/>
      <c r="AJ41" s="460" t="s">
        <v>15</v>
      </c>
      <c r="AK41" s="460">
        <f>IF(M18="Sheltered",1,2)</f>
        <v>1</v>
      </c>
      <c r="AL41" s="461"/>
      <c r="AM41" s="430"/>
      <c r="AN41" s="467" t="str">
        <f>AP41</f>
        <v>Medium</v>
      </c>
      <c r="AO41" s="430"/>
      <c r="AP41" s="468" t="s">
        <v>27</v>
      </c>
      <c r="AQ41" s="430"/>
      <c r="AR41" s="461" t="s">
        <v>396</v>
      </c>
      <c r="AS41" s="430">
        <v>60</v>
      </c>
      <c r="AT41" s="430"/>
      <c r="AU41" s="430"/>
    </row>
    <row r="42" spans="1:51" ht="15.95" customHeight="1" thickBot="1">
      <c r="A42" s="1548"/>
      <c r="B42" s="75"/>
      <c r="C42" s="1188"/>
      <c r="D42" s="1188"/>
      <c r="E42" s="1188"/>
      <c r="F42" s="1188"/>
      <c r="G42" s="1188"/>
      <c r="H42" s="1188"/>
      <c r="I42" s="1188"/>
      <c r="J42" s="1188"/>
      <c r="K42" s="1188"/>
      <c r="L42" s="1188"/>
      <c r="M42" s="1188"/>
      <c r="N42" s="1188"/>
      <c r="O42" s="1188"/>
      <c r="P42" s="79"/>
      <c r="Q42" s="64"/>
      <c r="R42" s="539" t="str">
        <f>IF(E44&lt;2,IF(AQ$6=2,AE49,""),"")</f>
        <v/>
      </c>
      <c r="S42" s="109"/>
      <c r="AC42" s="109"/>
      <c r="AD42" s="424"/>
      <c r="AE42" s="552" t="s">
        <v>472</v>
      </c>
      <c r="AF42" s="472"/>
      <c r="AG42" s="472"/>
      <c r="AH42" s="460" t="str">
        <f>IF(OR(AK$6=1,AK$6=2),AJ42,$AN$4)</f>
        <v>Exposed</v>
      </c>
      <c r="AI42" s="430"/>
      <c r="AJ42" s="460" t="s">
        <v>16</v>
      </c>
      <c r="AK42" s="460"/>
      <c r="AL42" s="461"/>
      <c r="AM42" s="430"/>
      <c r="AN42" s="467" t="str">
        <f>AP42</f>
        <v>Heavy</v>
      </c>
      <c r="AO42" s="430"/>
      <c r="AP42" s="468" t="s">
        <v>383</v>
      </c>
      <c r="AQ42" s="430"/>
      <c r="AR42" s="461" t="s">
        <v>396</v>
      </c>
      <c r="AS42" s="430">
        <v>200</v>
      </c>
      <c r="AT42" s="430"/>
      <c r="AU42" s="430"/>
    </row>
    <row r="43" spans="1:51" ht="15.95" customHeight="1" thickBot="1">
      <c r="A43" s="2359" t="str">
        <f>IF(AQ$6=1,"If Single Level, You can Hide these Rows before Printing","")</f>
        <v/>
      </c>
      <c r="B43" s="75"/>
      <c r="C43" s="1451" t="s">
        <v>64</v>
      </c>
      <c r="D43" s="1451"/>
      <c r="E43" s="1451"/>
      <c r="F43" s="71"/>
      <c r="G43" s="71"/>
      <c r="H43" s="34"/>
      <c r="I43" s="72"/>
      <c r="J43" s="64"/>
      <c r="K43" s="1451" t="s">
        <v>869</v>
      </c>
      <c r="L43" s="1451"/>
      <c r="M43" s="1814" t="s">
        <v>965</v>
      </c>
      <c r="N43" s="2381" t="s">
        <v>1003</v>
      </c>
      <c r="O43" s="2382"/>
      <c r="P43" s="79"/>
      <c r="Q43" s="64"/>
      <c r="R43" s="539" t="str">
        <f>IF(AQ$6=1,"",IF(E45&gt;3,AE51,IF(E45&lt;1.8,AE52,"")))</f>
        <v/>
      </c>
      <c r="S43" s="109"/>
      <c r="T43" s="2326" t="s">
        <v>493</v>
      </c>
      <c r="U43" s="2327"/>
      <c r="V43" s="2327"/>
      <c r="W43" s="2328"/>
      <c r="Y43" s="2406" t="s">
        <v>494</v>
      </c>
      <c r="Z43" s="2407"/>
      <c r="AA43" s="2407"/>
      <c r="AB43" s="2408"/>
      <c r="AC43" s="109"/>
      <c r="AD43" s="424"/>
      <c r="AE43" s="552" t="s">
        <v>473</v>
      </c>
      <c r="AF43" s="472"/>
      <c r="AG43" s="472"/>
      <c r="AH43" s="460"/>
      <c r="AI43" s="430"/>
      <c r="AJ43" s="430"/>
      <c r="AK43" s="460"/>
      <c r="AL43" s="461"/>
      <c r="AM43" s="430"/>
      <c r="AN43" s="467" t="str">
        <f>AP43</f>
        <v>Weight =</v>
      </c>
      <c r="AO43" s="463"/>
      <c r="AP43" s="469" t="s">
        <v>1054</v>
      </c>
      <c r="AQ43" s="463"/>
      <c r="AR43" s="464" t="s">
        <v>396</v>
      </c>
      <c r="AS43" s="430">
        <f>F20</f>
        <v>10</v>
      </c>
      <c r="AT43" s="430"/>
      <c r="AU43" s="430"/>
    </row>
    <row r="44" spans="1:51" ht="15.95" customHeight="1">
      <c r="A44" s="2358"/>
      <c r="B44" s="75"/>
      <c r="C44" s="1453" t="s">
        <v>406</v>
      </c>
      <c r="D44" s="1452"/>
      <c r="E44" s="98">
        <v>2.4</v>
      </c>
      <c r="F44" s="152" t="s">
        <v>45</v>
      </c>
      <c r="G44" s="82"/>
      <c r="H44" s="34"/>
      <c r="I44" s="34"/>
      <c r="J44" s="64"/>
      <c r="K44" s="2283" t="s">
        <v>410</v>
      </c>
      <c r="L44" s="2279" t="str">
        <f>L34</f>
        <v>XYZ Engineers</v>
      </c>
      <c r="M44" s="2280"/>
      <c r="N44" s="2383" t="str">
        <f>IF(AQ64=1,'Terms and Conditions'!B22,"")</f>
        <v>QuickBrace©                        First Principles</v>
      </c>
      <c r="O44" s="2384"/>
      <c r="P44" s="79"/>
      <c r="Q44" s="79"/>
      <c r="R44" s="539" t="str">
        <f>IF(AQ40=4,IF(F20&gt;200,IF(AQ$6=2,AE55,""),""),"")</f>
        <v/>
      </c>
      <c r="S44" s="109"/>
      <c r="T44" s="1347"/>
      <c r="U44" s="1348"/>
      <c r="V44" s="1348"/>
      <c r="W44" s="1349"/>
      <c r="Y44" s="1347"/>
      <c r="Z44" s="1348"/>
      <c r="AA44" s="1348"/>
      <c r="AB44" s="1349"/>
      <c r="AC44" s="109"/>
      <c r="AD44" s="424"/>
      <c r="AE44" s="552" t="s">
        <v>474</v>
      </c>
      <c r="AF44" s="472"/>
      <c r="AG44" s="472"/>
      <c r="AH44" s="460" t="str">
        <f>IF(OR(AK$6=1,AK$6=2),AJ44,$AN$4)</f>
        <v>No</v>
      </c>
      <c r="AI44" s="430"/>
      <c r="AJ44" s="460" t="s">
        <v>305</v>
      </c>
      <c r="AK44" s="460">
        <f>IF(M19="no",1,2)</f>
        <v>1</v>
      </c>
      <c r="AL44" s="461"/>
      <c r="AM44" s="430"/>
      <c r="AN44" s="430"/>
      <c r="AO44" s="430"/>
      <c r="AP44" s="430"/>
      <c r="AQ44" s="430"/>
      <c r="AR44" s="430"/>
      <c r="AS44" s="430"/>
      <c r="AT44" s="430"/>
      <c r="AU44" s="430"/>
    </row>
    <row r="45" spans="1:51" ht="15.95" customHeight="1" thickBot="1">
      <c r="A45" s="2358"/>
      <c r="B45" s="75"/>
      <c r="C45" s="1453" t="str">
        <f>IF(AQ6=2,"Lower Storey Internal Stud Height","")</f>
        <v>Lower Storey Internal Stud Height</v>
      </c>
      <c r="D45" s="1452"/>
      <c r="E45" s="96">
        <v>2.4</v>
      </c>
      <c r="F45" s="153" t="s">
        <v>45</v>
      </c>
      <c r="G45" s="83"/>
      <c r="H45" s="34"/>
      <c r="I45" s="34"/>
      <c r="J45" s="64"/>
      <c r="K45" s="2284"/>
      <c r="L45" s="2281"/>
      <c r="M45" s="2282"/>
      <c r="N45" s="2385"/>
      <c r="O45" s="2386"/>
      <c r="P45" s="79"/>
      <c r="Q45" s="112"/>
      <c r="R45" s="539" t="str">
        <f>IF(AQ6=1,"",IF(AR38&lt;AR33,AE65,""))</f>
        <v/>
      </c>
      <c r="S45" s="109"/>
      <c r="T45" s="1819"/>
      <c r="W45" s="166"/>
      <c r="Y45" s="1819"/>
      <c r="AB45" s="166"/>
      <c r="AC45" s="109"/>
      <c r="AD45" s="424"/>
      <c r="AE45" s="552" t="s">
        <v>864</v>
      </c>
      <c r="AF45" s="472"/>
      <c r="AG45" s="472"/>
      <c r="AH45" s="460" t="str">
        <f>IF(OR(AK$6=1,AK$6=2),AJ45,$AN$4)</f>
        <v>Yes</v>
      </c>
      <c r="AI45" s="430"/>
      <c r="AJ45" s="460" t="s">
        <v>307</v>
      </c>
      <c r="AK45" s="460"/>
      <c r="AL45" s="461"/>
      <c r="AM45" s="430"/>
      <c r="AN45" s="430"/>
      <c r="AO45" s="430"/>
      <c r="AP45" s="430"/>
      <c r="AQ45" s="430"/>
      <c r="AR45" s="430"/>
      <c r="AS45" s="430"/>
      <c r="AT45" s="430"/>
      <c r="AU45" s="430"/>
    </row>
    <row r="46" spans="1:51" ht="15.95" customHeight="1" thickBot="1">
      <c r="A46" s="2358"/>
      <c r="B46" s="94"/>
      <c r="C46" s="1467" t="s">
        <v>809</v>
      </c>
      <c r="D46" s="1466"/>
      <c r="E46" s="99">
        <v>12</v>
      </c>
      <c r="F46" s="153" t="s">
        <v>45</v>
      </c>
      <c r="G46" s="83"/>
      <c r="H46" s="658"/>
      <c r="I46" s="34"/>
      <c r="J46" s="64"/>
      <c r="L46" s="178" t="s">
        <v>811</v>
      </c>
      <c r="M46" s="1822" t="str">
        <f>AW13</f>
        <v>Alt Demand (Bu's)</v>
      </c>
      <c r="N46" s="2337" t="str">
        <f>AW14</f>
        <v>Demands (Bu's)</v>
      </c>
      <c r="O46" s="2338"/>
      <c r="P46" s="79"/>
      <c r="Q46" s="112"/>
      <c r="R46" s="539" t="str">
        <f>IF(AQ6=1,"",IF(AQ9=2,IF(AR38&gt;AR48,AE66,""),""))</f>
        <v/>
      </c>
      <c r="S46" s="109"/>
      <c r="T46" s="1819"/>
      <c r="W46" s="166"/>
      <c r="Y46" s="167"/>
      <c r="AB46" s="166"/>
      <c r="AC46" s="109"/>
      <c r="AD46" s="424"/>
      <c r="AE46" s="552" t="s">
        <v>449</v>
      </c>
      <c r="AF46" s="472"/>
      <c r="AG46" s="472"/>
      <c r="AH46" s="671" t="str">
        <f t="shared" ref="AH46:AH51" si="1">AJ46</f>
        <v>Not Available</v>
      </c>
      <c r="AI46" s="431"/>
      <c r="AJ46" s="671" t="s">
        <v>962</v>
      </c>
      <c r="AK46" s="430"/>
      <c r="AL46" s="430"/>
      <c r="AM46" s="430"/>
      <c r="AN46" s="430"/>
      <c r="AO46" s="430"/>
      <c r="AP46" s="430"/>
      <c r="AQ46" s="430"/>
      <c r="AR46" s="430"/>
      <c r="AS46" s="430"/>
      <c r="AT46" s="430"/>
      <c r="AU46" s="430"/>
      <c r="AV46" s="430"/>
      <c r="AW46" s="430"/>
    </row>
    <row r="47" spans="1:51" ht="15.95" customHeight="1" thickBot="1">
      <c r="A47" s="2358"/>
      <c r="B47" s="94"/>
      <c r="C47" s="1467" t="s">
        <v>810</v>
      </c>
      <c r="D47" s="1466"/>
      <c r="E47" s="99">
        <v>10</v>
      </c>
      <c r="F47" s="153" t="s">
        <v>45</v>
      </c>
      <c r="G47" s="83"/>
      <c r="H47" s="34"/>
      <c r="I47" s="34"/>
      <c r="J47" s="64"/>
      <c r="K47" s="1804" t="s">
        <v>223</v>
      </c>
      <c r="L47" s="1799">
        <f>IF(AQ$64=1,N47/E47,M47/E47)</f>
        <v>53.1</v>
      </c>
      <c r="M47" s="753">
        <f>AW47</f>
        <v>300</v>
      </c>
      <c r="N47" s="2387">
        <f>'FP Calcs'!G67</f>
        <v>531</v>
      </c>
      <c r="O47" s="2388"/>
      <c r="P47" s="79"/>
      <c r="Q47" s="112"/>
      <c r="R47" s="539" t="str">
        <f>IF(E48&gt;300,IF(AQ$6=2,AE56,""),"")</f>
        <v/>
      </c>
      <c r="S47" s="109"/>
      <c r="T47" s="1819"/>
      <c r="W47" s="166"/>
      <c r="Y47" s="167"/>
      <c r="AB47" s="166"/>
      <c r="AC47" s="109"/>
      <c r="AD47" s="424"/>
      <c r="AE47" s="552" t="s">
        <v>448</v>
      </c>
      <c r="AF47" s="472"/>
      <c r="AG47" s="472"/>
      <c r="AH47" s="671" t="str">
        <f t="shared" si="1"/>
        <v>Low</v>
      </c>
      <c r="AI47" s="431"/>
      <c r="AJ47" s="671" t="s">
        <v>26</v>
      </c>
      <c r="AK47" s="671">
        <f>IF(M14=AJ46,0,IF(M14=AJ47,1,IF(M14=AJ48,2,IF(M14=AJ49,3,IF(M14=AJ50,4,IF(M14=AJ51,5,IF(M14=AJ52,6)))))))</f>
        <v>0</v>
      </c>
      <c r="AL47" s="672"/>
      <c r="AM47" s="430"/>
      <c r="AN47" s="460"/>
      <c r="AO47" s="430"/>
      <c r="AP47" s="430"/>
      <c r="AQ47" s="430"/>
      <c r="AR47" s="461"/>
      <c r="AS47" s="430"/>
      <c r="AT47" s="430"/>
      <c r="AV47" s="430" t="s">
        <v>800</v>
      </c>
      <c r="AW47" s="430">
        <v>300</v>
      </c>
      <c r="AX47" s="426">
        <f>AW47/20</f>
        <v>15</v>
      </c>
      <c r="AY47" s="426">
        <f>IF($AX$5=1,AW47,AX47)</f>
        <v>300</v>
      </c>
    </row>
    <row r="48" spans="1:51" ht="15.95" customHeight="1">
      <c r="A48" s="2358"/>
      <c r="B48" s="94"/>
      <c r="C48" s="1467" t="s">
        <v>407</v>
      </c>
      <c r="D48" s="1466"/>
      <c r="E48" s="99">
        <v>120</v>
      </c>
      <c r="F48" s="187" t="s">
        <v>170</v>
      </c>
      <c r="G48" s="83"/>
      <c r="H48" s="34"/>
      <c r="I48" s="179"/>
      <c r="J48" s="64"/>
      <c r="K48" s="1805" t="s">
        <v>224</v>
      </c>
      <c r="L48" s="1806">
        <f>IF(AQ$64=1,N48/E46,M48/E46)</f>
        <v>48.833333333333336</v>
      </c>
      <c r="M48" s="753">
        <f>AW48</f>
        <v>300</v>
      </c>
      <c r="N48" s="2285">
        <f>'FP Calcs'!G68</f>
        <v>586</v>
      </c>
      <c r="O48" s="2286"/>
      <c r="P48" s="79"/>
      <c r="Q48" s="112"/>
      <c r="R48" s="539" t="str">
        <f>IF(AX25=2,IF(AQ6=2,IF(E51&lt;&gt;0,IF(E51&gt;((E48-E38)/2),AE34,""),""),""),"")</f>
        <v/>
      </c>
      <c r="S48" s="109"/>
      <c r="T48" s="1819"/>
      <c r="W48" s="166"/>
      <c r="Y48" s="167"/>
      <c r="AB48" s="166"/>
      <c r="AC48" s="109"/>
      <c r="AD48" s="424"/>
      <c r="AE48" s="552" t="s">
        <v>447</v>
      </c>
      <c r="AF48" s="472"/>
      <c r="AG48" s="472"/>
      <c r="AH48" s="671" t="str">
        <f t="shared" si="1"/>
        <v>Medium</v>
      </c>
      <c r="AI48" s="431"/>
      <c r="AJ48" s="671" t="s">
        <v>27</v>
      </c>
      <c r="AK48" s="671" t="str">
        <f>IF(AK47=1,AH47,IF(AK47=2,AH48,IF(AK47=3,AH49,IF(AK47=4,AH50,IF(AK47=5,AH51,"XX")))))</f>
        <v>XX</v>
      </c>
      <c r="AL48" s="672"/>
      <c r="AM48" s="430"/>
      <c r="AN48" s="457" t="s">
        <v>395</v>
      </c>
      <c r="AO48" s="458"/>
      <c r="AP48" s="458"/>
      <c r="AQ48" s="458"/>
      <c r="AR48" s="459">
        <f>IF(AQ50=1,AS50,IF(AQ50=2,AS51,IF(AQ50=3,AS52,AS53)))</f>
        <v>10</v>
      </c>
      <c r="AS48" s="430"/>
      <c r="AT48" s="430"/>
      <c r="AV48" s="430" t="s">
        <v>801</v>
      </c>
      <c r="AW48" s="430">
        <v>300</v>
      </c>
      <c r="AX48" s="426">
        <f>AW48/20</f>
        <v>15</v>
      </c>
      <c r="AY48" s="426">
        <f>IF($AX$5=1,AW48,AX48)</f>
        <v>300</v>
      </c>
    </row>
    <row r="49" spans="1:51" ht="15.95" customHeight="1" thickBot="1">
      <c r="A49" s="2358"/>
      <c r="B49" s="94"/>
      <c r="C49" s="2423" t="str">
        <f>IF(AQ9=1,AW16,AW15)</f>
        <v>Limit Element Resistance to 120 bu's/m</v>
      </c>
      <c r="D49" s="2377"/>
      <c r="E49" s="2354" t="s">
        <v>485</v>
      </c>
      <c r="F49" s="2355"/>
      <c r="G49" s="83"/>
      <c r="H49" s="34"/>
      <c r="I49" s="72"/>
      <c r="J49" s="64"/>
      <c r="K49" s="1807" t="s">
        <v>225</v>
      </c>
      <c r="L49" s="1803">
        <f>IF(AQ$64=1,N49/E48,M49/E48)</f>
        <v>9.6583333333333332</v>
      </c>
      <c r="M49" s="754">
        <f>AW49</f>
        <v>300</v>
      </c>
      <c r="N49" s="2287">
        <f>'FP Calcs'!G71</f>
        <v>1159</v>
      </c>
      <c r="O49" s="2288"/>
      <c r="P49" s="79"/>
      <c r="Q49" s="75"/>
      <c r="R49" s="539" t="str">
        <f>IF(AQ6=1,"",IF(AX75&gt;AY75,AE53,""))</f>
        <v/>
      </c>
      <c r="S49" s="109"/>
      <c r="T49" s="1819"/>
      <c r="W49" s="166"/>
      <c r="Y49" s="167"/>
      <c r="AB49" s="166"/>
      <c r="AC49" s="109"/>
      <c r="AD49" s="424"/>
      <c r="AE49" s="552" t="s">
        <v>446</v>
      </c>
      <c r="AF49" s="472"/>
      <c r="AG49" s="472"/>
      <c r="AH49" s="671" t="str">
        <f t="shared" si="1"/>
        <v>High</v>
      </c>
      <c r="AI49" s="431"/>
      <c r="AJ49" s="671" t="s">
        <v>28</v>
      </c>
      <c r="AK49" s="671" t="str">
        <f>WindCalc!AB80</f>
        <v>Low</v>
      </c>
      <c r="AL49" s="672"/>
      <c r="AM49" s="430"/>
      <c r="AN49" s="460"/>
      <c r="AO49" s="430"/>
      <c r="AP49" s="430"/>
      <c r="AQ49" s="430"/>
      <c r="AR49" s="461"/>
      <c r="AS49" s="430"/>
      <c r="AT49" s="430"/>
      <c r="AV49" s="430" t="s">
        <v>802</v>
      </c>
      <c r="AW49" s="430">
        <v>300</v>
      </c>
      <c r="AX49" s="426">
        <f>AW49/20</f>
        <v>15</v>
      </c>
      <c r="AY49" s="426">
        <f>IF($AX$5=1,AW49,AX49)</f>
        <v>300</v>
      </c>
    </row>
    <row r="50" spans="1:51" ht="15.95" customHeight="1">
      <c r="A50" s="2358"/>
      <c r="B50" s="94"/>
      <c r="C50" s="1469" t="s">
        <v>1057</v>
      </c>
      <c r="D50" s="1470"/>
      <c r="E50" s="1366" t="s">
        <v>305</v>
      </c>
      <c r="F50" s="1367"/>
      <c r="G50" s="1368"/>
      <c r="H50" s="1159"/>
      <c r="I50" s="1488"/>
      <c r="J50" s="1188"/>
      <c r="K50" s="1188"/>
      <c r="L50" s="1188"/>
      <c r="M50" s="1188"/>
      <c r="N50" s="1188"/>
      <c r="O50" s="1188"/>
      <c r="P50" s="79"/>
      <c r="Q50" s="75"/>
      <c r="R50" s="540" t="str">
        <f>IF(AQ6=1,"",IF(AX75&lt;AY75,AE54,""))</f>
        <v/>
      </c>
      <c r="S50" s="109"/>
      <c r="T50" s="1819"/>
      <c r="W50" s="166"/>
      <c r="Y50" s="167"/>
      <c r="AB50" s="166"/>
      <c r="AC50" s="109"/>
      <c r="AD50" s="424"/>
      <c r="AE50" s="552" t="s">
        <v>445</v>
      </c>
      <c r="AF50" s="472"/>
      <c r="AG50" s="472"/>
      <c r="AH50" s="671" t="str">
        <f t="shared" si="1"/>
        <v>Very High</v>
      </c>
      <c r="AI50" s="431"/>
      <c r="AJ50" s="671" t="s">
        <v>29</v>
      </c>
      <c r="AK50" s="671"/>
      <c r="AL50" s="672"/>
      <c r="AM50" s="430"/>
      <c r="AN50" s="460" t="str">
        <f>AP50</f>
        <v>Light</v>
      </c>
      <c r="AO50" s="430"/>
      <c r="AP50" s="430" t="s">
        <v>382</v>
      </c>
      <c r="AQ50" s="430">
        <f>IF(E21=AN50,1,IF(E21=AN51,2,IF(E21=AN52,3,4)))</f>
        <v>1</v>
      </c>
      <c r="AR50" s="461" t="s">
        <v>381</v>
      </c>
      <c r="AS50" s="430">
        <v>10</v>
      </c>
      <c r="AT50" s="430"/>
    </row>
    <row r="51" spans="1:51" ht="15.95" customHeight="1" thickBot="1">
      <c r="A51" s="2360"/>
      <c r="B51" s="1490"/>
      <c r="C51" s="1538" t="s">
        <v>1122</v>
      </c>
      <c r="D51" s="1539"/>
      <c r="E51" s="1489">
        <f>IF(E48&lt;E38,0,(E48-E38)/2)</f>
        <v>41</v>
      </c>
      <c r="F51" s="1540" t="s">
        <v>170</v>
      </c>
      <c r="G51" s="1541"/>
      <c r="H51" s="1159"/>
      <c r="I51" s="1488"/>
      <c r="J51" s="1188"/>
      <c r="K51" s="1188"/>
      <c r="L51" s="1188"/>
      <c r="M51" s="1188"/>
      <c r="N51" s="1188"/>
      <c r="O51" s="1188"/>
      <c r="P51" s="79"/>
      <c r="Q51" s="75"/>
      <c r="R51" s="539" t="str">
        <f>IF(E55&gt;E54,IF(AQ$9=2,AE58,""),"")</f>
        <v/>
      </c>
      <c r="S51" s="109"/>
      <c r="T51" s="1819"/>
      <c r="W51" s="166"/>
      <c r="Y51" s="167"/>
      <c r="AB51" s="166"/>
      <c r="AC51" s="109"/>
      <c r="AD51" s="424"/>
      <c r="AE51" s="552" t="s">
        <v>443</v>
      </c>
      <c r="AF51" s="472"/>
      <c r="AG51" s="472"/>
      <c r="AH51" s="671" t="str">
        <f t="shared" si="1"/>
        <v>Extra High</v>
      </c>
      <c r="AI51" s="431"/>
      <c r="AJ51" s="671" t="s">
        <v>274</v>
      </c>
      <c r="AK51" s="671"/>
      <c r="AL51" s="672"/>
      <c r="AM51" s="430"/>
      <c r="AN51" s="460" t="str">
        <f>AP51</f>
        <v>Medium</v>
      </c>
      <c r="AO51" s="430"/>
      <c r="AP51" s="430" t="s">
        <v>27</v>
      </c>
      <c r="AQ51" s="430"/>
      <c r="AR51" s="461" t="s">
        <v>381</v>
      </c>
      <c r="AS51" s="430">
        <v>60</v>
      </c>
      <c r="AT51" s="430"/>
      <c r="AU51" s="430"/>
    </row>
    <row r="52" spans="1:51" ht="15.95" customHeight="1" thickBot="1">
      <c r="A52" s="1550"/>
      <c r="B52" s="1491"/>
      <c r="C52" s="1188"/>
      <c r="D52" s="1188"/>
      <c r="E52" s="1188"/>
      <c r="F52" s="1188"/>
      <c r="G52" s="1188"/>
      <c r="H52" s="1188"/>
      <c r="I52" s="1188"/>
      <c r="J52" s="1188"/>
      <c r="K52" s="1188"/>
      <c r="L52" s="1188"/>
      <c r="M52" s="1188"/>
      <c r="N52" s="1188"/>
      <c r="O52" s="1188"/>
      <c r="P52" s="79"/>
      <c r="Q52" s="112"/>
      <c r="R52" s="539" t="str">
        <f>IF(E54&gt;2,IF(AQ$9=2,AE57,""),"")</f>
        <v/>
      </c>
      <c r="T52" s="1819"/>
      <c r="W52" s="166"/>
      <c r="Y52" s="167"/>
      <c r="AB52" s="166"/>
      <c r="AE52" s="552" t="s">
        <v>444</v>
      </c>
      <c r="AF52" s="472"/>
      <c r="AG52" s="472"/>
      <c r="AH52" s="671" t="str">
        <f>IF(AK$6=4,"Wind Speed =",IF(AK$6&lt;&gt;3,AJ52,AJ52))</f>
        <v>Wind Speed=</v>
      </c>
      <c r="AI52" s="431"/>
      <c r="AJ52" s="671" t="s">
        <v>722</v>
      </c>
      <c r="AK52" s="671"/>
      <c r="AL52" s="672"/>
      <c r="AM52" s="430"/>
      <c r="AN52" s="460" t="str">
        <f>AP52</f>
        <v>Heavy</v>
      </c>
      <c r="AO52" s="430"/>
      <c r="AP52" s="430" t="s">
        <v>383</v>
      </c>
      <c r="AQ52" s="430"/>
      <c r="AR52" s="461" t="s">
        <v>381</v>
      </c>
      <c r="AS52" s="430">
        <v>200</v>
      </c>
      <c r="AT52" s="430"/>
      <c r="AU52" s="430"/>
    </row>
    <row r="53" spans="1:51" ht="15.95" customHeight="1" thickBot="1">
      <c r="A53" s="2361" t="str">
        <f>IF(AQ$9=1,"If Slab, Hide these rows before Printing","")</f>
        <v/>
      </c>
      <c r="B53" s="1491"/>
      <c r="C53" s="1492" t="s">
        <v>386</v>
      </c>
      <c r="D53" s="1492"/>
      <c r="E53" s="1492"/>
      <c r="F53" s="1485"/>
      <c r="G53" s="1485"/>
      <c r="H53" s="1159"/>
      <c r="I53" s="1159"/>
      <c r="J53" s="1188"/>
      <c r="K53" s="1492" t="s">
        <v>891</v>
      </c>
      <c r="L53" s="1492"/>
      <c r="M53" s="1815" t="s">
        <v>965</v>
      </c>
      <c r="N53" s="2413" t="s">
        <v>1003</v>
      </c>
      <c r="O53" s="2414"/>
      <c r="P53" s="79"/>
      <c r="Q53" s="79"/>
      <c r="R53" s="539" t="str">
        <f>IF(E55&gt;3,IF(AQ$9=2,AE59,""),"")</f>
        <v/>
      </c>
      <c r="T53" s="1819"/>
      <c r="W53" s="166"/>
      <c r="Y53" s="167"/>
      <c r="AB53" s="166"/>
      <c r="AE53" s="552" t="s">
        <v>1125</v>
      </c>
      <c r="AF53" s="472"/>
      <c r="AG53" s="472"/>
      <c r="AM53" s="430"/>
      <c r="AN53" s="460" t="str">
        <f>AP53</f>
        <v>Weight =</v>
      </c>
      <c r="AO53" s="463"/>
      <c r="AP53" s="469" t="s">
        <v>1054</v>
      </c>
      <c r="AQ53" s="463"/>
      <c r="AR53" s="464" t="s">
        <v>381</v>
      </c>
      <c r="AS53" s="430">
        <f>F21</f>
        <v>10</v>
      </c>
      <c r="AT53" s="430"/>
      <c r="AU53" s="430"/>
    </row>
    <row r="54" spans="1:51" ht="15.95" customHeight="1">
      <c r="A54" s="2358"/>
      <c r="B54" s="1491"/>
      <c r="C54" s="2447" t="s">
        <v>498</v>
      </c>
      <c r="D54" s="2448"/>
      <c r="E54" s="1493">
        <v>0.2</v>
      </c>
      <c r="F54" s="1508" t="s">
        <v>45</v>
      </c>
      <c r="G54" s="1505"/>
      <c r="H54" s="1159"/>
      <c r="I54" s="1159"/>
      <c r="J54" s="1151"/>
      <c r="K54" s="2283" t="s">
        <v>410</v>
      </c>
      <c r="L54" s="2417" t="str">
        <f>L34</f>
        <v>XYZ Engineers</v>
      </c>
      <c r="M54" s="2418"/>
      <c r="N54" s="2409" t="str">
        <f>IF(AQ72=1,'Terms and Conditions'!B22,"")</f>
        <v>QuickBrace©                        First Principles</v>
      </c>
      <c r="O54" s="2410"/>
      <c r="P54" s="79"/>
      <c r="Q54" s="79"/>
      <c r="R54" s="539" t="str">
        <f>IF(AQ50=4,IF(F21&gt;200,IF(AQ$9=2,AE60,""),""),"")</f>
        <v/>
      </c>
      <c r="S54" s="109"/>
      <c r="T54" s="1820"/>
      <c r="U54" s="1351"/>
      <c r="V54" s="1351"/>
      <c r="W54" s="1821"/>
      <c r="Y54" s="171"/>
      <c r="Z54" s="172"/>
      <c r="AA54" s="172"/>
      <c r="AB54" s="173"/>
      <c r="AC54" s="109"/>
      <c r="AD54" s="424"/>
      <c r="AE54" s="552" t="s">
        <v>1124</v>
      </c>
      <c r="AF54" s="472"/>
      <c r="AG54" s="472"/>
      <c r="AH54" s="430"/>
      <c r="AI54" s="430"/>
      <c r="AJ54" s="430"/>
      <c r="AK54" s="430"/>
      <c r="AL54" s="430"/>
      <c r="AM54" s="430"/>
      <c r="AN54" s="430"/>
      <c r="AO54" s="430"/>
      <c r="AP54" s="430"/>
      <c r="AQ54" s="430"/>
      <c r="AR54" s="430"/>
      <c r="AS54" s="430"/>
      <c r="AT54" s="430"/>
      <c r="AU54" s="430"/>
    </row>
    <row r="55" spans="1:51" ht="15.95" customHeight="1" thickBot="1">
      <c r="A55" s="2358"/>
      <c r="B55" s="1491"/>
      <c r="C55" s="2449" t="s">
        <v>499</v>
      </c>
      <c r="D55" s="2450"/>
      <c r="E55" s="1494">
        <f>E54</f>
        <v>0.2</v>
      </c>
      <c r="F55" s="1509" t="s">
        <v>45</v>
      </c>
      <c r="G55" s="1474"/>
      <c r="H55" s="1159"/>
      <c r="I55" s="1159"/>
      <c r="J55" s="1151"/>
      <c r="K55" s="2284"/>
      <c r="L55" s="2419"/>
      <c r="M55" s="2420"/>
      <c r="N55" s="2411"/>
      <c r="O55" s="2412"/>
      <c r="P55" s="79"/>
      <c r="Q55" s="79"/>
      <c r="R55" s="539" t="str">
        <f>IF(AQ9=1,"",IF(AQ6=1,IF(AR48&lt;AR33,AE67,""),IF(AQ6=2,IF(AR48&lt;AR33,AE70,""),"")))</f>
        <v/>
      </c>
      <c r="S55" s="109"/>
      <c r="AC55" s="109"/>
      <c r="AD55" s="424"/>
      <c r="AE55" s="552" t="s">
        <v>865</v>
      </c>
      <c r="AF55" s="472"/>
      <c r="AG55" s="472"/>
      <c r="AH55" s="430"/>
      <c r="AI55" s="430"/>
      <c r="AJ55" s="430"/>
      <c r="AK55" s="430"/>
      <c r="AL55" s="430"/>
      <c r="AM55" s="430"/>
      <c r="AN55" s="430"/>
      <c r="AO55" s="430"/>
      <c r="AP55" s="430"/>
      <c r="AQ55" s="430"/>
      <c r="AR55" s="430"/>
      <c r="AS55" s="430"/>
      <c r="AT55" s="430"/>
    </row>
    <row r="56" spans="1:51" ht="15.95" customHeight="1" thickBot="1">
      <c r="A56" s="2358"/>
      <c r="B56" s="1491"/>
      <c r="C56" s="2449" t="s">
        <v>500</v>
      </c>
      <c r="D56" s="2450"/>
      <c r="E56" s="1495">
        <f>IF($AQ$6=1,E36,E46)</f>
        <v>12</v>
      </c>
      <c r="F56" s="1509" t="s">
        <v>45</v>
      </c>
      <c r="G56" s="1474"/>
      <c r="H56" s="1159"/>
      <c r="I56" s="1496"/>
      <c r="J56" s="1151"/>
      <c r="K56" s="1151"/>
      <c r="L56" s="1515" t="s">
        <v>811</v>
      </c>
      <c r="M56" s="1823" t="str">
        <f>AW13</f>
        <v>Alt Demand (Bu's)</v>
      </c>
      <c r="N56" s="2415" t="str">
        <f>AW14</f>
        <v>Demands (Bu's)</v>
      </c>
      <c r="O56" s="2416"/>
      <c r="P56" s="79"/>
      <c r="Q56" s="1688"/>
      <c r="R56" s="539" t="str">
        <f>IF(AQ9=1,"",IF(AQ6=1,"",IF(AR48&lt;AR38,AE71,"")))</f>
        <v/>
      </c>
      <c r="S56" s="109"/>
      <c r="AC56" s="109"/>
      <c r="AD56" s="424"/>
      <c r="AE56" s="552" t="s">
        <v>475</v>
      </c>
      <c r="AF56" s="472"/>
      <c r="AG56" s="472"/>
      <c r="AH56" s="430"/>
      <c r="AI56" s="430"/>
      <c r="AJ56" s="430"/>
      <c r="AK56" s="430"/>
      <c r="AL56" s="430"/>
      <c r="AM56" s="430"/>
      <c r="AN56" s="430"/>
      <c r="AO56" s="430"/>
      <c r="AP56" s="430"/>
      <c r="AQ56" s="430"/>
      <c r="AR56" s="430"/>
      <c r="AS56" s="430"/>
      <c r="AT56" s="430"/>
    </row>
    <row r="57" spans="1:51" ht="15.95" customHeight="1">
      <c r="A57" s="2358"/>
      <c r="B57" s="1491"/>
      <c r="C57" s="2449" t="s">
        <v>501</v>
      </c>
      <c r="D57" s="2450"/>
      <c r="E57" s="1495">
        <f>IF($AQ$6=1,E37,E47)</f>
        <v>10</v>
      </c>
      <c r="F57" s="1509" t="s">
        <v>45</v>
      </c>
      <c r="G57" s="1474"/>
      <c r="H57" s="1159"/>
      <c r="I57" s="1488"/>
      <c r="J57" s="1151"/>
      <c r="K57" s="1798" t="s">
        <v>223</v>
      </c>
      <c r="L57" s="1808">
        <f>IF(AQ$72=1,N57/E57,M57/E57)</f>
        <v>68.5</v>
      </c>
      <c r="M57" s="1497">
        <f>AY57</f>
        <v>400</v>
      </c>
      <c r="N57" s="2387">
        <f>'FP Calcs'!I67</f>
        <v>685</v>
      </c>
      <c r="O57" s="2388"/>
      <c r="P57" s="79"/>
      <c r="Q57" s="1688"/>
      <c r="R57" s="539" t="str">
        <f>IF(E58&gt;300,IF(AQ$9=2,AE61,""),"")</f>
        <v/>
      </c>
      <c r="S57" s="109"/>
      <c r="T57" s="2397" t="s">
        <v>439</v>
      </c>
      <c r="U57" s="2398"/>
      <c r="V57" s="2398"/>
      <c r="W57" s="2398"/>
      <c r="X57" s="2399"/>
      <c r="AC57" s="109"/>
      <c r="AD57" s="424"/>
      <c r="AE57" s="552" t="s">
        <v>505</v>
      </c>
      <c r="AF57" s="472"/>
      <c r="AG57" s="472"/>
      <c r="AH57" s="457" t="s">
        <v>400</v>
      </c>
      <c r="AI57" s="458"/>
      <c r="AJ57" s="458"/>
      <c r="AK57" s="458"/>
      <c r="AL57" s="459"/>
      <c r="AM57" s="430"/>
      <c r="AN57" s="457" t="s">
        <v>397</v>
      </c>
      <c r="AO57" s="458"/>
      <c r="AP57" s="458"/>
      <c r="AQ57" s="458"/>
      <c r="AR57" s="459"/>
      <c r="AS57" s="430"/>
      <c r="AT57" s="430"/>
      <c r="AV57" s="430" t="s">
        <v>803</v>
      </c>
      <c r="AW57" s="430">
        <v>400</v>
      </c>
      <c r="AX57" s="426">
        <f>AW57/20</f>
        <v>20</v>
      </c>
      <c r="AY57" s="426">
        <f>IF($AX$5=1,AW57,AX57)</f>
        <v>400</v>
      </c>
    </row>
    <row r="58" spans="1:51" ht="15.95" customHeight="1">
      <c r="A58" s="2358"/>
      <c r="B58" s="1491"/>
      <c r="C58" s="2451" t="s">
        <v>502</v>
      </c>
      <c r="D58" s="2452"/>
      <c r="E58" s="1495">
        <f>IF($AQ$6=1,E38,E48)</f>
        <v>120</v>
      </c>
      <c r="F58" s="1510" t="s">
        <v>170</v>
      </c>
      <c r="G58" s="1474"/>
      <c r="H58" s="1159"/>
      <c r="I58" s="1488"/>
      <c r="J58" s="1151"/>
      <c r="K58" s="1800" t="s">
        <v>224</v>
      </c>
      <c r="L58" s="1806">
        <f>IF(AQ$72=1,N58/E56,M58/E56)</f>
        <v>64.166666666666671</v>
      </c>
      <c r="M58" s="1497">
        <f>AY58</f>
        <v>400</v>
      </c>
      <c r="N58" s="2285">
        <f>'FP Calcs'!I68</f>
        <v>770</v>
      </c>
      <c r="O58" s="2286"/>
      <c r="P58" s="79"/>
      <c r="Q58" s="64"/>
      <c r="R58" s="2380" t="str">
        <f>IF(AQ6=1,"",IF(AQ9=1,"",IF(AX78=4,"",IF(AX78&lt;&gt;AY78,AE63,""))))</f>
        <v/>
      </c>
      <c r="S58" s="109"/>
      <c r="T58" s="168"/>
      <c r="U58" s="169"/>
      <c r="V58" s="169"/>
      <c r="W58" s="169"/>
      <c r="X58" s="170"/>
      <c r="AC58" s="109"/>
      <c r="AD58" s="424"/>
      <c r="AE58" s="552" t="s">
        <v>503</v>
      </c>
      <c r="AF58" s="472"/>
      <c r="AG58" s="472"/>
      <c r="AH58" s="460"/>
      <c r="AI58" s="430"/>
      <c r="AJ58" s="430"/>
      <c r="AK58" s="430"/>
      <c r="AL58" s="461"/>
      <c r="AM58" s="430"/>
      <c r="AN58" s="460"/>
      <c r="AO58" s="430"/>
      <c r="AP58" s="430"/>
      <c r="AQ58" s="430"/>
      <c r="AR58" s="461"/>
      <c r="AS58" s="430"/>
      <c r="AT58" s="430"/>
      <c r="AV58" s="430" t="s">
        <v>804</v>
      </c>
      <c r="AW58" s="430">
        <v>400</v>
      </c>
      <c r="AX58" s="426">
        <f>AW58/20</f>
        <v>20</v>
      </c>
      <c r="AY58" s="426">
        <f>IF($AX$5=1,AW58,AX58)</f>
        <v>400</v>
      </c>
    </row>
    <row r="59" spans="1:51" ht="15.95" customHeight="1" thickBot="1">
      <c r="A59" s="2360"/>
      <c r="B59" s="1491"/>
      <c r="C59" s="2453" t="s">
        <v>1130</v>
      </c>
      <c r="D59" s="2454"/>
      <c r="E59" s="2356" t="s">
        <v>1059</v>
      </c>
      <c r="F59" s="2357"/>
      <c r="G59" s="1478"/>
      <c r="H59" s="1498"/>
      <c r="I59" s="1488"/>
      <c r="J59" s="1151"/>
      <c r="K59" s="1809" t="s">
        <v>225</v>
      </c>
      <c r="L59" s="1803">
        <f>IF(AQ$72=1,N59/E58,M59/E58)</f>
        <v>10.050000000000001</v>
      </c>
      <c r="M59" s="1499">
        <f>AY59</f>
        <v>400</v>
      </c>
      <c r="N59" s="2287">
        <f>'FP Calcs'!I71</f>
        <v>1206</v>
      </c>
      <c r="O59" s="2288"/>
      <c r="P59" s="79"/>
      <c r="Q59" s="64"/>
      <c r="R59" s="2380"/>
      <c r="S59" s="109"/>
      <c r="T59" s="167"/>
      <c r="X59" s="166"/>
      <c r="AC59" s="109"/>
      <c r="AD59" s="424"/>
      <c r="AE59" s="552" t="s">
        <v>504</v>
      </c>
      <c r="AF59" s="472"/>
      <c r="AG59" s="472"/>
      <c r="AH59" s="473">
        <v>1</v>
      </c>
      <c r="AI59" s="430"/>
      <c r="AJ59" s="430"/>
      <c r="AK59" s="460">
        <f>IF(M28=1,1,IF(M28=2,2,IF(M28=3,3,IF(M28=4,4))))</f>
        <v>1</v>
      </c>
      <c r="AL59" s="461"/>
      <c r="AM59" s="430"/>
      <c r="AN59" s="460" t="str">
        <f>AP59</f>
        <v>QuickBrace (FP)</v>
      </c>
      <c r="AO59" s="430"/>
      <c r="AP59" s="460" t="s">
        <v>1003</v>
      </c>
      <c r="AQ59" s="430">
        <f>IF(N33=AN59,1,2)</f>
        <v>1</v>
      </c>
      <c r="AR59" s="461"/>
      <c r="AS59" s="430"/>
      <c r="AT59" s="430"/>
      <c r="AV59" s="430" t="s">
        <v>805</v>
      </c>
      <c r="AW59" s="430">
        <v>400</v>
      </c>
      <c r="AX59" s="426">
        <f>AW59/20</f>
        <v>20</v>
      </c>
      <c r="AY59" s="426">
        <f>IF($AX$5=1,AW59,AX59)</f>
        <v>400</v>
      </c>
    </row>
    <row r="60" spans="1:51" ht="15.95" customHeight="1" thickBot="1">
      <c r="A60" s="1549"/>
      <c r="B60" s="1491"/>
      <c r="C60" s="1188"/>
      <c r="D60" s="1188"/>
      <c r="E60" s="1188"/>
      <c r="F60" s="1188"/>
      <c r="G60" s="1188"/>
      <c r="H60" s="1188"/>
      <c r="I60" s="1188"/>
      <c r="J60" s="1188"/>
      <c r="K60" s="1188"/>
      <c r="L60" s="1188"/>
      <c r="M60" s="1188"/>
      <c r="N60" s="1188"/>
      <c r="O60" s="1188"/>
      <c r="P60" s="79"/>
      <c r="Q60" s="64"/>
      <c r="R60" s="2380"/>
      <c r="S60" s="109"/>
      <c r="T60" s="167"/>
      <c r="X60" s="166"/>
      <c r="AC60" s="109"/>
      <c r="AD60" s="424"/>
      <c r="AE60" s="552" t="s">
        <v>866</v>
      </c>
      <c r="AF60" s="472"/>
      <c r="AG60" s="472"/>
      <c r="AH60" s="473">
        <v>2</v>
      </c>
      <c r="AI60" s="430"/>
      <c r="AJ60" s="430"/>
      <c r="AK60" s="460"/>
      <c r="AL60" s="461"/>
      <c r="AM60" s="430"/>
      <c r="AN60" s="460" t="str">
        <f>AP60</f>
        <v>Other</v>
      </c>
      <c r="AO60" s="463"/>
      <c r="AP60" s="462" t="s">
        <v>928</v>
      </c>
      <c r="AQ60" s="463"/>
      <c r="AR60" s="464"/>
      <c r="AS60" s="430"/>
      <c r="AT60" s="430"/>
    </row>
    <row r="61" spans="1:51" ht="15.95" customHeight="1" thickBot="1">
      <c r="A61" s="1549"/>
      <c r="B61" s="1490"/>
      <c r="C61" s="1188"/>
      <c r="D61" s="1188"/>
      <c r="E61" s="1188"/>
      <c r="F61" s="1188"/>
      <c r="G61" s="1188"/>
      <c r="H61" s="1498"/>
      <c r="I61" s="1498"/>
      <c r="J61" s="1151"/>
      <c r="K61" s="1500"/>
      <c r="L61" s="1500"/>
      <c r="M61" s="1159"/>
      <c r="N61" s="1488"/>
      <c r="O61" s="1501"/>
      <c r="P61" s="79"/>
      <c r="Q61" s="1688"/>
      <c r="R61" s="2445" t="str">
        <f>IF(AND(AQ9=1,AQ6=1),"",(IF(AND(AQ9=1,AQ6=2),(IF(E48&lt;E38*0.8,AE77,"")),IF(AQ6=1,IF(E58&lt;E38*0.8,AE80,""),IF(E58&lt;E48*0.8,AE80,IF(E48&lt;E38*0.8,AE77,""))))))</f>
        <v/>
      </c>
      <c r="T61" s="167"/>
      <c r="X61" s="166"/>
      <c r="AE61" s="552" t="s">
        <v>506</v>
      </c>
      <c r="AF61" s="472"/>
      <c r="AG61" s="472"/>
      <c r="AH61" s="473">
        <v>3</v>
      </c>
      <c r="AI61" s="430"/>
      <c r="AJ61" s="430"/>
      <c r="AK61" s="460"/>
      <c r="AL61" s="461"/>
      <c r="AM61" s="430"/>
      <c r="AN61" s="462"/>
      <c r="AO61" s="463"/>
      <c r="AP61" s="463"/>
      <c r="AQ61" s="463"/>
      <c r="AR61" s="464"/>
      <c r="AS61" s="430"/>
      <c r="AT61" s="430"/>
    </row>
    <row r="62" spans="1:51" ht="15.95" customHeight="1" thickBot="1">
      <c r="A62" s="90"/>
      <c r="B62" s="1490"/>
      <c r="C62" s="1502"/>
      <c r="D62" s="1502"/>
      <c r="E62" s="1498"/>
      <c r="F62" s="1151"/>
      <c r="G62" s="1498"/>
      <c r="H62" s="1498"/>
      <c r="I62" s="1498"/>
      <c r="J62" s="1151"/>
      <c r="K62" s="1500"/>
      <c r="L62" s="1500"/>
      <c r="M62" s="1159"/>
      <c r="N62" s="1488"/>
      <c r="O62" s="1501"/>
      <c r="P62" s="79"/>
      <c r="Q62" s="1688"/>
      <c r="R62" s="2445"/>
      <c r="T62" s="167"/>
      <c r="X62" s="166"/>
      <c r="AE62" s="552" t="s">
        <v>507</v>
      </c>
      <c r="AF62" s="472"/>
      <c r="AG62" s="472"/>
      <c r="AH62" s="474">
        <v>4</v>
      </c>
      <c r="AI62" s="463"/>
      <c r="AJ62" s="463"/>
      <c r="AK62" s="462"/>
      <c r="AL62" s="464"/>
      <c r="AM62" s="430"/>
      <c r="AN62" s="430"/>
      <c r="AO62" s="430"/>
      <c r="AP62" s="430"/>
      <c r="AQ62" s="430"/>
      <c r="AR62" s="430"/>
      <c r="AS62" s="430"/>
      <c r="AT62" s="430"/>
      <c r="AU62" s="430" t="s">
        <v>490</v>
      </c>
      <c r="AV62" s="430"/>
      <c r="AW62" s="430">
        <f>IF(M30=AU63,1,IF(M30=AU64,2,IF(M30=AU65,3)))</f>
        <v>1</v>
      </c>
      <c r="AX62" s="426">
        <f>IF(AW62=1,AW63,IF(AW62=2,AW64,AW65))</f>
        <v>1</v>
      </c>
    </row>
    <row r="63" spans="1:51" ht="15.95" customHeight="1" thickBot="1">
      <c r="A63" s="90"/>
      <c r="B63" s="101"/>
      <c r="C63" s="2446" t="str">
        <f>'Terms and Conditions'!B19</f>
        <v>Elephant QuickBrace™ September 2018  V.1.0</v>
      </c>
      <c r="D63" s="2446"/>
      <c r="E63" s="2446"/>
      <c r="F63" s="2446"/>
      <c r="G63" s="2446"/>
      <c r="H63" s="65"/>
      <c r="I63" s="65"/>
      <c r="J63" s="100"/>
      <c r="K63" s="486"/>
      <c r="L63" s="486"/>
      <c r="M63" s="486"/>
      <c r="N63" s="486"/>
      <c r="O63" s="486"/>
      <c r="P63" s="487"/>
      <c r="Q63" s="1688"/>
      <c r="R63" s="2445"/>
      <c r="T63" s="167"/>
      <c r="X63" s="166"/>
      <c r="AE63" s="2432" t="s">
        <v>1121</v>
      </c>
      <c r="AF63" s="472"/>
      <c r="AG63" s="472"/>
      <c r="AH63" s="460" t="s">
        <v>401</v>
      </c>
      <c r="AI63" s="430"/>
      <c r="AJ63" s="430"/>
      <c r="AK63" s="460"/>
      <c r="AL63" s="461"/>
      <c r="AM63" s="430"/>
      <c r="AN63" s="457" t="s">
        <v>398</v>
      </c>
      <c r="AO63" s="458"/>
      <c r="AP63" s="458"/>
      <c r="AQ63" s="458"/>
      <c r="AR63" s="459"/>
      <c r="AS63" s="430"/>
      <c r="AT63" s="430"/>
      <c r="AU63" s="430" t="s">
        <v>1099</v>
      </c>
      <c r="AV63" s="430"/>
      <c r="AW63" s="430">
        <v>1</v>
      </c>
    </row>
    <row r="64" spans="1:51" ht="15.95" customHeight="1" thickBot="1">
      <c r="A64" s="90"/>
      <c r="B64" s="510"/>
      <c r="C64" s="528" t="s">
        <v>900</v>
      </c>
      <c r="D64" s="529"/>
      <c r="E64" s="529"/>
      <c r="F64" s="529"/>
      <c r="G64" s="529"/>
      <c r="H64" s="529"/>
      <c r="I64" s="529"/>
      <c r="J64" s="93"/>
      <c r="K64" s="530"/>
      <c r="L64" s="530"/>
      <c r="M64" s="530"/>
      <c r="N64" s="530"/>
      <c r="O64" s="530"/>
      <c r="P64" s="531"/>
      <c r="Q64" s="1689"/>
      <c r="R64" s="183"/>
      <c r="T64" s="167"/>
      <c r="X64" s="166"/>
      <c r="AE64" s="2432"/>
      <c r="AF64" s="472"/>
      <c r="AG64" s="472"/>
      <c r="AH64" s="460" t="s">
        <v>927</v>
      </c>
      <c r="AI64" s="430"/>
      <c r="AJ64" s="430"/>
      <c r="AK64" s="460">
        <f>IF(M29=AH64,1,IF(M29=AH65,2,IF(M29=AH66,3,IF(M29=AH67,4,IF(M29=AH68,5)))))</f>
        <v>5</v>
      </c>
      <c r="AL64" s="461"/>
      <c r="AM64" s="430"/>
      <c r="AN64" s="460" t="str">
        <f>AP64</f>
        <v>QuickBrace (FP)</v>
      </c>
      <c r="AO64" s="430"/>
      <c r="AP64" s="460" t="s">
        <v>1003</v>
      </c>
      <c r="AQ64" s="430">
        <f>IF(N43=AN64,1,2)</f>
        <v>1</v>
      </c>
      <c r="AR64" s="461" t="s">
        <v>396</v>
      </c>
      <c r="AS64" s="430"/>
      <c r="AT64" s="430"/>
      <c r="AU64" s="430" t="s">
        <v>1097</v>
      </c>
      <c r="AV64" s="430"/>
      <c r="AW64" s="430">
        <v>1.3</v>
      </c>
    </row>
    <row r="65" spans="1:51" ht="15.95" customHeight="1" thickBot="1">
      <c r="A65" s="90"/>
      <c r="B65" s="518"/>
      <c r="C65" s="510" t="str">
        <f>R17</f>
        <v/>
      </c>
      <c r="D65" s="515"/>
      <c r="E65" s="515"/>
      <c r="F65" s="515"/>
      <c r="G65" s="515"/>
      <c r="H65" s="553">
        <f t="shared" ref="H65:H71" si="2">IF(C65&lt;&gt;"",1,0)</f>
        <v>0</v>
      </c>
      <c r="I65" s="554"/>
      <c r="J65" s="555" t="str">
        <f>R36</f>
        <v/>
      </c>
      <c r="K65" s="555"/>
      <c r="L65" s="555"/>
      <c r="M65" s="555"/>
      <c r="N65" s="555"/>
      <c r="O65" s="556"/>
      <c r="P65" s="532">
        <f t="shared" ref="P65:P70" si="3">IF(J65&lt;&gt;"",1,0)</f>
        <v>0</v>
      </c>
      <c r="Q65" s="687"/>
      <c r="R65" s="183"/>
      <c r="T65" s="171"/>
      <c r="U65" s="172"/>
      <c r="V65" s="172"/>
      <c r="W65" s="172"/>
      <c r="X65" s="173"/>
      <c r="AE65" s="552" t="s">
        <v>476</v>
      </c>
      <c r="AF65" s="472"/>
      <c r="AG65" s="472"/>
      <c r="AH65" s="460" t="s">
        <v>376</v>
      </c>
      <c r="AI65" s="430"/>
      <c r="AJ65" s="430"/>
      <c r="AK65" s="460"/>
      <c r="AL65" s="461"/>
      <c r="AM65" s="430"/>
      <c r="AN65" s="460" t="str">
        <f>AP65</f>
        <v>Other</v>
      </c>
      <c r="AO65" s="463"/>
      <c r="AP65" s="462" t="s">
        <v>928</v>
      </c>
      <c r="AQ65" s="463"/>
      <c r="AR65" s="464" t="s">
        <v>396</v>
      </c>
      <c r="AS65" s="430"/>
      <c r="AT65" s="430"/>
      <c r="AU65" s="430" t="s">
        <v>1098</v>
      </c>
      <c r="AV65" s="430"/>
      <c r="AW65" s="430">
        <v>1.8</v>
      </c>
    </row>
    <row r="66" spans="1:51" ht="15.95" customHeight="1">
      <c r="A66" s="90"/>
      <c r="B66" s="518"/>
      <c r="C66" s="518" t="str">
        <f>R32</f>
        <v/>
      </c>
      <c r="D66" s="57"/>
      <c r="E66" s="57"/>
      <c r="F66" s="57"/>
      <c r="G66" s="57"/>
      <c r="H66" s="516">
        <f t="shared" si="2"/>
        <v>0</v>
      </c>
      <c r="I66" s="67"/>
      <c r="J66" s="511" t="str">
        <f>R45</f>
        <v/>
      </c>
      <c r="K66" s="511"/>
      <c r="L66" s="511"/>
      <c r="M66" s="511"/>
      <c r="N66" s="511"/>
      <c r="O66" s="557"/>
      <c r="P66" s="532">
        <f t="shared" si="3"/>
        <v>0</v>
      </c>
      <c r="Q66" s="687"/>
      <c r="R66" s="183"/>
      <c r="AE66" s="552" t="s">
        <v>508</v>
      </c>
      <c r="AF66" s="472"/>
      <c r="AG66" s="472"/>
      <c r="AH66" s="460" t="s">
        <v>377</v>
      </c>
      <c r="AI66" s="430"/>
      <c r="AJ66" s="430"/>
      <c r="AK66" s="460"/>
      <c r="AL66" s="461"/>
      <c r="AM66" s="430"/>
      <c r="AN66" s="430"/>
      <c r="AO66" s="430"/>
      <c r="AP66" s="430"/>
      <c r="AQ66" s="430"/>
      <c r="AR66" s="430"/>
      <c r="AS66" s="430"/>
      <c r="AT66" s="430"/>
      <c r="AU66" s="430"/>
      <c r="AV66" s="430"/>
      <c r="AW66" s="430"/>
    </row>
    <row r="67" spans="1:51" ht="15.95" customHeight="1">
      <c r="A67" s="90"/>
      <c r="B67" s="518"/>
      <c r="C67" s="518" t="str">
        <f>R42</f>
        <v/>
      </c>
      <c r="D67" s="57"/>
      <c r="E67" s="57"/>
      <c r="F67" s="57"/>
      <c r="G67" s="57"/>
      <c r="H67" s="516">
        <f t="shared" si="2"/>
        <v>0</v>
      </c>
      <c r="I67" s="67"/>
      <c r="J67" s="511" t="str">
        <f>R46</f>
        <v/>
      </c>
      <c r="K67" s="511"/>
      <c r="L67" s="511"/>
      <c r="M67" s="511"/>
      <c r="N67" s="511"/>
      <c r="O67" s="557"/>
      <c r="P67" s="532">
        <f t="shared" si="3"/>
        <v>0</v>
      </c>
      <c r="Q67" s="687"/>
      <c r="R67" s="183"/>
      <c r="AE67" s="552" t="s">
        <v>509</v>
      </c>
      <c r="AF67" s="472"/>
      <c r="AG67" s="472"/>
      <c r="AH67" s="460" t="s">
        <v>378</v>
      </c>
      <c r="AI67" s="430"/>
      <c r="AJ67" s="430"/>
      <c r="AK67" s="460"/>
      <c r="AL67" s="461"/>
      <c r="AM67" s="430"/>
      <c r="AN67" s="430"/>
      <c r="AO67" s="430"/>
      <c r="AP67" s="430"/>
      <c r="AQ67" s="430"/>
      <c r="AR67" s="430"/>
      <c r="AS67" s="430"/>
      <c r="AT67" s="430"/>
      <c r="AV67" s="430" t="s">
        <v>485</v>
      </c>
      <c r="AW67" s="430"/>
    </row>
    <row r="68" spans="1:51" ht="15.95" customHeight="1">
      <c r="A68" s="90"/>
      <c r="B68" s="518"/>
      <c r="C68" s="518" t="str">
        <f>R21</f>
        <v/>
      </c>
      <c r="D68" s="57"/>
      <c r="E68" s="57"/>
      <c r="F68" s="57"/>
      <c r="G68" s="57"/>
      <c r="H68" s="516">
        <f t="shared" si="2"/>
        <v>0</v>
      </c>
      <c r="I68" s="67"/>
      <c r="J68" s="511" t="str">
        <f>R55</f>
        <v/>
      </c>
      <c r="K68" s="511"/>
      <c r="L68" s="511"/>
      <c r="M68" s="511"/>
      <c r="N68" s="511"/>
      <c r="O68" s="557"/>
      <c r="P68" s="532">
        <f t="shared" si="3"/>
        <v>0</v>
      </c>
      <c r="Q68" s="687"/>
      <c r="R68" s="183"/>
      <c r="T68" s="2440" t="s">
        <v>440</v>
      </c>
      <c r="U68" s="2441"/>
      <c r="V68" s="2441"/>
      <c r="W68" s="2441"/>
      <c r="X68" s="2442"/>
      <c r="AE68" s="552"/>
      <c r="AF68" s="472"/>
      <c r="AG68" s="472"/>
      <c r="AH68" s="460" t="s">
        <v>412</v>
      </c>
      <c r="AI68" s="430"/>
      <c r="AJ68" s="430"/>
      <c r="AK68" s="460"/>
      <c r="AL68" s="461"/>
      <c r="AM68" s="430"/>
      <c r="AN68" s="430"/>
      <c r="AO68" s="430"/>
      <c r="AP68" s="430"/>
      <c r="AQ68" s="430"/>
      <c r="AR68" s="430"/>
      <c r="AS68" s="430"/>
      <c r="AT68" s="430"/>
      <c r="AU68" s="430"/>
      <c r="AV68" s="430" t="s">
        <v>486</v>
      </c>
      <c r="AW68" s="430"/>
    </row>
    <row r="69" spans="1:51" ht="15.95" customHeight="1">
      <c r="A69" s="90"/>
      <c r="B69" s="518"/>
      <c r="C69" s="558" t="str">
        <f>R39</f>
        <v/>
      </c>
      <c r="D69" s="519"/>
      <c r="E69" s="519"/>
      <c r="F69" s="519"/>
      <c r="G69" s="519"/>
      <c r="H69" s="516">
        <f t="shared" si="2"/>
        <v>0</v>
      </c>
      <c r="I69" s="67"/>
      <c r="J69" s="511" t="str">
        <f>R56</f>
        <v/>
      </c>
      <c r="K69" s="511"/>
      <c r="L69" s="511"/>
      <c r="M69" s="511"/>
      <c r="N69" s="511"/>
      <c r="O69" s="557"/>
      <c r="P69" s="532">
        <f t="shared" si="3"/>
        <v>0</v>
      </c>
      <c r="Q69" s="688"/>
      <c r="R69" s="183"/>
      <c r="T69" s="1347"/>
      <c r="U69" s="1348"/>
      <c r="V69" s="1348"/>
      <c r="W69" s="1348"/>
      <c r="X69" s="1349"/>
      <c r="AE69" s="552"/>
      <c r="AF69" s="472"/>
      <c r="AG69" s="472"/>
      <c r="AH69" s="460"/>
      <c r="AI69" s="430"/>
      <c r="AJ69" s="430"/>
      <c r="AK69" s="460"/>
      <c r="AL69" s="461"/>
      <c r="AM69" s="430"/>
      <c r="AN69" s="430"/>
      <c r="AO69" s="430"/>
      <c r="AP69" s="430"/>
      <c r="AQ69" s="430"/>
      <c r="AR69" s="430"/>
      <c r="AS69" s="430"/>
      <c r="AT69" s="430"/>
      <c r="AU69" s="430"/>
      <c r="AV69" s="430" t="s">
        <v>806</v>
      </c>
      <c r="AW69" s="430"/>
    </row>
    <row r="70" spans="1:51" ht="15.95" customHeight="1" thickBot="1">
      <c r="A70" s="90"/>
      <c r="B70" s="518"/>
      <c r="C70" s="558" t="str">
        <f>R49</f>
        <v/>
      </c>
      <c r="D70" s="519"/>
      <c r="E70" s="519"/>
      <c r="F70" s="519"/>
      <c r="G70" s="519"/>
      <c r="H70" s="516">
        <f t="shared" si="2"/>
        <v>0</v>
      </c>
      <c r="I70" s="67"/>
      <c r="J70" s="511"/>
      <c r="K70" s="57"/>
      <c r="L70" s="57"/>
      <c r="M70" s="57"/>
      <c r="N70" s="57"/>
      <c r="O70" s="559"/>
      <c r="P70" s="532">
        <f t="shared" si="3"/>
        <v>0</v>
      </c>
      <c r="Q70" s="688"/>
      <c r="R70" s="183"/>
      <c r="T70" s="167"/>
      <c r="X70" s="166"/>
      <c r="AE70" s="552" t="s">
        <v>510</v>
      </c>
      <c r="AF70" s="472"/>
      <c r="AG70" s="472"/>
      <c r="AH70"/>
      <c r="AI70" s="430"/>
      <c r="AJ70" s="430"/>
      <c r="AK70" s="460"/>
      <c r="AL70" s="461"/>
      <c r="AM70" s="430"/>
      <c r="AN70" s="460"/>
      <c r="AO70" s="430"/>
      <c r="AP70" s="430"/>
      <c r="AQ70" s="430"/>
      <c r="AR70" s="461"/>
      <c r="AS70" s="430"/>
      <c r="AT70" s="430"/>
      <c r="AU70" s="430"/>
      <c r="AV70" s="430" t="s">
        <v>807</v>
      </c>
      <c r="AW70" s="430"/>
    </row>
    <row r="71" spans="1:51" ht="15.95" customHeight="1">
      <c r="A71" s="90"/>
      <c r="B71" s="518"/>
      <c r="C71" s="2433" t="str">
        <f>R29</f>
        <v/>
      </c>
      <c r="D71" s="2434"/>
      <c r="E71" s="2434"/>
      <c r="F71" s="2434"/>
      <c r="G71" s="2434"/>
      <c r="H71" s="516">
        <f t="shared" si="2"/>
        <v>0</v>
      </c>
      <c r="I71" s="67"/>
      <c r="J71" s="2434" t="str">
        <f>R61</f>
        <v/>
      </c>
      <c r="K71" s="2434"/>
      <c r="L71" s="2434"/>
      <c r="M71" s="2434"/>
      <c r="N71" s="2434"/>
      <c r="O71" s="2437"/>
      <c r="P71" s="532">
        <f>IF(J71&lt;&gt;"",1,0)</f>
        <v>0</v>
      </c>
      <c r="Q71" s="688"/>
      <c r="R71" s="183"/>
      <c r="T71" s="167"/>
      <c r="X71" s="166"/>
      <c r="AE71" s="552" t="s">
        <v>511</v>
      </c>
      <c r="AF71" s="472"/>
      <c r="AG71" s="472"/>
      <c r="AI71" s="430"/>
      <c r="AJ71" s="430"/>
      <c r="AK71" s="460"/>
      <c r="AL71" s="461"/>
      <c r="AM71" s="430"/>
      <c r="AN71" s="457" t="s">
        <v>399</v>
      </c>
      <c r="AO71" s="458"/>
      <c r="AP71" s="458"/>
      <c r="AQ71" s="458"/>
      <c r="AR71" s="459"/>
      <c r="AS71" s="430"/>
      <c r="AT71" s="430"/>
      <c r="AU71" s="430"/>
    </row>
    <row r="72" spans="1:51" ht="15.95" customHeight="1">
      <c r="A72" s="90"/>
      <c r="B72" s="518"/>
      <c r="C72" s="2433"/>
      <c r="D72" s="2434"/>
      <c r="E72" s="2434"/>
      <c r="F72" s="2434"/>
      <c r="G72" s="2434"/>
      <c r="H72" s="516"/>
      <c r="I72" s="67"/>
      <c r="J72" s="2434"/>
      <c r="K72" s="2434"/>
      <c r="L72" s="2434"/>
      <c r="M72" s="2434"/>
      <c r="N72" s="2434"/>
      <c r="O72" s="2437"/>
      <c r="P72" s="532"/>
      <c r="Q72" s="688"/>
      <c r="R72" s="183"/>
      <c r="T72" s="167"/>
      <c r="X72" s="166"/>
      <c r="AE72" s="1471" t="s">
        <v>867</v>
      </c>
      <c r="AF72" s="472"/>
      <c r="AG72" s="472"/>
      <c r="AH72" s="430" t="s">
        <v>1056</v>
      </c>
      <c r="AI72" s="430"/>
      <c r="AJ72" s="430"/>
      <c r="AK72" s="460"/>
      <c r="AL72" s="461"/>
      <c r="AM72" s="430"/>
      <c r="AN72" s="460" t="str">
        <f>AP72</f>
        <v>QuickBrace (FP)</v>
      </c>
      <c r="AO72" s="430"/>
      <c r="AP72" s="460" t="s">
        <v>1003</v>
      </c>
      <c r="AQ72" s="430">
        <f>IF(N53=AN72,1,2)</f>
        <v>1</v>
      </c>
      <c r="AR72" s="461" t="s">
        <v>381</v>
      </c>
      <c r="AS72" s="430"/>
      <c r="AT72" s="430"/>
      <c r="AU72" s="430"/>
      <c r="AV72" s="430" t="str">
        <f>IF($AX$5=1,AV$67,AV$69)</f>
        <v>Timber: 120 Bu's/m</v>
      </c>
      <c r="AW72" s="430"/>
      <c r="AX72" s="430">
        <f>IF(E39=AV72,1,2)</f>
        <v>1</v>
      </c>
      <c r="AY72" s="426">
        <f>IF(AQ6=1,IF(AQ9=1,2,1),1)</f>
        <v>1</v>
      </c>
    </row>
    <row r="73" spans="1:51" ht="15.95" customHeight="1" thickBot="1">
      <c r="A73" s="90"/>
      <c r="B73" s="518"/>
      <c r="C73" s="2433" t="str">
        <f>R14</f>
        <v/>
      </c>
      <c r="D73" s="2434"/>
      <c r="E73" s="2434"/>
      <c r="F73" s="2434"/>
      <c r="G73" s="2434"/>
      <c r="H73" s="516">
        <f>IF(C73&lt;&gt;"",1,0)</f>
        <v>0</v>
      </c>
      <c r="I73" s="67"/>
      <c r="J73" s="1342"/>
      <c r="K73" s="1342"/>
      <c r="L73" s="1342"/>
      <c r="M73" s="1342"/>
      <c r="N73" s="1342"/>
      <c r="O73" s="1343"/>
      <c r="P73" s="532"/>
      <c r="Q73" s="688"/>
      <c r="R73" s="183"/>
      <c r="T73" s="167"/>
      <c r="X73" s="166"/>
      <c r="AE73" s="1472"/>
      <c r="AK73" s="460"/>
      <c r="AL73" s="461"/>
      <c r="AM73" s="430"/>
      <c r="AN73" s="460" t="str">
        <f>AP73</f>
        <v>Other</v>
      </c>
      <c r="AO73" s="463"/>
      <c r="AP73" s="462" t="s">
        <v>928</v>
      </c>
      <c r="AQ73" s="463"/>
      <c r="AR73" s="464" t="s">
        <v>381</v>
      </c>
      <c r="AS73" s="430"/>
      <c r="AT73" s="430"/>
      <c r="AU73" s="430"/>
      <c r="AV73" s="430" t="str">
        <f>IF($AX$5=1,AV$68,AV$70)</f>
        <v>Slab: 150 Bu's/m</v>
      </c>
      <c r="AW73" s="430"/>
    </row>
    <row r="74" spans="1:51" ht="15.95" customHeight="1" thickBot="1">
      <c r="A74" s="90"/>
      <c r="B74" s="518"/>
      <c r="C74" s="2435"/>
      <c r="D74" s="2436"/>
      <c r="E74" s="2436"/>
      <c r="F74" s="2436"/>
      <c r="G74" s="2436"/>
      <c r="H74" s="560" t="s">
        <v>8</v>
      </c>
      <c r="I74" s="560"/>
      <c r="J74" s="1344"/>
      <c r="K74" s="1344"/>
      <c r="L74" s="1344"/>
      <c r="M74" s="1344"/>
      <c r="N74" s="1344"/>
      <c r="O74" s="1345"/>
      <c r="P74" s="532">
        <f>IF(J74&lt;&gt;"",1,0)</f>
        <v>0</v>
      </c>
      <c r="Q74" s="688"/>
      <c r="R74" s="183"/>
      <c r="T74" s="167"/>
      <c r="X74" s="166"/>
      <c r="AE74" s="1471" t="s">
        <v>868</v>
      </c>
      <c r="AF74" s="472"/>
      <c r="AG74" s="472"/>
      <c r="AH74" s="426" t="s">
        <v>67</v>
      </c>
      <c r="AI74" s="460">
        <f>E38/2</f>
        <v>19</v>
      </c>
      <c r="AJ74" s="430"/>
      <c r="AK74" s="460"/>
      <c r="AL74" s="461"/>
      <c r="AM74" s="430"/>
      <c r="AN74" s="460"/>
      <c r="AO74" s="430"/>
      <c r="AP74" s="460"/>
      <c r="AQ74" s="430"/>
      <c r="AR74" s="461"/>
      <c r="AS74" s="430"/>
      <c r="AT74" s="430"/>
      <c r="AU74" s="430"/>
      <c r="AV74" s="430"/>
      <c r="AW74" s="430"/>
    </row>
    <row r="75" spans="1:51" ht="15.95" customHeight="1" thickBot="1">
      <c r="A75" s="90"/>
      <c r="B75" s="533"/>
      <c r="C75" s="514"/>
      <c r="D75" s="514"/>
      <c r="E75" s="514"/>
      <c r="F75" s="514"/>
      <c r="G75" s="514"/>
      <c r="H75" s="513">
        <f>SUM(H65:H74)+P75</f>
        <v>0</v>
      </c>
      <c r="I75" s="513"/>
      <c r="J75" s="514"/>
      <c r="K75" s="514"/>
      <c r="L75" s="514"/>
      <c r="M75" s="514"/>
      <c r="N75" s="514"/>
      <c r="O75" s="514"/>
      <c r="P75" s="534">
        <f>SUM(P65:P74)</f>
        <v>0</v>
      </c>
      <c r="Q75" s="688"/>
      <c r="R75" s="183"/>
      <c r="T75" s="167"/>
      <c r="X75" s="166"/>
      <c r="AE75" s="1472"/>
      <c r="AF75" s="472"/>
      <c r="AG75" s="472"/>
      <c r="AH75" s="460" t="s">
        <v>14</v>
      </c>
      <c r="AI75" s="430">
        <f>IF(E48&lt;E38,0,(E48-E38)/2)</f>
        <v>41</v>
      </c>
      <c r="AJ75" s="430"/>
      <c r="AK75" s="460"/>
      <c r="AL75" s="461"/>
      <c r="AM75" s="430"/>
      <c r="AS75" s="430"/>
      <c r="AT75" s="430"/>
      <c r="AU75" s="430"/>
      <c r="AV75" s="430" t="str">
        <f>IF($AX$5=1,AV$67,AV$69)</f>
        <v>Timber: 120 Bu's/m</v>
      </c>
      <c r="AW75" s="430"/>
      <c r="AX75" s="430">
        <f>IF(E49=AV75,1,2)</f>
        <v>1</v>
      </c>
      <c r="AY75" s="426">
        <f>IF(AQ9=1,2,1)</f>
        <v>1</v>
      </c>
    </row>
    <row r="76" spans="1:51" ht="15.95" customHeight="1" thickBot="1">
      <c r="A76" s="90"/>
      <c r="B76" s="27"/>
      <c r="C76" s="64"/>
      <c r="D76" s="64"/>
      <c r="E76" s="64"/>
      <c r="F76" s="64"/>
      <c r="G76" s="506"/>
      <c r="H76" s="506"/>
      <c r="I76" s="73"/>
      <c r="J76" s="73"/>
      <c r="K76" s="73"/>
      <c r="L76" s="73"/>
      <c r="M76" s="73"/>
      <c r="N76" s="73"/>
      <c r="O76" s="73"/>
      <c r="P76" s="512"/>
      <c r="Q76" s="110"/>
      <c r="R76" s="183"/>
      <c r="T76" s="1350"/>
      <c r="U76" s="1351"/>
      <c r="V76" s="1351"/>
      <c r="W76" s="1351"/>
      <c r="X76" s="1352"/>
      <c r="AE76" s="505" t="s">
        <v>8</v>
      </c>
      <c r="AF76" s="472"/>
      <c r="AG76" s="472"/>
      <c r="AH76" s="460"/>
      <c r="AI76" s="430"/>
      <c r="AJ76" s="430"/>
      <c r="AK76" s="460"/>
      <c r="AL76" s="461"/>
      <c r="AM76" s="430"/>
      <c r="AS76" s="430"/>
      <c r="AT76" s="430"/>
      <c r="AU76" s="430"/>
      <c r="AV76" s="430" t="str">
        <f>IF($AX$5=1,AV$68,AV$70)</f>
        <v>Slab: 150 Bu's/m</v>
      </c>
      <c r="AW76" s="430"/>
    </row>
    <row r="77" spans="1:51" ht="15.95" customHeight="1" thickBot="1">
      <c r="A77" s="90"/>
      <c r="B77" s="535"/>
      <c r="C77" s="528" t="s">
        <v>897</v>
      </c>
      <c r="D77" s="515"/>
      <c r="E77" s="515"/>
      <c r="F77" s="515"/>
      <c r="G77" s="515"/>
      <c r="H77" s="515"/>
      <c r="I77" s="515"/>
      <c r="J77" s="536"/>
      <c r="K77" s="536"/>
      <c r="L77" s="536"/>
      <c r="M77" s="536"/>
      <c r="N77" s="536"/>
      <c r="O77" s="536"/>
      <c r="P77" s="537"/>
      <c r="Q77" s="110"/>
      <c r="R77" s="183"/>
      <c r="T77" s="1348"/>
      <c r="U77" s="1348"/>
      <c r="V77" s="1348"/>
      <c r="W77" s="1348"/>
      <c r="X77" s="1348"/>
      <c r="AE77" s="2431" t="s">
        <v>1035</v>
      </c>
      <c r="AF77" s="472"/>
      <c r="AG77" s="472"/>
      <c r="AH77" s="462"/>
      <c r="AI77" s="463"/>
      <c r="AJ77" s="463"/>
      <c r="AK77" s="462"/>
      <c r="AL77" s="464"/>
      <c r="AM77" s="430"/>
      <c r="AU77" s="430"/>
      <c r="AV77" s="430"/>
      <c r="AW77" s="430"/>
    </row>
    <row r="78" spans="1:51" ht="15.95" customHeight="1">
      <c r="A78" s="90"/>
      <c r="B78" s="75"/>
      <c r="C78" s="565" t="str">
        <f>R22</f>
        <v/>
      </c>
      <c r="D78" s="515"/>
      <c r="E78" s="515"/>
      <c r="F78" s="515"/>
      <c r="G78" s="515"/>
      <c r="H78" s="553">
        <f t="shared" ref="H78:H91" si="4">IF(C78&lt;&gt;"",1,0)</f>
        <v>0</v>
      </c>
      <c r="I78" s="515"/>
      <c r="J78" s="566" t="str">
        <f>R34</f>
        <v/>
      </c>
      <c r="K78" s="566"/>
      <c r="L78" s="566"/>
      <c r="M78" s="566"/>
      <c r="N78" s="566"/>
      <c r="O78" s="567"/>
      <c r="P78" s="538">
        <f>IF(J78&lt;&gt;"",1,0)</f>
        <v>0</v>
      </c>
      <c r="Q78" s="110"/>
      <c r="R78" s="183"/>
      <c r="AE78" s="2431"/>
      <c r="AF78" s="472"/>
      <c r="AG78" s="472"/>
      <c r="AH78" s="430"/>
      <c r="AI78" s="430"/>
      <c r="AJ78" s="430"/>
      <c r="AK78" s="430"/>
      <c r="AL78" s="430"/>
      <c r="AM78" s="430"/>
      <c r="AU78" s="430"/>
      <c r="AV78" s="430" t="s">
        <v>1059</v>
      </c>
      <c r="AW78" s="430" t="s">
        <v>381</v>
      </c>
      <c r="AX78" s="430">
        <f>IF(E59=AV78,1,IF(E59=AV79,2,IF(E59=AV80,3,4)))</f>
        <v>1</v>
      </c>
      <c r="AY78" s="426">
        <v>1</v>
      </c>
    </row>
    <row r="79" spans="1:51" ht="15.95" customHeight="1">
      <c r="A79" s="90"/>
      <c r="B79" s="94"/>
      <c r="C79" s="568" t="str">
        <f>R43</f>
        <v/>
      </c>
      <c r="D79" s="520"/>
      <c r="E79" s="520"/>
      <c r="F79" s="520"/>
      <c r="G79" s="520"/>
      <c r="H79" s="516">
        <f t="shared" si="4"/>
        <v>0</v>
      </c>
      <c r="I79" s="520"/>
      <c r="J79" s="520" t="str">
        <f>R25</f>
        <v/>
      </c>
      <c r="K79" s="520"/>
      <c r="L79" s="520"/>
      <c r="M79" s="520"/>
      <c r="N79" s="520"/>
      <c r="O79" s="569"/>
      <c r="P79" s="538">
        <f>IF(J79&lt;&gt;"",1,0)</f>
        <v>0</v>
      </c>
      <c r="Q79" s="110"/>
      <c r="R79" s="183"/>
      <c r="AF79" s="472"/>
      <c r="AG79" s="472"/>
      <c r="AH79" s="430"/>
      <c r="AI79" s="430"/>
      <c r="AJ79" s="430"/>
      <c r="AK79" s="430"/>
      <c r="AL79" s="430"/>
      <c r="AM79" s="430"/>
      <c r="AU79" s="430"/>
      <c r="AV79" s="430" t="s">
        <v>599</v>
      </c>
      <c r="AW79" s="430" t="s">
        <v>381</v>
      </c>
    </row>
    <row r="80" spans="1:51" ht="15.95" customHeight="1">
      <c r="A80" s="90"/>
      <c r="B80" s="94"/>
      <c r="C80" s="570" t="str">
        <f>R44</f>
        <v/>
      </c>
      <c r="D80" s="521"/>
      <c r="E80" s="521"/>
      <c r="F80" s="521"/>
      <c r="G80" s="521"/>
      <c r="H80" s="516">
        <f t="shared" si="4"/>
        <v>0</v>
      </c>
      <c r="I80" s="520"/>
      <c r="J80" s="2443" t="str">
        <f>R19</f>
        <v/>
      </c>
      <c r="K80" s="2443"/>
      <c r="L80" s="2443"/>
      <c r="M80" s="2443"/>
      <c r="N80" s="2443"/>
      <c r="O80" s="2444"/>
      <c r="P80" s="538">
        <f>IF(J80&lt;&gt;"",1,0)</f>
        <v>0</v>
      </c>
      <c r="Q80" s="110"/>
      <c r="R80" s="183"/>
      <c r="AE80" s="2431" t="s">
        <v>1036</v>
      </c>
      <c r="AF80" s="472"/>
      <c r="AG80" s="472"/>
      <c r="AH80" s="430"/>
      <c r="AI80" s="430"/>
      <c r="AJ80" s="430"/>
      <c r="AK80" s="430"/>
      <c r="AL80" s="430"/>
      <c r="AM80" s="430"/>
      <c r="AU80" s="430"/>
      <c r="AV80" s="430" t="s">
        <v>1055</v>
      </c>
      <c r="AW80" s="430" t="str">
        <f>AW79</f>
        <v>Slab</v>
      </c>
    </row>
    <row r="81" spans="1:49" ht="15.95" customHeight="1">
      <c r="A81" s="90"/>
      <c r="B81" s="94"/>
      <c r="C81" s="570" t="str">
        <f>R47</f>
        <v/>
      </c>
      <c r="D81" s="521"/>
      <c r="E81" s="521"/>
      <c r="F81" s="521"/>
      <c r="G81" s="521"/>
      <c r="H81" s="516">
        <f t="shared" si="4"/>
        <v>0</v>
      </c>
      <c r="I81" s="520"/>
      <c r="J81" s="2443"/>
      <c r="K81" s="2443"/>
      <c r="L81" s="2443"/>
      <c r="M81" s="2443"/>
      <c r="N81" s="2443"/>
      <c r="O81" s="2444"/>
      <c r="P81" s="538"/>
      <c r="Q81" s="110"/>
      <c r="R81" s="183"/>
      <c r="AE81" s="2431"/>
      <c r="AF81" s="472"/>
      <c r="AG81" s="472"/>
      <c r="AH81" s="430"/>
      <c r="AI81" s="430"/>
      <c r="AJ81" s="430"/>
      <c r="AK81" s="430"/>
      <c r="AL81" s="430"/>
      <c r="AM81" s="430"/>
    </row>
    <row r="82" spans="1:49" ht="15.95" customHeight="1">
      <c r="A82" s="90"/>
      <c r="B82" s="75"/>
      <c r="C82" s="568" t="str">
        <f>R38</f>
        <v/>
      </c>
      <c r="D82" s="520"/>
      <c r="E82" s="520"/>
      <c r="F82" s="520"/>
      <c r="G82" s="520"/>
      <c r="H82" s="516">
        <f t="shared" si="4"/>
        <v>0</v>
      </c>
      <c r="I82" s="522"/>
      <c r="J82" s="521" t="str">
        <f>R31</f>
        <v xml:space="preserve"> </v>
      </c>
      <c r="K82" s="521"/>
      <c r="L82" s="521"/>
      <c r="M82" s="521"/>
      <c r="N82" s="521"/>
      <c r="O82" s="571"/>
      <c r="P82" s="538">
        <f t="shared" ref="P82:P91" si="5">IF(J82&lt;&gt;"",1,0)</f>
        <v>1</v>
      </c>
      <c r="Q82" s="110"/>
      <c r="R82" s="183"/>
      <c r="AF82" s="472"/>
      <c r="AG82" s="472"/>
      <c r="AH82" s="430"/>
      <c r="AI82" s="430"/>
      <c r="AJ82" s="430"/>
      <c r="AK82" s="430"/>
      <c r="AL82" s="430"/>
      <c r="AM82" s="430"/>
      <c r="AS82" s="430"/>
      <c r="AT82" s="430"/>
      <c r="AU82" s="430"/>
      <c r="AV82" s="430"/>
      <c r="AW82" s="430"/>
    </row>
    <row r="83" spans="1:49" ht="15.95" customHeight="1">
      <c r="A83" s="90"/>
      <c r="B83" s="75"/>
      <c r="C83" s="568" t="str">
        <f>R41</f>
        <v/>
      </c>
      <c r="D83" s="520"/>
      <c r="E83" s="520"/>
      <c r="F83" s="520"/>
      <c r="G83" s="520"/>
      <c r="H83" s="516">
        <f t="shared" si="4"/>
        <v>0</v>
      </c>
      <c r="I83" s="522"/>
      <c r="J83" s="520" t="str">
        <f>R35</f>
        <v/>
      </c>
      <c r="K83" s="520"/>
      <c r="L83" s="520"/>
      <c r="M83" s="520"/>
      <c r="N83" s="520"/>
      <c r="O83" s="571"/>
      <c r="P83" s="538">
        <f t="shared" si="5"/>
        <v>0</v>
      </c>
      <c r="Q83" s="110"/>
      <c r="R83" s="183"/>
      <c r="AF83" s="472"/>
      <c r="AG83" s="472"/>
      <c r="AH83" s="430"/>
      <c r="AI83" s="430"/>
      <c r="AJ83" s="430"/>
      <c r="AK83" s="430"/>
      <c r="AL83" s="430"/>
      <c r="AM83" s="430"/>
      <c r="AN83" s="430"/>
      <c r="AO83" s="430"/>
      <c r="AP83" s="430"/>
      <c r="AQ83" s="430"/>
      <c r="AR83" s="430"/>
      <c r="AS83" s="430"/>
      <c r="AT83" s="430"/>
      <c r="AU83" s="430"/>
      <c r="AV83" s="430"/>
      <c r="AW83" s="430"/>
    </row>
    <row r="84" spans="1:49" ht="15.95" customHeight="1" thickBot="1">
      <c r="A84" s="90"/>
      <c r="B84" s="94"/>
      <c r="C84" s="572" t="str">
        <f>R51</f>
        <v/>
      </c>
      <c r="D84" s="523"/>
      <c r="E84" s="523"/>
      <c r="F84" s="523"/>
      <c r="G84" s="523"/>
      <c r="H84" s="516">
        <f t="shared" si="4"/>
        <v>0</v>
      </c>
      <c r="I84" s="520"/>
      <c r="J84" s="520" t="str">
        <f>R24</f>
        <v/>
      </c>
      <c r="K84" s="522"/>
      <c r="L84" s="522"/>
      <c r="M84" s="522"/>
      <c r="N84" s="522"/>
      <c r="O84" s="571"/>
      <c r="P84" s="538">
        <f t="shared" si="5"/>
        <v>0</v>
      </c>
      <c r="Q84" s="110"/>
      <c r="R84" s="184"/>
      <c r="AF84" s="472"/>
      <c r="AG84" s="472"/>
      <c r="AH84" s="430"/>
      <c r="AI84" s="430"/>
      <c r="AJ84" s="430"/>
      <c r="AK84" s="430"/>
      <c r="AL84" s="430"/>
      <c r="AM84" s="430"/>
      <c r="AN84" s="430"/>
      <c r="AO84" s="430"/>
      <c r="AP84" s="430"/>
      <c r="AQ84" s="430"/>
      <c r="AR84" s="430"/>
      <c r="AS84" s="430"/>
      <c r="AT84" s="430"/>
      <c r="AU84" s="430"/>
      <c r="AV84" s="430"/>
      <c r="AW84" s="430"/>
    </row>
    <row r="85" spans="1:49" ht="15.95" customHeight="1">
      <c r="A85" s="90"/>
      <c r="B85" s="94"/>
      <c r="C85" s="572" t="str">
        <f>R52</f>
        <v/>
      </c>
      <c r="D85" s="523"/>
      <c r="E85" s="523"/>
      <c r="F85" s="523"/>
      <c r="G85" s="523"/>
      <c r="H85" s="516">
        <f t="shared" si="4"/>
        <v>0</v>
      </c>
      <c r="I85" s="520"/>
      <c r="J85" s="524" t="str">
        <f>R33</f>
        <v/>
      </c>
      <c r="K85" s="522"/>
      <c r="L85" s="522"/>
      <c r="M85" s="522"/>
      <c r="N85" s="522"/>
      <c r="O85" s="571"/>
      <c r="P85" s="538">
        <f t="shared" si="5"/>
        <v>0</v>
      </c>
      <c r="Q85" s="90"/>
      <c r="R85" s="90"/>
      <c r="AF85" s="472"/>
      <c r="AG85" s="472"/>
      <c r="AH85" s="430"/>
      <c r="AI85" s="430"/>
      <c r="AJ85" s="430"/>
      <c r="AK85" s="430"/>
      <c r="AL85" s="430"/>
      <c r="AM85" s="430"/>
      <c r="AN85" s="430"/>
      <c r="AO85" s="430"/>
      <c r="AP85" s="430"/>
      <c r="AQ85" s="430"/>
      <c r="AR85" s="430"/>
      <c r="AS85" s="430"/>
      <c r="AT85" s="430"/>
      <c r="AU85" s="430"/>
      <c r="AV85" s="430"/>
      <c r="AW85" s="430"/>
    </row>
    <row r="86" spans="1:49" ht="15.95" customHeight="1">
      <c r="A86" s="90"/>
      <c r="B86" s="94"/>
      <c r="C86" s="572" t="str">
        <f>R53</f>
        <v/>
      </c>
      <c r="D86" s="523"/>
      <c r="E86" s="523"/>
      <c r="F86" s="523"/>
      <c r="G86" s="523"/>
      <c r="H86" s="516">
        <f t="shared" si="4"/>
        <v>0</v>
      </c>
      <c r="I86" s="520"/>
      <c r="J86" s="520" t="str">
        <f>R16</f>
        <v/>
      </c>
      <c r="K86" s="522"/>
      <c r="L86" s="522"/>
      <c r="M86" s="522"/>
      <c r="N86" s="522"/>
      <c r="O86" s="571"/>
      <c r="P86" s="538">
        <f t="shared" si="5"/>
        <v>0</v>
      </c>
      <c r="Q86" s="90"/>
      <c r="R86" s="90"/>
    </row>
    <row r="87" spans="1:49" ht="15.95" customHeight="1">
      <c r="A87" s="90"/>
      <c r="B87" s="94"/>
      <c r="C87" s="570" t="str">
        <f>R54</f>
        <v/>
      </c>
      <c r="D87" s="521"/>
      <c r="E87" s="521"/>
      <c r="F87" s="521"/>
      <c r="G87" s="521"/>
      <c r="H87" s="516">
        <f t="shared" si="4"/>
        <v>0</v>
      </c>
      <c r="I87" s="520"/>
      <c r="J87" s="520" t="str">
        <f>R23</f>
        <v/>
      </c>
      <c r="K87" s="522"/>
      <c r="L87" s="522"/>
      <c r="M87" s="522"/>
      <c r="N87" s="522"/>
      <c r="O87" s="571"/>
      <c r="P87" s="538">
        <f t="shared" si="5"/>
        <v>0</v>
      </c>
      <c r="Q87" s="90"/>
      <c r="R87" s="90"/>
    </row>
    <row r="88" spans="1:49" ht="15.95" customHeight="1">
      <c r="A88" s="90"/>
      <c r="B88" s="94"/>
      <c r="C88" s="572" t="str">
        <f>R57</f>
        <v/>
      </c>
      <c r="D88" s="520"/>
      <c r="E88" s="520"/>
      <c r="F88" s="520"/>
      <c r="G88" s="520"/>
      <c r="H88" s="516">
        <f t="shared" si="4"/>
        <v>0</v>
      </c>
      <c r="I88" s="520"/>
      <c r="J88" s="523" t="str">
        <f>R37</f>
        <v/>
      </c>
      <c r="K88" s="522"/>
      <c r="L88" s="522"/>
      <c r="M88" s="522"/>
      <c r="N88" s="522"/>
      <c r="O88" s="571"/>
      <c r="P88" s="538">
        <f t="shared" si="5"/>
        <v>0</v>
      </c>
      <c r="Q88" s="90"/>
      <c r="R88" s="90"/>
    </row>
    <row r="89" spans="1:49" ht="15.95" customHeight="1">
      <c r="A89" s="90"/>
      <c r="B89" s="94"/>
      <c r="C89" s="2438" t="str">
        <f>R58</f>
        <v/>
      </c>
      <c r="D89" s="2439"/>
      <c r="E89" s="2439"/>
      <c r="F89" s="2439"/>
      <c r="G89" s="2439"/>
      <c r="H89" s="516">
        <f t="shared" si="4"/>
        <v>0</v>
      </c>
      <c r="I89" s="520"/>
      <c r="J89" s="523" t="str">
        <f>R48</f>
        <v/>
      </c>
      <c r="K89" s="523"/>
      <c r="L89" s="523"/>
      <c r="M89" s="523"/>
      <c r="N89" s="523"/>
      <c r="O89" s="573"/>
      <c r="P89" s="538">
        <f t="shared" si="5"/>
        <v>0</v>
      </c>
      <c r="Q89" s="90"/>
      <c r="R89" s="90"/>
    </row>
    <row r="90" spans="1:49" ht="15.95" customHeight="1">
      <c r="A90" s="90"/>
      <c r="B90" s="94"/>
      <c r="C90" s="2438"/>
      <c r="D90" s="2439"/>
      <c r="E90" s="2439"/>
      <c r="F90" s="2439"/>
      <c r="G90" s="2439"/>
      <c r="H90" s="516">
        <f t="shared" si="4"/>
        <v>0</v>
      </c>
      <c r="I90" s="520"/>
      <c r="J90" s="523" t="str">
        <f>R40</f>
        <v/>
      </c>
      <c r="K90" s="523"/>
      <c r="L90" s="523"/>
      <c r="M90" s="523"/>
      <c r="N90" s="523"/>
      <c r="O90" s="573"/>
      <c r="P90" s="538">
        <f t="shared" si="5"/>
        <v>0</v>
      </c>
      <c r="Q90" s="90"/>
      <c r="R90" s="90"/>
      <c r="AF90" s="472"/>
      <c r="AG90" s="472"/>
      <c r="AH90" s="430"/>
      <c r="AI90" s="430"/>
      <c r="AJ90" s="430"/>
      <c r="AK90" s="430"/>
      <c r="AL90" s="430"/>
      <c r="AM90" s="430"/>
      <c r="AN90" s="430"/>
      <c r="AO90" s="430"/>
      <c r="AP90" s="430"/>
      <c r="AQ90" s="430"/>
      <c r="AR90" s="430"/>
      <c r="AS90" s="430"/>
      <c r="AT90" s="430"/>
      <c r="AU90" s="430"/>
      <c r="AV90" s="430"/>
      <c r="AW90" s="430"/>
    </row>
    <row r="91" spans="1:49" ht="15.95" customHeight="1" thickBot="1">
      <c r="A91" s="90"/>
      <c r="B91" s="94"/>
      <c r="C91" s="574" t="str">
        <f>R18</f>
        <v/>
      </c>
      <c r="D91" s="525"/>
      <c r="E91" s="525"/>
      <c r="F91" s="525"/>
      <c r="G91" s="525"/>
      <c r="H91" s="517">
        <f t="shared" si="4"/>
        <v>0</v>
      </c>
      <c r="I91" s="526"/>
      <c r="J91" s="525" t="str">
        <f>R50</f>
        <v/>
      </c>
      <c r="K91" s="527"/>
      <c r="L91" s="527"/>
      <c r="M91" s="527"/>
      <c r="N91" s="527"/>
      <c r="O91" s="575"/>
      <c r="P91" s="538">
        <f t="shared" si="5"/>
        <v>0</v>
      </c>
      <c r="Q91" s="90"/>
      <c r="R91" s="90"/>
      <c r="AF91" s="472"/>
      <c r="AG91" s="472"/>
      <c r="AH91" s="430"/>
      <c r="AI91" s="430"/>
      <c r="AJ91" s="430"/>
      <c r="AK91" s="430"/>
      <c r="AL91" s="430"/>
      <c r="AM91" s="430"/>
      <c r="AN91" s="430"/>
      <c r="AO91" s="430"/>
      <c r="AP91" s="430"/>
      <c r="AQ91" s="430"/>
      <c r="AR91" s="430"/>
      <c r="AS91" s="430"/>
      <c r="AT91" s="430"/>
      <c r="AU91" s="430"/>
      <c r="AV91" s="430"/>
      <c r="AW91" s="430"/>
    </row>
    <row r="92" spans="1:49" ht="15.95" customHeight="1" thickBot="1">
      <c r="A92" s="90"/>
      <c r="B92" s="101"/>
      <c r="C92" s="65"/>
      <c r="D92" s="65"/>
      <c r="E92" s="65"/>
      <c r="F92" s="65"/>
      <c r="G92" s="561"/>
      <c r="H92" s="562"/>
      <c r="I92" s="563"/>
      <c r="J92" s="561"/>
      <c r="K92" s="561"/>
      <c r="L92" s="561"/>
      <c r="M92" s="561"/>
      <c r="N92" s="561"/>
      <c r="O92" s="561"/>
      <c r="P92" s="564"/>
      <c r="Q92" s="90"/>
      <c r="R92" s="90"/>
      <c r="AF92" s="472"/>
      <c r="AG92" s="472"/>
      <c r="AH92" s="430"/>
      <c r="AI92" s="430"/>
      <c r="AJ92" s="430"/>
      <c r="AK92" s="430"/>
      <c r="AL92" s="430"/>
      <c r="AM92" s="430"/>
      <c r="AN92" s="430"/>
      <c r="AO92" s="430"/>
      <c r="AP92" s="430"/>
      <c r="AQ92" s="430"/>
      <c r="AR92" s="430"/>
      <c r="AS92" s="430"/>
      <c r="AT92" s="430"/>
      <c r="AU92" s="430"/>
      <c r="AV92" s="430"/>
      <c r="AW92" s="430"/>
    </row>
    <row r="93" spans="1:49" ht="15.95" customHeight="1">
      <c r="A93" s="90"/>
      <c r="B93" s="1035"/>
      <c r="C93" s="1035"/>
      <c r="D93" s="1035"/>
      <c r="E93" s="1035"/>
      <c r="F93" s="1035"/>
      <c r="G93" s="1035"/>
      <c r="H93" s="1257">
        <f>SUM(H78:H91)+P93</f>
        <v>1</v>
      </c>
      <c r="I93" s="1035"/>
      <c r="J93" s="1035"/>
      <c r="K93" s="1035"/>
      <c r="L93" s="1035"/>
      <c r="M93" s="1035"/>
      <c r="N93" s="1035"/>
      <c r="O93" s="1035"/>
      <c r="P93" s="1035">
        <f>SUM(P78:P91)</f>
        <v>1</v>
      </c>
      <c r="Q93" s="90"/>
      <c r="R93" s="90"/>
      <c r="AF93" s="472"/>
      <c r="AG93" s="472"/>
      <c r="AH93" s="430"/>
      <c r="AI93" s="430"/>
      <c r="AJ93" s="430"/>
      <c r="AK93" s="430"/>
      <c r="AL93" s="430"/>
      <c r="AM93" s="430"/>
      <c r="AN93" s="430"/>
      <c r="AO93" s="430"/>
      <c r="AP93" s="430"/>
      <c r="AQ93" s="430"/>
      <c r="AR93" s="430"/>
      <c r="AS93" s="430"/>
      <c r="AT93" s="430"/>
      <c r="AU93" s="430"/>
      <c r="AV93" s="430"/>
      <c r="AW93" s="430"/>
    </row>
    <row r="94" spans="1:49">
      <c r="A94" s="90"/>
      <c r="B94" s="1035"/>
      <c r="C94" s="1035"/>
      <c r="D94" s="1035"/>
      <c r="E94" s="1035"/>
      <c r="F94" s="1035"/>
      <c r="G94" s="1035"/>
      <c r="H94" s="1257">
        <f>H93+H75</f>
        <v>1</v>
      </c>
      <c r="I94" s="1035"/>
      <c r="J94" s="1035"/>
      <c r="K94" s="1035"/>
      <c r="L94" s="1035"/>
      <c r="M94" s="1035"/>
      <c r="N94" s="1035"/>
      <c r="O94" s="1035"/>
      <c r="P94" s="1035"/>
      <c r="Q94" s="90"/>
      <c r="R94" s="90"/>
      <c r="AF94" s="472"/>
      <c r="AG94" s="472"/>
      <c r="AH94" s="430"/>
      <c r="AI94" s="430"/>
      <c r="AJ94" s="430"/>
      <c r="AK94" s="430"/>
      <c r="AL94" s="430"/>
      <c r="AM94" s="430"/>
      <c r="AN94" s="430"/>
      <c r="AO94" s="430"/>
      <c r="AP94" s="430"/>
      <c r="AQ94" s="430"/>
      <c r="AR94" s="430"/>
      <c r="AS94" s="430"/>
      <c r="AT94" s="430"/>
      <c r="AU94" s="430"/>
      <c r="AV94" s="430"/>
      <c r="AW94" s="430"/>
    </row>
    <row r="95" spans="1:49">
      <c r="A95" s="90"/>
      <c r="B95" s="90"/>
      <c r="C95" s="90"/>
      <c r="D95" s="90"/>
      <c r="E95" s="90"/>
      <c r="F95" s="90"/>
      <c r="G95" s="90"/>
      <c r="H95" s="90"/>
      <c r="I95" s="90"/>
      <c r="J95" s="90"/>
      <c r="K95" s="90"/>
      <c r="L95" s="90"/>
      <c r="M95" s="90"/>
      <c r="N95" s="90"/>
      <c r="O95" s="90"/>
      <c r="P95" s="90"/>
      <c r="Q95" s="90"/>
      <c r="R95" s="90"/>
      <c r="AF95" s="472"/>
      <c r="AG95" s="472"/>
      <c r="AH95" s="430"/>
      <c r="AI95" s="430"/>
      <c r="AJ95" s="430"/>
      <c r="AK95" s="430"/>
      <c r="AL95" s="430"/>
      <c r="AM95" s="430"/>
      <c r="AN95" s="430"/>
      <c r="AO95" s="430"/>
      <c r="AP95" s="430"/>
      <c r="AQ95" s="430"/>
      <c r="AR95" s="430"/>
      <c r="AS95" s="430"/>
      <c r="AT95" s="430"/>
      <c r="AU95" s="430"/>
      <c r="AV95" s="430"/>
      <c r="AW95" s="430"/>
    </row>
    <row r="96" spans="1:49">
      <c r="A96" s="90"/>
      <c r="B96" s="90"/>
      <c r="C96" s="90"/>
      <c r="D96" s="90"/>
      <c r="E96" s="90"/>
      <c r="F96" s="90"/>
      <c r="G96" s="90"/>
      <c r="H96" s="90"/>
      <c r="I96" s="90"/>
      <c r="J96" s="90"/>
      <c r="K96" s="90"/>
      <c r="L96" s="90"/>
      <c r="M96" s="90"/>
      <c r="N96" s="90"/>
      <c r="O96" s="90"/>
      <c r="P96" s="90"/>
      <c r="Q96" s="90"/>
      <c r="R96" s="90"/>
      <c r="AF96" s="472"/>
      <c r="AG96" s="472"/>
      <c r="AH96" s="430"/>
      <c r="AI96" s="430"/>
      <c r="AJ96" s="430"/>
      <c r="AK96" s="430"/>
      <c r="AL96" s="430"/>
      <c r="AM96" s="430"/>
      <c r="AN96" s="430"/>
      <c r="AO96" s="430"/>
      <c r="AP96" s="430"/>
      <c r="AQ96" s="430"/>
      <c r="AR96" s="430"/>
      <c r="AS96" s="430"/>
      <c r="AT96" s="430"/>
      <c r="AU96" s="430"/>
      <c r="AV96" s="430"/>
      <c r="AW96" s="430"/>
    </row>
    <row r="97" spans="1:49">
      <c r="A97" s="90"/>
      <c r="B97" s="90"/>
      <c r="C97" s="90"/>
      <c r="D97" s="90"/>
      <c r="E97" s="90"/>
      <c r="F97" s="90"/>
      <c r="G97" s="90"/>
      <c r="H97" s="90"/>
      <c r="I97" s="90"/>
      <c r="J97" s="90"/>
      <c r="K97" s="90"/>
      <c r="L97" s="90"/>
      <c r="M97" s="90"/>
      <c r="N97" s="90"/>
      <c r="O97" s="90"/>
      <c r="P97" s="90"/>
      <c r="Q97" s="90"/>
      <c r="R97" s="90"/>
      <c r="AF97" s="472"/>
      <c r="AG97" s="472"/>
      <c r="AH97" s="430"/>
      <c r="AI97" s="430"/>
      <c r="AJ97" s="430"/>
      <c r="AK97" s="430"/>
      <c r="AL97" s="430"/>
      <c r="AM97" s="430"/>
      <c r="AN97" s="430"/>
      <c r="AO97" s="430"/>
      <c r="AP97" s="430"/>
      <c r="AQ97" s="430"/>
      <c r="AR97" s="430"/>
      <c r="AS97" s="430"/>
      <c r="AT97" s="430"/>
      <c r="AU97" s="430"/>
      <c r="AV97" s="430"/>
      <c r="AW97" s="430"/>
    </row>
    <row r="98" spans="1:49">
      <c r="A98" s="90"/>
      <c r="B98" s="90"/>
      <c r="C98" s="90"/>
      <c r="D98" s="90"/>
      <c r="E98" s="90"/>
      <c r="F98" s="90"/>
      <c r="G98" s="90"/>
      <c r="H98" s="90"/>
      <c r="I98" s="90"/>
      <c r="J98" s="90"/>
      <c r="K98" s="90"/>
      <c r="L98" s="90"/>
      <c r="M98" s="90"/>
      <c r="N98" s="90"/>
      <c r="O98" s="90"/>
      <c r="P98" s="90"/>
      <c r="Q98" s="90"/>
      <c r="R98" s="90"/>
      <c r="AF98" s="472"/>
      <c r="AG98" s="472"/>
      <c r="AH98" s="430"/>
      <c r="AI98" s="430"/>
      <c r="AJ98" s="430"/>
      <c r="AK98" s="430"/>
      <c r="AL98" s="430"/>
      <c r="AM98" s="430"/>
      <c r="AN98" s="430"/>
      <c r="AO98" s="430"/>
      <c r="AP98" s="430"/>
      <c r="AQ98" s="430"/>
      <c r="AR98" s="430"/>
      <c r="AS98" s="430"/>
      <c r="AT98" s="430"/>
      <c r="AU98" s="430"/>
      <c r="AV98" s="430"/>
      <c r="AW98" s="430"/>
    </row>
    <row r="99" spans="1:49">
      <c r="A99" s="90"/>
      <c r="B99" s="90"/>
      <c r="C99" s="90"/>
      <c r="D99" s="90"/>
      <c r="E99" s="90"/>
      <c r="F99" s="90"/>
      <c r="G99" s="90"/>
      <c r="H99" s="90"/>
      <c r="I99" s="90"/>
      <c r="J99" s="90"/>
      <c r="K99" s="90"/>
      <c r="L99" s="90"/>
      <c r="M99" s="90"/>
      <c r="N99" s="90"/>
      <c r="O99" s="90"/>
      <c r="P99" s="90"/>
      <c r="Q99" s="90"/>
      <c r="R99" s="90"/>
      <c r="AF99" s="472"/>
      <c r="AG99" s="472"/>
      <c r="AH99" s="430"/>
      <c r="AI99" s="430"/>
      <c r="AJ99" s="430"/>
      <c r="AK99" s="430"/>
      <c r="AL99" s="430"/>
      <c r="AM99" s="430"/>
      <c r="AN99" s="430"/>
      <c r="AO99" s="430"/>
      <c r="AP99" s="430"/>
      <c r="AQ99" s="430"/>
      <c r="AR99" s="430"/>
      <c r="AS99" s="430"/>
      <c r="AT99" s="430"/>
      <c r="AU99" s="430"/>
      <c r="AV99" s="430"/>
      <c r="AW99" s="430"/>
    </row>
    <row r="100" spans="1:49">
      <c r="A100" s="90"/>
      <c r="B100" s="90"/>
      <c r="C100" s="90"/>
      <c r="D100" s="90"/>
      <c r="E100" s="90"/>
      <c r="F100" s="90"/>
      <c r="G100" s="90"/>
      <c r="H100" s="90"/>
      <c r="I100" s="90"/>
      <c r="J100" s="90"/>
      <c r="K100" s="90"/>
      <c r="L100" s="90"/>
      <c r="M100" s="90"/>
      <c r="N100" s="90"/>
      <c r="O100" s="90"/>
      <c r="P100" s="90"/>
      <c r="Q100" s="90"/>
      <c r="R100" s="90"/>
      <c r="AF100" s="472"/>
      <c r="AG100" s="472"/>
      <c r="AH100" s="430"/>
      <c r="AI100" s="430"/>
      <c r="AJ100" s="430"/>
      <c r="AK100" s="430"/>
      <c r="AL100" s="430"/>
      <c r="AM100" s="430"/>
      <c r="AN100" s="430"/>
      <c r="AO100" s="430"/>
      <c r="AP100" s="430"/>
      <c r="AQ100" s="430"/>
      <c r="AR100" s="430"/>
      <c r="AS100" s="430"/>
      <c r="AT100" s="430"/>
      <c r="AU100" s="430"/>
      <c r="AV100" s="430"/>
      <c r="AW100" s="430"/>
    </row>
    <row r="101" spans="1:49">
      <c r="A101" s="90"/>
      <c r="B101" s="90"/>
      <c r="C101" s="90"/>
      <c r="D101" s="90"/>
      <c r="E101" s="90"/>
      <c r="F101" s="90"/>
      <c r="G101" s="90"/>
      <c r="H101" s="90"/>
      <c r="I101" s="90"/>
      <c r="J101" s="90"/>
      <c r="K101" s="90"/>
      <c r="L101" s="90"/>
      <c r="M101" s="90"/>
      <c r="N101" s="90"/>
      <c r="O101" s="90"/>
      <c r="P101" s="90"/>
      <c r="Q101" s="90"/>
      <c r="R101" s="90"/>
      <c r="AF101" s="472"/>
      <c r="AG101" s="472"/>
      <c r="AH101" s="430"/>
      <c r="AI101" s="430"/>
      <c r="AJ101" s="430"/>
      <c r="AK101" s="430"/>
      <c r="AL101" s="430"/>
      <c r="AM101" s="430"/>
      <c r="AN101" s="430"/>
      <c r="AO101" s="430"/>
      <c r="AP101" s="430"/>
      <c r="AQ101" s="430"/>
      <c r="AR101" s="430"/>
      <c r="AS101" s="430"/>
      <c r="AT101" s="430"/>
      <c r="AU101" s="430"/>
      <c r="AV101" s="430"/>
      <c r="AW101" s="430"/>
    </row>
    <row r="102" spans="1:49">
      <c r="A102" s="90"/>
      <c r="B102" s="90"/>
      <c r="C102" s="90"/>
      <c r="D102" s="90"/>
      <c r="E102" s="90"/>
      <c r="F102" s="90"/>
      <c r="G102" s="90"/>
      <c r="H102" s="90"/>
      <c r="I102" s="90"/>
      <c r="J102" s="90"/>
      <c r="K102" s="90"/>
      <c r="L102" s="90"/>
      <c r="M102" s="90"/>
      <c r="N102" s="90"/>
      <c r="O102" s="90"/>
      <c r="P102" s="90"/>
      <c r="Q102" s="90"/>
      <c r="R102" s="90"/>
      <c r="AF102" s="472"/>
      <c r="AG102" s="472"/>
      <c r="AH102" s="430"/>
      <c r="AI102" s="430"/>
      <c r="AJ102" s="430"/>
      <c r="AK102" s="430"/>
      <c r="AL102" s="430"/>
      <c r="AM102" s="430"/>
      <c r="AN102" s="430"/>
      <c r="AO102" s="430"/>
      <c r="AP102" s="430"/>
      <c r="AQ102" s="430"/>
      <c r="AR102" s="430"/>
      <c r="AS102" s="430"/>
      <c r="AT102" s="430"/>
      <c r="AU102" s="430"/>
      <c r="AV102" s="430"/>
      <c r="AW102" s="430"/>
    </row>
    <row r="103" spans="1:49">
      <c r="A103" s="90"/>
      <c r="B103" s="90"/>
      <c r="C103" s="90"/>
      <c r="D103" s="90"/>
      <c r="E103" s="90"/>
      <c r="F103" s="90"/>
      <c r="G103" s="90"/>
      <c r="H103" s="90"/>
      <c r="I103" s="90"/>
      <c r="J103" s="90"/>
      <c r="K103" s="90"/>
      <c r="L103" s="90"/>
      <c r="M103" s="90"/>
      <c r="N103" s="90"/>
      <c r="O103" s="90"/>
      <c r="P103" s="90"/>
      <c r="Q103" s="90"/>
      <c r="R103" s="90"/>
      <c r="AF103" s="472"/>
      <c r="AG103" s="472"/>
      <c r="AH103" s="430"/>
      <c r="AI103" s="430"/>
      <c r="AJ103" s="430"/>
      <c r="AK103" s="430"/>
      <c r="AL103" s="430"/>
      <c r="AM103" s="430"/>
      <c r="AN103" s="430"/>
      <c r="AO103" s="430"/>
      <c r="AP103" s="430"/>
      <c r="AQ103" s="430"/>
      <c r="AR103" s="430"/>
      <c r="AS103" s="430"/>
      <c r="AT103" s="430"/>
      <c r="AU103" s="430"/>
      <c r="AV103" s="430"/>
      <c r="AW103" s="430"/>
    </row>
    <row r="104" spans="1:49">
      <c r="A104" s="90"/>
      <c r="B104" s="90"/>
      <c r="C104" s="90"/>
      <c r="D104" s="90"/>
      <c r="E104" s="90"/>
      <c r="F104" s="90"/>
      <c r="G104" s="90"/>
      <c r="H104" s="90"/>
      <c r="I104" s="90"/>
      <c r="J104" s="90"/>
      <c r="K104" s="90"/>
      <c r="L104" s="90"/>
      <c r="M104" s="90"/>
      <c r="N104" s="90"/>
      <c r="O104" s="90"/>
      <c r="P104" s="90"/>
      <c r="Q104" s="90"/>
      <c r="R104" s="90"/>
      <c r="AF104" s="472"/>
      <c r="AG104" s="472"/>
      <c r="AH104" s="430"/>
      <c r="AI104" s="430"/>
      <c r="AJ104" s="430"/>
      <c r="AK104" s="430"/>
      <c r="AL104" s="430"/>
      <c r="AM104" s="430"/>
      <c r="AN104" s="430"/>
      <c r="AO104" s="430"/>
      <c r="AP104" s="430"/>
      <c r="AQ104" s="430"/>
      <c r="AR104" s="430"/>
      <c r="AS104" s="430"/>
      <c r="AT104" s="430"/>
      <c r="AU104" s="430"/>
      <c r="AV104" s="430"/>
      <c r="AW104" s="430"/>
    </row>
    <row r="105" spans="1:49">
      <c r="A105" s="90"/>
      <c r="B105" s="90"/>
      <c r="C105" s="90"/>
      <c r="D105" s="90"/>
      <c r="E105" s="90"/>
      <c r="F105" s="90"/>
      <c r="G105" s="90"/>
      <c r="H105" s="90"/>
      <c r="I105" s="90"/>
      <c r="J105" s="90"/>
      <c r="K105" s="90"/>
      <c r="L105" s="90"/>
      <c r="M105" s="90"/>
      <c r="N105" s="90"/>
      <c r="O105" s="90"/>
      <c r="P105" s="90"/>
      <c r="Q105" s="90"/>
      <c r="R105" s="90"/>
      <c r="AF105" s="472"/>
      <c r="AG105" s="472"/>
      <c r="AH105" s="430"/>
      <c r="AI105" s="430"/>
      <c r="AJ105" s="430"/>
      <c r="AK105" s="430"/>
      <c r="AL105" s="430"/>
      <c r="AM105" s="430"/>
      <c r="AN105" s="430"/>
      <c r="AO105" s="430"/>
      <c r="AP105" s="430"/>
      <c r="AQ105" s="430"/>
      <c r="AR105" s="430"/>
      <c r="AS105" s="430"/>
      <c r="AT105" s="430"/>
      <c r="AU105" s="430"/>
      <c r="AV105" s="430"/>
      <c r="AW105" s="430"/>
    </row>
    <row r="106" spans="1:49">
      <c r="A106" s="90"/>
      <c r="B106" s="90"/>
      <c r="C106" s="90"/>
      <c r="D106" s="90"/>
      <c r="E106" s="90"/>
      <c r="F106" s="90"/>
      <c r="G106" s="90"/>
      <c r="H106" s="90"/>
      <c r="I106" s="90"/>
      <c r="J106" s="90"/>
      <c r="K106" s="90"/>
      <c r="L106" s="90"/>
      <c r="M106" s="90"/>
      <c r="N106" s="90"/>
      <c r="O106" s="90"/>
      <c r="P106" s="90"/>
      <c r="Q106" s="90"/>
      <c r="R106" s="90"/>
      <c r="AF106" s="472"/>
      <c r="AG106" s="472"/>
      <c r="AH106" s="430"/>
      <c r="AI106" s="430"/>
      <c r="AJ106" s="430"/>
      <c r="AK106" s="430"/>
      <c r="AL106" s="430"/>
      <c r="AM106" s="430"/>
      <c r="AN106" s="430"/>
      <c r="AO106" s="430"/>
      <c r="AP106" s="430"/>
      <c r="AQ106" s="430"/>
      <c r="AR106" s="430"/>
      <c r="AS106" s="430"/>
      <c r="AT106" s="430"/>
      <c r="AU106" s="430"/>
      <c r="AV106" s="430"/>
      <c r="AW106" s="430"/>
    </row>
    <row r="107" spans="1:49">
      <c r="A107" s="90"/>
      <c r="B107" s="90"/>
      <c r="C107" s="90"/>
      <c r="D107" s="90"/>
      <c r="E107" s="90"/>
      <c r="F107" s="90"/>
      <c r="G107" s="90"/>
      <c r="H107" s="90"/>
      <c r="I107" s="90"/>
      <c r="J107" s="90"/>
      <c r="K107" s="90"/>
      <c r="L107" s="90"/>
      <c r="M107" s="90"/>
      <c r="N107" s="90"/>
      <c r="O107" s="90"/>
      <c r="P107" s="90"/>
      <c r="Q107" s="90"/>
      <c r="R107" s="90"/>
      <c r="AF107" s="472"/>
      <c r="AG107" s="472"/>
      <c r="AH107" s="430"/>
      <c r="AI107" s="430"/>
      <c r="AJ107" s="430"/>
      <c r="AK107" s="430"/>
      <c r="AL107" s="430"/>
      <c r="AM107" s="430"/>
      <c r="AN107" s="430"/>
      <c r="AO107" s="430"/>
      <c r="AP107" s="430"/>
      <c r="AQ107" s="430"/>
      <c r="AR107" s="430"/>
      <c r="AS107" s="430"/>
      <c r="AT107" s="430"/>
      <c r="AU107" s="430"/>
      <c r="AV107" s="430"/>
      <c r="AW107" s="430"/>
    </row>
    <row r="108" spans="1:49">
      <c r="A108" s="90"/>
      <c r="B108" s="90"/>
      <c r="C108" s="90"/>
      <c r="D108" s="90"/>
      <c r="E108" s="90"/>
      <c r="F108" s="90"/>
      <c r="G108" s="90"/>
      <c r="H108" s="90"/>
      <c r="I108" s="90"/>
      <c r="J108" s="90"/>
      <c r="K108" s="90"/>
      <c r="L108" s="90"/>
      <c r="M108" s="90"/>
      <c r="N108" s="90"/>
      <c r="O108" s="90"/>
      <c r="P108" s="90"/>
      <c r="Q108" s="90"/>
      <c r="R108" s="90"/>
      <c r="AF108" s="472"/>
      <c r="AG108" s="472"/>
      <c r="AH108" s="430"/>
      <c r="AI108" s="430"/>
      <c r="AJ108" s="430"/>
      <c r="AK108" s="430"/>
      <c r="AL108" s="430"/>
      <c r="AM108" s="430"/>
      <c r="AN108" s="430"/>
      <c r="AO108" s="430"/>
      <c r="AP108" s="430"/>
      <c r="AQ108" s="430"/>
      <c r="AR108" s="430"/>
      <c r="AS108" s="430"/>
      <c r="AT108" s="430"/>
      <c r="AU108" s="430"/>
      <c r="AV108" s="430"/>
      <c r="AW108" s="430"/>
    </row>
    <row r="109" spans="1:49">
      <c r="A109" s="90"/>
      <c r="B109" s="90"/>
      <c r="C109" s="90"/>
      <c r="D109" s="90"/>
      <c r="E109" s="90"/>
      <c r="F109" s="90"/>
      <c r="G109" s="90"/>
      <c r="H109" s="90"/>
      <c r="I109" s="90"/>
      <c r="J109" s="90"/>
      <c r="K109" s="90"/>
      <c r="L109" s="90"/>
      <c r="M109" s="90"/>
      <c r="N109" s="90"/>
      <c r="O109" s="90"/>
      <c r="P109" s="90"/>
      <c r="Q109" s="90"/>
      <c r="R109" s="90"/>
      <c r="AF109" s="472"/>
      <c r="AG109" s="472"/>
      <c r="AH109" s="430"/>
      <c r="AI109" s="430"/>
      <c r="AJ109" s="430"/>
      <c r="AK109" s="430"/>
      <c r="AL109" s="430"/>
      <c r="AM109" s="430"/>
      <c r="AN109" s="430"/>
      <c r="AO109" s="430"/>
      <c r="AP109" s="430"/>
      <c r="AQ109" s="430"/>
      <c r="AR109" s="430"/>
      <c r="AS109" s="430"/>
      <c r="AT109" s="430"/>
      <c r="AU109" s="430"/>
      <c r="AV109" s="430"/>
      <c r="AW109" s="430"/>
    </row>
    <row r="110" spans="1:49">
      <c r="A110" s="90"/>
      <c r="B110" s="90"/>
      <c r="C110" s="90"/>
      <c r="D110" s="90"/>
      <c r="E110" s="90"/>
      <c r="F110" s="90"/>
      <c r="G110" s="90"/>
      <c r="H110" s="90"/>
      <c r="I110" s="90"/>
      <c r="J110" s="90"/>
      <c r="K110" s="90"/>
      <c r="L110" s="90"/>
      <c r="M110" s="90"/>
      <c r="N110" s="90"/>
      <c r="O110" s="90"/>
      <c r="P110" s="90"/>
      <c r="Q110" s="90"/>
      <c r="R110" s="90"/>
      <c r="AF110" s="472"/>
      <c r="AG110" s="472"/>
      <c r="AH110" s="430"/>
      <c r="AI110" s="430"/>
      <c r="AJ110" s="430"/>
      <c r="AK110" s="430"/>
      <c r="AL110" s="430"/>
      <c r="AM110" s="430"/>
      <c r="AN110" s="430"/>
      <c r="AO110" s="430"/>
      <c r="AP110" s="430"/>
      <c r="AQ110" s="430"/>
      <c r="AR110" s="430"/>
      <c r="AS110" s="430"/>
      <c r="AT110" s="430"/>
      <c r="AU110" s="430"/>
      <c r="AV110" s="430"/>
      <c r="AW110" s="430"/>
    </row>
    <row r="111" spans="1:49">
      <c r="A111" s="90"/>
      <c r="B111" s="90"/>
      <c r="C111" s="90"/>
      <c r="D111" s="90"/>
      <c r="E111" s="90"/>
      <c r="F111" s="90"/>
      <c r="G111" s="90"/>
      <c r="H111" s="90"/>
      <c r="I111" s="90"/>
      <c r="J111" s="90"/>
      <c r="K111" s="90"/>
      <c r="L111" s="90"/>
      <c r="M111" s="90"/>
      <c r="N111" s="90"/>
      <c r="O111" s="90"/>
      <c r="P111" s="90"/>
      <c r="Q111" s="90"/>
      <c r="R111" s="90"/>
      <c r="AF111" s="472"/>
      <c r="AG111" s="472"/>
      <c r="AH111" s="430"/>
      <c r="AI111" s="430"/>
      <c r="AJ111" s="430"/>
      <c r="AK111" s="430"/>
      <c r="AL111" s="430"/>
      <c r="AM111" s="430"/>
      <c r="AN111" s="430"/>
      <c r="AO111" s="430"/>
      <c r="AP111" s="430"/>
      <c r="AQ111" s="430"/>
      <c r="AR111" s="430"/>
      <c r="AS111" s="430"/>
      <c r="AT111" s="430"/>
      <c r="AU111" s="430"/>
      <c r="AV111" s="430"/>
      <c r="AW111" s="430"/>
    </row>
    <row r="112" spans="1:49">
      <c r="A112" s="90"/>
      <c r="B112" s="90"/>
      <c r="C112" s="90"/>
      <c r="D112" s="90"/>
      <c r="E112" s="90"/>
      <c r="F112" s="90"/>
      <c r="G112" s="90"/>
      <c r="H112" s="90"/>
      <c r="I112" s="90"/>
      <c r="J112" s="90"/>
      <c r="K112" s="90"/>
      <c r="L112" s="90"/>
      <c r="M112" s="90"/>
      <c r="N112" s="90"/>
      <c r="O112" s="90"/>
      <c r="P112" s="90"/>
      <c r="Q112" s="90"/>
      <c r="R112" s="90"/>
    </row>
    <row r="113" spans="1:18">
      <c r="A113" s="90"/>
      <c r="B113" s="90"/>
      <c r="C113" s="90"/>
      <c r="D113" s="90"/>
      <c r="E113" s="90"/>
      <c r="F113" s="90"/>
      <c r="G113" s="90"/>
      <c r="H113" s="90"/>
      <c r="I113" s="90"/>
      <c r="J113" s="90"/>
      <c r="K113" s="90"/>
      <c r="L113" s="90"/>
      <c r="M113" s="90"/>
      <c r="N113" s="90"/>
      <c r="O113" s="90"/>
      <c r="P113" s="90"/>
      <c r="Q113" s="90"/>
      <c r="R113" s="90"/>
    </row>
    <row r="114" spans="1:18">
      <c r="A114" s="90"/>
      <c r="B114" s="90"/>
      <c r="C114" s="90"/>
      <c r="D114" s="90"/>
      <c r="E114" s="90"/>
      <c r="F114" s="90"/>
      <c r="G114" s="90"/>
      <c r="H114" s="90"/>
      <c r="I114" s="90"/>
      <c r="J114" s="90"/>
      <c r="K114" s="90"/>
      <c r="L114" s="90"/>
      <c r="M114" s="90"/>
      <c r="N114" s="90"/>
      <c r="O114" s="90"/>
      <c r="P114" s="90"/>
      <c r="Q114" s="90"/>
      <c r="R114" s="90"/>
    </row>
    <row r="115" spans="1:18">
      <c r="A115" s="90"/>
      <c r="B115" s="90"/>
      <c r="C115" s="90"/>
      <c r="D115" s="90"/>
      <c r="E115" s="90"/>
      <c r="F115" s="90"/>
      <c r="G115" s="90"/>
      <c r="H115" s="90"/>
      <c r="I115" s="90"/>
      <c r="J115" s="90"/>
      <c r="K115" s="90"/>
      <c r="L115" s="90"/>
      <c r="M115" s="90"/>
      <c r="N115" s="90"/>
      <c r="O115" s="90"/>
      <c r="P115" s="90"/>
      <c r="Q115" s="90"/>
      <c r="R115" s="90"/>
    </row>
    <row r="116" spans="1:18">
      <c r="A116" s="90"/>
      <c r="B116" s="90"/>
      <c r="C116" s="90"/>
      <c r="D116" s="90"/>
      <c r="E116" s="90"/>
      <c r="F116" s="90"/>
      <c r="G116" s="90"/>
      <c r="H116" s="90"/>
      <c r="I116" s="90"/>
      <c r="J116" s="90"/>
      <c r="K116" s="90"/>
      <c r="L116" s="90"/>
      <c r="M116" s="90"/>
      <c r="N116" s="90"/>
      <c r="O116" s="90"/>
      <c r="P116" s="90"/>
      <c r="Q116" s="90"/>
      <c r="R116" s="90"/>
    </row>
    <row r="117" spans="1:18">
      <c r="A117" s="90"/>
      <c r="B117" s="90"/>
      <c r="C117" s="90"/>
      <c r="D117" s="90"/>
      <c r="E117" s="90"/>
      <c r="F117" s="90"/>
      <c r="G117" s="90"/>
      <c r="H117" s="90"/>
      <c r="I117" s="90"/>
      <c r="J117" s="90"/>
      <c r="K117" s="90"/>
      <c r="L117" s="90"/>
      <c r="M117" s="90"/>
      <c r="N117" s="90"/>
      <c r="O117" s="90"/>
      <c r="P117" s="90"/>
      <c r="Q117" s="90"/>
      <c r="R117" s="90"/>
    </row>
    <row r="118" spans="1:18">
      <c r="A118" s="90"/>
      <c r="B118" s="90"/>
      <c r="C118" s="90"/>
      <c r="D118" s="90"/>
      <c r="E118" s="90"/>
      <c r="F118" s="90"/>
      <c r="G118" s="90"/>
      <c r="H118" s="90"/>
      <c r="I118" s="90"/>
      <c r="J118" s="90"/>
      <c r="K118" s="90"/>
      <c r="L118" s="90"/>
      <c r="M118" s="90"/>
      <c r="N118" s="90"/>
      <c r="O118" s="90"/>
      <c r="P118" s="90"/>
      <c r="Q118" s="90"/>
      <c r="R118" s="90"/>
    </row>
    <row r="119" spans="1:18">
      <c r="A119" s="90"/>
      <c r="B119" s="90"/>
      <c r="C119" s="90"/>
      <c r="D119" s="90"/>
      <c r="E119" s="90"/>
      <c r="F119" s="90"/>
      <c r="G119" s="90"/>
      <c r="H119" s="90"/>
      <c r="I119" s="90"/>
      <c r="J119" s="90"/>
      <c r="K119" s="90"/>
      <c r="L119" s="90"/>
      <c r="M119" s="90"/>
      <c r="N119" s="90"/>
      <c r="O119" s="90"/>
      <c r="P119" s="90"/>
      <c r="Q119" s="90"/>
      <c r="R119" s="90"/>
    </row>
    <row r="120" spans="1:18">
      <c r="A120" s="90"/>
      <c r="B120" s="90"/>
      <c r="C120" s="90"/>
      <c r="D120" s="90"/>
      <c r="E120" s="90"/>
      <c r="F120" s="90"/>
      <c r="G120" s="90"/>
      <c r="H120" s="90"/>
      <c r="I120" s="90"/>
      <c r="J120" s="90"/>
      <c r="K120" s="90"/>
      <c r="L120" s="90"/>
      <c r="M120" s="90"/>
      <c r="N120" s="90"/>
      <c r="O120" s="90"/>
      <c r="P120" s="90"/>
      <c r="Q120" s="90"/>
      <c r="R120" s="90"/>
    </row>
    <row r="121" spans="1:18">
      <c r="A121" s="90"/>
      <c r="B121" s="90"/>
      <c r="C121" s="90"/>
      <c r="D121" s="90"/>
      <c r="E121" s="90"/>
      <c r="F121" s="90"/>
      <c r="G121" s="90"/>
      <c r="H121" s="90"/>
      <c r="I121" s="90"/>
      <c r="J121" s="90"/>
      <c r="K121" s="90"/>
      <c r="L121" s="90"/>
      <c r="M121" s="90"/>
      <c r="N121" s="90"/>
      <c r="O121" s="90"/>
      <c r="P121" s="90"/>
      <c r="Q121" s="90"/>
      <c r="R121" s="90"/>
    </row>
    <row r="122" spans="1:18">
      <c r="A122" s="90"/>
      <c r="B122" s="90"/>
      <c r="C122" s="90"/>
      <c r="D122" s="90"/>
      <c r="E122" s="90"/>
      <c r="F122" s="90"/>
      <c r="G122" s="90"/>
      <c r="H122" s="90"/>
      <c r="I122" s="90"/>
      <c r="J122" s="90"/>
      <c r="K122" s="90"/>
      <c r="L122" s="90"/>
      <c r="M122" s="90"/>
      <c r="N122" s="90"/>
      <c r="O122" s="90"/>
      <c r="P122" s="90"/>
      <c r="Q122" s="90"/>
      <c r="R122" s="90"/>
    </row>
    <row r="123" spans="1:18">
      <c r="A123" s="90"/>
      <c r="B123" s="90"/>
      <c r="C123" s="90"/>
      <c r="D123" s="90"/>
      <c r="E123" s="90"/>
      <c r="F123" s="90"/>
      <c r="G123" s="90"/>
      <c r="H123" s="90"/>
      <c r="I123" s="90"/>
      <c r="J123" s="90"/>
      <c r="K123" s="90"/>
      <c r="L123" s="90"/>
      <c r="M123" s="90"/>
      <c r="N123" s="90"/>
      <c r="O123" s="90"/>
      <c r="P123" s="90"/>
      <c r="Q123" s="90"/>
      <c r="R123" s="90"/>
    </row>
    <row r="124" spans="1:18">
      <c r="A124" s="90"/>
      <c r="B124" s="90"/>
      <c r="C124" s="90"/>
      <c r="D124" s="90"/>
      <c r="E124" s="90"/>
      <c r="F124" s="90"/>
      <c r="G124" s="90"/>
      <c r="H124" s="90"/>
      <c r="I124" s="90"/>
      <c r="J124" s="90"/>
      <c r="K124" s="90"/>
      <c r="L124" s="90"/>
      <c r="M124" s="90"/>
      <c r="N124" s="90"/>
      <c r="O124" s="90"/>
      <c r="P124" s="90"/>
      <c r="Q124" s="90"/>
      <c r="R124" s="90"/>
    </row>
    <row r="125" spans="1:18">
      <c r="A125" s="90"/>
      <c r="B125" s="90"/>
      <c r="C125" s="90"/>
      <c r="D125" s="90"/>
      <c r="E125" s="90"/>
      <c r="F125" s="90"/>
      <c r="G125" s="90"/>
      <c r="H125" s="90"/>
      <c r="I125" s="90"/>
      <c r="J125" s="90"/>
      <c r="K125" s="90"/>
      <c r="L125" s="90"/>
      <c r="M125" s="90"/>
      <c r="N125" s="90"/>
      <c r="O125" s="90"/>
      <c r="P125" s="90"/>
      <c r="Q125" s="90"/>
      <c r="R125" s="90"/>
    </row>
    <row r="126" spans="1:18">
      <c r="A126" s="90"/>
      <c r="B126" s="90"/>
      <c r="C126" s="90"/>
      <c r="D126" s="90"/>
      <c r="E126" s="90"/>
      <c r="F126" s="90"/>
      <c r="G126" s="90"/>
      <c r="H126" s="90"/>
      <c r="I126" s="90"/>
      <c r="J126" s="90"/>
      <c r="K126" s="90"/>
      <c r="L126" s="90"/>
      <c r="M126" s="90"/>
      <c r="N126" s="90"/>
      <c r="O126" s="90"/>
      <c r="P126" s="90"/>
      <c r="Q126" s="90"/>
      <c r="R126" s="90"/>
    </row>
    <row r="127" spans="1:18">
      <c r="A127" s="90"/>
      <c r="B127" s="90"/>
      <c r="C127" s="90"/>
      <c r="D127" s="90"/>
      <c r="E127" s="90"/>
      <c r="F127" s="90"/>
      <c r="G127" s="90"/>
      <c r="H127" s="90"/>
      <c r="I127" s="90"/>
      <c r="J127" s="90"/>
      <c r="K127" s="90"/>
      <c r="L127" s="90"/>
      <c r="M127" s="90"/>
      <c r="N127" s="90"/>
      <c r="O127" s="90"/>
      <c r="P127" s="90"/>
      <c r="Q127" s="90"/>
      <c r="R127" s="90"/>
    </row>
    <row r="128" spans="1:18">
      <c r="A128" s="90"/>
      <c r="B128" s="90"/>
      <c r="C128" s="90"/>
      <c r="D128" s="90"/>
      <c r="E128" s="90"/>
      <c r="F128" s="90"/>
      <c r="G128" s="90"/>
      <c r="H128" s="90"/>
      <c r="I128" s="90"/>
      <c r="J128" s="90"/>
      <c r="K128" s="90"/>
      <c r="L128" s="90"/>
      <c r="M128" s="90"/>
      <c r="N128" s="90"/>
      <c r="O128" s="90"/>
      <c r="P128" s="90"/>
      <c r="Q128" s="90"/>
      <c r="R128" s="90"/>
    </row>
    <row r="129" spans="1:18">
      <c r="A129" s="90"/>
      <c r="B129" s="90"/>
      <c r="C129" s="90"/>
      <c r="D129" s="90"/>
      <c r="E129" s="90"/>
      <c r="F129" s="90"/>
      <c r="G129" s="90"/>
      <c r="H129" s="90"/>
      <c r="I129" s="90"/>
      <c r="J129" s="90"/>
      <c r="K129" s="90"/>
      <c r="L129" s="90"/>
      <c r="M129" s="90"/>
      <c r="N129" s="90"/>
      <c r="O129" s="90"/>
      <c r="P129" s="90"/>
      <c r="Q129" s="90"/>
      <c r="R129" s="90"/>
    </row>
    <row r="130" spans="1:18">
      <c r="A130" s="90"/>
      <c r="B130" s="90"/>
      <c r="C130" s="90"/>
      <c r="D130" s="90"/>
      <c r="E130" s="90"/>
      <c r="F130" s="90"/>
      <c r="G130" s="90"/>
      <c r="H130" s="90"/>
      <c r="I130" s="90"/>
      <c r="J130" s="90"/>
      <c r="K130" s="90"/>
      <c r="L130" s="90"/>
      <c r="M130" s="90"/>
      <c r="N130" s="90"/>
      <c r="O130" s="90"/>
      <c r="P130" s="90"/>
      <c r="Q130" s="90"/>
      <c r="R130" s="90"/>
    </row>
    <row r="131" spans="1:18">
      <c r="A131" s="90"/>
      <c r="B131" s="90"/>
      <c r="C131" s="90"/>
      <c r="D131" s="90"/>
      <c r="E131" s="90"/>
      <c r="F131" s="90"/>
      <c r="G131" s="90"/>
      <c r="H131" s="90"/>
      <c r="I131" s="90"/>
      <c r="J131" s="90"/>
      <c r="K131" s="90"/>
      <c r="L131" s="90"/>
      <c r="M131" s="90"/>
      <c r="N131" s="90"/>
      <c r="O131" s="90"/>
      <c r="P131" s="90"/>
      <c r="Q131" s="90"/>
      <c r="R131" s="90"/>
    </row>
    <row r="132" spans="1:18">
      <c r="A132" s="90"/>
      <c r="B132" s="90"/>
      <c r="C132" s="90"/>
      <c r="D132" s="90"/>
      <c r="E132" s="90"/>
      <c r="F132" s="90"/>
      <c r="G132" s="90"/>
      <c r="H132" s="90"/>
      <c r="I132" s="90"/>
      <c r="J132" s="90"/>
      <c r="K132" s="90"/>
      <c r="L132" s="90"/>
      <c r="M132" s="90"/>
      <c r="N132" s="90"/>
      <c r="O132" s="90"/>
      <c r="P132" s="90"/>
      <c r="Q132" s="90"/>
      <c r="R132" s="90"/>
    </row>
    <row r="133" spans="1:18">
      <c r="A133" s="90"/>
      <c r="B133" s="90"/>
      <c r="C133" s="90"/>
      <c r="D133" s="90"/>
      <c r="E133" s="90"/>
      <c r="F133" s="90"/>
      <c r="G133" s="90"/>
      <c r="H133" s="90"/>
      <c r="I133" s="90"/>
      <c r="J133" s="90"/>
      <c r="K133" s="90"/>
      <c r="L133" s="90"/>
      <c r="M133" s="90"/>
      <c r="N133" s="90"/>
      <c r="O133" s="90"/>
      <c r="P133" s="90"/>
      <c r="Q133" s="90"/>
      <c r="R133" s="90"/>
    </row>
    <row r="134" spans="1:18">
      <c r="A134" s="90"/>
      <c r="B134" s="90"/>
      <c r="C134" s="90"/>
      <c r="D134" s="90"/>
      <c r="E134" s="90"/>
      <c r="F134" s="90"/>
      <c r="G134" s="90"/>
      <c r="H134" s="90"/>
      <c r="I134" s="90"/>
      <c r="J134" s="90"/>
      <c r="K134" s="90"/>
      <c r="L134" s="90"/>
      <c r="M134" s="90"/>
      <c r="N134" s="90"/>
      <c r="O134" s="90"/>
      <c r="P134" s="90"/>
      <c r="Q134" s="90"/>
      <c r="R134" s="90"/>
    </row>
    <row r="135" spans="1:18">
      <c r="A135" s="90"/>
      <c r="B135" s="90"/>
      <c r="C135" s="90"/>
      <c r="D135" s="90"/>
      <c r="E135" s="90"/>
      <c r="F135" s="90"/>
      <c r="G135" s="90"/>
      <c r="H135" s="90"/>
      <c r="I135" s="90"/>
      <c r="J135" s="90"/>
      <c r="K135" s="90"/>
      <c r="L135" s="90"/>
      <c r="M135" s="90"/>
      <c r="N135" s="90"/>
      <c r="O135" s="90"/>
      <c r="P135" s="90"/>
      <c r="Q135" s="90"/>
      <c r="R135" s="90"/>
    </row>
    <row r="136" spans="1:18">
      <c r="A136" s="90"/>
      <c r="B136" s="90"/>
      <c r="C136" s="90"/>
      <c r="D136" s="90"/>
      <c r="E136" s="90"/>
      <c r="F136" s="90"/>
      <c r="G136" s="90"/>
      <c r="H136" s="90"/>
      <c r="I136" s="90"/>
      <c r="J136" s="90"/>
      <c r="K136" s="90"/>
      <c r="L136" s="90"/>
      <c r="M136" s="90"/>
      <c r="N136" s="90"/>
      <c r="O136" s="90"/>
      <c r="P136" s="90"/>
      <c r="Q136" s="90"/>
      <c r="R136" s="90"/>
    </row>
    <row r="137" spans="1:18">
      <c r="A137" s="90"/>
      <c r="B137" s="90"/>
      <c r="C137" s="90"/>
      <c r="D137" s="90"/>
      <c r="E137" s="90"/>
      <c r="F137" s="90"/>
      <c r="G137" s="90"/>
      <c r="H137" s="90"/>
      <c r="I137" s="90"/>
      <c r="J137" s="90"/>
      <c r="K137" s="90"/>
      <c r="L137" s="90"/>
      <c r="M137" s="90"/>
      <c r="N137" s="90"/>
      <c r="O137" s="90"/>
      <c r="P137" s="90"/>
      <c r="Q137" s="90"/>
      <c r="R137" s="90"/>
    </row>
    <row r="138" spans="1:18">
      <c r="A138" s="90"/>
      <c r="B138" s="90"/>
      <c r="C138" s="90"/>
      <c r="D138" s="90"/>
      <c r="E138" s="90"/>
      <c r="F138" s="90"/>
      <c r="G138" s="90"/>
      <c r="H138" s="90"/>
      <c r="I138" s="90"/>
      <c r="J138" s="90"/>
      <c r="K138" s="90"/>
      <c r="L138" s="90"/>
      <c r="M138" s="90"/>
      <c r="N138" s="90"/>
      <c r="O138" s="90"/>
      <c r="P138" s="90"/>
      <c r="Q138" s="90"/>
      <c r="R138" s="90"/>
    </row>
    <row r="139" spans="1:18">
      <c r="A139" s="90"/>
      <c r="B139" s="90"/>
      <c r="C139" s="90"/>
      <c r="D139" s="90"/>
      <c r="E139" s="90"/>
      <c r="F139" s="90"/>
      <c r="G139" s="90"/>
      <c r="H139" s="90"/>
      <c r="I139" s="90"/>
      <c r="J139" s="90"/>
      <c r="K139" s="90"/>
      <c r="L139" s="90"/>
      <c r="M139" s="90"/>
      <c r="N139" s="90"/>
      <c r="O139" s="90"/>
      <c r="P139" s="90"/>
      <c r="Q139" s="90"/>
      <c r="R139" s="90"/>
    </row>
    <row r="140" spans="1:18">
      <c r="A140" s="90"/>
      <c r="B140" s="90"/>
      <c r="C140" s="90"/>
      <c r="D140" s="90"/>
      <c r="E140" s="90"/>
      <c r="F140" s="90"/>
      <c r="G140" s="90"/>
      <c r="H140" s="90"/>
      <c r="I140" s="90"/>
      <c r="J140" s="90"/>
      <c r="K140" s="90"/>
      <c r="L140" s="90"/>
      <c r="M140" s="90"/>
      <c r="N140" s="90"/>
      <c r="O140" s="90"/>
      <c r="P140" s="90"/>
      <c r="Q140" s="90"/>
      <c r="R140" s="90"/>
    </row>
    <row r="141" spans="1:18">
      <c r="A141" s="90"/>
      <c r="B141" s="90"/>
      <c r="C141" s="90"/>
      <c r="D141" s="90"/>
      <c r="E141" s="90"/>
      <c r="F141" s="90"/>
      <c r="G141" s="90"/>
      <c r="H141" s="90"/>
      <c r="I141" s="90"/>
      <c r="J141" s="90"/>
      <c r="K141" s="90"/>
      <c r="L141" s="90"/>
      <c r="M141" s="90"/>
      <c r="N141" s="90"/>
      <c r="O141" s="90"/>
      <c r="P141" s="90"/>
      <c r="Q141" s="90"/>
      <c r="R141" s="90"/>
    </row>
    <row r="142" spans="1:18">
      <c r="A142" s="90"/>
      <c r="B142" s="90"/>
      <c r="C142" s="90"/>
      <c r="D142" s="90"/>
      <c r="E142" s="90"/>
      <c r="F142" s="90"/>
      <c r="G142" s="90"/>
      <c r="H142" s="90"/>
      <c r="I142" s="90"/>
      <c r="J142" s="90"/>
      <c r="K142" s="90"/>
      <c r="L142" s="90"/>
      <c r="M142" s="90"/>
      <c r="N142" s="90"/>
      <c r="O142" s="90"/>
      <c r="P142" s="90"/>
      <c r="Q142" s="90"/>
      <c r="R142" s="90"/>
    </row>
    <row r="143" spans="1:18">
      <c r="A143" s="90"/>
      <c r="B143" s="90"/>
      <c r="C143" s="90"/>
      <c r="D143" s="90"/>
      <c r="E143" s="90"/>
      <c r="F143" s="90"/>
      <c r="G143" s="90"/>
      <c r="H143" s="90"/>
      <c r="I143" s="90"/>
      <c r="J143" s="90"/>
      <c r="K143" s="90"/>
      <c r="L143" s="90"/>
      <c r="M143" s="90"/>
      <c r="N143" s="90"/>
      <c r="O143" s="90"/>
      <c r="P143" s="90"/>
      <c r="Q143" s="90"/>
      <c r="R143" s="90"/>
    </row>
    <row r="144" spans="1:18">
      <c r="A144" s="90"/>
      <c r="B144" s="90"/>
      <c r="C144" s="90"/>
      <c r="D144" s="90"/>
      <c r="E144" s="90"/>
      <c r="F144" s="90"/>
      <c r="G144" s="90"/>
      <c r="H144" s="90"/>
      <c r="I144" s="90"/>
      <c r="J144" s="90"/>
      <c r="K144" s="90"/>
      <c r="L144" s="90"/>
      <c r="M144" s="90"/>
      <c r="N144" s="90"/>
      <c r="O144" s="90"/>
      <c r="P144" s="90"/>
      <c r="Q144" s="90"/>
      <c r="R144" s="90"/>
    </row>
    <row r="145" spans="1:18">
      <c r="A145" s="90"/>
      <c r="B145" s="90"/>
      <c r="C145" s="90"/>
      <c r="D145" s="90"/>
      <c r="E145" s="90"/>
      <c r="F145" s="90"/>
      <c r="G145" s="90"/>
      <c r="H145" s="90"/>
      <c r="I145" s="90"/>
      <c r="J145" s="90"/>
      <c r="K145" s="90"/>
      <c r="L145" s="90"/>
      <c r="M145" s="90"/>
      <c r="N145" s="90"/>
      <c r="O145" s="90"/>
      <c r="P145" s="90"/>
      <c r="Q145" s="90"/>
      <c r="R145" s="90"/>
    </row>
    <row r="146" spans="1:18">
      <c r="A146" s="90"/>
      <c r="B146" s="90"/>
      <c r="C146" s="90"/>
      <c r="D146" s="90"/>
      <c r="E146" s="90"/>
      <c r="F146" s="90"/>
      <c r="G146" s="90"/>
      <c r="H146" s="90"/>
      <c r="I146" s="90"/>
      <c r="J146" s="90"/>
      <c r="K146" s="90"/>
      <c r="L146" s="90"/>
      <c r="M146" s="90"/>
      <c r="N146" s="90"/>
      <c r="O146" s="90"/>
      <c r="P146" s="90"/>
      <c r="Q146" s="90"/>
      <c r="R146" s="90"/>
    </row>
    <row r="147" spans="1:18">
      <c r="A147" s="90"/>
      <c r="B147" s="90"/>
      <c r="C147" s="90"/>
      <c r="D147" s="90"/>
      <c r="E147" s="90"/>
      <c r="F147" s="90"/>
      <c r="G147" s="90"/>
      <c r="H147" s="90"/>
      <c r="I147" s="90"/>
      <c r="J147" s="90"/>
      <c r="K147" s="90"/>
      <c r="L147" s="90"/>
      <c r="M147" s="90"/>
      <c r="N147" s="90"/>
      <c r="O147" s="90"/>
      <c r="P147" s="90"/>
      <c r="Q147" s="90"/>
      <c r="R147" s="90"/>
    </row>
    <row r="148" spans="1:18">
      <c r="A148" s="90"/>
      <c r="B148" s="90"/>
      <c r="C148" s="90"/>
      <c r="D148" s="90"/>
      <c r="E148" s="90"/>
      <c r="F148" s="90"/>
      <c r="G148" s="90"/>
      <c r="H148" s="90"/>
      <c r="I148" s="90"/>
      <c r="J148" s="90"/>
      <c r="K148" s="90"/>
      <c r="L148" s="90"/>
      <c r="M148" s="90"/>
      <c r="N148" s="90"/>
      <c r="O148" s="90"/>
      <c r="P148" s="90"/>
      <c r="Q148" s="90"/>
      <c r="R148" s="90"/>
    </row>
    <row r="149" spans="1:18">
      <c r="A149" s="90"/>
      <c r="B149" s="90"/>
      <c r="C149" s="90"/>
      <c r="D149" s="90"/>
      <c r="E149" s="90"/>
      <c r="F149" s="90"/>
      <c r="G149" s="90"/>
      <c r="H149" s="90"/>
      <c r="I149" s="90"/>
      <c r="J149" s="90"/>
      <c r="K149" s="90"/>
      <c r="L149" s="90"/>
      <c r="M149" s="90"/>
      <c r="N149" s="90"/>
      <c r="O149" s="90"/>
      <c r="P149" s="90"/>
      <c r="Q149" s="90"/>
      <c r="R149" s="90"/>
    </row>
    <row r="150" spans="1:18">
      <c r="A150" s="90"/>
      <c r="B150" s="90"/>
      <c r="C150" s="90"/>
      <c r="D150" s="90"/>
      <c r="E150" s="90"/>
      <c r="F150" s="90"/>
      <c r="G150" s="90"/>
      <c r="H150" s="90"/>
      <c r="I150" s="90"/>
      <c r="J150" s="90"/>
      <c r="K150" s="90"/>
      <c r="L150" s="90"/>
      <c r="M150" s="90"/>
      <c r="N150" s="90"/>
      <c r="O150" s="90"/>
      <c r="P150" s="90"/>
      <c r="Q150" s="90"/>
      <c r="R150" s="90"/>
    </row>
    <row r="151" spans="1:18">
      <c r="A151" s="90"/>
      <c r="B151" s="90"/>
      <c r="C151" s="90"/>
      <c r="D151" s="90"/>
      <c r="E151" s="90"/>
      <c r="F151" s="90"/>
      <c r="G151" s="90"/>
      <c r="H151" s="90"/>
      <c r="I151" s="90"/>
      <c r="J151" s="90"/>
      <c r="K151" s="90"/>
      <c r="L151" s="90"/>
      <c r="M151" s="90"/>
      <c r="N151" s="90"/>
      <c r="O151" s="90"/>
      <c r="P151" s="90"/>
      <c r="Q151" s="90"/>
      <c r="R151" s="90"/>
    </row>
    <row r="152" spans="1:18">
      <c r="A152" s="90"/>
      <c r="B152" s="90"/>
      <c r="C152" s="90"/>
      <c r="D152" s="90"/>
      <c r="E152" s="90"/>
      <c r="F152" s="90"/>
      <c r="G152" s="90"/>
      <c r="H152" s="90"/>
      <c r="I152" s="90"/>
      <c r="J152" s="90"/>
      <c r="K152" s="90"/>
      <c r="L152" s="90"/>
      <c r="M152" s="90"/>
      <c r="N152" s="90"/>
      <c r="O152" s="90"/>
      <c r="P152" s="90"/>
      <c r="Q152" s="90"/>
      <c r="R152" s="90"/>
    </row>
    <row r="153" spans="1:18">
      <c r="A153" s="90"/>
      <c r="B153" s="90"/>
      <c r="C153" s="90"/>
      <c r="D153" s="90"/>
      <c r="E153" s="90"/>
      <c r="F153" s="90"/>
      <c r="G153" s="90"/>
      <c r="H153" s="90"/>
      <c r="I153" s="90"/>
      <c r="J153" s="90"/>
      <c r="K153" s="90"/>
      <c r="L153" s="90"/>
      <c r="M153" s="90"/>
      <c r="N153" s="90"/>
      <c r="O153" s="90"/>
      <c r="P153" s="90"/>
      <c r="Q153" s="90"/>
      <c r="R153" s="90"/>
    </row>
    <row r="154" spans="1:18">
      <c r="A154" s="90"/>
      <c r="B154" s="90"/>
      <c r="C154" s="90"/>
      <c r="D154" s="90"/>
      <c r="E154" s="90"/>
      <c r="F154" s="90"/>
      <c r="G154" s="90"/>
      <c r="H154" s="90"/>
      <c r="I154" s="90"/>
      <c r="J154" s="90"/>
      <c r="K154" s="90"/>
      <c r="L154" s="90"/>
      <c r="M154" s="90"/>
      <c r="N154" s="90"/>
      <c r="O154" s="90"/>
      <c r="P154" s="90"/>
      <c r="Q154" s="90"/>
      <c r="R154" s="90"/>
    </row>
    <row r="155" spans="1:18">
      <c r="A155" s="90"/>
      <c r="B155" s="90"/>
      <c r="C155" s="90"/>
      <c r="D155" s="90"/>
      <c r="E155" s="90"/>
      <c r="F155" s="90"/>
      <c r="G155" s="90"/>
      <c r="H155" s="90"/>
      <c r="I155" s="90"/>
      <c r="J155" s="90"/>
      <c r="K155" s="90"/>
      <c r="L155" s="90"/>
      <c r="M155" s="90"/>
      <c r="N155" s="90"/>
      <c r="O155" s="90"/>
      <c r="P155" s="90"/>
      <c r="Q155" s="90"/>
      <c r="R155" s="90"/>
    </row>
    <row r="156" spans="1:18">
      <c r="A156" s="90"/>
      <c r="B156" s="90"/>
      <c r="C156" s="90"/>
      <c r="D156" s="90"/>
      <c r="E156" s="90"/>
      <c r="F156" s="90"/>
      <c r="G156" s="90"/>
      <c r="H156" s="90"/>
      <c r="I156" s="90"/>
      <c r="J156" s="90"/>
      <c r="K156" s="90"/>
      <c r="L156" s="90"/>
      <c r="M156" s="90"/>
      <c r="N156" s="90"/>
      <c r="O156" s="90"/>
      <c r="P156" s="90"/>
      <c r="Q156" s="90"/>
      <c r="R156" s="90"/>
    </row>
    <row r="157" spans="1:18">
      <c r="A157" s="90"/>
      <c r="B157" s="90"/>
      <c r="C157" s="90"/>
      <c r="D157" s="90"/>
      <c r="E157" s="90"/>
      <c r="F157" s="90"/>
      <c r="G157" s="90"/>
      <c r="H157" s="90"/>
      <c r="I157" s="90"/>
      <c r="J157" s="90"/>
      <c r="K157" s="90"/>
      <c r="L157" s="90"/>
      <c r="M157" s="90"/>
      <c r="N157" s="90"/>
      <c r="O157" s="90"/>
      <c r="P157" s="90"/>
      <c r="Q157" s="90"/>
      <c r="R157" s="90"/>
    </row>
    <row r="158" spans="1:18">
      <c r="A158" s="90"/>
      <c r="B158" s="90"/>
      <c r="C158" s="90"/>
      <c r="D158" s="90"/>
      <c r="E158" s="90"/>
      <c r="F158" s="90"/>
      <c r="G158" s="90"/>
      <c r="H158" s="90"/>
      <c r="I158" s="90"/>
      <c r="J158" s="90"/>
      <c r="K158" s="90"/>
      <c r="L158" s="90"/>
      <c r="M158" s="90"/>
      <c r="N158" s="90"/>
      <c r="O158" s="90"/>
      <c r="P158" s="90"/>
      <c r="Q158" s="90"/>
      <c r="R158" s="90"/>
    </row>
    <row r="159" spans="1:18">
      <c r="A159" s="90"/>
      <c r="B159" s="90"/>
      <c r="C159" s="90"/>
      <c r="D159" s="90"/>
      <c r="E159" s="90"/>
      <c r="F159" s="90"/>
      <c r="G159" s="90"/>
      <c r="H159" s="90"/>
      <c r="I159" s="90"/>
      <c r="J159" s="90"/>
      <c r="K159" s="90"/>
      <c r="L159" s="90"/>
      <c r="M159" s="90"/>
      <c r="N159" s="90"/>
      <c r="O159" s="90"/>
      <c r="P159" s="90"/>
      <c r="Q159" s="90"/>
      <c r="R159" s="90"/>
    </row>
    <row r="160" spans="1:18">
      <c r="A160" s="90"/>
      <c r="B160" s="90"/>
      <c r="C160" s="90"/>
      <c r="D160" s="90"/>
      <c r="E160" s="90"/>
      <c r="F160" s="90"/>
      <c r="G160" s="90"/>
      <c r="H160" s="90"/>
      <c r="I160" s="90"/>
      <c r="J160" s="90"/>
      <c r="K160" s="90"/>
      <c r="L160" s="90"/>
      <c r="M160" s="90"/>
      <c r="N160" s="90"/>
      <c r="O160" s="90"/>
      <c r="P160" s="90"/>
      <c r="Q160" s="90"/>
      <c r="R160" s="90"/>
    </row>
    <row r="161" spans="1:18">
      <c r="A161" s="90"/>
      <c r="B161" s="90"/>
      <c r="C161" s="90"/>
      <c r="D161" s="90"/>
      <c r="E161" s="90"/>
      <c r="F161" s="90"/>
      <c r="G161" s="90"/>
      <c r="H161" s="90"/>
      <c r="I161" s="90"/>
      <c r="J161" s="90"/>
      <c r="K161" s="90"/>
      <c r="L161" s="90"/>
      <c r="M161" s="90"/>
      <c r="N161" s="90"/>
      <c r="O161" s="90"/>
      <c r="P161" s="90"/>
      <c r="Q161" s="90"/>
      <c r="R161" s="90"/>
    </row>
    <row r="162" spans="1:18">
      <c r="A162" s="90"/>
      <c r="B162" s="90"/>
      <c r="C162" s="90"/>
      <c r="D162" s="90"/>
      <c r="E162" s="90"/>
      <c r="F162" s="90"/>
      <c r="G162" s="90"/>
      <c r="H162" s="90"/>
      <c r="I162" s="90"/>
      <c r="J162" s="90"/>
      <c r="K162" s="90"/>
      <c r="L162" s="90"/>
      <c r="M162" s="90"/>
      <c r="N162" s="90"/>
      <c r="O162" s="90"/>
      <c r="P162" s="90"/>
      <c r="Q162" s="90"/>
      <c r="R162" s="90"/>
    </row>
    <row r="163" spans="1:18">
      <c r="A163" s="90"/>
      <c r="B163" s="90"/>
      <c r="C163" s="90"/>
      <c r="D163" s="90"/>
      <c r="E163" s="90"/>
      <c r="F163" s="90"/>
      <c r="G163" s="90"/>
      <c r="H163" s="90"/>
      <c r="I163" s="90"/>
      <c r="J163" s="90"/>
      <c r="K163" s="90"/>
      <c r="L163" s="90"/>
      <c r="M163" s="90"/>
      <c r="N163" s="90"/>
      <c r="O163" s="90"/>
      <c r="P163" s="90"/>
      <c r="Q163" s="90"/>
      <c r="R163" s="90"/>
    </row>
    <row r="164" spans="1:18">
      <c r="A164" s="90"/>
      <c r="B164" s="90"/>
      <c r="C164" s="90"/>
      <c r="D164" s="90"/>
      <c r="E164" s="90"/>
      <c r="F164" s="90"/>
      <c r="G164" s="90"/>
      <c r="H164" s="90"/>
      <c r="I164" s="90"/>
      <c r="J164" s="90"/>
      <c r="K164" s="90"/>
      <c r="L164" s="90"/>
      <c r="M164" s="90"/>
      <c r="N164" s="90"/>
      <c r="O164" s="90"/>
      <c r="P164" s="90"/>
      <c r="Q164" s="90"/>
      <c r="R164" s="90"/>
    </row>
    <row r="165" spans="1:18">
      <c r="A165" s="90"/>
      <c r="B165" s="90"/>
      <c r="C165" s="90"/>
      <c r="D165" s="90"/>
      <c r="E165" s="90"/>
      <c r="F165" s="90"/>
      <c r="G165" s="90"/>
      <c r="H165" s="90"/>
      <c r="I165" s="90"/>
      <c r="J165" s="90"/>
      <c r="K165" s="90"/>
      <c r="L165" s="90"/>
      <c r="M165" s="90"/>
      <c r="N165" s="90"/>
      <c r="O165" s="90"/>
      <c r="P165" s="90"/>
      <c r="Q165" s="90"/>
      <c r="R165" s="90"/>
    </row>
    <row r="166" spans="1:18">
      <c r="A166" s="90"/>
      <c r="B166" s="90"/>
      <c r="C166" s="90"/>
      <c r="D166" s="90"/>
      <c r="E166" s="90"/>
      <c r="F166" s="90"/>
      <c r="G166" s="90"/>
      <c r="H166" s="90"/>
      <c r="I166" s="90"/>
      <c r="J166" s="90"/>
      <c r="K166" s="90"/>
      <c r="L166" s="90"/>
      <c r="M166" s="90"/>
      <c r="N166" s="90"/>
      <c r="O166" s="90"/>
      <c r="P166" s="90"/>
      <c r="Q166" s="90"/>
      <c r="R166" s="90"/>
    </row>
    <row r="167" spans="1:18">
      <c r="A167" s="90"/>
      <c r="B167" s="90"/>
      <c r="C167" s="90"/>
      <c r="D167" s="90"/>
      <c r="E167" s="90"/>
      <c r="F167" s="90"/>
      <c r="G167" s="90"/>
      <c r="H167" s="90"/>
      <c r="I167" s="90"/>
      <c r="J167" s="90"/>
      <c r="K167" s="90"/>
      <c r="L167" s="90"/>
      <c r="M167" s="90"/>
      <c r="N167" s="90"/>
      <c r="O167" s="90"/>
      <c r="P167" s="90"/>
      <c r="Q167" s="90"/>
      <c r="R167" s="90"/>
    </row>
    <row r="168" spans="1:18">
      <c r="A168" s="90"/>
      <c r="B168" s="90"/>
      <c r="C168" s="90"/>
      <c r="D168" s="90"/>
      <c r="E168" s="90"/>
      <c r="F168" s="90"/>
      <c r="G168" s="90"/>
      <c r="H168" s="90"/>
      <c r="I168" s="90"/>
      <c r="J168" s="90"/>
      <c r="K168" s="90"/>
      <c r="L168" s="90"/>
      <c r="M168" s="90"/>
      <c r="N168" s="90"/>
      <c r="O168" s="90"/>
      <c r="P168" s="90"/>
      <c r="Q168" s="90"/>
      <c r="R168" s="90"/>
    </row>
    <row r="169" spans="1:18">
      <c r="A169" s="90"/>
      <c r="B169" s="90"/>
      <c r="C169" s="90"/>
      <c r="D169" s="90"/>
      <c r="E169" s="90"/>
      <c r="F169" s="90"/>
      <c r="G169" s="90"/>
      <c r="H169" s="90"/>
      <c r="I169" s="90"/>
      <c r="J169" s="90"/>
      <c r="K169" s="90"/>
      <c r="L169" s="90"/>
      <c r="M169" s="90"/>
      <c r="N169" s="90"/>
      <c r="O169" s="90"/>
      <c r="P169" s="90"/>
      <c r="Q169" s="90"/>
      <c r="R169" s="90"/>
    </row>
    <row r="170" spans="1:18">
      <c r="A170" s="90"/>
      <c r="B170" s="90"/>
      <c r="C170" s="90"/>
      <c r="D170" s="90"/>
      <c r="E170" s="90"/>
      <c r="F170" s="90"/>
      <c r="G170" s="90"/>
      <c r="H170" s="90"/>
      <c r="I170" s="90"/>
      <c r="J170" s="90"/>
      <c r="K170" s="90"/>
      <c r="L170" s="90"/>
      <c r="M170" s="90"/>
      <c r="N170" s="90"/>
      <c r="O170" s="90"/>
      <c r="P170" s="90"/>
      <c r="Q170" s="90"/>
      <c r="R170" s="90"/>
    </row>
    <row r="171" spans="1:18">
      <c r="A171" s="90"/>
      <c r="B171" s="90"/>
      <c r="C171" s="90"/>
      <c r="D171" s="90"/>
      <c r="E171" s="90"/>
      <c r="F171" s="90"/>
      <c r="G171" s="90"/>
      <c r="H171" s="90"/>
      <c r="I171" s="90"/>
      <c r="J171" s="90"/>
      <c r="K171" s="90"/>
      <c r="L171" s="90"/>
      <c r="M171" s="90"/>
      <c r="N171" s="90"/>
      <c r="O171" s="90"/>
      <c r="P171" s="90"/>
      <c r="Q171" s="90"/>
      <c r="R171" s="90"/>
    </row>
    <row r="172" spans="1:18">
      <c r="A172" s="90"/>
      <c r="B172" s="90"/>
      <c r="C172" s="90"/>
      <c r="D172" s="90"/>
      <c r="E172" s="90"/>
      <c r="F172" s="90"/>
      <c r="G172" s="90"/>
      <c r="H172" s="90"/>
      <c r="I172" s="90"/>
      <c r="J172" s="90"/>
      <c r="K172" s="90"/>
      <c r="L172" s="90"/>
      <c r="M172" s="90"/>
      <c r="N172" s="90"/>
      <c r="O172" s="90"/>
      <c r="P172" s="90"/>
      <c r="Q172" s="90"/>
      <c r="R172" s="90"/>
    </row>
    <row r="173" spans="1:18">
      <c r="A173" s="90"/>
      <c r="B173" s="90"/>
      <c r="C173" s="90"/>
      <c r="D173" s="90"/>
      <c r="E173" s="90"/>
      <c r="F173" s="90"/>
      <c r="G173" s="90"/>
      <c r="H173" s="90"/>
      <c r="I173" s="90"/>
      <c r="J173" s="90"/>
      <c r="K173" s="90"/>
      <c r="L173" s="90"/>
      <c r="M173" s="90"/>
      <c r="N173" s="90"/>
      <c r="O173" s="90"/>
      <c r="P173" s="90"/>
      <c r="Q173" s="90"/>
      <c r="R173" s="90"/>
    </row>
    <row r="174" spans="1:18">
      <c r="A174" s="90"/>
      <c r="B174" s="90"/>
      <c r="C174" s="90"/>
      <c r="D174" s="90"/>
      <c r="E174" s="90"/>
      <c r="F174" s="90"/>
      <c r="G174" s="90"/>
      <c r="H174" s="90"/>
      <c r="I174" s="90"/>
      <c r="J174" s="90"/>
      <c r="K174" s="90"/>
      <c r="L174" s="90"/>
      <c r="M174" s="90"/>
      <c r="N174" s="90"/>
      <c r="O174" s="90"/>
      <c r="P174" s="90"/>
      <c r="Q174" s="90"/>
      <c r="R174" s="90"/>
    </row>
    <row r="175" spans="1:18">
      <c r="A175" s="90"/>
      <c r="B175" s="90"/>
      <c r="C175" s="90"/>
      <c r="D175" s="90"/>
      <c r="E175" s="90"/>
      <c r="F175" s="90"/>
      <c r="G175" s="90"/>
      <c r="H175" s="90"/>
      <c r="I175" s="90"/>
      <c r="J175" s="90"/>
      <c r="K175" s="90"/>
      <c r="L175" s="90"/>
      <c r="M175" s="90"/>
      <c r="N175" s="90"/>
      <c r="O175" s="90"/>
      <c r="P175" s="90"/>
      <c r="Q175" s="90"/>
      <c r="R175" s="90"/>
    </row>
    <row r="176" spans="1:18">
      <c r="A176" s="90"/>
      <c r="B176" s="90"/>
      <c r="C176" s="90"/>
      <c r="D176" s="90"/>
      <c r="E176" s="90"/>
      <c r="F176" s="90"/>
      <c r="G176" s="90"/>
      <c r="H176" s="90"/>
      <c r="I176" s="90"/>
      <c r="J176" s="90"/>
      <c r="K176" s="90"/>
      <c r="L176" s="90"/>
      <c r="M176" s="90"/>
      <c r="N176" s="90"/>
      <c r="O176" s="90"/>
      <c r="P176" s="90"/>
      <c r="Q176" s="90"/>
      <c r="R176" s="90"/>
    </row>
    <row r="177" spans="1:18">
      <c r="A177" s="90"/>
      <c r="B177" s="90"/>
      <c r="C177" s="90"/>
      <c r="D177" s="90"/>
      <c r="E177" s="90"/>
      <c r="F177" s="90"/>
      <c r="G177" s="90"/>
      <c r="H177" s="90"/>
      <c r="I177" s="90"/>
      <c r="J177" s="90"/>
      <c r="K177" s="90"/>
      <c r="L177" s="90"/>
      <c r="M177" s="90"/>
      <c r="N177" s="90"/>
      <c r="O177" s="90"/>
      <c r="P177" s="90"/>
      <c r="Q177" s="90"/>
      <c r="R177" s="90"/>
    </row>
    <row r="178" spans="1:18">
      <c r="A178" s="90"/>
      <c r="B178" s="90"/>
      <c r="C178" s="90"/>
      <c r="D178" s="90"/>
      <c r="E178" s="90"/>
      <c r="F178" s="90"/>
      <c r="G178" s="90"/>
      <c r="H178" s="90"/>
      <c r="I178" s="90"/>
      <c r="J178" s="90"/>
      <c r="K178" s="90"/>
      <c r="L178" s="90"/>
      <c r="M178" s="90"/>
      <c r="N178" s="90"/>
      <c r="O178" s="90"/>
      <c r="P178" s="90"/>
      <c r="Q178" s="90"/>
      <c r="R178" s="90"/>
    </row>
    <row r="179" spans="1:18">
      <c r="A179" s="90"/>
      <c r="B179" s="90"/>
      <c r="C179" s="90"/>
      <c r="D179" s="90"/>
      <c r="E179" s="90"/>
      <c r="F179" s="90"/>
      <c r="G179" s="90"/>
      <c r="H179" s="90"/>
      <c r="I179" s="90"/>
      <c r="J179" s="90"/>
      <c r="K179" s="90"/>
      <c r="L179" s="90"/>
      <c r="M179" s="90"/>
      <c r="N179" s="90"/>
      <c r="O179" s="90"/>
      <c r="P179" s="90"/>
      <c r="Q179" s="90"/>
      <c r="R179" s="90"/>
    </row>
    <row r="180" spans="1:18">
      <c r="A180" s="90"/>
      <c r="B180" s="90"/>
      <c r="C180" s="90"/>
      <c r="D180" s="90"/>
      <c r="E180" s="90"/>
      <c r="F180" s="90"/>
      <c r="G180" s="90"/>
      <c r="H180" s="90"/>
      <c r="I180" s="90"/>
      <c r="J180" s="90"/>
      <c r="K180" s="90"/>
      <c r="L180" s="90"/>
      <c r="M180" s="90"/>
      <c r="N180" s="90"/>
      <c r="O180" s="90"/>
      <c r="P180" s="90"/>
      <c r="Q180" s="90"/>
      <c r="R180" s="90"/>
    </row>
    <row r="181" spans="1:18">
      <c r="A181" s="90"/>
      <c r="B181" s="90"/>
      <c r="C181" s="90"/>
      <c r="D181" s="90"/>
      <c r="E181" s="90"/>
      <c r="F181" s="90"/>
      <c r="G181" s="90"/>
      <c r="H181" s="90"/>
      <c r="I181" s="90"/>
      <c r="J181" s="90"/>
      <c r="K181" s="90"/>
      <c r="L181" s="90"/>
      <c r="M181" s="90"/>
      <c r="N181" s="90"/>
      <c r="O181" s="90"/>
      <c r="P181" s="90"/>
      <c r="Q181" s="90"/>
      <c r="R181" s="90"/>
    </row>
    <row r="182" spans="1:18">
      <c r="A182" s="90"/>
      <c r="B182" s="90"/>
      <c r="C182" s="90"/>
      <c r="D182" s="90"/>
      <c r="E182" s="90"/>
      <c r="F182" s="90"/>
      <c r="G182" s="90"/>
      <c r="H182" s="90"/>
      <c r="I182" s="90"/>
      <c r="J182" s="90"/>
      <c r="K182" s="90"/>
      <c r="L182" s="90"/>
      <c r="M182" s="90"/>
      <c r="N182" s="90"/>
      <c r="O182" s="90"/>
      <c r="P182" s="90"/>
      <c r="Q182" s="90"/>
      <c r="R182" s="90"/>
    </row>
    <row r="183" spans="1:18">
      <c r="A183" s="90"/>
      <c r="B183" s="90"/>
      <c r="C183" s="90"/>
      <c r="D183" s="90"/>
      <c r="E183" s="90"/>
      <c r="F183" s="90"/>
      <c r="G183" s="90"/>
      <c r="H183" s="90"/>
      <c r="I183" s="90"/>
      <c r="J183" s="90"/>
      <c r="K183" s="90"/>
      <c r="L183" s="90"/>
      <c r="M183" s="90"/>
      <c r="N183" s="90"/>
      <c r="O183" s="90"/>
      <c r="P183" s="90"/>
      <c r="Q183" s="90"/>
      <c r="R183" s="90"/>
    </row>
    <row r="184" spans="1:18">
      <c r="A184" s="90"/>
      <c r="B184" s="90"/>
      <c r="C184" s="90"/>
      <c r="D184" s="90"/>
      <c r="E184" s="90"/>
      <c r="F184" s="90"/>
      <c r="G184" s="90"/>
      <c r="H184" s="90"/>
      <c r="I184" s="90"/>
      <c r="J184" s="90"/>
      <c r="K184" s="90"/>
      <c r="L184" s="90"/>
      <c r="M184" s="90"/>
      <c r="N184" s="90"/>
      <c r="O184" s="90"/>
      <c r="P184" s="90"/>
      <c r="Q184" s="90"/>
      <c r="R184" s="90"/>
    </row>
    <row r="185" spans="1:18">
      <c r="A185" s="90"/>
      <c r="B185" s="90"/>
      <c r="C185" s="90"/>
      <c r="D185" s="90"/>
      <c r="E185" s="90"/>
      <c r="F185" s="90"/>
      <c r="G185" s="90"/>
      <c r="H185" s="90"/>
      <c r="I185" s="90"/>
      <c r="J185" s="90"/>
      <c r="K185" s="90"/>
      <c r="L185" s="90"/>
      <c r="M185" s="90"/>
      <c r="N185" s="90"/>
      <c r="O185" s="90"/>
      <c r="P185" s="90"/>
      <c r="Q185" s="90"/>
      <c r="R185" s="90"/>
    </row>
    <row r="186" spans="1:18">
      <c r="A186" s="90"/>
      <c r="B186" s="90"/>
      <c r="C186" s="90"/>
      <c r="D186" s="90"/>
      <c r="E186" s="90"/>
      <c r="F186" s="90"/>
      <c r="G186" s="90"/>
      <c r="H186" s="90"/>
      <c r="I186" s="90"/>
      <c r="J186" s="90"/>
      <c r="K186" s="90"/>
      <c r="L186" s="90"/>
      <c r="M186" s="90"/>
      <c r="N186" s="90"/>
      <c r="O186" s="90"/>
      <c r="P186" s="90"/>
      <c r="Q186" s="90"/>
      <c r="R186" s="90"/>
    </row>
    <row r="187" spans="1:18">
      <c r="A187" s="90"/>
      <c r="B187" s="90"/>
      <c r="C187" s="90"/>
      <c r="D187" s="90"/>
      <c r="E187" s="90"/>
      <c r="F187" s="90"/>
      <c r="G187" s="90"/>
      <c r="H187" s="90"/>
      <c r="I187" s="90"/>
      <c r="J187" s="90"/>
      <c r="K187" s="90"/>
      <c r="L187" s="90"/>
      <c r="M187" s="90"/>
      <c r="N187" s="90"/>
      <c r="O187" s="90"/>
      <c r="P187" s="90"/>
      <c r="Q187" s="90"/>
      <c r="R187" s="90"/>
    </row>
    <row r="188" spans="1:18">
      <c r="A188" s="90"/>
      <c r="B188" s="90"/>
      <c r="C188" s="90"/>
      <c r="D188" s="90"/>
      <c r="E188" s="90"/>
      <c r="F188" s="90"/>
      <c r="G188" s="90"/>
      <c r="H188" s="90"/>
      <c r="I188" s="90"/>
      <c r="J188" s="90"/>
      <c r="K188" s="90"/>
      <c r="L188" s="90"/>
      <c r="M188" s="90"/>
      <c r="N188" s="90"/>
      <c r="O188" s="90"/>
      <c r="P188" s="90"/>
      <c r="Q188" s="90"/>
      <c r="R188" s="90"/>
    </row>
    <row r="189" spans="1:18">
      <c r="A189" s="90"/>
      <c r="B189" s="90"/>
      <c r="C189" s="90"/>
      <c r="D189" s="90"/>
      <c r="E189" s="90"/>
      <c r="F189" s="90"/>
      <c r="G189" s="90"/>
      <c r="H189" s="90"/>
      <c r="I189" s="90"/>
      <c r="J189" s="90"/>
      <c r="K189" s="90"/>
      <c r="L189" s="90"/>
      <c r="M189" s="90"/>
      <c r="N189" s="90"/>
      <c r="O189" s="90"/>
      <c r="P189" s="90"/>
      <c r="Q189" s="90"/>
      <c r="R189" s="90"/>
    </row>
    <row r="190" spans="1:18">
      <c r="A190" s="90"/>
      <c r="B190" s="90"/>
      <c r="C190" s="90"/>
      <c r="D190" s="90"/>
      <c r="E190" s="90"/>
      <c r="F190" s="90"/>
      <c r="G190" s="90"/>
      <c r="H190" s="90"/>
      <c r="I190" s="90"/>
      <c r="J190" s="90"/>
      <c r="K190" s="90"/>
      <c r="L190" s="90"/>
      <c r="M190" s="90"/>
      <c r="N190" s="90"/>
      <c r="O190" s="90"/>
      <c r="P190" s="90"/>
      <c r="Q190" s="90"/>
      <c r="R190" s="90"/>
    </row>
    <row r="191" spans="1:18">
      <c r="A191" s="90"/>
      <c r="B191" s="90"/>
      <c r="C191" s="90"/>
      <c r="D191" s="90"/>
      <c r="E191" s="90"/>
      <c r="F191" s="90"/>
      <c r="G191" s="90"/>
      <c r="H191" s="90"/>
      <c r="I191" s="90"/>
      <c r="J191" s="90"/>
      <c r="K191" s="90"/>
      <c r="L191" s="90"/>
      <c r="M191" s="90"/>
      <c r="N191" s="90"/>
      <c r="O191" s="90"/>
      <c r="P191" s="90"/>
      <c r="Q191" s="90"/>
      <c r="R191" s="90"/>
    </row>
    <row r="192" spans="1:18">
      <c r="A192" s="90"/>
      <c r="B192" s="90"/>
      <c r="C192" s="90"/>
      <c r="D192" s="90"/>
      <c r="E192" s="90"/>
      <c r="F192" s="90"/>
      <c r="G192" s="90"/>
      <c r="H192" s="90"/>
      <c r="I192" s="90"/>
      <c r="J192" s="90"/>
      <c r="K192" s="90"/>
      <c r="L192" s="90"/>
      <c r="M192" s="90"/>
      <c r="N192" s="90"/>
      <c r="O192" s="90"/>
      <c r="P192" s="90"/>
      <c r="Q192" s="90"/>
      <c r="R192" s="90"/>
    </row>
    <row r="193" spans="1:18">
      <c r="A193" s="90"/>
      <c r="B193" s="90"/>
      <c r="C193" s="90"/>
      <c r="D193" s="90"/>
      <c r="E193" s="90"/>
      <c r="F193" s="90"/>
      <c r="G193" s="90"/>
      <c r="H193" s="90"/>
      <c r="I193" s="90"/>
      <c r="J193" s="90"/>
      <c r="K193" s="90"/>
      <c r="L193" s="90"/>
      <c r="M193" s="90"/>
      <c r="N193" s="90"/>
      <c r="O193" s="90"/>
      <c r="P193" s="90"/>
      <c r="Q193" s="90"/>
      <c r="R193" s="90"/>
    </row>
    <row r="194" spans="1:18">
      <c r="A194" s="90"/>
      <c r="B194" s="90"/>
      <c r="C194" s="90"/>
      <c r="D194" s="90"/>
      <c r="E194" s="90"/>
      <c r="F194" s="90"/>
      <c r="G194" s="90"/>
      <c r="H194" s="90"/>
      <c r="I194" s="90"/>
      <c r="J194" s="90"/>
      <c r="K194" s="90"/>
      <c r="L194" s="90"/>
      <c r="M194" s="90"/>
      <c r="N194" s="90"/>
      <c r="O194" s="90"/>
      <c r="P194" s="90"/>
      <c r="Q194" s="90"/>
      <c r="R194" s="90"/>
    </row>
    <row r="195" spans="1:18">
      <c r="A195" s="90"/>
      <c r="B195" s="90"/>
      <c r="C195" s="90"/>
      <c r="D195" s="90"/>
      <c r="E195" s="90"/>
      <c r="F195" s="90"/>
      <c r="G195" s="90"/>
      <c r="H195" s="90"/>
      <c r="I195" s="90"/>
      <c r="J195" s="90"/>
      <c r="K195" s="90"/>
      <c r="L195" s="90"/>
      <c r="M195" s="90"/>
      <c r="N195" s="90"/>
      <c r="O195" s="90"/>
      <c r="P195" s="90"/>
      <c r="Q195" s="90"/>
      <c r="R195" s="90"/>
    </row>
    <row r="196" spans="1:18">
      <c r="A196" s="90"/>
      <c r="B196" s="90"/>
      <c r="C196" s="90"/>
      <c r="D196" s="90"/>
      <c r="E196" s="90"/>
      <c r="F196" s="90"/>
      <c r="G196" s="90"/>
      <c r="H196" s="90"/>
      <c r="I196" s="90"/>
      <c r="J196" s="90"/>
      <c r="K196" s="90"/>
      <c r="L196" s="90"/>
      <c r="M196" s="90"/>
      <c r="N196" s="90"/>
      <c r="O196" s="90"/>
      <c r="P196" s="90"/>
      <c r="Q196" s="90"/>
      <c r="R196" s="90"/>
    </row>
    <row r="197" spans="1:18">
      <c r="A197" s="90"/>
      <c r="B197" s="90"/>
      <c r="C197" s="90"/>
      <c r="D197" s="90"/>
      <c r="E197" s="90"/>
      <c r="F197" s="90"/>
      <c r="G197" s="90"/>
      <c r="H197" s="90"/>
      <c r="I197" s="90"/>
      <c r="J197" s="90"/>
      <c r="K197" s="90"/>
      <c r="L197" s="90"/>
      <c r="M197" s="90"/>
      <c r="N197" s="90"/>
      <c r="O197" s="90"/>
      <c r="P197" s="90"/>
      <c r="Q197" s="90"/>
      <c r="R197" s="90"/>
    </row>
    <row r="198" spans="1:18">
      <c r="A198" s="90"/>
      <c r="B198" s="90"/>
      <c r="C198" s="90"/>
      <c r="D198" s="90"/>
      <c r="E198" s="90"/>
      <c r="F198" s="90"/>
      <c r="G198" s="90"/>
      <c r="H198" s="90"/>
      <c r="I198" s="90"/>
      <c r="J198" s="90"/>
      <c r="K198" s="90"/>
      <c r="L198" s="90"/>
      <c r="M198" s="90"/>
      <c r="N198" s="90"/>
      <c r="O198" s="90"/>
      <c r="P198" s="90"/>
      <c r="Q198" s="90"/>
      <c r="R198" s="90"/>
    </row>
    <row r="199" spans="1:18">
      <c r="A199" s="90"/>
      <c r="B199" s="90"/>
      <c r="C199" s="90"/>
      <c r="D199" s="90"/>
      <c r="E199" s="90"/>
      <c r="F199" s="90"/>
      <c r="G199" s="90"/>
      <c r="H199" s="90"/>
      <c r="I199" s="90"/>
      <c r="J199" s="90"/>
      <c r="K199" s="90"/>
      <c r="L199" s="90"/>
      <c r="M199" s="90"/>
      <c r="N199" s="90"/>
      <c r="O199" s="90"/>
      <c r="P199" s="90"/>
      <c r="Q199" s="90"/>
      <c r="R199" s="90"/>
    </row>
    <row r="200" spans="1:18">
      <c r="A200" s="90"/>
      <c r="B200" s="90"/>
      <c r="C200" s="90"/>
      <c r="D200" s="90"/>
      <c r="E200" s="90"/>
      <c r="F200" s="90"/>
      <c r="G200" s="90"/>
      <c r="H200" s="90"/>
      <c r="I200" s="90"/>
      <c r="J200" s="90"/>
      <c r="K200" s="90"/>
      <c r="L200" s="90"/>
      <c r="M200" s="90"/>
      <c r="N200" s="90"/>
      <c r="O200" s="90"/>
      <c r="P200" s="90"/>
      <c r="Q200" s="90"/>
      <c r="R200" s="90"/>
    </row>
    <row r="201" spans="1:18">
      <c r="A201" s="90"/>
      <c r="B201" s="90"/>
      <c r="C201" s="90"/>
      <c r="D201" s="90"/>
      <c r="E201" s="90"/>
      <c r="F201" s="90"/>
      <c r="G201" s="90"/>
      <c r="H201" s="90"/>
      <c r="I201" s="90"/>
      <c r="J201" s="90"/>
      <c r="K201" s="90"/>
      <c r="L201" s="90"/>
      <c r="M201" s="90"/>
      <c r="N201" s="90"/>
      <c r="O201" s="90"/>
      <c r="P201" s="90"/>
      <c r="Q201" s="90"/>
      <c r="R201" s="90"/>
    </row>
    <row r="202" spans="1:18">
      <c r="A202" s="90"/>
      <c r="B202" s="90"/>
      <c r="C202" s="90"/>
      <c r="D202" s="90"/>
      <c r="E202" s="90"/>
      <c r="F202" s="90"/>
      <c r="G202" s="90"/>
      <c r="H202" s="90"/>
      <c r="I202" s="90"/>
      <c r="J202" s="90"/>
      <c r="K202" s="90"/>
      <c r="L202" s="90"/>
      <c r="M202" s="90"/>
      <c r="N202" s="90"/>
      <c r="O202" s="90"/>
      <c r="P202" s="90"/>
      <c r="Q202" s="90"/>
      <c r="R202" s="90"/>
    </row>
    <row r="203" spans="1:18">
      <c r="A203" s="90"/>
      <c r="B203" s="90"/>
      <c r="C203" s="90"/>
      <c r="D203" s="90"/>
      <c r="E203" s="90"/>
      <c r="F203" s="90"/>
      <c r="G203" s="90"/>
      <c r="H203" s="90"/>
      <c r="I203" s="90"/>
      <c r="J203" s="90"/>
      <c r="K203" s="90"/>
      <c r="L203" s="90"/>
      <c r="M203" s="90"/>
      <c r="N203" s="90"/>
      <c r="O203" s="90"/>
      <c r="P203" s="90"/>
      <c r="Q203" s="90"/>
      <c r="R203" s="90"/>
    </row>
    <row r="204" spans="1:18">
      <c r="A204" s="90"/>
      <c r="B204" s="90"/>
      <c r="C204" s="90"/>
      <c r="D204" s="90"/>
      <c r="E204" s="90"/>
      <c r="F204" s="90"/>
      <c r="G204" s="90"/>
      <c r="H204" s="90"/>
      <c r="I204" s="90"/>
      <c r="J204" s="90"/>
      <c r="K204" s="90"/>
      <c r="L204" s="90"/>
      <c r="M204" s="90"/>
      <c r="N204" s="90"/>
      <c r="O204" s="90"/>
      <c r="P204" s="90"/>
      <c r="Q204" s="90"/>
      <c r="R204" s="90"/>
    </row>
    <row r="205" spans="1:18">
      <c r="A205" s="90"/>
      <c r="B205" s="90"/>
      <c r="C205" s="90"/>
      <c r="D205" s="90"/>
      <c r="E205" s="90"/>
      <c r="F205" s="90"/>
      <c r="G205" s="90"/>
      <c r="H205" s="90"/>
      <c r="I205" s="90"/>
      <c r="J205" s="90"/>
      <c r="K205" s="90"/>
      <c r="L205" s="90"/>
      <c r="M205" s="90"/>
      <c r="N205" s="90"/>
      <c r="O205" s="90"/>
      <c r="P205" s="90"/>
      <c r="Q205" s="90"/>
      <c r="R205" s="90"/>
    </row>
    <row r="206" spans="1:18">
      <c r="A206" s="90"/>
      <c r="B206" s="90"/>
      <c r="C206" s="90"/>
      <c r="D206" s="90"/>
      <c r="E206" s="90"/>
      <c r="F206" s="90"/>
      <c r="G206" s="90"/>
      <c r="H206" s="90"/>
      <c r="I206" s="90"/>
      <c r="J206" s="90"/>
      <c r="K206" s="90"/>
      <c r="L206" s="90"/>
      <c r="M206" s="90"/>
      <c r="N206" s="90"/>
      <c r="O206" s="90"/>
      <c r="P206" s="90"/>
      <c r="Q206" s="90"/>
      <c r="R206" s="90"/>
    </row>
    <row r="207" spans="1:18">
      <c r="A207" s="90"/>
      <c r="B207" s="90"/>
      <c r="C207" s="90"/>
      <c r="D207" s="90"/>
      <c r="E207" s="90"/>
      <c r="F207" s="90"/>
      <c r="G207" s="90"/>
      <c r="H207" s="90"/>
      <c r="I207" s="90"/>
      <c r="J207" s="90"/>
      <c r="K207" s="90"/>
      <c r="L207" s="90"/>
      <c r="M207" s="90"/>
      <c r="N207" s="90"/>
      <c r="O207" s="90"/>
      <c r="P207" s="90"/>
      <c r="Q207" s="90"/>
      <c r="R207" s="90"/>
    </row>
    <row r="208" spans="1:18">
      <c r="A208" s="90"/>
      <c r="B208" s="90"/>
      <c r="C208" s="90"/>
      <c r="D208" s="90"/>
      <c r="E208" s="90"/>
      <c r="F208" s="90"/>
      <c r="G208" s="90"/>
      <c r="H208" s="90"/>
      <c r="I208" s="90"/>
      <c r="J208" s="90"/>
      <c r="K208" s="90"/>
      <c r="L208" s="90"/>
      <c r="M208" s="90"/>
      <c r="N208" s="90"/>
      <c r="O208" s="90"/>
      <c r="P208" s="90"/>
      <c r="Q208" s="90"/>
      <c r="R208" s="90"/>
    </row>
    <row r="209" spans="1:18">
      <c r="A209" s="90"/>
      <c r="B209" s="90"/>
      <c r="C209" s="90"/>
      <c r="D209" s="90"/>
      <c r="E209" s="90"/>
      <c r="F209" s="90"/>
      <c r="G209" s="90"/>
      <c r="H209" s="90"/>
      <c r="I209" s="90"/>
      <c r="J209" s="90"/>
      <c r="K209" s="90"/>
      <c r="L209" s="90"/>
      <c r="M209" s="90"/>
      <c r="N209" s="90"/>
      <c r="O209" s="90"/>
      <c r="P209" s="90"/>
      <c r="Q209" s="90"/>
      <c r="R209" s="90"/>
    </row>
    <row r="210" spans="1:18">
      <c r="A210" s="90"/>
      <c r="B210" s="90"/>
      <c r="C210" s="90"/>
      <c r="D210" s="90"/>
      <c r="E210" s="90"/>
      <c r="F210" s="90"/>
      <c r="G210" s="90"/>
      <c r="H210" s="90"/>
      <c r="I210" s="90"/>
      <c r="J210" s="90"/>
      <c r="K210" s="90"/>
      <c r="L210" s="90"/>
      <c r="M210" s="90"/>
      <c r="N210" s="90"/>
      <c r="O210" s="90"/>
      <c r="P210" s="90"/>
      <c r="Q210" s="90"/>
      <c r="R210" s="90"/>
    </row>
    <row r="211" spans="1:18">
      <c r="A211" s="90"/>
      <c r="B211" s="90"/>
      <c r="C211" s="90"/>
      <c r="D211" s="90"/>
      <c r="E211" s="90"/>
      <c r="F211" s="90"/>
      <c r="G211" s="90"/>
      <c r="H211" s="90"/>
      <c r="I211" s="90"/>
      <c r="J211" s="90"/>
      <c r="K211" s="90"/>
      <c r="L211" s="90"/>
      <c r="M211" s="90"/>
      <c r="N211" s="90"/>
      <c r="O211" s="90"/>
      <c r="P211" s="90"/>
      <c r="Q211" s="90"/>
      <c r="R211" s="90"/>
    </row>
    <row r="212" spans="1:18">
      <c r="A212" s="90"/>
      <c r="B212" s="90"/>
      <c r="C212" s="90"/>
      <c r="D212" s="90"/>
      <c r="E212" s="90"/>
      <c r="F212" s="90"/>
      <c r="G212" s="90"/>
      <c r="H212" s="90"/>
      <c r="I212" s="90"/>
      <c r="J212" s="90"/>
      <c r="K212" s="90"/>
      <c r="L212" s="90"/>
      <c r="M212" s="90"/>
      <c r="N212" s="90"/>
      <c r="O212" s="90"/>
      <c r="P212" s="90"/>
      <c r="Q212" s="90"/>
      <c r="R212" s="90"/>
    </row>
    <row r="213" spans="1:18">
      <c r="A213" s="90"/>
      <c r="B213" s="90"/>
      <c r="C213" s="90"/>
      <c r="D213" s="90"/>
      <c r="E213" s="90"/>
      <c r="F213" s="90"/>
      <c r="G213" s="90"/>
      <c r="H213" s="90"/>
      <c r="I213" s="90"/>
      <c r="J213" s="90"/>
      <c r="K213" s="90"/>
      <c r="L213" s="90"/>
      <c r="M213" s="90"/>
      <c r="N213" s="90"/>
      <c r="O213" s="90"/>
      <c r="P213" s="90"/>
      <c r="Q213" s="90"/>
      <c r="R213" s="90"/>
    </row>
    <row r="214" spans="1:18">
      <c r="A214" s="90"/>
      <c r="B214" s="90"/>
      <c r="C214" s="90"/>
      <c r="D214" s="90"/>
      <c r="E214" s="90"/>
      <c r="F214" s="90"/>
      <c r="G214" s="90"/>
      <c r="H214" s="90"/>
      <c r="I214" s="90"/>
      <c r="J214" s="90"/>
      <c r="K214" s="90"/>
      <c r="L214" s="90"/>
      <c r="M214" s="90"/>
      <c r="N214" s="90"/>
      <c r="O214" s="90"/>
      <c r="P214" s="90"/>
      <c r="Q214" s="90"/>
      <c r="R214" s="90"/>
    </row>
    <row r="215" spans="1:18">
      <c r="A215" s="90"/>
      <c r="B215" s="90"/>
      <c r="C215" s="90"/>
      <c r="D215" s="90"/>
      <c r="E215" s="90"/>
      <c r="F215" s="90"/>
      <c r="G215" s="90"/>
      <c r="H215" s="90"/>
      <c r="I215" s="90"/>
      <c r="J215" s="90"/>
      <c r="K215" s="90"/>
      <c r="L215" s="90"/>
      <c r="M215" s="90"/>
      <c r="N215" s="90"/>
      <c r="O215" s="90"/>
      <c r="P215" s="90"/>
      <c r="Q215" s="90"/>
      <c r="R215" s="90"/>
    </row>
    <row r="216" spans="1:18">
      <c r="A216" s="90"/>
      <c r="B216" s="90"/>
      <c r="C216" s="90"/>
      <c r="D216" s="90"/>
      <c r="E216" s="90"/>
      <c r="F216" s="90"/>
      <c r="G216" s="90"/>
      <c r="H216" s="90"/>
      <c r="I216" s="90"/>
      <c r="J216" s="90"/>
      <c r="K216" s="90"/>
      <c r="L216" s="90"/>
      <c r="M216" s="90"/>
      <c r="N216" s="90"/>
      <c r="O216" s="90"/>
      <c r="P216" s="90"/>
      <c r="Q216" s="90"/>
      <c r="R216" s="90"/>
    </row>
    <row r="217" spans="1:18">
      <c r="A217" s="90"/>
      <c r="B217" s="90"/>
      <c r="C217" s="90"/>
      <c r="D217" s="90"/>
      <c r="E217" s="90"/>
      <c r="F217" s="90"/>
      <c r="G217" s="90"/>
      <c r="H217" s="90"/>
      <c r="I217" s="90"/>
      <c r="J217" s="90"/>
      <c r="K217" s="90"/>
      <c r="L217" s="90"/>
      <c r="M217" s="90"/>
      <c r="N217" s="90"/>
      <c r="O217" s="90"/>
      <c r="P217" s="90"/>
      <c r="Q217" s="90"/>
      <c r="R217" s="90"/>
    </row>
    <row r="218" spans="1:18">
      <c r="A218" s="90"/>
      <c r="B218" s="90"/>
      <c r="C218" s="90"/>
      <c r="D218" s="90"/>
      <c r="E218" s="90"/>
      <c r="F218" s="90"/>
      <c r="G218" s="90"/>
      <c r="H218" s="90"/>
      <c r="I218" s="90"/>
      <c r="J218" s="90"/>
      <c r="K218" s="90"/>
      <c r="L218" s="90"/>
      <c r="M218" s="90"/>
      <c r="N218" s="90"/>
      <c r="O218" s="90"/>
      <c r="P218" s="90"/>
      <c r="Q218" s="90"/>
      <c r="R218" s="90"/>
    </row>
    <row r="219" spans="1:18">
      <c r="A219" s="90"/>
      <c r="B219" s="90"/>
      <c r="C219" s="90"/>
      <c r="D219" s="90"/>
      <c r="E219" s="90"/>
      <c r="F219" s="90"/>
      <c r="G219" s="90"/>
      <c r="H219" s="90"/>
      <c r="I219" s="90"/>
      <c r="J219" s="90"/>
      <c r="K219" s="90"/>
      <c r="L219" s="90"/>
      <c r="M219" s="90"/>
      <c r="N219" s="90"/>
      <c r="O219" s="90"/>
      <c r="P219" s="90"/>
      <c r="Q219" s="90"/>
      <c r="R219" s="90"/>
    </row>
    <row r="220" spans="1:18">
      <c r="A220" s="90"/>
      <c r="B220" s="90"/>
      <c r="C220" s="90"/>
      <c r="D220" s="90"/>
      <c r="E220" s="90"/>
      <c r="F220" s="90"/>
      <c r="G220" s="90"/>
      <c r="H220" s="90"/>
      <c r="I220" s="90"/>
      <c r="J220" s="90"/>
      <c r="K220" s="90"/>
      <c r="L220" s="90"/>
      <c r="M220" s="90"/>
      <c r="N220" s="90"/>
      <c r="O220" s="90"/>
      <c r="P220" s="90"/>
      <c r="Q220" s="90"/>
      <c r="R220" s="90"/>
    </row>
    <row r="221" spans="1:18">
      <c r="A221" s="90"/>
      <c r="B221" s="90"/>
      <c r="C221" s="90"/>
      <c r="D221" s="90"/>
      <c r="E221" s="90"/>
      <c r="F221" s="90"/>
      <c r="G221" s="90"/>
      <c r="H221" s="90"/>
      <c r="I221" s="90"/>
      <c r="J221" s="90"/>
      <c r="K221" s="90"/>
      <c r="L221" s="90"/>
      <c r="M221" s="90"/>
      <c r="N221" s="90"/>
      <c r="O221" s="90"/>
      <c r="P221" s="90"/>
      <c r="Q221" s="90"/>
      <c r="R221" s="90"/>
    </row>
    <row r="222" spans="1:18">
      <c r="A222" s="90"/>
      <c r="B222" s="90"/>
      <c r="C222" s="90"/>
      <c r="D222" s="90"/>
      <c r="E222" s="90"/>
      <c r="F222" s="90"/>
      <c r="G222" s="90"/>
      <c r="H222" s="90"/>
      <c r="I222" s="90"/>
      <c r="J222" s="90"/>
      <c r="K222" s="90"/>
      <c r="L222" s="90"/>
      <c r="M222" s="90"/>
      <c r="N222" s="90"/>
      <c r="O222" s="90"/>
      <c r="P222" s="90"/>
      <c r="Q222" s="90"/>
      <c r="R222" s="90"/>
    </row>
    <row r="223" spans="1:18">
      <c r="A223" s="90"/>
      <c r="B223" s="90"/>
      <c r="C223" s="90"/>
      <c r="D223" s="90"/>
      <c r="E223" s="90"/>
      <c r="F223" s="90"/>
      <c r="G223" s="90"/>
      <c r="H223" s="90"/>
      <c r="I223" s="90"/>
      <c r="J223" s="90"/>
      <c r="K223" s="90"/>
      <c r="L223" s="90"/>
      <c r="M223" s="90"/>
      <c r="N223" s="90"/>
      <c r="O223" s="90"/>
      <c r="P223" s="90"/>
      <c r="Q223" s="90"/>
      <c r="R223" s="90"/>
    </row>
    <row r="224" spans="1:18">
      <c r="A224" s="90"/>
      <c r="B224" s="90"/>
      <c r="C224" s="90"/>
      <c r="D224" s="90"/>
      <c r="E224" s="90"/>
      <c r="F224" s="90"/>
      <c r="G224" s="90"/>
      <c r="H224" s="90"/>
      <c r="I224" s="90"/>
      <c r="J224" s="90"/>
      <c r="K224" s="90"/>
      <c r="L224" s="90"/>
      <c r="M224" s="90"/>
      <c r="N224" s="90"/>
      <c r="O224" s="90"/>
      <c r="P224" s="90"/>
      <c r="Q224" s="90"/>
      <c r="R224" s="90"/>
    </row>
    <row r="225" spans="1:18">
      <c r="A225" s="90"/>
      <c r="B225" s="90"/>
      <c r="C225" s="90"/>
      <c r="D225" s="90"/>
      <c r="E225" s="90"/>
      <c r="F225" s="90"/>
      <c r="G225" s="90"/>
      <c r="H225" s="90"/>
      <c r="I225" s="90"/>
      <c r="J225" s="90"/>
      <c r="K225" s="90"/>
      <c r="L225" s="90"/>
      <c r="M225" s="90"/>
      <c r="N225" s="90"/>
      <c r="O225" s="90"/>
      <c r="P225" s="90"/>
      <c r="Q225" s="90"/>
      <c r="R225" s="90"/>
    </row>
    <row r="226" spans="1:18">
      <c r="A226" s="90"/>
      <c r="B226" s="90"/>
      <c r="C226" s="90"/>
      <c r="D226" s="90"/>
      <c r="E226" s="90"/>
      <c r="F226" s="90"/>
      <c r="G226" s="90"/>
      <c r="H226" s="90"/>
      <c r="I226" s="90"/>
      <c r="J226" s="90"/>
      <c r="K226" s="90"/>
      <c r="L226" s="90"/>
      <c r="M226" s="90"/>
      <c r="N226" s="90"/>
      <c r="O226" s="90"/>
      <c r="P226" s="90"/>
      <c r="Q226" s="90"/>
      <c r="R226" s="90"/>
    </row>
    <row r="227" spans="1:18">
      <c r="A227" s="90"/>
      <c r="B227" s="90"/>
      <c r="C227" s="90"/>
      <c r="D227" s="90"/>
      <c r="E227" s="90"/>
      <c r="F227" s="90"/>
      <c r="G227" s="90"/>
      <c r="H227" s="90"/>
      <c r="I227" s="90"/>
      <c r="J227" s="90"/>
      <c r="K227" s="90"/>
      <c r="L227" s="90"/>
      <c r="M227" s="90"/>
      <c r="N227" s="90"/>
      <c r="O227" s="90"/>
      <c r="P227" s="90"/>
      <c r="Q227" s="90"/>
      <c r="R227" s="90"/>
    </row>
    <row r="228" spans="1:18">
      <c r="A228" s="90"/>
      <c r="B228" s="90"/>
      <c r="C228" s="90"/>
      <c r="D228" s="90"/>
      <c r="E228" s="90"/>
      <c r="F228" s="90"/>
      <c r="G228" s="90"/>
      <c r="H228" s="90"/>
      <c r="I228" s="90"/>
      <c r="J228" s="90"/>
      <c r="K228" s="90"/>
      <c r="L228" s="90"/>
      <c r="M228" s="90"/>
      <c r="N228" s="90"/>
      <c r="O228" s="90"/>
      <c r="P228" s="90"/>
      <c r="Q228" s="90"/>
      <c r="R228" s="90"/>
    </row>
    <row r="229" spans="1:18">
      <c r="A229" s="90"/>
      <c r="B229" s="90"/>
      <c r="C229" s="90"/>
      <c r="D229" s="90"/>
      <c r="E229" s="90"/>
      <c r="F229" s="90"/>
      <c r="G229" s="90"/>
      <c r="H229" s="90"/>
      <c r="I229" s="90"/>
      <c r="J229" s="90"/>
      <c r="K229" s="90"/>
      <c r="L229" s="90"/>
      <c r="M229" s="90"/>
      <c r="N229" s="90"/>
      <c r="O229" s="90"/>
      <c r="P229" s="90"/>
      <c r="Q229" s="90"/>
      <c r="R229" s="90"/>
    </row>
    <row r="230" spans="1:18">
      <c r="A230" s="90"/>
      <c r="B230" s="90"/>
      <c r="C230" s="90"/>
      <c r="D230" s="90"/>
      <c r="E230" s="90"/>
      <c r="F230" s="90"/>
      <c r="G230" s="90"/>
      <c r="H230" s="90"/>
      <c r="I230" s="90"/>
      <c r="J230" s="90"/>
      <c r="K230" s="90"/>
      <c r="L230" s="90"/>
      <c r="M230" s="90"/>
      <c r="N230" s="90"/>
      <c r="O230" s="90"/>
      <c r="P230" s="90"/>
      <c r="Q230" s="90"/>
      <c r="R230" s="90"/>
    </row>
    <row r="231" spans="1:18">
      <c r="A231" s="90"/>
      <c r="B231" s="90"/>
      <c r="C231" s="90"/>
      <c r="D231" s="90"/>
      <c r="E231" s="90"/>
      <c r="F231" s="90"/>
      <c r="G231" s="90"/>
      <c r="H231" s="90"/>
      <c r="I231" s="90"/>
      <c r="J231" s="90"/>
      <c r="K231" s="90"/>
      <c r="L231" s="90"/>
      <c r="M231" s="90"/>
      <c r="N231" s="90"/>
      <c r="O231" s="90"/>
      <c r="P231" s="90"/>
      <c r="Q231" s="90"/>
      <c r="R231" s="90"/>
    </row>
    <row r="232" spans="1:18">
      <c r="A232" s="90"/>
      <c r="B232" s="90"/>
      <c r="C232" s="90"/>
      <c r="D232" s="90"/>
      <c r="E232" s="90"/>
      <c r="F232" s="90"/>
      <c r="G232" s="90"/>
      <c r="H232" s="90"/>
      <c r="I232" s="90"/>
      <c r="J232" s="90"/>
      <c r="K232" s="90"/>
      <c r="L232" s="90"/>
      <c r="M232" s="90"/>
      <c r="N232" s="90"/>
      <c r="O232" s="90"/>
      <c r="P232" s="90"/>
      <c r="Q232" s="90"/>
      <c r="R232" s="90"/>
    </row>
    <row r="233" spans="1:18">
      <c r="A233" s="90"/>
      <c r="B233" s="90"/>
      <c r="C233" s="90"/>
      <c r="D233" s="90"/>
      <c r="E233" s="90"/>
      <c r="F233" s="90"/>
      <c r="G233" s="90"/>
      <c r="H233" s="90"/>
      <c r="I233" s="90"/>
      <c r="J233" s="90"/>
      <c r="K233" s="90"/>
      <c r="L233" s="90"/>
      <c r="M233" s="90"/>
      <c r="N233" s="90"/>
      <c r="O233" s="90"/>
      <c r="P233" s="90"/>
      <c r="Q233" s="90"/>
      <c r="R233" s="90"/>
    </row>
    <row r="234" spans="1:18">
      <c r="A234" s="90"/>
      <c r="B234" s="90"/>
      <c r="C234" s="90"/>
      <c r="D234" s="90"/>
      <c r="E234" s="90"/>
      <c r="F234" s="90"/>
      <c r="G234" s="90"/>
      <c r="H234" s="90"/>
      <c r="I234" s="90"/>
      <c r="J234" s="90"/>
      <c r="K234" s="90"/>
      <c r="L234" s="90"/>
      <c r="M234" s="90"/>
      <c r="N234" s="90"/>
      <c r="O234" s="90"/>
      <c r="P234" s="90"/>
      <c r="Q234" s="90"/>
      <c r="R234" s="90"/>
    </row>
    <row r="235" spans="1:18">
      <c r="A235" s="90"/>
      <c r="B235" s="90"/>
      <c r="C235" s="90"/>
      <c r="D235" s="90"/>
      <c r="E235" s="90"/>
      <c r="F235" s="90"/>
      <c r="G235" s="90"/>
      <c r="H235" s="90"/>
      <c r="I235" s="90"/>
      <c r="J235" s="90"/>
      <c r="K235" s="90"/>
      <c r="L235" s="90"/>
      <c r="M235" s="90"/>
      <c r="N235" s="90"/>
      <c r="O235" s="90"/>
      <c r="P235" s="90"/>
      <c r="Q235" s="90"/>
      <c r="R235" s="90"/>
    </row>
    <row r="236" spans="1:18">
      <c r="A236" s="90"/>
      <c r="B236" s="90"/>
      <c r="C236" s="90"/>
      <c r="D236" s="90"/>
      <c r="E236" s="90"/>
      <c r="F236" s="90"/>
      <c r="G236" s="90"/>
      <c r="H236" s="90"/>
      <c r="I236" s="90"/>
      <c r="J236" s="90"/>
      <c r="K236" s="90"/>
      <c r="L236" s="90"/>
      <c r="M236" s="90"/>
      <c r="N236" s="90"/>
      <c r="O236" s="90"/>
      <c r="P236" s="90"/>
      <c r="Q236" s="90"/>
      <c r="R236" s="90"/>
    </row>
    <row r="237" spans="1:18">
      <c r="A237" s="90"/>
      <c r="B237" s="90"/>
      <c r="C237" s="90"/>
      <c r="D237" s="90"/>
      <c r="E237" s="90"/>
      <c r="F237" s="90"/>
      <c r="G237" s="90"/>
      <c r="H237" s="90"/>
      <c r="I237" s="90"/>
      <c r="J237" s="90"/>
      <c r="K237" s="90"/>
      <c r="L237" s="90"/>
      <c r="M237" s="90"/>
      <c r="N237" s="90"/>
      <c r="O237" s="90"/>
      <c r="P237" s="90"/>
      <c r="Q237" s="90"/>
      <c r="R237" s="90"/>
    </row>
    <row r="238" spans="1:18">
      <c r="A238" s="90"/>
      <c r="B238" s="90"/>
      <c r="C238" s="90"/>
      <c r="D238" s="90"/>
      <c r="E238" s="90"/>
      <c r="F238" s="90"/>
      <c r="G238" s="90"/>
      <c r="H238" s="90"/>
      <c r="I238" s="90"/>
      <c r="J238" s="90"/>
      <c r="K238" s="90"/>
      <c r="L238" s="90"/>
      <c r="M238" s="90"/>
      <c r="N238" s="90"/>
      <c r="O238" s="90"/>
      <c r="P238" s="90"/>
      <c r="Q238" s="90"/>
      <c r="R238" s="90"/>
    </row>
    <row r="239" spans="1:18">
      <c r="A239" s="90"/>
      <c r="B239" s="90"/>
      <c r="C239" s="90"/>
      <c r="D239" s="90"/>
      <c r="E239" s="90"/>
      <c r="F239" s="90"/>
      <c r="G239" s="90"/>
      <c r="H239" s="90"/>
      <c r="I239" s="90"/>
      <c r="J239" s="90"/>
      <c r="K239" s="90"/>
      <c r="L239" s="90"/>
      <c r="M239" s="90"/>
      <c r="N239" s="90"/>
      <c r="O239" s="90"/>
      <c r="P239" s="90"/>
      <c r="Q239" s="90"/>
      <c r="R239" s="90"/>
    </row>
    <row r="240" spans="1:18">
      <c r="A240" s="90"/>
      <c r="B240" s="90"/>
      <c r="C240" s="90"/>
      <c r="D240" s="90"/>
      <c r="E240" s="90"/>
      <c r="F240" s="90"/>
      <c r="G240" s="90"/>
      <c r="H240" s="90"/>
      <c r="I240" s="90"/>
      <c r="J240" s="90"/>
      <c r="K240" s="90"/>
      <c r="L240" s="90"/>
      <c r="M240" s="90"/>
      <c r="N240" s="90"/>
      <c r="O240" s="90"/>
      <c r="P240" s="90"/>
      <c r="Q240" s="90"/>
      <c r="R240" s="90"/>
    </row>
    <row r="241" spans="1:18">
      <c r="A241" s="90"/>
      <c r="B241" s="90"/>
      <c r="C241" s="90"/>
      <c r="D241" s="90"/>
      <c r="E241" s="90"/>
      <c r="F241" s="90"/>
      <c r="G241" s="90"/>
      <c r="H241" s="90"/>
      <c r="I241" s="90"/>
      <c r="J241" s="90"/>
      <c r="K241" s="90"/>
      <c r="L241" s="90"/>
      <c r="M241" s="90"/>
      <c r="N241" s="90"/>
      <c r="O241" s="90"/>
      <c r="P241" s="90"/>
      <c r="Q241" s="90"/>
      <c r="R241" s="90"/>
    </row>
    <row r="242" spans="1:18">
      <c r="A242" s="90"/>
      <c r="B242" s="90"/>
      <c r="C242" s="90"/>
      <c r="D242" s="90"/>
      <c r="E242" s="90"/>
      <c r="F242" s="90"/>
      <c r="G242" s="90"/>
      <c r="H242" s="90"/>
      <c r="I242" s="90"/>
      <c r="J242" s="90"/>
      <c r="K242" s="90"/>
      <c r="L242" s="90"/>
      <c r="M242" s="90"/>
      <c r="N242" s="90"/>
      <c r="O242" s="90"/>
      <c r="P242" s="90"/>
      <c r="Q242" s="90"/>
      <c r="R242" s="90"/>
    </row>
    <row r="243" spans="1:18">
      <c r="A243" s="90"/>
      <c r="B243" s="90"/>
      <c r="C243" s="90"/>
      <c r="D243" s="90"/>
      <c r="E243" s="90"/>
      <c r="F243" s="90"/>
      <c r="G243" s="90"/>
      <c r="H243" s="90"/>
      <c r="I243" s="90"/>
      <c r="J243" s="90"/>
      <c r="K243" s="90"/>
      <c r="L243" s="90"/>
      <c r="M243" s="90"/>
      <c r="N243" s="90"/>
      <c r="O243" s="90"/>
      <c r="P243" s="90"/>
      <c r="Q243" s="90"/>
      <c r="R243" s="90"/>
    </row>
    <row r="244" spans="1:18">
      <c r="A244" s="90"/>
      <c r="B244" s="90"/>
      <c r="C244" s="90"/>
      <c r="D244" s="90"/>
      <c r="E244" s="90"/>
      <c r="F244" s="90"/>
      <c r="G244" s="90"/>
      <c r="H244" s="90"/>
      <c r="I244" s="90"/>
      <c r="J244" s="90"/>
      <c r="K244" s="90"/>
      <c r="L244" s="90"/>
      <c r="M244" s="90"/>
      <c r="N244" s="90"/>
      <c r="O244" s="90"/>
      <c r="P244" s="90"/>
      <c r="Q244" s="90"/>
      <c r="R244" s="90"/>
    </row>
    <row r="245" spans="1:18">
      <c r="A245" s="90"/>
      <c r="B245" s="90"/>
      <c r="C245" s="90"/>
      <c r="D245" s="90"/>
      <c r="E245" s="90"/>
      <c r="F245" s="90"/>
      <c r="G245" s="90"/>
      <c r="H245" s="90"/>
      <c r="I245" s="90"/>
      <c r="J245" s="90"/>
      <c r="K245" s="90"/>
      <c r="L245" s="90"/>
      <c r="M245" s="90"/>
      <c r="N245" s="90"/>
      <c r="O245" s="90"/>
      <c r="P245" s="90"/>
      <c r="Q245" s="90"/>
      <c r="R245" s="90"/>
    </row>
    <row r="246" spans="1:18">
      <c r="A246" s="90"/>
      <c r="B246" s="90"/>
      <c r="C246" s="90"/>
      <c r="D246" s="90"/>
      <c r="E246" s="90"/>
      <c r="F246" s="90"/>
      <c r="G246" s="90"/>
      <c r="H246" s="90"/>
      <c r="I246" s="90"/>
      <c r="J246" s="90"/>
      <c r="K246" s="90"/>
      <c r="L246" s="90"/>
      <c r="M246" s="90"/>
      <c r="N246" s="90"/>
      <c r="O246" s="90"/>
      <c r="P246" s="90"/>
      <c r="Q246" s="90"/>
      <c r="R246" s="90"/>
    </row>
    <row r="247" spans="1:18">
      <c r="A247" s="90"/>
      <c r="B247" s="90"/>
      <c r="C247" s="90"/>
      <c r="D247" s="90"/>
      <c r="E247" s="90"/>
      <c r="F247" s="90"/>
      <c r="G247" s="90"/>
      <c r="H247" s="90"/>
      <c r="I247" s="90"/>
      <c r="J247" s="90"/>
      <c r="K247" s="90"/>
      <c r="L247" s="90"/>
      <c r="M247" s="90"/>
      <c r="N247" s="90"/>
      <c r="O247" s="90"/>
      <c r="P247" s="90"/>
      <c r="Q247" s="90"/>
      <c r="R247" s="90"/>
    </row>
    <row r="248" spans="1:18">
      <c r="A248" s="90"/>
      <c r="B248" s="90"/>
      <c r="C248" s="90"/>
      <c r="D248" s="90"/>
      <c r="E248" s="90"/>
      <c r="F248" s="90"/>
      <c r="G248" s="90"/>
      <c r="H248" s="90"/>
      <c r="I248" s="90"/>
      <c r="J248" s="90"/>
      <c r="K248" s="90"/>
      <c r="L248" s="90"/>
      <c r="M248" s="90"/>
      <c r="N248" s="90"/>
      <c r="O248" s="90"/>
      <c r="P248" s="90"/>
      <c r="Q248" s="90"/>
      <c r="R248" s="90"/>
    </row>
    <row r="249" spans="1:18">
      <c r="A249" s="90"/>
      <c r="B249" s="90"/>
      <c r="C249" s="90"/>
      <c r="D249" s="90"/>
      <c r="E249" s="90"/>
      <c r="F249" s="90"/>
      <c r="G249" s="90"/>
      <c r="H249" s="90"/>
      <c r="I249" s="90"/>
      <c r="J249" s="90"/>
      <c r="K249" s="90"/>
      <c r="L249" s="90"/>
      <c r="M249" s="90"/>
      <c r="N249" s="90"/>
      <c r="O249" s="90"/>
      <c r="P249" s="90"/>
      <c r="Q249" s="90"/>
      <c r="R249" s="90"/>
    </row>
    <row r="250" spans="1:18">
      <c r="A250" s="90"/>
      <c r="B250" s="90"/>
      <c r="C250" s="90"/>
      <c r="D250" s="90"/>
      <c r="E250" s="90"/>
      <c r="F250" s="90"/>
      <c r="G250" s="90"/>
      <c r="H250" s="90"/>
      <c r="I250" s="90"/>
      <c r="J250" s="90"/>
      <c r="K250" s="90"/>
      <c r="L250" s="90"/>
      <c r="M250" s="90"/>
      <c r="N250" s="90"/>
      <c r="O250" s="90"/>
      <c r="P250" s="90"/>
      <c r="Q250" s="90"/>
      <c r="R250" s="90"/>
    </row>
    <row r="251" spans="1:18">
      <c r="A251" s="90"/>
      <c r="B251" s="90"/>
      <c r="C251" s="90"/>
      <c r="D251" s="90"/>
      <c r="E251" s="90"/>
      <c r="F251" s="90"/>
      <c r="G251" s="90"/>
      <c r="H251" s="90"/>
      <c r="I251" s="90"/>
      <c r="J251" s="90"/>
      <c r="K251" s="90"/>
      <c r="L251" s="90"/>
      <c r="M251" s="90"/>
      <c r="N251" s="90"/>
      <c r="O251" s="90"/>
      <c r="P251" s="90"/>
      <c r="Q251" s="90"/>
      <c r="R251" s="90"/>
    </row>
    <row r="252" spans="1:18">
      <c r="A252" s="90"/>
      <c r="B252" s="90"/>
      <c r="C252" s="90"/>
      <c r="D252" s="90"/>
      <c r="E252" s="90"/>
      <c r="F252" s="90"/>
      <c r="G252" s="90"/>
      <c r="H252" s="90"/>
      <c r="I252" s="90"/>
      <c r="J252" s="90"/>
      <c r="K252" s="90"/>
      <c r="L252" s="90"/>
      <c r="M252" s="90"/>
      <c r="N252" s="90"/>
      <c r="O252" s="90"/>
      <c r="P252" s="90"/>
      <c r="Q252" s="90"/>
      <c r="R252" s="90"/>
    </row>
    <row r="253" spans="1:18">
      <c r="A253" s="90"/>
      <c r="B253" s="90"/>
      <c r="C253" s="90"/>
      <c r="D253" s="90"/>
      <c r="E253" s="90"/>
      <c r="F253" s="90"/>
      <c r="G253" s="90"/>
      <c r="H253" s="90"/>
      <c r="I253" s="90"/>
      <c r="J253" s="90"/>
      <c r="K253" s="90"/>
      <c r="L253" s="90"/>
      <c r="M253" s="90"/>
      <c r="N253" s="90"/>
      <c r="O253" s="90"/>
      <c r="P253" s="90"/>
      <c r="Q253" s="90"/>
      <c r="R253" s="90"/>
    </row>
    <row r="254" spans="1:18">
      <c r="A254" s="90"/>
      <c r="B254" s="90"/>
      <c r="C254" s="90"/>
      <c r="D254" s="90"/>
      <c r="E254" s="90"/>
      <c r="F254" s="90"/>
      <c r="G254" s="90"/>
      <c r="H254" s="90"/>
      <c r="I254" s="90"/>
      <c r="J254" s="90"/>
      <c r="K254" s="90"/>
      <c r="L254" s="90"/>
      <c r="M254" s="90"/>
      <c r="N254" s="90"/>
      <c r="O254" s="90"/>
      <c r="P254" s="90"/>
      <c r="Q254" s="90"/>
      <c r="R254" s="90"/>
    </row>
    <row r="255" spans="1:18">
      <c r="A255" s="90"/>
      <c r="B255" s="90"/>
      <c r="C255" s="90"/>
      <c r="D255" s="90"/>
      <c r="E255" s="90"/>
      <c r="F255" s="90"/>
      <c r="G255" s="90"/>
      <c r="H255" s="90"/>
      <c r="I255" s="90"/>
      <c r="J255" s="90"/>
      <c r="K255" s="90"/>
      <c r="L255" s="90"/>
      <c r="M255" s="90"/>
      <c r="N255" s="90"/>
      <c r="O255" s="90"/>
      <c r="P255" s="90"/>
      <c r="Q255" s="90"/>
      <c r="R255" s="90"/>
    </row>
    <row r="256" spans="1:18">
      <c r="A256" s="90"/>
      <c r="B256" s="90"/>
      <c r="C256" s="90"/>
      <c r="D256" s="90"/>
      <c r="E256" s="90"/>
      <c r="F256" s="90"/>
      <c r="G256" s="90"/>
      <c r="H256" s="90"/>
      <c r="I256" s="90"/>
      <c r="J256" s="90"/>
      <c r="K256" s="90"/>
      <c r="L256" s="90"/>
      <c r="M256" s="90"/>
      <c r="N256" s="90"/>
      <c r="O256" s="90"/>
      <c r="P256" s="90"/>
      <c r="Q256" s="90"/>
      <c r="R256" s="90"/>
    </row>
    <row r="257" spans="1:18">
      <c r="A257" s="90"/>
      <c r="B257" s="90"/>
      <c r="C257" s="90"/>
      <c r="D257" s="90"/>
      <c r="E257" s="90"/>
      <c r="F257" s="90"/>
      <c r="G257" s="90"/>
      <c r="H257" s="90"/>
      <c r="I257" s="90"/>
      <c r="J257" s="90"/>
      <c r="K257" s="90"/>
      <c r="L257" s="90"/>
      <c r="M257" s="90"/>
      <c r="N257" s="90"/>
      <c r="O257" s="90"/>
      <c r="P257" s="90"/>
      <c r="Q257" s="90"/>
      <c r="R257" s="90"/>
    </row>
    <row r="258" spans="1:18">
      <c r="A258" s="90"/>
      <c r="B258" s="90"/>
      <c r="C258" s="90"/>
      <c r="D258" s="90"/>
      <c r="E258" s="90"/>
      <c r="F258" s="90"/>
      <c r="G258" s="90"/>
      <c r="H258" s="90"/>
      <c r="I258" s="90"/>
      <c r="J258" s="90"/>
      <c r="K258" s="90"/>
      <c r="L258" s="90"/>
      <c r="M258" s="90"/>
      <c r="N258" s="90"/>
      <c r="O258" s="90"/>
      <c r="P258" s="90"/>
      <c r="Q258" s="90"/>
      <c r="R258" s="90"/>
    </row>
    <row r="259" spans="1:18">
      <c r="A259" s="90"/>
      <c r="B259" s="90"/>
      <c r="C259" s="90"/>
      <c r="D259" s="90"/>
      <c r="E259" s="90"/>
      <c r="F259" s="90"/>
      <c r="G259" s="90"/>
      <c r="H259" s="90"/>
      <c r="I259" s="90"/>
      <c r="J259" s="90"/>
      <c r="K259" s="90"/>
      <c r="L259" s="90"/>
      <c r="M259" s="90"/>
      <c r="N259" s="90"/>
      <c r="O259" s="90"/>
      <c r="P259" s="90"/>
      <c r="Q259" s="90"/>
      <c r="R259" s="90"/>
    </row>
    <row r="260" spans="1:18">
      <c r="A260" s="90"/>
      <c r="B260" s="90"/>
      <c r="C260" s="90"/>
      <c r="D260" s="90"/>
      <c r="E260" s="90"/>
      <c r="F260" s="90"/>
      <c r="G260" s="90"/>
      <c r="H260" s="90"/>
      <c r="I260" s="90"/>
      <c r="J260" s="90"/>
      <c r="K260" s="90"/>
      <c r="L260" s="90"/>
      <c r="M260" s="90"/>
      <c r="N260" s="90"/>
      <c r="O260" s="90"/>
      <c r="P260" s="90"/>
      <c r="Q260" s="90"/>
      <c r="R260" s="90"/>
    </row>
    <row r="261" spans="1:18">
      <c r="A261" s="90"/>
      <c r="B261" s="90"/>
      <c r="C261" s="90"/>
      <c r="D261" s="90"/>
      <c r="E261" s="90"/>
      <c r="F261" s="90"/>
      <c r="G261" s="90"/>
      <c r="H261" s="90"/>
      <c r="I261" s="90"/>
      <c r="J261" s="90"/>
      <c r="K261" s="90"/>
      <c r="L261" s="90"/>
      <c r="M261" s="90"/>
      <c r="N261" s="90"/>
      <c r="O261" s="90"/>
      <c r="P261" s="90"/>
      <c r="Q261" s="90"/>
      <c r="R261" s="90"/>
    </row>
    <row r="262" spans="1:18">
      <c r="A262" s="90"/>
      <c r="B262" s="90"/>
      <c r="C262" s="90"/>
      <c r="D262" s="90"/>
      <c r="E262" s="90"/>
      <c r="F262" s="90"/>
      <c r="G262" s="90"/>
      <c r="H262" s="90"/>
      <c r="I262" s="90"/>
      <c r="J262" s="90"/>
      <c r="K262" s="90"/>
      <c r="L262" s="90"/>
      <c r="M262" s="90"/>
      <c r="N262" s="90"/>
      <c r="O262" s="90"/>
      <c r="P262" s="90"/>
      <c r="Q262" s="90"/>
      <c r="R262" s="90"/>
    </row>
    <row r="263" spans="1:18">
      <c r="A263" s="90"/>
      <c r="B263" s="90"/>
      <c r="C263" s="90"/>
      <c r="D263" s="90"/>
      <c r="E263" s="90"/>
      <c r="F263" s="90"/>
      <c r="G263" s="90"/>
      <c r="H263" s="90"/>
      <c r="I263" s="90"/>
      <c r="J263" s="90"/>
      <c r="K263" s="90"/>
      <c r="L263" s="90"/>
      <c r="M263" s="90"/>
      <c r="N263" s="90"/>
      <c r="O263" s="90"/>
      <c r="P263" s="90"/>
      <c r="Q263" s="90"/>
      <c r="R263" s="90"/>
    </row>
    <row r="264" spans="1:18">
      <c r="A264" s="90"/>
      <c r="B264" s="90"/>
      <c r="C264" s="90"/>
      <c r="D264" s="90"/>
      <c r="E264" s="90"/>
      <c r="F264" s="90"/>
      <c r="G264" s="90"/>
      <c r="H264" s="90"/>
      <c r="I264" s="90"/>
      <c r="J264" s="90"/>
      <c r="K264" s="90"/>
      <c r="L264" s="90"/>
      <c r="M264" s="90"/>
      <c r="N264" s="90"/>
      <c r="O264" s="90"/>
      <c r="P264" s="90"/>
      <c r="Q264" s="90"/>
      <c r="R264" s="90"/>
    </row>
    <row r="265" spans="1:18">
      <c r="A265" s="90"/>
      <c r="B265" s="90"/>
      <c r="C265" s="90"/>
      <c r="D265" s="90"/>
      <c r="E265" s="90"/>
      <c r="F265" s="90"/>
      <c r="G265" s="90"/>
      <c r="H265" s="90"/>
      <c r="I265" s="90"/>
      <c r="J265" s="90"/>
      <c r="K265" s="90"/>
      <c r="L265" s="90"/>
      <c r="M265" s="90"/>
      <c r="N265" s="90"/>
      <c r="O265" s="90"/>
      <c r="P265" s="90"/>
      <c r="Q265" s="90"/>
      <c r="R265" s="90"/>
    </row>
    <row r="266" spans="1:18">
      <c r="A266" s="90"/>
      <c r="B266" s="90"/>
      <c r="C266" s="90"/>
      <c r="D266" s="90"/>
      <c r="E266" s="90"/>
      <c r="F266" s="90"/>
      <c r="G266" s="90"/>
      <c r="H266" s="90"/>
      <c r="I266" s="90"/>
      <c r="J266" s="90"/>
      <c r="K266" s="90"/>
      <c r="L266" s="90"/>
      <c r="M266" s="90"/>
      <c r="N266" s="90"/>
      <c r="O266" s="90"/>
      <c r="P266" s="90"/>
      <c r="Q266" s="90"/>
      <c r="R266" s="90"/>
    </row>
    <row r="267" spans="1:18">
      <c r="A267" s="90"/>
      <c r="B267" s="90"/>
      <c r="C267" s="90"/>
      <c r="D267" s="90"/>
      <c r="E267" s="90"/>
      <c r="F267" s="90"/>
      <c r="G267" s="90"/>
      <c r="H267" s="90"/>
      <c r="I267" s="90"/>
      <c r="J267" s="90"/>
      <c r="K267" s="90"/>
      <c r="L267" s="90"/>
      <c r="M267" s="90"/>
      <c r="N267" s="90"/>
      <c r="O267" s="90"/>
      <c r="P267" s="90"/>
      <c r="Q267" s="90"/>
      <c r="R267" s="90"/>
    </row>
    <row r="268" spans="1:18">
      <c r="A268" s="90"/>
      <c r="B268" s="90"/>
      <c r="C268" s="90"/>
      <c r="D268" s="90"/>
      <c r="E268" s="90"/>
      <c r="F268" s="90"/>
      <c r="G268" s="90"/>
      <c r="H268" s="90"/>
      <c r="I268" s="90"/>
      <c r="J268" s="90"/>
      <c r="K268" s="90"/>
      <c r="L268" s="90"/>
      <c r="M268" s="90"/>
      <c r="N268" s="90"/>
      <c r="O268" s="90"/>
      <c r="P268" s="90"/>
      <c r="Q268" s="90"/>
      <c r="R268" s="90"/>
    </row>
    <row r="269" spans="1:18">
      <c r="A269" s="90"/>
      <c r="B269" s="90"/>
      <c r="C269" s="90"/>
      <c r="D269" s="90"/>
      <c r="E269" s="90"/>
      <c r="F269" s="90"/>
      <c r="G269" s="90"/>
      <c r="H269" s="90"/>
      <c r="I269" s="90"/>
      <c r="J269" s="90"/>
      <c r="K269" s="90"/>
      <c r="L269" s="90"/>
      <c r="M269" s="90"/>
      <c r="N269" s="90"/>
      <c r="O269" s="90"/>
      <c r="P269" s="90"/>
      <c r="Q269" s="90"/>
      <c r="R269" s="90"/>
    </row>
    <row r="270" spans="1:18">
      <c r="A270" s="90"/>
      <c r="B270" s="90"/>
      <c r="C270" s="90"/>
      <c r="D270" s="90"/>
      <c r="E270" s="90"/>
      <c r="F270" s="90"/>
      <c r="G270" s="90"/>
      <c r="H270" s="90"/>
      <c r="I270" s="90"/>
      <c r="J270" s="90"/>
      <c r="K270" s="90"/>
      <c r="L270" s="90"/>
      <c r="M270" s="90"/>
      <c r="N270" s="90"/>
      <c r="O270" s="90"/>
      <c r="P270" s="90"/>
      <c r="Q270" s="90"/>
      <c r="R270" s="90"/>
    </row>
    <row r="271" spans="1:18">
      <c r="A271" s="90"/>
      <c r="B271" s="90"/>
      <c r="C271" s="90"/>
      <c r="D271" s="90"/>
      <c r="E271" s="90"/>
      <c r="F271" s="90"/>
      <c r="G271" s="90"/>
      <c r="H271" s="90"/>
      <c r="I271" s="90"/>
      <c r="J271" s="90"/>
      <c r="K271" s="90"/>
      <c r="L271" s="90"/>
      <c r="M271" s="90"/>
      <c r="N271" s="90"/>
      <c r="O271" s="90"/>
      <c r="P271" s="90"/>
      <c r="Q271" s="90"/>
      <c r="R271" s="90"/>
    </row>
    <row r="272" spans="1:18">
      <c r="A272" s="90"/>
      <c r="B272" s="90"/>
      <c r="C272" s="90"/>
      <c r="D272" s="90"/>
      <c r="E272" s="90"/>
      <c r="F272" s="90"/>
      <c r="G272" s="90"/>
      <c r="H272" s="90"/>
      <c r="I272" s="90"/>
      <c r="J272" s="90"/>
      <c r="K272" s="90"/>
      <c r="L272" s="90"/>
      <c r="M272" s="90"/>
      <c r="N272" s="90"/>
      <c r="O272" s="90"/>
      <c r="P272" s="90"/>
      <c r="Q272" s="90"/>
      <c r="R272" s="90"/>
    </row>
    <row r="273" spans="1:18">
      <c r="A273" s="90"/>
      <c r="B273" s="90"/>
      <c r="C273" s="90"/>
      <c r="D273" s="90"/>
      <c r="E273" s="90"/>
      <c r="F273" s="90"/>
      <c r="G273" s="90"/>
      <c r="H273" s="90"/>
      <c r="I273" s="90"/>
      <c r="J273" s="90"/>
      <c r="K273" s="90"/>
      <c r="L273" s="90"/>
      <c r="M273" s="90"/>
      <c r="N273" s="90"/>
      <c r="O273" s="90"/>
      <c r="P273" s="90"/>
      <c r="Q273" s="90"/>
      <c r="R273" s="90"/>
    </row>
  </sheetData>
  <sheetProtection algorithmName="SHA-512" hashValue="YnzmKJck88TOESw5a5uY9kJBP0LpzoRVmUFD9qCW+WDlIcotgGGhkE5GTmGc7bfUT+MV6ESJ9dTlGYpDnN/QPw==" saltValue="7WQ//DPzJd1XnLTT6yppkQ==" spinCount="100000" sheet="1" objects="1" formatRows="0"/>
  <mergeCells count="121">
    <mergeCell ref="C54:D54"/>
    <mergeCell ref="C55:D55"/>
    <mergeCell ref="C56:D56"/>
    <mergeCell ref="C57:D57"/>
    <mergeCell ref="C58:D58"/>
    <mergeCell ref="C59:D59"/>
    <mergeCell ref="C30:D30"/>
    <mergeCell ref="C34:D34"/>
    <mergeCell ref="C36:D36"/>
    <mergeCell ref="C37:D37"/>
    <mergeCell ref="C39:D39"/>
    <mergeCell ref="C49:D49"/>
    <mergeCell ref="AE77:AE78"/>
    <mergeCell ref="AE80:AE81"/>
    <mergeCell ref="AE63:AE64"/>
    <mergeCell ref="C71:G72"/>
    <mergeCell ref="C73:G74"/>
    <mergeCell ref="J71:O72"/>
    <mergeCell ref="C89:G90"/>
    <mergeCell ref="T68:X68"/>
    <mergeCell ref="J80:O81"/>
    <mergeCell ref="R61:R63"/>
    <mergeCell ref="C63:G63"/>
    <mergeCell ref="C20:D20"/>
    <mergeCell ref="C19:D19"/>
    <mergeCell ref="C26:D26"/>
    <mergeCell ref="C27:D27"/>
    <mergeCell ref="K18:L18"/>
    <mergeCell ref="C21:D21"/>
    <mergeCell ref="C31:D31"/>
    <mergeCell ref="C18:D18"/>
    <mergeCell ref="K29:L29"/>
    <mergeCell ref="R58:R60"/>
    <mergeCell ref="Y18:AB18"/>
    <mergeCell ref="L5:M5"/>
    <mergeCell ref="K11:L11"/>
    <mergeCell ref="F6:K6"/>
    <mergeCell ref="E8:G8"/>
    <mergeCell ref="E11:G11"/>
    <mergeCell ref="Y31:AB31"/>
    <mergeCell ref="T31:W31"/>
    <mergeCell ref="T57:X57"/>
    <mergeCell ref="N15:O15"/>
    <mergeCell ref="K12:L12"/>
    <mergeCell ref="E12:G12"/>
    <mergeCell ref="Y43:AB43"/>
    <mergeCell ref="N49:O49"/>
    <mergeCell ref="N48:O48"/>
    <mergeCell ref="N57:O57"/>
    <mergeCell ref="N58:O58"/>
    <mergeCell ref="N59:O59"/>
    <mergeCell ref="N54:O55"/>
    <mergeCell ref="N53:O53"/>
    <mergeCell ref="N56:O56"/>
    <mergeCell ref="K54:K55"/>
    <mergeCell ref="L54:M55"/>
    <mergeCell ref="E49:F49"/>
    <mergeCell ref="E59:F59"/>
    <mergeCell ref="T43:W43"/>
    <mergeCell ref="A13:A25"/>
    <mergeCell ref="A27:A36"/>
    <mergeCell ref="A43:A51"/>
    <mergeCell ref="A53:A59"/>
    <mergeCell ref="C5:H5"/>
    <mergeCell ref="K21:M21"/>
    <mergeCell ref="R4:R5"/>
    <mergeCell ref="N5:O5"/>
    <mergeCell ref="E24:F24"/>
    <mergeCell ref="K30:L30"/>
    <mergeCell ref="C12:D12"/>
    <mergeCell ref="C16:D16"/>
    <mergeCell ref="C15:D15"/>
    <mergeCell ref="C17:D17"/>
    <mergeCell ref="R29:R30"/>
    <mergeCell ref="R19:R20"/>
    <mergeCell ref="R14:R15"/>
    <mergeCell ref="N43:O43"/>
    <mergeCell ref="N44:O45"/>
    <mergeCell ref="N46:O46"/>
    <mergeCell ref="N47:O47"/>
    <mergeCell ref="B2:J2"/>
    <mergeCell ref="E39:F39"/>
    <mergeCell ref="AE6:AE7"/>
    <mergeCell ref="Y7:AB7"/>
    <mergeCell ref="M8:O8"/>
    <mergeCell ref="T7:W7"/>
    <mergeCell ref="AE8:AE9"/>
    <mergeCell ref="T18:W18"/>
    <mergeCell ref="M12:O12"/>
    <mergeCell ref="N36:O36"/>
    <mergeCell ref="K27:O27"/>
    <mergeCell ref="C6:D6"/>
    <mergeCell ref="K8:L8"/>
    <mergeCell ref="M11:O11"/>
    <mergeCell ref="M10:O10"/>
    <mergeCell ref="M9:O9"/>
    <mergeCell ref="C8:D8"/>
    <mergeCell ref="C9:D9"/>
    <mergeCell ref="K9:L9"/>
    <mergeCell ref="C10:D10"/>
    <mergeCell ref="E9:G9"/>
    <mergeCell ref="K10:L10"/>
    <mergeCell ref="E10:G10"/>
    <mergeCell ref="C14:D14"/>
    <mergeCell ref="L44:M45"/>
    <mergeCell ref="K44:K45"/>
    <mergeCell ref="N38:O38"/>
    <mergeCell ref="N39:O39"/>
    <mergeCell ref="N34:O35"/>
    <mergeCell ref="N33:O33"/>
    <mergeCell ref="L34:M35"/>
    <mergeCell ref="K34:K35"/>
    <mergeCell ref="K14:L14"/>
    <mergeCell ref="K16:L16"/>
    <mergeCell ref="K17:L17"/>
    <mergeCell ref="K28:L28"/>
    <mergeCell ref="K20:L20"/>
    <mergeCell ref="K19:L19"/>
    <mergeCell ref="K15:M15"/>
    <mergeCell ref="N37:O37"/>
    <mergeCell ref="M30:N30"/>
  </mergeCells>
  <phoneticPr fontId="81" type="noConversion"/>
  <conditionalFormatting sqref="C31">
    <cfRule type="expression" dxfId="2485" priority="185" stopIfTrue="1">
      <formula>$E$31&lt;2.5</formula>
    </cfRule>
    <cfRule type="expression" dxfId="2484" priority="186" stopIfTrue="1">
      <formula>$E$31&gt;10</formula>
    </cfRule>
  </conditionalFormatting>
  <conditionalFormatting sqref="R4:R5">
    <cfRule type="expression" dxfId="2483" priority="1624" stopIfTrue="1">
      <formula>$H$94=0</formula>
    </cfRule>
  </conditionalFormatting>
  <conditionalFormatting sqref="B64:P75">
    <cfRule type="expression" dxfId="2482" priority="155" stopIfTrue="1">
      <formula>$H$75=0</formula>
    </cfRule>
  </conditionalFormatting>
  <conditionalFormatting sqref="B77:P92">
    <cfRule type="expression" dxfId="2481" priority="153" stopIfTrue="1">
      <formula>$H$93=0</formula>
    </cfRule>
  </conditionalFormatting>
  <conditionalFormatting sqref="G17">
    <cfRule type="expression" dxfId="2480" priority="1625" stopIfTrue="1">
      <formula>$AQ$13&lt;&gt;4</formula>
    </cfRule>
  </conditionalFormatting>
  <conditionalFormatting sqref="F17">
    <cfRule type="expression" dxfId="2479" priority="4">
      <formula>$AQ$13=4</formula>
    </cfRule>
    <cfRule type="expression" dxfId="2478" priority="1626" stopIfTrue="1">
      <formula>$AQ$13&lt;&gt;4</formula>
    </cfRule>
  </conditionalFormatting>
  <conditionalFormatting sqref="C43:O48 C20 E20:G20 C50:O51 C49 E49:O49">
    <cfRule type="expression" dxfId="2477" priority="7" stopIfTrue="1">
      <formula>$AQ$6=1</formula>
    </cfRule>
  </conditionalFormatting>
  <conditionalFormatting sqref="C53:O53 C21:G21 C60:O60 C54:C59 E54:O59">
    <cfRule type="expression" dxfId="2476" priority="18" stopIfTrue="1">
      <formula>$AQ$9=1</formula>
    </cfRule>
  </conditionalFormatting>
  <conditionalFormatting sqref="B64:P64">
    <cfRule type="expression" dxfId="2475" priority="91" stopIfTrue="1">
      <formula>$H$75=0</formula>
    </cfRule>
  </conditionalFormatting>
  <conditionalFormatting sqref="N37:N39 N47:N49 N57:N59">
    <cfRule type="expression" dxfId="2474" priority="13" stopIfTrue="1">
      <formula>$AX$5=2</formula>
    </cfRule>
  </conditionalFormatting>
  <conditionalFormatting sqref="M37:M39 M47:M49 M57:M59">
    <cfRule type="expression" dxfId="2473" priority="3113" stopIfTrue="1">
      <formula>$AX$5=1</formula>
    </cfRule>
  </conditionalFormatting>
  <conditionalFormatting sqref="C50">
    <cfRule type="expression" dxfId="2472" priority="25" stopIfTrue="1">
      <formula>$AQ$6=1</formula>
    </cfRule>
  </conditionalFormatting>
  <conditionalFormatting sqref="F19">
    <cfRule type="expression" dxfId="2471" priority="6">
      <formula>$AQ$34=4</formula>
    </cfRule>
    <cfRule type="expression" dxfId="2470" priority="3080" stopIfTrue="1">
      <formula>$AQ$34&lt;&gt;4</formula>
    </cfRule>
  </conditionalFormatting>
  <conditionalFormatting sqref="G19">
    <cfRule type="expression" dxfId="2469" priority="3081" stopIfTrue="1">
      <formula>$AQ$34&lt;&gt;4</formula>
    </cfRule>
  </conditionalFormatting>
  <conditionalFormatting sqref="F18">
    <cfRule type="expression" dxfId="2468" priority="5">
      <formula>$AQ$18=3</formula>
    </cfRule>
    <cfRule type="expression" dxfId="2467" priority="3082" stopIfTrue="1">
      <formula>$AQ$18&lt;&gt;3</formula>
    </cfRule>
  </conditionalFormatting>
  <conditionalFormatting sqref="G18">
    <cfRule type="expression" dxfId="2466" priority="3083" stopIfTrue="1">
      <formula>$AQ$18&lt;&gt;3</formula>
    </cfRule>
  </conditionalFormatting>
  <conditionalFormatting sqref="L34:L35 M34">
    <cfRule type="expression" dxfId="2465" priority="3086" stopIfTrue="1">
      <formula>$AQ$59=1</formula>
    </cfRule>
  </conditionalFormatting>
  <conditionalFormatting sqref="K34:K35">
    <cfRule type="expression" dxfId="2464" priority="3087" stopIfTrue="1">
      <formula>$AQ$59=1</formula>
    </cfRule>
  </conditionalFormatting>
  <conditionalFormatting sqref="M36">
    <cfRule type="expression" dxfId="2463" priority="3088" stopIfTrue="1">
      <formula>$AQ$59=1</formula>
    </cfRule>
  </conditionalFormatting>
  <conditionalFormatting sqref="M46 L44 L45">
    <cfRule type="expression" dxfId="2462" priority="3089" stopIfTrue="1">
      <formula>$AQ$64=1</formula>
    </cfRule>
  </conditionalFormatting>
  <conditionalFormatting sqref="N46:N49 O46:O49">
    <cfRule type="expression" dxfId="2461" priority="35" stopIfTrue="1">
      <formula>$AQ$64=2</formula>
    </cfRule>
  </conditionalFormatting>
  <conditionalFormatting sqref="L54:M55 M56">
    <cfRule type="expression" dxfId="2460" priority="3097" stopIfTrue="1">
      <formula>$AQ$72=1</formula>
    </cfRule>
  </conditionalFormatting>
  <conditionalFormatting sqref="C41:G41">
    <cfRule type="expression" dxfId="2459" priority="3100" stopIfTrue="1">
      <formula>$AQ$25=1</formula>
    </cfRule>
  </conditionalFormatting>
  <conditionalFormatting sqref="C51:G51">
    <cfRule type="expression" dxfId="2458" priority="3101" stopIfTrue="1">
      <formula>$AX$25=1</formula>
    </cfRule>
  </conditionalFormatting>
  <conditionalFormatting sqref="O14">
    <cfRule type="expression" dxfId="2457" priority="3102">
      <formula>$AK$47=0</formula>
    </cfRule>
    <cfRule type="expression" dxfId="2456" priority="3103">
      <formula>$AK$7=4</formula>
    </cfRule>
    <cfRule type="expression" dxfId="2455" priority="3104" stopIfTrue="1">
      <formula>$AK$7&lt;&gt;4</formula>
    </cfRule>
  </conditionalFormatting>
  <conditionalFormatting sqref="F20">
    <cfRule type="expression" dxfId="2454" priority="3">
      <formula>$AQ$40=4</formula>
    </cfRule>
    <cfRule type="expression" dxfId="2453" priority="3105" stopIfTrue="1">
      <formula>$AQ$40&lt;&gt;4</formula>
    </cfRule>
  </conditionalFormatting>
  <conditionalFormatting sqref="K44:K45">
    <cfRule type="expression" dxfId="2452" priority="3106" stopIfTrue="1">
      <formula>$AQ$64=1</formula>
    </cfRule>
  </conditionalFormatting>
  <conditionalFormatting sqref="K54:K55">
    <cfRule type="expression" dxfId="2451" priority="3107" stopIfTrue="1">
      <formula>$AQ$72=1</formula>
    </cfRule>
  </conditionalFormatting>
  <conditionalFormatting sqref="G20">
    <cfRule type="expression" dxfId="2450" priority="3108" stopIfTrue="1">
      <formula>$AQ$40&lt;&gt;4</formula>
    </cfRule>
  </conditionalFormatting>
  <conditionalFormatting sqref="M37:M39">
    <cfRule type="expression" dxfId="2449" priority="3093" stopIfTrue="1">
      <formula>$AQ$59=1</formula>
    </cfRule>
  </conditionalFormatting>
  <conditionalFormatting sqref="M47:M49">
    <cfRule type="expression" dxfId="2448" priority="3111" stopIfTrue="1">
      <formula>$AQ$64=1</formula>
    </cfRule>
  </conditionalFormatting>
  <conditionalFormatting sqref="M57:M59">
    <cfRule type="expression" dxfId="2447" priority="3112" stopIfTrue="1">
      <formula>$AQ$72=1</formula>
    </cfRule>
  </conditionalFormatting>
  <conditionalFormatting sqref="K15:O25">
    <cfRule type="expression" dxfId="2446" priority="3122" stopIfTrue="1">
      <formula>$AK$47&lt;&gt;0</formula>
    </cfRule>
  </conditionalFormatting>
  <conditionalFormatting sqref="K22:O25 K21 N21:O21">
    <cfRule type="expression" dxfId="2445" priority="3119" stopIfTrue="1">
      <formula>$AK$28&lt;&gt;0</formula>
    </cfRule>
  </conditionalFormatting>
  <conditionalFormatting sqref="K15 N15">
    <cfRule type="expression" dxfId="2444" priority="3128">
      <formula>$AK$47=6</formula>
    </cfRule>
  </conditionalFormatting>
  <conditionalFormatting sqref="K21">
    <cfRule type="expression" dxfId="2443" priority="3124" stopIfTrue="1">
      <formula>$AK$47=6</formula>
    </cfRule>
  </conditionalFormatting>
  <conditionalFormatting sqref="N14">
    <cfRule type="expression" dxfId="2442" priority="3125">
      <formula>$AK$47=0</formula>
    </cfRule>
    <cfRule type="expression" dxfId="2441" priority="3126">
      <formula>$AK$7=4</formula>
    </cfRule>
    <cfRule type="expression" dxfId="2440" priority="3127">
      <formula>$AK$7&lt;&gt;4</formula>
    </cfRule>
  </conditionalFormatting>
  <conditionalFormatting sqref="K15:M15">
    <cfRule type="expression" dxfId="2439" priority="3114">
      <formula>$AK$47&lt;&gt;0</formula>
    </cfRule>
  </conditionalFormatting>
  <conditionalFormatting sqref="N54">
    <cfRule type="expression" dxfId="2438" priority="3129">
      <formula>$AQ$72=2</formula>
    </cfRule>
  </conditionalFormatting>
  <conditionalFormatting sqref="N53:O53">
    <cfRule type="expression" dxfId="2437" priority="3130">
      <formula>$AQ$72=2</formula>
    </cfRule>
  </conditionalFormatting>
  <conditionalFormatting sqref="K21 N21">
    <cfRule type="expression" dxfId="2436" priority="3133" stopIfTrue="1">
      <formula>$AK$47=0</formula>
    </cfRule>
  </conditionalFormatting>
  <conditionalFormatting sqref="K20 M20:O20">
    <cfRule type="expression" dxfId="2435" priority="3135">
      <formula>$AK$47=0</formula>
    </cfRule>
  </conditionalFormatting>
  <conditionalFormatting sqref="C21:G21">
    <cfRule type="expression" dxfId="2434" priority="8">
      <formula>$AQ$9=1</formula>
    </cfRule>
  </conditionalFormatting>
  <conditionalFormatting sqref="N54:O59">
    <cfRule type="expression" dxfId="2433" priority="17">
      <formula>$AQ$72=2</formula>
    </cfRule>
  </conditionalFormatting>
  <conditionalFormatting sqref="L54:M55">
    <cfRule type="expression" dxfId="2432" priority="16">
      <formula>$AQ$71=2</formula>
    </cfRule>
  </conditionalFormatting>
  <conditionalFormatting sqref="M44">
    <cfRule type="expression" dxfId="2431" priority="14">
      <formula>$AQ$64=1</formula>
    </cfRule>
  </conditionalFormatting>
  <conditionalFormatting sqref="N34:O35">
    <cfRule type="expression" dxfId="2430" priority="3095">
      <formula>-$AQ$59=2</formula>
    </cfRule>
    <cfRule type="expression" dxfId="2429" priority="3131">
      <formula>$AQ$59=2</formula>
    </cfRule>
  </conditionalFormatting>
  <conditionalFormatting sqref="N36:O39">
    <cfRule type="expression" dxfId="2428" priority="12">
      <formula>$AQ$59=2</formula>
    </cfRule>
  </conditionalFormatting>
  <conditionalFormatting sqref="N44:O45">
    <cfRule type="expression" dxfId="2427" priority="11">
      <formula>$AQ$64=2</formula>
    </cfRule>
  </conditionalFormatting>
  <conditionalFormatting sqref="F21:G21">
    <cfRule type="expression" dxfId="2426" priority="1826">
      <formula>$AQ$50&lt;&gt;4</formula>
    </cfRule>
  </conditionalFormatting>
  <conditionalFormatting sqref="G21">
    <cfRule type="expression" dxfId="2425" priority="10">
      <formula>$AQ$50&lt;&gt;4</formula>
    </cfRule>
  </conditionalFormatting>
  <conditionalFormatting sqref="F21">
    <cfRule type="expression" dxfId="2424" priority="9">
      <formula>$AQ$50=4</formula>
    </cfRule>
  </conditionalFormatting>
  <conditionalFormatting sqref="C20:G20">
    <cfRule type="expression" dxfId="2423" priority="1">
      <formula>$AQ$6=1</formula>
    </cfRule>
    <cfRule type="expression" dxfId="2422" priority="2">
      <formula>$AQ$6=1</formula>
    </cfRule>
    <cfRule type="expression" dxfId="2421" priority="3091">
      <formula>$AQ$9=1</formula>
    </cfRule>
  </conditionalFormatting>
  <conditionalFormatting sqref="C59">
    <cfRule type="expression" dxfId="2420" priority="3179" stopIfTrue="1">
      <formula>$AX$78&lt;&gt;$AY$78</formula>
    </cfRule>
  </conditionalFormatting>
  <conditionalFormatting sqref="C49">
    <cfRule type="expression" dxfId="2419" priority="3180" stopIfTrue="1">
      <formula>$AX$75&lt;&gt;$AY$75</formula>
    </cfRule>
  </conditionalFormatting>
  <conditionalFormatting sqref="C39">
    <cfRule type="expression" dxfId="2418" priority="3181" stopIfTrue="1">
      <formula>$AX$72&lt;&gt;$AY$72</formula>
    </cfRule>
  </conditionalFormatting>
  <dataValidations count="44">
    <dataValidation type="list" allowBlank="1" showInputMessage="1" showErrorMessage="1" sqref="E15" xr:uid="{00000000-0002-0000-0500-000000000000}">
      <formula1>$AN$6:$AN$7</formula1>
    </dataValidation>
    <dataValidation type="list" allowBlank="1" showInputMessage="1" showErrorMessage="1" sqref="E16" xr:uid="{00000000-0002-0000-0500-000001000000}">
      <formula1>$AN$9:$AN$10</formula1>
    </dataValidation>
    <dataValidation type="list" allowBlank="1" showInputMessage="1" showErrorMessage="1" sqref="O2" xr:uid="{00000000-0002-0000-0500-000002000000}">
      <formula1>$AW$4:$AW$5</formula1>
    </dataValidation>
    <dataValidation type="decimal" allowBlank="1" showInputMessage="1" showErrorMessage="1" sqref="E31" xr:uid="{00000000-0002-0000-0500-000003000000}">
      <formula1>2</formula1>
      <formula2>15</formula2>
    </dataValidation>
    <dataValidation type="decimal" allowBlank="1" showInputMessage="1" showErrorMessage="1" sqref="E25" xr:uid="{00000000-0002-0000-0500-000004000000}">
      <formula1>0</formula1>
      <formula2>80</formula2>
    </dataValidation>
    <dataValidation type="decimal" allowBlank="1" showInputMessage="1" showErrorMessage="1" sqref="E26:E27" xr:uid="{00000000-0002-0000-0500-000005000000}">
      <formula1>0</formula1>
      <formula2>120</formula2>
    </dataValidation>
    <dataValidation type="decimal" allowBlank="1" showInputMessage="1" showErrorMessage="1" sqref="E35" xr:uid="{00000000-0002-0000-0500-000006000000}">
      <formula1>1</formula1>
      <formula2>6</formula2>
    </dataValidation>
    <dataValidation type="decimal" allowBlank="1" showInputMessage="1" showErrorMessage="1" sqref="E36:E37 E46:E47 E56:E57" xr:uid="{00000000-0002-0000-0500-000007000000}">
      <formula1>1</formula1>
      <formula2>120</formula2>
    </dataValidation>
    <dataValidation type="decimal" allowBlank="1" showInputMessage="1" showErrorMessage="1" sqref="E38 E48" xr:uid="{00000000-0002-0000-0500-000008000000}">
      <formula1>4</formula1>
      <formula2>600</formula2>
    </dataValidation>
    <dataValidation type="decimal" allowBlank="1" showInputMessage="1" showErrorMessage="1" sqref="E44" xr:uid="{00000000-0002-0000-0500-000009000000}">
      <formula1>1</formula1>
      <formula2>12</formula2>
    </dataValidation>
    <dataValidation type="decimal" allowBlank="1" showInputMessage="1" showErrorMessage="1" sqref="E45" xr:uid="{00000000-0002-0000-0500-00000A000000}">
      <formula1>1</formula1>
      <formula2>8</formula2>
    </dataValidation>
    <dataValidation type="decimal" allowBlank="1" showInputMessage="1" showErrorMessage="1" sqref="E54:E55" xr:uid="{00000000-0002-0000-0500-00000B000000}">
      <formula1>0</formula1>
      <formula2>12</formula2>
    </dataValidation>
    <dataValidation type="decimal" allowBlank="1" showInputMessage="1" showErrorMessage="1" sqref="E58" xr:uid="{00000000-0002-0000-0500-00000C000000}">
      <formula1>1</formula1>
      <formula2>600</formula2>
    </dataValidation>
    <dataValidation type="list" allowBlank="1" showInputMessage="1" showErrorMessage="1" sqref="M20" xr:uid="{00000000-0002-0000-0500-00000D000000}">
      <formula1>$AJ$27:$AJ$31</formula1>
    </dataValidation>
    <dataValidation type="list" allowBlank="1" showInputMessage="1" showErrorMessage="1" sqref="M24" xr:uid="{00000000-0002-0000-0500-00000E000000}">
      <formula1>$AH$15:$AH$16</formula1>
    </dataValidation>
    <dataValidation type="list" allowBlank="1" showInputMessage="1" showErrorMessage="1" sqref="M22" xr:uid="{00000000-0002-0000-0500-00000F000000}">
      <formula1>$AH$12:$AH$14</formula1>
    </dataValidation>
    <dataValidation type="list" allowBlank="1" showInputMessage="1" showErrorMessage="1" sqref="M23" xr:uid="{00000000-0002-0000-0500-000010000000}">
      <formula1>$AH$17:$AH$21</formula1>
    </dataValidation>
    <dataValidation type="list" allowBlank="1" showInputMessage="1" showErrorMessage="1" sqref="M19" xr:uid="{00000000-0002-0000-0500-000011000000}">
      <formula1>$AH$44:$AH$45</formula1>
    </dataValidation>
    <dataValidation type="list" allowBlank="1" showInputMessage="1" showErrorMessage="1" sqref="M17" xr:uid="{00000000-0002-0000-0500-000012000000}">
      <formula1>$AH$37:$AH$38</formula1>
    </dataValidation>
    <dataValidation type="list" allowBlank="1" showInputMessage="1" showErrorMessage="1" sqref="M18" xr:uid="{00000000-0002-0000-0500-000013000000}">
      <formula1>$AH$41:$AH$42</formula1>
    </dataValidation>
    <dataValidation type="list" allowBlank="1" showInputMessage="1" showErrorMessage="1" sqref="M16" xr:uid="{00000000-0002-0000-0500-000014000000}">
      <formula1>$AH$34:$AH$35</formula1>
    </dataValidation>
    <dataValidation type="list" allowBlank="1" showInputMessage="1" showErrorMessage="1" sqref="M14" xr:uid="{00000000-0002-0000-0500-000015000000}">
      <formula1>$AJ$46:$AJ$52</formula1>
    </dataValidation>
    <dataValidation type="list" allowBlank="1" showInputMessage="1" showErrorMessage="1" sqref="M25" xr:uid="{00000000-0002-0000-0500-000016000000}">
      <formula1>$AH$23:$AH$24</formula1>
    </dataValidation>
    <dataValidation type="list" allowBlank="1" showInputMessage="1" showErrorMessage="1" sqref="E17" xr:uid="{00000000-0002-0000-0500-000017000000}">
      <formula1>$AN$13:$AN$16</formula1>
    </dataValidation>
    <dataValidation type="list" allowBlank="1" showInputMessage="1" showErrorMessage="1" sqref="M28" xr:uid="{00000000-0002-0000-0500-000018000000}">
      <formula1>$AH$59:$AH$62</formula1>
    </dataValidation>
    <dataValidation type="list" allowBlank="1" showInputMessage="1" showErrorMessage="1" sqref="E24" xr:uid="{00000000-0002-0000-0500-000019000000}">
      <formula1>$AN$21:$AN$23</formula1>
    </dataValidation>
    <dataValidation type="list" allowBlank="1" showInputMessage="1" showErrorMessage="1" sqref="E18" xr:uid="{00000000-0002-0000-0500-00001A000000}">
      <formula1>$AN$18:$AN$20</formula1>
    </dataValidation>
    <dataValidation type="list" allowBlank="1" showInputMessage="1" showErrorMessage="1" sqref="E19" xr:uid="{00000000-0002-0000-0500-00001B000000}">
      <formula1>$AN$34:$AN$37</formula1>
    </dataValidation>
    <dataValidation type="list" allowBlank="1" showInputMessage="1" showErrorMessage="1" sqref="E40" xr:uid="{00000000-0002-0000-0500-00001C000000}">
      <formula1>$AN$25:$AN$26</formula1>
    </dataValidation>
    <dataValidation type="list" allowBlank="1" showInputMessage="1" showErrorMessage="1" sqref="E20" xr:uid="{00000000-0002-0000-0500-00001D000000}">
      <formula1>$AN$40:$AN$44</formula1>
    </dataValidation>
    <dataValidation type="list" allowBlank="1" showInputMessage="1" showErrorMessage="1" sqref="E50" xr:uid="{00000000-0002-0000-0500-00001E000000}">
      <formula1>$AV$25:$AV$26</formula1>
    </dataValidation>
    <dataValidation type="list" allowBlank="1" showInputMessage="1" showErrorMessage="1" sqref="E21" xr:uid="{00000000-0002-0000-0500-00001F000000}">
      <formula1>$AN$50:$AN$53</formula1>
    </dataValidation>
    <dataValidation type="list" allowBlank="1" showInputMessage="1" showErrorMessage="1" sqref="N33" xr:uid="{00000000-0002-0000-0500-000020000000}">
      <formula1>$AN$59:$AN$60</formula1>
    </dataValidation>
    <dataValidation type="list" allowBlank="1" showInputMessage="1" showErrorMessage="1" sqref="N43" xr:uid="{00000000-0002-0000-0500-000021000000}">
      <formula1>$AN$64:$AN$65</formula1>
    </dataValidation>
    <dataValidation type="list" allowBlank="1" showInputMessage="1" showErrorMessage="1" sqref="N53" xr:uid="{00000000-0002-0000-0500-000022000000}">
      <formula1>$AN$72:$AN$73</formula1>
    </dataValidation>
    <dataValidation type="list" allowBlank="1" showInputMessage="1" showErrorMessage="1" sqref="K2" xr:uid="{00000000-0002-0000-0500-000023000000}">
      <formula1>$AX$19:$AX$20</formula1>
    </dataValidation>
    <dataValidation type="list" allowBlank="1" showInputMessage="1" showErrorMessage="1" sqref="M29" xr:uid="{00000000-0002-0000-0500-000024000000}">
      <formula1>$AH$64:$AH$68</formula1>
    </dataValidation>
    <dataValidation type="decimal" allowBlank="1" showInputMessage="1" showErrorMessage="1" error="Cannot have more than 50% of the Upper or Single Level roof space as &quot;Room in Roof Space&quot;" sqref="E41" xr:uid="{00000000-0002-0000-0500-000025000000}">
      <formula1>0</formula1>
      <formula2>AP27</formula2>
    </dataValidation>
    <dataValidation type="decimal" allowBlank="1" showInputMessage="1" showErrorMessage="1" error="Cannot have more than 50% of the available lower level roof space as &quot;Room in Roof Space&quot;" sqref="E51" xr:uid="{00000000-0002-0000-0500-000026000000}">
      <formula1>0</formula1>
      <formula2>AP28</formula2>
    </dataValidation>
    <dataValidation type="list" allowBlank="1" showInputMessage="1" showErrorMessage="1" sqref="E59" xr:uid="{00000000-0002-0000-0500-000027000000}">
      <formula1>$AV$78:$AV$80</formula1>
    </dataValidation>
    <dataValidation type="list" allowBlank="1" showInputMessage="1" showErrorMessage="1" sqref="E49" xr:uid="{00000000-0002-0000-0500-000028000000}">
      <formula1>$AV$75:$AV$76</formula1>
    </dataValidation>
    <dataValidation type="list" allowBlank="1" showInputMessage="1" showErrorMessage="1" sqref="E39" xr:uid="{00000000-0002-0000-0500-000029000000}">
      <formula1>$AV$72:$AV$73</formula1>
    </dataValidation>
    <dataValidation type="list" allowBlank="1" showInputMessage="1" showErrorMessage="1" sqref="M30" xr:uid="{00000000-0002-0000-0500-00002A000000}">
      <formula1>$AU$63:$AU$65</formula1>
    </dataValidation>
    <dataValidation type="date" allowBlank="1" showInputMessage="1" showErrorMessage="1" sqref="M10:O10" xr:uid="{00000000-0002-0000-0500-00002B000000}">
      <formula1>40544</formula1>
      <formula2>46022</formula2>
    </dataValidation>
  </dataValidations>
  <printOptions horizontalCentered="1"/>
  <pageMargins left="0.31496062992125984" right="0.31496062992125984" top="0.51181102362204722" bottom="0.47244094488188981" header="0.23622047244094491" footer="0.23622047244094491"/>
  <pageSetup paperSize="9" scale="69" orientation="portrait" r:id="rId1"/>
  <headerFooter>
    <oddHeader>&amp;L&amp;D&amp;C&amp;F
&amp;A&amp;RPage &amp;P of &amp;N</oddHeader>
    <oddFooter>&amp;LPage &amp;P of &amp;N&amp;C&amp;F
&amp;A&amp;R&amp;D</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AE84"/>
  <sheetViews>
    <sheetView topLeftCell="F43" workbookViewId="0">
      <selection activeCell="AB80" sqref="AB80"/>
    </sheetView>
  </sheetViews>
  <sheetFormatPr defaultColWidth="9.140625" defaultRowHeight="12.75"/>
  <cols>
    <col min="1" max="1" width="4.42578125" style="426" customWidth="1"/>
    <col min="2" max="2" width="10.42578125" style="506" customWidth="1"/>
    <col min="3" max="3" width="3.28515625" style="506" customWidth="1"/>
    <col min="4" max="5" width="7.7109375" style="506" customWidth="1"/>
    <col min="6" max="6" width="3.28515625" style="506" customWidth="1"/>
    <col min="7" max="16" width="9.140625" style="506" customWidth="1"/>
    <col min="17" max="17" width="5" style="506" customWidth="1"/>
    <col min="18" max="18" width="26.85546875" style="506" customWidth="1"/>
    <col min="19" max="19" width="15" style="506" customWidth="1"/>
    <col min="20" max="20" width="8.28515625" style="506" customWidth="1"/>
    <col min="21" max="21" width="12.7109375" style="506" customWidth="1"/>
    <col min="22" max="27" width="11.7109375" style="506" customWidth="1"/>
    <col min="28" max="28" width="16.140625" style="426" customWidth="1"/>
    <col min="29" max="30" width="9.140625" style="426" customWidth="1"/>
    <col min="31" max="31" width="9.140625" style="426"/>
    <col min="32" max="16384" width="9.140625" style="421"/>
  </cols>
  <sheetData>
    <row r="1" spans="2:27" ht="12.6" customHeight="1"/>
    <row r="2" spans="2:27" ht="12.6" customHeight="1">
      <c r="B2" s="2484" t="s">
        <v>284</v>
      </c>
      <c r="C2" s="2485"/>
      <c r="D2" s="2485"/>
      <c r="E2" s="2485"/>
      <c r="F2" s="2485"/>
      <c r="G2" s="2486"/>
      <c r="S2" s="2474" t="s">
        <v>285</v>
      </c>
      <c r="T2" s="2475"/>
      <c r="U2" s="2475"/>
      <c r="V2" s="2475"/>
      <c r="W2" s="1036"/>
      <c r="X2" s="1037"/>
    </row>
    <row r="3" spans="2:27" ht="12.6" customHeight="1" thickBot="1">
      <c r="B3" s="2487"/>
      <c r="C3" s="2488"/>
      <c r="D3" s="2488"/>
      <c r="E3" s="2488"/>
      <c r="F3" s="2488"/>
      <c r="G3" s="2489"/>
      <c r="K3" s="2493"/>
      <c r="L3" s="2494"/>
      <c r="S3" s="2476"/>
      <c r="T3" s="2475"/>
      <c r="U3" s="2475"/>
      <c r="V3" s="2475"/>
      <c r="W3" s="1038"/>
      <c r="X3" s="1037"/>
    </row>
    <row r="4" spans="2:27" ht="12.6" customHeight="1" thickBot="1">
      <c r="G4" s="2477" t="str">
        <f>T45</f>
        <v>Gentle (T1)</v>
      </c>
      <c r="H4" s="2483"/>
      <c r="I4" s="2477" t="str">
        <f>U45</f>
        <v>Moderate (T2)</v>
      </c>
      <c r="J4" s="2483"/>
      <c r="K4" s="2477" t="str">
        <f>V45</f>
        <v>Significant (T3)</v>
      </c>
      <c r="L4" s="2483"/>
      <c r="M4" s="2477" t="str">
        <f>W45</f>
        <v>Extreme (T4)</v>
      </c>
      <c r="N4" s="2478"/>
      <c r="O4" s="1039"/>
    </row>
    <row r="5" spans="2:27" ht="12.6" customHeight="1" thickBot="1">
      <c r="G5" s="2481" t="s">
        <v>22</v>
      </c>
      <c r="H5" s="2482"/>
      <c r="I5" s="2481" t="s">
        <v>23</v>
      </c>
      <c r="J5" s="2482"/>
      <c r="K5" s="2481" t="s">
        <v>24</v>
      </c>
      <c r="L5" s="2482"/>
      <c r="M5" s="2481" t="s">
        <v>25</v>
      </c>
      <c r="N5" s="2498"/>
      <c r="O5" s="1039"/>
      <c r="S5" s="2479" t="s">
        <v>286</v>
      </c>
      <c r="T5" s="2480"/>
      <c r="U5" s="2495" t="s">
        <v>287</v>
      </c>
      <c r="V5" s="1040"/>
      <c r="W5" s="1041"/>
      <c r="X5" s="1041"/>
      <c r="Y5" s="536"/>
      <c r="Z5" s="1041"/>
      <c r="AA5" s="1042"/>
    </row>
    <row r="6" spans="2:27" ht="12.6" customHeight="1">
      <c r="G6" s="1043"/>
      <c r="H6" s="1044"/>
      <c r="I6" s="1043"/>
      <c r="J6" s="1044"/>
      <c r="K6" s="1043"/>
      <c r="L6" s="1044"/>
      <c r="M6" s="1040"/>
      <c r="N6" s="1045"/>
      <c r="O6" s="1046"/>
      <c r="S6" s="2479"/>
      <c r="T6" s="2480"/>
      <c r="U6" s="2496"/>
      <c r="V6" s="1043"/>
      <c r="AA6" s="1043"/>
    </row>
    <row r="7" spans="2:27" ht="12.6" customHeight="1">
      <c r="G7" s="1042" t="s">
        <v>15</v>
      </c>
      <c r="H7" s="1047" t="s">
        <v>16</v>
      </c>
      <c r="I7" s="1042" t="s">
        <v>15</v>
      </c>
      <c r="J7" s="1047" t="s">
        <v>16</v>
      </c>
      <c r="K7" s="1042" t="s">
        <v>15</v>
      </c>
      <c r="L7" s="1047" t="s">
        <v>16</v>
      </c>
      <c r="M7" s="1042" t="s">
        <v>15</v>
      </c>
      <c r="N7" s="1046" t="s">
        <v>16</v>
      </c>
      <c r="O7" s="1046"/>
      <c r="P7" s="1048"/>
      <c r="S7" s="2479"/>
      <c r="T7" s="2480"/>
      <c r="U7" s="2497"/>
      <c r="V7" s="1049" t="s">
        <v>293</v>
      </c>
      <c r="W7" s="1050" t="s">
        <v>279</v>
      </c>
      <c r="X7" s="1048" t="s">
        <v>280</v>
      </c>
      <c r="Y7" s="1049" t="s">
        <v>281</v>
      </c>
      <c r="Z7" s="1046" t="s">
        <v>282</v>
      </c>
      <c r="AA7" s="1043"/>
    </row>
    <row r="8" spans="2:27" ht="12.6" customHeight="1" thickBot="1">
      <c r="B8" s="1048"/>
      <c r="G8" s="1042"/>
      <c r="H8" s="1047"/>
      <c r="I8" s="1042"/>
      <c r="J8" s="1047"/>
      <c r="K8" s="1051"/>
      <c r="L8" s="1052"/>
      <c r="M8" s="1051"/>
      <c r="N8" s="1053"/>
      <c r="O8" s="1046"/>
      <c r="P8" s="1048"/>
      <c r="S8" s="2479"/>
      <c r="T8" s="2480"/>
      <c r="U8" s="1054" t="s">
        <v>299</v>
      </c>
      <c r="V8" s="1042" t="s">
        <v>185</v>
      </c>
      <c r="W8" s="1048" t="s">
        <v>26</v>
      </c>
      <c r="X8" s="1048" t="s">
        <v>288</v>
      </c>
      <c r="Y8" s="1048" t="s">
        <v>186</v>
      </c>
      <c r="Z8" s="1048" t="s">
        <v>187</v>
      </c>
      <c r="AA8" s="1042"/>
    </row>
    <row r="9" spans="2:27" ht="12.6" customHeight="1">
      <c r="B9" s="2490" t="s">
        <v>2</v>
      </c>
      <c r="C9" s="1041"/>
      <c r="D9" s="2492" t="s">
        <v>20</v>
      </c>
      <c r="E9" s="2467"/>
      <c r="F9" s="1055"/>
      <c r="G9" s="1056" t="s">
        <v>5</v>
      </c>
      <c r="H9" s="1057" t="s">
        <v>7</v>
      </c>
      <c r="I9" s="1056" t="s">
        <v>7</v>
      </c>
      <c r="J9" s="1057" t="s">
        <v>6</v>
      </c>
      <c r="K9" s="1056" t="s">
        <v>6</v>
      </c>
      <c r="L9" s="1058" t="s">
        <v>6</v>
      </c>
      <c r="M9" s="1048" t="s">
        <v>6</v>
      </c>
      <c r="N9" s="1041" t="s">
        <v>73</v>
      </c>
      <c r="O9" s="1046"/>
      <c r="P9" s="1048"/>
      <c r="S9" s="506" t="s">
        <v>289</v>
      </c>
      <c r="U9" s="1059" t="s">
        <v>22</v>
      </c>
      <c r="V9" s="1056" t="s">
        <v>22</v>
      </c>
      <c r="W9" s="1041" t="s">
        <v>22</v>
      </c>
      <c r="X9" s="1041" t="s">
        <v>22</v>
      </c>
      <c r="Y9" s="1041" t="s">
        <v>22</v>
      </c>
      <c r="Z9" s="1041" t="s">
        <v>22</v>
      </c>
      <c r="AA9" s="1042"/>
    </row>
    <row r="10" spans="2:27" ht="12.6" customHeight="1" thickBot="1">
      <c r="B10" s="2491"/>
      <c r="C10" s="1048"/>
      <c r="D10" s="2459" t="s">
        <v>21</v>
      </c>
      <c r="E10" s="2464"/>
      <c r="F10" s="1060"/>
      <c r="G10" s="1051" t="s">
        <v>7</v>
      </c>
      <c r="H10" s="1052" t="s">
        <v>6</v>
      </c>
      <c r="I10" s="1051" t="s">
        <v>6</v>
      </c>
      <c r="J10" s="1052" t="s">
        <v>73</v>
      </c>
      <c r="K10" s="1051" t="s">
        <v>6</v>
      </c>
      <c r="L10" s="1053" t="s">
        <v>73</v>
      </c>
      <c r="M10" s="1061" t="s">
        <v>73</v>
      </c>
      <c r="N10" s="1061" t="s">
        <v>273</v>
      </c>
      <c r="O10" s="1046"/>
      <c r="P10" s="1048"/>
      <c r="S10" s="519" t="s">
        <v>190</v>
      </c>
      <c r="U10" s="1054" t="s">
        <v>22</v>
      </c>
      <c r="V10" s="1042" t="s">
        <v>22</v>
      </c>
      <c r="W10" s="1048" t="s">
        <v>22</v>
      </c>
      <c r="X10" s="1048" t="s">
        <v>23</v>
      </c>
      <c r="Y10" s="1048" t="s">
        <v>23</v>
      </c>
      <c r="Z10" s="1048" t="s">
        <v>24</v>
      </c>
      <c r="AA10" s="1042"/>
    </row>
    <row r="11" spans="2:27" ht="12.6" customHeight="1" thickBot="1">
      <c r="B11" s="1062"/>
      <c r="C11" s="1061"/>
      <c r="D11" s="2459"/>
      <c r="E11" s="2464"/>
      <c r="F11" s="1060"/>
      <c r="G11" s="1051"/>
      <c r="H11" s="1052"/>
      <c r="I11" s="1051"/>
      <c r="J11" s="1052"/>
      <c r="K11" s="1051"/>
      <c r="L11" s="1053"/>
      <c r="M11" s="1061"/>
      <c r="N11" s="1061"/>
      <c r="O11" s="1046"/>
      <c r="P11" s="1048"/>
      <c r="S11" s="519" t="s">
        <v>191</v>
      </c>
      <c r="U11" s="1054" t="s">
        <v>22</v>
      </c>
      <c r="V11" s="1042" t="s">
        <v>22</v>
      </c>
      <c r="W11" s="1048" t="s">
        <v>23</v>
      </c>
      <c r="X11" s="1048" t="s">
        <v>24</v>
      </c>
      <c r="Y11" s="1048" t="s">
        <v>25</v>
      </c>
      <c r="Z11" s="1048" t="s">
        <v>25</v>
      </c>
      <c r="AA11" s="1042"/>
    </row>
    <row r="12" spans="2:27" ht="12.6" customHeight="1" thickBot="1">
      <c r="B12" s="2490" t="s">
        <v>275</v>
      </c>
      <c r="C12" s="1041"/>
      <c r="D12" s="2492" t="s">
        <v>20</v>
      </c>
      <c r="E12" s="2467"/>
      <c r="F12" s="1055"/>
      <c r="G12" s="1056" t="s">
        <v>7</v>
      </c>
      <c r="H12" s="1057" t="s">
        <v>6</v>
      </c>
      <c r="I12" s="1056" t="s">
        <v>6</v>
      </c>
      <c r="J12" s="1057" t="s">
        <v>73</v>
      </c>
      <c r="K12" s="1056" t="s">
        <v>6</v>
      </c>
      <c r="L12" s="1058" t="s">
        <v>73</v>
      </c>
      <c r="M12" s="1048" t="s">
        <v>273</v>
      </c>
      <c r="N12" s="1048" t="s">
        <v>273</v>
      </c>
      <c r="O12" s="1046"/>
      <c r="P12" s="1048"/>
      <c r="S12" s="506" t="s">
        <v>290</v>
      </c>
      <c r="U12" s="1063" t="s">
        <v>25</v>
      </c>
      <c r="V12" s="1051" t="s">
        <v>25</v>
      </c>
      <c r="W12" s="1061" t="s">
        <v>25</v>
      </c>
      <c r="X12" s="1061" t="s">
        <v>25</v>
      </c>
      <c r="Y12" s="1061" t="s">
        <v>25</v>
      </c>
      <c r="Z12" s="1061" t="s">
        <v>25</v>
      </c>
      <c r="AA12" s="1042"/>
    </row>
    <row r="13" spans="2:27" ht="12.6" customHeight="1" thickBot="1">
      <c r="B13" s="2491"/>
      <c r="C13" s="1048"/>
      <c r="D13" s="2462" t="s">
        <v>21</v>
      </c>
      <c r="E13" s="2463"/>
      <c r="F13" s="1064"/>
      <c r="G13" s="1051" t="s">
        <v>6</v>
      </c>
      <c r="H13" s="1052" t="s">
        <v>73</v>
      </c>
      <c r="I13" s="1051" t="s">
        <v>73</v>
      </c>
      <c r="J13" s="1052" t="s">
        <v>273</v>
      </c>
      <c r="K13" s="1051" t="s">
        <v>73</v>
      </c>
      <c r="L13" s="1053" t="s">
        <v>273</v>
      </c>
      <c r="M13" s="1061" t="s">
        <v>189</v>
      </c>
      <c r="N13" s="1061" t="s">
        <v>189</v>
      </c>
      <c r="O13" s="1046"/>
      <c r="P13" s="1048"/>
      <c r="AA13" s="1043"/>
    </row>
    <row r="14" spans="2:27" ht="12.6" customHeight="1" thickBot="1">
      <c r="B14" s="1062"/>
      <c r="C14" s="1061"/>
      <c r="D14" s="2462"/>
      <c r="E14" s="2463"/>
      <c r="F14" s="1064"/>
      <c r="G14" s="1051"/>
      <c r="H14" s="1052"/>
      <c r="I14" s="1051"/>
      <c r="J14" s="1052"/>
      <c r="K14" s="1051"/>
      <c r="L14" s="1053"/>
      <c r="M14" s="1051"/>
      <c r="N14" s="1061"/>
      <c r="O14" s="1046"/>
      <c r="P14" s="1048"/>
      <c r="S14" s="506" t="s">
        <v>289</v>
      </c>
      <c r="U14" s="1059" t="s">
        <v>185</v>
      </c>
      <c r="V14" s="1056" t="s">
        <v>185</v>
      </c>
      <c r="W14" s="1041" t="s">
        <v>185</v>
      </c>
      <c r="X14" s="1055" t="s">
        <v>185</v>
      </c>
      <c r="Y14" s="1041" t="s">
        <v>185</v>
      </c>
      <c r="Z14" s="1041" t="s">
        <v>185</v>
      </c>
      <c r="AA14" s="1042"/>
    </row>
    <row r="15" spans="2:27" ht="12.6" customHeight="1">
      <c r="O15" s="1039"/>
      <c r="S15" s="519" t="s">
        <v>190</v>
      </c>
      <c r="U15" s="1054" t="s">
        <v>185</v>
      </c>
      <c r="V15" s="1042" t="s">
        <v>185</v>
      </c>
      <c r="W15" s="1048" t="s">
        <v>185</v>
      </c>
      <c r="X15" s="1060" t="s">
        <v>186</v>
      </c>
      <c r="Y15" s="1048" t="s">
        <v>186</v>
      </c>
      <c r="Z15" s="1048" t="s">
        <v>213</v>
      </c>
      <c r="AA15" s="1042"/>
    </row>
    <row r="16" spans="2:27" ht="12.6" customHeight="1">
      <c r="O16" s="1039"/>
      <c r="S16" s="519" t="s">
        <v>191</v>
      </c>
      <c r="U16" s="1054" t="s">
        <v>185</v>
      </c>
      <c r="V16" s="1042" t="s">
        <v>185</v>
      </c>
      <c r="W16" s="1048" t="s">
        <v>186</v>
      </c>
      <c r="X16" s="1060" t="s">
        <v>213</v>
      </c>
      <c r="Y16" s="1048" t="s">
        <v>209</v>
      </c>
      <c r="Z16" s="1048" t="s">
        <v>209</v>
      </c>
      <c r="AA16" s="1042"/>
    </row>
    <row r="17" spans="2:27" ht="12.6" customHeight="1">
      <c r="O17" s="1039"/>
      <c r="S17" s="506" t="s">
        <v>290</v>
      </c>
      <c r="U17" s="1048" t="s">
        <v>209</v>
      </c>
      <c r="V17" s="1048" t="s">
        <v>209</v>
      </c>
      <c r="W17" s="1048" t="s">
        <v>209</v>
      </c>
      <c r="X17" s="1048" t="s">
        <v>209</v>
      </c>
      <c r="Y17" s="1048" t="s">
        <v>209</v>
      </c>
      <c r="Z17" s="1048" t="s">
        <v>209</v>
      </c>
      <c r="AA17" s="1042"/>
    </row>
    <row r="18" spans="2:27" ht="12.6" customHeight="1">
      <c r="B18" s="2484" t="s">
        <v>606</v>
      </c>
      <c r="C18" s="2485"/>
      <c r="D18" s="2485"/>
      <c r="E18" s="2485"/>
      <c r="F18" s="2485"/>
      <c r="G18" s="2486"/>
      <c r="J18" s="506" t="s">
        <v>192</v>
      </c>
      <c r="O18" s="1039"/>
    </row>
    <row r="19" spans="2:27" ht="12.6" customHeight="1" thickBot="1">
      <c r="B19" s="2487"/>
      <c r="C19" s="2488"/>
      <c r="D19" s="2488"/>
      <c r="E19" s="2488"/>
      <c r="F19" s="2488"/>
      <c r="G19" s="2489"/>
      <c r="J19" s="1065"/>
      <c r="O19" s="1039"/>
    </row>
    <row r="20" spans="2:27" ht="12.6" customHeight="1" thickBot="1">
      <c r="J20" s="506" t="s">
        <v>291</v>
      </c>
      <c r="O20" s="1039"/>
      <c r="S20" s="2468" t="s">
        <v>292</v>
      </c>
      <c r="T20" s="2469"/>
      <c r="U20" s="2457" t="s">
        <v>287</v>
      </c>
      <c r="V20" s="1040"/>
      <c r="W20" s="1041"/>
      <c r="X20" s="1041"/>
      <c r="Y20" s="536"/>
      <c r="Z20" s="1041"/>
      <c r="AA20" s="1042"/>
    </row>
    <row r="21" spans="2:27" ht="12.6" customHeight="1" thickBot="1">
      <c r="D21" s="1066" t="s">
        <v>193</v>
      </c>
      <c r="E21" s="1067" t="s">
        <v>194</v>
      </c>
      <c r="O21" s="1039"/>
      <c r="S21" s="2470"/>
      <c r="T21" s="2469"/>
      <c r="U21" s="2458"/>
      <c r="V21" s="1043"/>
      <c r="AA21" s="1043"/>
    </row>
    <row r="22" spans="2:27" ht="12.6" customHeight="1">
      <c r="D22" s="1059">
        <v>1</v>
      </c>
      <c r="E22" s="1059" t="s">
        <v>5</v>
      </c>
      <c r="O22" s="1039"/>
      <c r="U22" s="2459"/>
      <c r="V22" s="1043"/>
      <c r="AA22" s="1043"/>
    </row>
    <row r="23" spans="2:27" ht="12.6" customHeight="1" thickBot="1">
      <c r="C23" s="506" t="s">
        <v>195</v>
      </c>
      <c r="D23" s="1054">
        <v>2</v>
      </c>
      <c r="E23" s="1054" t="s">
        <v>7</v>
      </c>
      <c r="O23" s="1039"/>
      <c r="U23" s="1051"/>
      <c r="V23" s="1051" t="s">
        <v>185</v>
      </c>
      <c r="W23" s="1061" t="s">
        <v>26</v>
      </c>
      <c r="X23" s="1061" t="s">
        <v>288</v>
      </c>
      <c r="Y23" s="1061" t="s">
        <v>186</v>
      </c>
      <c r="Z23" s="1061" t="s">
        <v>187</v>
      </c>
      <c r="AA23" s="1043"/>
    </row>
    <row r="24" spans="2:27" ht="12.6" customHeight="1" thickBot="1">
      <c r="D24" s="1054">
        <v>3</v>
      </c>
      <c r="E24" s="1054" t="s">
        <v>6</v>
      </c>
      <c r="G24" s="2460" t="s">
        <v>22</v>
      </c>
      <c r="H24" s="2461"/>
      <c r="I24" s="2460" t="s">
        <v>23</v>
      </c>
      <c r="J24" s="2461"/>
      <c r="K24" s="2460" t="s">
        <v>24</v>
      </c>
      <c r="L24" s="2473"/>
      <c r="M24" s="2481" t="s">
        <v>25</v>
      </c>
      <c r="N24" s="2498"/>
      <c r="O24" s="1039"/>
      <c r="S24" s="2502" t="s">
        <v>286</v>
      </c>
      <c r="T24" s="2503"/>
      <c r="U24" s="1041"/>
      <c r="V24" s="1043"/>
      <c r="W24" s="1050"/>
      <c r="X24" s="1048"/>
      <c r="Y24" s="1068"/>
      <c r="Z24" s="1046"/>
      <c r="AA24" s="1042"/>
    </row>
    <row r="25" spans="2:27" ht="12.6" customHeight="1">
      <c r="D25" s="1054">
        <v>4</v>
      </c>
      <c r="E25" s="1054" t="s">
        <v>73</v>
      </c>
      <c r="G25" s="2459" t="str">
        <f>T45</f>
        <v>Gentle (T1)</v>
      </c>
      <c r="H25" s="2464"/>
      <c r="I25" s="2459" t="str">
        <f>U45</f>
        <v>Moderate (T2)</v>
      </c>
      <c r="J25" s="2464"/>
      <c r="K25" s="2471" t="str">
        <f>V45</f>
        <v>Significant (T3)</v>
      </c>
      <c r="L25" s="2472"/>
      <c r="M25" s="2492" t="str">
        <f>W45</f>
        <v>Extreme (T4)</v>
      </c>
      <c r="N25" s="2467"/>
      <c r="O25" s="1039"/>
      <c r="S25" s="2504"/>
      <c r="T25" s="2505"/>
      <c r="U25" s="1048" t="s">
        <v>293</v>
      </c>
      <c r="V25" s="1049" t="s">
        <v>293</v>
      </c>
      <c r="W25" s="1050" t="s">
        <v>279</v>
      </c>
      <c r="X25" s="1048" t="s">
        <v>280</v>
      </c>
      <c r="Y25" s="1069" t="s">
        <v>281</v>
      </c>
      <c r="Z25" s="1046" t="s">
        <v>326</v>
      </c>
      <c r="AA25" s="1042"/>
    </row>
    <row r="26" spans="2:27" ht="12.6" customHeight="1" thickBot="1">
      <c r="D26" s="1054">
        <v>5</v>
      </c>
      <c r="E26" s="1054" t="s">
        <v>273</v>
      </c>
      <c r="G26" s="2462">
        <v>1</v>
      </c>
      <c r="H26" s="2463"/>
      <c r="I26" s="2462">
        <v>2</v>
      </c>
      <c r="J26" s="2463"/>
      <c r="K26" s="2462">
        <v>2</v>
      </c>
      <c r="L26" s="2515"/>
      <c r="M26" s="2462">
        <v>3</v>
      </c>
      <c r="N26" s="2463"/>
      <c r="O26" s="2501"/>
      <c r="P26" s="2464"/>
      <c r="S26" s="2504"/>
      <c r="T26" s="2505"/>
      <c r="U26" s="1048"/>
      <c r="V26" s="1070"/>
      <c r="W26" s="1050"/>
      <c r="X26" s="1048"/>
      <c r="Y26" s="1071"/>
      <c r="Z26" s="1046"/>
      <c r="AA26" s="1042"/>
    </row>
    <row r="27" spans="2:27" ht="12.6" customHeight="1" thickBot="1">
      <c r="C27" s="506" t="s">
        <v>196</v>
      </c>
      <c r="D27" s="1063">
        <v>6</v>
      </c>
      <c r="E27" s="1063" t="s">
        <v>189</v>
      </c>
      <c r="G27" s="1042" t="s">
        <v>15</v>
      </c>
      <c r="H27" s="1047" t="s">
        <v>16</v>
      </c>
      <c r="I27" s="1042" t="s">
        <v>15</v>
      </c>
      <c r="J27" s="1047" t="s">
        <v>16</v>
      </c>
      <c r="K27" s="1042" t="s">
        <v>15</v>
      </c>
      <c r="L27" s="1047" t="s">
        <v>16</v>
      </c>
      <c r="M27" s="1040" t="s">
        <v>15</v>
      </c>
      <c r="N27" s="1047" t="s">
        <v>16</v>
      </c>
      <c r="O27" s="2501"/>
      <c r="P27" s="2464"/>
      <c r="S27" s="2506"/>
      <c r="T27" s="2507"/>
      <c r="U27" s="1061">
        <v>0</v>
      </c>
      <c r="V27" s="1051">
        <v>0</v>
      </c>
      <c r="W27" s="1072">
        <v>1</v>
      </c>
      <c r="X27" s="1061">
        <v>2</v>
      </c>
      <c r="Y27" s="1072">
        <v>3</v>
      </c>
      <c r="Z27" s="1053">
        <v>4</v>
      </c>
      <c r="AA27" s="1042"/>
    </row>
    <row r="28" spans="2:27" ht="12.6" customHeight="1" thickBot="1">
      <c r="G28" s="1042">
        <v>0</v>
      </c>
      <c r="H28" s="1060">
        <v>1</v>
      </c>
      <c r="I28" s="1042">
        <v>0</v>
      </c>
      <c r="J28" s="1060">
        <v>1</v>
      </c>
      <c r="K28" s="1042">
        <v>0</v>
      </c>
      <c r="L28" s="1060">
        <v>1</v>
      </c>
      <c r="M28" s="1051">
        <v>0</v>
      </c>
      <c r="N28" s="1061">
        <v>1</v>
      </c>
      <c r="O28" s="1046"/>
      <c r="P28" s="1048"/>
    </row>
    <row r="29" spans="2:27" ht="12.6" customHeight="1">
      <c r="B29" s="2490" t="s">
        <v>2</v>
      </c>
      <c r="C29" s="2522">
        <v>0</v>
      </c>
      <c r="D29" s="2467" t="s">
        <v>20</v>
      </c>
      <c r="E29" s="2467"/>
      <c r="F29" s="1041">
        <v>0</v>
      </c>
      <c r="G29" s="1056">
        <f>$C29+$F29+G$28+G$26</f>
        <v>1</v>
      </c>
      <c r="H29" s="1057">
        <f>$C29+$F29+H$28+G$26</f>
        <v>2</v>
      </c>
      <c r="I29" s="1056">
        <f>$C29+$F29+I$28+I$26</f>
        <v>2</v>
      </c>
      <c r="J29" s="1057">
        <f>$C29+$F29+J$28+I$26</f>
        <v>3</v>
      </c>
      <c r="K29" s="1056">
        <f>$C29+$F29+K$28+K$26+1</f>
        <v>3</v>
      </c>
      <c r="L29" s="1057">
        <f>$C29+$F29+L$28+K$26</f>
        <v>3</v>
      </c>
      <c r="M29" s="1042">
        <f>$C29+$F29+M$28+M$26</f>
        <v>3</v>
      </c>
      <c r="N29" s="1073">
        <f>$C29+$F29+N$28+M$26</f>
        <v>4</v>
      </c>
      <c r="O29" s="1046"/>
      <c r="P29" s="1048"/>
      <c r="S29" s="1040" t="s">
        <v>188</v>
      </c>
      <c r="T29" s="1055">
        <v>-3</v>
      </c>
      <c r="U29" s="1059">
        <f t="shared" ref="U29:V32" si="0">$T29+U$27</f>
        <v>-3</v>
      </c>
      <c r="V29" s="1056">
        <f>$T29+V$27</f>
        <v>-3</v>
      </c>
      <c r="W29" s="1041">
        <f t="shared" ref="W29:Z32" si="1">$T29+W$27</f>
        <v>-2</v>
      </c>
      <c r="X29" s="1041">
        <f t="shared" si="1"/>
        <v>-1</v>
      </c>
      <c r="Y29" s="1041">
        <f t="shared" si="1"/>
        <v>0</v>
      </c>
      <c r="Z29" s="1041">
        <f t="shared" si="1"/>
        <v>1</v>
      </c>
      <c r="AA29" s="1042"/>
    </row>
    <row r="30" spans="2:27" ht="12.6" customHeight="1">
      <c r="B30" s="2491"/>
      <c r="C30" s="2480"/>
      <c r="D30" s="2464" t="s">
        <v>21</v>
      </c>
      <c r="E30" s="2464"/>
      <c r="F30" s="1048">
        <v>1</v>
      </c>
      <c r="G30" s="1074">
        <f>$C29+$F30+G$28+G$26</f>
        <v>2</v>
      </c>
      <c r="H30" s="1075">
        <f>$C29+$F30+H$28+G$26</f>
        <v>3</v>
      </c>
      <c r="I30" s="1074">
        <f>$C29+$F30+I$28+I$26</f>
        <v>3</v>
      </c>
      <c r="J30" s="1075">
        <f>$C29+$F30+J$28+I$26</f>
        <v>4</v>
      </c>
      <c r="K30" s="1074">
        <f>$C29+$F30+K$28+K$26</f>
        <v>3</v>
      </c>
      <c r="L30" s="1075">
        <f>$C29+$F30+L$28+K$26</f>
        <v>4</v>
      </c>
      <c r="M30" s="1074">
        <f>$C29+$F30+M$28+M$26</f>
        <v>4</v>
      </c>
      <c r="N30" s="1076">
        <f>$C29+$F30+N$28+M$26</f>
        <v>5</v>
      </c>
      <c r="O30" s="1046"/>
      <c r="P30" s="1048"/>
      <c r="S30" s="1042" t="s">
        <v>190</v>
      </c>
      <c r="T30" s="1060">
        <v>0</v>
      </c>
      <c r="U30" s="1054">
        <f t="shared" si="0"/>
        <v>0</v>
      </c>
      <c r="V30" s="1042">
        <f t="shared" si="0"/>
        <v>0</v>
      </c>
      <c r="W30" s="1048">
        <f t="shared" si="1"/>
        <v>1</v>
      </c>
      <c r="X30" s="1048">
        <f t="shared" si="1"/>
        <v>2</v>
      </c>
      <c r="Y30" s="1048">
        <f>$T30+Y$27-1</f>
        <v>2</v>
      </c>
      <c r="Z30" s="1048">
        <f>$T30+Z$27-1</f>
        <v>3</v>
      </c>
      <c r="AA30" s="1042"/>
    </row>
    <row r="31" spans="2:27" ht="12.6" customHeight="1" thickBot="1">
      <c r="B31" s="1062"/>
      <c r="C31" s="2480"/>
      <c r="D31" s="2463"/>
      <c r="E31" s="2463"/>
      <c r="F31" s="1061"/>
      <c r="G31" s="1077"/>
      <c r="H31" s="1078"/>
      <c r="I31" s="1077"/>
      <c r="J31" s="1078"/>
      <c r="K31" s="1077"/>
      <c r="L31" s="1078"/>
      <c r="M31" s="1077"/>
      <c r="N31" s="1061"/>
      <c r="O31" s="1046"/>
      <c r="P31" s="1048"/>
      <c r="S31" s="1042" t="s">
        <v>191</v>
      </c>
      <c r="T31" s="1060">
        <v>1</v>
      </c>
      <c r="U31" s="1054">
        <f t="shared" si="0"/>
        <v>1</v>
      </c>
      <c r="V31" s="1042">
        <f t="shared" si="0"/>
        <v>1</v>
      </c>
      <c r="W31" s="1048">
        <f t="shared" si="1"/>
        <v>2</v>
      </c>
      <c r="X31" s="1048">
        <f t="shared" si="1"/>
        <v>3</v>
      </c>
      <c r="Y31" s="1048">
        <f t="shared" si="1"/>
        <v>4</v>
      </c>
      <c r="Z31" s="1060">
        <f t="shared" si="1"/>
        <v>5</v>
      </c>
      <c r="AA31" s="1042"/>
    </row>
    <row r="32" spans="2:27" ht="12.6" customHeight="1" thickBot="1">
      <c r="B32" s="2490" t="s">
        <v>275</v>
      </c>
      <c r="C32" s="2522">
        <v>1</v>
      </c>
      <c r="D32" s="2467" t="s">
        <v>20</v>
      </c>
      <c r="E32" s="2467"/>
      <c r="F32" s="1041">
        <f>F29</f>
        <v>0</v>
      </c>
      <c r="G32" s="1056">
        <f>$C32+$F32+G$28+G$26</f>
        <v>2</v>
      </c>
      <c r="H32" s="1057">
        <f>$C32+$F32+H$28+G$26</f>
        <v>3</v>
      </c>
      <c r="I32" s="1056">
        <f>$C32+$F32+I$28+I$26</f>
        <v>3</v>
      </c>
      <c r="J32" s="1057">
        <f>$C32+$F32+J$28+I$26</f>
        <v>4</v>
      </c>
      <c r="K32" s="1056">
        <f>$C32+$F32+K$28+K$26</f>
        <v>3</v>
      </c>
      <c r="L32" s="1057">
        <f>$C32+$F32+L$28+K$26</f>
        <v>4</v>
      </c>
      <c r="M32" s="1056">
        <f>$C32+$F32+M$28+M$26+1</f>
        <v>5</v>
      </c>
      <c r="N32" s="1073">
        <f>$C32+$F32+N$28+M$26</f>
        <v>5</v>
      </c>
      <c r="O32" s="1046"/>
      <c r="P32" s="1048"/>
      <c r="S32" s="1051" t="s">
        <v>294</v>
      </c>
      <c r="T32" s="1064">
        <v>4</v>
      </c>
      <c r="U32" s="1063">
        <f t="shared" si="0"/>
        <v>4</v>
      </c>
      <c r="V32" s="1051">
        <f t="shared" si="0"/>
        <v>4</v>
      </c>
      <c r="W32" s="1061">
        <f t="shared" si="1"/>
        <v>5</v>
      </c>
      <c r="X32" s="1061">
        <f t="shared" si="1"/>
        <v>6</v>
      </c>
      <c r="Y32" s="1061">
        <f t="shared" si="1"/>
        <v>7</v>
      </c>
      <c r="Z32" s="1061">
        <f t="shared" si="1"/>
        <v>8</v>
      </c>
      <c r="AA32" s="1042"/>
    </row>
    <row r="33" spans="2:27" ht="12.6" customHeight="1" thickBot="1">
      <c r="B33" s="2491"/>
      <c r="C33" s="2480"/>
      <c r="D33" s="2464" t="s">
        <v>21</v>
      </c>
      <c r="E33" s="2464"/>
      <c r="F33" s="1048">
        <f>F30</f>
        <v>1</v>
      </c>
      <c r="G33" s="1074">
        <f>$C32+$F33+G$28+G$26</f>
        <v>3</v>
      </c>
      <c r="H33" s="1075">
        <f>$C32+$F33+H$28+G$26</f>
        <v>4</v>
      </c>
      <c r="I33" s="1074">
        <f>$C32+$F33+I$28+I$26</f>
        <v>4</v>
      </c>
      <c r="J33" s="1075">
        <f>$C32+$F33+J$28+I$26</f>
        <v>5</v>
      </c>
      <c r="K33" s="1074">
        <f>$C32+$F33+K$28+K$26</f>
        <v>4</v>
      </c>
      <c r="L33" s="1075">
        <f>$C32+$F33+L$28+K$26</f>
        <v>5</v>
      </c>
      <c r="M33" s="1074">
        <f>$C32+$F33+M$28+M$26+1</f>
        <v>6</v>
      </c>
      <c r="N33" s="1076">
        <f>$C32+$F33+N$28+M$26</f>
        <v>6</v>
      </c>
      <c r="O33" s="1046"/>
      <c r="P33" s="1048"/>
    </row>
    <row r="34" spans="2:27" ht="12.6" customHeight="1" thickBot="1">
      <c r="B34" s="1062"/>
      <c r="C34" s="2523"/>
      <c r="D34" s="2463"/>
      <c r="E34" s="2463"/>
      <c r="F34" s="1061"/>
      <c r="G34" s="1077"/>
      <c r="H34" s="1078"/>
      <c r="I34" s="1077"/>
      <c r="J34" s="1078"/>
      <c r="K34" s="1077"/>
      <c r="L34" s="1078"/>
      <c r="M34" s="1077"/>
      <c r="N34" s="1061"/>
      <c r="O34" s="1046"/>
      <c r="P34" s="1048"/>
      <c r="S34" s="1040" t="s">
        <v>188</v>
      </c>
      <c r="T34" s="537"/>
      <c r="U34" s="1056" t="str">
        <f t="shared" ref="U34:Z37" si="2">IF(U29&lt;=$T$47,"T1",IF(U29&lt;=$U$47,"T2",IF(U29&lt;=$V$47,"T3","T4")))</f>
        <v>T1</v>
      </c>
      <c r="V34" s="1056" t="str">
        <f t="shared" si="2"/>
        <v>T1</v>
      </c>
      <c r="W34" s="1041" t="str">
        <f t="shared" si="2"/>
        <v>T1</v>
      </c>
      <c r="X34" s="1041" t="str">
        <f t="shared" si="2"/>
        <v>T1</v>
      </c>
      <c r="Y34" s="1041" t="str">
        <f t="shared" si="2"/>
        <v>T1</v>
      </c>
      <c r="Z34" s="1055" t="str">
        <f t="shared" si="2"/>
        <v>T1</v>
      </c>
      <c r="AA34" s="1048"/>
    </row>
    <row r="35" spans="2:27" ht="12.6" customHeight="1" thickBot="1">
      <c r="O35" s="1039"/>
      <c r="S35" s="1042" t="s">
        <v>190</v>
      </c>
      <c r="T35" s="1079"/>
      <c r="U35" s="1042" t="str">
        <f t="shared" si="2"/>
        <v>T1</v>
      </c>
      <c r="V35" s="1042" t="str">
        <f t="shared" si="2"/>
        <v>T1</v>
      </c>
      <c r="W35" s="1048" t="str">
        <f t="shared" si="2"/>
        <v>T1</v>
      </c>
      <c r="X35" s="1048" t="str">
        <f t="shared" si="2"/>
        <v>T2</v>
      </c>
      <c r="Y35" s="1048" t="str">
        <f t="shared" si="2"/>
        <v>T2</v>
      </c>
      <c r="Z35" s="1060" t="str">
        <f t="shared" si="2"/>
        <v>T3</v>
      </c>
      <c r="AA35" s="1048"/>
    </row>
    <row r="36" spans="2:27" ht="12.6" customHeight="1">
      <c r="B36" s="2490" t="s">
        <v>2</v>
      </c>
      <c r="C36" s="537"/>
      <c r="D36" s="2467" t="s">
        <v>20</v>
      </c>
      <c r="E36" s="2467"/>
      <c r="F36" s="536"/>
      <c r="G36" s="1056" t="str">
        <f>IF(G29&lt;=$G$44,"L",IF(G29=$H$44,"M",IF(G29=$I$44,"H",IF(G29=$J$44,"VH",IF(G29=$K$44,"EH","SD")))))</f>
        <v>L</v>
      </c>
      <c r="H36" s="1041" t="str">
        <f t="shared" ref="H36:N36" si="3">IF(H29&lt;=$G$44,"L",IF(H29=$H$44,"M",IF(H29=$I$44,"H",IF(H29=$J$44,"VH",IF(H29=$K$44,"EH","SD")))))</f>
        <v>M</v>
      </c>
      <c r="I36" s="1056" t="str">
        <f t="shared" si="3"/>
        <v>M</v>
      </c>
      <c r="J36" s="1055" t="str">
        <f t="shared" si="3"/>
        <v>H</v>
      </c>
      <c r="K36" s="1056" t="str">
        <f t="shared" si="3"/>
        <v>H</v>
      </c>
      <c r="L36" s="1041" t="str">
        <f t="shared" si="3"/>
        <v>H</v>
      </c>
      <c r="M36" s="1056" t="str">
        <f t="shared" si="3"/>
        <v>H</v>
      </c>
      <c r="N36" s="1055" t="str">
        <f t="shared" si="3"/>
        <v>VH</v>
      </c>
      <c r="O36" s="1048"/>
      <c r="P36" s="1048"/>
      <c r="S36" s="1042" t="s">
        <v>191</v>
      </c>
      <c r="T36" s="1060"/>
      <c r="U36" s="1042" t="str">
        <f t="shared" si="2"/>
        <v>T1</v>
      </c>
      <c r="V36" s="1042" t="str">
        <f t="shared" si="2"/>
        <v>T1</v>
      </c>
      <c r="W36" s="1048" t="str">
        <f t="shared" si="2"/>
        <v>T2</v>
      </c>
      <c r="X36" s="1048" t="str">
        <f t="shared" si="2"/>
        <v>T3</v>
      </c>
      <c r="Y36" s="1048" t="str">
        <f t="shared" si="2"/>
        <v>T4</v>
      </c>
      <c r="Z36" s="1060" t="str">
        <f t="shared" si="2"/>
        <v>T4</v>
      </c>
      <c r="AA36" s="1048"/>
    </row>
    <row r="37" spans="2:27" ht="12.6" customHeight="1" thickBot="1">
      <c r="B37" s="2491"/>
      <c r="C37" s="1079"/>
      <c r="D37" s="2464" t="s">
        <v>21</v>
      </c>
      <c r="E37" s="2464"/>
      <c r="G37" s="1042" t="str">
        <f t="shared" ref="G37:N37" si="4">IF(G30&lt;=$G$44,"L",IF(G30=$H$44,"M",IF(G30=$I$44,"H",IF(G30=$J$44,"VH",IF(G30=$K$44,"EH","SD")))))</f>
        <v>M</v>
      </c>
      <c r="H37" s="1048" t="str">
        <f t="shared" si="4"/>
        <v>H</v>
      </c>
      <c r="I37" s="1042" t="str">
        <f t="shared" si="4"/>
        <v>H</v>
      </c>
      <c r="J37" s="1060" t="str">
        <f t="shared" si="4"/>
        <v>VH</v>
      </c>
      <c r="K37" s="1042" t="str">
        <f t="shared" si="4"/>
        <v>H</v>
      </c>
      <c r="L37" s="1048" t="str">
        <f t="shared" si="4"/>
        <v>VH</v>
      </c>
      <c r="M37" s="1042" t="str">
        <f t="shared" si="4"/>
        <v>VH</v>
      </c>
      <c r="N37" s="1060" t="str">
        <f t="shared" si="4"/>
        <v>EH</v>
      </c>
      <c r="O37" s="1048"/>
      <c r="P37" s="1048"/>
      <c r="S37" s="1051" t="s">
        <v>294</v>
      </c>
      <c r="T37" s="1080"/>
      <c r="U37" s="1051" t="str">
        <f t="shared" si="2"/>
        <v>T4</v>
      </c>
      <c r="V37" s="1051" t="str">
        <f t="shared" si="2"/>
        <v>T4</v>
      </c>
      <c r="W37" s="1061" t="str">
        <f t="shared" si="2"/>
        <v>T4</v>
      </c>
      <c r="X37" s="1061" t="str">
        <f t="shared" si="2"/>
        <v>T4</v>
      </c>
      <c r="Y37" s="1061" t="str">
        <f t="shared" si="2"/>
        <v>T4</v>
      </c>
      <c r="Z37" s="1064" t="str">
        <f t="shared" si="2"/>
        <v>T4</v>
      </c>
      <c r="AA37" s="1048"/>
    </row>
    <row r="38" spans="2:27" ht="12.6" customHeight="1" thickBot="1">
      <c r="B38" s="1062"/>
      <c r="C38" s="1079"/>
      <c r="D38" s="2463"/>
      <c r="E38" s="2463"/>
      <c r="F38" s="1081"/>
      <c r="G38" s="1051"/>
      <c r="H38" s="1061"/>
      <c r="I38" s="1051"/>
      <c r="J38" s="1064"/>
      <c r="K38" s="1051"/>
      <c r="L38" s="1061"/>
      <c r="M38" s="1051"/>
      <c r="N38" s="1064"/>
      <c r="O38" s="1048"/>
      <c r="P38" s="1048"/>
    </row>
    <row r="39" spans="2:27" ht="12.6" customHeight="1">
      <c r="B39" s="2490" t="s">
        <v>275</v>
      </c>
      <c r="C39" s="537"/>
      <c r="D39" s="2467" t="s">
        <v>20</v>
      </c>
      <c r="E39" s="2467"/>
      <c r="F39" s="536"/>
      <c r="G39" s="1042" t="str">
        <f t="shared" ref="G39:N40" si="5">IF(G32&lt;=$G$44,"L",IF(G32=$H$44,"M",IF(G32=$I$44,"H",IF(G32=$J$44,"VH",IF(G32=$K$44,"EH","SD")))))</f>
        <v>M</v>
      </c>
      <c r="H39" s="1048" t="str">
        <f t="shared" si="5"/>
        <v>H</v>
      </c>
      <c r="I39" s="1042" t="str">
        <f t="shared" si="5"/>
        <v>H</v>
      </c>
      <c r="J39" s="1060" t="str">
        <f t="shared" si="5"/>
        <v>VH</v>
      </c>
      <c r="K39" s="1042" t="str">
        <f t="shared" si="5"/>
        <v>H</v>
      </c>
      <c r="L39" s="1060" t="str">
        <f t="shared" si="5"/>
        <v>VH</v>
      </c>
      <c r="M39" s="1048" t="str">
        <f t="shared" si="5"/>
        <v>EH</v>
      </c>
      <c r="N39" s="1048" t="str">
        <f t="shared" si="5"/>
        <v>EH</v>
      </c>
      <c r="O39" s="1046"/>
      <c r="P39" s="1048"/>
      <c r="S39" s="1040" t="s">
        <v>188</v>
      </c>
      <c r="T39" s="537"/>
      <c r="U39" s="1056" t="str">
        <f t="shared" ref="U39:Z42" si="6">IF(U29&lt;=$T$47,$T$45,IF(U29&lt;=$U$47,$U$45,IF(U29&lt;=$V$47,$V$45,IF(U29&lt;=$W$47,$W$45,IF(U29&lt;=$X$47,$X$45,"Extreme")))))</f>
        <v>Gentle (T1)</v>
      </c>
      <c r="V39" s="1056" t="str">
        <f t="shared" si="6"/>
        <v>Gentle (T1)</v>
      </c>
      <c r="W39" s="1041" t="str">
        <f t="shared" si="6"/>
        <v>Gentle (T1)</v>
      </c>
      <c r="X39" s="1041" t="str">
        <f t="shared" si="6"/>
        <v>Gentle (T1)</v>
      </c>
      <c r="Y39" s="1041" t="str">
        <f t="shared" si="6"/>
        <v>Gentle (T1)</v>
      </c>
      <c r="Z39" s="1055" t="str">
        <f t="shared" si="6"/>
        <v>Gentle (T1)</v>
      </c>
      <c r="AA39" s="1048"/>
    </row>
    <row r="40" spans="2:27" ht="12.6" customHeight="1">
      <c r="B40" s="2491"/>
      <c r="C40" s="1079"/>
      <c r="D40" s="2464" t="s">
        <v>21</v>
      </c>
      <c r="E40" s="2464"/>
      <c r="G40" s="1042" t="str">
        <f t="shared" si="5"/>
        <v>H</v>
      </c>
      <c r="H40" s="1048" t="str">
        <f t="shared" si="5"/>
        <v>VH</v>
      </c>
      <c r="I40" s="1042" t="str">
        <f t="shared" si="5"/>
        <v>VH</v>
      </c>
      <c r="J40" s="1060" t="str">
        <f t="shared" si="5"/>
        <v>EH</v>
      </c>
      <c r="K40" s="1042" t="str">
        <f t="shared" si="5"/>
        <v>VH</v>
      </c>
      <c r="L40" s="1060" t="str">
        <f t="shared" si="5"/>
        <v>EH</v>
      </c>
      <c r="M40" s="1048" t="str">
        <f t="shared" si="5"/>
        <v>SD</v>
      </c>
      <c r="N40" s="1048" t="str">
        <f t="shared" si="5"/>
        <v>SD</v>
      </c>
      <c r="O40" s="1046"/>
      <c r="P40" s="1048"/>
      <c r="S40" s="1042" t="s">
        <v>190</v>
      </c>
      <c r="T40" s="1079"/>
      <c r="U40" s="1042" t="str">
        <f t="shared" si="6"/>
        <v>Gentle (T1)</v>
      </c>
      <c r="V40" s="1042" t="str">
        <f t="shared" si="6"/>
        <v>Gentle (T1)</v>
      </c>
      <c r="W40" s="1048" t="str">
        <f t="shared" si="6"/>
        <v>Gentle (T1)</v>
      </c>
      <c r="X40" s="1048" t="str">
        <f t="shared" si="6"/>
        <v>Moderate (T2)</v>
      </c>
      <c r="Y40" s="1048" t="str">
        <f t="shared" si="6"/>
        <v>Moderate (T2)</v>
      </c>
      <c r="Z40" s="1060" t="str">
        <f t="shared" si="6"/>
        <v>Significant (T3)</v>
      </c>
      <c r="AA40" s="1048"/>
    </row>
    <row r="41" spans="2:27" ht="12.6" customHeight="1" thickBot="1">
      <c r="B41" s="1062"/>
      <c r="C41" s="1080"/>
      <c r="D41" s="2463"/>
      <c r="E41" s="2463"/>
      <c r="F41" s="1081"/>
      <c r="G41" s="1051"/>
      <c r="H41" s="1061"/>
      <c r="I41" s="1051"/>
      <c r="J41" s="1064"/>
      <c r="K41" s="1051"/>
      <c r="L41" s="1064"/>
      <c r="M41" s="1061"/>
      <c r="N41" s="1061"/>
      <c r="O41" s="1046"/>
      <c r="P41" s="1048"/>
      <c r="S41" s="1042" t="s">
        <v>191</v>
      </c>
      <c r="T41" s="1079"/>
      <c r="U41" s="1042" t="str">
        <f t="shared" si="6"/>
        <v>Gentle (T1)</v>
      </c>
      <c r="V41" s="1042" t="str">
        <f t="shared" si="6"/>
        <v>Gentle (T1)</v>
      </c>
      <c r="W41" s="1048" t="str">
        <f t="shared" si="6"/>
        <v>Moderate (T2)</v>
      </c>
      <c r="X41" s="1048" t="str">
        <f t="shared" si="6"/>
        <v>Significant (T3)</v>
      </c>
      <c r="Y41" s="1048" t="str">
        <f t="shared" si="6"/>
        <v>Extreme (T4)</v>
      </c>
      <c r="Z41" s="1060" t="str">
        <f t="shared" si="6"/>
        <v>Extreme</v>
      </c>
      <c r="AA41" s="1048"/>
    </row>
    <row r="42" spans="2:27" ht="12.6" customHeight="1" thickBot="1">
      <c r="G42" s="1048"/>
      <c r="S42" s="1051" t="s">
        <v>294</v>
      </c>
      <c r="T42" s="1080"/>
      <c r="U42" s="1051" t="str">
        <f t="shared" si="6"/>
        <v>Extreme (T4)</v>
      </c>
      <c r="V42" s="1051" t="str">
        <f t="shared" si="6"/>
        <v>Extreme (T4)</v>
      </c>
      <c r="W42" s="1061" t="str">
        <f t="shared" si="6"/>
        <v>Extreme</v>
      </c>
      <c r="X42" s="1061" t="str">
        <f t="shared" si="6"/>
        <v>Extreme</v>
      </c>
      <c r="Y42" s="1061" t="str">
        <f t="shared" si="6"/>
        <v>Extreme</v>
      </c>
      <c r="Z42" s="1064" t="str">
        <f t="shared" si="6"/>
        <v>Extreme</v>
      </c>
      <c r="AA42" s="1048"/>
    </row>
    <row r="43" spans="2:27" ht="12.6" customHeight="1">
      <c r="G43" s="1082" t="s">
        <v>26</v>
      </c>
      <c r="H43" s="1083" t="s">
        <v>27</v>
      </c>
      <c r="I43" s="1083" t="s">
        <v>28</v>
      </c>
      <c r="J43" s="1083" t="s">
        <v>29</v>
      </c>
      <c r="K43" s="1083" t="s">
        <v>274</v>
      </c>
      <c r="L43" s="1084" t="s">
        <v>30</v>
      </c>
    </row>
    <row r="44" spans="2:27" ht="12.6" customHeight="1">
      <c r="G44" s="1085">
        <v>1</v>
      </c>
      <c r="H44" s="1086">
        <v>2</v>
      </c>
      <c r="I44" s="1086">
        <v>3</v>
      </c>
      <c r="J44" s="1086">
        <v>4</v>
      </c>
      <c r="K44" s="1086">
        <v>5</v>
      </c>
      <c r="L44" s="1087">
        <v>6</v>
      </c>
    </row>
    <row r="45" spans="2:27" ht="12.6" customHeight="1">
      <c r="T45" s="1082" t="s">
        <v>310</v>
      </c>
      <c r="U45" s="1083" t="s">
        <v>311</v>
      </c>
      <c r="V45" s="1083" t="s">
        <v>312</v>
      </c>
      <c r="W45" s="1084" t="s">
        <v>313</v>
      </c>
      <c r="X45" s="1084" t="s">
        <v>313</v>
      </c>
    </row>
    <row r="46" spans="2:27" ht="12.6" customHeight="1">
      <c r="T46" s="1046" t="s">
        <v>22</v>
      </c>
      <c r="U46" s="1048" t="s">
        <v>23</v>
      </c>
      <c r="V46" s="1048" t="s">
        <v>24</v>
      </c>
      <c r="W46" s="1088" t="s">
        <v>25</v>
      </c>
      <c r="X46" s="1088" t="s">
        <v>25</v>
      </c>
    </row>
    <row r="47" spans="2:27" ht="12.6" customHeight="1">
      <c r="T47" s="1085">
        <v>1</v>
      </c>
      <c r="U47" s="1086">
        <v>2</v>
      </c>
      <c r="V47" s="1086">
        <v>3</v>
      </c>
      <c r="W47" s="1087">
        <v>4</v>
      </c>
      <c r="X47" s="1087">
        <v>4</v>
      </c>
    </row>
    <row r="48" spans="2:27" ht="12.6" customHeight="1"/>
    <row r="49" spans="2:28" ht="12.6" customHeight="1">
      <c r="G49" s="1089" t="s">
        <v>193</v>
      </c>
    </row>
    <row r="50" spans="2:28" ht="12.6" customHeight="1" thickBot="1"/>
    <row r="51" spans="2:28" ht="12.6" customHeight="1" thickBot="1">
      <c r="B51" s="2502" t="s">
        <v>198</v>
      </c>
      <c r="C51" s="2466"/>
      <c r="D51" s="2465" t="s">
        <v>2</v>
      </c>
      <c r="E51" s="2466"/>
      <c r="F51" s="1090"/>
      <c r="G51" s="1091">
        <v>0</v>
      </c>
      <c r="H51" s="2511" t="s">
        <v>199</v>
      </c>
      <c r="I51" s="2511"/>
      <c r="J51" s="2511"/>
      <c r="K51" s="2511"/>
      <c r="L51" s="2511"/>
      <c r="M51" s="2511"/>
      <c r="N51" s="2511"/>
      <c r="O51" s="2511"/>
      <c r="P51" s="2512"/>
      <c r="S51" s="1040" t="s">
        <v>278</v>
      </c>
      <c r="T51" s="1092">
        <f>V27</f>
        <v>0</v>
      </c>
      <c r="U51" s="2545">
        <f>'Project Demand'!AK17-1</f>
        <v>2</v>
      </c>
      <c r="V51" s="536"/>
      <c r="W51" s="1093" t="s">
        <v>197</v>
      </c>
      <c r="X51" s="1094"/>
      <c r="Y51" s="1094"/>
      <c r="Z51" s="1095"/>
      <c r="AA51" s="536"/>
      <c r="AB51" s="465"/>
    </row>
    <row r="52" spans="2:28" ht="12.6" customHeight="1">
      <c r="B52" s="2517"/>
      <c r="C52" s="2518"/>
      <c r="D52" s="2531" t="s">
        <v>275</v>
      </c>
      <c r="E52" s="2518"/>
      <c r="F52" s="1096"/>
      <c r="G52" s="1097">
        <v>1</v>
      </c>
      <c r="H52" s="2513"/>
      <c r="I52" s="2513"/>
      <c r="J52" s="2513"/>
      <c r="K52" s="2513"/>
      <c r="L52" s="2513"/>
      <c r="M52" s="2513"/>
      <c r="N52" s="2513"/>
      <c r="O52" s="2513"/>
      <c r="P52" s="2514"/>
      <c r="S52" s="1043" t="s">
        <v>279</v>
      </c>
      <c r="T52" s="1050">
        <f>W27</f>
        <v>1</v>
      </c>
      <c r="U52" s="2532"/>
      <c r="W52" s="1098"/>
      <c r="X52" s="1099"/>
      <c r="Y52" s="1099"/>
      <c r="Z52" s="1099"/>
      <c r="AB52" s="957"/>
    </row>
    <row r="53" spans="2:28" ht="12.6" customHeight="1">
      <c r="D53" s="1048"/>
      <c r="G53" s="1048"/>
      <c r="S53" s="1042" t="s">
        <v>280</v>
      </c>
      <c r="T53" s="1050">
        <f>X27</f>
        <v>2</v>
      </c>
      <c r="U53" s="2532"/>
      <c r="AB53" s="957"/>
    </row>
    <row r="54" spans="2:28" ht="12.6" customHeight="1">
      <c r="B54" s="2502" t="s">
        <v>19</v>
      </c>
      <c r="C54" s="2466"/>
      <c r="D54" s="2520" t="s">
        <v>20</v>
      </c>
      <c r="E54" s="2466"/>
      <c r="F54" s="1090"/>
      <c r="G54" s="1091">
        <v>0</v>
      </c>
      <c r="H54" s="2511" t="s">
        <v>200</v>
      </c>
      <c r="I54" s="2511"/>
      <c r="J54" s="2511"/>
      <c r="K54" s="2511"/>
      <c r="L54" s="2511"/>
      <c r="M54" s="2511"/>
      <c r="N54" s="2511"/>
      <c r="O54" s="2511"/>
      <c r="P54" s="2512"/>
      <c r="S54" s="1042" t="s">
        <v>281</v>
      </c>
      <c r="T54" s="1050">
        <f>Y27</f>
        <v>3</v>
      </c>
      <c r="U54" s="2532"/>
      <c r="AB54" s="957"/>
    </row>
    <row r="55" spans="2:28" ht="12.6" customHeight="1">
      <c r="B55" s="2476"/>
      <c r="C55" s="2516"/>
      <c r="D55" s="2501" t="s">
        <v>21</v>
      </c>
      <c r="E55" s="2516"/>
      <c r="G55" s="1050">
        <v>1</v>
      </c>
      <c r="H55" s="2538"/>
      <c r="I55" s="2538"/>
      <c r="J55" s="2538"/>
      <c r="K55" s="2538"/>
      <c r="L55" s="2538"/>
      <c r="M55" s="2538"/>
      <c r="N55" s="2538"/>
      <c r="O55" s="2538"/>
      <c r="P55" s="2530"/>
      <c r="S55" s="1100" t="s">
        <v>282</v>
      </c>
      <c r="T55" s="1050">
        <f>Z27</f>
        <v>4</v>
      </c>
      <c r="U55" s="2533"/>
      <c r="AB55" s="957"/>
    </row>
    <row r="56" spans="2:28" ht="12.6" customHeight="1">
      <c r="B56" s="2517"/>
      <c r="C56" s="2518"/>
      <c r="D56" s="2527"/>
      <c r="E56" s="2528"/>
      <c r="F56" s="1096"/>
      <c r="G56" s="1097"/>
      <c r="H56" s="2513"/>
      <c r="I56" s="2513"/>
      <c r="J56" s="2513"/>
      <c r="K56" s="2513"/>
      <c r="L56" s="2513"/>
      <c r="M56" s="2513"/>
      <c r="N56" s="2513"/>
      <c r="O56" s="2513"/>
      <c r="P56" s="2514"/>
      <c r="S56" s="1043" t="s">
        <v>297</v>
      </c>
      <c r="T56" s="1091">
        <v>-3</v>
      </c>
      <c r="U56" s="2524">
        <f>IF(U60=4,0,IF('Project Demand'!AK15=2,-3,0))</f>
        <v>0</v>
      </c>
      <c r="V56" s="506" t="s">
        <v>295</v>
      </c>
      <c r="AB56" s="957"/>
    </row>
    <row r="57" spans="2:28" ht="12.6" customHeight="1">
      <c r="D57" s="1048"/>
      <c r="G57" s="1048"/>
      <c r="S57" s="1074" t="s">
        <v>532</v>
      </c>
      <c r="T57" s="1050">
        <v>0</v>
      </c>
      <c r="U57" s="2532"/>
      <c r="V57" s="506" t="s">
        <v>296</v>
      </c>
      <c r="AB57" s="957"/>
    </row>
    <row r="58" spans="2:28" ht="12.6" customHeight="1">
      <c r="B58" s="2519" t="s">
        <v>201</v>
      </c>
      <c r="C58" s="2466"/>
      <c r="D58" s="2520" t="s">
        <v>22</v>
      </c>
      <c r="E58" s="2466"/>
      <c r="F58" s="1090"/>
      <c r="G58" s="1091">
        <f>T47</f>
        <v>1</v>
      </c>
      <c r="H58" s="2519" t="s">
        <v>300</v>
      </c>
      <c r="I58" s="2511"/>
      <c r="J58" s="2511"/>
      <c r="K58" s="2511"/>
      <c r="L58" s="2511"/>
      <c r="M58" s="2511"/>
      <c r="N58" s="2511"/>
      <c r="O58" s="2511"/>
      <c r="P58" s="2512"/>
      <c r="S58" s="1100"/>
      <c r="T58" s="1097"/>
      <c r="U58" s="2533"/>
      <c r="AB58" s="957"/>
    </row>
    <row r="59" spans="2:28" ht="12.6" customHeight="1">
      <c r="B59" s="2476"/>
      <c r="C59" s="2516"/>
      <c r="D59" s="2501" t="s">
        <v>23</v>
      </c>
      <c r="E59" s="2516"/>
      <c r="G59" s="1050">
        <f>U47</f>
        <v>2</v>
      </c>
      <c r="H59" s="2504"/>
      <c r="I59" s="2479"/>
      <c r="J59" s="2479"/>
      <c r="K59" s="2479"/>
      <c r="L59" s="2479"/>
      <c r="M59" s="2479"/>
      <c r="N59" s="2479"/>
      <c r="O59" s="2479"/>
      <c r="P59" s="2505"/>
      <c r="S59" s="1074"/>
      <c r="AB59" s="957"/>
    </row>
    <row r="60" spans="2:28" ht="12.6" customHeight="1">
      <c r="B60" s="2476"/>
      <c r="C60" s="2516"/>
      <c r="D60" s="2529" t="s">
        <v>24</v>
      </c>
      <c r="E60" s="2530"/>
      <c r="G60" s="1050">
        <v>2</v>
      </c>
      <c r="H60" s="2504"/>
      <c r="I60" s="2479"/>
      <c r="J60" s="2479"/>
      <c r="K60" s="2479"/>
      <c r="L60" s="2479"/>
      <c r="M60" s="2479"/>
      <c r="N60" s="2479"/>
      <c r="O60" s="2479"/>
      <c r="P60" s="2505"/>
      <c r="S60" s="1091" t="s">
        <v>188</v>
      </c>
      <c r="T60" s="1084">
        <f>T29</f>
        <v>-3</v>
      </c>
      <c r="U60" s="2524">
        <f>IF('Project Demand'!AK23=1,IF('Project Demand'!AK12=1,1,IF('Project Demand'!AK12=2,0,-3)),4)</f>
        <v>0</v>
      </c>
      <c r="Y60" s="1101" t="s">
        <v>301</v>
      </c>
      <c r="Z60" s="1048" t="s">
        <v>283</v>
      </c>
      <c r="AA60" s="1102" t="str">
        <f>IF(U77=3,"y","n")</f>
        <v>n</v>
      </c>
      <c r="AB60" s="957"/>
    </row>
    <row r="61" spans="2:28" ht="12.6" customHeight="1">
      <c r="B61" s="2476"/>
      <c r="C61" s="2516"/>
      <c r="D61" s="2529" t="s">
        <v>25</v>
      </c>
      <c r="E61" s="2530"/>
      <c r="G61" s="1050">
        <v>3</v>
      </c>
      <c r="H61" s="2504"/>
      <c r="I61" s="2479"/>
      <c r="J61" s="2479"/>
      <c r="K61" s="2479"/>
      <c r="L61" s="2479"/>
      <c r="M61" s="2479"/>
      <c r="N61" s="2479"/>
      <c r="O61" s="2479"/>
      <c r="P61" s="2505"/>
      <c r="S61" s="1050" t="s">
        <v>202</v>
      </c>
      <c r="T61" s="1088">
        <f>T30</f>
        <v>0</v>
      </c>
      <c r="U61" s="2532"/>
      <c r="W61" s="2540" t="s">
        <v>302</v>
      </c>
      <c r="X61" s="2540"/>
      <c r="Y61" s="2540"/>
      <c r="Z61" s="2540"/>
      <c r="AA61" s="1048">
        <f>IF(AA60="y",IF(AA68=0,IF(AA71=0,IF(AA75=0,1,0),0),0),0)</f>
        <v>0</v>
      </c>
      <c r="AB61" s="957"/>
    </row>
    <row r="62" spans="2:28" ht="12.6" customHeight="1">
      <c r="B62" s="2517"/>
      <c r="C62" s="2518"/>
      <c r="D62" s="2527"/>
      <c r="E62" s="2518"/>
      <c r="F62" s="1096"/>
      <c r="G62" s="1097"/>
      <c r="H62" s="2506"/>
      <c r="I62" s="2534"/>
      <c r="J62" s="2534"/>
      <c r="K62" s="2534"/>
      <c r="L62" s="2534"/>
      <c r="M62" s="2534"/>
      <c r="N62" s="2534"/>
      <c r="O62" s="2534"/>
      <c r="P62" s="2507"/>
      <c r="S62" s="1050" t="s">
        <v>203</v>
      </c>
      <c r="T62" s="1088">
        <f>T31</f>
        <v>1</v>
      </c>
      <c r="U62" s="2532"/>
      <c r="X62" s="2541" t="s">
        <v>205</v>
      </c>
      <c r="Y62" s="1091" t="str">
        <f>T45</f>
        <v>Gentle (T1)</v>
      </c>
      <c r="Z62" s="1091">
        <f>T47</f>
        <v>1</v>
      </c>
      <c r="AA62" s="2524">
        <f>IF(U78&gt;=4,3,IF(U78=3,2,U78))</f>
        <v>1</v>
      </c>
      <c r="AB62" s="957"/>
    </row>
    <row r="63" spans="2:28" ht="12.6" customHeight="1">
      <c r="D63" s="1048"/>
      <c r="G63" s="1048"/>
      <c r="S63" s="1097" t="s">
        <v>303</v>
      </c>
      <c r="T63" s="1087">
        <f>T32</f>
        <v>4</v>
      </c>
      <c r="U63" s="2533"/>
      <c r="X63" s="2542"/>
      <c r="Y63" s="1050" t="str">
        <f>U45</f>
        <v>Moderate (T2)</v>
      </c>
      <c r="Z63" s="1050">
        <f>U47</f>
        <v>2</v>
      </c>
      <c r="AA63" s="2526"/>
      <c r="AB63" s="957"/>
    </row>
    <row r="64" spans="2:28" ht="15" customHeight="1">
      <c r="B64" s="2502" t="s">
        <v>12</v>
      </c>
      <c r="C64" s="2466"/>
      <c r="D64" s="2520" t="s">
        <v>15</v>
      </c>
      <c r="E64" s="2466"/>
      <c r="F64" s="1090"/>
      <c r="G64" s="1091">
        <v>0</v>
      </c>
      <c r="H64" s="2511" t="s">
        <v>207</v>
      </c>
      <c r="I64" s="2511"/>
      <c r="J64" s="2511"/>
      <c r="K64" s="2511"/>
      <c r="L64" s="2511"/>
      <c r="M64" s="2511"/>
      <c r="N64" s="2511"/>
      <c r="O64" s="2511"/>
      <c r="P64" s="2512"/>
      <c r="R64" s="2510" t="s">
        <v>304</v>
      </c>
      <c r="S64" s="2510"/>
      <c r="T64" s="2510"/>
      <c r="U64" s="1048">
        <f>IF(U51&gt;=3,IF(U60=0,-1,0),0)</f>
        <v>0</v>
      </c>
      <c r="X64" s="2542"/>
      <c r="Y64" s="1050" t="str">
        <f>V45</f>
        <v>Significant (T3)</v>
      </c>
      <c r="Z64" s="1050">
        <v>2</v>
      </c>
      <c r="AA64" s="2526"/>
      <c r="AB64" s="957"/>
    </row>
    <row r="65" spans="2:28" ht="12.6" customHeight="1">
      <c r="B65" s="2517"/>
      <c r="C65" s="2518"/>
      <c r="D65" s="2527" t="s">
        <v>16</v>
      </c>
      <c r="E65" s="2518"/>
      <c r="F65" s="1096"/>
      <c r="G65" s="1097">
        <v>1</v>
      </c>
      <c r="H65" s="2513"/>
      <c r="I65" s="2513"/>
      <c r="J65" s="2513"/>
      <c r="K65" s="2513"/>
      <c r="L65" s="2513"/>
      <c r="M65" s="2513"/>
      <c r="N65" s="2513"/>
      <c r="O65" s="2513"/>
      <c r="P65" s="2514"/>
      <c r="S65" s="2546" t="s">
        <v>204</v>
      </c>
      <c r="T65" s="2547"/>
      <c r="U65" s="1103">
        <f>SUM(U51:U64)</f>
        <v>2</v>
      </c>
      <c r="X65" s="2543"/>
      <c r="Y65" s="1097" t="str">
        <f>W45</f>
        <v>Extreme (T4)</v>
      </c>
      <c r="Z65" s="1097">
        <v>3</v>
      </c>
      <c r="AA65" s="2525"/>
      <c r="AB65" s="957"/>
    </row>
    <row r="66" spans="2:28" ht="12.6" customHeight="1">
      <c r="S66" s="1043"/>
      <c r="X66" s="506" t="s">
        <v>184</v>
      </c>
      <c r="AB66" s="957"/>
    </row>
    <row r="67" spans="2:28" ht="12.6" customHeight="1">
      <c r="B67" s="2502" t="s">
        <v>184</v>
      </c>
      <c r="C67" s="2503"/>
      <c r="D67" s="2520" t="s">
        <v>305</v>
      </c>
      <c r="E67" s="2521"/>
      <c r="G67" s="1091">
        <v>0</v>
      </c>
      <c r="H67" s="2519" t="s">
        <v>306</v>
      </c>
      <c r="I67" s="2511"/>
      <c r="J67" s="2511"/>
      <c r="K67" s="2511"/>
      <c r="L67" s="2511"/>
      <c r="M67" s="2511"/>
      <c r="N67" s="2511"/>
      <c r="O67" s="2511"/>
      <c r="P67" s="2512"/>
      <c r="S67" s="2508"/>
      <c r="T67" s="1091"/>
      <c r="AB67" s="957"/>
    </row>
    <row r="68" spans="2:28" ht="12.6" customHeight="1">
      <c r="B68" s="2506"/>
      <c r="C68" s="2507"/>
      <c r="D68" s="2527" t="s">
        <v>307</v>
      </c>
      <c r="E68" s="2528"/>
      <c r="G68" s="1097">
        <v>2</v>
      </c>
      <c r="H68" s="2544"/>
      <c r="I68" s="2513"/>
      <c r="J68" s="2513"/>
      <c r="K68" s="2513"/>
      <c r="L68" s="2513"/>
      <c r="M68" s="2513"/>
      <c r="N68" s="2513"/>
      <c r="O68" s="2513"/>
      <c r="P68" s="2514"/>
      <c r="S68" s="2509"/>
      <c r="T68" s="1097"/>
      <c r="X68" s="2524" t="s">
        <v>11</v>
      </c>
      <c r="Y68" s="1082" t="s">
        <v>2</v>
      </c>
      <c r="Z68" s="1091">
        <f>C29</f>
        <v>0</v>
      </c>
      <c r="AA68" s="2524">
        <f>IF('Project Demand'!AK34=1,0,1)</f>
        <v>0</v>
      </c>
      <c r="AB68" s="957"/>
    </row>
    <row r="69" spans="2:28" ht="12.6" customHeight="1">
      <c r="S69" s="2539"/>
      <c r="T69" s="2465"/>
      <c r="W69" s="1104" t="s">
        <v>208</v>
      </c>
      <c r="X69" s="2525"/>
      <c r="Y69" s="1085" t="s">
        <v>275</v>
      </c>
      <c r="Z69" s="1097">
        <f>C32</f>
        <v>1</v>
      </c>
      <c r="AA69" s="2525"/>
      <c r="AB69" s="957"/>
    </row>
    <row r="70" spans="2:28" ht="12.6" customHeight="1">
      <c r="S70" s="1043"/>
      <c r="Z70" s="1048"/>
      <c r="AB70" s="957"/>
    </row>
    <row r="71" spans="2:28" ht="12.6" customHeight="1">
      <c r="S71" s="2508" t="s">
        <v>298</v>
      </c>
      <c r="T71" s="1091" t="s">
        <v>206</v>
      </c>
      <c r="U71" s="2524" t="str">
        <f>IF(U56=-3,"y","n")</f>
        <v>n</v>
      </c>
      <c r="X71" s="2524" t="s">
        <v>19</v>
      </c>
      <c r="Y71" s="1082" t="s">
        <v>20</v>
      </c>
      <c r="Z71" s="1091">
        <f>F29</f>
        <v>0</v>
      </c>
      <c r="AA71" s="2524">
        <f>IF('Project Demand'!AK37=1,0,1)</f>
        <v>0</v>
      </c>
      <c r="AB71" s="957"/>
    </row>
    <row r="72" spans="2:28" ht="12.6" customHeight="1">
      <c r="S72" s="2537"/>
      <c r="T72" s="1097" t="s">
        <v>46</v>
      </c>
      <c r="U72" s="2535" t="str">
        <f>IF(U57=T59,"C","O")</f>
        <v>C</v>
      </c>
      <c r="X72" s="2526"/>
      <c r="Y72" s="1046" t="s">
        <v>21</v>
      </c>
      <c r="Z72" s="1050">
        <f>F30</f>
        <v>1</v>
      </c>
      <c r="AA72" s="2525"/>
      <c r="AB72" s="957"/>
    </row>
    <row r="73" spans="2:28" ht="12.6" customHeight="1">
      <c r="S73" s="2539" t="s">
        <v>308</v>
      </c>
      <c r="T73" s="2465"/>
      <c r="X73" s="2525"/>
      <c r="Y73" s="1085" t="s">
        <v>8</v>
      </c>
      <c r="Z73" s="1097"/>
      <c r="AA73" s="1105"/>
      <c r="AB73" s="957"/>
    </row>
    <row r="74" spans="2:28" ht="12.6" customHeight="1">
      <c r="S74" s="1043"/>
      <c r="W74" s="2510" t="s">
        <v>309</v>
      </c>
      <c r="X74" s="2510"/>
      <c r="Y74" s="2510"/>
      <c r="Z74" s="2510"/>
      <c r="AA74" s="1048">
        <f>IF(AA62=3,IF(AA68=1,IF(AA75=0,1,0),0),0)</f>
        <v>0</v>
      </c>
      <c r="AB74" s="957"/>
    </row>
    <row r="75" spans="2:28" ht="12.6" customHeight="1">
      <c r="S75" s="1106"/>
      <c r="T75" s="1102"/>
      <c r="U75" s="1102"/>
      <c r="X75" s="2524" t="s">
        <v>12</v>
      </c>
      <c r="Y75" s="1091" t="s">
        <v>15</v>
      </c>
      <c r="Z75" s="1091">
        <f>G28</f>
        <v>0</v>
      </c>
      <c r="AA75" s="2524">
        <f>IF('Project Demand'!AK41=1,0,1)</f>
        <v>0</v>
      </c>
      <c r="AB75" s="957"/>
    </row>
    <row r="76" spans="2:28" ht="12.6" customHeight="1">
      <c r="S76" s="2499"/>
      <c r="T76" s="2536"/>
      <c r="X76" s="2525"/>
      <c r="Y76" s="1097" t="s">
        <v>16</v>
      </c>
      <c r="Z76" s="1097">
        <f>H28</f>
        <v>1</v>
      </c>
      <c r="AA76" s="2525"/>
      <c r="AB76" s="957"/>
    </row>
    <row r="77" spans="2:28" ht="12.6" customHeight="1" thickBot="1">
      <c r="S77" s="1107" t="s">
        <v>210</v>
      </c>
      <c r="U77" s="1102">
        <f>IF('Project Demand'!AK6=2,'Project Demand'!AK28,IF(U$71="y",T$47,U$65))</f>
        <v>1</v>
      </c>
      <c r="AB77" s="612" t="s">
        <v>10</v>
      </c>
    </row>
    <row r="78" spans="2:28" ht="12.6" customHeight="1" thickBot="1">
      <c r="S78" s="2499" t="s">
        <v>211</v>
      </c>
      <c r="T78" s="2500"/>
      <c r="U78" s="1102">
        <f>IF('Project Demand'!AK6=2,'Project Demand'!AK28,IF(U$71="y",T$47,IF(U$65&gt;=4,4,IF(U$65&lt;1,1,U$65))))</f>
        <v>1</v>
      </c>
      <c r="Y78" s="1048" t="s">
        <v>86</v>
      </c>
      <c r="AA78" s="1108">
        <f>SUM(AA61:AA76)</f>
        <v>1</v>
      </c>
      <c r="AB78" s="1109" t="str">
        <f>IF(AA78&lt;=G44,G43,IF(AA78=H44,H43,IF(AA78=I44,I43,IF(AA78=J44,J43,IF(AA78=K44,K43,L43)))))</f>
        <v>Low</v>
      </c>
    </row>
    <row r="79" spans="2:28" ht="12.75" customHeight="1" thickBot="1">
      <c r="S79" s="1110"/>
      <c r="T79" s="1111"/>
      <c r="AB79" s="957"/>
    </row>
    <row r="80" spans="2:28" ht="12.75" customHeight="1" thickBot="1">
      <c r="S80" s="1043"/>
      <c r="U80" s="1063" t="str">
        <f>IF($U$77&lt;=T$47,T$45,IF(U$77=U$47,U$45,IF(U$77=V$47,V$45,IF(U$77&gt;=W$47,W$45,))))</f>
        <v>Gentle (T1)</v>
      </c>
      <c r="X80" s="506" t="s">
        <v>184</v>
      </c>
      <c r="Y80" s="506" t="s">
        <v>283</v>
      </c>
      <c r="AA80" s="1112">
        <f>'Project Demand'!AK44</f>
        <v>1</v>
      </c>
      <c r="AB80" s="1108" t="str">
        <f>IF(Z82&lt;&gt;0,Z81,IF(AA80=2,(IF(AB78=G43,I43,IF(AB78=H43,J43,L43))),AB78))</f>
        <v>Low</v>
      </c>
    </row>
    <row r="81" spans="19:28" ht="12.75" customHeight="1" thickBot="1">
      <c r="S81" s="1043"/>
      <c r="U81" s="1113" t="str">
        <f>IF($U$77&lt;=T$47,T$46,IF(U$77=U$47,U$46,IF(U$77=V$47,V$46,IF(U$77&gt;=W$47,W$46,))))</f>
        <v>T1</v>
      </c>
      <c r="Y81" s="506" t="s">
        <v>237</v>
      </c>
      <c r="Z81" s="1102" t="str">
        <f>'Project Demand'!AK48</f>
        <v>XX</v>
      </c>
      <c r="AB81" s="1114"/>
    </row>
    <row r="82" spans="19:28" ht="12.75" customHeight="1" thickBot="1">
      <c r="S82" s="1062"/>
      <c r="T82" s="1081"/>
      <c r="U82" s="1081"/>
      <c r="V82" s="1081"/>
      <c r="W82" s="1081"/>
      <c r="X82" s="1081"/>
      <c r="Y82" s="1081" t="s">
        <v>340</v>
      </c>
      <c r="Z82" s="1115">
        <f>'Project Demand'!AK47</f>
        <v>0</v>
      </c>
      <c r="AA82" s="1081"/>
      <c r="AB82" s="1116"/>
    </row>
    <row r="83" spans="19:28" ht="12.75" customHeight="1">
      <c r="AB83" s="426" t="str">
        <f>IF(AB80="Low","0 to 32m/s",IF(AB80="Medium","33 to 37 m/s",IF(AB80="High","38 to 44m/s",IF(AB80="Very High","45 to 50 m/s",IF(AB80="Extra High","51 to 55 m/s",IF(AB80="Specific Design","Exceeds 55m/s",""))))))</f>
        <v>0 to 32m/s</v>
      </c>
    </row>
    <row r="84" spans="19:28" ht="12.75" customHeight="1"/>
  </sheetData>
  <sheetProtection password="CCD2" sheet="1" objects="1" scenarios="1"/>
  <mergeCells count="103">
    <mergeCell ref="AA75:AA76"/>
    <mergeCell ref="D52:E52"/>
    <mergeCell ref="U60:U63"/>
    <mergeCell ref="W74:Z74"/>
    <mergeCell ref="X68:X69"/>
    <mergeCell ref="D60:E60"/>
    <mergeCell ref="D65:E65"/>
    <mergeCell ref="U56:U58"/>
    <mergeCell ref="H58:P62"/>
    <mergeCell ref="U71:U72"/>
    <mergeCell ref="S76:T76"/>
    <mergeCell ref="S71:S72"/>
    <mergeCell ref="H54:P56"/>
    <mergeCell ref="H64:P65"/>
    <mergeCell ref="X75:X76"/>
    <mergeCell ref="S73:T73"/>
    <mergeCell ref="W61:Z61"/>
    <mergeCell ref="X62:X65"/>
    <mergeCell ref="X71:X73"/>
    <mergeCell ref="H67:P68"/>
    <mergeCell ref="U51:U55"/>
    <mergeCell ref="S69:T69"/>
    <mergeCell ref="S65:T65"/>
    <mergeCell ref="D54:E54"/>
    <mergeCell ref="AA71:AA72"/>
    <mergeCell ref="AA68:AA69"/>
    <mergeCell ref="AA62:AA65"/>
    <mergeCell ref="D56:E56"/>
    <mergeCell ref="D62:E62"/>
    <mergeCell ref="D61:E61"/>
    <mergeCell ref="D59:E59"/>
    <mergeCell ref="D41:E41"/>
    <mergeCell ref="D68:E68"/>
    <mergeCell ref="D58:E58"/>
    <mergeCell ref="B54:C56"/>
    <mergeCell ref="B64:C65"/>
    <mergeCell ref="B58:C62"/>
    <mergeCell ref="B67:C68"/>
    <mergeCell ref="D55:E55"/>
    <mergeCell ref="D67:E67"/>
    <mergeCell ref="D64:E64"/>
    <mergeCell ref="D29:E29"/>
    <mergeCell ref="D30:E30"/>
    <mergeCell ref="B39:B40"/>
    <mergeCell ref="B36:B37"/>
    <mergeCell ref="B51:C52"/>
    <mergeCell ref="D36:E36"/>
    <mergeCell ref="D37:E37"/>
    <mergeCell ref="D31:E31"/>
    <mergeCell ref="D32:E32"/>
    <mergeCell ref="B29:B30"/>
    <mergeCell ref="C29:C31"/>
    <mergeCell ref="C32:C34"/>
    <mergeCell ref="B32:B33"/>
    <mergeCell ref="S78:T78"/>
    <mergeCell ref="M26:N26"/>
    <mergeCell ref="O26:P26"/>
    <mergeCell ref="O27:P27"/>
    <mergeCell ref="S24:T27"/>
    <mergeCell ref="S67:S68"/>
    <mergeCell ref="R64:T64"/>
    <mergeCell ref="M24:N24"/>
    <mergeCell ref="M25:N25"/>
    <mergeCell ref="H51:P52"/>
    <mergeCell ref="I26:J26"/>
    <mergeCell ref="G25:H25"/>
    <mergeCell ref="K26:L26"/>
    <mergeCell ref="I25:J25"/>
    <mergeCell ref="S2:V3"/>
    <mergeCell ref="M4:N4"/>
    <mergeCell ref="S5:T8"/>
    <mergeCell ref="K5:L5"/>
    <mergeCell ref="G4:H4"/>
    <mergeCell ref="B2:G3"/>
    <mergeCell ref="B12:B13"/>
    <mergeCell ref="D12:E12"/>
    <mergeCell ref="B18:G19"/>
    <mergeCell ref="K3:L3"/>
    <mergeCell ref="D14:E14"/>
    <mergeCell ref="I4:J4"/>
    <mergeCell ref="D9:E9"/>
    <mergeCell ref="I5:J5"/>
    <mergeCell ref="K4:L4"/>
    <mergeCell ref="U5:U7"/>
    <mergeCell ref="B9:B10"/>
    <mergeCell ref="D10:E10"/>
    <mergeCell ref="D11:E11"/>
    <mergeCell ref="G5:H5"/>
    <mergeCell ref="D13:E13"/>
    <mergeCell ref="M5:N5"/>
    <mergeCell ref="U20:U22"/>
    <mergeCell ref="I24:J24"/>
    <mergeCell ref="G24:H24"/>
    <mergeCell ref="G26:H26"/>
    <mergeCell ref="D34:E34"/>
    <mergeCell ref="D33:E33"/>
    <mergeCell ref="D38:E38"/>
    <mergeCell ref="D51:E51"/>
    <mergeCell ref="D40:E40"/>
    <mergeCell ref="D39:E39"/>
    <mergeCell ref="S20:T21"/>
    <mergeCell ref="K25:L25"/>
    <mergeCell ref="K24:L24"/>
  </mergeCells>
  <phoneticPr fontId="15" type="noConversion"/>
  <pageMargins left="0.74803149606299213" right="0.74803149606299213" top="0.98425196850393704" bottom="0.98425196850393704" header="0.51181102362204722" footer="0.51181102362204722"/>
  <pageSetup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BH125"/>
  <sheetViews>
    <sheetView zoomScale="75" zoomScaleNormal="75" workbookViewId="0">
      <selection activeCell="A142" sqref="A142"/>
    </sheetView>
  </sheetViews>
  <sheetFormatPr defaultColWidth="9.140625" defaultRowHeight="12.75"/>
  <cols>
    <col min="1" max="1" width="1.7109375" style="1256" customWidth="1"/>
    <col min="2" max="2" width="2.140625" style="1256" customWidth="1"/>
    <col min="3" max="3" width="14.140625" style="1256" hidden="1" customWidth="1"/>
    <col min="4" max="4" width="5.7109375" style="1256" hidden="1" customWidth="1"/>
    <col min="5" max="6" width="8.7109375" style="1256" hidden="1" customWidth="1"/>
    <col min="7" max="7" width="8.42578125" style="1512" hidden="1" customWidth="1"/>
    <col min="8" max="8" width="9.85546875" style="1511" hidden="1" customWidth="1"/>
    <col min="9" max="9" width="12.140625" style="1256" hidden="1" customWidth="1"/>
    <col min="10" max="10" width="6" style="1256" hidden="1" customWidth="1"/>
    <col min="11" max="12" width="8.7109375" style="1513" hidden="1" customWidth="1"/>
    <col min="13" max="13" width="11.28515625" style="1512" hidden="1" customWidth="1"/>
    <col min="14" max="14" width="9.7109375" style="1511" hidden="1" customWidth="1"/>
    <col min="15" max="15" width="14.28515625" style="1256" hidden="1" customWidth="1"/>
    <col min="16" max="16" width="5.28515625" style="1256" hidden="1" customWidth="1"/>
    <col min="17" max="18" width="8.7109375" style="1513" hidden="1" customWidth="1"/>
    <col min="19" max="19" width="10.85546875" style="1256" hidden="1" customWidth="1"/>
    <col min="20" max="26" width="9.28515625" style="1511" hidden="1" customWidth="1"/>
    <col min="27" max="27" width="14.85546875" style="1256" hidden="1" customWidth="1"/>
    <col min="28" max="28" width="5.42578125" style="1256" hidden="1" customWidth="1"/>
    <col min="29" max="30" width="8.7109375" style="1513" hidden="1" customWidth="1"/>
    <col min="31" max="31" width="11.85546875" style="1514" hidden="1" customWidth="1"/>
    <col min="32" max="32" width="9.5703125" style="1511" hidden="1" customWidth="1"/>
    <col min="33" max="33" width="15.28515625" style="1256" hidden="1" customWidth="1"/>
    <col min="34" max="34" width="14.42578125" style="1256" hidden="1" customWidth="1"/>
    <col min="35" max="36" width="17.5703125" style="1256" hidden="1" customWidth="1"/>
    <col min="37" max="37" width="14.7109375" style="1256" hidden="1" customWidth="1"/>
    <col min="38" max="45" width="13.7109375" style="1256" hidden="1" customWidth="1"/>
    <col min="46" max="46" width="14.7109375" style="1256" hidden="1" customWidth="1"/>
    <col min="47" max="52" width="13.7109375" style="1256" hidden="1" customWidth="1"/>
    <col min="53" max="55" width="12.7109375" style="1256" hidden="1" customWidth="1"/>
    <col min="56" max="60" width="9.140625" style="1256" hidden="1" customWidth="1"/>
    <col min="61" max="71" width="9.140625" style="1256" customWidth="1"/>
    <col min="72" max="72" width="5.85546875" style="1256" customWidth="1"/>
    <col min="73" max="90" width="9.140625" style="1256" customWidth="1"/>
    <col min="91" max="16384" width="9.140625" style="1256"/>
  </cols>
  <sheetData>
    <row r="1" spans="1:37" ht="27.75" customHeight="1">
      <c r="A1" s="1694"/>
      <c r="B1" s="1694"/>
      <c r="C1" s="2554" t="s">
        <v>783</v>
      </c>
      <c r="D1" s="2555"/>
      <c r="E1" s="1695"/>
      <c r="F1" s="1694" t="str">
        <f>IF(H1=1,"Bu's","kN's")</f>
        <v>Bu's</v>
      </c>
      <c r="G1" s="1696"/>
      <c r="H1" s="1697">
        <f>'Project Demand'!$AX$5</f>
        <v>1</v>
      </c>
      <c r="I1" s="1694"/>
      <c r="J1" s="1694"/>
      <c r="K1" s="1698"/>
      <c r="L1" s="1698"/>
      <c r="M1" s="1696"/>
      <c r="N1" s="1699"/>
      <c r="O1" s="1694"/>
      <c r="P1" s="1694"/>
      <c r="Q1" s="1698"/>
      <c r="R1" s="1698"/>
      <c r="S1" s="1694"/>
      <c r="T1" s="1699"/>
      <c r="U1" s="1699"/>
      <c r="V1" s="1699"/>
      <c r="W1" s="1699"/>
      <c r="X1" s="1699"/>
      <c r="Y1" s="1699"/>
      <c r="Z1" s="1699"/>
      <c r="AA1" s="1694"/>
      <c r="AB1" s="1694"/>
      <c r="AC1" s="1698"/>
      <c r="AD1" s="1698"/>
      <c r="AE1" s="1700"/>
      <c r="AF1" s="1699"/>
    </row>
    <row r="2" spans="1:37" ht="27.95" hidden="1" customHeight="1">
      <c r="A2" s="1694" t="s">
        <v>8</v>
      </c>
      <c r="B2" s="1694"/>
      <c r="C2" s="1694"/>
      <c r="D2" s="1701"/>
      <c r="E2" s="1695"/>
      <c r="G2" s="1256"/>
      <c r="J2" s="1694"/>
      <c r="K2" s="1698"/>
      <c r="L2" s="1698"/>
      <c r="M2" s="1696"/>
      <c r="N2" s="1699"/>
      <c r="O2" s="1694"/>
      <c r="P2" s="1694"/>
      <c r="Q2" s="1698"/>
      <c r="R2" s="1698"/>
      <c r="S2" s="1694"/>
      <c r="T2" s="1699"/>
      <c r="U2" s="1699"/>
      <c r="V2" s="1699"/>
      <c r="W2" s="1699"/>
      <c r="X2" s="1699"/>
      <c r="Y2" s="1699"/>
      <c r="Z2" s="1699"/>
      <c r="AA2" s="1694"/>
      <c r="AB2" s="1694"/>
      <c r="AC2" s="1698"/>
      <c r="AD2" s="1698"/>
      <c r="AE2" s="1700"/>
      <c r="AF2" s="1699"/>
    </row>
    <row r="3" spans="1:37" ht="20.100000000000001" hidden="1" customHeight="1" thickBot="1">
      <c r="A3" s="1694"/>
      <c r="B3" s="1694"/>
      <c r="C3" s="1694"/>
      <c r="D3" s="1701"/>
      <c r="E3" s="1695"/>
      <c r="G3" s="1256" t="s">
        <v>247</v>
      </c>
      <c r="H3" s="1511" t="s">
        <v>322</v>
      </c>
      <c r="J3" s="1694"/>
      <c r="K3" s="1698"/>
      <c r="L3" s="1698"/>
      <c r="M3" s="1256" t="s">
        <v>247</v>
      </c>
      <c r="N3" s="1511" t="s">
        <v>322</v>
      </c>
      <c r="O3" s="1694"/>
      <c r="P3" s="1694"/>
      <c r="Q3" s="1698"/>
      <c r="R3" s="1698"/>
      <c r="S3" s="1256" t="s">
        <v>247</v>
      </c>
      <c r="T3" s="1511" t="s">
        <v>322</v>
      </c>
      <c r="U3" s="1694"/>
      <c r="V3" s="1694"/>
      <c r="W3" s="1698"/>
      <c r="X3" s="1698"/>
      <c r="Y3" s="1256" t="s">
        <v>247</v>
      </c>
      <c r="Z3" s="1511" t="s">
        <v>322</v>
      </c>
      <c r="AA3" s="1694"/>
      <c r="AB3" s="1694"/>
      <c r="AC3" s="1698"/>
      <c r="AD3" s="1698"/>
      <c r="AE3" s="1256" t="s">
        <v>247</v>
      </c>
      <c r="AF3" s="1511" t="s">
        <v>322</v>
      </c>
    </row>
    <row r="4" spans="1:37" ht="24.95" hidden="1" customHeight="1">
      <c r="B4" s="1702"/>
      <c r="C4" s="2548" t="str">
        <f>Table!AI$73</f>
        <v>ES-N</v>
      </c>
      <c r="D4" s="1703">
        <f>D25</f>
        <v>0.4</v>
      </c>
      <c r="E4" s="1704">
        <f t="shared" ref="E4:F8" si="0">IF($H$1=1,E25,E46)</f>
        <v>66</v>
      </c>
      <c r="F4" s="1705">
        <f t="shared" si="0"/>
        <v>61</v>
      </c>
      <c r="G4" s="1706"/>
      <c r="H4" s="1707" t="s">
        <v>3</v>
      </c>
      <c r="I4" s="2551" t="str">
        <f>Table!AI$86</f>
        <v>ER1</v>
      </c>
      <c r="J4" s="1703">
        <f>J25</f>
        <v>0.4</v>
      </c>
      <c r="K4" s="1704">
        <f t="shared" ref="K4:L8" si="1">IF($H$1=1,K25,K46)</f>
        <v>40</v>
      </c>
      <c r="L4" s="1705">
        <f t="shared" si="1"/>
        <v>30</v>
      </c>
      <c r="M4" s="1708" t="s">
        <v>8</v>
      </c>
      <c r="N4" s="1707" t="s">
        <v>3</v>
      </c>
      <c r="O4" s="2548" t="str">
        <f>Table!AI$74</f>
        <v>ES-H</v>
      </c>
      <c r="P4" s="1703">
        <f>P25</f>
        <v>0.4</v>
      </c>
      <c r="Q4" s="1704">
        <f t="shared" ref="Q4:R8" si="2">IF($H$1=1,Q25,Q46)</f>
        <v>75</v>
      </c>
      <c r="R4" s="1705">
        <f t="shared" si="2"/>
        <v>75</v>
      </c>
      <c r="S4" s="1708" t="str">
        <f>Table!AI$73</f>
        <v>ES-N</v>
      </c>
      <c r="T4" s="1707" t="s">
        <v>3</v>
      </c>
      <c r="U4" s="2556" t="s">
        <v>855</v>
      </c>
      <c r="V4" s="1703">
        <f>V25</f>
        <v>0.4</v>
      </c>
      <c r="W4" s="1704">
        <f t="shared" ref="W4:X8" si="3">IF($H$1=1,W25,W46)</f>
        <v>90</v>
      </c>
      <c r="X4" s="1705">
        <f t="shared" si="3"/>
        <v>95</v>
      </c>
      <c r="Y4" s="1706" t="str">
        <f>O4</f>
        <v>ES-H</v>
      </c>
      <c r="Z4" s="1707" t="s">
        <v>3</v>
      </c>
      <c r="AA4" s="2548" t="str">
        <f>Table!AI$75</f>
        <v>EM-H</v>
      </c>
      <c r="AB4" s="1703">
        <f>AB25</f>
        <v>0.4</v>
      </c>
      <c r="AC4" s="1704">
        <f t="shared" ref="AC4:AD8" si="4">IF($H$1=1,AC25,AC46)</f>
        <v>98</v>
      </c>
      <c r="AD4" s="1705">
        <f t="shared" si="4"/>
        <v>100</v>
      </c>
      <c r="AE4" s="1708" t="str">
        <f>O4</f>
        <v>ES-H</v>
      </c>
      <c r="AF4" s="1707" t="s">
        <v>3</v>
      </c>
    </row>
    <row r="5" spans="1:37" ht="24.95" hidden="1" customHeight="1">
      <c r="B5" s="1702"/>
      <c r="C5" s="2549"/>
      <c r="D5" s="1709">
        <f t="shared" ref="D5:D8" si="5">D26</f>
        <v>0.6</v>
      </c>
      <c r="E5" s="1710">
        <f t="shared" si="0"/>
        <v>69</v>
      </c>
      <c r="F5" s="1711">
        <f t="shared" si="0"/>
        <v>61</v>
      </c>
      <c r="G5" s="1706"/>
      <c r="H5" s="1707" t="s">
        <v>380</v>
      </c>
      <c r="I5" s="2552"/>
      <c r="J5" s="1709">
        <f t="shared" ref="J5:J8" si="6">J26</f>
        <v>0.6</v>
      </c>
      <c r="K5" s="1710">
        <f t="shared" si="1"/>
        <v>40</v>
      </c>
      <c r="L5" s="1711">
        <f t="shared" si="1"/>
        <v>30</v>
      </c>
      <c r="M5" s="1708" t="s">
        <v>8</v>
      </c>
      <c r="N5" s="1707" t="s">
        <v>380</v>
      </c>
      <c r="O5" s="2549"/>
      <c r="P5" s="1709">
        <f t="shared" ref="P5:P8" si="7">P26</f>
        <v>0.6</v>
      </c>
      <c r="Q5" s="1710">
        <f t="shared" si="2"/>
        <v>95</v>
      </c>
      <c r="R5" s="1711">
        <f t="shared" si="2"/>
        <v>80</v>
      </c>
      <c r="S5" s="1708" t="str">
        <f>Table!AI$73</f>
        <v>ES-N</v>
      </c>
      <c r="T5" s="1707" t="s">
        <v>380</v>
      </c>
      <c r="U5" s="2549"/>
      <c r="V5" s="1709">
        <f t="shared" ref="V5:V8" si="8">V26</f>
        <v>0.6</v>
      </c>
      <c r="W5" s="1710">
        <f t="shared" si="3"/>
        <v>103</v>
      </c>
      <c r="X5" s="1711">
        <f t="shared" si="3"/>
        <v>100</v>
      </c>
      <c r="Y5" s="1706" t="str">
        <f>O4</f>
        <v>ES-H</v>
      </c>
      <c r="Z5" s="1707" t="s">
        <v>380</v>
      </c>
      <c r="AA5" s="2549"/>
      <c r="AB5" s="1709">
        <f t="shared" ref="AB5:AB8" si="9">AB26</f>
        <v>0.6</v>
      </c>
      <c r="AC5" s="1710">
        <f t="shared" si="4"/>
        <v>110</v>
      </c>
      <c r="AD5" s="1711">
        <f t="shared" si="4"/>
        <v>104</v>
      </c>
      <c r="AE5" s="1708" t="str">
        <f>O4</f>
        <v>ES-H</v>
      </c>
      <c r="AF5" s="1707" t="s">
        <v>380</v>
      </c>
    </row>
    <row r="6" spans="1:37" ht="24.95" hidden="1" customHeight="1">
      <c r="B6" s="1702"/>
      <c r="C6" s="2549"/>
      <c r="D6" s="1709">
        <f t="shared" si="5"/>
        <v>0.8</v>
      </c>
      <c r="E6" s="1710">
        <f t="shared" si="0"/>
        <v>72</v>
      </c>
      <c r="F6" s="1711">
        <f t="shared" si="0"/>
        <v>61</v>
      </c>
      <c r="G6" s="1706"/>
      <c r="H6" s="1707"/>
      <c r="I6" s="2552"/>
      <c r="J6" s="1709">
        <f t="shared" si="6"/>
        <v>0.8</v>
      </c>
      <c r="K6" s="1710">
        <f t="shared" si="1"/>
        <v>40</v>
      </c>
      <c r="L6" s="1711">
        <f t="shared" si="1"/>
        <v>30</v>
      </c>
      <c r="M6" s="1706"/>
      <c r="N6" s="1707"/>
      <c r="O6" s="2549"/>
      <c r="P6" s="1709">
        <f t="shared" si="7"/>
        <v>0.8</v>
      </c>
      <c r="Q6" s="1710">
        <f t="shared" si="2"/>
        <v>95</v>
      </c>
      <c r="R6" s="1711">
        <f t="shared" si="2"/>
        <v>83</v>
      </c>
      <c r="S6" s="1706"/>
      <c r="T6" s="1707"/>
      <c r="U6" s="2549"/>
      <c r="V6" s="1709">
        <f t="shared" si="8"/>
        <v>0.8</v>
      </c>
      <c r="W6" s="1710">
        <f t="shared" si="3"/>
        <v>103</v>
      </c>
      <c r="X6" s="1711">
        <f t="shared" si="3"/>
        <v>100</v>
      </c>
      <c r="Y6" s="1706"/>
      <c r="AA6" s="2549"/>
      <c r="AB6" s="1709">
        <f t="shared" si="9"/>
        <v>0.8</v>
      </c>
      <c r="AC6" s="1710">
        <f t="shared" si="4"/>
        <v>120</v>
      </c>
      <c r="AD6" s="1711">
        <f t="shared" si="4"/>
        <v>109</v>
      </c>
      <c r="AE6" s="1706"/>
    </row>
    <row r="7" spans="1:37" ht="24.95" hidden="1" customHeight="1">
      <c r="C7" s="2549"/>
      <c r="D7" s="1709">
        <f t="shared" si="5"/>
        <v>1.2</v>
      </c>
      <c r="E7" s="1710">
        <f t="shared" si="0"/>
        <v>72</v>
      </c>
      <c r="F7" s="1711">
        <f t="shared" si="0"/>
        <v>64</v>
      </c>
      <c r="G7" s="1706"/>
      <c r="H7" s="1707"/>
      <c r="I7" s="2552"/>
      <c r="J7" s="1712">
        <f t="shared" si="6"/>
        <v>1</v>
      </c>
      <c r="K7" s="1710">
        <f t="shared" si="1"/>
        <v>40</v>
      </c>
      <c r="L7" s="1711">
        <f t="shared" si="1"/>
        <v>30</v>
      </c>
      <c r="M7" s="1706"/>
      <c r="N7" s="1707"/>
      <c r="O7" s="2549"/>
      <c r="P7" s="1709">
        <f t="shared" si="7"/>
        <v>1.2</v>
      </c>
      <c r="Q7" s="1710">
        <f t="shared" si="2"/>
        <v>95</v>
      </c>
      <c r="R7" s="1711">
        <f t="shared" si="2"/>
        <v>84</v>
      </c>
      <c r="S7" s="1706"/>
      <c r="T7" s="1707"/>
      <c r="U7" s="2549"/>
      <c r="V7" s="1712">
        <f t="shared" si="8"/>
        <v>1</v>
      </c>
      <c r="W7" s="1710">
        <f t="shared" si="3"/>
        <v>110</v>
      </c>
      <c r="X7" s="1711">
        <f t="shared" si="3"/>
        <v>105</v>
      </c>
      <c r="Y7" s="1706"/>
      <c r="AA7" s="2549"/>
      <c r="AB7" s="1712">
        <f t="shared" si="9"/>
        <v>1</v>
      </c>
      <c r="AC7" s="1710">
        <f t="shared" si="4"/>
        <v>131</v>
      </c>
      <c r="AD7" s="1711">
        <f t="shared" si="4"/>
        <v>111</v>
      </c>
      <c r="AE7" s="1706"/>
    </row>
    <row r="8" spans="1:37" ht="24.95" hidden="1" customHeight="1" thickBot="1">
      <c r="C8" s="2550"/>
      <c r="D8" s="1713">
        <f t="shared" si="5"/>
        <v>1.8</v>
      </c>
      <c r="E8" s="1714">
        <f t="shared" si="0"/>
        <v>83</v>
      </c>
      <c r="F8" s="1715">
        <f t="shared" si="0"/>
        <v>64</v>
      </c>
      <c r="G8" s="1706"/>
      <c r="H8" s="1707"/>
      <c r="I8" s="2553"/>
      <c r="J8" s="1713">
        <f t="shared" si="6"/>
        <v>1.2</v>
      </c>
      <c r="K8" s="1714">
        <f t="shared" si="1"/>
        <v>40</v>
      </c>
      <c r="L8" s="1715">
        <f t="shared" si="1"/>
        <v>30</v>
      </c>
      <c r="M8" s="1706"/>
      <c r="N8" s="1707"/>
      <c r="O8" s="2550"/>
      <c r="P8" s="1713">
        <f t="shared" si="7"/>
        <v>1.8</v>
      </c>
      <c r="Q8" s="1714">
        <f t="shared" si="2"/>
        <v>110</v>
      </c>
      <c r="R8" s="1715">
        <f t="shared" si="2"/>
        <v>84</v>
      </c>
      <c r="S8" s="1706"/>
      <c r="T8" s="1707"/>
      <c r="U8" s="2550"/>
      <c r="V8" s="1713">
        <f t="shared" si="8"/>
        <v>1.2</v>
      </c>
      <c r="W8" s="1714">
        <f t="shared" si="3"/>
        <v>130</v>
      </c>
      <c r="X8" s="1715">
        <f t="shared" si="3"/>
        <v>110</v>
      </c>
      <c r="Y8" s="1706"/>
      <c r="AA8" s="2550"/>
      <c r="AB8" s="1713">
        <f t="shared" si="9"/>
        <v>1.2</v>
      </c>
      <c r="AC8" s="1714">
        <f t="shared" si="4"/>
        <v>140</v>
      </c>
      <c r="AD8" s="1715">
        <f t="shared" si="4"/>
        <v>115</v>
      </c>
      <c r="AE8" s="1706"/>
    </row>
    <row r="9" spans="1:37" ht="24.95" hidden="1" customHeight="1" thickBot="1">
      <c r="C9" s="1709"/>
      <c r="D9" s="1709"/>
      <c r="E9" s="1716"/>
      <c r="F9" s="1716"/>
      <c r="G9" s="1706"/>
      <c r="H9" s="1707"/>
      <c r="I9" s="1707"/>
      <c r="J9" s="1709"/>
      <c r="K9" s="1712"/>
      <c r="L9" s="1712"/>
      <c r="M9" s="1706"/>
      <c r="N9" s="1707"/>
      <c r="O9" s="1709"/>
      <c r="P9" s="1709"/>
      <c r="Q9" s="1712"/>
      <c r="R9" s="1712"/>
      <c r="S9" s="1706"/>
      <c r="T9" s="1707"/>
      <c r="U9" s="1709"/>
      <c r="V9" s="1709"/>
      <c r="W9" s="1712"/>
      <c r="X9" s="1712"/>
      <c r="Y9" s="1706"/>
      <c r="AA9" s="1709"/>
      <c r="AB9" s="1709"/>
      <c r="AC9" s="1712"/>
      <c r="AD9" s="1712"/>
      <c r="AE9" s="1706"/>
    </row>
    <row r="10" spans="1:37" ht="24.95" hidden="1" customHeight="1">
      <c r="C10" s="2548" t="str">
        <f>Table!AI$78</f>
        <v>ESSN</v>
      </c>
      <c r="D10" s="1703">
        <f>D31</f>
        <v>0.4</v>
      </c>
      <c r="E10" s="1710">
        <f t="shared" ref="E10:F14" si="10">IF($H$1=1,E31,E52)</f>
        <v>79</v>
      </c>
      <c r="F10" s="1711">
        <f t="shared" si="10"/>
        <v>74</v>
      </c>
      <c r="G10" s="1708" t="str">
        <f>Table!AI$73</f>
        <v>ES-N</v>
      </c>
      <c r="H10" s="1707" t="s">
        <v>35</v>
      </c>
      <c r="I10" s="2551" t="str">
        <f>Table!AI$87</f>
        <v>ER2</v>
      </c>
      <c r="J10" s="1703">
        <f>J31</f>
        <v>0.4</v>
      </c>
      <c r="K10" s="1704">
        <f t="shared" ref="K10:L14" si="11">IF($H$1=1,K31,K52)</f>
        <v>56</v>
      </c>
      <c r="L10" s="1705">
        <f t="shared" si="11"/>
        <v>51</v>
      </c>
      <c r="M10" s="1708"/>
      <c r="N10" s="1707" t="s">
        <v>35</v>
      </c>
      <c r="O10" s="2548" t="str">
        <f>Table!AI$79</f>
        <v>ESSH</v>
      </c>
      <c r="P10" s="1703">
        <f>P31</f>
        <v>0.4</v>
      </c>
      <c r="Q10" s="1704">
        <f t="shared" ref="Q10:R14" si="12">IF($H$1=1,Q31,Q52)</f>
        <v>95</v>
      </c>
      <c r="R10" s="1705">
        <f t="shared" si="12"/>
        <v>109</v>
      </c>
      <c r="S10" s="1708" t="str">
        <f>O4</f>
        <v>ES-H</v>
      </c>
      <c r="T10" s="1707" t="s">
        <v>35</v>
      </c>
      <c r="U10" s="2556" t="s">
        <v>856</v>
      </c>
      <c r="V10" s="1703">
        <f>V31</f>
        <v>0.4</v>
      </c>
      <c r="W10" s="1704">
        <f t="shared" ref="W10:X14" si="13">IF($H$1=1,W31,W52)</f>
        <v>113</v>
      </c>
      <c r="X10" s="1705">
        <f t="shared" si="13"/>
        <v>118</v>
      </c>
      <c r="Y10" s="1706" t="str">
        <f>O10</f>
        <v>ESSH</v>
      </c>
      <c r="Z10" s="1707" t="s">
        <v>35</v>
      </c>
      <c r="AA10" s="2548" t="str">
        <f>Table!AI$80</f>
        <v>EMSH</v>
      </c>
      <c r="AB10" s="1703">
        <f>AB31</f>
        <v>0.4</v>
      </c>
      <c r="AC10" s="1704">
        <f t="shared" ref="AC10:AD14" si="14">IF($H$1=1,AC31,AC52)</f>
        <v>110</v>
      </c>
      <c r="AD10" s="1705">
        <f t="shared" si="14"/>
        <v>115</v>
      </c>
      <c r="AE10" s="1708" t="str">
        <f>Table!AI$79</f>
        <v>ESSH</v>
      </c>
      <c r="AF10" s="1707" t="s">
        <v>35</v>
      </c>
    </row>
    <row r="11" spans="1:37" ht="24.95" hidden="1" customHeight="1">
      <c r="C11" s="2549"/>
      <c r="D11" s="1709">
        <f t="shared" ref="D11:D14" si="15">D32</f>
        <v>0.6</v>
      </c>
      <c r="E11" s="1710">
        <f t="shared" si="10"/>
        <v>90</v>
      </c>
      <c r="F11" s="1711">
        <f t="shared" si="10"/>
        <v>83</v>
      </c>
      <c r="G11" s="1708" t="str">
        <f>C4</f>
        <v>ES-N</v>
      </c>
      <c r="H11" s="1707" t="s">
        <v>379</v>
      </c>
      <c r="I11" s="2552"/>
      <c r="J11" s="1709">
        <f t="shared" ref="J11:J14" si="16">J32</f>
        <v>0.6</v>
      </c>
      <c r="K11" s="1710">
        <f t="shared" si="11"/>
        <v>57</v>
      </c>
      <c r="L11" s="1711">
        <f t="shared" si="11"/>
        <v>52</v>
      </c>
      <c r="M11" s="1708"/>
      <c r="N11" s="1707" t="s">
        <v>379</v>
      </c>
      <c r="O11" s="2549"/>
      <c r="P11" s="1709">
        <f t="shared" ref="P11:P14" si="17">P32</f>
        <v>0.6</v>
      </c>
      <c r="Q11" s="1710">
        <f t="shared" si="12"/>
        <v>125</v>
      </c>
      <c r="R11" s="1711">
        <f t="shared" si="12"/>
        <v>125</v>
      </c>
      <c r="S11" s="1708" t="str">
        <f>AA4</f>
        <v>EM-H</v>
      </c>
      <c r="T11" s="1707" t="s">
        <v>379</v>
      </c>
      <c r="U11" s="2549"/>
      <c r="V11" s="1709">
        <f t="shared" ref="V11:V14" si="18">V32</f>
        <v>0.6</v>
      </c>
      <c r="W11" s="1710">
        <f t="shared" si="13"/>
        <v>130</v>
      </c>
      <c r="X11" s="1711">
        <f t="shared" si="13"/>
        <v>131</v>
      </c>
      <c r="Y11" s="1706" t="str">
        <f>O10</f>
        <v>ESSH</v>
      </c>
      <c r="Z11" s="1707" t="s">
        <v>379</v>
      </c>
      <c r="AA11" s="2549"/>
      <c r="AB11" s="1709">
        <f t="shared" ref="AB11:AB14" si="19">AB32</f>
        <v>0.6</v>
      </c>
      <c r="AC11" s="1710">
        <f t="shared" si="14"/>
        <v>134</v>
      </c>
      <c r="AD11" s="1711">
        <f t="shared" si="14"/>
        <v>138</v>
      </c>
      <c r="AE11" s="1708" t="str">
        <f>Table!AI$79</f>
        <v>ESSH</v>
      </c>
      <c r="AF11" s="1707" t="s">
        <v>379</v>
      </c>
      <c r="AH11" s="1717" t="s">
        <v>8</v>
      </c>
      <c r="AI11" s="1718"/>
      <c r="AJ11" s="1719" t="s">
        <v>244</v>
      </c>
      <c r="AK11" s="1720" t="s">
        <v>245</v>
      </c>
    </row>
    <row r="12" spans="1:37" ht="24.95" hidden="1" customHeight="1">
      <c r="C12" s="2549"/>
      <c r="D12" s="1709">
        <f t="shared" si="15"/>
        <v>0.8</v>
      </c>
      <c r="E12" s="1710">
        <f t="shared" si="10"/>
        <v>93</v>
      </c>
      <c r="F12" s="1711">
        <f t="shared" si="10"/>
        <v>83</v>
      </c>
      <c r="G12" s="1706"/>
      <c r="H12" s="1707"/>
      <c r="I12" s="2552"/>
      <c r="J12" s="1709">
        <f t="shared" si="16"/>
        <v>0.8</v>
      </c>
      <c r="K12" s="1710">
        <f t="shared" si="11"/>
        <v>58</v>
      </c>
      <c r="L12" s="1711">
        <f t="shared" si="11"/>
        <v>53</v>
      </c>
      <c r="M12" s="1706"/>
      <c r="N12" s="1707"/>
      <c r="O12" s="2549"/>
      <c r="P12" s="1709">
        <f t="shared" si="17"/>
        <v>0.8</v>
      </c>
      <c r="Q12" s="1710">
        <f t="shared" si="12"/>
        <v>135</v>
      </c>
      <c r="R12" s="1711">
        <f t="shared" si="12"/>
        <v>125</v>
      </c>
      <c r="S12" s="1706"/>
      <c r="T12" s="1707"/>
      <c r="U12" s="2549"/>
      <c r="V12" s="1709">
        <f t="shared" si="18"/>
        <v>0.8</v>
      </c>
      <c r="W12" s="1710">
        <f t="shared" si="13"/>
        <v>141</v>
      </c>
      <c r="X12" s="1711">
        <f t="shared" si="13"/>
        <v>135</v>
      </c>
      <c r="Y12" s="1706"/>
      <c r="AA12" s="2549"/>
      <c r="AB12" s="1709">
        <f t="shared" si="19"/>
        <v>0.8</v>
      </c>
      <c r="AC12" s="1710">
        <f t="shared" si="14"/>
        <v>143</v>
      </c>
      <c r="AD12" s="1711">
        <f t="shared" si="14"/>
        <v>134</v>
      </c>
      <c r="AE12" s="1706"/>
      <c r="AH12" s="1717">
        <v>0.4</v>
      </c>
      <c r="AI12" s="1721" t="s">
        <v>1117</v>
      </c>
      <c r="AJ12" s="1722">
        <v>58</v>
      </c>
      <c r="AK12" s="1723">
        <v>53</v>
      </c>
    </row>
    <row r="13" spans="1:37" ht="24.95" hidden="1" customHeight="1">
      <c r="C13" s="2549"/>
      <c r="D13" s="1712">
        <f t="shared" si="15"/>
        <v>0.9</v>
      </c>
      <c r="E13" s="1710">
        <f t="shared" si="10"/>
        <v>98</v>
      </c>
      <c r="F13" s="1711">
        <f t="shared" si="10"/>
        <v>88</v>
      </c>
      <c r="G13" s="1706"/>
      <c r="H13" s="1707"/>
      <c r="I13" s="2552"/>
      <c r="J13" s="1712">
        <f t="shared" si="16"/>
        <v>1</v>
      </c>
      <c r="K13" s="1710">
        <f t="shared" si="11"/>
        <v>59</v>
      </c>
      <c r="L13" s="1711">
        <f t="shared" si="11"/>
        <v>54</v>
      </c>
      <c r="M13" s="1706"/>
      <c r="N13" s="1707"/>
      <c r="O13" s="2549"/>
      <c r="P13" s="1712">
        <f t="shared" si="17"/>
        <v>1</v>
      </c>
      <c r="Q13" s="1710">
        <f t="shared" si="12"/>
        <v>140</v>
      </c>
      <c r="R13" s="1711">
        <f t="shared" si="12"/>
        <v>130</v>
      </c>
      <c r="S13" s="1706"/>
      <c r="T13" s="1707"/>
      <c r="U13" s="2549"/>
      <c r="V13" s="1712">
        <f t="shared" si="18"/>
        <v>1</v>
      </c>
      <c r="W13" s="1710">
        <f t="shared" si="13"/>
        <v>151</v>
      </c>
      <c r="X13" s="1711">
        <f t="shared" si="13"/>
        <v>140</v>
      </c>
      <c r="Y13" s="1706"/>
      <c r="AA13" s="2549"/>
      <c r="AB13" s="1712">
        <f t="shared" si="19"/>
        <v>1</v>
      </c>
      <c r="AC13" s="1710">
        <f t="shared" si="14"/>
        <v>152</v>
      </c>
      <c r="AD13" s="1711">
        <f t="shared" si="14"/>
        <v>141</v>
      </c>
      <c r="AE13" s="1706"/>
      <c r="AH13" s="1718" t="s">
        <v>8</v>
      </c>
      <c r="AI13" s="1724"/>
      <c r="AJ13" s="1725"/>
      <c r="AK13" s="1726"/>
    </row>
    <row r="14" spans="1:37" ht="24.95" hidden="1" customHeight="1" thickBot="1">
      <c r="C14" s="2557"/>
      <c r="D14" s="1713">
        <f t="shared" si="15"/>
        <v>1.2</v>
      </c>
      <c r="E14" s="1714">
        <f t="shared" si="10"/>
        <v>98</v>
      </c>
      <c r="F14" s="1715">
        <f t="shared" si="10"/>
        <v>88</v>
      </c>
      <c r="G14" s="1706"/>
      <c r="H14" s="1707"/>
      <c r="I14" s="2553"/>
      <c r="J14" s="1713">
        <f t="shared" si="16"/>
        <v>1.2</v>
      </c>
      <c r="K14" s="1714">
        <f t="shared" si="11"/>
        <v>60</v>
      </c>
      <c r="L14" s="1715">
        <f t="shared" si="11"/>
        <v>55</v>
      </c>
      <c r="M14" s="1706"/>
      <c r="N14" s="1707"/>
      <c r="O14" s="2550"/>
      <c r="P14" s="1713">
        <f t="shared" si="17"/>
        <v>1.2</v>
      </c>
      <c r="Q14" s="1714">
        <f t="shared" si="12"/>
        <v>150</v>
      </c>
      <c r="R14" s="1715">
        <f t="shared" si="12"/>
        <v>135</v>
      </c>
      <c r="S14" s="1706"/>
      <c r="T14" s="1707"/>
      <c r="U14" s="2550"/>
      <c r="V14" s="1713">
        <f t="shared" si="18"/>
        <v>1.2</v>
      </c>
      <c r="W14" s="1714">
        <f t="shared" si="13"/>
        <v>161</v>
      </c>
      <c r="X14" s="1715">
        <f t="shared" si="13"/>
        <v>148</v>
      </c>
      <c r="Y14" s="1706"/>
      <c r="AA14" s="2550"/>
      <c r="AB14" s="1713">
        <f t="shared" si="19"/>
        <v>1.2</v>
      </c>
      <c r="AC14" s="1714">
        <f t="shared" si="14"/>
        <v>166</v>
      </c>
      <c r="AD14" s="1715">
        <f t="shared" si="14"/>
        <v>148</v>
      </c>
      <c r="AE14" s="1706"/>
      <c r="AH14" s="1717">
        <v>0.8</v>
      </c>
      <c r="AI14" s="1721" t="s">
        <v>1118</v>
      </c>
      <c r="AJ14" s="1722">
        <f>(AH16*AJ12-AH12*AJ16)/(AH16-AH12)-AH14*(AJ12-AJ16)/(AH16-AH12)</f>
        <v>60.499999999999993</v>
      </c>
      <c r="AK14" s="1723">
        <f>(AH16*AK12-AH12*AK16-AH14*AK12+AH14*AK16)/(AH16-AH12)</f>
        <v>54.999999999999993</v>
      </c>
    </row>
    <row r="15" spans="1:37" ht="24.95" hidden="1" customHeight="1" thickBot="1">
      <c r="C15" s="1727"/>
      <c r="D15" s="1709"/>
      <c r="E15" s="1712"/>
      <c r="F15" s="1712"/>
      <c r="G15" s="1706"/>
      <c r="H15" s="1707"/>
      <c r="I15" s="1707"/>
      <c r="J15" s="1709"/>
      <c r="K15" s="1712"/>
      <c r="L15" s="1712"/>
      <c r="M15" s="1706"/>
      <c r="N15" s="1707"/>
      <c r="O15" s="1706"/>
      <c r="P15" s="1709"/>
      <c r="Q15" s="1712"/>
      <c r="R15" s="1712"/>
      <c r="S15" s="1706"/>
      <c r="T15" s="1707"/>
      <c r="U15" s="1706"/>
      <c r="V15" s="1709"/>
      <c r="W15" s="1712"/>
      <c r="X15" s="1712"/>
      <c r="Y15" s="1706"/>
      <c r="AA15" s="1706"/>
      <c r="AB15" s="1709"/>
      <c r="AC15" s="1712"/>
      <c r="AD15" s="1712"/>
      <c r="AE15" s="1706"/>
      <c r="AH15" s="1718"/>
      <c r="AI15" s="1724"/>
      <c r="AJ15" s="1725"/>
      <c r="AK15" s="1726"/>
    </row>
    <row r="16" spans="1:37" ht="24.95" hidden="1" customHeight="1">
      <c r="C16" s="2548" t="s">
        <v>8</v>
      </c>
      <c r="D16" s="1703">
        <f>D37</f>
        <v>0.4</v>
      </c>
      <c r="E16" s="1704">
        <f t="shared" ref="E16:F20" si="20">IF($H$1=1,E37,E58)</f>
        <v>0</v>
      </c>
      <c r="F16" s="1705">
        <f t="shared" si="20"/>
        <v>0</v>
      </c>
      <c r="G16" s="1706"/>
      <c r="H16" s="1707" t="s">
        <v>34</v>
      </c>
      <c r="I16" s="2548" t="str">
        <f>Table!AI$82</f>
        <v>ESPH (not used)</v>
      </c>
      <c r="J16" s="1703">
        <f>J37</f>
        <v>0.4</v>
      </c>
      <c r="K16" s="1704">
        <f t="shared" ref="K16:L20" si="21">IF($H$1=1,K37,K58)</f>
        <v>105</v>
      </c>
      <c r="L16" s="1705">
        <f t="shared" si="21"/>
        <v>120</v>
      </c>
      <c r="M16" s="1708" t="str">
        <f>Table!AI$74</f>
        <v>ES-H</v>
      </c>
      <c r="N16" s="1707" t="s">
        <v>34</v>
      </c>
      <c r="O16" s="2548" t="str">
        <f>Table!AI$83</f>
        <v>ESPH</v>
      </c>
      <c r="P16" s="1703">
        <f>P37</f>
        <v>0.4</v>
      </c>
      <c r="Q16" s="1704">
        <f t="shared" ref="Q16:R20" si="22">IF($H$1=1,Q37,Q58)</f>
        <v>102</v>
      </c>
      <c r="R16" s="1705">
        <f t="shared" si="22"/>
        <v>114</v>
      </c>
      <c r="S16" s="1708" t="str">
        <f>Table!AI$74</f>
        <v>ES-H</v>
      </c>
      <c r="T16" s="1707" t="s">
        <v>34</v>
      </c>
      <c r="U16" s="2556" t="s">
        <v>857</v>
      </c>
      <c r="V16" s="1703">
        <f>V37</f>
        <v>0.4</v>
      </c>
      <c r="W16" s="1704">
        <f t="shared" ref="W16:X20" si="23">IF($H$1=1,W37,W58)</f>
        <v>115</v>
      </c>
      <c r="X16" s="1705">
        <f t="shared" si="23"/>
        <v>125</v>
      </c>
      <c r="Y16" s="1708" t="str">
        <f>O16</f>
        <v>ESPH</v>
      </c>
      <c r="Z16" s="1706" t="s">
        <v>34</v>
      </c>
      <c r="AA16" s="2548" t="str">
        <f>Table!AI$84</f>
        <v>EMPH</v>
      </c>
      <c r="AB16" s="1703">
        <f>AB37</f>
        <v>0.4</v>
      </c>
      <c r="AC16" s="1704">
        <f t="shared" ref="AC16:AD18" si="24">IF($H$1=1,AC37,AC58)</f>
        <v>121</v>
      </c>
      <c r="AD16" s="1705">
        <f t="shared" si="24"/>
        <v>138</v>
      </c>
      <c r="AE16" s="1708" t="str">
        <f>Table!AI$83</f>
        <v>ESPH</v>
      </c>
      <c r="AF16" s="1706" t="s">
        <v>34</v>
      </c>
      <c r="AH16" s="1717">
        <v>1.2</v>
      </c>
      <c r="AI16" s="1721" t="s">
        <v>1119</v>
      </c>
      <c r="AJ16" s="1722">
        <v>63</v>
      </c>
      <c r="AK16" s="1723">
        <v>57</v>
      </c>
    </row>
    <row r="17" spans="3:32" ht="24.95" hidden="1" customHeight="1">
      <c r="C17" s="2549"/>
      <c r="D17" s="1709">
        <f t="shared" ref="D17:D20" si="25">D38</f>
        <v>0.6</v>
      </c>
      <c r="E17" s="1710">
        <f t="shared" si="20"/>
        <v>0</v>
      </c>
      <c r="F17" s="1711">
        <f t="shared" si="20"/>
        <v>0</v>
      </c>
      <c r="G17" s="1706"/>
      <c r="H17" s="1707"/>
      <c r="I17" s="2549"/>
      <c r="J17" s="1709">
        <f t="shared" ref="J17:J20" si="26">J38</f>
        <v>0.6</v>
      </c>
      <c r="K17" s="1710">
        <f t="shared" si="21"/>
        <v>130</v>
      </c>
      <c r="L17" s="1711">
        <f t="shared" si="21"/>
        <v>140</v>
      </c>
      <c r="M17" s="1708" t="str">
        <f>O4</f>
        <v>ES-H</v>
      </c>
      <c r="N17" s="1707" t="s">
        <v>379</v>
      </c>
      <c r="O17" s="2549"/>
      <c r="P17" s="1709">
        <f t="shared" ref="P17:P20" si="27">P38</f>
        <v>0.6</v>
      </c>
      <c r="Q17" s="1710">
        <f t="shared" si="22"/>
        <v>120</v>
      </c>
      <c r="R17" s="1711">
        <f t="shared" si="22"/>
        <v>130</v>
      </c>
      <c r="S17" s="1708" t="str">
        <f>AA4</f>
        <v>EM-H</v>
      </c>
      <c r="T17" s="1707" t="s">
        <v>379</v>
      </c>
      <c r="U17" s="2549"/>
      <c r="V17" s="1709">
        <f t="shared" ref="V17:V20" si="28">V38</f>
        <v>0.5</v>
      </c>
      <c r="W17" s="1710">
        <f t="shared" si="23"/>
        <v>125</v>
      </c>
      <c r="X17" s="1711">
        <f t="shared" si="23"/>
        <v>135</v>
      </c>
      <c r="Y17" s="1708" t="str">
        <f>O16</f>
        <v>ESPH</v>
      </c>
      <c r="Z17" s="1707" t="s">
        <v>379</v>
      </c>
      <c r="AA17" s="2549"/>
      <c r="AB17" s="1709">
        <f t="shared" ref="AB17:AB20" si="29">AB38</f>
        <v>0.6</v>
      </c>
      <c r="AC17" s="1710">
        <f t="shared" si="24"/>
        <v>137</v>
      </c>
      <c r="AD17" s="1711">
        <f t="shared" si="24"/>
        <v>153</v>
      </c>
      <c r="AE17" s="1708" t="str">
        <f>Table!AI$83</f>
        <v>ESPH</v>
      </c>
      <c r="AF17" s="1707" t="s">
        <v>379</v>
      </c>
    </row>
    <row r="18" spans="3:32" ht="24.95" hidden="1" customHeight="1">
      <c r="C18" s="2549"/>
      <c r="D18" s="1709">
        <f t="shared" si="25"/>
        <v>0.8</v>
      </c>
      <c r="E18" s="1710">
        <f t="shared" si="20"/>
        <v>0</v>
      </c>
      <c r="F18" s="1711">
        <f t="shared" si="20"/>
        <v>0</v>
      </c>
      <c r="G18" s="1706"/>
      <c r="H18" s="1707"/>
      <c r="I18" s="2549"/>
      <c r="J18" s="1709">
        <f t="shared" si="26"/>
        <v>0.8</v>
      </c>
      <c r="K18" s="1710">
        <f t="shared" si="21"/>
        <v>150</v>
      </c>
      <c r="L18" s="1711">
        <f t="shared" si="21"/>
        <v>150</v>
      </c>
      <c r="M18" s="1706"/>
      <c r="N18" s="1707"/>
      <c r="O18" s="2549"/>
      <c r="P18" s="1709">
        <f t="shared" si="27"/>
        <v>0.8</v>
      </c>
      <c r="Q18" s="1710">
        <f t="shared" si="22"/>
        <v>140</v>
      </c>
      <c r="R18" s="1711">
        <f t="shared" si="22"/>
        <v>140</v>
      </c>
      <c r="S18" s="1706"/>
      <c r="T18" s="1707"/>
      <c r="U18" s="2549"/>
      <c r="V18" s="1709">
        <f t="shared" si="28"/>
        <v>0.6</v>
      </c>
      <c r="W18" s="1710">
        <f t="shared" si="23"/>
        <v>137</v>
      </c>
      <c r="X18" s="1711">
        <f t="shared" si="23"/>
        <v>140</v>
      </c>
      <c r="Y18" s="1706"/>
      <c r="AA18" s="2549"/>
      <c r="AB18" s="1709">
        <f t="shared" si="29"/>
        <v>0.8</v>
      </c>
      <c r="AC18" s="1710">
        <f t="shared" si="24"/>
        <v>148</v>
      </c>
      <c r="AD18" s="1711">
        <f t="shared" si="24"/>
        <v>162</v>
      </c>
      <c r="AE18" s="1706"/>
    </row>
    <row r="19" spans="3:32" ht="24.95" hidden="1" customHeight="1">
      <c r="C19" s="2549"/>
      <c r="D19" s="1712">
        <f t="shared" si="25"/>
        <v>0.9</v>
      </c>
      <c r="E19" s="1710">
        <f t="shared" si="20"/>
        <v>0</v>
      </c>
      <c r="F19" s="1711">
        <f t="shared" si="20"/>
        <v>0</v>
      </c>
      <c r="G19" s="1706"/>
      <c r="H19" s="1707"/>
      <c r="I19" s="2549"/>
      <c r="J19" s="1712">
        <f t="shared" si="26"/>
        <v>1</v>
      </c>
      <c r="K19" s="1710">
        <f t="shared" si="21"/>
        <v>150</v>
      </c>
      <c r="L19" s="1711">
        <f t="shared" si="21"/>
        <v>150</v>
      </c>
      <c r="M19" s="1706"/>
      <c r="N19" s="1707"/>
      <c r="O19" s="2549"/>
      <c r="P19" s="1712">
        <f t="shared" si="27"/>
        <v>0.9</v>
      </c>
      <c r="Q19" s="1710">
        <f t="shared" si="22"/>
        <v>155</v>
      </c>
      <c r="R19" s="1711">
        <f t="shared" si="22"/>
        <v>155</v>
      </c>
      <c r="S19" s="1706"/>
      <c r="T19" s="1707"/>
      <c r="U19" s="2549"/>
      <c r="V19" s="1709">
        <f t="shared" si="28"/>
        <v>0.8</v>
      </c>
      <c r="W19" s="1710">
        <f t="shared" si="23"/>
        <v>150</v>
      </c>
      <c r="X19" s="1711">
        <f t="shared" si="23"/>
        <v>150</v>
      </c>
      <c r="Y19" s="1706"/>
      <c r="AA19" s="2549"/>
      <c r="AB19" s="1709">
        <f t="shared" si="29"/>
        <v>0.9</v>
      </c>
      <c r="AC19" s="1710">
        <f>IF($H$1=1,AC40,AC61)</f>
        <v>162</v>
      </c>
      <c r="AD19" s="1711">
        <f>IF($H$1=1,AD40,AD61)</f>
        <v>167</v>
      </c>
      <c r="AE19" s="1706"/>
    </row>
    <row r="20" spans="3:32" ht="24.95" hidden="1" customHeight="1" thickBot="1">
      <c r="C20" s="2557"/>
      <c r="D20" s="1713">
        <f t="shared" si="25"/>
        <v>1.2</v>
      </c>
      <c r="E20" s="1714">
        <f t="shared" si="20"/>
        <v>0</v>
      </c>
      <c r="F20" s="1715">
        <f t="shared" si="20"/>
        <v>0</v>
      </c>
      <c r="G20" s="1702"/>
      <c r="H20" s="1707"/>
      <c r="I20" s="2550"/>
      <c r="J20" s="1713">
        <f t="shared" si="26"/>
        <v>1.2</v>
      </c>
      <c r="K20" s="1714">
        <f t="shared" si="21"/>
        <v>150</v>
      </c>
      <c r="L20" s="1715">
        <f t="shared" si="21"/>
        <v>150</v>
      </c>
      <c r="M20" s="1706"/>
      <c r="N20" s="1707"/>
      <c r="O20" s="2550"/>
      <c r="P20" s="1713">
        <f t="shared" si="27"/>
        <v>1.2</v>
      </c>
      <c r="Q20" s="1714">
        <f t="shared" si="22"/>
        <v>155</v>
      </c>
      <c r="R20" s="1715">
        <f t="shared" si="22"/>
        <v>155</v>
      </c>
      <c r="S20" s="1706"/>
      <c r="T20" s="1707"/>
      <c r="U20" s="2550"/>
      <c r="V20" s="1713">
        <f t="shared" si="28"/>
        <v>1.2</v>
      </c>
      <c r="W20" s="1714">
        <f t="shared" si="23"/>
        <v>156</v>
      </c>
      <c r="X20" s="1715">
        <f t="shared" si="23"/>
        <v>155</v>
      </c>
      <c r="Y20" s="1706"/>
      <c r="AA20" s="2550"/>
      <c r="AB20" s="1713">
        <f t="shared" si="29"/>
        <v>1.2</v>
      </c>
      <c r="AC20" s="1714">
        <f>IF($H$1=1,AC41,AC62)</f>
        <v>162</v>
      </c>
      <c r="AD20" s="1715">
        <f>IF($H$1=1,AD41,AD62)</f>
        <v>167</v>
      </c>
      <c r="AE20" s="1706"/>
    </row>
    <row r="21" spans="3:32" ht="20.100000000000001" hidden="1" customHeight="1">
      <c r="E21" s="1513"/>
      <c r="F21" s="1513"/>
      <c r="K21" s="1728"/>
      <c r="L21" s="1728"/>
    </row>
    <row r="22" spans="3:32" ht="20.100000000000001" hidden="1" customHeight="1">
      <c r="C22" s="1729" t="s">
        <v>886</v>
      </c>
      <c r="E22" s="1513"/>
      <c r="F22" s="1513"/>
      <c r="K22" s="1728"/>
      <c r="L22" s="1728"/>
      <c r="Q22" s="1256"/>
      <c r="R22" s="1256"/>
    </row>
    <row r="23" spans="3:32" ht="20.100000000000001" hidden="1" customHeight="1">
      <c r="E23" s="1513"/>
      <c r="F23" s="1513"/>
      <c r="K23" s="1728"/>
      <c r="L23" s="1728"/>
      <c r="Q23" s="1256"/>
      <c r="R23" s="1256"/>
    </row>
    <row r="24" spans="3:32" ht="20.100000000000001" hidden="1" customHeight="1" thickBot="1">
      <c r="C24" s="1694"/>
      <c r="D24" s="1701"/>
      <c r="E24" s="1695"/>
      <c r="G24" s="1256" t="s">
        <v>247</v>
      </c>
      <c r="H24" s="1511" t="s">
        <v>322</v>
      </c>
      <c r="J24" s="1694"/>
      <c r="K24" s="1698"/>
      <c r="L24" s="1698"/>
      <c r="M24" s="1256" t="s">
        <v>247</v>
      </c>
      <c r="N24" s="1511" t="s">
        <v>322</v>
      </c>
      <c r="O24" s="1694"/>
      <c r="P24" s="1694"/>
      <c r="Q24" s="1698"/>
      <c r="R24" s="1698"/>
      <c r="S24" s="1256" t="s">
        <v>247</v>
      </c>
      <c r="T24" s="1511" t="s">
        <v>322</v>
      </c>
      <c r="U24" s="1694"/>
      <c r="V24" s="1694"/>
      <c r="W24" s="1698"/>
      <c r="X24" s="1698"/>
      <c r="Y24" s="1256" t="s">
        <v>247</v>
      </c>
      <c r="Z24" s="1511" t="s">
        <v>322</v>
      </c>
      <c r="AA24" s="1694"/>
      <c r="AB24" s="1694"/>
      <c r="AC24" s="1698"/>
      <c r="AD24" s="1698"/>
      <c r="AE24" s="1256" t="s">
        <v>247</v>
      </c>
      <c r="AF24" s="1511" t="s">
        <v>322</v>
      </c>
    </row>
    <row r="25" spans="3:32" ht="20.100000000000001" hidden="1" customHeight="1">
      <c r="C25" s="2548" t="str">
        <f>Table!AI$73</f>
        <v>ES-N</v>
      </c>
      <c r="D25" s="1703">
        <v>0.4</v>
      </c>
      <c r="E25" s="1730">
        <v>66</v>
      </c>
      <c r="F25" s="1731">
        <v>61</v>
      </c>
      <c r="G25" s="1706"/>
      <c r="H25" s="1707" t="s">
        <v>3</v>
      </c>
      <c r="I25" s="2551" t="str">
        <f>Table!AI$86</f>
        <v>ER1</v>
      </c>
      <c r="J25" s="1703">
        <v>0.4</v>
      </c>
      <c r="K25" s="1732">
        <v>40</v>
      </c>
      <c r="L25" s="1733">
        <v>30</v>
      </c>
      <c r="M25" s="1706"/>
      <c r="N25" s="1707" t="s">
        <v>3</v>
      </c>
      <c r="O25" s="2548" t="str">
        <f>Table!AI$74</f>
        <v>ES-H</v>
      </c>
      <c r="P25" s="1703">
        <v>0.4</v>
      </c>
      <c r="Q25" s="1732">
        <v>75</v>
      </c>
      <c r="R25" s="1733">
        <v>75</v>
      </c>
      <c r="S25" s="1708" t="str">
        <f>Table!AI$73</f>
        <v>ES-N</v>
      </c>
      <c r="T25" s="1707" t="s">
        <v>3</v>
      </c>
      <c r="U25" s="2556" t="str">
        <f>U4</f>
        <v>EHM (not used)</v>
      </c>
      <c r="V25" s="1703">
        <v>0.4</v>
      </c>
      <c r="W25" s="1732">
        <v>90</v>
      </c>
      <c r="X25" s="1733">
        <v>95</v>
      </c>
      <c r="Y25" s="1706" t="str">
        <f>O25</f>
        <v>ES-H</v>
      </c>
      <c r="Z25" s="1707" t="s">
        <v>3</v>
      </c>
      <c r="AA25" s="2548" t="str">
        <f>Table!AI$75</f>
        <v>EM-H</v>
      </c>
      <c r="AB25" s="1703">
        <v>0.4</v>
      </c>
      <c r="AC25" s="1732">
        <v>98</v>
      </c>
      <c r="AD25" s="1733">
        <v>100</v>
      </c>
      <c r="AE25" s="1708" t="str">
        <f>Table!AI$74</f>
        <v>ES-H</v>
      </c>
      <c r="AF25" s="1707" t="s">
        <v>3</v>
      </c>
    </row>
    <row r="26" spans="3:32" ht="20.100000000000001" hidden="1" customHeight="1">
      <c r="C26" s="2549"/>
      <c r="D26" s="1709">
        <v>0.6</v>
      </c>
      <c r="E26" s="1712">
        <v>69</v>
      </c>
      <c r="F26" s="1734">
        <v>61</v>
      </c>
      <c r="G26" s="1706"/>
      <c r="H26" s="1707"/>
      <c r="I26" s="2552"/>
      <c r="J26" s="1709">
        <v>0.6</v>
      </c>
      <c r="K26" s="1712">
        <f t="shared" ref="K26:K27" si="30">K25</f>
        <v>40</v>
      </c>
      <c r="L26" s="1734">
        <v>30</v>
      </c>
      <c r="M26" s="1706"/>
      <c r="N26" s="1707"/>
      <c r="O26" s="2549"/>
      <c r="P26" s="1709">
        <v>0.6</v>
      </c>
      <c r="Q26" s="1712">
        <v>95</v>
      </c>
      <c r="R26" s="1734">
        <v>80</v>
      </c>
      <c r="S26" s="1708" t="str">
        <f>Table!AI$73</f>
        <v>ES-N</v>
      </c>
      <c r="T26" s="1707"/>
      <c r="U26" s="2549"/>
      <c r="V26" s="1709">
        <v>0.6</v>
      </c>
      <c r="W26" s="1712">
        <v>103</v>
      </c>
      <c r="X26" s="1734">
        <v>100</v>
      </c>
      <c r="Y26" s="1706" t="str">
        <f>O25</f>
        <v>ES-H</v>
      </c>
      <c r="AA26" s="2549"/>
      <c r="AB26" s="1709">
        <v>0.6</v>
      </c>
      <c r="AC26" s="1716">
        <v>110</v>
      </c>
      <c r="AD26" s="1716">
        <v>104</v>
      </c>
      <c r="AE26" s="1708" t="str">
        <f>Table!AI$74</f>
        <v>ES-H</v>
      </c>
    </row>
    <row r="27" spans="3:32" ht="20.100000000000001" hidden="1" customHeight="1">
      <c r="C27" s="2549"/>
      <c r="D27" s="1709">
        <v>0.8</v>
      </c>
      <c r="E27" s="1712">
        <v>72</v>
      </c>
      <c r="F27" s="1734">
        <v>61</v>
      </c>
      <c r="G27" s="1706"/>
      <c r="H27" s="1707"/>
      <c r="I27" s="2552"/>
      <c r="J27" s="1709">
        <v>0.8</v>
      </c>
      <c r="K27" s="1712">
        <f t="shared" si="30"/>
        <v>40</v>
      </c>
      <c r="L27" s="1734">
        <v>30</v>
      </c>
      <c r="M27" s="1706"/>
      <c r="N27" s="1707"/>
      <c r="O27" s="2549"/>
      <c r="P27" s="1709">
        <v>0.8</v>
      </c>
      <c r="Q27" s="1712">
        <v>95</v>
      </c>
      <c r="R27" s="1734">
        <v>83</v>
      </c>
      <c r="S27" s="1706"/>
      <c r="T27" s="1707"/>
      <c r="U27" s="2549"/>
      <c r="V27" s="1709">
        <v>0.8</v>
      </c>
      <c r="W27" s="1712">
        <v>103</v>
      </c>
      <c r="X27" s="1734">
        <v>100</v>
      </c>
      <c r="Y27" s="1706"/>
      <c r="AA27" s="2549"/>
      <c r="AB27" s="1709">
        <v>0.8</v>
      </c>
      <c r="AC27" s="1712">
        <v>120</v>
      </c>
      <c r="AD27" s="1734">
        <v>109</v>
      </c>
      <c r="AE27" s="1706"/>
    </row>
    <row r="28" spans="3:32" ht="20.100000000000001" hidden="1" customHeight="1">
      <c r="C28" s="2549"/>
      <c r="D28" s="1709">
        <v>1.2</v>
      </c>
      <c r="E28" s="1712">
        <v>72</v>
      </c>
      <c r="F28" s="1734">
        <v>64</v>
      </c>
      <c r="G28" s="1706"/>
      <c r="H28" s="1707"/>
      <c r="I28" s="2552"/>
      <c r="J28" s="1712">
        <v>1</v>
      </c>
      <c r="K28" s="1712">
        <v>40</v>
      </c>
      <c r="L28" s="1734">
        <v>30</v>
      </c>
      <c r="M28" s="1706"/>
      <c r="N28" s="1707"/>
      <c r="O28" s="2549"/>
      <c r="P28" s="1709">
        <v>1.2</v>
      </c>
      <c r="Q28" s="1712">
        <v>95</v>
      </c>
      <c r="R28" s="1734">
        <v>84</v>
      </c>
      <c r="S28" s="1706"/>
      <c r="T28" s="1707"/>
      <c r="U28" s="2549"/>
      <c r="V28" s="1712">
        <v>1</v>
      </c>
      <c r="W28" s="1712">
        <v>110</v>
      </c>
      <c r="X28" s="1734">
        <v>105</v>
      </c>
      <c r="Y28" s="1706"/>
      <c r="AA28" s="2549"/>
      <c r="AB28" s="1712">
        <v>1</v>
      </c>
      <c r="AC28" s="1716">
        <v>131</v>
      </c>
      <c r="AD28" s="1716">
        <v>111</v>
      </c>
      <c r="AE28" s="1706"/>
    </row>
    <row r="29" spans="3:32" ht="20.100000000000001" hidden="1" customHeight="1" thickBot="1">
      <c r="C29" s="2550"/>
      <c r="D29" s="1713">
        <v>1.8</v>
      </c>
      <c r="E29" s="1735">
        <v>83</v>
      </c>
      <c r="F29" s="1736">
        <v>64</v>
      </c>
      <c r="G29" s="1706"/>
      <c r="H29" s="1707"/>
      <c r="I29" s="2553"/>
      <c r="J29" s="1713">
        <v>1.2</v>
      </c>
      <c r="K29" s="1735">
        <v>40</v>
      </c>
      <c r="L29" s="1736">
        <v>30</v>
      </c>
      <c r="M29" s="1706"/>
      <c r="N29" s="1707"/>
      <c r="O29" s="2550"/>
      <c r="P29" s="1713">
        <v>1.8</v>
      </c>
      <c r="Q29" s="1735">
        <v>110</v>
      </c>
      <c r="R29" s="1736">
        <v>84</v>
      </c>
      <c r="S29" s="1706"/>
      <c r="T29" s="1707"/>
      <c r="U29" s="2550"/>
      <c r="V29" s="1713">
        <v>1.2</v>
      </c>
      <c r="W29" s="1735">
        <v>130</v>
      </c>
      <c r="X29" s="1736">
        <v>110</v>
      </c>
      <c r="Y29" s="1706"/>
      <c r="AA29" s="2550"/>
      <c r="AB29" s="1713">
        <v>1.2</v>
      </c>
      <c r="AC29" s="1735">
        <v>140</v>
      </c>
      <c r="AD29" s="1736">
        <v>115</v>
      </c>
      <c r="AE29" s="1706"/>
    </row>
    <row r="30" spans="3:32" ht="20.100000000000001" hidden="1" customHeight="1" thickBot="1">
      <c r="C30" s="1709"/>
      <c r="D30" s="1709"/>
      <c r="E30" s="1716"/>
      <c r="F30" s="1716"/>
      <c r="G30" s="1706"/>
      <c r="H30" s="1707"/>
      <c r="I30" s="1707"/>
      <c r="J30" s="1709"/>
      <c r="K30" s="1712"/>
      <c r="L30" s="1712"/>
      <c r="M30" s="1706"/>
      <c r="N30" s="1707"/>
      <c r="O30" s="1709"/>
      <c r="P30" s="1709"/>
      <c r="Q30" s="1712"/>
      <c r="R30" s="1712"/>
      <c r="S30" s="1706"/>
      <c r="T30" s="1707"/>
      <c r="U30" s="1709"/>
      <c r="V30" s="1709"/>
      <c r="W30" s="1712"/>
      <c r="X30" s="1712"/>
      <c r="Y30" s="1706"/>
      <c r="AA30" s="1709"/>
      <c r="AB30" s="1709"/>
      <c r="AC30" s="1712"/>
      <c r="AD30" s="1712"/>
      <c r="AE30" s="1706"/>
    </row>
    <row r="31" spans="3:32" ht="20.100000000000001" hidden="1" customHeight="1">
      <c r="C31" s="2548" t="str">
        <f>Table!AI$78</f>
        <v>ESSN</v>
      </c>
      <c r="D31" s="1703">
        <v>0.4</v>
      </c>
      <c r="E31" s="1732">
        <v>79</v>
      </c>
      <c r="F31" s="1731">
        <v>74</v>
      </c>
      <c r="G31" s="1708" t="str">
        <f>Table!AI$73</f>
        <v>ES-N</v>
      </c>
      <c r="H31" s="1707" t="s">
        <v>35</v>
      </c>
      <c r="I31" s="2551" t="str">
        <f>Table!AI$87</f>
        <v>ER2</v>
      </c>
      <c r="J31" s="1703">
        <v>0.4</v>
      </c>
      <c r="K31" s="1732">
        <v>56</v>
      </c>
      <c r="L31" s="1733">
        <v>51</v>
      </c>
      <c r="M31" s="1706" t="str">
        <f>O25</f>
        <v>ES-H</v>
      </c>
      <c r="N31" s="1707" t="s">
        <v>35</v>
      </c>
      <c r="O31" s="2548" t="str">
        <f>Table!AI$79</f>
        <v>ESSH</v>
      </c>
      <c r="P31" s="1703">
        <v>0.4</v>
      </c>
      <c r="Q31" s="1732">
        <v>95</v>
      </c>
      <c r="R31" s="1733">
        <v>109</v>
      </c>
      <c r="S31" s="1708" t="str">
        <f>AA25</f>
        <v>EM-H</v>
      </c>
      <c r="T31" s="1707" t="s">
        <v>35</v>
      </c>
      <c r="U31" s="2556" t="str">
        <f>U10</f>
        <v>EHMS (not used)</v>
      </c>
      <c r="V31" s="1703">
        <v>0.4</v>
      </c>
      <c r="W31" s="1732">
        <v>113</v>
      </c>
      <c r="X31" s="1733">
        <v>118</v>
      </c>
      <c r="Y31" s="1706" t="str">
        <f>O31</f>
        <v>ESSH</v>
      </c>
      <c r="Z31" s="1707" t="s">
        <v>35</v>
      </c>
      <c r="AA31" s="2548" t="str">
        <f>Table!AI$80</f>
        <v>EMSH</v>
      </c>
      <c r="AB31" s="1703">
        <v>0.4</v>
      </c>
      <c r="AC31" s="1732">
        <v>110</v>
      </c>
      <c r="AD31" s="1733">
        <v>115</v>
      </c>
      <c r="AE31" s="1708" t="str">
        <f>Table!AI$79</f>
        <v>ESSH</v>
      </c>
      <c r="AF31" s="1707" t="s">
        <v>35</v>
      </c>
    </row>
    <row r="32" spans="3:32" ht="20.100000000000001" hidden="1" customHeight="1">
      <c r="C32" s="2549"/>
      <c r="D32" s="1709">
        <v>0.6</v>
      </c>
      <c r="E32" s="1716">
        <v>90</v>
      </c>
      <c r="F32" s="1716">
        <v>83</v>
      </c>
      <c r="G32" s="1706"/>
      <c r="H32" s="1707"/>
      <c r="I32" s="2552"/>
      <c r="J32" s="1709">
        <v>0.6</v>
      </c>
      <c r="K32" s="1712">
        <v>57</v>
      </c>
      <c r="L32" s="1734">
        <v>52</v>
      </c>
      <c r="M32" s="1706" t="str">
        <f>O25</f>
        <v>ES-H</v>
      </c>
      <c r="N32" s="1707"/>
      <c r="O32" s="2549"/>
      <c r="P32" s="1709">
        <v>0.6</v>
      </c>
      <c r="Q32" s="1716">
        <v>125</v>
      </c>
      <c r="R32" s="1716">
        <v>125</v>
      </c>
      <c r="S32" s="1708" t="str">
        <f>O25</f>
        <v>ES-H</v>
      </c>
      <c r="T32" s="1707"/>
      <c r="U32" s="2549"/>
      <c r="V32" s="1709">
        <v>0.6</v>
      </c>
      <c r="W32" s="1712">
        <v>130</v>
      </c>
      <c r="X32" s="1734">
        <v>131</v>
      </c>
      <c r="Y32" s="1706" t="str">
        <f>O31</f>
        <v>ESSH</v>
      </c>
      <c r="AA32" s="2549"/>
      <c r="AB32" s="1709">
        <v>0.6</v>
      </c>
      <c r="AC32" s="1712">
        <v>134</v>
      </c>
      <c r="AD32" s="1734">
        <v>138</v>
      </c>
      <c r="AE32" s="1708" t="str">
        <f>Table!AI$79</f>
        <v>ESSH</v>
      </c>
    </row>
    <row r="33" spans="3:32" ht="20.100000000000001" hidden="1" customHeight="1">
      <c r="C33" s="2549"/>
      <c r="D33" s="1709">
        <v>0.8</v>
      </c>
      <c r="E33" s="1716">
        <v>93</v>
      </c>
      <c r="F33" s="1737">
        <v>83</v>
      </c>
      <c r="G33" s="1706"/>
      <c r="H33" s="1707"/>
      <c r="I33" s="2552"/>
      <c r="J33" s="1709">
        <v>0.8</v>
      </c>
      <c r="K33" s="1712">
        <v>58</v>
      </c>
      <c r="L33" s="1734">
        <v>53</v>
      </c>
      <c r="M33" s="1706"/>
      <c r="N33" s="1707"/>
      <c r="O33" s="2549"/>
      <c r="P33" s="1709">
        <v>0.8</v>
      </c>
      <c r="Q33" s="1712">
        <v>135</v>
      </c>
      <c r="R33" s="1734">
        <v>125</v>
      </c>
      <c r="S33" s="1706"/>
      <c r="T33" s="1707"/>
      <c r="U33" s="2549"/>
      <c r="V33" s="1709">
        <v>0.8</v>
      </c>
      <c r="W33" s="1712">
        <v>141</v>
      </c>
      <c r="X33" s="1734">
        <v>135</v>
      </c>
      <c r="Y33" s="1706"/>
      <c r="AA33" s="2549"/>
      <c r="AB33" s="1709">
        <v>0.8</v>
      </c>
      <c r="AC33" s="1712">
        <v>143</v>
      </c>
      <c r="AD33" s="1734">
        <v>134</v>
      </c>
      <c r="AE33" s="1706"/>
    </row>
    <row r="34" spans="3:32" ht="20.100000000000001" hidden="1" customHeight="1">
      <c r="C34" s="2549"/>
      <c r="D34" s="1712">
        <v>0.9</v>
      </c>
      <c r="E34" s="1712">
        <v>98</v>
      </c>
      <c r="F34" s="1734">
        <v>88</v>
      </c>
      <c r="G34" s="1706"/>
      <c r="H34" s="1707"/>
      <c r="I34" s="2552"/>
      <c r="J34" s="1712">
        <v>1</v>
      </c>
      <c r="K34" s="1712">
        <v>59</v>
      </c>
      <c r="L34" s="1734">
        <v>54</v>
      </c>
      <c r="M34" s="1706"/>
      <c r="N34" s="1707"/>
      <c r="O34" s="2549"/>
      <c r="P34" s="1712">
        <v>1</v>
      </c>
      <c r="Q34" s="1712">
        <v>140</v>
      </c>
      <c r="R34" s="1734">
        <v>130</v>
      </c>
      <c r="S34" s="1706"/>
      <c r="T34" s="1707"/>
      <c r="U34" s="2549"/>
      <c r="V34" s="1712">
        <v>1</v>
      </c>
      <c r="W34" s="1712">
        <v>151</v>
      </c>
      <c r="X34" s="1734">
        <v>140</v>
      </c>
      <c r="Y34" s="1706"/>
      <c r="AA34" s="2549"/>
      <c r="AB34" s="1712">
        <v>1</v>
      </c>
      <c r="AC34" s="1716">
        <v>152</v>
      </c>
      <c r="AD34" s="1716">
        <v>141</v>
      </c>
      <c r="AE34" s="1706"/>
    </row>
    <row r="35" spans="3:32" ht="19.5" hidden="1" customHeight="1" thickBot="1">
      <c r="C35" s="2557"/>
      <c r="D35" s="1713">
        <v>1.2</v>
      </c>
      <c r="E35" s="1735">
        <v>98</v>
      </c>
      <c r="F35" s="1736">
        <v>88</v>
      </c>
      <c r="G35" s="1706"/>
      <c r="H35" s="1707"/>
      <c r="I35" s="2553"/>
      <c r="J35" s="1713">
        <v>1.2</v>
      </c>
      <c r="K35" s="1735">
        <v>60</v>
      </c>
      <c r="L35" s="1736">
        <v>55</v>
      </c>
      <c r="M35" s="1706"/>
      <c r="N35" s="1707"/>
      <c r="O35" s="2550"/>
      <c r="P35" s="1713">
        <v>1.2</v>
      </c>
      <c r="Q35" s="1735">
        <v>150</v>
      </c>
      <c r="R35" s="1736">
        <v>135</v>
      </c>
      <c r="S35" s="1706"/>
      <c r="T35" s="1707"/>
      <c r="U35" s="2550"/>
      <c r="V35" s="1713">
        <v>1.2</v>
      </c>
      <c r="W35" s="1735">
        <v>161</v>
      </c>
      <c r="X35" s="1736">
        <v>148</v>
      </c>
      <c r="Y35" s="1706"/>
      <c r="AA35" s="2550"/>
      <c r="AB35" s="1713">
        <v>1.2</v>
      </c>
      <c r="AC35" s="1735">
        <v>166</v>
      </c>
      <c r="AD35" s="1736">
        <v>148</v>
      </c>
      <c r="AE35" s="1706"/>
    </row>
    <row r="36" spans="3:32" ht="20.100000000000001" hidden="1" customHeight="1" thickBot="1">
      <c r="C36" s="1727"/>
      <c r="D36" s="1709"/>
      <c r="E36" s="1712"/>
      <c r="F36" s="1712"/>
      <c r="G36" s="1706"/>
      <c r="H36" s="1707"/>
      <c r="I36" s="1707"/>
      <c r="J36" s="1709"/>
      <c r="K36" s="1712"/>
      <c r="L36" s="1712"/>
      <c r="M36" s="1706"/>
      <c r="N36" s="1707"/>
      <c r="O36" s="1706"/>
      <c r="P36" s="1709"/>
      <c r="Q36" s="1712"/>
      <c r="R36" s="1712"/>
      <c r="S36" s="1706"/>
      <c r="T36" s="1707"/>
      <c r="U36" s="1706"/>
      <c r="V36" s="1709"/>
      <c r="W36" s="1712"/>
      <c r="X36" s="1712"/>
      <c r="Y36" s="1706"/>
      <c r="AA36" s="1706"/>
      <c r="AB36" s="1709"/>
      <c r="AC36" s="1712"/>
      <c r="AD36" s="1712"/>
      <c r="AE36" s="1706"/>
    </row>
    <row r="37" spans="3:32" ht="20.100000000000001" hidden="1" customHeight="1">
      <c r="C37" s="2548"/>
      <c r="D37" s="1703">
        <v>0.4</v>
      </c>
      <c r="E37" s="1732">
        <v>0</v>
      </c>
      <c r="F37" s="1731">
        <v>0</v>
      </c>
      <c r="G37" s="1706"/>
      <c r="H37" s="1707" t="s">
        <v>34</v>
      </c>
      <c r="I37" s="2548" t="str">
        <f>Table!AI$82</f>
        <v>ESPH (not used)</v>
      </c>
      <c r="J37" s="1703">
        <v>0.4</v>
      </c>
      <c r="K37" s="1732">
        <v>105</v>
      </c>
      <c r="L37" s="1733">
        <v>120</v>
      </c>
      <c r="M37" s="1708" t="str">
        <f>Table!AI$74</f>
        <v>ES-H</v>
      </c>
      <c r="N37" s="1707" t="s">
        <v>34</v>
      </c>
      <c r="O37" s="2548" t="str">
        <f>Table!AI$83</f>
        <v>ESPH</v>
      </c>
      <c r="P37" s="1703">
        <v>0.4</v>
      </c>
      <c r="Q37" s="1732">
        <v>102</v>
      </c>
      <c r="R37" s="1733">
        <v>114</v>
      </c>
      <c r="S37" s="1708" t="str">
        <f>AA25</f>
        <v>EM-H</v>
      </c>
      <c r="T37" s="1707" t="s">
        <v>34</v>
      </c>
      <c r="U37" s="2556" t="str">
        <f>U16</f>
        <v>EHMP (not used )</v>
      </c>
      <c r="V37" s="1703">
        <v>0.4</v>
      </c>
      <c r="W37" s="1732">
        <v>115</v>
      </c>
      <c r="X37" s="1733">
        <v>125</v>
      </c>
      <c r="Y37" s="1708" t="str">
        <f>O37</f>
        <v>ESPH</v>
      </c>
      <c r="Z37" s="1706" t="s">
        <v>34</v>
      </c>
      <c r="AA37" s="2548" t="str">
        <f>Table!AI$84</f>
        <v>EMPH</v>
      </c>
      <c r="AB37" s="1703">
        <v>0.4</v>
      </c>
      <c r="AC37" s="1732">
        <v>121</v>
      </c>
      <c r="AD37" s="1733">
        <v>138</v>
      </c>
      <c r="AE37" s="1708" t="str">
        <f>Table!AI$83</f>
        <v>ESPH</v>
      </c>
      <c r="AF37" s="1706" t="s">
        <v>34</v>
      </c>
    </row>
    <row r="38" spans="3:32" ht="20.100000000000001" hidden="1" customHeight="1">
      <c r="C38" s="2549"/>
      <c r="D38" s="1709">
        <v>0.6</v>
      </c>
      <c r="E38" s="1716">
        <v>0</v>
      </c>
      <c r="F38" s="1737">
        <v>0</v>
      </c>
      <c r="G38" s="1706"/>
      <c r="H38" s="1707"/>
      <c r="I38" s="2549"/>
      <c r="J38" s="1709">
        <v>0.6</v>
      </c>
      <c r="K38" s="1712">
        <v>130</v>
      </c>
      <c r="L38" s="1734">
        <v>140</v>
      </c>
      <c r="M38" s="1708" t="str">
        <f>O25</f>
        <v>ES-H</v>
      </c>
      <c r="N38" s="1707"/>
      <c r="O38" s="2549"/>
      <c r="P38" s="1709">
        <v>0.6</v>
      </c>
      <c r="Q38" s="1716">
        <v>120</v>
      </c>
      <c r="R38" s="1716">
        <v>130</v>
      </c>
      <c r="S38" s="1708" t="str">
        <f>O25</f>
        <v>ES-H</v>
      </c>
      <c r="T38" s="1707"/>
      <c r="U38" s="2549"/>
      <c r="V38" s="1709">
        <v>0.5</v>
      </c>
      <c r="W38" s="1712">
        <v>125</v>
      </c>
      <c r="X38" s="1734">
        <v>135</v>
      </c>
      <c r="Y38" s="1708" t="str">
        <f>O37</f>
        <v>ESPH</v>
      </c>
      <c r="AA38" s="2549"/>
      <c r="AB38" s="1709">
        <v>0.6</v>
      </c>
      <c r="AC38" s="1712">
        <v>137</v>
      </c>
      <c r="AD38" s="1734">
        <v>153</v>
      </c>
      <c r="AE38" s="1708" t="str">
        <f>Table!AI$83</f>
        <v>ESPH</v>
      </c>
    </row>
    <row r="39" spans="3:32" ht="20.100000000000001" hidden="1" customHeight="1">
      <c r="C39" s="2549"/>
      <c r="D39" s="1709">
        <v>0.8</v>
      </c>
      <c r="E39" s="1716">
        <v>0</v>
      </c>
      <c r="F39" s="1737">
        <v>0</v>
      </c>
      <c r="G39" s="1706"/>
      <c r="H39" s="1707"/>
      <c r="I39" s="2549"/>
      <c r="J39" s="1709">
        <v>0.8</v>
      </c>
      <c r="K39" s="1712">
        <v>150</v>
      </c>
      <c r="L39" s="1734">
        <v>150</v>
      </c>
      <c r="M39" s="1706"/>
      <c r="N39" s="1707"/>
      <c r="O39" s="2549"/>
      <c r="P39" s="1709">
        <v>0.8</v>
      </c>
      <c r="Q39" s="1712">
        <v>140</v>
      </c>
      <c r="R39" s="1734">
        <v>140</v>
      </c>
      <c r="S39" s="1706"/>
      <c r="T39" s="1707"/>
      <c r="U39" s="2549"/>
      <c r="V39" s="1709">
        <v>0.6</v>
      </c>
      <c r="W39" s="1738">
        <v>137</v>
      </c>
      <c r="X39" s="1739">
        <v>140</v>
      </c>
      <c r="Y39" s="1706"/>
      <c r="AA39" s="2549"/>
      <c r="AB39" s="1709">
        <v>0.8</v>
      </c>
      <c r="AC39" s="1712">
        <v>148</v>
      </c>
      <c r="AD39" s="1734">
        <v>162</v>
      </c>
      <c r="AE39" s="1706"/>
    </row>
    <row r="40" spans="3:32" ht="20.100000000000001" hidden="1" customHeight="1">
      <c r="C40" s="2549"/>
      <c r="D40" s="1712">
        <v>0.9</v>
      </c>
      <c r="E40" s="1712">
        <v>0</v>
      </c>
      <c r="F40" s="1734">
        <v>0</v>
      </c>
      <c r="G40" s="1706"/>
      <c r="H40" s="1707"/>
      <c r="I40" s="2549"/>
      <c r="J40" s="1712">
        <v>1</v>
      </c>
      <c r="K40" s="1712">
        <v>150</v>
      </c>
      <c r="L40" s="1734">
        <v>150</v>
      </c>
      <c r="M40" s="1706"/>
      <c r="N40" s="1707"/>
      <c r="O40" s="2549"/>
      <c r="P40" s="1712">
        <v>0.9</v>
      </c>
      <c r="Q40" s="1716">
        <v>155</v>
      </c>
      <c r="R40" s="1716">
        <v>155</v>
      </c>
      <c r="S40" s="1706"/>
      <c r="T40" s="1707"/>
      <c r="U40" s="2549"/>
      <c r="V40" s="1709">
        <v>0.8</v>
      </c>
      <c r="W40" s="1712">
        <v>150</v>
      </c>
      <c r="X40" s="1734">
        <v>150</v>
      </c>
      <c r="Y40" s="1706"/>
      <c r="AA40" s="2549"/>
      <c r="AB40" s="1712">
        <v>0.9</v>
      </c>
      <c r="AC40" s="1712">
        <v>162</v>
      </c>
      <c r="AD40" s="1734">
        <v>167</v>
      </c>
      <c r="AE40" s="1706"/>
    </row>
    <row r="41" spans="3:32" ht="20.100000000000001" hidden="1" customHeight="1" thickBot="1">
      <c r="C41" s="2557"/>
      <c r="D41" s="1713">
        <v>1.2</v>
      </c>
      <c r="E41" s="1735">
        <v>0</v>
      </c>
      <c r="F41" s="1736">
        <v>0</v>
      </c>
      <c r="G41" s="1702"/>
      <c r="H41" s="1707"/>
      <c r="I41" s="2550"/>
      <c r="J41" s="1713">
        <v>1.2</v>
      </c>
      <c r="K41" s="1735">
        <v>150</v>
      </c>
      <c r="L41" s="1736">
        <v>150</v>
      </c>
      <c r="M41" s="1706"/>
      <c r="N41" s="1707"/>
      <c r="O41" s="2550"/>
      <c r="P41" s="1713">
        <v>1.2</v>
      </c>
      <c r="Q41" s="1735">
        <v>155</v>
      </c>
      <c r="R41" s="1736">
        <v>155</v>
      </c>
      <c r="S41" s="1706"/>
      <c r="T41" s="1707"/>
      <c r="U41" s="2550"/>
      <c r="V41" s="1713">
        <v>1.2</v>
      </c>
      <c r="W41" s="1735">
        <v>156</v>
      </c>
      <c r="X41" s="1736">
        <v>155</v>
      </c>
      <c r="Y41" s="1706"/>
      <c r="AA41" s="2550"/>
      <c r="AB41" s="1713">
        <v>1.2</v>
      </c>
      <c r="AC41" s="1735">
        <v>162</v>
      </c>
      <c r="AD41" s="1736">
        <v>167</v>
      </c>
      <c r="AE41" s="1706"/>
    </row>
    <row r="42" spans="3:32" ht="20.100000000000001" hidden="1" customHeight="1">
      <c r="E42" s="1513"/>
      <c r="F42" s="1513"/>
      <c r="K42" s="1728"/>
      <c r="L42" s="1728"/>
    </row>
    <row r="43" spans="3:32" ht="20.100000000000001" hidden="1" customHeight="1"/>
    <row r="44" spans="3:32" ht="20.100000000000001" hidden="1" customHeight="1"/>
    <row r="45" spans="3:32" ht="20.100000000000001" hidden="1" customHeight="1" thickBot="1">
      <c r="C45" s="1694"/>
      <c r="D45" s="1701"/>
      <c r="E45" s="1695"/>
      <c r="G45" s="1256" t="s">
        <v>247</v>
      </c>
      <c r="H45" s="1511" t="s">
        <v>322</v>
      </c>
      <c r="J45" s="1694"/>
      <c r="K45" s="1698"/>
      <c r="L45" s="1698"/>
      <c r="M45" s="1256" t="s">
        <v>247</v>
      </c>
      <c r="N45" s="1511" t="s">
        <v>322</v>
      </c>
      <c r="O45" s="1694"/>
      <c r="P45" s="1694"/>
      <c r="Q45" s="1698"/>
      <c r="R45" s="1698"/>
      <c r="S45" s="1256" t="s">
        <v>247</v>
      </c>
      <c r="T45" s="1511" t="s">
        <v>322</v>
      </c>
      <c r="U45" s="1694"/>
      <c r="V45" s="1694"/>
      <c r="W45" s="1698"/>
      <c r="X45" s="1698"/>
      <c r="Y45" s="1256" t="s">
        <v>247</v>
      </c>
      <c r="Z45" s="1511" t="s">
        <v>322</v>
      </c>
      <c r="AA45" s="1694"/>
      <c r="AB45" s="1694"/>
      <c r="AC45" s="1698"/>
      <c r="AD45" s="1698"/>
      <c r="AE45" s="1256" t="s">
        <v>247</v>
      </c>
      <c r="AF45" s="1511" t="s">
        <v>322</v>
      </c>
    </row>
    <row r="46" spans="3:32" ht="20.100000000000001" hidden="1" customHeight="1">
      <c r="C46" s="2548" t="str">
        <f>Table!AI$73</f>
        <v>ES-N</v>
      </c>
      <c r="D46" s="1703">
        <f t="shared" ref="D46:D50" si="31">D25</f>
        <v>0.4</v>
      </c>
      <c r="E46" s="1740">
        <f t="shared" ref="E46:F50" si="32">E25/20</f>
        <v>3.3</v>
      </c>
      <c r="F46" s="1731">
        <f t="shared" si="32"/>
        <v>3.05</v>
      </c>
      <c r="G46" s="1706"/>
      <c r="H46" s="1707" t="s">
        <v>3</v>
      </c>
      <c r="I46" s="2551" t="str">
        <f>Table!AI$86</f>
        <v>ER1</v>
      </c>
      <c r="J46" s="1703">
        <f t="shared" ref="J46:J50" si="33">J25</f>
        <v>0.4</v>
      </c>
      <c r="K46" s="1732">
        <f t="shared" ref="K46:L50" si="34">K25/20</f>
        <v>2</v>
      </c>
      <c r="L46" s="1733">
        <f t="shared" si="34"/>
        <v>1.5</v>
      </c>
      <c r="M46" s="1706"/>
      <c r="N46" s="1707" t="s">
        <v>3</v>
      </c>
      <c r="O46" s="2548" t="str">
        <f>Table!AI$74</f>
        <v>ES-H</v>
      </c>
      <c r="P46" s="1703">
        <f t="shared" ref="P46:P50" si="35">P25</f>
        <v>0.4</v>
      </c>
      <c r="Q46" s="1732">
        <f t="shared" ref="Q46:R50" si="36">Q25/20</f>
        <v>3.75</v>
      </c>
      <c r="R46" s="1733">
        <f t="shared" si="36"/>
        <v>3.75</v>
      </c>
      <c r="S46" s="1708" t="str">
        <f>Table!AI$73</f>
        <v>ES-N</v>
      </c>
      <c r="T46" s="1707" t="s">
        <v>3</v>
      </c>
      <c r="U46" s="2556" t="str">
        <f>U4</f>
        <v>EHM (not used)</v>
      </c>
      <c r="V46" s="1703">
        <f t="shared" ref="V46:V50" si="37">V25</f>
        <v>0.4</v>
      </c>
      <c r="W46" s="1732">
        <f t="shared" ref="W46:X50" si="38">W25/20</f>
        <v>4.5</v>
      </c>
      <c r="X46" s="1733">
        <f t="shared" si="38"/>
        <v>4.75</v>
      </c>
      <c r="Y46" s="1706" t="str">
        <f>O46</f>
        <v>ES-H</v>
      </c>
      <c r="Z46" s="1707" t="s">
        <v>3</v>
      </c>
      <c r="AA46" s="2548" t="str">
        <f>Table!AI$75</f>
        <v>EM-H</v>
      </c>
      <c r="AB46" s="1703">
        <f>AB25</f>
        <v>0.4</v>
      </c>
      <c r="AC46" s="1732">
        <f t="shared" ref="AC46:AD50" si="39">AC25/20</f>
        <v>4.9000000000000004</v>
      </c>
      <c r="AD46" s="1733">
        <f t="shared" si="39"/>
        <v>5</v>
      </c>
      <c r="AE46" s="1708" t="str">
        <f>Table!AI$74</f>
        <v>ES-H</v>
      </c>
      <c r="AF46" s="1707" t="s">
        <v>3</v>
      </c>
    </row>
    <row r="47" spans="3:32" ht="20.100000000000001" hidden="1" customHeight="1">
      <c r="C47" s="2549"/>
      <c r="D47" s="1709">
        <f t="shared" si="31"/>
        <v>0.6</v>
      </c>
      <c r="E47" s="1712">
        <f t="shared" si="32"/>
        <v>3.45</v>
      </c>
      <c r="F47" s="1734">
        <f t="shared" si="32"/>
        <v>3.05</v>
      </c>
      <c r="G47" s="1706"/>
      <c r="H47" s="1707"/>
      <c r="I47" s="2552"/>
      <c r="J47" s="1709">
        <f t="shared" si="33"/>
        <v>0.6</v>
      </c>
      <c r="K47" s="1712">
        <f t="shared" si="34"/>
        <v>2</v>
      </c>
      <c r="L47" s="1734">
        <f t="shared" si="34"/>
        <v>1.5</v>
      </c>
      <c r="M47" s="1706"/>
      <c r="N47" s="1707"/>
      <c r="O47" s="2549"/>
      <c r="P47" s="1709">
        <f t="shared" si="35"/>
        <v>0.6</v>
      </c>
      <c r="Q47" s="1712">
        <f t="shared" si="36"/>
        <v>4.75</v>
      </c>
      <c r="R47" s="1734">
        <f t="shared" si="36"/>
        <v>4</v>
      </c>
      <c r="S47" s="1708" t="str">
        <f>Table!AI$73</f>
        <v>ES-N</v>
      </c>
      <c r="T47" s="1707"/>
      <c r="U47" s="2549"/>
      <c r="V47" s="1709">
        <f t="shared" si="37"/>
        <v>0.6</v>
      </c>
      <c r="W47" s="1712">
        <f t="shared" si="38"/>
        <v>5.15</v>
      </c>
      <c r="X47" s="1734">
        <f t="shared" si="38"/>
        <v>5</v>
      </c>
      <c r="Y47" s="1706" t="str">
        <f>O46</f>
        <v>ES-H</v>
      </c>
      <c r="AA47" s="2549"/>
      <c r="AB47" s="1709">
        <f t="shared" ref="AB47:AB50" si="40">AB26</f>
        <v>0.6</v>
      </c>
      <c r="AC47" s="1712">
        <f t="shared" si="39"/>
        <v>5.5</v>
      </c>
      <c r="AD47" s="1734">
        <f t="shared" si="39"/>
        <v>5.2</v>
      </c>
      <c r="AE47" s="1708" t="str">
        <f>Table!AI$74</f>
        <v>ES-H</v>
      </c>
    </row>
    <row r="48" spans="3:32" ht="20.100000000000001" hidden="1" customHeight="1">
      <c r="C48" s="2549"/>
      <c r="D48" s="1709">
        <f t="shared" si="31"/>
        <v>0.8</v>
      </c>
      <c r="E48" s="1712">
        <f t="shared" si="32"/>
        <v>3.6</v>
      </c>
      <c r="F48" s="1734">
        <f t="shared" si="32"/>
        <v>3.05</v>
      </c>
      <c r="G48" s="1706"/>
      <c r="H48" s="1707"/>
      <c r="I48" s="2552"/>
      <c r="J48" s="1709">
        <f t="shared" si="33"/>
        <v>0.8</v>
      </c>
      <c r="K48" s="1712">
        <f t="shared" si="34"/>
        <v>2</v>
      </c>
      <c r="L48" s="1734">
        <f t="shared" si="34"/>
        <v>1.5</v>
      </c>
      <c r="M48" s="1706"/>
      <c r="N48" s="1707"/>
      <c r="O48" s="2549"/>
      <c r="P48" s="1709">
        <f t="shared" si="35"/>
        <v>0.8</v>
      </c>
      <c r="Q48" s="1712">
        <f t="shared" si="36"/>
        <v>4.75</v>
      </c>
      <c r="R48" s="1734">
        <f t="shared" si="36"/>
        <v>4.1500000000000004</v>
      </c>
      <c r="S48" s="1706"/>
      <c r="T48" s="1707"/>
      <c r="U48" s="2549"/>
      <c r="V48" s="1709">
        <f t="shared" si="37"/>
        <v>0.8</v>
      </c>
      <c r="W48" s="1712">
        <f t="shared" si="38"/>
        <v>5.15</v>
      </c>
      <c r="X48" s="1734">
        <f t="shared" si="38"/>
        <v>5</v>
      </c>
      <c r="Y48" s="1706"/>
      <c r="AA48" s="2549"/>
      <c r="AB48" s="1709">
        <f t="shared" si="40"/>
        <v>0.8</v>
      </c>
      <c r="AC48" s="1712">
        <f t="shared" si="39"/>
        <v>6</v>
      </c>
      <c r="AD48" s="1734">
        <f t="shared" si="39"/>
        <v>5.45</v>
      </c>
      <c r="AE48" s="1706"/>
    </row>
    <row r="49" spans="3:32" ht="20.100000000000001" hidden="1" customHeight="1">
      <c r="C49" s="2549"/>
      <c r="D49" s="1709">
        <f t="shared" si="31"/>
        <v>1.2</v>
      </c>
      <c r="E49" s="1712">
        <f t="shared" si="32"/>
        <v>3.6</v>
      </c>
      <c r="F49" s="1734">
        <f t="shared" si="32"/>
        <v>3.2</v>
      </c>
      <c r="G49" s="1706"/>
      <c r="H49" s="1707"/>
      <c r="I49" s="2552"/>
      <c r="J49" s="1709">
        <f t="shared" si="33"/>
        <v>1</v>
      </c>
      <c r="K49" s="1712">
        <f t="shared" si="34"/>
        <v>2</v>
      </c>
      <c r="L49" s="1734">
        <f t="shared" si="34"/>
        <v>1.5</v>
      </c>
      <c r="M49" s="1706"/>
      <c r="N49" s="1707"/>
      <c r="O49" s="2549"/>
      <c r="P49" s="1709">
        <f t="shared" si="35"/>
        <v>1.2</v>
      </c>
      <c r="Q49" s="1712">
        <f t="shared" si="36"/>
        <v>4.75</v>
      </c>
      <c r="R49" s="1734">
        <f t="shared" si="36"/>
        <v>4.2</v>
      </c>
      <c r="S49" s="1706"/>
      <c r="T49" s="1707"/>
      <c r="U49" s="2549"/>
      <c r="V49" s="1709">
        <f t="shared" si="37"/>
        <v>1</v>
      </c>
      <c r="W49" s="1712">
        <f t="shared" si="38"/>
        <v>5.5</v>
      </c>
      <c r="X49" s="1734">
        <f t="shared" si="38"/>
        <v>5.25</v>
      </c>
      <c r="Y49" s="1706"/>
      <c r="AA49" s="2549"/>
      <c r="AB49" s="1709">
        <f t="shared" si="40"/>
        <v>1</v>
      </c>
      <c r="AC49" s="1712">
        <f t="shared" si="39"/>
        <v>6.55</v>
      </c>
      <c r="AD49" s="1734">
        <f t="shared" si="39"/>
        <v>5.55</v>
      </c>
      <c r="AE49" s="1706"/>
    </row>
    <row r="50" spans="3:32" ht="20.100000000000001" hidden="1" customHeight="1" thickBot="1">
      <c r="C50" s="2550"/>
      <c r="D50" s="1713">
        <f t="shared" si="31"/>
        <v>1.8</v>
      </c>
      <c r="E50" s="1735">
        <f t="shared" si="32"/>
        <v>4.1500000000000004</v>
      </c>
      <c r="F50" s="1736">
        <f t="shared" si="32"/>
        <v>3.2</v>
      </c>
      <c r="G50" s="1706"/>
      <c r="H50" s="1707"/>
      <c r="I50" s="2553"/>
      <c r="J50" s="1713">
        <f t="shared" si="33"/>
        <v>1.2</v>
      </c>
      <c r="K50" s="1735">
        <f t="shared" si="34"/>
        <v>2</v>
      </c>
      <c r="L50" s="1736">
        <f t="shared" si="34"/>
        <v>1.5</v>
      </c>
      <c r="M50" s="1706"/>
      <c r="N50" s="1707"/>
      <c r="O50" s="2550"/>
      <c r="P50" s="1713">
        <f t="shared" si="35"/>
        <v>1.8</v>
      </c>
      <c r="Q50" s="1735">
        <f t="shared" si="36"/>
        <v>5.5</v>
      </c>
      <c r="R50" s="1736">
        <f t="shared" si="36"/>
        <v>4.2</v>
      </c>
      <c r="S50" s="1706"/>
      <c r="T50" s="1707"/>
      <c r="U50" s="2550"/>
      <c r="V50" s="1713">
        <f t="shared" si="37"/>
        <v>1.2</v>
      </c>
      <c r="W50" s="1735">
        <f t="shared" si="38"/>
        <v>6.5</v>
      </c>
      <c r="X50" s="1736">
        <f t="shared" si="38"/>
        <v>5.5</v>
      </c>
      <c r="Y50" s="1706"/>
      <c r="AA50" s="2550"/>
      <c r="AB50" s="1713">
        <f t="shared" si="40"/>
        <v>1.2</v>
      </c>
      <c r="AC50" s="1735">
        <f t="shared" si="39"/>
        <v>7</v>
      </c>
      <c r="AD50" s="1736">
        <f t="shared" si="39"/>
        <v>5.75</v>
      </c>
      <c r="AE50" s="1706"/>
    </row>
    <row r="51" spans="3:32" ht="20.100000000000001" hidden="1" customHeight="1" thickBot="1">
      <c r="C51" s="1709"/>
      <c r="D51" s="1709"/>
      <c r="E51" s="1716"/>
      <c r="F51" s="1716"/>
      <c r="G51" s="1706"/>
      <c r="H51" s="1707"/>
      <c r="I51" s="1707"/>
      <c r="J51" s="1709"/>
      <c r="K51" s="1712"/>
      <c r="L51" s="1712"/>
      <c r="M51" s="1706"/>
      <c r="N51" s="1707"/>
      <c r="O51" s="1709"/>
      <c r="P51" s="1709"/>
      <c r="Q51" s="1712"/>
      <c r="R51" s="1712"/>
      <c r="S51" s="1706"/>
      <c r="T51" s="1707"/>
      <c r="U51" s="1709"/>
      <c r="V51" s="1709"/>
      <c r="W51" s="1712"/>
      <c r="X51" s="1712"/>
      <c r="Y51" s="1706"/>
      <c r="AA51" s="1709"/>
      <c r="AB51" s="1709"/>
      <c r="AC51" s="1712"/>
      <c r="AD51" s="1712"/>
      <c r="AE51" s="1706"/>
    </row>
    <row r="52" spans="3:32" ht="20.100000000000001" hidden="1" customHeight="1">
      <c r="C52" s="2548" t="str">
        <f>Table!AI$78</f>
        <v>ESSN</v>
      </c>
      <c r="D52" s="1703">
        <f t="shared" ref="D52:D56" si="41">D31</f>
        <v>0.4</v>
      </c>
      <c r="E52" s="1732">
        <f t="shared" ref="E52:F56" si="42">E31/20</f>
        <v>3.95</v>
      </c>
      <c r="F52" s="1731">
        <f t="shared" si="42"/>
        <v>3.7</v>
      </c>
      <c r="G52" s="1708" t="str">
        <f>Table!AI$73</f>
        <v>ES-N</v>
      </c>
      <c r="H52" s="1707" t="s">
        <v>35</v>
      </c>
      <c r="I52" s="2551" t="str">
        <f>Table!AI$87</f>
        <v>ER2</v>
      </c>
      <c r="J52" s="1703">
        <f t="shared" ref="J52:J56" si="43">J31</f>
        <v>0.4</v>
      </c>
      <c r="K52" s="1732">
        <f t="shared" ref="K52:L56" si="44">K31/20</f>
        <v>2.8</v>
      </c>
      <c r="L52" s="1733">
        <f t="shared" si="44"/>
        <v>2.5499999999999998</v>
      </c>
      <c r="M52" s="1706" t="str">
        <f>O46</f>
        <v>ES-H</v>
      </c>
      <c r="N52" s="1707" t="s">
        <v>35</v>
      </c>
      <c r="O52" s="2548" t="str">
        <f>Table!AI$79</f>
        <v>ESSH</v>
      </c>
      <c r="P52" s="1703">
        <f t="shared" ref="P52:P56" si="45">P31</f>
        <v>0.4</v>
      </c>
      <c r="Q52" s="1732">
        <f t="shared" ref="Q52:R56" si="46">Q31/20</f>
        <v>4.75</v>
      </c>
      <c r="R52" s="1733">
        <f t="shared" si="46"/>
        <v>5.45</v>
      </c>
      <c r="S52" s="1708" t="str">
        <f>Table!AI$74</f>
        <v>ES-H</v>
      </c>
      <c r="T52" s="1707" t="s">
        <v>35</v>
      </c>
      <c r="U52" s="2556" t="str">
        <f>U10</f>
        <v>EHMS (not used)</v>
      </c>
      <c r="V52" s="1703">
        <f t="shared" ref="V52:V56" si="47">V31</f>
        <v>0.4</v>
      </c>
      <c r="W52" s="1732">
        <f t="shared" ref="W52:X56" si="48">W31/20</f>
        <v>5.65</v>
      </c>
      <c r="X52" s="1733">
        <f t="shared" si="48"/>
        <v>5.9</v>
      </c>
      <c r="Y52" s="1706" t="str">
        <f>O52</f>
        <v>ESSH</v>
      </c>
      <c r="Z52" s="1707" t="s">
        <v>35</v>
      </c>
      <c r="AA52" s="2548" t="str">
        <f>Table!AI$80</f>
        <v>EMSH</v>
      </c>
      <c r="AB52" s="1703">
        <f t="shared" ref="AB52:AB56" si="49">AB31</f>
        <v>0.4</v>
      </c>
      <c r="AC52" s="1732">
        <f t="shared" ref="AC52:AD56" si="50">AC31/20</f>
        <v>5.5</v>
      </c>
      <c r="AD52" s="1733">
        <f t="shared" si="50"/>
        <v>5.75</v>
      </c>
      <c r="AE52" s="1708" t="str">
        <f>Table!AI$79</f>
        <v>ESSH</v>
      </c>
      <c r="AF52" s="1707" t="s">
        <v>35</v>
      </c>
    </row>
    <row r="53" spans="3:32" ht="20.100000000000001" hidden="1" customHeight="1">
      <c r="C53" s="2549"/>
      <c r="D53" s="1709">
        <f t="shared" si="41"/>
        <v>0.6</v>
      </c>
      <c r="E53" s="1716">
        <f t="shared" si="42"/>
        <v>4.5</v>
      </c>
      <c r="F53" s="1737">
        <f t="shared" si="42"/>
        <v>4.1500000000000004</v>
      </c>
      <c r="G53" s="1706"/>
      <c r="H53" s="1707"/>
      <c r="I53" s="2552"/>
      <c r="J53" s="1709">
        <f t="shared" si="43"/>
        <v>0.6</v>
      </c>
      <c r="K53" s="1712">
        <f t="shared" si="44"/>
        <v>2.85</v>
      </c>
      <c r="L53" s="1734">
        <f t="shared" si="44"/>
        <v>2.6</v>
      </c>
      <c r="M53" s="1706" t="str">
        <f>O46</f>
        <v>ES-H</v>
      </c>
      <c r="N53" s="1707"/>
      <c r="O53" s="2549"/>
      <c r="P53" s="1709">
        <f t="shared" si="45"/>
        <v>0.6</v>
      </c>
      <c r="Q53" s="1712">
        <f t="shared" si="46"/>
        <v>6.25</v>
      </c>
      <c r="R53" s="1734">
        <f t="shared" si="46"/>
        <v>6.25</v>
      </c>
      <c r="S53" s="1708" t="str">
        <f>Table!AI$74</f>
        <v>ES-H</v>
      </c>
      <c r="T53" s="1707"/>
      <c r="U53" s="2549"/>
      <c r="V53" s="1709">
        <f t="shared" si="47"/>
        <v>0.6</v>
      </c>
      <c r="W53" s="1712">
        <f t="shared" si="48"/>
        <v>6.5</v>
      </c>
      <c r="X53" s="1734">
        <f t="shared" si="48"/>
        <v>6.55</v>
      </c>
      <c r="Y53" s="1706" t="str">
        <f>O52</f>
        <v>ESSH</v>
      </c>
      <c r="AA53" s="2549"/>
      <c r="AB53" s="1709">
        <f t="shared" si="49"/>
        <v>0.6</v>
      </c>
      <c r="AC53" s="1712">
        <f t="shared" si="50"/>
        <v>6.7</v>
      </c>
      <c r="AD53" s="1734">
        <f t="shared" si="50"/>
        <v>6.9</v>
      </c>
      <c r="AE53" s="1708" t="str">
        <f>Table!AI$79</f>
        <v>ESSH</v>
      </c>
    </row>
    <row r="54" spans="3:32" ht="20.100000000000001" hidden="1" customHeight="1">
      <c r="C54" s="2549"/>
      <c r="D54" s="1709">
        <f t="shared" si="41"/>
        <v>0.8</v>
      </c>
      <c r="E54" s="1716">
        <f t="shared" si="42"/>
        <v>4.6500000000000004</v>
      </c>
      <c r="F54" s="1737">
        <f t="shared" si="42"/>
        <v>4.1500000000000004</v>
      </c>
      <c r="G54" s="1706"/>
      <c r="H54" s="1707"/>
      <c r="I54" s="2552"/>
      <c r="J54" s="1709">
        <f t="shared" si="43"/>
        <v>0.8</v>
      </c>
      <c r="K54" s="1712">
        <f t="shared" si="44"/>
        <v>2.9</v>
      </c>
      <c r="L54" s="1734">
        <f t="shared" si="44"/>
        <v>2.65</v>
      </c>
      <c r="M54" s="1706"/>
      <c r="N54" s="1707"/>
      <c r="O54" s="2549"/>
      <c r="P54" s="1709">
        <f t="shared" si="45"/>
        <v>0.8</v>
      </c>
      <c r="Q54" s="1712">
        <f t="shared" si="46"/>
        <v>6.75</v>
      </c>
      <c r="R54" s="1734">
        <f t="shared" si="46"/>
        <v>6.25</v>
      </c>
      <c r="S54" s="1706"/>
      <c r="T54" s="1707"/>
      <c r="U54" s="2549"/>
      <c r="V54" s="1709">
        <f t="shared" si="47"/>
        <v>0.8</v>
      </c>
      <c r="W54" s="1712">
        <f t="shared" si="48"/>
        <v>7.05</v>
      </c>
      <c r="X54" s="1734">
        <f t="shared" si="48"/>
        <v>6.75</v>
      </c>
      <c r="Y54" s="1706"/>
      <c r="AA54" s="2549"/>
      <c r="AB54" s="1709">
        <f t="shared" si="49"/>
        <v>0.8</v>
      </c>
      <c r="AC54" s="1712">
        <f t="shared" si="50"/>
        <v>7.15</v>
      </c>
      <c r="AD54" s="1734">
        <f t="shared" si="50"/>
        <v>6.7</v>
      </c>
      <c r="AE54" s="1706"/>
    </row>
    <row r="55" spans="3:32" ht="20.100000000000001" hidden="1" customHeight="1">
      <c r="C55" s="2549"/>
      <c r="D55" s="1712">
        <f t="shared" si="41"/>
        <v>0.9</v>
      </c>
      <c r="E55" s="1738">
        <f t="shared" si="42"/>
        <v>4.9000000000000004</v>
      </c>
      <c r="F55" s="1734">
        <f t="shared" si="42"/>
        <v>4.4000000000000004</v>
      </c>
      <c r="G55" s="1706"/>
      <c r="H55" s="1707"/>
      <c r="I55" s="2552"/>
      <c r="J55" s="1709">
        <f t="shared" si="43"/>
        <v>1</v>
      </c>
      <c r="K55" s="1712">
        <f t="shared" si="44"/>
        <v>2.95</v>
      </c>
      <c r="L55" s="1734">
        <f t="shared" si="44"/>
        <v>2.7</v>
      </c>
      <c r="M55" s="1706"/>
      <c r="N55" s="1707"/>
      <c r="O55" s="2549"/>
      <c r="P55" s="1709">
        <f t="shared" si="45"/>
        <v>1</v>
      </c>
      <c r="Q55" s="1712">
        <f t="shared" si="46"/>
        <v>7</v>
      </c>
      <c r="R55" s="1734">
        <f t="shared" si="46"/>
        <v>6.5</v>
      </c>
      <c r="S55" s="1706"/>
      <c r="T55" s="1707"/>
      <c r="U55" s="2549"/>
      <c r="V55" s="1709">
        <f t="shared" si="47"/>
        <v>1</v>
      </c>
      <c r="W55" s="1712">
        <f t="shared" si="48"/>
        <v>7.55</v>
      </c>
      <c r="X55" s="1734">
        <f t="shared" si="48"/>
        <v>7</v>
      </c>
      <c r="Y55" s="1706"/>
      <c r="AA55" s="2549"/>
      <c r="AB55" s="1709">
        <f t="shared" si="49"/>
        <v>1</v>
      </c>
      <c r="AC55" s="1712">
        <f t="shared" si="50"/>
        <v>7.6</v>
      </c>
      <c r="AD55" s="1734">
        <f t="shared" si="50"/>
        <v>7.05</v>
      </c>
      <c r="AE55" s="1706"/>
    </row>
    <row r="56" spans="3:32" ht="20.100000000000001" hidden="1" customHeight="1" thickBot="1">
      <c r="C56" s="2557"/>
      <c r="D56" s="1713">
        <f t="shared" si="41"/>
        <v>1.2</v>
      </c>
      <c r="E56" s="1735">
        <f t="shared" si="42"/>
        <v>4.9000000000000004</v>
      </c>
      <c r="F56" s="1736">
        <f t="shared" si="42"/>
        <v>4.4000000000000004</v>
      </c>
      <c r="G56" s="1706"/>
      <c r="H56" s="1707"/>
      <c r="I56" s="2553"/>
      <c r="J56" s="1713">
        <f t="shared" si="43"/>
        <v>1.2</v>
      </c>
      <c r="K56" s="1735">
        <f t="shared" si="44"/>
        <v>3</v>
      </c>
      <c r="L56" s="1736">
        <f t="shared" si="44"/>
        <v>2.75</v>
      </c>
      <c r="M56" s="1706"/>
      <c r="N56" s="1707"/>
      <c r="O56" s="2550"/>
      <c r="P56" s="1713">
        <f t="shared" si="45"/>
        <v>1.2</v>
      </c>
      <c r="Q56" s="1735">
        <f t="shared" si="46"/>
        <v>7.5</v>
      </c>
      <c r="R56" s="1736">
        <f t="shared" si="46"/>
        <v>6.75</v>
      </c>
      <c r="S56" s="1706"/>
      <c r="T56" s="1707"/>
      <c r="U56" s="2550"/>
      <c r="V56" s="1713">
        <f t="shared" si="47"/>
        <v>1.2</v>
      </c>
      <c r="W56" s="1735">
        <f t="shared" si="48"/>
        <v>8.0500000000000007</v>
      </c>
      <c r="X56" s="1736">
        <f t="shared" si="48"/>
        <v>7.4</v>
      </c>
      <c r="Y56" s="1706"/>
      <c r="AA56" s="2550"/>
      <c r="AB56" s="1713">
        <f t="shared" si="49"/>
        <v>1.2</v>
      </c>
      <c r="AC56" s="1735">
        <f t="shared" si="50"/>
        <v>8.3000000000000007</v>
      </c>
      <c r="AD56" s="1736">
        <f t="shared" si="50"/>
        <v>7.4</v>
      </c>
      <c r="AE56" s="1706"/>
    </row>
    <row r="57" spans="3:32" ht="20.100000000000001" hidden="1" customHeight="1" thickBot="1">
      <c r="C57" s="1727"/>
      <c r="D57" s="1709"/>
      <c r="E57" s="1712"/>
      <c r="F57" s="1712"/>
      <c r="G57" s="1706"/>
      <c r="H57" s="1707"/>
      <c r="I57" s="1707"/>
      <c r="J57" s="1709"/>
      <c r="K57" s="1712"/>
      <c r="L57" s="1712"/>
      <c r="M57" s="1706"/>
      <c r="N57" s="1707"/>
      <c r="O57" s="1706"/>
      <c r="P57" s="1709"/>
      <c r="Q57" s="1712"/>
      <c r="R57" s="1712"/>
      <c r="S57" s="1706"/>
      <c r="T57" s="1707"/>
      <c r="U57" s="1706"/>
      <c r="V57" s="1709"/>
      <c r="W57" s="1712"/>
      <c r="X57" s="1712"/>
      <c r="Y57" s="1706"/>
      <c r="AA57" s="1706"/>
      <c r="AB57" s="1709"/>
      <c r="AC57" s="1712"/>
      <c r="AD57" s="1712"/>
      <c r="AE57" s="1706"/>
    </row>
    <row r="58" spans="3:32" ht="20.100000000000001" hidden="1" customHeight="1">
      <c r="C58" s="2548"/>
      <c r="D58" s="1703">
        <v>0.4</v>
      </c>
      <c r="E58" s="1732">
        <f t="shared" ref="E58:F62" si="51">E37/20</f>
        <v>0</v>
      </c>
      <c r="F58" s="1731">
        <f t="shared" si="51"/>
        <v>0</v>
      </c>
      <c r="G58" s="1706"/>
      <c r="H58" s="1707" t="s">
        <v>34</v>
      </c>
      <c r="I58" s="2548" t="str">
        <f>Table!AI$82</f>
        <v>ESPH (not used)</v>
      </c>
      <c r="J58" s="1703">
        <f t="shared" ref="J58:J62" si="52">J37</f>
        <v>0.4</v>
      </c>
      <c r="K58" s="1732">
        <f t="shared" ref="K58:L62" si="53">K37/20</f>
        <v>5.25</v>
      </c>
      <c r="L58" s="1733">
        <f t="shared" si="53"/>
        <v>6</v>
      </c>
      <c r="M58" s="1708" t="str">
        <f>Table!AI$74</f>
        <v>ES-H</v>
      </c>
      <c r="N58" s="1707" t="s">
        <v>34</v>
      </c>
      <c r="O58" s="2548" t="str">
        <f>Table!AI$83</f>
        <v>ESPH</v>
      </c>
      <c r="P58" s="1703">
        <f t="shared" ref="P58:P62" si="54">P37</f>
        <v>0.4</v>
      </c>
      <c r="Q58" s="1732">
        <f t="shared" ref="Q58:R62" si="55">Q37/20</f>
        <v>5.0999999999999996</v>
      </c>
      <c r="R58" s="1733">
        <f t="shared" si="55"/>
        <v>5.7</v>
      </c>
      <c r="S58" s="1708" t="str">
        <f>Table!AI$74</f>
        <v>ES-H</v>
      </c>
      <c r="T58" s="1707" t="s">
        <v>34</v>
      </c>
      <c r="U58" s="2556" t="str">
        <f>U16</f>
        <v>EHMP (not used )</v>
      </c>
      <c r="V58" s="1703">
        <f t="shared" ref="V58:V62" si="56">V37</f>
        <v>0.4</v>
      </c>
      <c r="W58" s="1732">
        <f t="shared" ref="W58:X62" si="57">W37/20</f>
        <v>5.75</v>
      </c>
      <c r="X58" s="1733">
        <f t="shared" si="57"/>
        <v>6.25</v>
      </c>
      <c r="Y58" s="1708" t="str">
        <f>O58</f>
        <v>ESPH</v>
      </c>
      <c r="Z58" s="1706" t="s">
        <v>34</v>
      </c>
      <c r="AA58" s="2548" t="str">
        <f>Table!AI$84</f>
        <v>EMPH</v>
      </c>
      <c r="AB58" s="1703">
        <f t="shared" ref="AB58:AB62" si="58">AB37</f>
        <v>0.4</v>
      </c>
      <c r="AC58" s="1732">
        <f t="shared" ref="AC58:AD62" si="59">AC37/20</f>
        <v>6.05</v>
      </c>
      <c r="AD58" s="1733">
        <f t="shared" si="59"/>
        <v>6.9</v>
      </c>
      <c r="AE58" s="1708" t="str">
        <f>Table!AI$83</f>
        <v>ESPH</v>
      </c>
      <c r="AF58" s="1706" t="s">
        <v>34</v>
      </c>
    </row>
    <row r="59" spans="3:32" ht="20.100000000000001" hidden="1" customHeight="1">
      <c r="C59" s="2549"/>
      <c r="D59" s="1709">
        <v>0.6</v>
      </c>
      <c r="E59" s="1716">
        <f t="shared" si="51"/>
        <v>0</v>
      </c>
      <c r="F59" s="1737">
        <f t="shared" si="51"/>
        <v>0</v>
      </c>
      <c r="G59" s="1706"/>
      <c r="H59" s="1707"/>
      <c r="I59" s="2549"/>
      <c r="J59" s="1709">
        <f t="shared" si="52"/>
        <v>0.6</v>
      </c>
      <c r="K59" s="1712">
        <f t="shared" si="53"/>
        <v>6.5</v>
      </c>
      <c r="L59" s="1734">
        <f t="shared" si="53"/>
        <v>7</v>
      </c>
      <c r="M59" s="1708" t="str">
        <f>O46</f>
        <v>ES-H</v>
      </c>
      <c r="N59" s="1707"/>
      <c r="O59" s="2549"/>
      <c r="P59" s="1709">
        <f t="shared" si="54"/>
        <v>0.6</v>
      </c>
      <c r="Q59" s="1712">
        <f t="shared" si="55"/>
        <v>6</v>
      </c>
      <c r="R59" s="1734">
        <f t="shared" si="55"/>
        <v>6.5</v>
      </c>
      <c r="S59" s="1708" t="str">
        <f>O46</f>
        <v>ES-H</v>
      </c>
      <c r="T59" s="1707"/>
      <c r="U59" s="2549"/>
      <c r="V59" s="1709">
        <f t="shared" si="56"/>
        <v>0.5</v>
      </c>
      <c r="W59" s="1712">
        <f t="shared" si="57"/>
        <v>6.25</v>
      </c>
      <c r="X59" s="1734">
        <f t="shared" si="57"/>
        <v>6.75</v>
      </c>
      <c r="Y59" s="1708" t="str">
        <f>O58</f>
        <v>ESPH</v>
      </c>
      <c r="AA59" s="2549"/>
      <c r="AB59" s="1709">
        <f t="shared" si="58"/>
        <v>0.6</v>
      </c>
      <c r="AC59" s="1712">
        <f t="shared" si="59"/>
        <v>6.85</v>
      </c>
      <c r="AD59" s="1734">
        <f t="shared" si="59"/>
        <v>7.65</v>
      </c>
      <c r="AE59" s="1708" t="str">
        <f>Table!AI$83</f>
        <v>ESPH</v>
      </c>
    </row>
    <row r="60" spans="3:32" ht="20.100000000000001" hidden="1" customHeight="1">
      <c r="C60" s="2549"/>
      <c r="D60" s="1709">
        <v>0.8</v>
      </c>
      <c r="E60" s="1716">
        <f t="shared" si="51"/>
        <v>0</v>
      </c>
      <c r="F60" s="1737">
        <f t="shared" si="51"/>
        <v>0</v>
      </c>
      <c r="G60" s="1706"/>
      <c r="H60" s="1707"/>
      <c r="I60" s="2549"/>
      <c r="J60" s="1709">
        <f t="shared" si="52"/>
        <v>0.8</v>
      </c>
      <c r="K60" s="1712">
        <f t="shared" si="53"/>
        <v>7.5</v>
      </c>
      <c r="L60" s="1734">
        <f t="shared" si="53"/>
        <v>7.5</v>
      </c>
      <c r="M60" s="1706"/>
      <c r="N60" s="1707"/>
      <c r="O60" s="2549"/>
      <c r="P60" s="1709">
        <f t="shared" si="54"/>
        <v>0.8</v>
      </c>
      <c r="Q60" s="1712">
        <f t="shared" si="55"/>
        <v>7</v>
      </c>
      <c r="R60" s="1734">
        <f t="shared" si="55"/>
        <v>7</v>
      </c>
      <c r="S60" s="1706"/>
      <c r="T60" s="1707"/>
      <c r="U60" s="2549"/>
      <c r="V60" s="1709">
        <f t="shared" si="56"/>
        <v>0.6</v>
      </c>
      <c r="W60" s="1738">
        <f t="shared" si="57"/>
        <v>6.85</v>
      </c>
      <c r="X60" s="1739">
        <f t="shared" si="57"/>
        <v>7</v>
      </c>
      <c r="Y60" s="1706"/>
      <c r="AA60" s="2549"/>
      <c r="AB60" s="1709">
        <f t="shared" si="58"/>
        <v>0.8</v>
      </c>
      <c r="AC60" s="1738">
        <f t="shared" si="59"/>
        <v>7.4</v>
      </c>
      <c r="AD60" s="1734">
        <f t="shared" si="59"/>
        <v>8.1</v>
      </c>
      <c r="AE60" s="1706"/>
    </row>
    <row r="61" spans="3:32" ht="20.100000000000001" hidden="1" customHeight="1">
      <c r="C61" s="2549"/>
      <c r="D61" s="1712">
        <v>0.9</v>
      </c>
      <c r="E61" s="1738">
        <f t="shared" si="51"/>
        <v>0</v>
      </c>
      <c r="F61" s="1734">
        <f t="shared" si="51"/>
        <v>0</v>
      </c>
      <c r="G61" s="1706"/>
      <c r="H61" s="1707"/>
      <c r="I61" s="2549"/>
      <c r="J61" s="1712">
        <f t="shared" si="52"/>
        <v>1</v>
      </c>
      <c r="K61" s="1712">
        <f t="shared" si="53"/>
        <v>7.5</v>
      </c>
      <c r="L61" s="1734">
        <f t="shared" si="53"/>
        <v>7.5</v>
      </c>
      <c r="M61" s="1706"/>
      <c r="N61" s="1707"/>
      <c r="O61" s="2549"/>
      <c r="P61" s="1712">
        <f t="shared" si="54"/>
        <v>0.9</v>
      </c>
      <c r="Q61" s="1712">
        <f t="shared" si="55"/>
        <v>7.75</v>
      </c>
      <c r="R61" s="1734">
        <f t="shared" si="55"/>
        <v>7.75</v>
      </c>
      <c r="S61" s="1706"/>
      <c r="T61" s="1707"/>
      <c r="U61" s="2549"/>
      <c r="V61" s="1709">
        <f t="shared" si="56"/>
        <v>0.8</v>
      </c>
      <c r="W61" s="1712">
        <f t="shared" si="57"/>
        <v>7.5</v>
      </c>
      <c r="X61" s="1734">
        <f t="shared" si="57"/>
        <v>7.5</v>
      </c>
      <c r="Y61" s="1706"/>
      <c r="AA61" s="2549"/>
      <c r="AB61" s="1709">
        <f t="shared" si="58"/>
        <v>0.9</v>
      </c>
      <c r="AC61" s="1712">
        <f t="shared" si="59"/>
        <v>8.1</v>
      </c>
      <c r="AD61" s="1734">
        <f t="shared" si="59"/>
        <v>8.35</v>
      </c>
      <c r="AE61" s="1706"/>
    </row>
    <row r="62" spans="3:32" ht="20.100000000000001" hidden="1" customHeight="1" thickBot="1">
      <c r="C62" s="2557"/>
      <c r="D62" s="1713">
        <v>1.2</v>
      </c>
      <c r="E62" s="1735">
        <f t="shared" si="51"/>
        <v>0</v>
      </c>
      <c r="F62" s="1736">
        <f t="shared" si="51"/>
        <v>0</v>
      </c>
      <c r="G62" s="1702"/>
      <c r="H62" s="1707"/>
      <c r="I62" s="2550"/>
      <c r="J62" s="1713">
        <f t="shared" si="52"/>
        <v>1.2</v>
      </c>
      <c r="K62" s="1735">
        <f t="shared" si="53"/>
        <v>7.5</v>
      </c>
      <c r="L62" s="1736">
        <f t="shared" si="53"/>
        <v>7.5</v>
      </c>
      <c r="M62" s="1706"/>
      <c r="N62" s="1707"/>
      <c r="O62" s="2550"/>
      <c r="P62" s="1713">
        <f t="shared" si="54"/>
        <v>1.2</v>
      </c>
      <c r="Q62" s="1735">
        <f t="shared" si="55"/>
        <v>7.75</v>
      </c>
      <c r="R62" s="1736">
        <f t="shared" si="55"/>
        <v>7.75</v>
      </c>
      <c r="S62" s="1706"/>
      <c r="T62" s="1707"/>
      <c r="U62" s="2550"/>
      <c r="V62" s="1713">
        <f t="shared" si="56"/>
        <v>1.2</v>
      </c>
      <c r="W62" s="1735">
        <f t="shared" si="57"/>
        <v>7.8</v>
      </c>
      <c r="X62" s="1736">
        <f t="shared" si="57"/>
        <v>7.75</v>
      </c>
      <c r="Y62" s="1706"/>
      <c r="AA62" s="2550"/>
      <c r="AB62" s="1713">
        <f t="shared" si="58"/>
        <v>1.2</v>
      </c>
      <c r="AC62" s="1735">
        <f t="shared" si="59"/>
        <v>8.1</v>
      </c>
      <c r="AD62" s="1736">
        <f t="shared" si="59"/>
        <v>8.35</v>
      </c>
      <c r="AE62" s="1706"/>
    </row>
    <row r="63" spans="3:32" ht="20.100000000000001" hidden="1" customHeight="1">
      <c r="E63" s="1513"/>
      <c r="F63" s="1513"/>
      <c r="K63" s="1728"/>
      <c r="L63" s="1728"/>
    </row>
    <row r="64" spans="3:32" ht="20.100000000000001" hidden="1" customHeight="1"/>
    <row r="65" spans="34:54" ht="20.100000000000001" hidden="1" customHeight="1"/>
    <row r="66" spans="34:54" ht="20.100000000000001" hidden="1" customHeight="1" thickBot="1">
      <c r="AI66" s="1741" t="s">
        <v>572</v>
      </c>
      <c r="AJ66" s="1741" t="str">
        <f>IF(AK66=1,"Elephant","GIB")</f>
        <v>Elephant</v>
      </c>
      <c r="AK66" s="1741">
        <f>'Regular and QuickBrace Systems'!W2</f>
        <v>1</v>
      </c>
    </row>
    <row r="67" spans="34:54" ht="20.100000000000001" hidden="1" customHeight="1">
      <c r="AI67" s="1742" t="s">
        <v>542</v>
      </c>
      <c r="AJ67" s="1743"/>
      <c r="AK67" s="1257"/>
      <c r="AL67" s="1257"/>
      <c r="AM67" s="1257"/>
      <c r="AN67" s="1257"/>
      <c r="AO67" s="1257"/>
      <c r="AP67" s="1257"/>
      <c r="AQ67" s="1257"/>
      <c r="AR67" s="1257"/>
      <c r="AS67" s="1257"/>
      <c r="AT67" s="1257"/>
      <c r="AU67" s="1257"/>
      <c r="AV67" s="1257"/>
      <c r="AW67" s="1257"/>
      <c r="AX67" s="1257"/>
      <c r="AY67" s="1257"/>
      <c r="AZ67" s="1257"/>
    </row>
    <row r="68" spans="34:54" ht="20.100000000000001" hidden="1" customHeight="1" thickBot="1">
      <c r="AI68" s="1744"/>
      <c r="AJ68" s="1743"/>
      <c r="AK68" s="1257"/>
      <c r="AL68" s="1257"/>
      <c r="AM68" s="1257"/>
      <c r="AN68" s="1257"/>
      <c r="AO68" s="1257"/>
      <c r="AP68" s="1257"/>
      <c r="AQ68" s="1257"/>
      <c r="AR68" s="1257"/>
      <c r="AS68" s="1257"/>
      <c r="AT68" s="1257"/>
      <c r="AU68" s="1257"/>
      <c r="AV68" s="1257"/>
      <c r="AW68" s="1257"/>
      <c r="AX68" s="1257"/>
      <c r="AY68" s="1257"/>
      <c r="AZ68" s="1257"/>
    </row>
    <row r="69" spans="34:54" ht="20.100000000000001" hidden="1" customHeight="1" thickBot="1">
      <c r="AH69" s="1745" t="s">
        <v>730</v>
      </c>
      <c r="AI69" s="1746"/>
      <c r="AJ69" s="1743"/>
      <c r="AK69" s="1257"/>
      <c r="AL69" s="1257"/>
      <c r="AM69" s="1257"/>
      <c r="AN69" s="1257"/>
      <c r="AO69" s="1257"/>
      <c r="AP69" s="1257"/>
      <c r="AQ69" s="1257"/>
      <c r="AR69" s="1257"/>
      <c r="AS69" s="1257"/>
      <c r="AT69" s="1257"/>
      <c r="AU69" s="1257"/>
      <c r="AV69" s="1257"/>
      <c r="AW69" s="1257"/>
      <c r="AX69" s="1257"/>
      <c r="AY69" s="1257"/>
      <c r="AZ69" s="1257"/>
    </row>
    <row r="70" spans="34:54" ht="20.100000000000001" hidden="1" customHeight="1" thickBot="1">
      <c r="AH70" s="1745" t="s">
        <v>731</v>
      </c>
      <c r="AI70" s="1747" t="s">
        <v>543</v>
      </c>
      <c r="AJ70" s="1748"/>
      <c r="AK70" s="2558" t="s">
        <v>544</v>
      </c>
      <c r="AL70" s="2559"/>
      <c r="AM70" s="2559"/>
      <c r="AN70" s="2559"/>
      <c r="AO70" s="2559"/>
      <c r="AP70" s="2559"/>
      <c r="AQ70" s="2559"/>
      <c r="AR70" s="2559"/>
      <c r="AS70" s="2560"/>
      <c r="AT70" s="1257"/>
      <c r="AU70" s="1257"/>
      <c r="AV70" s="1257"/>
      <c r="AW70" s="1257"/>
      <c r="AX70" s="1257"/>
      <c r="AY70" s="1257"/>
      <c r="AZ70" s="1257"/>
    </row>
    <row r="71" spans="34:54" ht="20.100000000000001" hidden="1" customHeight="1" thickBot="1">
      <c r="AH71" s="1745" t="str">
        <f>IF('Regular and QuickBrace Systems'!W2=1,Table!AH69,Table!AH70)</f>
        <v xml:space="preserve">EPB </v>
      </c>
      <c r="AJ71" s="1749">
        <v>9</v>
      </c>
      <c r="AK71" s="1750">
        <v>1</v>
      </c>
      <c r="AL71" s="1750">
        <v>2</v>
      </c>
      <c r="AM71" s="1750">
        <v>3</v>
      </c>
      <c r="AN71" s="1750">
        <v>4</v>
      </c>
      <c r="AO71" s="1750">
        <v>5</v>
      </c>
      <c r="AP71" s="1751">
        <v>6</v>
      </c>
      <c r="AQ71" s="1750">
        <v>7</v>
      </c>
      <c r="AR71" s="1750">
        <v>8</v>
      </c>
      <c r="AS71" s="1750">
        <v>9</v>
      </c>
      <c r="AT71" s="1750">
        <v>8</v>
      </c>
      <c r="AU71" s="1752"/>
      <c r="AV71" s="1257" t="s">
        <v>478</v>
      </c>
      <c r="AW71" s="1257" t="s">
        <v>479</v>
      </c>
      <c r="AX71" s="1257" t="s">
        <v>481</v>
      </c>
      <c r="AY71" s="1257" t="s">
        <v>480</v>
      </c>
      <c r="AZ71" s="1257"/>
    </row>
    <row r="72" spans="34:54" ht="20.100000000000001" hidden="1" customHeight="1" thickBot="1">
      <c r="AH72" s="1256" t="str">
        <f>LOWER(AI72)</f>
        <v>er1</v>
      </c>
      <c r="AI72" s="1753" t="str">
        <f>IF(AK$66=1,AJ72,AJ90)</f>
        <v>ER1</v>
      </c>
      <c r="AJ72" s="1753" t="str">
        <f>IF(AJ$71=1,AK72,IF(AJ$71=2,AL72,IF(AJ$71=3,AM72,IF(AJ$71=4,AN72,IF(AJ$71=5,AO72,IF(AJ$71=6,AP72,IF(AJ$71=7,AQ72,IF(AJ$71=8,AR72,AS72))))))))</f>
        <v>ER1</v>
      </c>
      <c r="AK72" s="1754"/>
      <c r="AL72" s="1754"/>
      <c r="AM72" s="1754"/>
      <c r="AN72" s="1754"/>
      <c r="AO72" s="1754"/>
      <c r="AP72" s="1755"/>
      <c r="AQ72" s="1756" t="s">
        <v>1007</v>
      </c>
      <c r="AR72" s="1754"/>
      <c r="AS72" s="1756" t="s">
        <v>1075</v>
      </c>
      <c r="AT72" s="1754"/>
      <c r="AU72" s="1752"/>
      <c r="AV72" s="1257"/>
      <c r="AW72" s="1257"/>
      <c r="AX72" s="1257"/>
      <c r="AY72" s="1257"/>
      <c r="AZ72" s="1257"/>
    </row>
    <row r="73" spans="34:54" ht="20.100000000000001" hidden="1" customHeight="1" thickBot="1">
      <c r="AH73" s="1256" t="str">
        <f>LOWER(AI73)</f>
        <v>es-n</v>
      </c>
      <c r="AI73" s="1753" t="str">
        <f>IF(AK$66=1,AJ73,AJ92)</f>
        <v>ES-N</v>
      </c>
      <c r="AJ73" s="1753" t="str">
        <f>IF(AJ$71=1,AK73,IF(AJ$71=2,AL73,IF(AJ$71=3,AM73,IF(AJ$71=4,AN73,IF(AJ$71=5,AO73,IF(AJ$71=6,AP73,IF(AJ$71=7,AQ73,IF(AJ$71=8,AR73,AS73))))))))</f>
        <v>ES-N</v>
      </c>
      <c r="AK73" s="1756" t="s">
        <v>629</v>
      </c>
      <c r="AL73" s="1756" t="s">
        <v>755</v>
      </c>
      <c r="AM73" s="1756" t="s">
        <v>478</v>
      </c>
      <c r="AN73" s="1756" t="s">
        <v>478</v>
      </c>
      <c r="AO73" s="1756" t="s">
        <v>755</v>
      </c>
      <c r="AP73" s="1756" t="s">
        <v>766</v>
      </c>
      <c r="AQ73" s="1757" t="s">
        <v>763</v>
      </c>
      <c r="AR73" s="1756" t="s">
        <v>659</v>
      </c>
      <c r="AS73" s="1757" t="s">
        <v>763</v>
      </c>
      <c r="AT73" s="1758" t="s">
        <v>534</v>
      </c>
      <c r="AU73" s="1759"/>
      <c r="AV73" s="1760" t="str">
        <f>AK73</f>
        <v>DNS</v>
      </c>
      <c r="AW73" s="1760" t="str">
        <f>AK78</f>
        <v>DNSS</v>
      </c>
      <c r="AX73" s="1761" t="str">
        <f>AK82</f>
        <v>DHSP</v>
      </c>
      <c r="AY73" s="1761" t="str">
        <f>AK74</f>
        <v>DHZ</v>
      </c>
      <c r="AZ73" s="1761" t="str">
        <f>AK79</f>
        <v>DHZS</v>
      </c>
    </row>
    <row r="74" spans="34:54" ht="20.100000000000001" hidden="1" customHeight="1" thickBot="1">
      <c r="AH74" s="1256" t="str">
        <f>LOWER(AI74)</f>
        <v>es-h</v>
      </c>
      <c r="AI74" s="1753" t="str">
        <f>IF(AK$66=1,AJ74,AJ93)</f>
        <v>ES-H</v>
      </c>
      <c r="AJ74" s="1753" t="str">
        <f>IF(AJ$71=1,AK74,IF(AJ$71=2,AL74,IF(AJ$71=3,AM74,IF(AJ$71=4,AN74,IF(AJ$71=5,AO74,IF(AJ$71=6,AP74,IF(AJ$71=7,AQ74,IF(AJ$71=8,AR74,AS74))))))))</f>
        <v>ES-H</v>
      </c>
      <c r="AK74" s="1762" t="s">
        <v>634</v>
      </c>
      <c r="AL74" s="1762" t="s">
        <v>756</v>
      </c>
      <c r="AM74" s="1762" t="s">
        <v>646</v>
      </c>
      <c r="AN74" s="1762" t="s">
        <v>646</v>
      </c>
      <c r="AO74" s="1762" t="s">
        <v>781</v>
      </c>
      <c r="AP74" s="1762" t="s">
        <v>767</v>
      </c>
      <c r="AQ74" s="1762" t="s">
        <v>764</v>
      </c>
      <c r="AR74" s="1762" t="s">
        <v>660</v>
      </c>
      <c r="AS74" s="1762" t="s">
        <v>764</v>
      </c>
      <c r="AT74" s="1763" t="s">
        <v>585</v>
      </c>
      <c r="AU74" s="1759"/>
      <c r="AV74" s="1764" t="str">
        <f>AR73</f>
        <v>ZNS</v>
      </c>
      <c r="AW74" s="1764" t="str">
        <f>AR78</f>
        <v>ZNSS</v>
      </c>
      <c r="AX74" s="1764" t="str">
        <f>AR82</f>
        <v>ZHSP</v>
      </c>
      <c r="AY74" s="1764" t="str">
        <f>AR74</f>
        <v>ZHF</v>
      </c>
      <c r="AZ74" s="1764" t="str">
        <f>AR79</f>
        <v>ZHFS</v>
      </c>
      <c r="BB74" s="1256" t="s">
        <v>575</v>
      </c>
    </row>
    <row r="75" spans="34:54" ht="20.100000000000001" hidden="1" customHeight="1">
      <c r="AH75" s="1256" t="str">
        <f>LOWER(AI75)</f>
        <v>em-h</v>
      </c>
      <c r="AI75" s="1753" t="str">
        <f>IF(AK$66=1,AJ75,AJ94)</f>
        <v>EM-H</v>
      </c>
      <c r="AJ75" s="1753" t="str">
        <f>IF(AJ$71=1,AK75,IF(AJ$71=2,AL75,IF(AJ$71=3,AM75,IF(AJ$71=4,AN75,IF(AJ$71=5,AO75,IF(AJ$71=6,AP75,IF(AJ$71=7,AQ75,IF(AJ$71=8,AR75,AS75))))))))</f>
        <v>EM-H</v>
      </c>
      <c r="AK75" s="1757" t="s">
        <v>637</v>
      </c>
      <c r="AL75" s="1757" t="s">
        <v>757</v>
      </c>
      <c r="AM75" s="1757" t="s">
        <v>647</v>
      </c>
      <c r="AN75" s="1757" t="s">
        <v>647</v>
      </c>
      <c r="AO75" s="1757" t="s">
        <v>782</v>
      </c>
      <c r="AP75" s="1757" t="s">
        <v>768</v>
      </c>
      <c r="AQ75" s="1757" t="s">
        <v>765</v>
      </c>
      <c r="AR75" s="1757" t="s">
        <v>661</v>
      </c>
      <c r="AS75" s="1757" t="s">
        <v>765</v>
      </c>
      <c r="AT75" s="1765" t="s">
        <v>593</v>
      </c>
      <c r="AU75" s="1759"/>
      <c r="AV75" s="1764"/>
      <c r="AW75" s="1764"/>
      <c r="AX75" s="1764"/>
      <c r="AY75" s="1764"/>
      <c r="AZ75" s="1764"/>
      <c r="BB75" s="1256" t="s">
        <v>578</v>
      </c>
    </row>
    <row r="76" spans="34:54" ht="20.100000000000001" hidden="1" customHeight="1" thickBot="1"/>
    <row r="77" spans="34:54" ht="20.100000000000001" hidden="1" customHeight="1" thickBot="1">
      <c r="AH77" s="1256" t="str">
        <f>LOWER(AI77)</f>
        <v>er2</v>
      </c>
      <c r="AI77" s="1753" t="str">
        <f>IF(AK$66=1,AJ77,AJ95)</f>
        <v>ER2</v>
      </c>
      <c r="AJ77" s="1753" t="str">
        <f>IF(AJ$71=1,AK77,IF(AJ$71=2,AL77,IF(AJ$71=3,AM77,IF(AJ$71=4,AN77,IF(AJ$71=5,AO77,IF(AJ$71=6,AP77,IF(AJ$71=7,AQ77,IF(AJ$71=8,AR77,AS77))))))))</f>
        <v>ER2</v>
      </c>
      <c r="AQ77" s="1757" t="s">
        <v>1008</v>
      </c>
      <c r="AS77" s="1757" t="s">
        <v>1076</v>
      </c>
    </row>
    <row r="78" spans="34:54" ht="20.100000000000001" hidden="1" customHeight="1" thickBot="1">
      <c r="AH78" s="1256" t="str">
        <f>LOWER(AI78)</f>
        <v>essn</v>
      </c>
      <c r="AI78" s="1753" t="str">
        <f>IF(AK$66=1,AJ78,AJ97)</f>
        <v>ESSN</v>
      </c>
      <c r="AJ78" s="1753" t="str">
        <f>IF(AJ$71=1,AK78,IF(AJ$71=2,AL78,IF(AJ$71=3,AM78,IF(AJ$71=4,AN78,IF(AJ$71=5,AO78,IF(AJ$71=6,AP78,IF(AJ$71=7,AQ78,IF(AJ$71=8,AR78,AS78))))))))</f>
        <v>ESSN</v>
      </c>
      <c r="AK78" s="1757" t="s">
        <v>630</v>
      </c>
      <c r="AL78" s="1757" t="s">
        <v>758</v>
      </c>
      <c r="AM78" s="1757" t="s">
        <v>479</v>
      </c>
      <c r="AN78" s="1757" t="s">
        <v>479</v>
      </c>
      <c r="AO78" s="1757" t="s">
        <v>758</v>
      </c>
      <c r="AP78" s="1757" t="s">
        <v>769</v>
      </c>
      <c r="AQ78" s="1757" t="s">
        <v>758</v>
      </c>
      <c r="AR78" s="1757" t="s">
        <v>662</v>
      </c>
      <c r="AS78" s="1757" t="s">
        <v>758</v>
      </c>
      <c r="AT78" s="1765" t="s">
        <v>535</v>
      </c>
      <c r="AU78" s="1759"/>
      <c r="AV78" s="1764" t="str">
        <f>AL73</f>
        <v>ESN</v>
      </c>
      <c r="AW78" s="1764" t="str">
        <f>AL78</f>
        <v>ESSN</v>
      </c>
      <c r="AX78" s="1764" t="str">
        <f>AL82</f>
        <v>ESPH (not used)</v>
      </c>
      <c r="AY78" s="1764" t="str">
        <f>AL74</f>
        <v>ESH</v>
      </c>
      <c r="AZ78" s="1764" t="str">
        <f>AL79</f>
        <v>ESSH</v>
      </c>
    </row>
    <row r="79" spans="34:54" ht="20.100000000000001" hidden="1" customHeight="1" thickBot="1">
      <c r="AH79" s="1256" t="str">
        <f>LOWER(AI79)</f>
        <v>essh</v>
      </c>
      <c r="AI79" s="1753" t="str">
        <f>IF(AK$66=1,AJ79,AJ98)</f>
        <v>ESSH</v>
      </c>
      <c r="AJ79" s="1753" t="str">
        <f>IF(AJ$71=1,AK79,IF(AJ$71=2,AL79,IF(AJ$71=3,AM79,IF(AJ$71=4,AN79,IF(AJ$71=5,AO79,IF(AJ$71=6,AP79,IF(AJ$71=7,AQ79,IF(AJ$71=8,AR79,AS79))))))))</f>
        <v>ESSH</v>
      </c>
      <c r="AK79" s="1762" t="s">
        <v>635</v>
      </c>
      <c r="AL79" s="1762" t="s">
        <v>762</v>
      </c>
      <c r="AM79" s="1762" t="s">
        <v>727</v>
      </c>
      <c r="AN79" s="1762" t="s">
        <v>648</v>
      </c>
      <c r="AO79" s="1762" t="s">
        <v>762</v>
      </c>
      <c r="AP79" s="1762" t="s">
        <v>770</v>
      </c>
      <c r="AQ79" s="1762" t="s">
        <v>762</v>
      </c>
      <c r="AR79" s="1762" t="s">
        <v>663</v>
      </c>
      <c r="AS79" s="1762" t="s">
        <v>762</v>
      </c>
      <c r="AT79" s="1763" t="s">
        <v>536</v>
      </c>
      <c r="AU79" s="1759"/>
      <c r="AV79" s="1764" t="str">
        <f>AS73</f>
        <v>ES-N</v>
      </c>
      <c r="AW79" s="1764" t="str">
        <f>AS78</f>
        <v>ESSN</v>
      </c>
      <c r="AX79" s="1764" t="str">
        <f>AS82</f>
        <v>ESPH (not used)</v>
      </c>
      <c r="AY79" s="1764" t="str">
        <f>AS74</f>
        <v>ES-H</v>
      </c>
      <c r="AZ79" s="1764" t="str">
        <f>AS79</f>
        <v>ESSH</v>
      </c>
      <c r="BB79" s="1256" t="s">
        <v>576</v>
      </c>
    </row>
    <row r="80" spans="34:54" ht="20.100000000000001" hidden="1" customHeight="1">
      <c r="AH80" s="1256" t="str">
        <f>LOWER(AI80)</f>
        <v>emsh</v>
      </c>
      <c r="AI80" s="1753" t="str">
        <f>IF(AK$66=1,AJ80,AJ99)</f>
        <v>EMSH</v>
      </c>
      <c r="AJ80" s="1753" t="str">
        <f>IF(AJ$71=1,AK80,IF(AJ$71=2,AL80,IF(AJ$71=3,AM80,IF(AJ$71=4,AN80,IF(AJ$71=5,AO80,IF(AJ$71=6,AP80,IF(AJ$71=7,AQ80,IF(AJ$71=8,AR80,AS80))))))))</f>
        <v>EMSH</v>
      </c>
      <c r="AK80" s="1762" t="s">
        <v>638</v>
      </c>
      <c r="AL80" s="1762" t="s">
        <v>759</v>
      </c>
      <c r="AM80" s="1762" t="s">
        <v>734</v>
      </c>
      <c r="AN80" s="1762" t="s">
        <v>649</v>
      </c>
      <c r="AO80" s="1762" t="s">
        <v>759</v>
      </c>
      <c r="AP80" s="1762" t="s">
        <v>771</v>
      </c>
      <c r="AQ80" s="1762" t="s">
        <v>759</v>
      </c>
      <c r="AR80" s="1762" t="s">
        <v>664</v>
      </c>
      <c r="AS80" s="1762" t="s">
        <v>759</v>
      </c>
      <c r="AT80" s="1763" t="s">
        <v>594</v>
      </c>
      <c r="AU80" s="1759"/>
      <c r="AV80" s="1764"/>
      <c r="AW80" s="1764"/>
      <c r="AX80" s="1764"/>
      <c r="AY80" s="1764"/>
      <c r="AZ80" s="1764"/>
      <c r="BB80" s="1256" t="s">
        <v>579</v>
      </c>
    </row>
    <row r="81" spans="34:54" ht="20.100000000000001" hidden="1" customHeight="1" thickBot="1"/>
    <row r="82" spans="34:54" ht="20.100000000000001" hidden="1" customHeight="1" thickBot="1">
      <c r="AH82" s="1256" t="str">
        <f>LOWER(AI82)</f>
        <v>esph (not used)</v>
      </c>
      <c r="AI82" s="1753" t="s">
        <v>854</v>
      </c>
      <c r="AJ82" s="1753" t="str">
        <f>IF(AJ$71=1,AK82,IF(AJ$71=2,AL82,IF(AJ$71=3,AM82,IF(AJ$71=4,AN82,IF(AJ$71=5,AO82,IF(AJ$71=6,AP82,IF(AJ$71=7,AQ82,IF(AJ$71=8,AR82,AS82))))))))</f>
        <v>ESPH (not used)</v>
      </c>
      <c r="AK82" s="1762" t="s">
        <v>633</v>
      </c>
      <c r="AL82" s="1762" t="s">
        <v>854</v>
      </c>
      <c r="AM82" s="1762" t="s">
        <v>858</v>
      </c>
      <c r="AN82" s="1762" t="s">
        <v>481</v>
      </c>
      <c r="AO82" s="1762" t="s">
        <v>760</v>
      </c>
      <c r="AP82" s="1762" t="s">
        <v>772</v>
      </c>
      <c r="AQ82" s="1762" t="s">
        <v>854</v>
      </c>
      <c r="AR82" s="1762" t="s">
        <v>665</v>
      </c>
      <c r="AS82" s="1762" t="s">
        <v>854</v>
      </c>
      <c r="AT82" s="1763" t="s">
        <v>537</v>
      </c>
      <c r="AU82" s="1759"/>
      <c r="AV82" s="1764" t="str">
        <f>AP73</f>
        <v>ES:N</v>
      </c>
      <c r="AW82" s="1764" t="str">
        <f>AP78</f>
        <v>ESS:N</v>
      </c>
      <c r="AX82" s="1764" t="str">
        <f>AP82</f>
        <v>ESP:H</v>
      </c>
      <c r="AY82" s="1764" t="str">
        <f>AP74</f>
        <v>ES:H</v>
      </c>
      <c r="AZ82" s="1764" t="str">
        <f>AP79</f>
        <v>ESS:H</v>
      </c>
      <c r="BB82" s="1256" t="s">
        <v>574</v>
      </c>
    </row>
    <row r="83" spans="34:54" ht="20.100000000000001" hidden="1" customHeight="1" thickBot="1">
      <c r="AH83" s="1256" t="str">
        <f>LOWER(AI83)</f>
        <v>esph</v>
      </c>
      <c r="AI83" s="1753" t="str">
        <f>IF(AK$66=1,AJ83,AJ102)</f>
        <v>ESPH</v>
      </c>
      <c r="AJ83" s="1753" t="str">
        <f>IF(AJ$71=1,AK83,IF(AJ$71=2,AL83,IF(AJ$71=3,AM83,IF(AJ$71=4,AN83,IF(AJ$71=5,AO83,IF(AJ$71=6,AP83,IF(AJ$71=7,AQ83,IF(AJ$71=8,AR83,AS83))))))))</f>
        <v>ESPH</v>
      </c>
      <c r="AK83" s="1762" t="s">
        <v>636</v>
      </c>
      <c r="AL83" s="1762" t="s">
        <v>760</v>
      </c>
      <c r="AM83" s="1762" t="s">
        <v>481</v>
      </c>
      <c r="AN83" s="1762" t="s">
        <v>650</v>
      </c>
      <c r="AO83" s="1762" t="s">
        <v>760</v>
      </c>
      <c r="AP83" s="1762" t="s">
        <v>772</v>
      </c>
      <c r="AQ83" s="1762" t="s">
        <v>760</v>
      </c>
      <c r="AR83" s="1762" t="s">
        <v>666</v>
      </c>
      <c r="AS83" s="1762" t="s">
        <v>760</v>
      </c>
      <c r="AT83" s="1763" t="s">
        <v>584</v>
      </c>
      <c r="AU83" s="1759"/>
      <c r="AV83" s="1764"/>
      <c r="AW83" s="1764"/>
      <c r="AX83" s="1764"/>
      <c r="AY83" s="1764"/>
      <c r="AZ83" s="1764"/>
      <c r="BB83" s="1256" t="s">
        <v>577</v>
      </c>
    </row>
    <row r="84" spans="34:54" ht="20.100000000000001" hidden="1" customHeight="1" thickBot="1">
      <c r="AH84" s="1256" t="str">
        <f>LOWER(AI84)</f>
        <v>emph</v>
      </c>
      <c r="AI84" s="1753" t="str">
        <f>IF(AK$66=1,AJ84,AJ103)</f>
        <v>EMPH</v>
      </c>
      <c r="AJ84" s="1753" t="str">
        <f>IF(AJ$71=1,AK84,IF(AJ$71=2,AL84,IF(AJ$71=3,AM84,IF(AJ$71=4,AN84,IF(AJ$71=5,AO84,IF(AJ$71=6,AP84,IF(AJ$71=7,AQ84,IF(AJ$71=8,AR84,AS84))))))))</f>
        <v>EMPH</v>
      </c>
      <c r="AK84" s="1762" t="s">
        <v>639</v>
      </c>
      <c r="AL84" s="1762" t="s">
        <v>761</v>
      </c>
      <c r="AM84" s="1762" t="s">
        <v>735</v>
      </c>
      <c r="AN84" s="1762" t="s">
        <v>651</v>
      </c>
      <c r="AO84" s="1762" t="s">
        <v>761</v>
      </c>
      <c r="AP84" s="1762" t="s">
        <v>773</v>
      </c>
      <c r="AQ84" s="1762" t="s">
        <v>761</v>
      </c>
      <c r="AR84" s="1762" t="s">
        <v>667</v>
      </c>
      <c r="AS84" s="1762" t="s">
        <v>761</v>
      </c>
      <c r="AT84" s="1763" t="s">
        <v>595</v>
      </c>
      <c r="AU84" s="1759"/>
      <c r="AV84" s="1764"/>
      <c r="AW84" s="1764"/>
      <c r="AX84" s="1764"/>
      <c r="AY84" s="1764"/>
      <c r="AZ84" s="1764"/>
      <c r="BB84" s="1256" t="s">
        <v>580</v>
      </c>
    </row>
    <row r="85" spans="34:54" ht="20.100000000000001" hidden="1" customHeight="1" thickBot="1">
      <c r="AI85" s="1753"/>
      <c r="AJ85" s="1753"/>
      <c r="AK85" s="1762"/>
      <c r="AL85" s="1762"/>
      <c r="AM85" s="1762"/>
      <c r="AN85" s="1762"/>
      <c r="AO85" s="1762"/>
      <c r="AP85" s="1762"/>
      <c r="AQ85" s="1762"/>
      <c r="AR85" s="1762"/>
      <c r="AS85" s="1762"/>
      <c r="AT85" s="1763"/>
      <c r="AU85" s="1759"/>
      <c r="AV85" s="1764"/>
      <c r="AW85" s="1764"/>
      <c r="AX85" s="1764"/>
      <c r="AY85" s="1764"/>
      <c r="AZ85" s="1764"/>
    </row>
    <row r="86" spans="34:54" ht="20.100000000000001" hidden="1" customHeight="1" thickBot="1">
      <c r="AH86" s="1256" t="str">
        <f>LOWER(AI86)</f>
        <v>er1</v>
      </c>
      <c r="AI86" s="1753" t="str">
        <f t="shared" ref="AI86:AI87" si="60">IF(AK$66=1,AJ86,AJ105)</f>
        <v>ER1</v>
      </c>
      <c r="AJ86" s="1753" t="str">
        <f t="shared" ref="AJ86:AJ87" si="61">IF(AJ$71=1,AK86,IF(AJ$71=2,AL86,IF(AJ$71=3,AM86,IF(AJ$71=4,AN86,IF(AJ$71=5,AO86,IF(AJ$71=6,AP86,IF(AJ$71=7,AQ86,IF(AJ$71=8,AR86,AS86))))))))</f>
        <v>ER1</v>
      </c>
      <c r="AK86" s="1762" t="s">
        <v>631</v>
      </c>
      <c r="AL86" s="1762" t="s">
        <v>852</v>
      </c>
      <c r="AM86" s="1762" t="s">
        <v>859</v>
      </c>
      <c r="AN86" s="1762" t="s">
        <v>480</v>
      </c>
      <c r="AO86" s="1762" t="s">
        <v>756</v>
      </c>
      <c r="AP86" s="1762" t="s">
        <v>767</v>
      </c>
      <c r="AQ86" s="1756" t="str">
        <f>AQ72</f>
        <v>ES-NR</v>
      </c>
      <c r="AR86" s="1762" t="s">
        <v>668</v>
      </c>
      <c r="AS86" s="1756" t="str">
        <f>AS72</f>
        <v>ER1</v>
      </c>
      <c r="AT86" s="1763" t="s">
        <v>538</v>
      </c>
      <c r="AU86" s="1759"/>
      <c r="AV86" s="1764" t="str">
        <f>AN73</f>
        <v>ENS</v>
      </c>
      <c r="AW86" s="1764" t="str">
        <f>AN78</f>
        <v>ENSS</v>
      </c>
      <c r="AX86" s="1764" t="str">
        <f>AN82</f>
        <v>EHSP</v>
      </c>
      <c r="AY86" s="1764" t="str">
        <f>AN74</f>
        <v>EHSc</v>
      </c>
      <c r="AZ86" s="1764" t="str">
        <f>AN79</f>
        <v>EHSSc</v>
      </c>
      <c r="BB86" s="1256" t="s">
        <v>550</v>
      </c>
    </row>
    <row r="87" spans="34:54" ht="15.75" hidden="1">
      <c r="AH87" s="1256" t="str">
        <f>LOWER(AI87)</f>
        <v>er2</v>
      </c>
      <c r="AI87" s="1753" t="str">
        <f t="shared" si="60"/>
        <v>ER2</v>
      </c>
      <c r="AJ87" s="1753" t="str">
        <f t="shared" si="61"/>
        <v>ER2</v>
      </c>
      <c r="AK87" s="1762" t="s">
        <v>632</v>
      </c>
      <c r="AL87" s="1762" t="s">
        <v>853</v>
      </c>
      <c r="AM87" s="1762" t="s">
        <v>860</v>
      </c>
      <c r="AN87" s="1762" t="s">
        <v>727</v>
      </c>
      <c r="AO87" s="1762" t="s">
        <v>762</v>
      </c>
      <c r="AP87" s="1762" t="s">
        <v>770</v>
      </c>
      <c r="AQ87" s="1757" t="str">
        <f>AQ77</f>
        <v>ESSNR</v>
      </c>
      <c r="AR87" s="1762" t="s">
        <v>669</v>
      </c>
      <c r="AS87" s="1757" t="str">
        <f>AS77</f>
        <v>ER2</v>
      </c>
      <c r="AT87" s="1763" t="s">
        <v>539</v>
      </c>
      <c r="AU87" s="1759"/>
      <c r="AV87" s="1764" t="str">
        <f>AO73</f>
        <v>ESN</v>
      </c>
      <c r="AW87" s="1764" t="str">
        <f>AO78</f>
        <v>ESSN</v>
      </c>
      <c r="AX87" s="1764" t="str">
        <f>AO82</f>
        <v>ESPH</v>
      </c>
      <c r="AY87" s="1764" t="str">
        <f>AO74</f>
        <v>ESHc</v>
      </c>
      <c r="AZ87" s="1764" t="str">
        <f>AO79</f>
        <v>ESSH</v>
      </c>
      <c r="BB87" s="1256" t="s">
        <v>573</v>
      </c>
    </row>
    <row r="88" spans="34:54" hidden="1"/>
    <row r="89" spans="34:54" ht="13.5" hidden="1" thickBot="1">
      <c r="AL89" s="1766"/>
    </row>
    <row r="90" spans="34:54" ht="13.5" hidden="1" thickBot="1">
      <c r="AI90" s="1749">
        <f>AJ71</f>
        <v>9</v>
      </c>
      <c r="AJ90" s="1749"/>
      <c r="AK90" s="1750">
        <v>1</v>
      </c>
      <c r="AL90" s="1750">
        <v>2</v>
      </c>
      <c r="AM90" s="1750">
        <v>3</v>
      </c>
      <c r="AN90" s="1750">
        <v>4</v>
      </c>
      <c r="AO90" s="1750">
        <v>5</v>
      </c>
      <c r="AP90" s="1751">
        <v>6</v>
      </c>
      <c r="AQ90" s="1750">
        <v>7</v>
      </c>
      <c r="AR90" s="1750">
        <v>8</v>
      </c>
      <c r="AS90" s="1750">
        <v>9</v>
      </c>
      <c r="AT90" s="1750">
        <v>8</v>
      </c>
      <c r="AU90" s="1752"/>
      <c r="AV90" s="1257" t="s">
        <v>549</v>
      </c>
      <c r="AW90" s="1257" t="s">
        <v>548</v>
      </c>
      <c r="AX90" s="1257" t="s">
        <v>552</v>
      </c>
      <c r="AY90" s="1257" t="s">
        <v>550</v>
      </c>
      <c r="AZ90" s="1257" t="s">
        <v>551</v>
      </c>
    </row>
    <row r="91" spans="34:54" ht="13.5" hidden="1" thickBot="1">
      <c r="AI91" s="1767"/>
      <c r="AJ91" s="1767"/>
      <c r="AK91" s="1754"/>
      <c r="AL91" s="1754"/>
      <c r="AM91" s="1754"/>
      <c r="AN91" s="1754"/>
      <c r="AO91" s="1754"/>
      <c r="AP91" s="1755"/>
      <c r="AQ91" s="1754"/>
      <c r="AR91" s="1754"/>
      <c r="AS91" s="1754"/>
      <c r="AT91" s="1754"/>
      <c r="AU91" s="1752"/>
      <c r="AV91" s="1257"/>
      <c r="AW91" s="1257"/>
      <c r="AX91" s="1257"/>
      <c r="AY91" s="1257"/>
      <c r="AZ91" s="1257"/>
    </row>
    <row r="92" spans="34:54" ht="16.5" hidden="1" thickBot="1">
      <c r="AH92" s="1256" t="str">
        <f>LOWER(AI92)</f>
        <v>gns=ens</v>
      </c>
      <c r="AI92" s="1768" t="str">
        <f>IF(AJ$71=1,AK92,IF(AJ$71=2,AL92,IF(AJ$71=3,AM92,IF(AJ$71=4,AN92,IF(AJ$71=5,AO92,IF(AJ$71=6,AP92,IF(AJ$71=7,AQ92,IF(AJ$71=8,AR92,AS92))))))))</f>
        <v>GNS=ENS</v>
      </c>
      <c r="AJ92" s="1753" t="str">
        <f>IF(AJ$71=1,AK92,IF(AJ$71=2,AL92,IF(AJ$71=3,AM92,IF(AJ$71=4,AN92,IF(AJ$71=5,AO92,IF(AJ$71=6,AP92,IF(AJ$71=7,AQ92,IF(AJ$71=8,AR92,AS92))))))))</f>
        <v>GNS=ENS</v>
      </c>
      <c r="AK92" s="1756" t="s">
        <v>629</v>
      </c>
      <c r="AL92" s="1756" t="s">
        <v>700</v>
      </c>
      <c r="AM92" s="1756" t="s">
        <v>618</v>
      </c>
      <c r="AN92" s="1756" t="s">
        <v>678</v>
      </c>
      <c r="AO92" s="1756" t="s">
        <v>689</v>
      </c>
      <c r="AP92" s="1756" t="s">
        <v>711</v>
      </c>
      <c r="AQ92" s="1769" t="s">
        <v>581</v>
      </c>
      <c r="AR92" s="1756" t="s">
        <v>659</v>
      </c>
      <c r="AS92" s="1769" t="s">
        <v>568</v>
      </c>
      <c r="AT92" s="1769" t="s">
        <v>568</v>
      </c>
      <c r="AU92" s="1759"/>
      <c r="AV92" s="1760" t="str">
        <f>AK92</f>
        <v>DNS</v>
      </c>
      <c r="AW92" s="1760" t="str">
        <f>AK97</f>
        <v>DNSS</v>
      </c>
      <c r="AX92" s="1761" t="str">
        <f>AK101</f>
        <v>DHSP</v>
      </c>
      <c r="AY92" s="1761" t="str">
        <f>AK93</f>
        <v>DHZ</v>
      </c>
      <c r="AZ92" s="1761" t="str">
        <f>AK98</f>
        <v>DHZS</v>
      </c>
    </row>
    <row r="93" spans="34:54" ht="15.75" hidden="1">
      <c r="AH93" s="1256" t="str">
        <f>LOWER(AI93)</f>
        <v>ghb=ehs</v>
      </c>
      <c r="AI93" s="1770" t="str">
        <f>IF(AJ$71=1,AK93,IF(AJ$71=2,AL93,IF(AJ$71=3,AM93,IF(AJ$71=4,AN93,IF(AJ$71=5,AO93,IF(AJ$71=6,AP93,IF(AJ$71=7,AQ93,IF(AJ$71=8,AR93,AS93))))))))</f>
        <v>GHB=EHS</v>
      </c>
      <c r="AJ93" s="1753" t="str">
        <f>IF(AJ$71=1,AK93,IF(AJ$71=2,AL93,IF(AJ$71=3,AM93,IF(AJ$71=4,AN93,IF(AJ$71=5,AO93,IF(AJ$71=6,AP93,IF(AJ$71=7,AQ93,IF(AJ$71=8,AR93,AS93))))))))</f>
        <v>GHB=EHS</v>
      </c>
      <c r="AK93" s="1762" t="s">
        <v>634</v>
      </c>
      <c r="AL93" s="1762" t="s">
        <v>701</v>
      </c>
      <c r="AM93" s="1762" t="s">
        <v>623</v>
      </c>
      <c r="AN93" s="1762" t="s">
        <v>679</v>
      </c>
      <c r="AO93" s="1762" t="s">
        <v>690</v>
      </c>
      <c r="AP93" s="1762" t="s">
        <v>712</v>
      </c>
      <c r="AQ93" s="1771" t="s">
        <v>582</v>
      </c>
      <c r="AR93" s="1762" t="s">
        <v>660</v>
      </c>
      <c r="AS93" s="1771" t="s">
        <v>570</v>
      </c>
      <c r="AT93" s="1771" t="s">
        <v>570</v>
      </c>
      <c r="AU93" s="1759"/>
      <c r="AV93" s="1764" t="str">
        <f>AR92</f>
        <v>ZNS</v>
      </c>
      <c r="AW93" s="1764" t="str">
        <f>AR97</f>
        <v>ZNSS</v>
      </c>
      <c r="AX93" s="1764" t="str">
        <f>AR101</f>
        <v>ZHSP</v>
      </c>
      <c r="AY93" s="1764" t="str">
        <f>AR93</f>
        <v>ZHF</v>
      </c>
      <c r="AZ93" s="1764" t="str">
        <f>AR98</f>
        <v>ZHFS</v>
      </c>
    </row>
    <row r="94" spans="34:54" ht="16.5" hidden="1" thickBot="1">
      <c r="AH94" s="1256" t="str">
        <f>LOWER(AI94)</f>
        <v>ghb=ehm</v>
      </c>
      <c r="AI94" s="1772" t="str">
        <f>IF(AJ$71=1,AK94,IF(AJ$71=2,AL94,IF(AJ$71=3,AM94,IF(AJ$71=4,AN94,IF(AJ$71=5,AO94,IF(AJ$71=6,AP94,IF(AJ$71=7,AQ94,IF(AJ$71=8,AR94,AS94))))))))</f>
        <v>GHB=EHM</v>
      </c>
      <c r="AJ94" s="1773" t="str">
        <f>IF(AJ$71=1,AK94,IF(AJ$71=2,AL94,IF(AJ$71=3,AM94,IF(AJ$71=4,AN94,IF(AJ$71=5,AO94,IF(AJ$71=6,AP94,IF(AJ$71=7,AQ94,IF(AJ$71=8,AR94,AS94))))))))</f>
        <v>GHB=EHM</v>
      </c>
      <c r="AK94" s="1757" t="s">
        <v>637</v>
      </c>
      <c r="AL94" s="1757" t="s">
        <v>702</v>
      </c>
      <c r="AM94" s="1757" t="s">
        <v>626</v>
      </c>
      <c r="AN94" s="1757" t="s">
        <v>680</v>
      </c>
      <c r="AO94" s="1757" t="s">
        <v>691</v>
      </c>
      <c r="AP94" s="1757" t="s">
        <v>713</v>
      </c>
      <c r="AQ94" s="1765" t="s">
        <v>583</v>
      </c>
      <c r="AR94" s="1757" t="s">
        <v>661</v>
      </c>
      <c r="AS94" s="1765" t="s">
        <v>571</v>
      </c>
      <c r="AT94" s="1765" t="s">
        <v>596</v>
      </c>
      <c r="AU94" s="1759"/>
      <c r="AV94" s="1764"/>
      <c r="AW94" s="1764"/>
      <c r="AX94" s="1764"/>
      <c r="AY94" s="1764"/>
      <c r="AZ94" s="1764"/>
    </row>
    <row r="95" spans="34:54" ht="16.5" hidden="1" thickBot="1">
      <c r="AI95" s="1770"/>
      <c r="AJ95" s="1753"/>
      <c r="AK95" s="1757"/>
      <c r="AQ95" s="1771"/>
      <c r="AS95" s="1771"/>
      <c r="AT95" s="1771"/>
      <c r="AU95" s="1759"/>
      <c r="AV95" s="1774"/>
      <c r="AW95" s="1774"/>
      <c r="AX95" s="1764"/>
      <c r="AY95" s="1764"/>
      <c r="AZ95" s="1764"/>
    </row>
    <row r="96" spans="34:54" ht="16.5" hidden="1" thickBot="1">
      <c r="AI96" s="1770"/>
      <c r="AJ96" s="1753"/>
      <c r="AK96" s="1757"/>
      <c r="AQ96" s="1771"/>
      <c r="AS96" s="1771"/>
      <c r="AT96" s="1771"/>
      <c r="AU96" s="1759"/>
      <c r="AV96" s="1774"/>
      <c r="AW96" s="1774"/>
      <c r="AX96" s="1764"/>
      <c r="AY96" s="1764"/>
      <c r="AZ96" s="1764"/>
    </row>
    <row r="97" spans="34:52" ht="16.5" hidden="1" thickBot="1">
      <c r="AH97" s="1256" t="str">
        <f t="shared" ref="AH97:AH103" si="62">LOWER(AI97)</f>
        <v>gnss=enss</v>
      </c>
      <c r="AI97" s="1770" t="str">
        <f>IF(AJ$71=1,AK97,IF(AJ$71=2,AL97,IF(AJ$71=3,AM97,IF(AJ$71=4,AN97,IF(AJ$71=5,AO97,IF(AJ$71=6,AP97,IF(AJ$71=7,AQ97,IF(AJ$71=8,AR97,AS97))))))))</f>
        <v>GNSS=ENSS</v>
      </c>
      <c r="AJ97" s="1753" t="str">
        <f>IF(AJ$71=1,AK97,IF(AJ$71=2,AL97,IF(AJ$71=3,AM97,IF(AJ$71=4,AN97,IF(AJ$71=5,AO97,IF(AJ$71=6,AP97,IF(AJ$71=7,AQ97,IF(AJ$71=8,AR97,AS97))))))))</f>
        <v>GNSS=ENSS</v>
      </c>
      <c r="AK97" s="1757" t="s">
        <v>630</v>
      </c>
      <c r="AL97" s="1757" t="s">
        <v>703</v>
      </c>
      <c r="AM97" s="1757" t="s">
        <v>619</v>
      </c>
      <c r="AN97" s="1757" t="s">
        <v>681</v>
      </c>
      <c r="AO97" s="1757" t="s">
        <v>692</v>
      </c>
      <c r="AP97" s="1757" t="s">
        <v>714</v>
      </c>
      <c r="AQ97" s="1771" t="s">
        <v>560</v>
      </c>
      <c r="AR97" s="1757" t="s">
        <v>662</v>
      </c>
      <c r="AS97" s="1771" t="s">
        <v>553</v>
      </c>
      <c r="AT97" s="1771" t="s">
        <v>553</v>
      </c>
      <c r="AU97" s="1759"/>
      <c r="AV97" s="1764" t="str">
        <f>AL92</f>
        <v>GENS</v>
      </c>
      <c r="AW97" s="1764" t="str">
        <f>AL97</f>
        <v>GENSS</v>
      </c>
      <c r="AX97" s="1764" t="str">
        <f>AL101</f>
        <v>GEHSP</v>
      </c>
      <c r="AY97" s="1764" t="str">
        <f>AL93</f>
        <v>GEHZ</v>
      </c>
      <c r="AZ97" s="1764" t="str">
        <f>AL98</f>
        <v>GEHZS</v>
      </c>
    </row>
    <row r="98" spans="34:52" ht="15.75" hidden="1">
      <c r="AH98" s="1256" t="str">
        <f>LOWER(AI98)</f>
        <v>ghbs=ehss</v>
      </c>
      <c r="AI98" s="1770" t="str">
        <f>IF(AJ$71=1,AK98,IF(AJ$71=2,AL98,IF(AJ$71=3,AM98,IF(AJ$71=4,AN98,IF(AJ$71=5,AO98,IF(AJ$71=6,AP98,IF(AJ$71=7,AQ98,IF(AJ$71=8,AR98,AS98))))))))</f>
        <v>GHBS=EHSS</v>
      </c>
      <c r="AJ98" s="1753" t="str">
        <f>IF(AJ$71=1,AK98,IF(AJ$71=2,AL98,IF(AJ$71=3,AM98,IF(AJ$71=4,AN98,IF(AJ$71=5,AO98,IF(AJ$71=6,AP98,IF(AJ$71=7,AQ98,IF(AJ$71=8,AR98,AS98))))))))</f>
        <v>GHBS=EHSS</v>
      </c>
      <c r="AK98" s="1762" t="s">
        <v>635</v>
      </c>
      <c r="AL98" s="1762" t="s">
        <v>704</v>
      </c>
      <c r="AM98" s="1762" t="s">
        <v>624</v>
      </c>
      <c r="AN98" s="1762" t="s">
        <v>682</v>
      </c>
      <c r="AO98" s="1762" t="s">
        <v>693</v>
      </c>
      <c r="AP98" s="1762" t="s">
        <v>715</v>
      </c>
      <c r="AQ98" s="1771" t="s">
        <v>564</v>
      </c>
      <c r="AR98" s="1762" t="s">
        <v>663</v>
      </c>
      <c r="AS98" s="1771" t="s">
        <v>556</v>
      </c>
      <c r="AT98" s="1771" t="s">
        <v>556</v>
      </c>
      <c r="AU98" s="1759"/>
      <c r="AV98" s="1764" t="str">
        <f>AS92</f>
        <v>GNS=ENS</v>
      </c>
      <c r="AW98" s="1764" t="str">
        <f>AS97</f>
        <v>GNSS=ENSS</v>
      </c>
      <c r="AX98" s="1764" t="str">
        <f>AS101</f>
        <v>GHSP=EHSP</v>
      </c>
      <c r="AY98" s="1764" t="str">
        <f>AS93</f>
        <v>GHB=EHS</v>
      </c>
      <c r="AZ98" s="1764" t="str">
        <f>AS98</f>
        <v>GHBS=EHSS</v>
      </c>
    </row>
    <row r="99" spans="34:52" ht="16.5" hidden="1" thickBot="1">
      <c r="AH99" s="1256" t="str">
        <f>LOWER(AI99)</f>
        <v>ghbs=ehms</v>
      </c>
      <c r="AI99" s="1772" t="str">
        <f>IF(AJ$71=1,AK99,IF(AJ$71=2,AL99,IF(AJ$71=3,AM99,IF(AJ$71=4,AN99,IF(AJ$71=5,AO99,IF(AJ$71=6,AP99,IF(AJ$71=7,AQ99,IF(AJ$71=8,AR99,AS99))))))))</f>
        <v>GHBS=EHMS</v>
      </c>
      <c r="AJ99" s="1773" t="str">
        <f>IF(AJ$71=1,AK99,IF(AJ$71=2,AL99,IF(AJ$71=3,AM99,IF(AJ$71=4,AN99,IF(AJ$71=5,AO99,IF(AJ$71=6,AP99,IF(AJ$71=7,AQ99,IF(AJ$71=8,AR99,AS99))))))))</f>
        <v>GHBS=EHMS</v>
      </c>
      <c r="AK99" s="1762" t="s">
        <v>638</v>
      </c>
      <c r="AL99" s="1762" t="s">
        <v>705</v>
      </c>
      <c r="AM99" s="1762" t="s">
        <v>627</v>
      </c>
      <c r="AN99" s="1762" t="s">
        <v>683</v>
      </c>
      <c r="AO99" s="1762" t="s">
        <v>694</v>
      </c>
      <c r="AP99" s="1762" t="s">
        <v>716</v>
      </c>
      <c r="AQ99" s="1765" t="s">
        <v>566</v>
      </c>
      <c r="AR99" s="1762" t="s">
        <v>664</v>
      </c>
      <c r="AS99" s="1765" t="s">
        <v>558</v>
      </c>
      <c r="AT99" s="1765" t="s">
        <v>597</v>
      </c>
      <c r="AU99" s="1759"/>
      <c r="AV99" s="1764"/>
      <c r="AW99" s="1764"/>
      <c r="AX99" s="1764"/>
      <c r="AY99" s="1764"/>
      <c r="AZ99" s="1764"/>
    </row>
    <row r="100" spans="34:52" ht="16.5" hidden="1" thickBot="1">
      <c r="AI100" s="1770"/>
      <c r="AJ100" s="1753"/>
      <c r="AK100" s="1762"/>
      <c r="AQ100" s="1771"/>
      <c r="AS100" s="1771"/>
      <c r="AT100" s="1771"/>
      <c r="AU100" s="1759"/>
      <c r="AV100" s="1764"/>
      <c r="AW100" s="1764"/>
      <c r="AX100" s="1764"/>
      <c r="AY100" s="1764"/>
      <c r="AZ100" s="1764"/>
    </row>
    <row r="101" spans="34:52" ht="16.5" hidden="1" thickBot="1">
      <c r="AH101" s="1256" t="str">
        <f t="shared" si="62"/>
        <v>ghsp=ehsp</v>
      </c>
      <c r="AI101" s="1770" t="str">
        <f>IF(AJ$71=1,AK101,IF(AJ$71=2,AL101,IF(AJ$71=3,AM101,IF(AJ$71=4,AN101,IF(AJ$71=5,AO101,IF(AJ$71=6,AP101,IF(AJ$71=7,AQ101,IF(AJ$71=8,AR101,AS101))))))))</f>
        <v>GHSP=EHSP</v>
      </c>
      <c r="AJ101" s="1753" t="str">
        <f>IF(AJ$71=1,AK101,IF(AJ$71=2,AL101,IF(AJ$71=3,AM101,IF(AJ$71=4,AN101,IF(AJ$71=5,AO101,IF(AJ$71=6,AP101,IF(AJ$71=7,AQ101,IF(AJ$71=8,AR101,AS101))))))))</f>
        <v>GHSP=EHSP</v>
      </c>
      <c r="AK101" s="1762" t="s">
        <v>633</v>
      </c>
      <c r="AL101" s="1762" t="s">
        <v>706</v>
      </c>
      <c r="AM101" s="1762" t="s">
        <v>622</v>
      </c>
      <c r="AN101" s="1762" t="s">
        <v>684</v>
      </c>
      <c r="AO101" s="1762" t="s">
        <v>695</v>
      </c>
      <c r="AP101" s="1762" t="s">
        <v>717</v>
      </c>
      <c r="AQ101" s="1771" t="s">
        <v>563</v>
      </c>
      <c r="AR101" s="1762" t="s">
        <v>665</v>
      </c>
      <c r="AS101" s="1771" t="s">
        <v>555</v>
      </c>
      <c r="AT101" s="1771" t="s">
        <v>555</v>
      </c>
      <c r="AU101" s="1759"/>
      <c r="AV101" s="1764" t="str">
        <f>AP92</f>
        <v>N-DS</v>
      </c>
      <c r="AW101" s="1764" t="str">
        <f>AP97</f>
        <v>N-DSS</v>
      </c>
      <c r="AX101" s="1764" t="str">
        <f>AP101</f>
        <v>H-DSP</v>
      </c>
      <c r="AY101" s="1764" t="str">
        <f>AP93</f>
        <v>H-DZ</v>
      </c>
      <c r="AZ101" s="1764" t="str">
        <f>AP98</f>
        <v>H-DZS</v>
      </c>
    </row>
    <row r="102" spans="34:52" ht="15.75" hidden="1">
      <c r="AH102" s="1256" t="str">
        <f t="shared" si="62"/>
        <v>ghbp=ehsp</v>
      </c>
      <c r="AI102" s="1772" t="str">
        <f>IF(AJ$71=1,AK102,IF(AJ$71=2,AL102,IF(AJ$71=3,AM102,IF(AJ$71=4,AN102,IF(AJ$71=5,AO102,IF(AJ$71=6,AP102,IF(AJ$71=7,AQ102,IF(AJ$71=8,AR102,AS102))))))))</f>
        <v>GHBP=EHSP</v>
      </c>
      <c r="AJ102" s="1753" t="str">
        <f>IF(AJ$71=1,AK102,IF(AJ$71=2,AL102,IF(AJ$71=3,AM102,IF(AJ$71=4,AN102,IF(AJ$71=5,AO102,IF(AJ$71=6,AP102,IF(AJ$71=7,AQ102,IF(AJ$71=8,AR102,AS102))))))))</f>
        <v>GHBP=EHSP</v>
      </c>
      <c r="AK102" s="1762" t="s">
        <v>636</v>
      </c>
      <c r="AL102" s="1762" t="s">
        <v>707</v>
      </c>
      <c r="AM102" s="1762" t="s">
        <v>625</v>
      </c>
      <c r="AN102" s="1762" t="s">
        <v>685</v>
      </c>
      <c r="AO102" s="1762" t="s">
        <v>696</v>
      </c>
      <c r="AP102" s="1762" t="s">
        <v>718</v>
      </c>
      <c r="AQ102" s="1765" t="s">
        <v>565</v>
      </c>
      <c r="AR102" s="1762" t="s">
        <v>666</v>
      </c>
      <c r="AS102" s="1765" t="s">
        <v>557</v>
      </c>
      <c r="AT102" s="1765" t="s">
        <v>557</v>
      </c>
      <c r="AU102" s="1759"/>
      <c r="AV102" s="1764"/>
      <c r="AW102" s="1764"/>
      <c r="AX102" s="1764"/>
      <c r="AY102" s="1764"/>
      <c r="AZ102" s="1764"/>
    </row>
    <row r="103" spans="34:52" ht="15.75" hidden="1">
      <c r="AH103" s="1256" t="str">
        <f t="shared" si="62"/>
        <v>ghbp=ehmp</v>
      </c>
      <c r="AI103" s="1772" t="str">
        <f>IF(AJ$71=1,AK103,IF(AJ$71=2,AL103,IF(AJ$71=3,AM103,IF(AJ$71=4,AN103,IF(AJ$71=5,AO103,IF(AJ$71=6,AP103,IF(AJ$71=7,AQ103,IF(AJ$71=8,AR103,AS103))))))))</f>
        <v>GHBP=EHMP</v>
      </c>
      <c r="AJ103" s="1773" t="str">
        <f>IF(AJ$71=1,AK103,IF(AJ$71=2,AL103,IF(AJ$71=3,AM103,IF(AJ$71=4,AN103,IF(AJ$71=5,AO103,IF(AJ$71=6,AP103,IF(AJ$71=7,AQ103,IF(AJ$71=8,AR103,AS103))))))))</f>
        <v>GHBP=EHMP</v>
      </c>
      <c r="AK103" s="1762" t="s">
        <v>639</v>
      </c>
      <c r="AL103" s="1762" t="s">
        <v>708</v>
      </c>
      <c r="AM103" s="1762" t="s">
        <v>628</v>
      </c>
      <c r="AN103" s="1762" t="s">
        <v>686</v>
      </c>
      <c r="AO103" s="1762" t="s">
        <v>697</v>
      </c>
      <c r="AP103" s="1762" t="s">
        <v>719</v>
      </c>
      <c r="AQ103" s="1765" t="s">
        <v>567</v>
      </c>
      <c r="AR103" s="1762" t="s">
        <v>667</v>
      </c>
      <c r="AS103" s="1765" t="s">
        <v>559</v>
      </c>
      <c r="AT103" s="1765" t="s">
        <v>598</v>
      </c>
      <c r="AU103" s="1759"/>
      <c r="AV103" s="1764"/>
      <c r="AW103" s="1764"/>
      <c r="AX103" s="1764"/>
      <c r="AY103" s="1764"/>
      <c r="AZ103" s="1764"/>
    </row>
    <row r="104" spans="34:52" ht="16.5" hidden="1" thickBot="1">
      <c r="AL104" s="1762"/>
      <c r="AM104" s="1762"/>
      <c r="AN104" s="1762"/>
      <c r="AO104" s="1762"/>
      <c r="AP104" s="1762"/>
      <c r="AR104" s="1762"/>
    </row>
    <row r="105" spans="34:52" ht="16.5" hidden="1" thickBot="1">
      <c r="AH105" s="1256" t="str">
        <f>LOWER(AI105)</f>
        <v>ghs=ehs</v>
      </c>
      <c r="AI105" s="1770" t="str">
        <f>IF(AJ$71=1,AK105,IF(AJ$71=2,AL105,IF(AJ$71=3,AM105,IF(AJ$71=4,AN105,IF(AJ$71=5,AO105,IF(AJ$71=6,AP105,IF(AJ$71=7,AQ105,IF(AJ$71=8,AR105,AS105))))))))</f>
        <v>GHS=EHS</v>
      </c>
      <c r="AJ105" s="1753" t="str">
        <f>IF(AJ$71=1,AK105,IF(AJ$71=2,AL105,IF(AJ$71=3,AM105,IF(AJ$71=4,AN105,IF(AJ$71=5,AO105,IF(AJ$71=6,AP105,IF(AJ$71=7,AQ105,IF(AJ$71=8,AR105,AS105))))))))</f>
        <v>GHS=EHS</v>
      </c>
      <c r="AK105" s="1762" t="s">
        <v>631</v>
      </c>
      <c r="AL105" s="1762" t="s">
        <v>709</v>
      </c>
      <c r="AM105" s="1762" t="s">
        <v>620</v>
      </c>
      <c r="AN105" s="1762" t="s">
        <v>687</v>
      </c>
      <c r="AO105" s="1762" t="s">
        <v>698</v>
      </c>
      <c r="AP105" s="1762" t="s">
        <v>720</v>
      </c>
      <c r="AQ105" s="1771" t="s">
        <v>561</v>
      </c>
      <c r="AR105" s="1762" t="s">
        <v>668</v>
      </c>
      <c r="AS105" s="1771" t="s">
        <v>569</v>
      </c>
      <c r="AT105" s="1771" t="s">
        <v>569</v>
      </c>
      <c r="AU105" s="1759"/>
      <c r="AV105" s="1764" t="str">
        <f>AN92</f>
        <v>DN-S</v>
      </c>
      <c r="AW105" s="1764" t="str">
        <f>AN97</f>
        <v>DN-SS</v>
      </c>
      <c r="AX105" s="1764" t="str">
        <f>AN101</f>
        <v>DH-SP</v>
      </c>
      <c r="AY105" s="1764" t="str">
        <f>AN93</f>
        <v>DH-Z</v>
      </c>
      <c r="AZ105" s="1764" t="str">
        <f>AN98</f>
        <v>DH-ZS</v>
      </c>
    </row>
    <row r="106" spans="34:52" ht="15.75" hidden="1">
      <c r="AH106" s="1256" t="str">
        <f>LOWER(AI106)</f>
        <v>ghss=ehss</v>
      </c>
      <c r="AI106" s="1770" t="str">
        <f>IF(AJ$71=1,AK106,IF(AJ$71=2,AL106,IF(AJ$71=3,AM106,IF(AJ$71=4,AN106,IF(AJ$71=5,AO106,IF(AJ$71=6,AP106,IF(AJ$71=7,AQ106,IF(AJ$71=8,AR106,AS106))))))))</f>
        <v>GHSS=EHSS</v>
      </c>
      <c r="AJ106" s="1753" t="str">
        <f>IF(AJ$71=1,AK106,IF(AJ$71=2,AL106,IF(AJ$71=3,AM106,IF(AJ$71=4,AN106,IF(AJ$71=5,AO106,IF(AJ$71=6,AP106,IF(AJ$71=7,AQ106,IF(AJ$71=8,AR106,AS106))))))))</f>
        <v>GHSS=EHSS</v>
      </c>
      <c r="AK106" s="1762" t="s">
        <v>632</v>
      </c>
      <c r="AL106" s="1762" t="s">
        <v>710</v>
      </c>
      <c r="AM106" s="1762" t="s">
        <v>621</v>
      </c>
      <c r="AN106" s="1762" t="s">
        <v>688</v>
      </c>
      <c r="AO106" s="1762" t="s">
        <v>699</v>
      </c>
      <c r="AP106" s="1762" t="s">
        <v>721</v>
      </c>
      <c r="AQ106" s="1771" t="s">
        <v>562</v>
      </c>
      <c r="AR106" s="1762" t="s">
        <v>669</v>
      </c>
      <c r="AS106" s="1771" t="s">
        <v>554</v>
      </c>
      <c r="AT106" s="1771" t="s">
        <v>554</v>
      </c>
      <c r="AU106" s="1759"/>
      <c r="AV106" s="1764" t="str">
        <f>AO92</f>
        <v>DS-N</v>
      </c>
      <c r="AW106" s="1764" t="str">
        <f>AO97</f>
        <v>DSS-N</v>
      </c>
      <c r="AX106" s="1764" t="str">
        <f>AO101</f>
        <v>DSP-H</v>
      </c>
      <c r="AY106" s="1764" t="str">
        <f>AO93</f>
        <v>DZ-H</v>
      </c>
      <c r="AZ106" s="1764" t="str">
        <f>AO98</f>
        <v>DZS-H</v>
      </c>
    </row>
    <row r="107" spans="34:52" hidden="1"/>
    <row r="108" spans="34:52" hidden="1"/>
    <row r="109" spans="34:52" hidden="1"/>
    <row r="110" spans="34:52" hidden="1"/>
    <row r="111" spans="34:52" hidden="1"/>
    <row r="112" spans="34:52" hidden="1"/>
    <row r="113" spans="40:40" hidden="1"/>
    <row r="114" spans="40:40" hidden="1"/>
    <row r="115" spans="40:40" hidden="1"/>
    <row r="116" spans="40:40" hidden="1"/>
    <row r="117" spans="40:40" hidden="1"/>
    <row r="118" spans="40:40" hidden="1"/>
    <row r="119" spans="40:40" hidden="1"/>
    <row r="120" spans="40:40" hidden="1"/>
    <row r="121" spans="40:40" hidden="1"/>
    <row r="122" spans="40:40" hidden="1"/>
    <row r="123" spans="40:40" hidden="1"/>
    <row r="125" spans="40:40">
      <c r="AN125" s="1256" t="s">
        <v>736</v>
      </c>
    </row>
  </sheetData>
  <sheetProtection algorithmName="SHA-512" hashValue="0igJ9IUk+GdG/AP4geNbirNZ1JtCfrLAJUJlx2tGGgIlRaSosLlRvT5RVKWAFZbNo+t9WKOH5s85nqppOpVmSw==" saltValue="aI8zD2sUhpLQECpqysv4uA==" spinCount="100000" sheet="1" objects="1" scenarios="1"/>
  <mergeCells count="47">
    <mergeCell ref="AA16:AA20"/>
    <mergeCell ref="AA4:AA8"/>
    <mergeCell ref="AA10:AA14"/>
    <mergeCell ref="AA31:AA35"/>
    <mergeCell ref="AA46:AA50"/>
    <mergeCell ref="AA37:AA41"/>
    <mergeCell ref="C31:C35"/>
    <mergeCell ref="I31:I35"/>
    <mergeCell ref="O31:O35"/>
    <mergeCell ref="U31:U35"/>
    <mergeCell ref="AK70:AS70"/>
    <mergeCell ref="AA52:AA56"/>
    <mergeCell ref="AA58:AA62"/>
    <mergeCell ref="C58:C62"/>
    <mergeCell ref="I58:I62"/>
    <mergeCell ref="O58:O62"/>
    <mergeCell ref="U58:U62"/>
    <mergeCell ref="C52:C56"/>
    <mergeCell ref="I52:I56"/>
    <mergeCell ref="O52:O56"/>
    <mergeCell ref="U52:U56"/>
    <mergeCell ref="C37:C41"/>
    <mergeCell ref="C25:C29"/>
    <mergeCell ref="I25:I29"/>
    <mergeCell ref="O25:O29"/>
    <mergeCell ref="U25:U29"/>
    <mergeCell ref="AA25:AA29"/>
    <mergeCell ref="C46:C50"/>
    <mergeCell ref="I46:I50"/>
    <mergeCell ref="O46:O50"/>
    <mergeCell ref="U46:U50"/>
    <mergeCell ref="I37:I41"/>
    <mergeCell ref="O37:O41"/>
    <mergeCell ref="U37:U41"/>
    <mergeCell ref="I16:I20"/>
    <mergeCell ref="I4:I8"/>
    <mergeCell ref="I10:I14"/>
    <mergeCell ref="C1:D1"/>
    <mergeCell ref="U4:U8"/>
    <mergeCell ref="U10:U14"/>
    <mergeCell ref="U16:U20"/>
    <mergeCell ref="C4:C8"/>
    <mergeCell ref="C10:C14"/>
    <mergeCell ref="C16:C20"/>
    <mergeCell ref="O16:O20"/>
    <mergeCell ref="O10:O14"/>
    <mergeCell ref="O4:O8"/>
  </mergeCells>
  <phoneticPr fontId="0" type="noConversion"/>
  <printOptions horizontalCentered="1"/>
  <pageMargins left="0.35433070866141736" right="0.19685039370078741" top="0.59055118110236227" bottom="0.39370078740157483" header="0.51181102362204722" footer="0"/>
  <pageSetup paperSize="9" scale="1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11"/>
    <pageSetUpPr fitToPage="1"/>
  </sheetPr>
  <dimension ref="A1:BN398"/>
  <sheetViews>
    <sheetView tabSelected="1" zoomScale="85" zoomScaleNormal="85" workbookViewId="0">
      <selection activeCell="M37" sqref="M37"/>
    </sheetView>
  </sheetViews>
  <sheetFormatPr defaultColWidth="9.140625" defaultRowHeight="12.75"/>
  <cols>
    <col min="1" max="1" width="1.7109375" style="27" customWidth="1"/>
    <col min="2" max="2" width="11.42578125" style="1" customWidth="1"/>
    <col min="3" max="3" width="16.7109375" style="1" customWidth="1"/>
    <col min="4" max="5" width="8.42578125" style="1" customWidth="1"/>
    <col min="6" max="6" width="8" style="1" customWidth="1"/>
    <col min="7" max="7" width="8" style="1" hidden="1" customWidth="1"/>
    <col min="8" max="8" width="10" style="1" customWidth="1"/>
    <col min="9" max="10" width="11.7109375" style="1" customWidth="1"/>
    <col min="11" max="11" width="12.7109375" style="1" customWidth="1"/>
    <col min="12" max="12" width="2.7109375" style="27" customWidth="1"/>
    <col min="13" max="13" width="7.5703125" style="27" customWidth="1"/>
    <col min="14" max="14" width="16" style="27" customWidth="1"/>
    <col min="15" max="15" width="13.5703125" style="27" customWidth="1"/>
    <col min="16" max="16" width="16.42578125" style="27" customWidth="1"/>
    <col min="17" max="17" width="8.42578125" style="27" customWidth="1"/>
    <col min="18" max="18" width="8" style="27" customWidth="1"/>
    <col min="19" max="19" width="7.140625" style="27" customWidth="1"/>
    <col min="20" max="20" width="7.140625" style="27" hidden="1" customWidth="1"/>
    <col min="21" max="21" width="11.5703125" style="27" hidden="1" customWidth="1"/>
    <col min="22" max="22" width="11.28515625" style="27" customWidth="1"/>
    <col min="23" max="23" width="11.140625" style="27" customWidth="1"/>
    <col min="24" max="25" width="31.7109375" style="27" customWidth="1"/>
    <col min="26" max="26" width="31.7109375" style="27" hidden="1" customWidth="1"/>
    <col min="27" max="27" width="11.5703125" style="27" hidden="1" customWidth="1"/>
    <col min="28" max="28" width="16.42578125" style="27" hidden="1" customWidth="1"/>
    <col min="29" max="29" width="8.42578125" style="27" hidden="1" customWidth="1"/>
    <col min="30" max="30" width="8" style="27" hidden="1" customWidth="1"/>
    <col min="31" max="32" width="7.140625" style="27" hidden="1" customWidth="1"/>
    <col min="33" max="33" width="8.140625" style="27" hidden="1" customWidth="1"/>
    <col min="34" max="34" width="36.140625" style="27" hidden="1" customWidth="1"/>
    <col min="35" max="35" width="13.5703125" style="27" hidden="1" customWidth="1"/>
    <col min="36" max="36" width="11.5703125" style="27" hidden="1" customWidth="1"/>
    <col min="37" max="37" width="16.42578125" style="27" hidden="1" customWidth="1"/>
    <col min="38" max="38" width="8.42578125" style="27" hidden="1" customWidth="1"/>
    <col min="39" max="39" width="8" style="27" hidden="1" customWidth="1"/>
    <col min="40" max="41" width="7.140625" style="27" hidden="1" customWidth="1"/>
    <col min="42" max="42" width="8.140625" style="27" hidden="1" customWidth="1"/>
    <col min="43" max="43" width="36.140625" style="27" hidden="1" customWidth="1"/>
    <col min="44" max="44" width="12.5703125" style="27" hidden="1" customWidth="1"/>
    <col min="45" max="52" width="9.140625" style="27" hidden="1" customWidth="1"/>
    <col min="53" max="58" width="9.140625" style="27"/>
    <col min="59" max="16384" width="9.140625" style="1"/>
  </cols>
  <sheetData>
    <row r="1" spans="2:66" s="27" customFormat="1" ht="9" customHeight="1" thickBot="1"/>
    <row r="2" spans="2:66" ht="15.75" customHeight="1" thickBot="1">
      <c r="B2" s="2194" t="str">
        <f>'Project Demand'!E8</f>
        <v xml:space="preserve"> </v>
      </c>
      <c r="C2" s="2195"/>
      <c r="D2" s="2196"/>
      <c r="E2" s="27"/>
      <c r="F2" s="2567" t="str">
        <f>'Project Demand'!E10</f>
        <v xml:space="preserve"> </v>
      </c>
      <c r="G2" s="2568"/>
      <c r="H2" s="2569"/>
      <c r="I2" s="2569"/>
      <c r="J2" s="2568"/>
      <c r="K2" s="2570"/>
      <c r="N2" s="2575" t="s">
        <v>907</v>
      </c>
      <c r="O2" s="2576"/>
      <c r="P2" s="2576"/>
      <c r="Q2" s="2576"/>
      <c r="R2" s="2576"/>
      <c r="S2" s="2576"/>
      <c r="T2" s="2576"/>
      <c r="U2" s="2576"/>
      <c r="V2" s="2576"/>
      <c r="W2" s="2577"/>
      <c r="AA2" s="732">
        <f>'Project Demand'!AX5</f>
        <v>1</v>
      </c>
      <c r="BG2" s="27"/>
      <c r="BH2" s="27"/>
      <c r="BI2" s="27"/>
      <c r="BJ2" s="27"/>
      <c r="BK2" s="27"/>
      <c r="BL2" s="27"/>
      <c r="BM2" s="27"/>
      <c r="BN2" s="27"/>
    </row>
    <row r="3" spans="2:66" ht="15.75" customHeight="1" thickBot="1">
      <c r="B3" s="686"/>
      <c r="C3" s="686"/>
      <c r="D3" s="686"/>
      <c r="E3" s="27"/>
      <c r="F3" s="2194" t="str">
        <f>'Project Demand'!E12</f>
        <v xml:space="preserve"> </v>
      </c>
      <c r="G3" s="2195"/>
      <c r="H3" s="2571"/>
      <c r="I3" s="2571"/>
      <c r="J3" s="2195"/>
      <c r="K3" s="2196"/>
      <c r="N3" s="2578"/>
      <c r="O3" s="2579"/>
      <c r="P3" s="2579"/>
      <c r="Q3" s="2579"/>
      <c r="R3" s="2579"/>
      <c r="S3" s="2579"/>
      <c r="T3" s="2579"/>
      <c r="U3" s="2579"/>
      <c r="V3" s="2579"/>
      <c r="W3" s="2580"/>
      <c r="AB3" s="685"/>
      <c r="AC3" s="685"/>
      <c r="AJ3" s="685"/>
      <c r="AK3" s="685"/>
      <c r="AL3" s="685"/>
      <c r="AT3" s="188" t="s">
        <v>307</v>
      </c>
      <c r="AU3" s="27" t="s">
        <v>380</v>
      </c>
      <c r="BG3" s="27"/>
      <c r="BH3" s="27"/>
      <c r="BI3" s="27"/>
      <c r="BJ3" s="27"/>
      <c r="BK3" s="27"/>
      <c r="BL3" s="27"/>
      <c r="BM3" s="27"/>
      <c r="BN3" s="27"/>
    </row>
    <row r="4" spans="2:66" ht="14.25" customHeight="1" thickBot="1">
      <c r="B4" s="27"/>
      <c r="C4" s="27"/>
      <c r="D4" s="27"/>
      <c r="E4" s="27"/>
      <c r="F4" s="27"/>
      <c r="G4" s="27"/>
      <c r="H4" s="27"/>
      <c r="I4" s="27"/>
      <c r="J4" s="27"/>
      <c r="K4" s="27"/>
      <c r="AT4" s="188" t="s">
        <v>305</v>
      </c>
      <c r="AU4" s="27" t="s">
        <v>379</v>
      </c>
      <c r="BG4" s="27"/>
      <c r="BH4" s="27"/>
      <c r="BI4" s="27"/>
      <c r="BJ4" s="27"/>
      <c r="BK4" s="27"/>
      <c r="BL4" s="27"/>
      <c r="BM4" s="27"/>
      <c r="BN4" s="27"/>
    </row>
    <row r="5" spans="2:66" ht="14.25" customHeight="1" thickBot="1">
      <c r="B5" s="160" t="s">
        <v>607</v>
      </c>
      <c r="C5" s="27"/>
      <c r="D5" s="27"/>
      <c r="E5" s="114"/>
      <c r="F5" s="27"/>
      <c r="G5" s="27"/>
      <c r="H5" s="27"/>
      <c r="I5" s="27"/>
      <c r="J5" s="161"/>
      <c r="K5" s="27"/>
      <c r="O5" s="2581" t="s">
        <v>979</v>
      </c>
      <c r="P5" s="2582"/>
      <c r="Q5" s="2561" t="str">
        <f>AC5</f>
        <v>NZS3604:2011 Compliant</v>
      </c>
      <c r="R5" s="2562"/>
      <c r="S5" s="2562"/>
      <c r="T5" s="2562"/>
      <c r="U5" s="2562"/>
      <c r="V5" s="2562"/>
      <c r="W5" s="2563"/>
      <c r="AA5" s="2581" t="s">
        <v>753</v>
      </c>
      <c r="AB5" s="2582"/>
      <c r="AC5" s="2561" t="s">
        <v>484</v>
      </c>
      <c r="AD5" s="2562"/>
      <c r="AE5" s="2562"/>
      <c r="AF5" s="2562"/>
      <c r="AG5" s="2562"/>
      <c r="AH5" s="2563"/>
      <c r="AJ5" s="2581" t="s">
        <v>753</v>
      </c>
      <c r="AK5" s="2582"/>
      <c r="AL5" s="2561" t="s">
        <v>484</v>
      </c>
      <c r="AM5" s="2562"/>
      <c r="AN5" s="2562"/>
      <c r="AO5" s="2562"/>
      <c r="AP5" s="2562"/>
      <c r="AQ5" s="2563"/>
      <c r="BG5" s="27"/>
      <c r="BH5" s="27"/>
      <c r="BI5" s="27"/>
      <c r="BJ5" s="27"/>
      <c r="BK5" s="27"/>
      <c r="BL5" s="27"/>
      <c r="BM5" s="27"/>
      <c r="BN5" s="27"/>
    </row>
    <row r="6" spans="2:66" ht="15" customHeight="1">
      <c r="B6" s="2184" t="s">
        <v>266</v>
      </c>
      <c r="C6" s="1862" t="s">
        <v>608</v>
      </c>
      <c r="D6" s="2597" t="s">
        <v>243</v>
      </c>
      <c r="E6" s="2565" t="str">
        <f>R6</f>
        <v>BU's/m   Wind</v>
      </c>
      <c r="F6" s="2565" t="str">
        <f>S6</f>
        <v>BU's/m   EQ</v>
      </c>
      <c r="G6" s="756"/>
      <c r="H6" s="2572" t="s">
        <v>1116</v>
      </c>
      <c r="I6" s="2572" t="s">
        <v>1100</v>
      </c>
      <c r="J6" s="2572" t="s">
        <v>1101</v>
      </c>
      <c r="K6" s="2564"/>
      <c r="L6" s="546"/>
      <c r="M6" s="546"/>
      <c r="N6" s="2583" t="s">
        <v>1034</v>
      </c>
      <c r="O6" s="2609" t="s">
        <v>49</v>
      </c>
      <c r="P6" s="1862" t="s">
        <v>39</v>
      </c>
      <c r="Q6" s="1862" t="s">
        <v>243</v>
      </c>
      <c r="R6" s="2600" t="str">
        <f>IF($AA$2=1,AD6,AM6)</f>
        <v>BU's/m   Wind</v>
      </c>
      <c r="S6" s="2600" t="str">
        <f>IF($AA$2=1,AE6,AN6)</f>
        <v>BU's/m   EQ</v>
      </c>
      <c r="T6" s="756"/>
      <c r="U6" s="2572" t="s">
        <v>1116</v>
      </c>
      <c r="V6" s="2572" t="s">
        <v>1100</v>
      </c>
      <c r="W6" s="2587" t="s">
        <v>1101</v>
      </c>
      <c r="AA6" s="1881" t="s">
        <v>49</v>
      </c>
      <c r="AB6" s="1862" t="s">
        <v>39</v>
      </c>
      <c r="AC6" s="1862" t="s">
        <v>243</v>
      </c>
      <c r="AD6" s="2565" t="s">
        <v>270</v>
      </c>
      <c r="AE6" s="2565" t="s">
        <v>271</v>
      </c>
      <c r="AF6" s="756"/>
      <c r="AG6" s="1862" t="s">
        <v>272</v>
      </c>
      <c r="AH6" s="2612" t="s">
        <v>487</v>
      </c>
      <c r="AJ6" s="1881" t="s">
        <v>49</v>
      </c>
      <c r="AK6" s="1862" t="s">
        <v>39</v>
      </c>
      <c r="AL6" s="1862" t="s">
        <v>243</v>
      </c>
      <c r="AM6" s="2600" t="s">
        <v>837</v>
      </c>
      <c r="AN6" s="2600" t="s">
        <v>838</v>
      </c>
      <c r="AO6" s="756"/>
      <c r="AP6" s="1862" t="s">
        <v>272</v>
      </c>
      <c r="AQ6" s="2612" t="s">
        <v>482</v>
      </c>
      <c r="BG6" s="27"/>
      <c r="BH6" s="27"/>
      <c r="BI6" s="27"/>
      <c r="BJ6" s="27"/>
      <c r="BK6" s="27"/>
      <c r="BL6" s="27"/>
      <c r="BM6" s="27"/>
      <c r="BN6" s="27"/>
    </row>
    <row r="7" spans="2:66" ht="15" customHeight="1">
      <c r="B7" s="2185"/>
      <c r="C7" s="1863"/>
      <c r="D7" s="2598"/>
      <c r="E7" s="2252"/>
      <c r="F7" s="2252"/>
      <c r="G7" s="757"/>
      <c r="H7" s="2573"/>
      <c r="I7" s="2573"/>
      <c r="J7" s="2573"/>
      <c r="K7" s="2564"/>
      <c r="L7" s="546"/>
      <c r="M7" s="546"/>
      <c r="N7" s="2584"/>
      <c r="O7" s="2610"/>
      <c r="P7" s="1863"/>
      <c r="Q7" s="1863"/>
      <c r="R7" s="2601"/>
      <c r="S7" s="2601"/>
      <c r="T7" s="757"/>
      <c r="U7" s="2573"/>
      <c r="V7" s="2573"/>
      <c r="W7" s="2588"/>
      <c r="AA7" s="1882"/>
      <c r="AB7" s="1863"/>
      <c r="AC7" s="1863"/>
      <c r="AD7" s="2252"/>
      <c r="AE7" s="2252"/>
      <c r="AF7" s="757"/>
      <c r="AG7" s="1863"/>
      <c r="AH7" s="2613"/>
      <c r="AJ7" s="1882"/>
      <c r="AK7" s="1863"/>
      <c r="AL7" s="1863"/>
      <c r="AM7" s="2601"/>
      <c r="AN7" s="2601"/>
      <c r="AO7" s="757"/>
      <c r="AP7" s="1863"/>
      <c r="AQ7" s="2613"/>
      <c r="BG7" s="27"/>
      <c r="BH7" s="27"/>
      <c r="BI7" s="27"/>
      <c r="BJ7" s="27"/>
      <c r="BK7" s="27"/>
      <c r="BL7" s="27"/>
      <c r="BM7" s="27"/>
      <c r="BN7" s="27"/>
    </row>
    <row r="8" spans="2:66" ht="24.75" customHeight="1" thickBot="1">
      <c r="B8" s="2595"/>
      <c r="C8" s="2596"/>
      <c r="D8" s="2599"/>
      <c r="E8" s="2566"/>
      <c r="F8" s="2566"/>
      <c r="G8" s="1686"/>
      <c r="H8" s="2574"/>
      <c r="I8" s="2574"/>
      <c r="J8" s="2574"/>
      <c r="K8" s="2564"/>
      <c r="L8" s="546"/>
      <c r="M8" s="546"/>
      <c r="N8" s="2584"/>
      <c r="O8" s="2610"/>
      <c r="P8" s="1863"/>
      <c r="Q8" s="1863"/>
      <c r="R8" s="2601"/>
      <c r="S8" s="2601"/>
      <c r="T8" s="757"/>
      <c r="U8" s="2574"/>
      <c r="V8" s="2602"/>
      <c r="W8" s="2589"/>
      <c r="AA8" s="1882"/>
      <c r="AB8" s="1863"/>
      <c r="AC8" s="1864"/>
      <c r="AD8" s="2611"/>
      <c r="AE8" s="2611"/>
      <c r="AF8" s="757"/>
      <c r="AG8" s="1864"/>
      <c r="AH8" s="2614"/>
      <c r="AJ8" s="1882"/>
      <c r="AK8" s="1863"/>
      <c r="AL8" s="1863"/>
      <c r="AM8" s="2601"/>
      <c r="AN8" s="2601"/>
      <c r="AO8" s="757"/>
      <c r="AP8" s="1863"/>
      <c r="AQ8" s="2617"/>
      <c r="BG8" s="27"/>
      <c r="BH8" s="27"/>
      <c r="BI8" s="27"/>
      <c r="BJ8" s="27"/>
      <c r="BK8" s="27"/>
      <c r="BL8" s="27"/>
      <c r="BM8" s="27"/>
      <c r="BN8" s="27"/>
    </row>
    <row r="9" spans="2:66" ht="15" customHeight="1" thickTop="1">
      <c r="B9" s="582" t="s">
        <v>724</v>
      </c>
      <c r="C9" s="1616" t="s">
        <v>1132</v>
      </c>
      <c r="D9" s="1617">
        <v>9.9999999999999996E-76</v>
      </c>
      <c r="E9" s="1618">
        <v>0</v>
      </c>
      <c r="F9" s="1619">
        <v>0</v>
      </c>
      <c r="G9" s="1619" t="s">
        <v>3</v>
      </c>
      <c r="H9" s="1612" t="s">
        <v>380</v>
      </c>
      <c r="I9" s="1612" t="s">
        <v>307</v>
      </c>
      <c r="J9" s="1615" t="s">
        <v>307</v>
      </c>
      <c r="K9" s="1628"/>
      <c r="L9" s="196"/>
      <c r="M9" s="196"/>
      <c r="N9" s="2585"/>
      <c r="O9" s="647" t="s">
        <v>69</v>
      </c>
      <c r="P9" s="881" t="s">
        <v>214</v>
      </c>
      <c r="Q9" s="583">
        <v>1.5</v>
      </c>
      <c r="R9" s="1645">
        <v>42</v>
      </c>
      <c r="S9" s="1645">
        <v>42</v>
      </c>
      <c r="T9" s="1646" t="s">
        <v>7</v>
      </c>
      <c r="U9" s="1647" t="s">
        <v>380</v>
      </c>
      <c r="V9" s="1647" t="s">
        <v>305</v>
      </c>
      <c r="W9" s="1648" t="s">
        <v>305</v>
      </c>
      <c r="AA9" s="647" t="s">
        <v>69</v>
      </c>
      <c r="AB9" s="881" t="s">
        <v>214</v>
      </c>
      <c r="AC9" s="583">
        <v>1.5</v>
      </c>
      <c r="AD9" s="884">
        <v>42</v>
      </c>
      <c r="AE9" s="884">
        <v>42</v>
      </c>
      <c r="AF9" s="848"/>
      <c r="AG9" s="584" t="s">
        <v>34</v>
      </c>
      <c r="AH9" s="579" t="s">
        <v>487</v>
      </c>
      <c r="AJ9" s="647" t="str">
        <f t="shared" ref="AJ9:AJ15" si="0">AA9</f>
        <v>NZS 3604</v>
      </c>
      <c r="AK9" s="881" t="str">
        <f t="shared" ref="AK9:AK15" si="1">AB9</f>
        <v>Masonry 0.75</v>
      </c>
      <c r="AL9" s="583">
        <f t="shared" ref="AL9:AL15" si="2">AC9</f>
        <v>1.5</v>
      </c>
      <c r="AM9" s="886">
        <f>AD9/20</f>
        <v>2.1</v>
      </c>
      <c r="AN9" s="886">
        <f t="shared" ref="AN9:AN15" si="3">AE9/20</f>
        <v>2.1</v>
      </c>
      <c r="AO9" s="854"/>
      <c r="AP9" s="584" t="s">
        <v>34</v>
      </c>
      <c r="AQ9" s="579" t="s">
        <v>487</v>
      </c>
      <c r="BG9" s="27"/>
      <c r="BH9" s="27"/>
      <c r="BI9" s="27"/>
      <c r="BJ9" s="27"/>
      <c r="BK9" s="27"/>
      <c r="BL9" s="27"/>
      <c r="BM9" s="27"/>
      <c r="BN9" s="27"/>
    </row>
    <row r="10" spans="2:66" ht="15" customHeight="1">
      <c r="B10" s="582" t="s">
        <v>724</v>
      </c>
      <c r="C10" s="1616" t="s">
        <v>1133</v>
      </c>
      <c r="D10" s="1617">
        <v>9.9999999999999996E-76</v>
      </c>
      <c r="E10" s="1618">
        <v>0</v>
      </c>
      <c r="F10" s="1619">
        <v>0</v>
      </c>
      <c r="G10" s="1619" t="s">
        <v>3</v>
      </c>
      <c r="H10" s="1612" t="s">
        <v>380</v>
      </c>
      <c r="I10" s="1612" t="s">
        <v>307</v>
      </c>
      <c r="J10" s="1615" t="s">
        <v>307</v>
      </c>
      <c r="K10" s="1628"/>
      <c r="L10" s="196"/>
      <c r="M10" s="196"/>
      <c r="N10" s="2585"/>
      <c r="O10" s="648" t="s">
        <v>69</v>
      </c>
      <c r="P10" s="1649" t="s">
        <v>215</v>
      </c>
      <c r="Q10" s="1650">
        <v>1.5</v>
      </c>
      <c r="R10" s="1651">
        <v>100</v>
      </c>
      <c r="S10" s="1651">
        <v>100</v>
      </c>
      <c r="T10" s="1652" t="s">
        <v>7</v>
      </c>
      <c r="U10" s="1653" t="s">
        <v>380</v>
      </c>
      <c r="V10" s="1653" t="s">
        <v>305</v>
      </c>
      <c r="W10" s="1654" t="s">
        <v>305</v>
      </c>
      <c r="AA10" s="648" t="s">
        <v>69</v>
      </c>
      <c r="AB10" s="882" t="s">
        <v>215</v>
      </c>
      <c r="AC10" s="11">
        <v>1.5</v>
      </c>
      <c r="AD10" s="877">
        <v>100</v>
      </c>
      <c r="AE10" s="877">
        <v>100</v>
      </c>
      <c r="AF10" s="849"/>
      <c r="AG10" s="585" t="s">
        <v>34</v>
      </c>
      <c r="AH10" s="579" t="str">
        <f t="shared" ref="AH10:AH15" si="4">AH9</f>
        <v>NZS3604:2011  Systems</v>
      </c>
      <c r="AJ10" s="648" t="str">
        <f t="shared" si="0"/>
        <v>NZS 3604</v>
      </c>
      <c r="AK10" s="882" t="str">
        <f t="shared" si="1"/>
        <v>Masonry 1.5</v>
      </c>
      <c r="AL10" s="11">
        <f t="shared" si="2"/>
        <v>1.5</v>
      </c>
      <c r="AM10" s="887">
        <f t="shared" ref="AM10:AM15" si="5">AD10/20</f>
        <v>5</v>
      </c>
      <c r="AN10" s="887">
        <f t="shared" si="3"/>
        <v>5</v>
      </c>
      <c r="AO10" s="855"/>
      <c r="AP10" s="585" t="s">
        <v>34</v>
      </c>
      <c r="AQ10" s="579" t="str">
        <f t="shared" ref="AQ10:AQ15" si="6">AQ9</f>
        <v>NZS3604:2011  Systems</v>
      </c>
      <c r="BG10" s="27"/>
      <c r="BH10" s="27"/>
      <c r="BI10" s="27"/>
      <c r="BJ10" s="27"/>
      <c r="BK10" s="27"/>
      <c r="BL10" s="27"/>
      <c r="BM10" s="27"/>
      <c r="BN10" s="27"/>
    </row>
    <row r="11" spans="2:66" ht="15" customHeight="1">
      <c r="B11" s="582" t="s">
        <v>724</v>
      </c>
      <c r="C11" s="1616" t="s">
        <v>1134</v>
      </c>
      <c r="D11" s="1617">
        <v>9.9999999999999996E-76</v>
      </c>
      <c r="E11" s="1618">
        <v>0</v>
      </c>
      <c r="F11" s="1619">
        <v>0</v>
      </c>
      <c r="G11" s="1619" t="s">
        <v>3</v>
      </c>
      <c r="H11" s="1612" t="s">
        <v>380</v>
      </c>
      <c r="I11" s="1612" t="s">
        <v>307</v>
      </c>
      <c r="J11" s="1615" t="s">
        <v>307</v>
      </c>
      <c r="K11" s="1628"/>
      <c r="L11" s="196"/>
      <c r="M11" s="196"/>
      <c r="N11" s="2585"/>
      <c r="O11" s="648" t="s">
        <v>69</v>
      </c>
      <c r="P11" s="1649" t="s">
        <v>216</v>
      </c>
      <c r="Q11" s="1650">
        <v>1.5</v>
      </c>
      <c r="R11" s="1651">
        <v>200</v>
      </c>
      <c r="S11" s="1651">
        <v>200</v>
      </c>
      <c r="T11" s="1652" t="s">
        <v>7</v>
      </c>
      <c r="U11" s="1653" t="s">
        <v>380</v>
      </c>
      <c r="V11" s="1653" t="s">
        <v>305</v>
      </c>
      <c r="W11" s="1654" t="s">
        <v>305</v>
      </c>
      <c r="AA11" s="648" t="s">
        <v>69</v>
      </c>
      <c r="AB11" s="882" t="s">
        <v>216</v>
      </c>
      <c r="AC11" s="11">
        <v>1.5</v>
      </c>
      <c r="AD11" s="877">
        <v>200</v>
      </c>
      <c r="AE11" s="877">
        <v>200</v>
      </c>
      <c r="AF11" s="849"/>
      <c r="AG11" s="585" t="s">
        <v>34</v>
      </c>
      <c r="AH11" s="579" t="str">
        <f t="shared" si="4"/>
        <v>NZS3604:2011  Systems</v>
      </c>
      <c r="AJ11" s="648" t="str">
        <f t="shared" si="0"/>
        <v>NZS 3604</v>
      </c>
      <c r="AK11" s="882" t="str">
        <f t="shared" si="1"/>
        <v>Masonry 3.0</v>
      </c>
      <c r="AL11" s="11">
        <f t="shared" si="2"/>
        <v>1.5</v>
      </c>
      <c r="AM11" s="887">
        <f t="shared" si="5"/>
        <v>10</v>
      </c>
      <c r="AN11" s="887">
        <f t="shared" si="3"/>
        <v>10</v>
      </c>
      <c r="AO11" s="855"/>
      <c r="AP11" s="585" t="s">
        <v>34</v>
      </c>
      <c r="AQ11" s="579" t="str">
        <f t="shared" si="6"/>
        <v>NZS3604:2011  Systems</v>
      </c>
      <c r="BG11" s="27"/>
      <c r="BH11" s="27"/>
      <c r="BI11" s="27"/>
      <c r="BJ11" s="27"/>
      <c r="BK11" s="27"/>
      <c r="BL11" s="27"/>
      <c r="BM11" s="27"/>
      <c r="BN11" s="27"/>
    </row>
    <row r="12" spans="2:66" ht="15" customHeight="1">
      <c r="B12" s="582" t="s">
        <v>724</v>
      </c>
      <c r="C12" s="1616" t="s">
        <v>1135</v>
      </c>
      <c r="D12" s="1617">
        <v>9.9999999999999996E-76</v>
      </c>
      <c r="E12" s="1618">
        <v>0</v>
      </c>
      <c r="F12" s="1619">
        <v>0</v>
      </c>
      <c r="G12" s="1619" t="s">
        <v>3</v>
      </c>
      <c r="H12" s="1612" t="s">
        <v>380</v>
      </c>
      <c r="I12" s="1612" t="s">
        <v>307</v>
      </c>
      <c r="J12" s="1615" t="s">
        <v>307</v>
      </c>
      <c r="K12" s="1628"/>
      <c r="L12" s="196"/>
      <c r="M12" s="1199" t="s">
        <v>996</v>
      </c>
      <c r="N12" s="2585"/>
      <c r="O12" s="648" t="s">
        <v>69</v>
      </c>
      <c r="P12" s="1649" t="s">
        <v>217</v>
      </c>
      <c r="Q12" s="1650">
        <v>1.5</v>
      </c>
      <c r="R12" s="1651">
        <v>300</v>
      </c>
      <c r="S12" s="1651">
        <v>300</v>
      </c>
      <c r="T12" s="1652" t="s">
        <v>7</v>
      </c>
      <c r="U12" s="1653" t="s">
        <v>380</v>
      </c>
      <c r="V12" s="1653" t="s">
        <v>305</v>
      </c>
      <c r="W12" s="1654" t="s">
        <v>305</v>
      </c>
      <c r="AA12" s="648" t="s">
        <v>69</v>
      </c>
      <c r="AB12" s="882" t="s">
        <v>217</v>
      </c>
      <c r="AC12" s="11">
        <v>1.5</v>
      </c>
      <c r="AD12" s="877">
        <v>300</v>
      </c>
      <c r="AE12" s="877">
        <v>300</v>
      </c>
      <c r="AF12" s="849"/>
      <c r="AG12" s="585" t="s">
        <v>34</v>
      </c>
      <c r="AH12" s="579" t="str">
        <f t="shared" si="4"/>
        <v>NZS3604:2011  Systems</v>
      </c>
      <c r="AJ12" s="648" t="str">
        <f t="shared" si="0"/>
        <v>NZS 3604</v>
      </c>
      <c r="AK12" s="882" t="str">
        <f t="shared" si="1"/>
        <v>Masonry 4.5</v>
      </c>
      <c r="AL12" s="11">
        <f t="shared" si="2"/>
        <v>1.5</v>
      </c>
      <c r="AM12" s="887">
        <f t="shared" si="5"/>
        <v>15</v>
      </c>
      <c r="AN12" s="887">
        <f t="shared" si="3"/>
        <v>15</v>
      </c>
      <c r="AO12" s="855"/>
      <c r="AP12" s="585" t="s">
        <v>34</v>
      </c>
      <c r="AQ12" s="579" t="str">
        <f t="shared" si="6"/>
        <v>NZS3604:2011  Systems</v>
      </c>
      <c r="BG12" s="27"/>
      <c r="BH12" s="27"/>
      <c r="BI12" s="27"/>
      <c r="BJ12" s="27"/>
      <c r="BK12" s="27"/>
      <c r="BL12" s="27"/>
      <c r="BM12" s="27"/>
      <c r="BN12" s="27"/>
    </row>
    <row r="13" spans="2:66" ht="15" customHeight="1">
      <c r="B13" s="582" t="s">
        <v>724</v>
      </c>
      <c r="C13" s="1616" t="s">
        <v>1136</v>
      </c>
      <c r="D13" s="1617">
        <v>9.9999999999999996E-76</v>
      </c>
      <c r="E13" s="1618">
        <v>0</v>
      </c>
      <c r="F13" s="1619">
        <v>0</v>
      </c>
      <c r="G13" s="1619" t="s">
        <v>3</v>
      </c>
      <c r="H13" s="1612" t="s">
        <v>380</v>
      </c>
      <c r="I13" s="1612" t="s">
        <v>307</v>
      </c>
      <c r="J13" s="1615" t="s">
        <v>307</v>
      </c>
      <c r="K13" s="1628"/>
      <c r="L13" s="196"/>
      <c r="M13" s="196"/>
      <c r="N13" s="2585"/>
      <c r="O13" s="648" t="s">
        <v>69</v>
      </c>
      <c r="P13" s="1649" t="s">
        <v>241</v>
      </c>
      <c r="Q13" s="1655">
        <v>1</v>
      </c>
      <c r="R13" s="1651">
        <v>160</v>
      </c>
      <c r="S13" s="1651">
        <v>120</v>
      </c>
      <c r="T13" s="1652" t="s">
        <v>3</v>
      </c>
      <c r="U13" s="1653" t="s">
        <v>380</v>
      </c>
      <c r="V13" s="1653" t="s">
        <v>305</v>
      </c>
      <c r="W13" s="1654" t="s">
        <v>305</v>
      </c>
      <c r="AA13" s="648" t="s">
        <v>69</v>
      </c>
      <c r="AB13" s="882" t="s">
        <v>241</v>
      </c>
      <c r="AC13" s="26">
        <v>1</v>
      </c>
      <c r="AD13" s="877">
        <v>160</v>
      </c>
      <c r="AE13" s="877">
        <v>120</v>
      </c>
      <c r="AF13" s="849"/>
      <c r="AG13" s="585" t="s">
        <v>34</v>
      </c>
      <c r="AH13" s="579" t="str">
        <f t="shared" si="4"/>
        <v>NZS3604:2011  Systems</v>
      </c>
      <c r="AJ13" s="648" t="str">
        <f t="shared" si="0"/>
        <v>NZS 3604</v>
      </c>
      <c r="AK13" s="882" t="str">
        <f t="shared" si="1"/>
        <v>Braced pile</v>
      </c>
      <c r="AL13" s="26">
        <f t="shared" si="2"/>
        <v>1</v>
      </c>
      <c r="AM13" s="887">
        <f t="shared" si="5"/>
        <v>8</v>
      </c>
      <c r="AN13" s="887">
        <f t="shared" si="3"/>
        <v>6</v>
      </c>
      <c r="AO13" s="855"/>
      <c r="AP13" s="585" t="s">
        <v>34</v>
      </c>
      <c r="AQ13" s="579" t="str">
        <f t="shared" si="6"/>
        <v>NZS3604:2011  Systems</v>
      </c>
      <c r="BG13" s="27"/>
      <c r="BH13" s="27"/>
      <c r="BI13" s="27"/>
      <c r="BJ13" s="27"/>
      <c r="BK13" s="27"/>
      <c r="BL13" s="27"/>
      <c r="BM13" s="27"/>
      <c r="BN13" s="27"/>
    </row>
    <row r="14" spans="2:66" ht="15" customHeight="1">
      <c r="B14" s="582" t="s">
        <v>724</v>
      </c>
      <c r="C14" s="1616" t="s">
        <v>1137</v>
      </c>
      <c r="D14" s="1617">
        <v>9.9999999999999996E-76</v>
      </c>
      <c r="E14" s="1618">
        <v>0</v>
      </c>
      <c r="F14" s="1619">
        <v>0</v>
      </c>
      <c r="G14" s="1619" t="s">
        <v>3</v>
      </c>
      <c r="H14" s="1612" t="s">
        <v>380</v>
      </c>
      <c r="I14" s="1612" t="s">
        <v>307</v>
      </c>
      <c r="J14" s="1615" t="s">
        <v>307</v>
      </c>
      <c r="K14" s="1628"/>
      <c r="L14" s="196"/>
      <c r="M14" s="196"/>
      <c r="N14" s="2585"/>
      <c r="O14" s="648" t="s">
        <v>69</v>
      </c>
      <c r="P14" s="1649" t="s">
        <v>232</v>
      </c>
      <c r="Q14" s="1655">
        <v>1</v>
      </c>
      <c r="R14" s="1651">
        <v>70</v>
      </c>
      <c r="S14" s="1651">
        <v>30</v>
      </c>
      <c r="T14" s="1652" t="s">
        <v>3</v>
      </c>
      <c r="U14" s="1653" t="s">
        <v>380</v>
      </c>
      <c r="V14" s="1653" t="s">
        <v>305</v>
      </c>
      <c r="W14" s="1654" t="s">
        <v>305</v>
      </c>
      <c r="AA14" s="648" t="s">
        <v>69</v>
      </c>
      <c r="AB14" s="882" t="s">
        <v>232</v>
      </c>
      <c r="AC14" s="26">
        <v>1</v>
      </c>
      <c r="AD14" s="877">
        <v>70</v>
      </c>
      <c r="AE14" s="877">
        <v>30</v>
      </c>
      <c r="AF14" s="849"/>
      <c r="AG14" s="585" t="s">
        <v>34</v>
      </c>
      <c r="AH14" s="579" t="str">
        <f t="shared" si="4"/>
        <v>NZS3604:2011  Systems</v>
      </c>
      <c r="AJ14" s="648" t="str">
        <f t="shared" si="0"/>
        <v>NZS 3604</v>
      </c>
      <c r="AK14" s="882" t="str">
        <f t="shared" si="1"/>
        <v>Cantilever pile</v>
      </c>
      <c r="AL14" s="26">
        <f t="shared" si="2"/>
        <v>1</v>
      </c>
      <c r="AM14" s="887">
        <f t="shared" si="5"/>
        <v>3.5</v>
      </c>
      <c r="AN14" s="887">
        <f t="shared" si="3"/>
        <v>1.5</v>
      </c>
      <c r="AO14" s="855"/>
      <c r="AP14" s="585" t="s">
        <v>34</v>
      </c>
      <c r="AQ14" s="579" t="str">
        <f t="shared" si="6"/>
        <v>NZS3604:2011  Systems</v>
      </c>
      <c r="BG14" s="27"/>
      <c r="BH14" s="27"/>
      <c r="BI14" s="27"/>
      <c r="BJ14" s="27"/>
      <c r="BK14" s="27"/>
      <c r="BL14" s="27"/>
      <c r="BM14" s="27"/>
      <c r="BN14" s="27"/>
    </row>
    <row r="15" spans="2:66" ht="15" customHeight="1" thickBot="1">
      <c r="B15" s="582" t="s">
        <v>724</v>
      </c>
      <c r="C15" s="1616" t="s">
        <v>1138</v>
      </c>
      <c r="D15" s="1617">
        <v>9.9999999999999996E-76</v>
      </c>
      <c r="E15" s="1618">
        <v>0</v>
      </c>
      <c r="F15" s="1619">
        <v>0</v>
      </c>
      <c r="G15" s="1619" t="s">
        <v>3</v>
      </c>
      <c r="H15" s="1612" t="s">
        <v>380</v>
      </c>
      <c r="I15" s="1612" t="s">
        <v>307</v>
      </c>
      <c r="J15" s="1615" t="s">
        <v>307</v>
      </c>
      <c r="K15" s="1628"/>
      <c r="L15" s="196"/>
      <c r="M15" s="196"/>
      <c r="N15" s="2586"/>
      <c r="O15" s="649" t="s">
        <v>69</v>
      </c>
      <c r="P15" s="883" t="s">
        <v>233</v>
      </c>
      <c r="Q15" s="586">
        <v>1</v>
      </c>
      <c r="R15" s="1656">
        <v>160</v>
      </c>
      <c r="S15" s="1656">
        <v>120</v>
      </c>
      <c r="T15" s="1657" t="s">
        <v>3</v>
      </c>
      <c r="U15" s="1658" t="s">
        <v>380</v>
      </c>
      <c r="V15" s="1658" t="s">
        <v>305</v>
      </c>
      <c r="W15" s="1659" t="s">
        <v>305</v>
      </c>
      <c r="AA15" s="649" t="s">
        <v>69</v>
      </c>
      <c r="AB15" s="883" t="s">
        <v>233</v>
      </c>
      <c r="AC15" s="586">
        <v>1</v>
      </c>
      <c r="AD15" s="885">
        <v>160</v>
      </c>
      <c r="AE15" s="885">
        <v>120</v>
      </c>
      <c r="AF15" s="850"/>
      <c r="AG15" s="587" t="s">
        <v>34</v>
      </c>
      <c r="AH15" s="580" t="str">
        <f t="shared" si="4"/>
        <v>NZS3604:2011  Systems</v>
      </c>
      <c r="AJ15" s="649" t="str">
        <f t="shared" si="0"/>
        <v>NZS 3604</v>
      </c>
      <c r="AK15" s="883" t="str">
        <f t="shared" si="1"/>
        <v>Anchor pile</v>
      </c>
      <c r="AL15" s="586">
        <f t="shared" si="2"/>
        <v>1</v>
      </c>
      <c r="AM15" s="888">
        <f t="shared" si="5"/>
        <v>8</v>
      </c>
      <c r="AN15" s="888">
        <f t="shared" si="3"/>
        <v>6</v>
      </c>
      <c r="AO15" s="856"/>
      <c r="AP15" s="587" t="s">
        <v>34</v>
      </c>
      <c r="AQ15" s="580" t="str">
        <f t="shared" si="6"/>
        <v>NZS3604:2011  Systems</v>
      </c>
      <c r="BG15" s="27"/>
      <c r="BH15" s="27"/>
      <c r="BI15" s="27"/>
      <c r="BJ15" s="27"/>
      <c r="BK15" s="27"/>
      <c r="BL15" s="27"/>
      <c r="BM15" s="27"/>
      <c r="BN15" s="27"/>
    </row>
    <row r="16" spans="2:66" ht="15" customHeight="1">
      <c r="B16" s="582" t="s">
        <v>724</v>
      </c>
      <c r="C16" s="1616" t="s">
        <v>1139</v>
      </c>
      <c r="D16" s="1617">
        <v>9.9999999999999996E-76</v>
      </c>
      <c r="E16" s="1618">
        <v>0</v>
      </c>
      <c r="F16" s="1619">
        <v>0</v>
      </c>
      <c r="G16" s="1619" t="s">
        <v>3</v>
      </c>
      <c r="H16" s="1612" t="s">
        <v>380</v>
      </c>
      <c r="I16" s="1612" t="s">
        <v>307</v>
      </c>
      <c r="J16" s="1615" t="s">
        <v>307</v>
      </c>
      <c r="K16" s="1628"/>
      <c r="L16" s="196"/>
      <c r="M16" s="196"/>
      <c r="BG16" s="27"/>
      <c r="BH16" s="27"/>
      <c r="BI16" s="27"/>
      <c r="BJ16" s="27"/>
      <c r="BK16" s="27"/>
      <c r="BL16" s="27"/>
      <c r="BM16" s="27"/>
      <c r="BN16" s="27"/>
    </row>
    <row r="17" spans="2:66" ht="15" customHeight="1" thickBot="1">
      <c r="B17" s="582" t="s">
        <v>724</v>
      </c>
      <c r="C17" s="1616" t="s">
        <v>1112</v>
      </c>
      <c r="D17" s="1617">
        <v>9.9999999999999996E-76</v>
      </c>
      <c r="E17" s="1618">
        <v>0</v>
      </c>
      <c r="F17" s="1619">
        <v>0</v>
      </c>
      <c r="G17" s="1619" t="s">
        <v>3</v>
      </c>
      <c r="H17" s="1612" t="s">
        <v>380</v>
      </c>
      <c r="I17" s="1612" t="s">
        <v>307</v>
      </c>
      <c r="J17" s="1615" t="s">
        <v>307</v>
      </c>
      <c r="K17" s="1628"/>
      <c r="L17" s="196"/>
      <c r="M17" s="196"/>
      <c r="BG17" s="27"/>
      <c r="BH17" s="27"/>
      <c r="BI17" s="27"/>
      <c r="BJ17" s="27"/>
      <c r="BK17" s="27"/>
      <c r="BL17" s="27"/>
      <c r="BM17" s="27"/>
      <c r="BN17" s="27"/>
    </row>
    <row r="18" spans="2:66" ht="15" customHeight="1" thickBot="1">
      <c r="B18" s="582" t="s">
        <v>724</v>
      </c>
      <c r="C18" s="1616" t="s">
        <v>55</v>
      </c>
      <c r="D18" s="1617">
        <v>9.9999999999999996E-76</v>
      </c>
      <c r="E18" s="1618">
        <v>0</v>
      </c>
      <c r="F18" s="1619">
        <v>0</v>
      </c>
      <c r="G18" s="1619" t="s">
        <v>3</v>
      </c>
      <c r="H18" s="1612" t="s">
        <v>380</v>
      </c>
      <c r="I18" s="1612" t="s">
        <v>307</v>
      </c>
      <c r="J18" s="1615" t="s">
        <v>307</v>
      </c>
      <c r="K18" s="1628"/>
      <c r="L18" s="196"/>
      <c r="M18" s="196"/>
      <c r="O18" s="2581" t="s">
        <v>754</v>
      </c>
      <c r="P18" s="2608"/>
      <c r="Q18" s="2561" t="str">
        <f>AC18</f>
        <v>NZS3604:2011 Compliant</v>
      </c>
      <c r="R18" s="2562"/>
      <c r="S18" s="2562"/>
      <c r="T18" s="2562"/>
      <c r="U18" s="2562"/>
      <c r="V18" s="2562"/>
      <c r="W18" s="2563"/>
      <c r="AA18" s="2581" t="s">
        <v>754</v>
      </c>
      <c r="AB18" s="2608"/>
      <c r="AC18" s="2561" t="s">
        <v>484</v>
      </c>
      <c r="AD18" s="2562"/>
      <c r="AE18" s="2562"/>
      <c r="AF18" s="2562"/>
      <c r="AG18" s="2562"/>
      <c r="AH18" s="2563"/>
      <c r="AJ18" s="2581" t="s">
        <v>754</v>
      </c>
      <c r="AK18" s="2608"/>
      <c r="AL18" s="2561" t="s">
        <v>484</v>
      </c>
      <c r="AM18" s="2562"/>
      <c r="AN18" s="2562"/>
      <c r="AO18" s="2562"/>
      <c r="AP18" s="2562"/>
      <c r="AQ18" s="2563"/>
      <c r="BG18" s="27"/>
      <c r="BH18" s="27"/>
      <c r="BI18" s="27"/>
      <c r="BJ18" s="27"/>
      <c r="BK18" s="27"/>
      <c r="BL18" s="27"/>
      <c r="BM18" s="27"/>
      <c r="BN18" s="27"/>
    </row>
    <row r="19" spans="2:66" ht="15" customHeight="1">
      <c r="B19" s="582" t="s">
        <v>724</v>
      </c>
      <c r="C19" s="1616" t="s">
        <v>56</v>
      </c>
      <c r="D19" s="1617">
        <v>9.9999999999999996E-76</v>
      </c>
      <c r="E19" s="1618">
        <v>0</v>
      </c>
      <c r="F19" s="1619">
        <v>0</v>
      </c>
      <c r="G19" s="1619" t="s">
        <v>3</v>
      </c>
      <c r="H19" s="1612" t="s">
        <v>380</v>
      </c>
      <c r="I19" s="1612" t="s">
        <v>307</v>
      </c>
      <c r="J19" s="1615" t="s">
        <v>307</v>
      </c>
      <c r="K19" s="1628"/>
      <c r="L19" s="196"/>
      <c r="M19" s="196"/>
      <c r="N19" s="2583" t="s">
        <v>980</v>
      </c>
      <c r="O19" s="2606" t="s">
        <v>49</v>
      </c>
      <c r="P19" s="2572" t="s">
        <v>737</v>
      </c>
      <c r="Q19" s="1862" t="s">
        <v>243</v>
      </c>
      <c r="R19" s="2565" t="str">
        <f>IF($AA$2=1,AD19,AM19)</f>
        <v>BU's/m   Wind</v>
      </c>
      <c r="S19" s="2565" t="str">
        <f>IF($AA$2=1,AE19,AN19)</f>
        <v>BU's/m   EQ</v>
      </c>
      <c r="T19" s="756"/>
      <c r="U19" s="2603" t="s">
        <v>1116</v>
      </c>
      <c r="V19" s="2572" t="s">
        <v>1100</v>
      </c>
      <c r="W19" s="2587" t="s">
        <v>1101</v>
      </c>
      <c r="AA19" s="2184" t="s">
        <v>49</v>
      </c>
      <c r="AB19" s="1862" t="s">
        <v>737</v>
      </c>
      <c r="AC19" s="1862" t="s">
        <v>243</v>
      </c>
      <c r="AD19" s="2565" t="s">
        <v>270</v>
      </c>
      <c r="AE19" s="2565" t="s">
        <v>271</v>
      </c>
      <c r="AF19" s="756"/>
      <c r="AG19" s="1862" t="s">
        <v>272</v>
      </c>
      <c r="AH19" s="2612" t="s">
        <v>746</v>
      </c>
      <c r="AJ19" s="2184" t="s">
        <v>49</v>
      </c>
      <c r="AK19" s="1862" t="s">
        <v>737</v>
      </c>
      <c r="AL19" s="1862" t="s">
        <v>243</v>
      </c>
      <c r="AM19" s="2565" t="s">
        <v>837</v>
      </c>
      <c r="AN19" s="2565" t="s">
        <v>838</v>
      </c>
      <c r="AO19" s="756"/>
      <c r="AP19" s="1862" t="s">
        <v>272</v>
      </c>
      <c r="AQ19" s="2612" t="s">
        <v>746</v>
      </c>
      <c r="BG19" s="27"/>
      <c r="BH19" s="27"/>
      <c r="BI19" s="27"/>
      <c r="BJ19" s="27"/>
      <c r="BK19" s="27"/>
      <c r="BL19" s="27"/>
      <c r="BM19" s="27"/>
      <c r="BN19" s="27"/>
    </row>
    <row r="20" spans="2:66" ht="15" customHeight="1">
      <c r="B20" s="582" t="s">
        <v>724</v>
      </c>
      <c r="C20" s="1616" t="s">
        <v>57</v>
      </c>
      <c r="D20" s="1617">
        <v>9.9999999999999996E-76</v>
      </c>
      <c r="E20" s="1618">
        <v>0</v>
      </c>
      <c r="F20" s="1619">
        <v>0</v>
      </c>
      <c r="G20" s="1619" t="s">
        <v>3</v>
      </c>
      <c r="H20" s="1612" t="s">
        <v>380</v>
      </c>
      <c r="I20" s="1612" t="s">
        <v>307</v>
      </c>
      <c r="J20" s="1615" t="s">
        <v>307</v>
      </c>
      <c r="K20" s="1628"/>
      <c r="L20" s="196"/>
      <c r="M20" s="196"/>
      <c r="N20" s="2590"/>
      <c r="O20" s="2607"/>
      <c r="P20" s="2573"/>
      <c r="Q20" s="1863"/>
      <c r="R20" s="2252"/>
      <c r="S20" s="2252"/>
      <c r="T20" s="757"/>
      <c r="U20" s="2604"/>
      <c r="V20" s="2573"/>
      <c r="W20" s="2588"/>
      <c r="X20" s="34"/>
      <c r="Y20" s="34"/>
      <c r="Z20" s="34"/>
      <c r="AA20" s="2185"/>
      <c r="AB20" s="1863"/>
      <c r="AC20" s="1863"/>
      <c r="AD20" s="2252"/>
      <c r="AE20" s="2252"/>
      <c r="AF20" s="757"/>
      <c r="AG20" s="1863"/>
      <c r="AH20" s="2613"/>
      <c r="AJ20" s="2185"/>
      <c r="AK20" s="1863"/>
      <c r="AL20" s="1863"/>
      <c r="AM20" s="2252"/>
      <c r="AN20" s="2252"/>
      <c r="AO20" s="757"/>
      <c r="AP20" s="1863"/>
      <c r="AQ20" s="2613"/>
      <c r="BG20" s="27"/>
      <c r="BH20" s="27"/>
      <c r="BI20" s="27"/>
      <c r="BJ20" s="27"/>
      <c r="BK20" s="27"/>
      <c r="BL20" s="27"/>
      <c r="BM20" s="27"/>
      <c r="BN20" s="27"/>
    </row>
    <row r="21" spans="2:66" ht="15" customHeight="1" thickBot="1">
      <c r="B21" s="582" t="s">
        <v>724</v>
      </c>
      <c r="C21" s="1616" t="s">
        <v>58</v>
      </c>
      <c r="D21" s="1617">
        <v>9.9999999999999996E-76</v>
      </c>
      <c r="E21" s="1618">
        <v>0</v>
      </c>
      <c r="F21" s="1619">
        <v>0</v>
      </c>
      <c r="G21" s="1619" t="s">
        <v>3</v>
      </c>
      <c r="H21" s="1612" t="s">
        <v>380</v>
      </c>
      <c r="I21" s="1612" t="s">
        <v>307</v>
      </c>
      <c r="J21" s="1615" t="s">
        <v>307</v>
      </c>
      <c r="K21" s="1628"/>
      <c r="L21" s="196"/>
      <c r="M21" s="196"/>
      <c r="N21" s="2590"/>
      <c r="O21" s="2607"/>
      <c r="P21" s="2573"/>
      <c r="Q21" s="1863"/>
      <c r="R21" s="2252"/>
      <c r="S21" s="2252"/>
      <c r="T21" s="757"/>
      <c r="U21" s="2605"/>
      <c r="V21" s="2573"/>
      <c r="W21" s="2588"/>
      <c r="X21" s="453"/>
      <c r="Y21" s="453"/>
      <c r="Z21" s="453"/>
      <c r="AA21" s="2615"/>
      <c r="AB21" s="1864"/>
      <c r="AC21" s="1864"/>
      <c r="AD21" s="2611"/>
      <c r="AE21" s="2611"/>
      <c r="AF21" s="757"/>
      <c r="AG21" s="1864"/>
      <c r="AH21" s="2616"/>
      <c r="AJ21" s="2615"/>
      <c r="AK21" s="1864"/>
      <c r="AL21" s="1864"/>
      <c r="AM21" s="2611"/>
      <c r="AN21" s="2611"/>
      <c r="AO21" s="757"/>
      <c r="AP21" s="1864"/>
      <c r="AQ21" s="2616"/>
      <c r="BG21" s="27"/>
      <c r="BH21" s="27"/>
      <c r="BI21" s="27"/>
      <c r="BJ21" s="27"/>
      <c r="BK21" s="27"/>
      <c r="BL21" s="27"/>
      <c r="BM21" s="27"/>
      <c r="BN21" s="27"/>
    </row>
    <row r="22" spans="2:66" ht="15" customHeight="1" thickTop="1">
      <c r="B22" s="582" t="s">
        <v>724</v>
      </c>
      <c r="C22" s="1616" t="s">
        <v>59</v>
      </c>
      <c r="D22" s="1617">
        <v>9.9999999999999996E-76</v>
      </c>
      <c r="E22" s="1618">
        <v>0</v>
      </c>
      <c r="F22" s="1619">
        <v>0</v>
      </c>
      <c r="G22" s="1619" t="s">
        <v>3</v>
      </c>
      <c r="H22" s="1612" t="s">
        <v>380</v>
      </c>
      <c r="I22" s="1612" t="s">
        <v>307</v>
      </c>
      <c r="J22" s="1615" t="s">
        <v>307</v>
      </c>
      <c r="K22" s="1628"/>
      <c r="L22" s="196"/>
      <c r="M22" s="196"/>
      <c r="N22" s="2591"/>
      <c r="O22" s="1660" t="s">
        <v>750</v>
      </c>
      <c r="P22" s="1661" t="s">
        <v>975</v>
      </c>
      <c r="Q22" s="1662">
        <v>0.4</v>
      </c>
      <c r="R22" s="1663">
        <v>65</v>
      </c>
      <c r="S22" s="1663">
        <v>60</v>
      </c>
      <c r="T22" s="1664" t="s">
        <v>3</v>
      </c>
      <c r="U22" s="1665" t="s">
        <v>380</v>
      </c>
      <c r="V22" s="1665" t="s">
        <v>307</v>
      </c>
      <c r="W22" s="1666" t="s">
        <v>307</v>
      </c>
      <c r="X22" s="453"/>
      <c r="Y22" s="453"/>
      <c r="Z22" s="453"/>
      <c r="AA22" s="644" t="s">
        <v>750</v>
      </c>
      <c r="AB22" s="588" t="s">
        <v>738</v>
      </c>
      <c r="AC22" s="679">
        <v>0.4</v>
      </c>
      <c r="AD22" s="680">
        <v>65</v>
      </c>
      <c r="AE22" s="680">
        <v>60</v>
      </c>
      <c r="AF22" s="851"/>
      <c r="AG22" s="589" t="s">
        <v>231</v>
      </c>
      <c r="AH22" s="545" t="str">
        <f t="shared" ref="AH22:AH29" si="7">IF(AG22="T","Performance based on 2.4m Height",IF(AG22="E","Engineered System"," 'T' or  'E'  !!!"))</f>
        <v>Performance based on 2.4m Height</v>
      </c>
      <c r="AJ22" s="644" t="s">
        <v>750</v>
      </c>
      <c r="AK22" s="588" t="s">
        <v>738</v>
      </c>
      <c r="AL22" s="679">
        <v>0.4</v>
      </c>
      <c r="AM22" s="729">
        <f t="shared" ref="AM22:AM29" si="8">AD22/20</f>
        <v>3.25</v>
      </c>
      <c r="AN22" s="729">
        <f t="shared" ref="AN22:AN29" si="9">AE22/20</f>
        <v>3</v>
      </c>
      <c r="AO22" s="857"/>
      <c r="AP22" s="589" t="s">
        <v>231</v>
      </c>
      <c r="AQ22" s="545" t="str">
        <f t="shared" ref="AQ22:AQ29" si="10">IF(AP22="T","Performance based on 2.4m Height",IF(AP22="E","Engineered System"," 'T' or  'E'  !!!"))</f>
        <v>Performance based on 2.4m Height</v>
      </c>
      <c r="BG22" s="27"/>
      <c r="BH22" s="27"/>
      <c r="BI22" s="27"/>
      <c r="BJ22" s="27"/>
      <c r="BK22" s="27"/>
      <c r="BL22" s="27"/>
      <c r="BM22" s="27"/>
      <c r="BN22" s="27"/>
    </row>
    <row r="23" spans="2:66" ht="15" customHeight="1">
      <c r="B23" s="582" t="s">
        <v>724</v>
      </c>
      <c r="C23" s="1616" t="s">
        <v>951</v>
      </c>
      <c r="D23" s="1617">
        <v>9.9999999999999996E-76</v>
      </c>
      <c r="E23" s="1618">
        <v>0</v>
      </c>
      <c r="F23" s="1619">
        <v>0</v>
      </c>
      <c r="G23" s="1619" t="s">
        <v>3</v>
      </c>
      <c r="H23" s="1612" t="s">
        <v>380</v>
      </c>
      <c r="I23" s="1612" t="s">
        <v>307</v>
      </c>
      <c r="J23" s="1615" t="s">
        <v>307</v>
      </c>
      <c r="K23" s="1628"/>
      <c r="N23" s="2591"/>
      <c r="O23" s="1667" t="str">
        <f t="shared" ref="O23:O29" si="11">O22</f>
        <v xml:space="preserve">EPB on Steel </v>
      </c>
      <c r="P23" s="1668" t="s">
        <v>976</v>
      </c>
      <c r="Q23" s="1669">
        <v>1.2</v>
      </c>
      <c r="R23" s="1670">
        <v>80</v>
      </c>
      <c r="S23" s="1670">
        <v>60</v>
      </c>
      <c r="T23" s="1671" t="s">
        <v>3</v>
      </c>
      <c r="U23" s="1653" t="s">
        <v>380</v>
      </c>
      <c r="V23" s="1653" t="s">
        <v>307</v>
      </c>
      <c r="W23" s="1672" t="s">
        <v>307</v>
      </c>
      <c r="X23" s="453"/>
      <c r="Y23" s="453"/>
      <c r="Z23" s="453"/>
      <c r="AA23" s="645" t="str">
        <f t="shared" ref="AA23:AA29" si="12">AA22</f>
        <v xml:space="preserve">EPB on Steel </v>
      </c>
      <c r="AB23" s="544" t="s">
        <v>739</v>
      </c>
      <c r="AC23" s="677">
        <v>1.2</v>
      </c>
      <c r="AD23" s="678">
        <v>80</v>
      </c>
      <c r="AE23" s="678">
        <v>60</v>
      </c>
      <c r="AF23" s="852"/>
      <c r="AG23" s="590" t="s">
        <v>231</v>
      </c>
      <c r="AH23" s="185" t="str">
        <f t="shared" si="7"/>
        <v>Performance based on 2.4m Height</v>
      </c>
      <c r="AJ23" s="645" t="str">
        <f t="shared" ref="AJ23:AJ29" si="13">AJ22</f>
        <v xml:space="preserve">EPB on Steel </v>
      </c>
      <c r="AK23" s="544" t="s">
        <v>739</v>
      </c>
      <c r="AL23" s="677">
        <v>1.2</v>
      </c>
      <c r="AM23" s="730">
        <f t="shared" si="8"/>
        <v>4</v>
      </c>
      <c r="AN23" s="730">
        <f t="shared" si="9"/>
        <v>3</v>
      </c>
      <c r="AO23" s="858"/>
      <c r="AP23" s="590" t="s">
        <v>231</v>
      </c>
      <c r="AQ23" s="185" t="str">
        <f t="shared" si="10"/>
        <v>Performance based on 2.4m Height</v>
      </c>
      <c r="BG23" s="27"/>
      <c r="BH23" s="27"/>
      <c r="BI23" s="27"/>
      <c r="BJ23" s="27"/>
      <c r="BK23" s="27"/>
      <c r="BL23" s="27"/>
      <c r="BM23" s="27"/>
      <c r="BN23" s="27"/>
    </row>
    <row r="24" spans="2:66" ht="15" customHeight="1">
      <c r="B24" s="582" t="s">
        <v>724</v>
      </c>
      <c r="C24" s="1616" t="s">
        <v>952</v>
      </c>
      <c r="D24" s="1617">
        <v>9.9999999999999996E-76</v>
      </c>
      <c r="E24" s="1618">
        <v>0</v>
      </c>
      <c r="F24" s="1619">
        <v>0</v>
      </c>
      <c r="G24" s="1619" t="s">
        <v>3</v>
      </c>
      <c r="H24" s="1612" t="s">
        <v>380</v>
      </c>
      <c r="I24" s="1612" t="s">
        <v>307</v>
      </c>
      <c r="J24" s="1615" t="s">
        <v>307</v>
      </c>
      <c r="K24" s="1628"/>
      <c r="M24" s="1199" t="s">
        <v>996</v>
      </c>
      <c r="N24" s="2591"/>
      <c r="O24" s="1673" t="str">
        <f t="shared" si="11"/>
        <v xml:space="preserve">EPB on Steel </v>
      </c>
      <c r="P24" s="1674" t="s">
        <v>978</v>
      </c>
      <c r="Q24" s="1675">
        <v>0.4</v>
      </c>
      <c r="R24" s="1676">
        <v>80</v>
      </c>
      <c r="S24" s="1676">
        <v>80</v>
      </c>
      <c r="T24" s="1677" t="s">
        <v>3</v>
      </c>
      <c r="U24" s="1653" t="s">
        <v>380</v>
      </c>
      <c r="V24" s="1653" t="s">
        <v>307</v>
      </c>
      <c r="W24" s="1672" t="s">
        <v>307</v>
      </c>
      <c r="X24" s="453"/>
      <c r="Y24" s="453"/>
      <c r="Z24" s="453"/>
      <c r="AA24" s="645" t="str">
        <f t="shared" si="12"/>
        <v xml:space="preserve">EPB on Steel </v>
      </c>
      <c r="AB24" s="544" t="s">
        <v>742</v>
      </c>
      <c r="AC24" s="677">
        <v>0.4</v>
      </c>
      <c r="AD24" s="678">
        <v>80</v>
      </c>
      <c r="AE24" s="678">
        <v>80</v>
      </c>
      <c r="AF24" s="852"/>
      <c r="AG24" s="590" t="s">
        <v>231</v>
      </c>
      <c r="AH24" s="185" t="str">
        <f t="shared" si="7"/>
        <v>Performance based on 2.4m Height</v>
      </c>
      <c r="AJ24" s="645" t="str">
        <f t="shared" si="13"/>
        <v xml:space="preserve">EPB on Steel </v>
      </c>
      <c r="AK24" s="544" t="s">
        <v>742</v>
      </c>
      <c r="AL24" s="677">
        <v>0.4</v>
      </c>
      <c r="AM24" s="730">
        <f t="shared" si="8"/>
        <v>4</v>
      </c>
      <c r="AN24" s="730">
        <f t="shared" si="9"/>
        <v>4</v>
      </c>
      <c r="AO24" s="858"/>
      <c r="AP24" s="590" t="s">
        <v>231</v>
      </c>
      <c r="AQ24" s="185" t="str">
        <f t="shared" si="10"/>
        <v>Performance based on 2.4m Height</v>
      </c>
      <c r="BG24" s="27"/>
      <c r="BH24" s="27"/>
      <c r="BI24" s="27"/>
      <c r="BJ24" s="27"/>
      <c r="BK24" s="27"/>
      <c r="BL24" s="27"/>
      <c r="BM24" s="27"/>
      <c r="BN24" s="27"/>
    </row>
    <row r="25" spans="2:66" ht="15" customHeight="1">
      <c r="B25" s="582" t="s">
        <v>724</v>
      </c>
      <c r="C25" s="1616" t="s">
        <v>953</v>
      </c>
      <c r="D25" s="1617">
        <v>9.9999999999999996E-76</v>
      </c>
      <c r="E25" s="1618">
        <v>0</v>
      </c>
      <c r="F25" s="1619">
        <v>0</v>
      </c>
      <c r="G25" s="1619" t="s">
        <v>3</v>
      </c>
      <c r="H25" s="1612" t="s">
        <v>380</v>
      </c>
      <c r="I25" s="1612" t="s">
        <v>307</v>
      </c>
      <c r="J25" s="1615" t="s">
        <v>307</v>
      </c>
      <c r="K25" s="1628"/>
      <c r="N25" s="2591"/>
      <c r="O25" s="1667" t="str">
        <f t="shared" si="11"/>
        <v xml:space="preserve">EPB on Steel </v>
      </c>
      <c r="P25" s="1668" t="s">
        <v>977</v>
      </c>
      <c r="Q25" s="1669">
        <v>1.2</v>
      </c>
      <c r="R25" s="1670">
        <v>100</v>
      </c>
      <c r="S25" s="1670">
        <v>80</v>
      </c>
      <c r="T25" s="1671" t="s">
        <v>3</v>
      </c>
      <c r="U25" s="1653" t="s">
        <v>380</v>
      </c>
      <c r="V25" s="1653" t="s">
        <v>307</v>
      </c>
      <c r="W25" s="1672" t="s">
        <v>307</v>
      </c>
      <c r="X25" s="453"/>
      <c r="Y25" s="453"/>
      <c r="Z25" s="453"/>
      <c r="AA25" s="645" t="str">
        <f t="shared" si="12"/>
        <v xml:space="preserve">EPB on Steel </v>
      </c>
      <c r="AB25" s="544" t="s">
        <v>743</v>
      </c>
      <c r="AC25" s="677">
        <v>1.2</v>
      </c>
      <c r="AD25" s="678">
        <v>100</v>
      </c>
      <c r="AE25" s="678">
        <v>80</v>
      </c>
      <c r="AF25" s="852"/>
      <c r="AG25" s="590" t="s">
        <v>231</v>
      </c>
      <c r="AH25" s="185" t="str">
        <f t="shared" si="7"/>
        <v>Performance based on 2.4m Height</v>
      </c>
      <c r="AJ25" s="645" t="str">
        <f t="shared" si="13"/>
        <v xml:space="preserve">EPB on Steel </v>
      </c>
      <c r="AK25" s="544" t="s">
        <v>743</v>
      </c>
      <c r="AL25" s="677">
        <v>1.2</v>
      </c>
      <c r="AM25" s="730">
        <f t="shared" si="8"/>
        <v>5</v>
      </c>
      <c r="AN25" s="730">
        <f t="shared" si="9"/>
        <v>4</v>
      </c>
      <c r="AO25" s="858"/>
      <c r="AP25" s="590" t="s">
        <v>231</v>
      </c>
      <c r="AQ25" s="185" t="str">
        <f t="shared" si="10"/>
        <v>Performance based on 2.4m Height</v>
      </c>
      <c r="BG25" s="27"/>
      <c r="BH25" s="27"/>
      <c r="BI25" s="27"/>
      <c r="BJ25" s="27"/>
      <c r="BK25" s="27"/>
      <c r="BL25" s="27"/>
      <c r="BM25" s="27"/>
      <c r="BN25" s="27"/>
    </row>
    <row r="26" spans="2:66" ht="15" customHeight="1">
      <c r="B26" s="582" t="s">
        <v>724</v>
      </c>
      <c r="C26" s="1616" t="s">
        <v>954</v>
      </c>
      <c r="D26" s="1617">
        <v>9.9999999999999996E-76</v>
      </c>
      <c r="E26" s="1618">
        <v>0</v>
      </c>
      <c r="F26" s="1619">
        <v>0</v>
      </c>
      <c r="G26" s="1619" t="s">
        <v>3</v>
      </c>
      <c r="H26" s="1612" t="s">
        <v>380</v>
      </c>
      <c r="I26" s="1612" t="s">
        <v>307</v>
      </c>
      <c r="J26" s="1615" t="s">
        <v>307</v>
      </c>
      <c r="K26" s="1628"/>
      <c r="N26" s="2591"/>
      <c r="O26" s="1673" t="str">
        <f t="shared" si="11"/>
        <v xml:space="preserve">EPB on Steel </v>
      </c>
      <c r="P26" s="1674" t="s">
        <v>968</v>
      </c>
      <c r="Q26" s="1675">
        <v>0.4</v>
      </c>
      <c r="R26" s="1676">
        <v>85</v>
      </c>
      <c r="S26" s="1676">
        <v>90</v>
      </c>
      <c r="T26" s="1677" t="s">
        <v>35</v>
      </c>
      <c r="U26" s="1653" t="s">
        <v>379</v>
      </c>
      <c r="V26" s="1653" t="s">
        <v>307</v>
      </c>
      <c r="W26" s="1672" t="s">
        <v>307</v>
      </c>
      <c r="X26" s="453"/>
      <c r="Y26" s="453"/>
      <c r="Z26" s="453"/>
      <c r="AA26" s="645" t="str">
        <f t="shared" si="12"/>
        <v xml:space="preserve">EPB on Steel </v>
      </c>
      <c r="AB26" s="544" t="s">
        <v>740</v>
      </c>
      <c r="AC26" s="677">
        <v>0.4</v>
      </c>
      <c r="AD26" s="678">
        <v>85</v>
      </c>
      <c r="AE26" s="678">
        <v>90</v>
      </c>
      <c r="AF26" s="852"/>
      <c r="AG26" s="590" t="s">
        <v>231</v>
      </c>
      <c r="AH26" s="185" t="str">
        <f t="shared" si="7"/>
        <v>Performance based on 2.4m Height</v>
      </c>
      <c r="AJ26" s="645" t="str">
        <f t="shared" si="13"/>
        <v xml:space="preserve">EPB on Steel </v>
      </c>
      <c r="AK26" s="544" t="s">
        <v>740</v>
      </c>
      <c r="AL26" s="677">
        <v>0.4</v>
      </c>
      <c r="AM26" s="730">
        <f t="shared" si="8"/>
        <v>4.25</v>
      </c>
      <c r="AN26" s="730">
        <f t="shared" si="9"/>
        <v>4.5</v>
      </c>
      <c r="AO26" s="858"/>
      <c r="AP26" s="590" t="s">
        <v>231</v>
      </c>
      <c r="AQ26" s="185" t="str">
        <f t="shared" si="10"/>
        <v>Performance based on 2.4m Height</v>
      </c>
      <c r="BG26" s="27"/>
      <c r="BH26" s="27"/>
      <c r="BI26" s="27"/>
      <c r="BJ26" s="27"/>
      <c r="BK26" s="27"/>
      <c r="BL26" s="27"/>
      <c r="BM26" s="27"/>
      <c r="BN26" s="27"/>
    </row>
    <row r="27" spans="2:66" ht="15" customHeight="1">
      <c r="B27" s="582" t="s">
        <v>724</v>
      </c>
      <c r="C27" s="1616" t="s">
        <v>545</v>
      </c>
      <c r="D27" s="1617">
        <v>9.9999999999999996E-76</v>
      </c>
      <c r="E27" s="1618">
        <v>0</v>
      </c>
      <c r="F27" s="1619">
        <v>0</v>
      </c>
      <c r="G27" s="1619" t="s">
        <v>3</v>
      </c>
      <c r="H27" s="1612" t="s">
        <v>380</v>
      </c>
      <c r="I27" s="1612" t="s">
        <v>307</v>
      </c>
      <c r="J27" s="1615" t="s">
        <v>307</v>
      </c>
      <c r="K27" s="1628"/>
      <c r="L27" s="488"/>
      <c r="M27" s="488"/>
      <c r="N27" s="2591"/>
      <c r="O27" s="1667" t="str">
        <f t="shared" si="11"/>
        <v xml:space="preserve">EPB on Steel </v>
      </c>
      <c r="P27" s="1668" t="s">
        <v>969</v>
      </c>
      <c r="Q27" s="1669">
        <v>1.2</v>
      </c>
      <c r="R27" s="1670">
        <v>100</v>
      </c>
      <c r="S27" s="1670">
        <v>90</v>
      </c>
      <c r="T27" s="1671" t="s">
        <v>35</v>
      </c>
      <c r="U27" s="1653" t="s">
        <v>379</v>
      </c>
      <c r="V27" s="1653" t="s">
        <v>307</v>
      </c>
      <c r="W27" s="1672" t="s">
        <v>307</v>
      </c>
      <c r="X27" s="453"/>
      <c r="Y27" s="453"/>
      <c r="Z27" s="453"/>
      <c r="AA27" s="645" t="str">
        <f t="shared" si="12"/>
        <v xml:space="preserve">EPB on Steel </v>
      </c>
      <c r="AB27" s="544" t="s">
        <v>741</v>
      </c>
      <c r="AC27" s="677">
        <v>1.2</v>
      </c>
      <c r="AD27" s="678">
        <v>100</v>
      </c>
      <c r="AE27" s="678">
        <v>90</v>
      </c>
      <c r="AF27" s="852"/>
      <c r="AG27" s="590" t="s">
        <v>231</v>
      </c>
      <c r="AH27" s="185" t="str">
        <f t="shared" si="7"/>
        <v>Performance based on 2.4m Height</v>
      </c>
      <c r="AJ27" s="645" t="str">
        <f t="shared" si="13"/>
        <v xml:space="preserve">EPB on Steel </v>
      </c>
      <c r="AK27" s="544" t="s">
        <v>741</v>
      </c>
      <c r="AL27" s="677">
        <v>1.2</v>
      </c>
      <c r="AM27" s="730">
        <f t="shared" si="8"/>
        <v>5</v>
      </c>
      <c r="AN27" s="730">
        <f t="shared" si="9"/>
        <v>4.5</v>
      </c>
      <c r="AO27" s="858"/>
      <c r="AP27" s="590" t="s">
        <v>231</v>
      </c>
      <c r="AQ27" s="185" t="str">
        <f t="shared" si="10"/>
        <v>Performance based on 2.4m Height</v>
      </c>
      <c r="BG27" s="27"/>
      <c r="BH27" s="27"/>
      <c r="BI27" s="27"/>
      <c r="BJ27" s="27"/>
      <c r="BK27" s="27"/>
      <c r="BL27" s="27"/>
      <c r="BM27" s="27"/>
      <c r="BN27" s="27"/>
    </row>
    <row r="28" spans="2:66" ht="15" customHeight="1" thickBot="1">
      <c r="B28" s="1620" t="s">
        <v>8</v>
      </c>
      <c r="C28" s="1621" t="s">
        <v>546</v>
      </c>
      <c r="D28" s="1622">
        <v>9.9999999999999996E-76</v>
      </c>
      <c r="E28" s="1623">
        <v>0</v>
      </c>
      <c r="F28" s="1624">
        <v>0</v>
      </c>
      <c r="G28" s="1624" t="s">
        <v>3</v>
      </c>
      <c r="H28" s="1612" t="s">
        <v>380</v>
      </c>
      <c r="I28" s="1612" t="s">
        <v>307</v>
      </c>
      <c r="J28" s="1615" t="s">
        <v>307</v>
      </c>
      <c r="K28" s="1628"/>
      <c r="L28" s="488"/>
      <c r="M28" s="488"/>
      <c r="N28" s="2591"/>
      <c r="O28" s="1673" t="str">
        <f t="shared" si="11"/>
        <v xml:space="preserve">EPB on Steel </v>
      </c>
      <c r="P28" s="1674" t="s">
        <v>970</v>
      </c>
      <c r="Q28" s="1675">
        <v>0.4</v>
      </c>
      <c r="R28" s="1676">
        <v>100</v>
      </c>
      <c r="S28" s="1676">
        <v>95</v>
      </c>
      <c r="T28" s="1677" t="s">
        <v>34</v>
      </c>
      <c r="U28" s="1653" t="s">
        <v>379</v>
      </c>
      <c r="V28" s="1653" t="s">
        <v>307</v>
      </c>
      <c r="W28" s="1672" t="s">
        <v>307</v>
      </c>
      <c r="X28" s="453"/>
      <c r="Y28" s="453"/>
      <c r="Z28" s="453"/>
      <c r="AA28" s="645" t="str">
        <f t="shared" si="12"/>
        <v xml:space="preserve">EPB on Steel </v>
      </c>
      <c r="AB28" s="544" t="s">
        <v>744</v>
      </c>
      <c r="AC28" s="677">
        <v>0.4</v>
      </c>
      <c r="AD28" s="678">
        <v>100</v>
      </c>
      <c r="AE28" s="678">
        <v>95</v>
      </c>
      <c r="AF28" s="852"/>
      <c r="AG28" s="590" t="s">
        <v>231</v>
      </c>
      <c r="AH28" s="185" t="str">
        <f t="shared" si="7"/>
        <v>Performance based on 2.4m Height</v>
      </c>
      <c r="AJ28" s="645" t="str">
        <f t="shared" si="13"/>
        <v xml:space="preserve">EPB on Steel </v>
      </c>
      <c r="AK28" s="544" t="s">
        <v>744</v>
      </c>
      <c r="AL28" s="677">
        <v>0.4</v>
      </c>
      <c r="AM28" s="730">
        <f t="shared" si="8"/>
        <v>5</v>
      </c>
      <c r="AN28" s="730">
        <f t="shared" si="9"/>
        <v>4.75</v>
      </c>
      <c r="AO28" s="858"/>
      <c r="AP28" s="590" t="s">
        <v>231</v>
      </c>
      <c r="AQ28" s="185" t="str">
        <f t="shared" si="10"/>
        <v>Performance based on 2.4m Height</v>
      </c>
      <c r="BG28" s="27"/>
      <c r="BH28" s="27"/>
      <c r="BI28" s="27"/>
      <c r="BJ28" s="27"/>
      <c r="BK28" s="27"/>
      <c r="BL28" s="27"/>
      <c r="BM28" s="27"/>
      <c r="BN28" s="27"/>
    </row>
    <row r="29" spans="2:66" ht="15" customHeight="1" thickTop="1" thickBot="1">
      <c r="B29" s="761"/>
      <c r="C29" s="761"/>
      <c r="D29" s="761"/>
      <c r="E29" s="761"/>
      <c r="F29" s="761"/>
      <c r="G29" s="761"/>
      <c r="H29" s="761"/>
      <c r="I29" s="761"/>
      <c r="J29" s="761"/>
      <c r="K29" s="27"/>
      <c r="L29" s="488"/>
      <c r="M29" s="488"/>
      <c r="N29" s="2592"/>
      <c r="O29" s="1678" t="str">
        <f t="shared" si="11"/>
        <v xml:space="preserve">EPB on Steel </v>
      </c>
      <c r="P29" s="1679" t="s">
        <v>971</v>
      </c>
      <c r="Q29" s="1680">
        <v>1.2</v>
      </c>
      <c r="R29" s="1681">
        <v>130</v>
      </c>
      <c r="S29" s="1681">
        <v>120</v>
      </c>
      <c r="T29" s="1682" t="s">
        <v>34</v>
      </c>
      <c r="U29" s="1683" t="s">
        <v>379</v>
      </c>
      <c r="V29" s="1683" t="s">
        <v>307</v>
      </c>
      <c r="W29" s="1684" t="s">
        <v>307</v>
      </c>
      <c r="X29" s="453"/>
      <c r="Y29" s="453"/>
      <c r="Z29" s="453"/>
      <c r="AA29" s="646" t="str">
        <f t="shared" si="12"/>
        <v xml:space="preserve">EPB on Steel </v>
      </c>
      <c r="AB29" s="591" t="s">
        <v>745</v>
      </c>
      <c r="AC29" s="681">
        <v>1.2</v>
      </c>
      <c r="AD29" s="682">
        <v>130</v>
      </c>
      <c r="AE29" s="682">
        <v>120</v>
      </c>
      <c r="AF29" s="853"/>
      <c r="AG29" s="592" t="s">
        <v>231</v>
      </c>
      <c r="AH29" s="581" t="str">
        <f t="shared" si="7"/>
        <v>Performance based on 2.4m Height</v>
      </c>
      <c r="AJ29" s="646" t="str">
        <f t="shared" si="13"/>
        <v xml:space="preserve">EPB on Steel </v>
      </c>
      <c r="AK29" s="591" t="s">
        <v>745</v>
      </c>
      <c r="AL29" s="681">
        <v>1.2</v>
      </c>
      <c r="AM29" s="731">
        <f t="shared" si="8"/>
        <v>6.5</v>
      </c>
      <c r="AN29" s="731">
        <f t="shared" si="9"/>
        <v>6</v>
      </c>
      <c r="AO29" s="859"/>
      <c r="AP29" s="592" t="s">
        <v>231</v>
      </c>
      <c r="AQ29" s="581" t="str">
        <f t="shared" si="10"/>
        <v>Performance based on 2.4m Height</v>
      </c>
      <c r="BG29" s="27"/>
      <c r="BH29" s="27"/>
      <c r="BI29" s="27"/>
      <c r="BJ29" s="27"/>
      <c r="BK29" s="27"/>
      <c r="BL29" s="27"/>
      <c r="BM29" s="27"/>
      <c r="BN29" s="27"/>
    </row>
    <row r="30" spans="2:66" ht="14.1" customHeight="1">
      <c r="B30" s="207" t="str">
        <f>'Terms and Conditions'!B19</f>
        <v>Elephant QuickBrace™ September 2018  V.1.0</v>
      </c>
      <c r="C30" s="27"/>
      <c r="D30" s="27"/>
      <c r="E30" s="27"/>
      <c r="F30" s="27"/>
      <c r="G30" s="27"/>
      <c r="H30" s="27"/>
      <c r="I30" s="27"/>
      <c r="J30" s="27"/>
      <c r="K30" s="27"/>
      <c r="L30" s="196"/>
      <c r="M30" s="196"/>
      <c r="BG30" s="27"/>
      <c r="BH30" s="27"/>
      <c r="BI30" s="27"/>
      <c r="BJ30" s="27"/>
      <c r="BK30" s="27"/>
      <c r="BL30" s="27"/>
      <c r="BM30" s="27"/>
      <c r="BN30" s="27"/>
    </row>
    <row r="31" spans="2:66" ht="14.1" customHeight="1">
      <c r="C31" s="27"/>
      <c r="D31" s="27"/>
      <c r="E31" s="27"/>
      <c r="F31" s="27"/>
      <c r="G31" s="27"/>
      <c r="H31" s="27"/>
      <c r="I31" s="27"/>
      <c r="J31" s="27"/>
      <c r="K31" s="27"/>
      <c r="BG31" s="27"/>
      <c r="BH31" s="27"/>
      <c r="BI31" s="27"/>
      <c r="BJ31" s="27"/>
      <c r="BK31" s="27"/>
      <c r="BL31" s="27"/>
      <c r="BM31" s="27"/>
      <c r="BN31" s="27"/>
    </row>
    <row r="32" spans="2:66" ht="14.1" customHeight="1">
      <c r="B32" s="2593" t="s">
        <v>783</v>
      </c>
      <c r="C32" s="2593"/>
      <c r="D32" s="2594" t="str">
        <f>IF('Project Demand'!AX5=1,"Bracing Units","kilo Newtons")</f>
        <v>Bracing Units</v>
      </c>
      <c r="E32" s="2594"/>
      <c r="F32" s="27"/>
      <c r="G32" s="27"/>
      <c r="H32" s="27"/>
      <c r="I32" s="27"/>
      <c r="J32" s="27"/>
      <c r="K32" s="27"/>
      <c r="M32" s="1151"/>
      <c r="N32" s="1151"/>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c r="AK32" s="1151"/>
      <c r="AL32" s="1151"/>
      <c r="AM32" s="1151"/>
      <c r="AN32" s="1151"/>
      <c r="AO32" s="1151"/>
      <c r="AP32" s="1151"/>
      <c r="AQ32" s="1151"/>
      <c r="AR32" s="1151"/>
      <c r="AS32" s="1151"/>
      <c r="AT32" s="1151"/>
      <c r="AU32" s="1151"/>
      <c r="BG32" s="27"/>
      <c r="BH32" s="27"/>
      <c r="BI32" s="27"/>
      <c r="BJ32" s="27"/>
      <c r="BK32" s="27"/>
      <c r="BL32" s="27"/>
      <c r="BM32" s="27"/>
      <c r="BN32" s="27"/>
    </row>
    <row r="33" spans="2:66" ht="14.1" customHeight="1">
      <c r="B33" s="27"/>
      <c r="C33" s="27"/>
      <c r="D33" s="27"/>
      <c r="E33" s="27"/>
      <c r="F33" s="27"/>
      <c r="G33" s="27"/>
      <c r="H33" s="27"/>
      <c r="I33" s="27"/>
      <c r="J33" s="27"/>
      <c r="K33" s="27"/>
      <c r="M33" s="1150"/>
      <c r="N33" s="1151"/>
      <c r="O33" s="1161"/>
      <c r="P33" s="1161"/>
      <c r="Q33" s="1162"/>
      <c r="R33" s="1162"/>
      <c r="S33" s="1162"/>
      <c r="T33" s="1162"/>
      <c r="U33" s="1162"/>
      <c r="V33" s="1162"/>
      <c r="W33" s="1162"/>
      <c r="X33" s="1151"/>
      <c r="Y33" s="1151"/>
      <c r="Z33" s="1151"/>
      <c r="AA33" s="1161"/>
      <c r="AB33" s="1161"/>
      <c r="AC33" s="1162"/>
      <c r="AD33" s="1162"/>
      <c r="AE33" s="1162"/>
      <c r="AF33" s="1162"/>
      <c r="AG33" s="1162"/>
      <c r="AH33" s="1162"/>
      <c r="AI33" s="1151"/>
      <c r="AJ33" s="1161"/>
      <c r="AK33" s="1161"/>
      <c r="AL33" s="1162"/>
      <c r="AM33" s="1162"/>
      <c r="AN33" s="1162"/>
      <c r="AO33" s="1162"/>
      <c r="AP33" s="1162"/>
      <c r="AQ33" s="1162"/>
      <c r="AR33" s="1151"/>
      <c r="AS33" s="1151"/>
      <c r="AT33" s="1151"/>
      <c r="AU33" s="1151"/>
      <c r="BG33" s="27"/>
      <c r="BH33" s="27"/>
      <c r="BI33" s="27"/>
      <c r="BJ33" s="27"/>
      <c r="BK33" s="27"/>
      <c r="BL33" s="27"/>
      <c r="BM33" s="27"/>
      <c r="BN33" s="27"/>
    </row>
    <row r="34" spans="2:66" ht="14.1" customHeight="1">
      <c r="B34" s="27"/>
      <c r="C34" s="27"/>
      <c r="D34" s="27"/>
      <c r="E34" s="27"/>
      <c r="F34" s="27"/>
      <c r="G34" s="27"/>
      <c r="H34" s="27"/>
      <c r="I34" s="27"/>
      <c r="J34" s="27"/>
      <c r="K34" s="27"/>
      <c r="M34" s="1150"/>
      <c r="N34" s="1151"/>
      <c r="O34" s="1163"/>
      <c r="P34" s="1164"/>
      <c r="Q34" s="1164"/>
      <c r="R34" s="1165"/>
      <c r="S34" s="1165"/>
      <c r="T34" s="1152"/>
      <c r="U34" s="1152"/>
      <c r="V34" s="1164"/>
      <c r="W34" s="1164"/>
      <c r="X34" s="1151"/>
      <c r="Y34" s="1151"/>
      <c r="Z34" s="1151"/>
      <c r="AA34" s="1163"/>
      <c r="AB34" s="1164"/>
      <c r="AC34" s="1164"/>
      <c r="AD34" s="1165"/>
      <c r="AE34" s="1165"/>
      <c r="AF34" s="1152"/>
      <c r="AG34" s="1164"/>
      <c r="AH34" s="1164"/>
      <c r="AI34" s="1151"/>
      <c r="AJ34" s="1163"/>
      <c r="AK34" s="1164"/>
      <c r="AL34" s="1164"/>
      <c r="AM34" s="1165"/>
      <c r="AN34" s="1165"/>
      <c r="AO34" s="1152"/>
      <c r="AP34" s="1164"/>
      <c r="AQ34" s="1164"/>
      <c r="AR34" s="1151"/>
      <c r="AS34" s="1151"/>
      <c r="AT34" s="1151"/>
      <c r="AU34" s="1151"/>
    </row>
    <row r="35" spans="2:66" ht="14.1" customHeight="1">
      <c r="B35" s="27"/>
      <c r="C35" s="27"/>
      <c r="D35" s="27"/>
      <c r="E35" s="27"/>
      <c r="F35" s="27"/>
      <c r="G35" s="27"/>
      <c r="H35" s="27"/>
      <c r="I35" s="27"/>
      <c r="J35" s="27"/>
      <c r="K35" s="27"/>
      <c r="M35" s="1150"/>
      <c r="N35" s="1151"/>
      <c r="O35" s="1163"/>
      <c r="P35" s="1164"/>
      <c r="Q35" s="1164"/>
      <c r="R35" s="1165"/>
      <c r="S35" s="1165"/>
      <c r="T35" s="1152"/>
      <c r="U35" s="1152"/>
      <c r="V35" s="1164"/>
      <c r="W35" s="1164"/>
      <c r="X35" s="1159"/>
      <c r="Y35" s="1159"/>
      <c r="Z35" s="1159"/>
      <c r="AA35" s="1163"/>
      <c r="AB35" s="1164"/>
      <c r="AC35" s="1164"/>
      <c r="AD35" s="1165"/>
      <c r="AE35" s="1165"/>
      <c r="AF35" s="1152"/>
      <c r="AG35" s="1164"/>
      <c r="AH35" s="1164"/>
      <c r="AI35" s="1151"/>
      <c r="AJ35" s="1163"/>
      <c r="AK35" s="1164"/>
      <c r="AL35" s="1164"/>
      <c r="AM35" s="1165"/>
      <c r="AN35" s="1165"/>
      <c r="AO35" s="1152"/>
      <c r="AP35" s="1164"/>
      <c r="AQ35" s="1164"/>
      <c r="AR35" s="1151"/>
      <c r="AS35" s="1151"/>
      <c r="AT35" s="1151"/>
      <c r="AU35" s="1151"/>
    </row>
    <row r="36" spans="2:66" ht="14.1" customHeight="1">
      <c r="B36" s="27"/>
      <c r="C36" s="207"/>
      <c r="D36" s="207"/>
      <c r="E36" s="207"/>
      <c r="F36" s="207"/>
      <c r="G36" s="207"/>
      <c r="H36" s="207"/>
      <c r="I36" s="207"/>
      <c r="J36" s="27"/>
      <c r="K36" s="27"/>
      <c r="M36" s="1150"/>
      <c r="N36" s="1151"/>
      <c r="O36" s="1163"/>
      <c r="P36" s="1164"/>
      <c r="Q36" s="1164"/>
      <c r="R36" s="1165"/>
      <c r="S36" s="1165"/>
      <c r="T36" s="1152"/>
      <c r="U36" s="1152"/>
      <c r="V36" s="1164"/>
      <c r="W36" s="1164"/>
      <c r="X36" s="1160"/>
      <c r="Y36" s="1160"/>
      <c r="Z36" s="1160"/>
      <c r="AA36" s="1163"/>
      <c r="AB36" s="1164"/>
      <c r="AC36" s="1164"/>
      <c r="AD36" s="1165"/>
      <c r="AE36" s="1165"/>
      <c r="AF36" s="1152"/>
      <c r="AG36" s="1164"/>
      <c r="AH36" s="1164"/>
      <c r="AI36" s="1151"/>
      <c r="AJ36" s="1163"/>
      <c r="AK36" s="1164"/>
      <c r="AL36" s="1164"/>
      <c r="AM36" s="1165"/>
      <c r="AN36" s="1165"/>
      <c r="AO36" s="1152"/>
      <c r="AP36" s="1164"/>
      <c r="AQ36" s="1164"/>
      <c r="AR36" s="1151"/>
      <c r="AS36" s="1151"/>
      <c r="AT36" s="1151"/>
      <c r="AU36" s="1151"/>
    </row>
    <row r="37" spans="2:66" ht="14.1" customHeight="1">
      <c r="B37" s="27"/>
      <c r="C37" s="27"/>
      <c r="D37" s="27"/>
      <c r="E37" s="27"/>
      <c r="F37" s="27"/>
      <c r="G37" s="27"/>
      <c r="H37" s="27"/>
      <c r="I37" s="27"/>
      <c r="J37" s="27"/>
      <c r="K37" s="27"/>
      <c r="M37" s="1150"/>
      <c r="N37" s="1150"/>
      <c r="O37" s="1153"/>
      <c r="P37" s="1153"/>
      <c r="Q37" s="1156"/>
      <c r="R37" s="1166"/>
      <c r="S37" s="1166"/>
      <c r="T37" s="1166"/>
      <c r="U37" s="1166"/>
      <c r="V37" s="1154"/>
      <c r="W37" s="1154"/>
      <c r="X37" s="1160"/>
      <c r="Y37" s="1160"/>
      <c r="Z37" s="1160"/>
      <c r="AA37" s="1153"/>
      <c r="AB37" s="1153"/>
      <c r="AC37" s="1156"/>
      <c r="AD37" s="1167"/>
      <c r="AE37" s="1167"/>
      <c r="AF37" s="1167"/>
      <c r="AG37" s="1154"/>
      <c r="AH37" s="1155"/>
      <c r="AI37" s="1151"/>
      <c r="AJ37" s="1153"/>
      <c r="AK37" s="1153"/>
      <c r="AL37" s="1156"/>
      <c r="AM37" s="1168"/>
      <c r="AN37" s="1168"/>
      <c r="AO37" s="1168"/>
      <c r="AP37" s="1154"/>
      <c r="AQ37" s="1155"/>
      <c r="AR37" s="1151"/>
      <c r="AS37" s="1151"/>
      <c r="AT37" s="1151"/>
      <c r="AU37" s="1151"/>
    </row>
    <row r="38" spans="2:66" s="27" customFormat="1" ht="14.1" customHeight="1">
      <c r="M38" s="1151"/>
      <c r="N38" s="1150"/>
      <c r="O38" s="1153"/>
      <c r="P38" s="1153"/>
      <c r="Q38" s="1156"/>
      <c r="R38" s="1166"/>
      <c r="S38" s="1166"/>
      <c r="T38" s="1166"/>
      <c r="U38" s="1166"/>
      <c r="V38" s="1154"/>
      <c r="W38" s="1154"/>
      <c r="X38" s="1160"/>
      <c r="Y38" s="1160"/>
      <c r="Z38" s="1160"/>
      <c r="AA38" s="1153"/>
      <c r="AB38" s="1153"/>
      <c r="AC38" s="1156"/>
      <c r="AD38" s="1167"/>
      <c r="AE38" s="1167"/>
      <c r="AF38" s="1167"/>
      <c r="AG38" s="1154"/>
      <c r="AH38" s="1155"/>
      <c r="AI38" s="1151"/>
      <c r="AJ38" s="1153"/>
      <c r="AK38" s="1153"/>
      <c r="AL38" s="1156"/>
      <c r="AM38" s="1168"/>
      <c r="AN38" s="1168"/>
      <c r="AO38" s="1168"/>
      <c r="AP38" s="1154"/>
      <c r="AQ38" s="1155"/>
      <c r="AR38" s="1151"/>
      <c r="AS38" s="1151"/>
      <c r="AT38" s="1151"/>
      <c r="AU38" s="1151"/>
    </row>
    <row r="39" spans="2:66" s="27" customFormat="1" ht="14.1" customHeight="1">
      <c r="M39" s="1151"/>
      <c r="N39" s="1150"/>
      <c r="O39" s="1153"/>
      <c r="P39" s="1153"/>
      <c r="Q39" s="1156"/>
      <c r="R39" s="1166"/>
      <c r="S39" s="1166"/>
      <c r="T39" s="1166"/>
      <c r="U39" s="1166"/>
      <c r="V39" s="1154"/>
      <c r="W39" s="1154"/>
      <c r="X39" s="1160"/>
      <c r="Y39" s="1160"/>
      <c r="Z39" s="1160"/>
      <c r="AA39" s="1153"/>
      <c r="AB39" s="1153"/>
      <c r="AC39" s="1156"/>
      <c r="AD39" s="1167"/>
      <c r="AE39" s="1167"/>
      <c r="AF39" s="1167"/>
      <c r="AG39" s="1154"/>
      <c r="AH39" s="1155"/>
      <c r="AI39" s="1151"/>
      <c r="AJ39" s="1153"/>
      <c r="AK39" s="1153"/>
      <c r="AL39" s="1156"/>
      <c r="AM39" s="1168"/>
      <c r="AN39" s="1168"/>
      <c r="AO39" s="1168"/>
      <c r="AP39" s="1154"/>
      <c r="AQ39" s="1155"/>
      <c r="AR39" s="1151"/>
      <c r="AS39" s="1151"/>
      <c r="AT39" s="1151"/>
      <c r="AU39" s="1151"/>
    </row>
    <row r="40" spans="2:66" s="27" customFormat="1" ht="14.1" customHeight="1">
      <c r="M40" s="1157"/>
      <c r="N40" s="1150"/>
      <c r="O40" s="1153"/>
      <c r="P40" s="1153"/>
      <c r="Q40" s="1156"/>
      <c r="R40" s="1166"/>
      <c r="S40" s="1166"/>
      <c r="T40" s="1166"/>
      <c r="U40" s="1166"/>
      <c r="V40" s="1154"/>
      <c r="W40" s="1154"/>
      <c r="X40" s="1160"/>
      <c r="Y40" s="1160"/>
      <c r="Z40" s="1160"/>
      <c r="AA40" s="1153"/>
      <c r="AB40" s="1153"/>
      <c r="AC40" s="1156"/>
      <c r="AD40" s="1167"/>
      <c r="AE40" s="1167"/>
      <c r="AF40" s="1167"/>
      <c r="AG40" s="1154"/>
      <c r="AH40" s="1155"/>
      <c r="AI40" s="1151"/>
      <c r="AJ40" s="1153"/>
      <c r="AK40" s="1153"/>
      <c r="AL40" s="1156"/>
      <c r="AM40" s="1168"/>
      <c r="AN40" s="1168"/>
      <c r="AO40" s="1168"/>
      <c r="AP40" s="1154"/>
      <c r="AQ40" s="1155"/>
      <c r="AR40" s="1151"/>
      <c r="AS40" s="1151"/>
      <c r="AT40" s="1151"/>
      <c r="AU40" s="1151"/>
    </row>
    <row r="41" spans="2:66" s="27" customFormat="1" ht="14.1" customHeight="1">
      <c r="M41" s="1151"/>
      <c r="N41" s="1150"/>
      <c r="O41" s="1153"/>
      <c r="P41" s="1153"/>
      <c r="Q41" s="1156"/>
      <c r="R41" s="1166"/>
      <c r="S41" s="1166"/>
      <c r="T41" s="1166"/>
      <c r="U41" s="1166"/>
      <c r="V41" s="1154"/>
      <c r="W41" s="1154"/>
      <c r="X41" s="1160"/>
      <c r="Y41" s="1160"/>
      <c r="Z41" s="1160"/>
      <c r="AA41" s="1153"/>
      <c r="AB41" s="1153"/>
      <c r="AC41" s="1156"/>
      <c r="AD41" s="1167"/>
      <c r="AE41" s="1167"/>
      <c r="AF41" s="1167"/>
      <c r="AG41" s="1154"/>
      <c r="AH41" s="1155"/>
      <c r="AI41" s="1151"/>
      <c r="AJ41" s="1153"/>
      <c r="AK41" s="1153"/>
      <c r="AL41" s="1156"/>
      <c r="AM41" s="1168"/>
      <c r="AN41" s="1168"/>
      <c r="AO41" s="1168"/>
      <c r="AP41" s="1154"/>
      <c r="AQ41" s="1155"/>
      <c r="AR41" s="1151"/>
      <c r="AS41" s="1151"/>
      <c r="AT41" s="1151"/>
      <c r="AU41" s="1151"/>
    </row>
    <row r="42" spans="2:66" s="27" customFormat="1" ht="13.5" customHeight="1">
      <c r="M42" s="1151"/>
      <c r="N42" s="1150"/>
      <c r="O42" s="1153"/>
      <c r="P42" s="1153"/>
      <c r="Q42" s="1156"/>
      <c r="R42" s="1166"/>
      <c r="S42" s="1166"/>
      <c r="T42" s="1166"/>
      <c r="U42" s="1166"/>
      <c r="V42" s="1154"/>
      <c r="W42" s="1154"/>
      <c r="X42" s="1160"/>
      <c r="Y42" s="1160"/>
      <c r="Z42" s="1160"/>
      <c r="AA42" s="1153"/>
      <c r="AB42" s="1153"/>
      <c r="AC42" s="1156"/>
      <c r="AD42" s="1167"/>
      <c r="AE42" s="1167"/>
      <c r="AF42" s="1167"/>
      <c r="AG42" s="1154"/>
      <c r="AH42" s="1155"/>
      <c r="AI42" s="1151"/>
      <c r="AJ42" s="1153"/>
      <c r="AK42" s="1153"/>
      <c r="AL42" s="1156"/>
      <c r="AM42" s="1168"/>
      <c r="AN42" s="1168"/>
      <c r="AO42" s="1168"/>
      <c r="AP42" s="1154"/>
      <c r="AQ42" s="1155"/>
      <c r="AR42" s="1151"/>
      <c r="AS42" s="1151"/>
      <c r="AT42" s="1151"/>
      <c r="AU42" s="1151"/>
    </row>
    <row r="43" spans="2:66" s="27" customFormat="1" ht="14.1" customHeight="1">
      <c r="M43" s="1158"/>
      <c r="N43" s="1150"/>
      <c r="O43" s="1153"/>
      <c r="P43" s="1153"/>
      <c r="Q43" s="1156"/>
      <c r="R43" s="1166"/>
      <c r="S43" s="1166"/>
      <c r="T43" s="1166"/>
      <c r="U43" s="1166"/>
      <c r="V43" s="1154"/>
      <c r="W43" s="1154"/>
      <c r="X43" s="1160"/>
      <c r="Y43" s="1160"/>
      <c r="Z43" s="1160"/>
      <c r="AA43" s="1153"/>
      <c r="AB43" s="1153"/>
      <c r="AC43" s="1156"/>
      <c r="AD43" s="1167"/>
      <c r="AE43" s="1167"/>
      <c r="AF43" s="1167"/>
      <c r="AG43" s="1154"/>
      <c r="AH43" s="1155"/>
      <c r="AI43" s="1151"/>
      <c r="AJ43" s="1153"/>
      <c r="AK43" s="1153"/>
      <c r="AL43" s="1156"/>
      <c r="AM43" s="1168"/>
      <c r="AN43" s="1168"/>
      <c r="AO43" s="1168"/>
      <c r="AP43" s="1154"/>
      <c r="AQ43" s="1155"/>
      <c r="AR43" s="1151"/>
      <c r="AS43" s="1151"/>
      <c r="AT43" s="1151"/>
      <c r="AU43" s="1151"/>
    </row>
    <row r="44" spans="2:66" s="27" customFormat="1" ht="14.1" customHeight="1">
      <c r="M44" s="1158"/>
      <c r="N44" s="1150"/>
      <c r="O44" s="1153"/>
      <c r="P44" s="1153"/>
      <c r="Q44" s="1156"/>
      <c r="R44" s="1166"/>
      <c r="S44" s="1166"/>
      <c r="T44" s="1166"/>
      <c r="U44" s="1166"/>
      <c r="V44" s="1154"/>
      <c r="W44" s="1154"/>
      <c r="X44" s="1160"/>
      <c r="Y44" s="1160"/>
      <c r="Z44" s="1160"/>
      <c r="AA44" s="1153"/>
      <c r="AB44" s="1153"/>
      <c r="AC44" s="1156"/>
      <c r="AD44" s="1167"/>
      <c r="AE44" s="1167"/>
      <c r="AF44" s="1167"/>
      <c r="AG44" s="1154"/>
      <c r="AH44" s="1155"/>
      <c r="AI44" s="1151"/>
      <c r="AJ44" s="1153"/>
      <c r="AK44" s="1153"/>
      <c r="AL44" s="1156"/>
      <c r="AM44" s="1168"/>
      <c r="AN44" s="1168"/>
      <c r="AO44" s="1168"/>
      <c r="AP44" s="1154"/>
      <c r="AQ44" s="1155"/>
      <c r="AR44" s="1151"/>
      <c r="AS44" s="1151"/>
      <c r="AT44" s="1151"/>
      <c r="AU44" s="1151"/>
    </row>
    <row r="45" spans="2:66" s="27" customFormat="1" ht="14.1" customHeight="1">
      <c r="V45" s="453"/>
      <c r="W45" s="453"/>
      <c r="X45" s="453"/>
      <c r="Y45" s="453"/>
      <c r="Z45" s="453"/>
      <c r="AG45" s="453"/>
      <c r="AH45" s="453"/>
      <c r="AP45" s="453"/>
      <c r="AQ45" s="453"/>
    </row>
    <row r="46" spans="2:66" s="27" customFormat="1" ht="14.1" customHeight="1">
      <c r="X46" s="453"/>
      <c r="Y46" s="453"/>
      <c r="Z46" s="453"/>
    </row>
    <row r="47" spans="2:66" s="27" customFormat="1" ht="14.1" customHeight="1">
      <c r="X47" s="453"/>
      <c r="Y47" s="453"/>
      <c r="Z47" s="453"/>
    </row>
    <row r="48" spans="2:66" s="27" customFormat="1" ht="14.1" customHeight="1">
      <c r="X48" s="453"/>
      <c r="Y48" s="453"/>
      <c r="Z48" s="453"/>
    </row>
    <row r="49" spans="15:43" s="27" customFormat="1" ht="14.1" customHeight="1">
      <c r="X49" s="453"/>
      <c r="Y49" s="453"/>
      <c r="Z49" s="453"/>
    </row>
    <row r="50" spans="15:43" s="27" customFormat="1" ht="14.1" customHeight="1">
      <c r="X50" s="453"/>
      <c r="Y50" s="453"/>
      <c r="Z50" s="453"/>
    </row>
    <row r="51" spans="15:43" s="27" customFormat="1" ht="14.1" customHeight="1">
      <c r="X51" s="453"/>
      <c r="Y51" s="453"/>
      <c r="Z51" s="453"/>
    </row>
    <row r="52" spans="15:43" s="27" customFormat="1" ht="14.1" customHeight="1">
      <c r="X52" s="453"/>
      <c r="Y52" s="453"/>
      <c r="Z52" s="453"/>
    </row>
    <row r="53" spans="15:43" s="27" customFormat="1" ht="14.1" customHeight="1">
      <c r="X53" s="453"/>
      <c r="Y53" s="453"/>
      <c r="Z53" s="453"/>
    </row>
    <row r="54" spans="15:43" s="27" customFormat="1" ht="14.1" customHeight="1">
      <c r="X54" s="453"/>
      <c r="Y54" s="453"/>
      <c r="Z54" s="453"/>
    </row>
    <row r="55" spans="15:43" s="27" customFormat="1" ht="14.1" customHeight="1">
      <c r="X55" s="453"/>
      <c r="Y55" s="453"/>
      <c r="Z55" s="453"/>
    </row>
    <row r="56" spans="15:43" s="27" customFormat="1" ht="14.1" customHeight="1">
      <c r="X56" s="453"/>
      <c r="Y56" s="453"/>
      <c r="Z56" s="453"/>
    </row>
    <row r="57" spans="15:43" s="27" customFormat="1" ht="14.1" customHeight="1">
      <c r="X57" s="453"/>
      <c r="Y57" s="453"/>
      <c r="Z57" s="453"/>
    </row>
    <row r="58" spans="15:43" s="27" customFormat="1" ht="14.1" customHeight="1">
      <c r="V58" s="453"/>
      <c r="W58" s="453"/>
      <c r="X58" s="453"/>
      <c r="Y58" s="453"/>
      <c r="Z58" s="453"/>
      <c r="AG58" s="453"/>
      <c r="AH58" s="453"/>
      <c r="AP58" s="453"/>
      <c r="AQ58" s="453"/>
    </row>
    <row r="59" spans="15:43" s="27" customFormat="1" ht="14.1" customHeight="1">
      <c r="V59" s="453"/>
      <c r="W59" s="453"/>
      <c r="X59" s="453"/>
      <c r="Y59" s="453"/>
      <c r="Z59" s="453"/>
      <c r="AG59" s="453"/>
      <c r="AH59" s="453"/>
      <c r="AP59" s="453"/>
      <c r="AQ59" s="453"/>
    </row>
    <row r="60" spans="15:43" s="27" customFormat="1" ht="14.1" customHeight="1">
      <c r="V60" s="453"/>
      <c r="W60" s="453"/>
      <c r="X60" s="453"/>
      <c r="Y60" s="453"/>
      <c r="Z60" s="453"/>
      <c r="AG60" s="453"/>
      <c r="AH60" s="453"/>
      <c r="AP60" s="453"/>
      <c r="AQ60" s="453"/>
    </row>
    <row r="61" spans="15:43" s="27" customFormat="1" ht="12.75" customHeight="1">
      <c r="V61" s="453"/>
      <c r="W61" s="453"/>
      <c r="X61" s="453"/>
      <c r="Y61" s="453"/>
      <c r="Z61" s="453"/>
      <c r="AG61" s="453"/>
      <c r="AH61" s="453"/>
      <c r="AP61" s="453"/>
      <c r="AQ61" s="453"/>
    </row>
    <row r="62" spans="15:43" s="27" customFormat="1" ht="12.75" customHeight="1">
      <c r="V62" s="453"/>
      <c r="W62" s="453"/>
      <c r="X62" s="453"/>
      <c r="Y62" s="453"/>
      <c r="Z62" s="453"/>
      <c r="AG62" s="453"/>
      <c r="AH62" s="453"/>
      <c r="AP62" s="453"/>
      <c r="AQ62" s="453"/>
    </row>
    <row r="63" spans="15:43" s="27" customFormat="1" ht="12.75" customHeight="1">
      <c r="V63" s="453"/>
      <c r="W63" s="453"/>
      <c r="X63" s="453"/>
      <c r="Y63" s="453"/>
      <c r="Z63" s="453"/>
      <c r="AG63" s="453"/>
      <c r="AH63" s="453"/>
      <c r="AP63" s="453"/>
      <c r="AQ63" s="453"/>
    </row>
    <row r="64" spans="15:43" s="27" customFormat="1" ht="12.75" customHeight="1">
      <c r="O64" s="453"/>
      <c r="P64" s="453"/>
      <c r="Q64" s="453"/>
      <c r="R64" s="453"/>
      <c r="S64" s="453"/>
      <c r="T64" s="453"/>
      <c r="U64" s="453"/>
      <c r="V64" s="453"/>
      <c r="W64" s="453"/>
      <c r="X64" s="453"/>
      <c r="Y64" s="453"/>
      <c r="Z64" s="453"/>
      <c r="AA64" s="453"/>
      <c r="AB64" s="453"/>
      <c r="AC64" s="453"/>
      <c r="AD64" s="453"/>
      <c r="AE64" s="453"/>
      <c r="AF64" s="453"/>
      <c r="AG64" s="453"/>
      <c r="AH64" s="453"/>
      <c r="AJ64" s="453"/>
      <c r="AK64" s="453"/>
      <c r="AL64" s="453"/>
      <c r="AM64" s="453"/>
      <c r="AN64" s="453"/>
      <c r="AO64" s="453"/>
      <c r="AP64" s="453"/>
      <c r="AQ64" s="453"/>
    </row>
    <row r="65" spans="15:43" s="27" customFormat="1" ht="12.75" customHeight="1">
      <c r="O65" s="453"/>
      <c r="P65" s="453"/>
      <c r="Q65" s="453"/>
      <c r="R65" s="453"/>
      <c r="S65" s="453"/>
      <c r="T65" s="453"/>
      <c r="U65" s="453"/>
      <c r="V65" s="453"/>
      <c r="W65" s="453"/>
      <c r="X65" s="453"/>
      <c r="Y65" s="453"/>
      <c r="Z65" s="453"/>
      <c r="AA65" s="453"/>
      <c r="AB65" s="453"/>
      <c r="AC65" s="453"/>
      <c r="AD65" s="453"/>
      <c r="AE65" s="453"/>
      <c r="AF65" s="453"/>
      <c r="AG65" s="453"/>
      <c r="AH65" s="453"/>
      <c r="AJ65" s="453"/>
      <c r="AK65" s="453"/>
      <c r="AL65" s="453"/>
      <c r="AM65" s="453"/>
      <c r="AN65" s="453"/>
      <c r="AO65" s="453"/>
      <c r="AP65" s="453"/>
      <c r="AQ65" s="453"/>
    </row>
    <row r="66" spans="15:43" s="27" customFormat="1" ht="12.75" customHeight="1">
      <c r="O66" s="453"/>
      <c r="P66" s="453"/>
      <c r="Q66" s="453"/>
      <c r="R66" s="453"/>
      <c r="S66" s="453"/>
      <c r="T66" s="453"/>
      <c r="U66" s="453"/>
      <c r="V66" s="453"/>
      <c r="W66" s="453"/>
      <c r="X66" s="453"/>
      <c r="Y66" s="453"/>
      <c r="Z66" s="453"/>
      <c r="AA66" s="453"/>
      <c r="AB66" s="453"/>
      <c r="AC66" s="453"/>
      <c r="AD66" s="453"/>
      <c r="AE66" s="453"/>
      <c r="AF66" s="453"/>
      <c r="AG66" s="453"/>
      <c r="AH66" s="453"/>
      <c r="AJ66" s="453"/>
      <c r="AK66" s="453"/>
      <c r="AL66" s="453"/>
      <c r="AM66" s="453"/>
      <c r="AN66" s="453"/>
      <c r="AO66" s="453"/>
      <c r="AP66" s="453"/>
      <c r="AQ66" s="453"/>
    </row>
    <row r="67" spans="15:43" s="27" customFormat="1" ht="12.75" customHeight="1"/>
    <row r="68" spans="15:43" s="27" customFormat="1" ht="12.75" customHeight="1"/>
    <row r="69" spans="15:43" s="27" customFormat="1" ht="12.75" customHeight="1"/>
    <row r="70" spans="15:43" s="27" customFormat="1" ht="12.75" customHeight="1"/>
    <row r="71" spans="15:43" s="27" customFormat="1" ht="12.75" customHeight="1"/>
    <row r="72" spans="15:43" s="27" customFormat="1" ht="12.75" customHeight="1"/>
    <row r="73" spans="15:43" s="27" customFormat="1" ht="12.75" customHeight="1"/>
    <row r="74" spans="15:43" s="27" customFormat="1" ht="12.75" customHeight="1"/>
    <row r="75" spans="15:43" s="27" customFormat="1" ht="12.75" customHeight="1"/>
    <row r="76" spans="15:43" s="27" customFormat="1" ht="12.75" customHeight="1"/>
    <row r="77" spans="15:43" s="27" customFormat="1" ht="12.75" customHeight="1"/>
    <row r="78" spans="15:43" s="27" customFormat="1" ht="12.75" customHeight="1"/>
    <row r="79" spans="15:43" s="27" customFormat="1" ht="12.75" customHeight="1"/>
    <row r="80" spans="15:43" s="27" customFormat="1" ht="12.75" customHeight="1"/>
    <row r="81" s="27" customFormat="1" ht="12.75" customHeight="1"/>
    <row r="82" s="27" customFormat="1" ht="12.75" customHeight="1"/>
    <row r="83" s="27" customFormat="1" ht="12.75" customHeight="1"/>
    <row r="84" s="27" customFormat="1" ht="12.75" customHeight="1"/>
    <row r="85" s="27" customFormat="1" ht="12.75" customHeight="1"/>
    <row r="86" s="27" customFormat="1" ht="12.75" customHeight="1"/>
    <row r="87" s="27" customFormat="1" ht="12.75" customHeight="1"/>
    <row r="88" s="27" customFormat="1" ht="12.75" customHeight="1"/>
    <row r="89" s="27" customFormat="1" ht="12.75" customHeight="1"/>
    <row r="90" s="27" customFormat="1" ht="12.75" customHeight="1"/>
    <row r="91" s="27" customFormat="1" ht="12.75" customHeight="1"/>
    <row r="92" s="27" customFormat="1" ht="12.75" customHeight="1"/>
    <row r="93" s="27" customFormat="1" ht="12.75" customHeight="1"/>
    <row r="94" s="27" customFormat="1" ht="12.75" customHeight="1"/>
    <row r="95" s="27" customFormat="1" ht="12.75" customHeight="1"/>
    <row r="96" s="27" customFormat="1" ht="12.75" customHeight="1"/>
    <row r="97" s="27" customFormat="1" ht="12.75" customHeight="1"/>
    <row r="98" s="27" customFormat="1" ht="12.75" customHeight="1"/>
    <row r="99" s="27" customFormat="1" ht="12.75" customHeight="1"/>
    <row r="100" s="27" customFormat="1" ht="12.75" customHeight="1"/>
    <row r="101" s="27" customFormat="1" ht="12.75" customHeight="1"/>
    <row r="102" s="27" customFormat="1" ht="12.75" customHeight="1"/>
    <row r="103" s="27" customFormat="1" ht="12.75" customHeight="1"/>
    <row r="104" s="27" customFormat="1" ht="12.75" customHeight="1"/>
    <row r="105" s="27" customFormat="1" ht="12.75" customHeight="1"/>
    <row r="106" s="27" customFormat="1" ht="12.75" customHeight="1"/>
    <row r="107" s="27" customFormat="1" ht="12.75" customHeight="1"/>
    <row r="108" s="27" customFormat="1" ht="12.75" customHeight="1"/>
    <row r="109" s="27" customFormat="1" ht="12.75" customHeight="1"/>
    <row r="110" s="27" customFormat="1" ht="12.75" customHeight="1"/>
    <row r="111" s="27" customFormat="1" ht="12.75" customHeight="1"/>
    <row r="112" s="27" customFormat="1" ht="12.75" customHeigh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pans="2:11" s="27" customFormat="1"/>
    <row r="146" spans="2:11" s="27" customFormat="1"/>
    <row r="147" spans="2:11" s="27" customFormat="1"/>
    <row r="148" spans="2:11">
      <c r="B148" s="27"/>
      <c r="C148" s="27"/>
      <c r="D148" s="27"/>
      <c r="E148" s="27"/>
      <c r="F148" s="27"/>
      <c r="G148" s="27"/>
      <c r="H148" s="27"/>
      <c r="I148" s="27"/>
      <c r="J148" s="27"/>
      <c r="K148" s="27"/>
    </row>
    <row r="149" spans="2:11">
      <c r="B149" s="27"/>
      <c r="C149" s="27"/>
      <c r="D149" s="27"/>
      <c r="E149" s="27"/>
      <c r="F149" s="27"/>
      <c r="G149" s="27"/>
      <c r="H149" s="27"/>
      <c r="I149" s="27"/>
      <c r="J149" s="27"/>
      <c r="K149" s="27"/>
    </row>
    <row r="150" spans="2:11">
      <c r="B150" s="27"/>
      <c r="C150" s="27"/>
      <c r="D150" s="27"/>
      <c r="E150" s="27"/>
      <c r="F150" s="27"/>
      <c r="G150" s="27"/>
      <c r="H150" s="27"/>
      <c r="I150" s="27"/>
      <c r="J150" s="27"/>
      <c r="K150" s="27"/>
    </row>
    <row r="151" spans="2:11">
      <c r="B151" s="27"/>
      <c r="C151" s="27"/>
      <c r="D151" s="27"/>
      <c r="E151" s="27"/>
      <c r="F151" s="27"/>
      <c r="G151" s="27"/>
      <c r="H151" s="27"/>
      <c r="I151" s="27"/>
      <c r="J151" s="27"/>
      <c r="K151" s="27"/>
    </row>
    <row r="152" spans="2:11">
      <c r="B152" s="27"/>
      <c r="C152" s="27"/>
      <c r="D152" s="27"/>
      <c r="E152" s="27"/>
      <c r="F152" s="27"/>
      <c r="G152" s="27"/>
      <c r="H152" s="27"/>
      <c r="I152" s="27"/>
      <c r="J152" s="27"/>
      <c r="K152" s="27"/>
    </row>
    <row r="153" spans="2:11">
      <c r="B153" s="27"/>
      <c r="C153" s="27"/>
      <c r="D153" s="27"/>
      <c r="E153" s="27"/>
      <c r="F153" s="27"/>
      <c r="G153" s="27"/>
      <c r="H153" s="27"/>
      <c r="I153" s="27"/>
      <c r="J153" s="27"/>
      <c r="K153" s="27"/>
    </row>
    <row r="154" spans="2:11">
      <c r="B154" s="27"/>
      <c r="C154" s="27"/>
      <c r="D154" s="27"/>
      <c r="E154" s="27"/>
      <c r="F154" s="27"/>
      <c r="G154" s="27"/>
      <c r="H154" s="27"/>
      <c r="I154" s="27"/>
      <c r="J154" s="27"/>
      <c r="K154" s="27"/>
    </row>
    <row r="155" spans="2:11">
      <c r="B155" s="27"/>
      <c r="C155" s="27"/>
      <c r="D155" s="27"/>
      <c r="E155" s="27"/>
      <c r="F155" s="27"/>
      <c r="G155" s="27"/>
      <c r="H155" s="27"/>
      <c r="I155" s="27"/>
      <c r="J155" s="27"/>
      <c r="K155" s="27"/>
    </row>
    <row r="156" spans="2:11">
      <c r="B156" s="27"/>
      <c r="C156" s="27"/>
      <c r="D156" s="27"/>
      <c r="E156" s="27"/>
      <c r="F156" s="27"/>
      <c r="G156" s="27"/>
      <c r="H156" s="27"/>
      <c r="I156" s="27"/>
      <c r="J156" s="27"/>
      <c r="K156" s="27"/>
    </row>
    <row r="157" spans="2:11">
      <c r="B157" s="27"/>
      <c r="C157" s="27"/>
      <c r="D157" s="27"/>
      <c r="E157" s="27"/>
      <c r="F157" s="27"/>
      <c r="G157" s="27"/>
      <c r="H157" s="27"/>
      <c r="I157" s="27"/>
      <c r="J157" s="27"/>
      <c r="K157" s="27"/>
    </row>
    <row r="158" spans="2:11">
      <c r="B158" s="27"/>
      <c r="C158" s="27"/>
      <c r="D158" s="27"/>
      <c r="E158" s="27"/>
      <c r="F158" s="27"/>
      <c r="G158" s="27"/>
      <c r="H158" s="27"/>
      <c r="I158" s="27"/>
      <c r="J158" s="27"/>
      <c r="K158" s="27"/>
    </row>
    <row r="159" spans="2:11">
      <c r="B159" s="27"/>
      <c r="C159" s="27"/>
      <c r="D159" s="27"/>
      <c r="E159" s="27"/>
      <c r="F159" s="27"/>
      <c r="G159" s="27"/>
      <c r="H159" s="27"/>
      <c r="I159" s="27"/>
      <c r="J159" s="27"/>
      <c r="K159" s="27"/>
    </row>
    <row r="160" spans="2:11">
      <c r="B160" s="27"/>
      <c r="C160" s="27"/>
      <c r="D160" s="27"/>
      <c r="E160" s="27"/>
      <c r="F160" s="27"/>
      <c r="G160" s="27"/>
      <c r="H160" s="27"/>
      <c r="I160" s="27"/>
      <c r="J160" s="27"/>
      <c r="K160" s="27"/>
    </row>
    <row r="161" spans="2:11">
      <c r="B161" s="27"/>
      <c r="C161" s="27"/>
      <c r="D161" s="27"/>
      <c r="E161" s="27"/>
      <c r="F161" s="27"/>
      <c r="G161" s="27"/>
      <c r="H161" s="27"/>
      <c r="I161" s="27"/>
      <c r="J161" s="27"/>
      <c r="K161" s="27"/>
    </row>
    <row r="162" spans="2:11">
      <c r="B162" s="27"/>
      <c r="C162" s="27"/>
      <c r="D162" s="27"/>
      <c r="E162" s="27"/>
      <c r="F162" s="27"/>
      <c r="G162" s="27"/>
      <c r="H162" s="27"/>
      <c r="I162" s="27"/>
      <c r="J162" s="27"/>
      <c r="K162" s="27"/>
    </row>
    <row r="163" spans="2:11">
      <c r="B163" s="27"/>
      <c r="C163" s="27"/>
      <c r="D163" s="27"/>
      <c r="E163" s="27"/>
      <c r="F163" s="27"/>
      <c r="G163" s="27"/>
      <c r="H163" s="27"/>
      <c r="I163" s="27"/>
      <c r="J163" s="27"/>
      <c r="K163" s="27"/>
    </row>
    <row r="164" spans="2:11">
      <c r="B164" s="27"/>
      <c r="C164" s="27"/>
      <c r="D164" s="27"/>
      <c r="E164" s="27"/>
      <c r="F164" s="27"/>
      <c r="G164" s="27"/>
      <c r="H164" s="27"/>
      <c r="I164" s="27"/>
      <c r="J164" s="27"/>
      <c r="K164" s="27"/>
    </row>
    <row r="165" spans="2:11">
      <c r="B165" s="27"/>
      <c r="C165" s="27"/>
      <c r="D165" s="27"/>
      <c r="E165" s="27"/>
      <c r="F165" s="27"/>
      <c r="G165" s="27"/>
      <c r="H165" s="27"/>
      <c r="I165" s="27"/>
      <c r="J165" s="27"/>
      <c r="K165" s="27"/>
    </row>
    <row r="166" spans="2:11">
      <c r="B166" s="27"/>
      <c r="C166" s="27"/>
      <c r="D166" s="27"/>
      <c r="E166" s="27"/>
      <c r="F166" s="27"/>
      <c r="G166" s="27"/>
      <c r="H166" s="27"/>
      <c r="I166" s="27"/>
      <c r="J166" s="27"/>
      <c r="K166" s="27"/>
    </row>
    <row r="167" spans="2:11">
      <c r="B167" s="27"/>
      <c r="C167" s="27"/>
      <c r="D167" s="27"/>
      <c r="E167" s="27"/>
      <c r="F167" s="27"/>
      <c r="G167" s="27"/>
      <c r="H167" s="27"/>
      <c r="I167" s="27"/>
      <c r="J167" s="27"/>
      <c r="K167" s="27"/>
    </row>
    <row r="168" spans="2:11">
      <c r="B168" s="27"/>
      <c r="C168" s="27"/>
      <c r="D168" s="27"/>
      <c r="E168" s="27"/>
      <c r="F168" s="27"/>
      <c r="G168" s="27"/>
      <c r="H168" s="27"/>
      <c r="I168" s="27"/>
      <c r="J168" s="27"/>
      <c r="K168" s="27"/>
    </row>
    <row r="169" spans="2:11">
      <c r="B169" s="27"/>
      <c r="C169" s="27"/>
      <c r="D169" s="27"/>
      <c r="E169" s="27"/>
      <c r="F169" s="27"/>
      <c r="G169" s="27"/>
      <c r="H169" s="27"/>
      <c r="I169" s="27"/>
      <c r="J169" s="27"/>
      <c r="K169" s="27"/>
    </row>
    <row r="170" spans="2:11">
      <c r="B170" s="27"/>
      <c r="C170" s="27"/>
      <c r="D170" s="27"/>
      <c r="E170" s="27"/>
      <c r="F170" s="27"/>
      <c r="G170" s="27"/>
      <c r="H170" s="27"/>
      <c r="I170" s="27"/>
      <c r="J170" s="27"/>
      <c r="K170" s="27"/>
    </row>
    <row r="171" spans="2:11">
      <c r="B171" s="27"/>
      <c r="C171" s="27"/>
      <c r="D171" s="27"/>
      <c r="E171" s="27"/>
      <c r="F171" s="27"/>
      <c r="G171" s="27"/>
      <c r="H171" s="27"/>
      <c r="I171" s="27"/>
      <c r="J171" s="27"/>
      <c r="K171" s="27"/>
    </row>
    <row r="172" spans="2:11">
      <c r="B172" s="27"/>
      <c r="C172" s="27"/>
      <c r="D172" s="27"/>
      <c r="E172" s="27"/>
      <c r="F172" s="27"/>
      <c r="G172" s="27"/>
      <c r="H172" s="27"/>
      <c r="I172" s="27"/>
      <c r="J172" s="27"/>
      <c r="K172" s="27"/>
    </row>
    <row r="173" spans="2:11">
      <c r="B173" s="27"/>
      <c r="C173" s="27"/>
      <c r="D173" s="27"/>
      <c r="E173" s="27"/>
      <c r="F173" s="27"/>
      <c r="G173" s="27"/>
      <c r="H173" s="27"/>
      <c r="I173" s="27"/>
      <c r="J173" s="27"/>
      <c r="K173" s="27"/>
    </row>
    <row r="174" spans="2:11">
      <c r="B174" s="27"/>
      <c r="C174" s="27"/>
      <c r="D174" s="27"/>
      <c r="E174" s="27"/>
      <c r="F174" s="27"/>
      <c r="G174" s="27"/>
      <c r="H174" s="27"/>
      <c r="I174" s="27"/>
      <c r="J174" s="27"/>
      <c r="K174" s="27"/>
    </row>
    <row r="175" spans="2:11">
      <c r="B175" s="27"/>
      <c r="C175" s="27"/>
      <c r="D175" s="27"/>
      <c r="E175" s="27"/>
      <c r="F175" s="27"/>
      <c r="G175" s="27"/>
      <c r="H175" s="27"/>
      <c r="I175" s="27"/>
      <c r="J175" s="27"/>
      <c r="K175" s="27"/>
    </row>
    <row r="176" spans="2:11">
      <c r="B176" s="27"/>
      <c r="C176" s="27"/>
      <c r="D176" s="27"/>
      <c r="E176" s="27"/>
      <c r="F176" s="27"/>
      <c r="G176" s="27"/>
      <c r="H176" s="27"/>
      <c r="I176" s="27"/>
      <c r="J176" s="27"/>
      <c r="K176" s="27"/>
    </row>
    <row r="177" spans="2:11">
      <c r="B177" s="27"/>
      <c r="C177" s="27"/>
      <c r="D177" s="27"/>
      <c r="E177" s="27"/>
      <c r="F177" s="27"/>
      <c r="G177" s="27"/>
      <c r="H177" s="27"/>
      <c r="I177" s="27"/>
      <c r="J177" s="27"/>
      <c r="K177" s="27"/>
    </row>
    <row r="178" spans="2:11">
      <c r="B178" s="27"/>
      <c r="C178" s="27"/>
      <c r="D178" s="27"/>
      <c r="E178" s="27"/>
      <c r="F178" s="27"/>
      <c r="G178" s="27"/>
      <c r="H178" s="27"/>
      <c r="I178" s="27"/>
      <c r="J178" s="27"/>
      <c r="K178" s="27"/>
    </row>
    <row r="179" spans="2:11">
      <c r="B179" s="27"/>
      <c r="C179" s="27"/>
      <c r="D179" s="27"/>
      <c r="E179" s="27"/>
      <c r="F179" s="27"/>
      <c r="G179" s="27"/>
      <c r="H179" s="27"/>
      <c r="I179" s="27"/>
      <c r="J179" s="27"/>
      <c r="K179" s="27"/>
    </row>
    <row r="180" spans="2:11">
      <c r="B180" s="27"/>
      <c r="C180" s="27"/>
      <c r="D180" s="27"/>
      <c r="E180" s="27"/>
      <c r="F180" s="27"/>
      <c r="G180" s="27"/>
      <c r="H180" s="27"/>
      <c r="I180" s="27"/>
      <c r="J180" s="27"/>
      <c r="K180" s="27"/>
    </row>
    <row r="181" spans="2:11">
      <c r="B181" s="27"/>
      <c r="C181" s="27"/>
      <c r="D181" s="27"/>
      <c r="E181" s="27"/>
      <c r="F181" s="27"/>
      <c r="G181" s="27"/>
      <c r="H181" s="27"/>
      <c r="I181" s="27"/>
      <c r="J181" s="27"/>
      <c r="K181" s="27"/>
    </row>
    <row r="182" spans="2:11">
      <c r="B182" s="27"/>
      <c r="C182" s="27"/>
      <c r="D182" s="27"/>
      <c r="E182" s="27"/>
      <c r="F182" s="27"/>
      <c r="G182" s="27"/>
      <c r="H182" s="27"/>
      <c r="I182" s="27"/>
      <c r="J182" s="27"/>
      <c r="K182" s="27"/>
    </row>
    <row r="183" spans="2:11">
      <c r="B183" s="27"/>
      <c r="C183" s="27"/>
      <c r="D183" s="27"/>
      <c r="E183" s="27"/>
      <c r="F183" s="27"/>
      <c r="G183" s="27"/>
      <c r="H183" s="27"/>
      <c r="I183" s="27"/>
      <c r="J183" s="27"/>
      <c r="K183" s="27"/>
    </row>
    <row r="184" spans="2:11">
      <c r="B184" s="27"/>
      <c r="C184" s="27"/>
      <c r="D184" s="27"/>
      <c r="E184" s="27"/>
      <c r="F184" s="27"/>
      <c r="G184" s="27"/>
      <c r="H184" s="27"/>
      <c r="I184" s="27"/>
      <c r="J184" s="27"/>
      <c r="K184" s="27"/>
    </row>
    <row r="185" spans="2:11">
      <c r="B185" s="27"/>
      <c r="C185" s="27"/>
      <c r="D185" s="27"/>
      <c r="E185" s="27"/>
      <c r="F185" s="27"/>
      <c r="G185" s="27"/>
      <c r="H185" s="27"/>
      <c r="I185" s="27"/>
      <c r="J185" s="27"/>
      <c r="K185" s="27"/>
    </row>
    <row r="186" spans="2:11">
      <c r="B186" s="27"/>
      <c r="C186" s="27"/>
      <c r="D186" s="27"/>
      <c r="E186" s="27"/>
      <c r="F186" s="27"/>
      <c r="G186" s="27"/>
      <c r="H186" s="27"/>
      <c r="I186" s="27"/>
      <c r="J186" s="27"/>
      <c r="K186" s="27"/>
    </row>
    <row r="187" spans="2:11">
      <c r="B187" s="27"/>
      <c r="C187" s="27"/>
      <c r="D187" s="27"/>
      <c r="E187" s="27"/>
      <c r="F187" s="27"/>
      <c r="G187" s="27"/>
      <c r="H187" s="27"/>
      <c r="I187" s="27"/>
      <c r="J187" s="27"/>
      <c r="K187" s="27"/>
    </row>
    <row r="188" spans="2:11">
      <c r="B188" s="27"/>
      <c r="C188" s="27"/>
      <c r="D188" s="27"/>
      <c r="E188" s="27"/>
      <c r="F188" s="27"/>
      <c r="G188" s="27"/>
      <c r="H188" s="27"/>
      <c r="I188" s="27"/>
      <c r="J188" s="27"/>
      <c r="K188" s="27"/>
    </row>
    <row r="189" spans="2:11">
      <c r="B189" s="27"/>
      <c r="C189" s="27"/>
      <c r="D189" s="27"/>
      <c r="E189" s="27"/>
      <c r="F189" s="27"/>
      <c r="G189" s="27"/>
      <c r="H189" s="27"/>
      <c r="I189" s="27"/>
      <c r="J189" s="27"/>
      <c r="K189" s="27"/>
    </row>
    <row r="190" spans="2:11">
      <c r="B190" s="27"/>
      <c r="C190" s="27"/>
      <c r="D190" s="27"/>
      <c r="E190" s="27"/>
      <c r="F190" s="27"/>
      <c r="G190" s="27"/>
      <c r="H190" s="27"/>
      <c r="I190" s="27"/>
      <c r="J190" s="27"/>
      <c r="K190" s="27"/>
    </row>
    <row r="191" spans="2:11">
      <c r="B191" s="27"/>
      <c r="C191" s="27"/>
      <c r="D191" s="27"/>
      <c r="E191" s="27"/>
      <c r="F191" s="27"/>
      <c r="G191" s="27"/>
      <c r="H191" s="27"/>
      <c r="I191" s="27"/>
      <c r="J191" s="27"/>
      <c r="K191" s="27"/>
    </row>
    <row r="192" spans="2:11">
      <c r="B192" s="27"/>
      <c r="C192" s="27"/>
      <c r="D192" s="27"/>
      <c r="E192" s="27"/>
      <c r="F192" s="27"/>
      <c r="G192" s="27"/>
      <c r="H192" s="27"/>
      <c r="I192" s="27"/>
      <c r="J192" s="27"/>
      <c r="K192" s="27"/>
    </row>
    <row r="193" spans="2:11">
      <c r="B193" s="27"/>
      <c r="C193" s="27"/>
      <c r="D193" s="27"/>
      <c r="E193" s="27"/>
      <c r="F193" s="27"/>
      <c r="G193" s="27"/>
      <c r="H193" s="27"/>
      <c r="I193" s="27"/>
      <c r="J193" s="27"/>
      <c r="K193" s="27"/>
    </row>
    <row r="194" spans="2:11">
      <c r="B194" s="27"/>
      <c r="C194" s="27"/>
      <c r="D194" s="27"/>
      <c r="E194" s="27"/>
      <c r="F194" s="27"/>
      <c r="G194" s="27"/>
      <c r="H194" s="27"/>
      <c r="I194" s="27"/>
      <c r="J194" s="27"/>
      <c r="K194" s="27"/>
    </row>
    <row r="195" spans="2:11">
      <c r="B195" s="27"/>
      <c r="C195" s="27"/>
      <c r="D195" s="27"/>
      <c r="E195" s="27"/>
      <c r="F195" s="27"/>
      <c r="G195" s="27"/>
      <c r="H195" s="27"/>
      <c r="I195" s="27"/>
      <c r="J195" s="27"/>
      <c r="K195" s="27"/>
    </row>
    <row r="196" spans="2:11">
      <c r="B196" s="27"/>
      <c r="C196" s="27"/>
      <c r="D196" s="27"/>
      <c r="E196" s="27"/>
      <c r="F196" s="27"/>
      <c r="G196" s="27"/>
      <c r="H196" s="27"/>
      <c r="I196" s="27"/>
      <c r="J196" s="27"/>
      <c r="K196" s="27"/>
    </row>
    <row r="197" spans="2:11">
      <c r="B197" s="27"/>
      <c r="C197" s="27"/>
      <c r="D197" s="27"/>
      <c r="E197" s="27"/>
      <c r="F197" s="27"/>
      <c r="G197" s="27"/>
      <c r="H197" s="27"/>
      <c r="I197" s="27"/>
      <c r="J197" s="27"/>
      <c r="K197" s="27"/>
    </row>
    <row r="198" spans="2:11">
      <c r="B198" s="27"/>
      <c r="C198" s="27"/>
      <c r="D198" s="27"/>
      <c r="E198" s="27"/>
      <c r="F198" s="27"/>
      <c r="G198" s="27"/>
      <c r="H198" s="27"/>
      <c r="I198" s="27"/>
      <c r="J198" s="27"/>
      <c r="K198" s="27"/>
    </row>
    <row r="199" spans="2:11">
      <c r="B199" s="27"/>
      <c r="C199" s="27"/>
      <c r="D199" s="27"/>
      <c r="E199" s="27"/>
      <c r="F199" s="27"/>
      <c r="G199" s="27"/>
      <c r="H199" s="27"/>
      <c r="I199" s="27"/>
      <c r="J199" s="27"/>
      <c r="K199" s="27"/>
    </row>
    <row r="200" spans="2:11">
      <c r="B200" s="27"/>
      <c r="C200" s="27"/>
      <c r="D200" s="27"/>
      <c r="E200" s="27"/>
      <c r="F200" s="27"/>
      <c r="G200" s="27"/>
      <c r="H200" s="27"/>
      <c r="I200" s="27"/>
      <c r="J200" s="27"/>
      <c r="K200" s="27"/>
    </row>
    <row r="201" spans="2:11">
      <c r="B201" s="27"/>
      <c r="C201" s="27"/>
      <c r="D201" s="27"/>
      <c r="E201" s="27"/>
      <c r="F201" s="27"/>
      <c r="G201" s="27"/>
      <c r="H201" s="27"/>
      <c r="I201" s="27"/>
      <c r="J201" s="27"/>
      <c r="K201" s="27"/>
    </row>
    <row r="202" spans="2:11">
      <c r="B202" s="27"/>
      <c r="C202" s="27"/>
      <c r="D202" s="27"/>
      <c r="E202" s="27"/>
      <c r="F202" s="27"/>
      <c r="G202" s="27"/>
      <c r="H202" s="27"/>
      <c r="I202" s="27"/>
      <c r="J202" s="27"/>
      <c r="K202" s="27"/>
    </row>
    <row r="203" spans="2:11">
      <c r="B203" s="27"/>
      <c r="C203" s="27"/>
      <c r="D203" s="27"/>
      <c r="E203" s="27"/>
      <c r="F203" s="27"/>
      <c r="G203" s="27"/>
      <c r="H203" s="27"/>
      <c r="I203" s="27"/>
      <c r="J203" s="27"/>
      <c r="K203" s="27"/>
    </row>
    <row r="204" spans="2:11">
      <c r="B204" s="27"/>
      <c r="C204" s="27"/>
      <c r="D204" s="27"/>
      <c r="E204" s="27"/>
      <c r="F204" s="27"/>
      <c r="G204" s="27"/>
      <c r="H204" s="27"/>
      <c r="I204" s="27"/>
      <c r="J204" s="27"/>
      <c r="K204" s="27"/>
    </row>
    <row r="205" spans="2:11">
      <c r="B205" s="27"/>
      <c r="C205" s="27"/>
      <c r="D205" s="27"/>
      <c r="E205" s="27"/>
      <c r="F205" s="27"/>
      <c r="G205" s="27"/>
      <c r="H205" s="27"/>
      <c r="I205" s="27"/>
      <c r="J205" s="27"/>
      <c r="K205" s="27"/>
    </row>
    <row r="206" spans="2:11">
      <c r="B206" s="27"/>
      <c r="C206" s="27"/>
      <c r="D206" s="27"/>
      <c r="E206" s="27"/>
      <c r="F206" s="27"/>
      <c r="G206" s="27"/>
      <c r="H206" s="27"/>
      <c r="I206" s="27"/>
      <c r="J206" s="27"/>
      <c r="K206" s="27"/>
    </row>
    <row r="207" spans="2:11">
      <c r="B207" s="27"/>
      <c r="C207" s="27"/>
      <c r="D207" s="27"/>
      <c r="E207" s="27"/>
      <c r="F207" s="27"/>
      <c r="G207" s="27"/>
      <c r="H207" s="27"/>
      <c r="I207" s="27"/>
      <c r="J207" s="27"/>
      <c r="K207" s="27"/>
    </row>
    <row r="208" spans="2:11">
      <c r="B208" s="27"/>
      <c r="C208" s="27"/>
      <c r="D208" s="27"/>
      <c r="E208" s="27"/>
      <c r="F208" s="27"/>
      <c r="G208" s="27"/>
      <c r="H208" s="27"/>
      <c r="I208" s="27"/>
      <c r="J208" s="27"/>
      <c r="K208" s="27"/>
    </row>
    <row r="209" spans="2:11">
      <c r="B209" s="27"/>
      <c r="C209" s="27"/>
      <c r="D209" s="27"/>
      <c r="E209" s="27"/>
      <c r="F209" s="27"/>
      <c r="G209" s="27"/>
      <c r="H209" s="27"/>
      <c r="I209" s="27"/>
      <c r="J209" s="27"/>
      <c r="K209" s="27"/>
    </row>
    <row r="210" spans="2:11">
      <c r="B210" s="27"/>
      <c r="C210" s="27"/>
      <c r="D210" s="27"/>
      <c r="E210" s="27"/>
      <c r="F210" s="27"/>
      <c r="G210" s="27"/>
      <c r="H210" s="27"/>
      <c r="I210" s="27"/>
      <c r="J210" s="27"/>
      <c r="K210" s="27"/>
    </row>
    <row r="211" spans="2:11">
      <c r="B211" s="27"/>
      <c r="C211" s="27"/>
      <c r="D211" s="27"/>
      <c r="E211" s="27"/>
      <c r="F211" s="27"/>
      <c r="G211" s="27"/>
      <c r="H211" s="27"/>
      <c r="I211" s="27"/>
      <c r="J211" s="27"/>
      <c r="K211" s="27"/>
    </row>
    <row r="212" spans="2:11">
      <c r="B212" s="27"/>
      <c r="C212" s="27"/>
      <c r="D212" s="27"/>
      <c r="E212" s="27"/>
      <c r="F212" s="27"/>
      <c r="G212" s="27"/>
      <c r="H212" s="27"/>
      <c r="I212" s="27"/>
      <c r="J212" s="27"/>
      <c r="K212" s="27"/>
    </row>
    <row r="213" spans="2:11">
      <c r="B213" s="27"/>
      <c r="C213" s="27"/>
      <c r="D213" s="27"/>
      <c r="E213" s="27"/>
      <c r="F213" s="27"/>
      <c r="G213" s="27"/>
      <c r="H213" s="27"/>
      <c r="I213" s="27"/>
      <c r="J213" s="27"/>
      <c r="K213" s="27"/>
    </row>
    <row r="214" spans="2:11">
      <c r="B214" s="27"/>
      <c r="C214" s="27"/>
      <c r="D214" s="27"/>
      <c r="E214" s="27"/>
      <c r="F214" s="27"/>
      <c r="G214" s="27"/>
      <c r="H214" s="27"/>
      <c r="I214" s="27"/>
      <c r="J214" s="27"/>
      <c r="K214" s="27"/>
    </row>
    <row r="215" spans="2:11">
      <c r="B215" s="27"/>
      <c r="C215" s="27"/>
      <c r="D215" s="27"/>
      <c r="E215" s="27"/>
      <c r="F215" s="27"/>
      <c r="G215" s="27"/>
      <c r="H215" s="27"/>
      <c r="I215" s="27"/>
      <c r="J215" s="27"/>
      <c r="K215" s="27"/>
    </row>
    <row r="216" spans="2:11">
      <c r="B216" s="27"/>
      <c r="C216" s="27"/>
      <c r="D216" s="27"/>
      <c r="E216" s="27"/>
      <c r="F216" s="27"/>
      <c r="G216" s="27"/>
      <c r="H216" s="27"/>
      <c r="I216" s="27"/>
      <c r="J216" s="27"/>
      <c r="K216" s="27"/>
    </row>
    <row r="217" spans="2:11">
      <c r="B217" s="27"/>
      <c r="C217" s="27"/>
      <c r="D217" s="27"/>
      <c r="E217" s="27"/>
      <c r="F217" s="27"/>
      <c r="G217" s="27"/>
      <c r="H217" s="27"/>
      <c r="I217" s="27"/>
      <c r="J217" s="27"/>
      <c r="K217" s="27"/>
    </row>
    <row r="218" spans="2:11">
      <c r="B218" s="27"/>
      <c r="C218" s="27"/>
      <c r="D218" s="27"/>
      <c r="E218" s="27"/>
      <c r="F218" s="27"/>
      <c r="G218" s="27"/>
      <c r="H218" s="27"/>
      <c r="I218" s="27"/>
      <c r="J218" s="27"/>
      <c r="K218" s="27"/>
    </row>
    <row r="219" spans="2:11">
      <c r="B219" s="27"/>
      <c r="C219" s="27"/>
      <c r="D219" s="27"/>
      <c r="E219" s="27"/>
      <c r="F219" s="27"/>
      <c r="G219" s="27"/>
      <c r="H219" s="27"/>
      <c r="I219" s="27"/>
      <c r="J219" s="27"/>
      <c r="K219" s="27"/>
    </row>
    <row r="220" spans="2:11">
      <c r="B220" s="27"/>
      <c r="C220" s="27"/>
      <c r="D220" s="27"/>
      <c r="E220" s="27"/>
      <c r="F220" s="27"/>
      <c r="G220" s="27"/>
      <c r="H220" s="27"/>
      <c r="I220" s="27"/>
      <c r="J220" s="27"/>
      <c r="K220" s="27"/>
    </row>
    <row r="221" spans="2:11">
      <c r="B221" s="27"/>
      <c r="C221" s="27"/>
      <c r="D221" s="27"/>
      <c r="E221" s="27"/>
      <c r="F221" s="27"/>
      <c r="G221" s="27"/>
      <c r="H221" s="27"/>
      <c r="I221" s="27"/>
      <c r="J221" s="27"/>
      <c r="K221" s="27"/>
    </row>
    <row r="222" spans="2:11">
      <c r="B222" s="27"/>
      <c r="C222" s="27"/>
      <c r="D222" s="27"/>
      <c r="E222" s="27"/>
      <c r="F222" s="27"/>
      <c r="G222" s="27"/>
      <c r="H222" s="27"/>
      <c r="I222" s="27"/>
      <c r="J222" s="27"/>
      <c r="K222" s="27"/>
    </row>
    <row r="223" spans="2:11">
      <c r="B223" s="27"/>
      <c r="C223" s="27"/>
      <c r="D223" s="27"/>
      <c r="E223" s="27"/>
      <c r="F223" s="27"/>
      <c r="G223" s="27"/>
      <c r="H223" s="27"/>
      <c r="I223" s="27"/>
      <c r="J223" s="27"/>
      <c r="K223" s="27"/>
    </row>
    <row r="224" spans="2:11">
      <c r="B224" s="27"/>
      <c r="C224" s="27"/>
      <c r="D224" s="27"/>
      <c r="E224" s="27"/>
      <c r="F224" s="27"/>
      <c r="G224" s="27"/>
      <c r="H224" s="27"/>
      <c r="I224" s="27"/>
      <c r="J224" s="27"/>
      <c r="K224" s="27"/>
    </row>
    <row r="225" spans="2:11">
      <c r="B225" s="27"/>
      <c r="C225" s="27"/>
      <c r="D225" s="27"/>
      <c r="E225" s="27"/>
      <c r="F225" s="27"/>
      <c r="G225" s="27"/>
      <c r="H225" s="27"/>
      <c r="I225" s="27"/>
      <c r="J225" s="27"/>
      <c r="K225" s="27"/>
    </row>
    <row r="226" spans="2:11">
      <c r="B226" s="27"/>
      <c r="C226" s="27"/>
      <c r="D226" s="27"/>
      <c r="E226" s="27"/>
      <c r="F226" s="27"/>
      <c r="G226" s="27"/>
      <c r="H226" s="27"/>
      <c r="I226" s="27"/>
      <c r="J226" s="27"/>
      <c r="K226" s="27"/>
    </row>
    <row r="227" spans="2:11">
      <c r="B227" s="27"/>
      <c r="C227" s="27"/>
      <c r="D227" s="27"/>
      <c r="E227" s="27"/>
      <c r="F227" s="27"/>
      <c r="G227" s="27"/>
      <c r="H227" s="27"/>
      <c r="I227" s="27"/>
      <c r="J227" s="27"/>
      <c r="K227" s="27"/>
    </row>
    <row r="228" spans="2:11">
      <c r="B228" s="27"/>
      <c r="C228" s="27"/>
      <c r="D228" s="27"/>
      <c r="E228" s="27"/>
      <c r="F228" s="27"/>
      <c r="G228" s="27"/>
      <c r="H228" s="27"/>
      <c r="I228" s="27"/>
      <c r="J228" s="27"/>
      <c r="K228" s="27"/>
    </row>
    <row r="229" spans="2:11">
      <c r="B229" s="27"/>
      <c r="C229" s="27"/>
      <c r="D229" s="27"/>
      <c r="E229" s="27"/>
      <c r="F229" s="27"/>
      <c r="G229" s="27"/>
      <c r="H229" s="27"/>
      <c r="I229" s="27"/>
      <c r="J229" s="27"/>
      <c r="K229" s="27"/>
    </row>
    <row r="230" spans="2:11">
      <c r="B230" s="27"/>
      <c r="C230" s="27"/>
      <c r="D230" s="27"/>
      <c r="E230" s="27"/>
      <c r="F230" s="27"/>
      <c r="G230" s="27"/>
      <c r="H230" s="27"/>
      <c r="I230" s="27"/>
      <c r="J230" s="27"/>
      <c r="K230" s="27"/>
    </row>
    <row r="231" spans="2:11">
      <c r="B231" s="27"/>
      <c r="C231" s="27"/>
      <c r="D231" s="27"/>
      <c r="E231" s="27"/>
      <c r="F231" s="27"/>
      <c r="G231" s="27"/>
      <c r="H231" s="27"/>
      <c r="I231" s="27"/>
      <c r="J231" s="27"/>
      <c r="K231" s="27"/>
    </row>
    <row r="232" spans="2:11">
      <c r="B232" s="27"/>
      <c r="C232" s="27"/>
      <c r="D232" s="27"/>
      <c r="E232" s="27"/>
      <c r="F232" s="27"/>
      <c r="G232" s="27"/>
      <c r="H232" s="27"/>
      <c r="I232" s="27"/>
      <c r="J232" s="27"/>
      <c r="K232" s="27"/>
    </row>
    <row r="233" spans="2:11">
      <c r="B233" s="27"/>
      <c r="C233" s="27"/>
      <c r="D233" s="27"/>
      <c r="E233" s="27"/>
      <c r="F233" s="27"/>
      <c r="G233" s="27"/>
      <c r="H233" s="27"/>
      <c r="I233" s="27"/>
      <c r="J233" s="27"/>
      <c r="K233" s="27"/>
    </row>
    <row r="234" spans="2:11">
      <c r="B234" s="27"/>
      <c r="C234" s="27"/>
      <c r="D234" s="27"/>
      <c r="E234" s="27"/>
      <c r="F234" s="27"/>
      <c r="G234" s="27"/>
      <c r="H234" s="27"/>
      <c r="I234" s="27"/>
      <c r="J234" s="27"/>
      <c r="K234" s="27"/>
    </row>
    <row r="235" spans="2:11">
      <c r="B235" s="27"/>
      <c r="C235" s="27"/>
      <c r="D235" s="27"/>
      <c r="E235" s="27"/>
      <c r="F235" s="27"/>
      <c r="G235" s="27"/>
      <c r="H235" s="27"/>
      <c r="I235" s="27"/>
      <c r="J235" s="27"/>
      <c r="K235" s="27"/>
    </row>
    <row r="236" spans="2:11">
      <c r="B236" s="27"/>
      <c r="C236" s="27"/>
      <c r="D236" s="27"/>
      <c r="E236" s="27"/>
      <c r="F236" s="27"/>
      <c r="G236" s="27"/>
      <c r="H236" s="27"/>
      <c r="I236" s="27"/>
      <c r="J236" s="27"/>
      <c r="K236" s="27"/>
    </row>
    <row r="237" spans="2:11">
      <c r="B237" s="27"/>
      <c r="C237" s="27"/>
      <c r="D237" s="27"/>
      <c r="E237" s="27"/>
      <c r="F237" s="27"/>
      <c r="G237" s="27"/>
      <c r="H237" s="27"/>
      <c r="I237" s="27"/>
      <c r="J237" s="27"/>
      <c r="K237" s="27"/>
    </row>
    <row r="238" spans="2:11">
      <c r="B238" s="27"/>
      <c r="C238" s="27"/>
      <c r="D238" s="27"/>
      <c r="E238" s="27"/>
      <c r="F238" s="27"/>
      <c r="G238" s="27"/>
      <c r="H238" s="27"/>
      <c r="I238" s="27"/>
      <c r="J238" s="27"/>
      <c r="K238" s="27"/>
    </row>
    <row r="239" spans="2:11">
      <c r="B239" s="27"/>
      <c r="C239" s="27"/>
      <c r="D239" s="27"/>
      <c r="E239" s="27"/>
      <c r="F239" s="27"/>
      <c r="G239" s="27"/>
      <c r="H239" s="27"/>
      <c r="I239" s="27"/>
      <c r="J239" s="27"/>
      <c r="K239" s="27"/>
    </row>
    <row r="240" spans="2:11">
      <c r="B240" s="27"/>
      <c r="C240" s="27"/>
      <c r="D240" s="27"/>
      <c r="E240" s="27"/>
      <c r="F240" s="27"/>
      <c r="G240" s="27"/>
      <c r="H240" s="27"/>
      <c r="I240" s="27"/>
      <c r="J240" s="27"/>
      <c r="K240" s="27"/>
    </row>
    <row r="241" spans="2:11">
      <c r="B241" s="27"/>
      <c r="C241" s="27"/>
      <c r="D241" s="27"/>
      <c r="E241" s="27"/>
      <c r="F241" s="27"/>
      <c r="G241" s="27"/>
      <c r="H241" s="27"/>
      <c r="I241" s="27"/>
      <c r="J241" s="27"/>
      <c r="K241" s="27"/>
    </row>
    <row r="242" spans="2:11">
      <c r="B242" s="27"/>
      <c r="C242" s="27"/>
      <c r="D242" s="27"/>
      <c r="E242" s="27"/>
      <c r="F242" s="27"/>
      <c r="G242" s="27"/>
      <c r="H242" s="27"/>
      <c r="I242" s="27"/>
      <c r="J242" s="27"/>
      <c r="K242" s="27"/>
    </row>
    <row r="243" spans="2:11">
      <c r="B243" s="27"/>
      <c r="C243" s="27"/>
      <c r="D243" s="27"/>
      <c r="E243" s="27"/>
      <c r="F243" s="27"/>
      <c r="G243" s="27"/>
      <c r="H243" s="27"/>
      <c r="I243" s="27"/>
      <c r="J243" s="27"/>
      <c r="K243" s="27"/>
    </row>
    <row r="244" spans="2:11">
      <c r="B244" s="27"/>
      <c r="C244" s="27"/>
      <c r="D244" s="27"/>
      <c r="E244" s="27"/>
      <c r="F244" s="27"/>
      <c r="G244" s="27"/>
      <c r="H244" s="27"/>
      <c r="I244" s="27"/>
      <c r="J244" s="27"/>
      <c r="K244" s="27"/>
    </row>
    <row r="245" spans="2:11">
      <c r="B245" s="27"/>
      <c r="C245" s="27"/>
      <c r="D245" s="27"/>
      <c r="E245" s="27"/>
      <c r="F245" s="27"/>
      <c r="G245" s="27"/>
      <c r="H245" s="27"/>
      <c r="I245" s="27"/>
      <c r="J245" s="27"/>
      <c r="K245" s="27"/>
    </row>
    <row r="246" spans="2:11">
      <c r="B246" s="27"/>
      <c r="C246" s="27"/>
      <c r="D246" s="27"/>
      <c r="E246" s="27"/>
      <c r="F246" s="27"/>
      <c r="G246" s="27"/>
      <c r="H246" s="27"/>
      <c r="I246" s="27"/>
      <c r="J246" s="27"/>
      <c r="K246" s="27"/>
    </row>
    <row r="247" spans="2:11">
      <c r="B247" s="27"/>
      <c r="C247" s="27"/>
      <c r="D247" s="27"/>
      <c r="E247" s="27"/>
      <c r="F247" s="27"/>
      <c r="G247" s="27"/>
      <c r="H247" s="27"/>
      <c r="I247" s="27"/>
      <c r="J247" s="27"/>
      <c r="K247" s="27"/>
    </row>
    <row r="248" spans="2:11">
      <c r="B248" s="27"/>
      <c r="C248" s="27"/>
      <c r="D248" s="27"/>
      <c r="E248" s="27"/>
      <c r="F248" s="27"/>
      <c r="G248" s="27"/>
      <c r="H248" s="27"/>
      <c r="I248" s="27"/>
      <c r="J248" s="27"/>
      <c r="K248" s="27"/>
    </row>
    <row r="249" spans="2:11">
      <c r="B249" s="27"/>
      <c r="C249" s="27"/>
      <c r="D249" s="27"/>
      <c r="E249" s="27"/>
      <c r="F249" s="27"/>
      <c r="G249" s="27"/>
      <c r="H249" s="27"/>
      <c r="I249" s="27"/>
      <c r="J249" s="27"/>
      <c r="K249" s="27"/>
    </row>
    <row r="250" spans="2:11">
      <c r="B250" s="27"/>
      <c r="C250" s="27"/>
      <c r="D250" s="27"/>
      <c r="E250" s="27"/>
      <c r="F250" s="27"/>
      <c r="G250" s="27"/>
      <c r="H250" s="27"/>
      <c r="I250" s="27"/>
      <c r="J250" s="27"/>
      <c r="K250" s="27"/>
    </row>
    <row r="251" spans="2:11">
      <c r="B251" s="27"/>
      <c r="C251" s="27"/>
      <c r="D251" s="27"/>
      <c r="E251" s="27"/>
      <c r="F251" s="27"/>
      <c r="G251" s="27"/>
      <c r="H251" s="27"/>
      <c r="I251" s="27"/>
      <c r="J251" s="27"/>
      <c r="K251" s="27"/>
    </row>
    <row r="252" spans="2:11">
      <c r="B252" s="27"/>
      <c r="C252" s="27"/>
      <c r="D252" s="27"/>
      <c r="E252" s="27"/>
      <c r="F252" s="27"/>
      <c r="G252" s="27"/>
      <c r="H252" s="27"/>
      <c r="I252" s="27"/>
      <c r="J252" s="27"/>
      <c r="K252" s="27"/>
    </row>
    <row r="253" spans="2:11">
      <c r="B253" s="27"/>
      <c r="C253" s="27"/>
      <c r="D253" s="27"/>
      <c r="E253" s="27"/>
      <c r="F253" s="27"/>
      <c r="G253" s="27"/>
      <c r="H253" s="27"/>
      <c r="I253" s="27"/>
      <c r="J253" s="27"/>
      <c r="K253" s="27"/>
    </row>
    <row r="254" spans="2:11">
      <c r="B254" s="27"/>
      <c r="C254" s="27"/>
      <c r="D254" s="27"/>
      <c r="E254" s="27"/>
      <c r="F254" s="27"/>
      <c r="G254" s="27"/>
      <c r="H254" s="27"/>
      <c r="I254" s="27"/>
      <c r="J254" s="27"/>
      <c r="K254" s="27"/>
    </row>
    <row r="255" spans="2:11">
      <c r="B255" s="27"/>
      <c r="C255" s="27"/>
      <c r="D255" s="27"/>
      <c r="E255" s="27"/>
      <c r="F255" s="27"/>
      <c r="G255" s="27"/>
      <c r="H255" s="27"/>
      <c r="I255" s="27"/>
      <c r="J255" s="27"/>
      <c r="K255" s="27"/>
    </row>
    <row r="256" spans="2:11">
      <c r="B256" s="27"/>
      <c r="C256" s="27"/>
      <c r="D256" s="27"/>
      <c r="E256" s="27"/>
      <c r="F256" s="27"/>
      <c r="G256" s="27"/>
      <c r="H256" s="27"/>
      <c r="I256" s="27"/>
      <c r="J256" s="27"/>
      <c r="K256" s="27"/>
    </row>
    <row r="257" spans="2:11">
      <c r="B257" s="27"/>
      <c r="C257" s="27"/>
      <c r="D257" s="27"/>
      <c r="E257" s="27"/>
      <c r="F257" s="27"/>
      <c r="G257" s="27"/>
      <c r="H257" s="27"/>
      <c r="I257" s="27"/>
      <c r="J257" s="27"/>
      <c r="K257" s="27"/>
    </row>
    <row r="258" spans="2:11">
      <c r="B258" s="27"/>
      <c r="C258" s="27"/>
      <c r="D258" s="27"/>
      <c r="E258" s="27"/>
      <c r="F258" s="27"/>
      <c r="G258" s="27"/>
      <c r="H258" s="27"/>
      <c r="I258" s="27"/>
      <c r="J258" s="27"/>
      <c r="K258" s="27"/>
    </row>
    <row r="259" spans="2:11">
      <c r="B259" s="27"/>
      <c r="C259" s="27"/>
      <c r="D259" s="27"/>
      <c r="E259" s="27"/>
      <c r="F259" s="27"/>
      <c r="G259" s="27"/>
      <c r="H259" s="27"/>
      <c r="I259" s="27"/>
      <c r="J259" s="27"/>
      <c r="K259" s="27"/>
    </row>
    <row r="260" spans="2:11">
      <c r="B260" s="27"/>
      <c r="C260" s="27"/>
      <c r="D260" s="27"/>
      <c r="E260" s="27"/>
      <c r="F260" s="27"/>
      <c r="G260" s="27"/>
      <c r="H260" s="27"/>
      <c r="I260" s="27"/>
      <c r="J260" s="27"/>
      <c r="K260" s="27"/>
    </row>
    <row r="261" spans="2:11">
      <c r="B261" s="27"/>
      <c r="C261" s="27"/>
      <c r="D261" s="27"/>
      <c r="E261" s="27"/>
      <c r="F261" s="27"/>
      <c r="G261" s="27"/>
      <c r="H261" s="27"/>
      <c r="I261" s="27"/>
      <c r="J261" s="27"/>
      <c r="K261" s="27"/>
    </row>
    <row r="262" spans="2:11">
      <c r="B262" s="27"/>
      <c r="C262" s="27"/>
      <c r="D262" s="27"/>
      <c r="E262" s="27"/>
      <c r="F262" s="27"/>
      <c r="G262" s="27"/>
      <c r="H262" s="27"/>
      <c r="I262" s="27"/>
      <c r="J262" s="27"/>
      <c r="K262" s="27"/>
    </row>
    <row r="263" spans="2:11">
      <c r="B263" s="27"/>
      <c r="C263" s="27"/>
      <c r="D263" s="27"/>
      <c r="E263" s="27"/>
      <c r="F263" s="27"/>
      <c r="G263" s="27"/>
      <c r="H263" s="27"/>
      <c r="I263" s="27"/>
      <c r="J263" s="27"/>
      <c r="K263" s="27"/>
    </row>
    <row r="264" spans="2:11">
      <c r="B264" s="27"/>
      <c r="C264" s="27"/>
      <c r="D264" s="27"/>
      <c r="E264" s="27"/>
      <c r="F264" s="27"/>
      <c r="G264" s="27"/>
      <c r="H264" s="27"/>
      <c r="I264" s="27"/>
      <c r="J264" s="27"/>
      <c r="K264" s="27"/>
    </row>
    <row r="265" spans="2:11">
      <c r="B265" s="27"/>
      <c r="C265" s="27"/>
      <c r="D265" s="27"/>
      <c r="E265" s="27"/>
      <c r="F265" s="27"/>
      <c r="G265" s="27"/>
      <c r="H265" s="27"/>
      <c r="I265" s="27"/>
      <c r="J265" s="27"/>
      <c r="K265" s="27"/>
    </row>
    <row r="266" spans="2:11">
      <c r="B266" s="27"/>
      <c r="C266" s="27"/>
      <c r="D266" s="27"/>
      <c r="E266" s="27"/>
      <c r="F266" s="27"/>
      <c r="G266" s="27"/>
      <c r="H266" s="27"/>
      <c r="I266" s="27"/>
      <c r="J266" s="27"/>
      <c r="K266" s="27"/>
    </row>
    <row r="267" spans="2:11">
      <c r="B267" s="27"/>
      <c r="C267" s="27"/>
      <c r="D267" s="27"/>
      <c r="E267" s="27"/>
      <c r="F267" s="27"/>
      <c r="G267" s="27"/>
      <c r="H267" s="27"/>
      <c r="I267" s="27"/>
      <c r="J267" s="27"/>
      <c r="K267" s="27"/>
    </row>
    <row r="268" spans="2:11">
      <c r="B268" s="27"/>
      <c r="C268" s="27"/>
      <c r="D268" s="27"/>
      <c r="E268" s="27"/>
      <c r="F268" s="27"/>
      <c r="G268" s="27"/>
      <c r="H268" s="27"/>
      <c r="I268" s="27"/>
      <c r="J268" s="27"/>
      <c r="K268" s="27"/>
    </row>
    <row r="269" spans="2:11">
      <c r="B269" s="27"/>
      <c r="C269" s="27"/>
      <c r="D269" s="27"/>
      <c r="E269" s="27"/>
      <c r="F269" s="27"/>
      <c r="G269" s="27"/>
      <c r="H269" s="27"/>
      <c r="I269" s="27"/>
      <c r="J269" s="27"/>
      <c r="K269" s="27"/>
    </row>
    <row r="270" spans="2:11">
      <c r="B270" s="27"/>
      <c r="C270" s="27"/>
      <c r="D270" s="27"/>
      <c r="E270" s="27"/>
      <c r="F270" s="27"/>
      <c r="G270" s="27"/>
      <c r="H270" s="27"/>
      <c r="I270" s="27"/>
      <c r="J270" s="27"/>
      <c r="K270" s="27"/>
    </row>
    <row r="271" spans="2:11">
      <c r="B271" s="27"/>
      <c r="C271" s="27"/>
      <c r="D271" s="27"/>
      <c r="E271" s="27"/>
      <c r="F271" s="27"/>
      <c r="G271" s="27"/>
      <c r="H271" s="27"/>
      <c r="I271" s="27"/>
      <c r="J271" s="27"/>
      <c r="K271" s="27"/>
    </row>
    <row r="272" spans="2:11">
      <c r="B272" s="27"/>
      <c r="C272" s="27"/>
      <c r="D272" s="27"/>
      <c r="E272" s="27"/>
      <c r="F272" s="27"/>
      <c r="G272" s="27"/>
      <c r="H272" s="27"/>
      <c r="I272" s="27"/>
      <c r="J272" s="27"/>
      <c r="K272" s="27"/>
    </row>
    <row r="273" spans="2:11">
      <c r="B273" s="27"/>
      <c r="C273" s="27"/>
      <c r="D273" s="27"/>
      <c r="E273" s="27"/>
      <c r="F273" s="27"/>
      <c r="G273" s="27"/>
      <c r="H273" s="27"/>
      <c r="I273" s="27"/>
      <c r="J273" s="27"/>
      <c r="K273" s="27"/>
    </row>
    <row r="274" spans="2:11">
      <c r="B274" s="27"/>
      <c r="C274" s="27"/>
      <c r="D274" s="27"/>
      <c r="E274" s="27"/>
      <c r="F274" s="27"/>
      <c r="G274" s="27"/>
      <c r="H274" s="27"/>
      <c r="I274" s="27"/>
      <c r="J274" s="27"/>
      <c r="K274" s="27"/>
    </row>
    <row r="275" spans="2:11">
      <c r="B275" s="27"/>
      <c r="C275" s="27"/>
      <c r="D275" s="27"/>
      <c r="E275" s="27"/>
      <c r="F275" s="27"/>
      <c r="G275" s="27"/>
      <c r="H275" s="27"/>
      <c r="I275" s="27"/>
      <c r="J275" s="27"/>
      <c r="K275" s="27"/>
    </row>
    <row r="276" spans="2:11">
      <c r="B276" s="27"/>
      <c r="C276" s="27"/>
      <c r="D276" s="27"/>
      <c r="E276" s="27"/>
      <c r="F276" s="27"/>
      <c r="G276" s="27"/>
      <c r="H276" s="27"/>
      <c r="I276" s="27"/>
      <c r="J276" s="27"/>
      <c r="K276" s="27"/>
    </row>
    <row r="277" spans="2:11">
      <c r="B277" s="27"/>
      <c r="C277" s="27"/>
      <c r="D277" s="27"/>
      <c r="E277" s="27"/>
      <c r="F277" s="27"/>
      <c r="G277" s="27"/>
      <c r="H277" s="27"/>
      <c r="I277" s="27"/>
      <c r="J277" s="27"/>
      <c r="K277" s="27"/>
    </row>
    <row r="278" spans="2:11">
      <c r="B278" s="27"/>
      <c r="C278" s="27"/>
      <c r="D278" s="27"/>
      <c r="E278" s="27"/>
      <c r="F278" s="27"/>
      <c r="G278" s="27"/>
      <c r="H278" s="27"/>
      <c r="I278" s="27"/>
      <c r="J278" s="27"/>
      <c r="K278" s="27"/>
    </row>
    <row r="279" spans="2:11">
      <c r="B279" s="27"/>
      <c r="C279" s="27"/>
      <c r="D279" s="27"/>
      <c r="E279" s="27"/>
      <c r="F279" s="27"/>
      <c r="G279" s="27"/>
      <c r="H279" s="27"/>
      <c r="I279" s="27"/>
      <c r="J279" s="27"/>
      <c r="K279" s="27"/>
    </row>
    <row r="280" spans="2:11">
      <c r="B280" s="27"/>
      <c r="C280" s="27"/>
      <c r="D280" s="27"/>
      <c r="E280" s="27"/>
      <c r="F280" s="27"/>
      <c r="G280" s="27"/>
      <c r="H280" s="27"/>
      <c r="I280" s="27"/>
      <c r="J280" s="27"/>
      <c r="K280" s="27"/>
    </row>
    <row r="281" spans="2:11">
      <c r="B281" s="27"/>
      <c r="C281" s="27"/>
      <c r="D281" s="27"/>
      <c r="E281" s="27"/>
      <c r="F281" s="27"/>
      <c r="G281" s="27"/>
      <c r="H281" s="27"/>
      <c r="I281" s="27"/>
      <c r="J281" s="27"/>
      <c r="K281" s="27"/>
    </row>
    <row r="282" spans="2:11">
      <c r="B282" s="27"/>
      <c r="C282" s="27"/>
      <c r="D282" s="27"/>
      <c r="E282" s="27"/>
      <c r="F282" s="27"/>
      <c r="G282" s="27"/>
      <c r="H282" s="27"/>
      <c r="I282" s="27"/>
      <c r="J282" s="27"/>
      <c r="K282" s="27"/>
    </row>
    <row r="283" spans="2:11">
      <c r="B283" s="27"/>
      <c r="C283" s="27"/>
      <c r="D283" s="27"/>
      <c r="E283" s="27"/>
      <c r="F283" s="27"/>
      <c r="G283" s="27"/>
      <c r="H283" s="27"/>
      <c r="I283" s="27"/>
      <c r="J283" s="27"/>
      <c r="K283" s="27"/>
    </row>
    <row r="284" spans="2:11">
      <c r="B284" s="27"/>
      <c r="C284" s="27"/>
      <c r="D284" s="27"/>
      <c r="E284" s="27"/>
      <c r="F284" s="27"/>
      <c r="G284" s="27"/>
      <c r="H284" s="27"/>
      <c r="I284" s="27"/>
      <c r="J284" s="27"/>
      <c r="K284" s="27"/>
    </row>
    <row r="285" spans="2:11">
      <c r="B285" s="27"/>
      <c r="C285" s="27"/>
      <c r="D285" s="27"/>
      <c r="E285" s="27"/>
      <c r="F285" s="27"/>
      <c r="G285" s="27"/>
      <c r="H285" s="27"/>
      <c r="I285" s="27"/>
      <c r="J285" s="27"/>
      <c r="K285" s="27"/>
    </row>
    <row r="286" spans="2:11">
      <c r="B286" s="27"/>
      <c r="C286" s="27"/>
      <c r="D286" s="27"/>
      <c r="E286" s="27"/>
      <c r="F286" s="27"/>
      <c r="G286" s="27"/>
      <c r="H286" s="27"/>
      <c r="I286" s="27"/>
      <c r="J286" s="27"/>
      <c r="K286" s="27"/>
    </row>
    <row r="287" spans="2:11">
      <c r="B287" s="27"/>
      <c r="C287" s="27"/>
      <c r="D287" s="27"/>
      <c r="E287" s="27"/>
      <c r="F287" s="27"/>
      <c r="G287" s="27"/>
      <c r="H287" s="27"/>
      <c r="I287" s="27"/>
      <c r="J287" s="27"/>
      <c r="K287" s="27"/>
    </row>
    <row r="288" spans="2:11">
      <c r="B288" s="27"/>
      <c r="C288" s="27"/>
      <c r="D288" s="27"/>
      <c r="E288" s="27"/>
      <c r="F288" s="27"/>
      <c r="G288" s="27"/>
      <c r="H288" s="27"/>
      <c r="I288" s="27"/>
      <c r="J288" s="27"/>
      <c r="K288" s="27"/>
    </row>
    <row r="289" spans="2:11">
      <c r="B289" s="27"/>
      <c r="C289" s="27"/>
      <c r="D289" s="27"/>
      <c r="E289" s="27"/>
      <c r="F289" s="27"/>
      <c r="G289" s="27"/>
      <c r="H289" s="27"/>
      <c r="I289" s="27"/>
      <c r="J289" s="27"/>
      <c r="K289" s="27"/>
    </row>
    <row r="290" spans="2:11">
      <c r="B290" s="27"/>
      <c r="C290" s="27"/>
      <c r="D290" s="27"/>
      <c r="E290" s="27"/>
      <c r="F290" s="27"/>
      <c r="G290" s="27"/>
      <c r="H290" s="27"/>
      <c r="I290" s="27"/>
      <c r="J290" s="27"/>
      <c r="K290" s="27"/>
    </row>
    <row r="291" spans="2:11">
      <c r="B291" s="27"/>
      <c r="C291" s="27"/>
      <c r="D291" s="27"/>
      <c r="E291" s="27"/>
      <c r="F291" s="27"/>
      <c r="G291" s="27"/>
      <c r="H291" s="27"/>
      <c r="I291" s="27"/>
      <c r="J291" s="27"/>
      <c r="K291" s="27"/>
    </row>
    <row r="292" spans="2:11">
      <c r="B292" s="27"/>
      <c r="C292" s="27"/>
      <c r="D292" s="27"/>
      <c r="E292" s="27"/>
      <c r="F292" s="27"/>
      <c r="G292" s="27"/>
      <c r="H292" s="27"/>
      <c r="I292" s="27"/>
      <c r="J292" s="27"/>
      <c r="K292" s="27"/>
    </row>
    <row r="293" spans="2:11">
      <c r="B293" s="27"/>
      <c r="C293" s="27"/>
      <c r="D293" s="27"/>
      <c r="E293" s="27"/>
      <c r="F293" s="27"/>
      <c r="G293" s="27"/>
      <c r="H293" s="27"/>
      <c r="I293" s="27"/>
      <c r="J293" s="27"/>
      <c r="K293" s="27"/>
    </row>
    <row r="294" spans="2:11">
      <c r="B294" s="27"/>
      <c r="C294" s="27"/>
      <c r="D294" s="27"/>
      <c r="E294" s="27"/>
      <c r="F294" s="27"/>
      <c r="G294" s="27"/>
      <c r="H294" s="27"/>
      <c r="I294" s="27"/>
      <c r="J294" s="27"/>
      <c r="K294" s="27"/>
    </row>
    <row r="295" spans="2:11">
      <c r="B295" s="27"/>
      <c r="C295" s="27"/>
      <c r="D295" s="27"/>
      <c r="E295" s="27"/>
      <c r="F295" s="27"/>
      <c r="G295" s="27"/>
      <c r="H295" s="27"/>
      <c r="I295" s="27"/>
      <c r="J295" s="27"/>
      <c r="K295" s="27"/>
    </row>
    <row r="296" spans="2:11">
      <c r="B296" s="27"/>
      <c r="C296" s="27"/>
      <c r="D296" s="27"/>
      <c r="E296" s="27"/>
      <c r="F296" s="27"/>
      <c r="G296" s="27"/>
      <c r="H296" s="27"/>
      <c r="I296" s="27"/>
      <c r="J296" s="27"/>
      <c r="K296" s="27"/>
    </row>
    <row r="297" spans="2:11">
      <c r="B297" s="27"/>
      <c r="C297" s="27"/>
      <c r="D297" s="27"/>
      <c r="E297" s="27"/>
      <c r="F297" s="27"/>
      <c r="G297" s="27"/>
      <c r="H297" s="27"/>
      <c r="I297" s="27"/>
      <c r="J297" s="27"/>
      <c r="K297" s="27"/>
    </row>
    <row r="298" spans="2:11">
      <c r="B298" s="27"/>
      <c r="C298" s="27"/>
      <c r="D298" s="27"/>
      <c r="E298" s="27"/>
      <c r="F298" s="27"/>
      <c r="G298" s="27"/>
      <c r="H298" s="27"/>
      <c r="I298" s="27"/>
      <c r="J298" s="27"/>
      <c r="K298" s="27"/>
    </row>
    <row r="299" spans="2:11">
      <c r="B299" s="27"/>
      <c r="C299" s="27"/>
      <c r="D299" s="27"/>
      <c r="E299" s="27"/>
      <c r="F299" s="27"/>
      <c r="G299" s="27"/>
      <c r="H299" s="27"/>
      <c r="I299" s="27"/>
      <c r="J299" s="27"/>
      <c r="K299" s="27"/>
    </row>
    <row r="300" spans="2:11">
      <c r="B300" s="27"/>
      <c r="C300" s="27"/>
      <c r="D300" s="27"/>
      <c r="E300" s="27"/>
      <c r="F300" s="27"/>
      <c r="G300" s="27"/>
      <c r="H300" s="27"/>
      <c r="I300" s="27"/>
      <c r="J300" s="27"/>
      <c r="K300" s="27"/>
    </row>
    <row r="301" spans="2:11">
      <c r="B301" s="27"/>
      <c r="C301" s="27"/>
      <c r="D301" s="27"/>
      <c r="E301" s="27"/>
      <c r="F301" s="27"/>
      <c r="G301" s="27"/>
      <c r="H301" s="27"/>
      <c r="I301" s="27"/>
      <c r="J301" s="27"/>
      <c r="K301" s="27"/>
    </row>
    <row r="302" spans="2:11">
      <c r="B302" s="27"/>
      <c r="C302" s="27"/>
      <c r="D302" s="27"/>
      <c r="E302" s="27"/>
      <c r="F302" s="27"/>
      <c r="G302" s="27"/>
      <c r="H302" s="27"/>
      <c r="I302" s="27"/>
      <c r="J302" s="27"/>
      <c r="K302" s="27"/>
    </row>
    <row r="303" spans="2:11">
      <c r="B303" s="27"/>
      <c r="C303" s="27"/>
      <c r="D303" s="27"/>
      <c r="E303" s="27"/>
      <c r="F303" s="27"/>
      <c r="G303" s="27"/>
      <c r="H303" s="27"/>
      <c r="I303" s="27"/>
      <c r="J303" s="27"/>
      <c r="K303" s="27"/>
    </row>
    <row r="304" spans="2:11">
      <c r="B304" s="27"/>
      <c r="C304" s="27"/>
      <c r="D304" s="27"/>
      <c r="E304" s="27"/>
      <c r="F304" s="27"/>
      <c r="G304" s="27"/>
      <c r="H304" s="27"/>
      <c r="I304" s="27"/>
      <c r="J304" s="27"/>
      <c r="K304" s="27"/>
    </row>
    <row r="305" spans="2:11">
      <c r="B305" s="27"/>
      <c r="C305" s="27"/>
      <c r="D305" s="27"/>
      <c r="E305" s="27"/>
      <c r="F305" s="27"/>
      <c r="G305" s="27"/>
      <c r="H305" s="27"/>
      <c r="I305" s="27"/>
      <c r="J305" s="27"/>
      <c r="K305" s="27"/>
    </row>
    <row r="306" spans="2:11">
      <c r="B306" s="27"/>
      <c r="C306" s="27"/>
      <c r="D306" s="27"/>
      <c r="E306" s="27"/>
      <c r="F306" s="27"/>
      <c r="G306" s="27"/>
      <c r="H306" s="27"/>
      <c r="I306" s="27"/>
      <c r="J306" s="27"/>
      <c r="K306" s="27"/>
    </row>
    <row r="307" spans="2:11">
      <c r="B307" s="27"/>
      <c r="C307" s="27"/>
      <c r="D307" s="27"/>
      <c r="E307" s="27"/>
      <c r="F307" s="27"/>
      <c r="G307" s="27"/>
      <c r="H307" s="27"/>
      <c r="I307" s="27"/>
      <c r="J307" s="27"/>
      <c r="K307" s="27"/>
    </row>
    <row r="308" spans="2:11">
      <c r="B308" s="27"/>
      <c r="C308" s="27"/>
      <c r="D308" s="27"/>
      <c r="E308" s="27"/>
      <c r="F308" s="27"/>
      <c r="G308" s="27"/>
      <c r="H308" s="27"/>
      <c r="I308" s="27"/>
      <c r="J308" s="27"/>
      <c r="K308" s="27"/>
    </row>
    <row r="309" spans="2:11">
      <c r="B309" s="27"/>
      <c r="C309" s="27"/>
      <c r="D309" s="27"/>
      <c r="E309" s="27"/>
      <c r="F309" s="27"/>
      <c r="G309" s="27"/>
      <c r="H309" s="27"/>
      <c r="I309" s="27"/>
      <c r="J309" s="27"/>
      <c r="K309" s="27"/>
    </row>
    <row r="310" spans="2:11">
      <c r="B310" s="27"/>
      <c r="C310" s="27"/>
      <c r="D310" s="27"/>
      <c r="E310" s="27"/>
      <c r="F310" s="27"/>
      <c r="G310" s="27"/>
      <c r="H310" s="27"/>
      <c r="I310" s="27"/>
      <c r="J310" s="27"/>
      <c r="K310" s="27"/>
    </row>
    <row r="311" spans="2:11">
      <c r="B311" s="27"/>
      <c r="C311" s="27"/>
      <c r="D311" s="27"/>
      <c r="E311" s="27"/>
      <c r="F311" s="27"/>
      <c r="G311" s="27"/>
      <c r="H311" s="27"/>
      <c r="I311" s="27"/>
      <c r="J311" s="27"/>
      <c r="K311" s="27"/>
    </row>
    <row r="312" spans="2:11">
      <c r="B312" s="27"/>
      <c r="C312" s="27"/>
      <c r="D312" s="27"/>
      <c r="E312" s="27"/>
      <c r="F312" s="27"/>
      <c r="G312" s="27"/>
      <c r="H312" s="27"/>
      <c r="I312" s="27"/>
      <c r="J312" s="27"/>
      <c r="K312" s="27"/>
    </row>
    <row r="313" spans="2:11">
      <c r="B313" s="27"/>
      <c r="C313" s="27"/>
      <c r="D313" s="27"/>
      <c r="E313" s="27"/>
      <c r="F313" s="27"/>
      <c r="G313" s="27"/>
      <c r="H313" s="27"/>
      <c r="I313" s="27"/>
      <c r="J313" s="27"/>
      <c r="K313" s="27"/>
    </row>
    <row r="314" spans="2:11">
      <c r="B314" s="27"/>
      <c r="C314" s="27"/>
      <c r="D314" s="27"/>
      <c r="E314" s="27"/>
      <c r="F314" s="27"/>
      <c r="G314" s="27"/>
      <c r="H314" s="27"/>
      <c r="I314" s="27"/>
      <c r="J314" s="27"/>
      <c r="K314" s="27"/>
    </row>
    <row r="315" spans="2:11">
      <c r="B315" s="27"/>
      <c r="C315" s="27"/>
      <c r="D315" s="27"/>
      <c r="E315" s="27"/>
      <c r="F315" s="27"/>
      <c r="G315" s="27"/>
      <c r="H315" s="27"/>
      <c r="I315" s="27"/>
      <c r="J315" s="27"/>
      <c r="K315" s="27"/>
    </row>
    <row r="316" spans="2:11">
      <c r="B316" s="27"/>
      <c r="C316" s="27"/>
      <c r="D316" s="27"/>
      <c r="E316" s="27"/>
      <c r="F316" s="27"/>
      <c r="G316" s="27"/>
      <c r="H316" s="27"/>
      <c r="I316" s="27"/>
      <c r="J316" s="27"/>
      <c r="K316" s="27"/>
    </row>
    <row r="317" spans="2:11">
      <c r="B317" s="27"/>
      <c r="C317" s="27"/>
      <c r="D317" s="27"/>
      <c r="E317" s="27"/>
      <c r="F317" s="27"/>
      <c r="G317" s="27"/>
      <c r="H317" s="27"/>
      <c r="I317" s="27"/>
      <c r="J317" s="27"/>
      <c r="K317" s="27"/>
    </row>
    <row r="318" spans="2:11">
      <c r="B318" s="27"/>
      <c r="C318" s="27"/>
      <c r="D318" s="27"/>
      <c r="E318" s="27"/>
      <c r="F318" s="27"/>
      <c r="G318" s="27"/>
      <c r="H318" s="27"/>
      <c r="I318" s="27"/>
      <c r="J318" s="27"/>
      <c r="K318" s="27"/>
    </row>
    <row r="319" spans="2:11">
      <c r="B319" s="27"/>
      <c r="C319" s="27"/>
      <c r="D319" s="27"/>
      <c r="E319" s="27"/>
      <c r="F319" s="27"/>
      <c r="G319" s="27"/>
      <c r="H319" s="27"/>
      <c r="I319" s="27"/>
      <c r="J319" s="27"/>
      <c r="K319" s="27"/>
    </row>
    <row r="320" spans="2:11">
      <c r="B320" s="27"/>
      <c r="C320" s="27"/>
      <c r="D320" s="27"/>
      <c r="E320" s="27"/>
      <c r="F320" s="27"/>
      <c r="G320" s="27"/>
      <c r="H320" s="27"/>
      <c r="I320" s="27"/>
      <c r="J320" s="27"/>
      <c r="K320" s="27"/>
    </row>
    <row r="321" spans="2:11">
      <c r="B321" s="27"/>
      <c r="C321" s="27"/>
      <c r="D321" s="27"/>
      <c r="E321" s="27"/>
      <c r="F321" s="27"/>
      <c r="G321" s="27"/>
      <c r="H321" s="27"/>
      <c r="I321" s="27"/>
      <c r="J321" s="27"/>
      <c r="K321" s="27"/>
    </row>
    <row r="322" spans="2:11">
      <c r="B322" s="27"/>
      <c r="C322" s="27"/>
      <c r="D322" s="27"/>
      <c r="E322" s="27"/>
      <c r="F322" s="27"/>
      <c r="G322" s="27"/>
      <c r="H322" s="27"/>
      <c r="I322" s="27"/>
      <c r="J322" s="27"/>
      <c r="K322" s="27"/>
    </row>
    <row r="323" spans="2:11">
      <c r="B323" s="27"/>
      <c r="C323" s="27"/>
      <c r="D323" s="27"/>
      <c r="E323" s="27"/>
      <c r="F323" s="27"/>
      <c r="G323" s="27"/>
      <c r="H323" s="27"/>
      <c r="I323" s="27"/>
      <c r="J323" s="27"/>
      <c r="K323" s="27"/>
    </row>
    <row r="324" spans="2:11">
      <c r="B324" s="27"/>
      <c r="C324" s="27"/>
      <c r="D324" s="27"/>
      <c r="E324" s="27"/>
      <c r="F324" s="27"/>
      <c r="G324" s="27"/>
      <c r="H324" s="27"/>
      <c r="I324" s="27"/>
      <c r="J324" s="27"/>
      <c r="K324" s="27"/>
    </row>
    <row r="325" spans="2:11">
      <c r="B325" s="27"/>
      <c r="C325" s="27"/>
      <c r="D325" s="27"/>
      <c r="E325" s="27"/>
      <c r="F325" s="27"/>
      <c r="G325" s="27"/>
      <c r="H325" s="27"/>
      <c r="I325" s="27"/>
      <c r="J325" s="27"/>
      <c r="K325" s="27"/>
    </row>
    <row r="326" spans="2:11">
      <c r="B326" s="27"/>
      <c r="C326" s="27"/>
      <c r="D326" s="27"/>
      <c r="E326" s="27"/>
      <c r="F326" s="27"/>
      <c r="G326" s="27"/>
      <c r="H326" s="27"/>
      <c r="I326" s="27"/>
      <c r="J326" s="27"/>
      <c r="K326" s="27"/>
    </row>
    <row r="327" spans="2:11">
      <c r="B327" s="27"/>
      <c r="C327" s="27"/>
      <c r="D327" s="27"/>
      <c r="E327" s="27"/>
      <c r="F327" s="27"/>
      <c r="G327" s="27"/>
      <c r="H327" s="27"/>
      <c r="I327" s="27"/>
      <c r="J327" s="27"/>
      <c r="K327" s="27"/>
    </row>
    <row r="328" spans="2:11">
      <c r="B328" s="27"/>
      <c r="C328" s="27"/>
      <c r="D328" s="27"/>
      <c r="E328" s="27"/>
      <c r="F328" s="27"/>
      <c r="G328" s="27"/>
      <c r="H328" s="27"/>
      <c r="I328" s="27"/>
      <c r="J328" s="27"/>
      <c r="K328" s="27"/>
    </row>
    <row r="329" spans="2:11">
      <c r="B329" s="27"/>
      <c r="C329" s="27"/>
      <c r="D329" s="27"/>
      <c r="E329" s="27"/>
      <c r="F329" s="27"/>
      <c r="G329" s="27"/>
      <c r="H329" s="27"/>
      <c r="I329" s="27"/>
      <c r="J329" s="27"/>
      <c r="K329" s="27"/>
    </row>
    <row r="330" spans="2:11">
      <c r="B330" s="27"/>
      <c r="C330" s="27"/>
      <c r="D330" s="27"/>
      <c r="E330" s="27"/>
      <c r="F330" s="27"/>
      <c r="G330" s="27"/>
      <c r="H330" s="27"/>
      <c r="I330" s="27"/>
      <c r="J330" s="27"/>
      <c r="K330" s="27"/>
    </row>
    <row r="331" spans="2:11">
      <c r="B331" s="27"/>
      <c r="C331" s="27"/>
      <c r="D331" s="27"/>
      <c r="E331" s="27"/>
      <c r="F331" s="27"/>
      <c r="G331" s="27"/>
      <c r="H331" s="27"/>
      <c r="I331" s="27"/>
      <c r="J331" s="27"/>
      <c r="K331" s="27"/>
    </row>
    <row r="332" spans="2:11">
      <c r="B332" s="27"/>
      <c r="C332" s="27"/>
      <c r="D332" s="27"/>
      <c r="E332" s="27"/>
      <c r="F332" s="27"/>
      <c r="G332" s="27"/>
      <c r="H332" s="27"/>
      <c r="I332" s="27"/>
      <c r="J332" s="27"/>
      <c r="K332" s="27"/>
    </row>
    <row r="333" spans="2:11">
      <c r="B333" s="27"/>
      <c r="C333" s="27"/>
      <c r="D333" s="27"/>
      <c r="E333" s="27"/>
      <c r="F333" s="27"/>
      <c r="G333" s="27"/>
      <c r="H333" s="27"/>
      <c r="I333" s="27"/>
      <c r="J333" s="27"/>
      <c r="K333" s="27"/>
    </row>
    <row r="334" spans="2:11">
      <c r="B334" s="27"/>
      <c r="C334" s="27"/>
      <c r="D334" s="27"/>
      <c r="E334" s="27"/>
      <c r="F334" s="27"/>
      <c r="G334" s="27"/>
      <c r="H334" s="27"/>
      <c r="I334" s="27"/>
      <c r="J334" s="27"/>
      <c r="K334" s="27"/>
    </row>
    <row r="335" spans="2:11">
      <c r="B335" s="27"/>
      <c r="C335" s="27"/>
      <c r="D335" s="27"/>
      <c r="E335" s="27"/>
      <c r="F335" s="27"/>
      <c r="G335" s="27"/>
      <c r="H335" s="27"/>
      <c r="I335" s="27"/>
      <c r="J335" s="27"/>
      <c r="K335" s="27"/>
    </row>
    <row r="336" spans="2:11">
      <c r="B336" s="27"/>
      <c r="C336" s="27"/>
      <c r="D336" s="27"/>
      <c r="E336" s="27"/>
      <c r="F336" s="27"/>
      <c r="G336" s="27"/>
      <c r="H336" s="27"/>
      <c r="I336" s="27"/>
      <c r="J336" s="27"/>
      <c r="K336" s="27"/>
    </row>
    <row r="337" spans="2:11">
      <c r="B337" s="27"/>
      <c r="C337" s="27"/>
      <c r="D337" s="27"/>
      <c r="E337" s="27"/>
      <c r="F337" s="27"/>
      <c r="G337" s="27"/>
      <c r="H337" s="27"/>
      <c r="I337" s="27"/>
      <c r="J337" s="27"/>
      <c r="K337" s="27"/>
    </row>
    <row r="338" spans="2:11">
      <c r="B338" s="27"/>
      <c r="C338" s="27"/>
      <c r="D338" s="27"/>
      <c r="E338" s="27"/>
      <c r="F338" s="27"/>
      <c r="G338" s="27"/>
      <c r="H338" s="27"/>
      <c r="I338" s="27"/>
      <c r="J338" s="27"/>
      <c r="K338" s="27"/>
    </row>
    <row r="339" spans="2:11">
      <c r="B339" s="27"/>
      <c r="C339" s="27"/>
      <c r="D339" s="27"/>
      <c r="E339" s="27"/>
      <c r="F339" s="27"/>
      <c r="G339" s="27"/>
      <c r="H339" s="27"/>
      <c r="I339" s="27"/>
      <c r="J339" s="27"/>
      <c r="K339" s="27"/>
    </row>
    <row r="340" spans="2:11">
      <c r="B340" s="27"/>
      <c r="C340" s="27"/>
      <c r="D340" s="27"/>
      <c r="E340" s="27"/>
      <c r="F340" s="27"/>
      <c r="G340" s="27"/>
      <c r="H340" s="27"/>
      <c r="I340" s="27"/>
      <c r="J340" s="27"/>
      <c r="K340" s="27"/>
    </row>
    <row r="341" spans="2:11">
      <c r="B341" s="27"/>
      <c r="C341" s="27"/>
      <c r="D341" s="27"/>
      <c r="E341" s="27"/>
      <c r="F341" s="27"/>
      <c r="G341" s="27"/>
      <c r="H341" s="27"/>
      <c r="I341" s="27"/>
      <c r="J341" s="27"/>
      <c r="K341" s="27"/>
    </row>
    <row r="342" spans="2:11">
      <c r="B342" s="27"/>
      <c r="C342" s="27"/>
      <c r="D342" s="27"/>
      <c r="E342" s="27"/>
      <c r="F342" s="27"/>
      <c r="G342" s="27"/>
      <c r="H342" s="27"/>
      <c r="I342" s="27"/>
      <c r="J342" s="27"/>
      <c r="K342" s="27"/>
    </row>
    <row r="343" spans="2:11">
      <c r="B343" s="27"/>
      <c r="C343" s="27"/>
      <c r="D343" s="27"/>
      <c r="E343" s="27"/>
      <c r="F343" s="27"/>
      <c r="G343" s="27"/>
      <c r="H343" s="27"/>
      <c r="I343" s="27"/>
      <c r="J343" s="27"/>
      <c r="K343" s="27"/>
    </row>
    <row r="344" spans="2:11">
      <c r="B344" s="27"/>
      <c r="C344" s="27"/>
      <c r="D344" s="27"/>
      <c r="E344" s="27"/>
      <c r="F344" s="27"/>
      <c r="G344" s="27"/>
      <c r="H344" s="27"/>
      <c r="I344" s="27"/>
      <c r="J344" s="27"/>
      <c r="K344" s="27"/>
    </row>
    <row r="345" spans="2:11">
      <c r="B345" s="27"/>
      <c r="C345" s="27"/>
      <c r="D345" s="27"/>
      <c r="E345" s="27"/>
      <c r="F345" s="27"/>
      <c r="G345" s="27"/>
      <c r="H345" s="27"/>
      <c r="I345" s="27"/>
      <c r="J345" s="27"/>
      <c r="K345" s="27"/>
    </row>
    <row r="346" spans="2:11">
      <c r="B346" s="27"/>
      <c r="C346" s="27"/>
      <c r="D346" s="27"/>
      <c r="E346" s="27"/>
      <c r="F346" s="27"/>
      <c r="G346" s="27"/>
      <c r="H346" s="27"/>
      <c r="I346" s="27"/>
      <c r="J346" s="27"/>
      <c r="K346" s="27"/>
    </row>
    <row r="347" spans="2:11">
      <c r="B347" s="27"/>
      <c r="C347" s="27"/>
      <c r="D347" s="27"/>
      <c r="E347" s="27"/>
      <c r="F347" s="27"/>
      <c r="G347" s="27"/>
      <c r="H347" s="27"/>
      <c r="I347" s="27"/>
      <c r="J347" s="27"/>
      <c r="K347" s="27"/>
    </row>
    <row r="348" spans="2:11">
      <c r="B348" s="27"/>
      <c r="C348" s="27"/>
      <c r="D348" s="27"/>
      <c r="E348" s="27"/>
      <c r="F348" s="27"/>
      <c r="G348" s="27"/>
      <c r="H348" s="27"/>
      <c r="I348" s="27"/>
      <c r="J348" s="27"/>
      <c r="K348" s="27"/>
    </row>
    <row r="349" spans="2:11">
      <c r="B349" s="27"/>
      <c r="C349" s="27"/>
      <c r="D349" s="27"/>
      <c r="E349" s="27"/>
      <c r="F349" s="27"/>
      <c r="G349" s="27"/>
      <c r="H349" s="27"/>
      <c r="I349" s="27"/>
      <c r="J349" s="27"/>
      <c r="K349" s="27"/>
    </row>
    <row r="350" spans="2:11">
      <c r="B350" s="27"/>
      <c r="C350" s="27"/>
      <c r="D350" s="27"/>
      <c r="E350" s="27"/>
      <c r="F350" s="27"/>
      <c r="G350" s="27"/>
      <c r="H350" s="27"/>
      <c r="I350" s="27"/>
      <c r="J350" s="27"/>
      <c r="K350" s="27"/>
    </row>
    <row r="351" spans="2:11">
      <c r="B351" s="27"/>
      <c r="C351" s="27"/>
      <c r="D351" s="27"/>
      <c r="E351" s="27"/>
      <c r="F351" s="27"/>
      <c r="G351" s="27"/>
      <c r="H351" s="27"/>
      <c r="I351" s="27"/>
      <c r="J351" s="27"/>
      <c r="K351" s="27"/>
    </row>
    <row r="352" spans="2:11">
      <c r="B352" s="27"/>
      <c r="C352" s="27"/>
      <c r="D352" s="27"/>
      <c r="E352" s="27"/>
      <c r="F352" s="27"/>
      <c r="G352" s="27"/>
      <c r="H352" s="27"/>
      <c r="I352" s="27"/>
      <c r="J352" s="27"/>
      <c r="K352" s="27"/>
    </row>
    <row r="353" spans="2:11">
      <c r="B353" s="27"/>
      <c r="C353" s="27"/>
      <c r="D353" s="27"/>
      <c r="E353" s="27"/>
      <c r="F353" s="27"/>
      <c r="G353" s="27"/>
      <c r="H353" s="27"/>
      <c r="I353" s="27"/>
      <c r="J353" s="27"/>
      <c r="K353" s="27"/>
    </row>
    <row r="354" spans="2:11">
      <c r="B354" s="27"/>
      <c r="C354" s="27"/>
      <c r="D354" s="27"/>
      <c r="E354" s="27"/>
      <c r="F354" s="27"/>
      <c r="G354" s="27"/>
      <c r="H354" s="27"/>
      <c r="I354" s="27"/>
      <c r="J354" s="27"/>
      <c r="K354" s="27"/>
    </row>
    <row r="355" spans="2:11">
      <c r="B355" s="27"/>
      <c r="C355" s="27"/>
      <c r="D355" s="27"/>
      <c r="E355" s="27"/>
      <c r="F355" s="27"/>
      <c r="G355" s="27"/>
      <c r="H355" s="27"/>
      <c r="I355" s="27"/>
      <c r="J355" s="27"/>
      <c r="K355" s="27"/>
    </row>
    <row r="356" spans="2:11">
      <c r="B356" s="27"/>
      <c r="C356" s="27"/>
      <c r="D356" s="27"/>
      <c r="E356" s="27"/>
      <c r="F356" s="27"/>
      <c r="G356" s="27"/>
      <c r="H356" s="27"/>
      <c r="I356" s="27"/>
      <c r="J356" s="27"/>
      <c r="K356" s="27"/>
    </row>
    <row r="357" spans="2:11">
      <c r="B357" s="27"/>
      <c r="C357" s="27"/>
      <c r="D357" s="27"/>
      <c r="E357" s="27"/>
      <c r="F357" s="27"/>
      <c r="G357" s="27"/>
      <c r="H357" s="27"/>
      <c r="I357" s="27"/>
      <c r="J357" s="27"/>
      <c r="K357" s="27"/>
    </row>
    <row r="358" spans="2:11">
      <c r="B358" s="27"/>
      <c r="C358" s="27"/>
      <c r="D358" s="27"/>
      <c r="E358" s="27"/>
      <c r="F358" s="27"/>
      <c r="G358" s="27"/>
      <c r="H358" s="27"/>
      <c r="I358" s="27"/>
      <c r="J358" s="27"/>
      <c r="K358" s="27"/>
    </row>
    <row r="359" spans="2:11">
      <c r="B359" s="27"/>
      <c r="C359" s="27"/>
      <c r="D359" s="27"/>
      <c r="E359" s="27"/>
      <c r="F359" s="27"/>
      <c r="G359" s="27"/>
      <c r="H359" s="27"/>
      <c r="I359" s="27"/>
      <c r="J359" s="27"/>
      <c r="K359" s="27"/>
    </row>
    <row r="360" spans="2:11">
      <c r="B360" s="27"/>
      <c r="C360" s="27"/>
      <c r="D360" s="27"/>
      <c r="E360" s="27"/>
      <c r="F360" s="27"/>
      <c r="G360" s="27"/>
      <c r="H360" s="27"/>
      <c r="I360" s="27"/>
      <c r="J360" s="27"/>
      <c r="K360" s="27"/>
    </row>
    <row r="361" spans="2:11">
      <c r="B361" s="27"/>
      <c r="C361" s="27"/>
      <c r="D361" s="27"/>
      <c r="E361" s="27"/>
      <c r="F361" s="27"/>
      <c r="G361" s="27"/>
      <c r="H361" s="27"/>
      <c r="I361" s="27"/>
      <c r="J361" s="27"/>
      <c r="K361" s="27"/>
    </row>
    <row r="362" spans="2:11">
      <c r="B362" s="27"/>
      <c r="C362" s="27"/>
      <c r="D362" s="27"/>
      <c r="E362" s="27"/>
      <c r="F362" s="27"/>
      <c r="G362" s="27"/>
      <c r="H362" s="27"/>
      <c r="I362" s="27"/>
      <c r="J362" s="27"/>
      <c r="K362" s="27"/>
    </row>
    <row r="363" spans="2:11">
      <c r="B363" s="27"/>
      <c r="C363" s="27"/>
      <c r="D363" s="27"/>
      <c r="E363" s="27"/>
      <c r="F363" s="27"/>
      <c r="G363" s="27"/>
      <c r="H363" s="27"/>
      <c r="I363" s="27"/>
      <c r="J363" s="27"/>
      <c r="K363" s="27"/>
    </row>
    <row r="364" spans="2:11">
      <c r="B364" s="27"/>
      <c r="C364" s="27"/>
      <c r="D364" s="27"/>
      <c r="E364" s="27"/>
      <c r="F364" s="27"/>
      <c r="G364" s="27"/>
      <c r="H364" s="27"/>
      <c r="I364" s="27"/>
      <c r="J364" s="27"/>
      <c r="K364" s="27"/>
    </row>
    <row r="365" spans="2:11">
      <c r="B365" s="27"/>
      <c r="C365" s="27"/>
      <c r="D365" s="27"/>
      <c r="E365" s="27"/>
      <c r="F365" s="27"/>
      <c r="G365" s="27"/>
      <c r="H365" s="27"/>
      <c r="I365" s="27"/>
      <c r="J365" s="27"/>
      <c r="K365" s="27"/>
    </row>
    <row r="366" spans="2:11">
      <c r="B366" s="27"/>
      <c r="C366" s="27"/>
      <c r="D366" s="27"/>
      <c r="E366" s="27"/>
      <c r="F366" s="27"/>
      <c r="G366" s="27"/>
      <c r="H366" s="27"/>
      <c r="I366" s="27"/>
      <c r="J366" s="27"/>
      <c r="K366" s="27"/>
    </row>
    <row r="367" spans="2:11">
      <c r="B367" s="27"/>
      <c r="C367" s="27"/>
      <c r="D367" s="27"/>
      <c r="E367" s="27"/>
      <c r="F367" s="27"/>
      <c r="G367" s="27"/>
      <c r="H367" s="27"/>
      <c r="I367" s="27"/>
      <c r="J367" s="27"/>
      <c r="K367" s="27"/>
    </row>
    <row r="368" spans="2:11">
      <c r="B368" s="27"/>
      <c r="C368" s="27"/>
      <c r="D368" s="27"/>
      <c r="E368" s="27"/>
      <c r="F368" s="27"/>
      <c r="G368" s="27"/>
      <c r="H368" s="27"/>
      <c r="I368" s="27"/>
      <c r="J368" s="27"/>
      <c r="K368" s="27"/>
    </row>
    <row r="369" spans="2:11">
      <c r="B369" s="27"/>
      <c r="C369" s="27"/>
      <c r="D369" s="27"/>
      <c r="E369" s="27"/>
      <c r="F369" s="27"/>
      <c r="G369" s="27"/>
      <c r="H369" s="27"/>
      <c r="I369" s="27"/>
      <c r="J369" s="27"/>
      <c r="K369" s="27"/>
    </row>
    <row r="370" spans="2:11">
      <c r="B370" s="27"/>
      <c r="C370" s="27"/>
      <c r="D370" s="27"/>
      <c r="E370" s="27"/>
      <c r="F370" s="27"/>
      <c r="G370" s="27"/>
      <c r="H370" s="27"/>
      <c r="I370" s="27"/>
      <c r="J370" s="27"/>
      <c r="K370" s="27"/>
    </row>
    <row r="371" spans="2:11">
      <c r="B371" s="27"/>
      <c r="C371" s="27"/>
      <c r="D371" s="27"/>
      <c r="E371" s="27"/>
      <c r="F371" s="27"/>
      <c r="G371" s="27"/>
      <c r="H371" s="27"/>
      <c r="I371" s="27"/>
      <c r="J371" s="27"/>
      <c r="K371" s="27"/>
    </row>
    <row r="372" spans="2:11">
      <c r="B372" s="27"/>
      <c r="C372" s="27"/>
      <c r="D372" s="27"/>
      <c r="E372" s="27"/>
      <c r="F372" s="27"/>
      <c r="G372" s="27"/>
      <c r="H372" s="27"/>
      <c r="I372" s="27"/>
      <c r="J372" s="27"/>
      <c r="K372" s="27"/>
    </row>
    <row r="373" spans="2:11">
      <c r="B373" s="27"/>
      <c r="C373" s="27"/>
      <c r="D373" s="27"/>
      <c r="E373" s="27"/>
      <c r="F373" s="27"/>
      <c r="G373" s="27"/>
      <c r="H373" s="27"/>
      <c r="I373" s="27"/>
      <c r="J373" s="27"/>
      <c r="K373" s="27"/>
    </row>
    <row r="374" spans="2:11">
      <c r="B374" s="27"/>
      <c r="C374" s="27"/>
      <c r="D374" s="27"/>
      <c r="E374" s="27"/>
      <c r="F374" s="27"/>
      <c r="G374" s="27"/>
      <c r="H374" s="27"/>
      <c r="I374" s="27"/>
      <c r="J374" s="27"/>
      <c r="K374" s="27"/>
    </row>
    <row r="375" spans="2:11">
      <c r="B375" s="27"/>
      <c r="C375" s="27"/>
      <c r="D375" s="27"/>
      <c r="E375" s="27"/>
      <c r="F375" s="27"/>
      <c r="G375" s="27"/>
      <c r="H375" s="27"/>
      <c r="I375" s="27"/>
      <c r="J375" s="27"/>
      <c r="K375" s="27"/>
    </row>
    <row r="376" spans="2:11">
      <c r="B376" s="27"/>
      <c r="C376" s="27"/>
      <c r="D376" s="27"/>
      <c r="E376" s="27"/>
      <c r="F376" s="27"/>
      <c r="G376" s="27"/>
      <c r="H376" s="27"/>
      <c r="I376" s="27"/>
      <c r="J376" s="27"/>
      <c r="K376" s="27"/>
    </row>
    <row r="377" spans="2:11">
      <c r="B377" s="27"/>
      <c r="C377" s="27"/>
      <c r="D377" s="27"/>
      <c r="E377" s="27"/>
      <c r="F377" s="27"/>
      <c r="G377" s="27"/>
      <c r="H377" s="27"/>
      <c r="I377" s="27"/>
      <c r="J377" s="27"/>
      <c r="K377" s="27"/>
    </row>
    <row r="378" spans="2:11">
      <c r="B378" s="27"/>
      <c r="C378" s="27"/>
      <c r="D378" s="27"/>
      <c r="E378" s="27"/>
      <c r="F378" s="27"/>
      <c r="G378" s="27"/>
      <c r="H378" s="27"/>
      <c r="I378" s="27"/>
      <c r="J378" s="27"/>
      <c r="K378" s="27"/>
    </row>
    <row r="379" spans="2:11">
      <c r="B379" s="27"/>
      <c r="C379" s="27"/>
      <c r="D379" s="27"/>
      <c r="E379" s="27"/>
      <c r="F379" s="27"/>
      <c r="G379" s="27"/>
      <c r="H379" s="27"/>
      <c r="I379" s="27"/>
      <c r="J379" s="27"/>
      <c r="K379" s="27"/>
    </row>
    <row r="380" spans="2:11">
      <c r="B380" s="27"/>
      <c r="C380" s="27"/>
      <c r="D380" s="27"/>
      <c r="E380" s="27"/>
      <c r="F380" s="27"/>
      <c r="G380" s="27"/>
      <c r="H380" s="27"/>
      <c r="I380" s="27"/>
      <c r="J380" s="27"/>
      <c r="K380" s="27"/>
    </row>
    <row r="381" spans="2:11">
      <c r="B381" s="27"/>
      <c r="C381" s="27"/>
      <c r="D381" s="27"/>
      <c r="E381" s="27"/>
      <c r="F381" s="27"/>
      <c r="G381" s="27"/>
      <c r="H381" s="27"/>
      <c r="I381" s="27"/>
      <c r="J381" s="27"/>
      <c r="K381" s="27"/>
    </row>
    <row r="382" spans="2:11">
      <c r="B382" s="27"/>
      <c r="C382" s="27"/>
      <c r="D382" s="27"/>
      <c r="E382" s="27"/>
      <c r="F382" s="27"/>
      <c r="G382" s="27"/>
      <c r="H382" s="27"/>
      <c r="I382" s="27"/>
      <c r="J382" s="27"/>
      <c r="K382" s="27"/>
    </row>
    <row r="383" spans="2:11">
      <c r="B383" s="27"/>
      <c r="C383" s="27"/>
      <c r="D383" s="27"/>
      <c r="E383" s="27"/>
      <c r="F383" s="27"/>
      <c r="G383" s="27"/>
      <c r="H383" s="27"/>
      <c r="I383" s="27"/>
      <c r="J383" s="27"/>
      <c r="K383" s="27"/>
    </row>
    <row r="384" spans="2:11">
      <c r="B384" s="27"/>
      <c r="C384" s="27"/>
      <c r="D384" s="27"/>
      <c r="E384" s="27"/>
      <c r="F384" s="27"/>
      <c r="G384" s="27"/>
      <c r="H384" s="27"/>
      <c r="I384" s="27"/>
      <c r="J384" s="27"/>
      <c r="K384" s="27"/>
    </row>
    <row r="385" spans="2:11">
      <c r="B385" s="27"/>
      <c r="C385" s="27"/>
      <c r="D385" s="27"/>
      <c r="E385" s="27"/>
      <c r="F385" s="27"/>
      <c r="G385" s="27"/>
      <c r="H385" s="27"/>
      <c r="I385" s="27"/>
      <c r="J385" s="27"/>
      <c r="K385" s="27"/>
    </row>
    <row r="386" spans="2:11">
      <c r="B386" s="27"/>
      <c r="C386" s="27"/>
      <c r="D386" s="27"/>
      <c r="E386" s="27"/>
      <c r="F386" s="27"/>
      <c r="G386" s="27"/>
      <c r="H386" s="27"/>
      <c r="I386" s="27"/>
      <c r="J386" s="27"/>
      <c r="K386" s="27"/>
    </row>
    <row r="387" spans="2:11">
      <c r="B387" s="27"/>
      <c r="C387" s="27"/>
      <c r="D387" s="27"/>
      <c r="E387" s="27"/>
      <c r="F387" s="27"/>
      <c r="G387" s="27"/>
      <c r="H387" s="27"/>
      <c r="I387" s="27"/>
      <c r="J387" s="27"/>
      <c r="K387" s="27"/>
    </row>
    <row r="388" spans="2:11">
      <c r="B388" s="27"/>
      <c r="C388" s="27"/>
      <c r="D388" s="27"/>
      <c r="E388" s="27"/>
      <c r="F388" s="27"/>
      <c r="G388" s="27"/>
      <c r="H388" s="27"/>
      <c r="I388" s="27"/>
      <c r="J388" s="27"/>
      <c r="K388" s="27"/>
    </row>
    <row r="389" spans="2:11">
      <c r="B389" s="27"/>
      <c r="C389" s="27"/>
      <c r="D389" s="27"/>
      <c r="E389" s="27"/>
      <c r="F389" s="27"/>
      <c r="G389" s="27"/>
      <c r="H389" s="27"/>
      <c r="I389" s="27"/>
      <c r="J389" s="27"/>
      <c r="K389" s="27"/>
    </row>
    <row r="390" spans="2:11">
      <c r="B390" s="27"/>
      <c r="C390" s="27"/>
      <c r="D390" s="27"/>
      <c r="E390" s="27"/>
      <c r="F390" s="27"/>
      <c r="G390" s="27"/>
      <c r="H390" s="27"/>
      <c r="I390" s="27"/>
      <c r="J390" s="27"/>
      <c r="K390" s="27"/>
    </row>
    <row r="391" spans="2:11">
      <c r="B391" s="27"/>
      <c r="C391" s="27"/>
      <c r="D391" s="27"/>
      <c r="E391" s="27"/>
      <c r="F391" s="27"/>
      <c r="G391" s="27"/>
      <c r="H391" s="27"/>
      <c r="I391" s="27"/>
      <c r="J391" s="27"/>
      <c r="K391" s="27"/>
    </row>
    <row r="392" spans="2:11">
      <c r="B392" s="27"/>
      <c r="C392" s="27"/>
      <c r="D392" s="27"/>
      <c r="E392" s="27"/>
      <c r="F392" s="27"/>
      <c r="G392" s="27"/>
      <c r="H392" s="27"/>
      <c r="I392" s="27"/>
      <c r="J392" s="27"/>
      <c r="K392" s="27"/>
    </row>
    <row r="393" spans="2:11">
      <c r="B393" s="27"/>
      <c r="C393" s="27"/>
      <c r="D393" s="27"/>
      <c r="E393" s="27"/>
      <c r="F393" s="27"/>
      <c r="G393" s="27"/>
      <c r="H393" s="27"/>
      <c r="I393" s="27"/>
      <c r="J393" s="27"/>
      <c r="K393" s="27"/>
    </row>
    <row r="394" spans="2:11">
      <c r="B394" s="27"/>
      <c r="C394" s="27"/>
      <c r="D394" s="27"/>
      <c r="E394" s="27"/>
      <c r="F394" s="27"/>
      <c r="G394" s="27"/>
      <c r="H394" s="27"/>
      <c r="I394" s="27"/>
      <c r="J394" s="27"/>
      <c r="K394" s="27"/>
    </row>
    <row r="395" spans="2:11">
      <c r="B395" s="27"/>
      <c r="C395" s="27"/>
      <c r="D395" s="27"/>
      <c r="E395" s="27"/>
      <c r="F395" s="27"/>
      <c r="G395" s="27"/>
      <c r="H395" s="27"/>
      <c r="I395" s="27"/>
      <c r="J395" s="27"/>
      <c r="K395" s="27"/>
    </row>
    <row r="396" spans="2:11">
      <c r="B396" s="27"/>
      <c r="C396" s="27"/>
      <c r="D396" s="27"/>
      <c r="E396" s="27"/>
      <c r="F396" s="27"/>
      <c r="G396" s="27"/>
      <c r="H396" s="27"/>
      <c r="I396" s="27"/>
      <c r="J396" s="27"/>
      <c r="K396" s="27"/>
    </row>
    <row r="397" spans="2:11">
      <c r="B397" s="27"/>
      <c r="C397" s="27"/>
      <c r="D397" s="27"/>
      <c r="E397" s="27"/>
      <c r="F397" s="27"/>
      <c r="G397" s="27"/>
      <c r="H397" s="27"/>
      <c r="I397" s="27"/>
      <c r="J397" s="27"/>
      <c r="K397" s="27"/>
    </row>
    <row r="398" spans="2:11">
      <c r="B398" s="27"/>
      <c r="C398" s="27"/>
      <c r="D398" s="27"/>
      <c r="E398" s="27"/>
      <c r="F398" s="27"/>
      <c r="G398" s="27"/>
      <c r="H398" s="27"/>
      <c r="I398" s="27"/>
      <c r="J398" s="27"/>
      <c r="K398" s="27"/>
    </row>
  </sheetData>
  <sheetProtection algorithmName="SHA-512" hashValue="Hg1wT4u0J8L1nvy/lXipYRDsbeCACWXUQSKr5DMwcpG6plQEFCgI92GgUMG5SAIz8kW77UQhXk3mOXMA8scXwA==" saltValue="Fec25neFimBAcF5scqh2YQ==" spinCount="100000" sheet="1" objects="1" scenarios="1"/>
  <mergeCells count="73">
    <mergeCell ref="AJ18:AK18"/>
    <mergeCell ref="AL18:AQ18"/>
    <mergeCell ref="AJ19:AJ21"/>
    <mergeCell ref="AK19:AK21"/>
    <mergeCell ref="AL19:AL21"/>
    <mergeCell ref="AM19:AM21"/>
    <mergeCell ref="AN19:AN21"/>
    <mergeCell ref="AP19:AP21"/>
    <mergeCell ref="AQ19:AQ21"/>
    <mergeCell ref="AJ5:AK5"/>
    <mergeCell ref="AL5:AQ5"/>
    <mergeCell ref="AJ6:AJ8"/>
    <mergeCell ref="AK6:AK8"/>
    <mergeCell ref="AL6:AL8"/>
    <mergeCell ref="AM6:AM8"/>
    <mergeCell ref="AN6:AN8"/>
    <mergeCell ref="AP6:AP8"/>
    <mergeCell ref="AQ6:AQ8"/>
    <mergeCell ref="AA18:AB18"/>
    <mergeCell ref="AC18:AH18"/>
    <mergeCell ref="AA19:AA21"/>
    <mergeCell ref="AB19:AB21"/>
    <mergeCell ref="AC19:AC21"/>
    <mergeCell ref="AD19:AD21"/>
    <mergeCell ref="AE19:AE21"/>
    <mergeCell ref="AG19:AG21"/>
    <mergeCell ref="AH19:AH21"/>
    <mergeCell ref="AA5:AB5"/>
    <mergeCell ref="AC5:AH5"/>
    <mergeCell ref="AA6:AA8"/>
    <mergeCell ref="AB6:AB8"/>
    <mergeCell ref="AC6:AC8"/>
    <mergeCell ref="AD6:AD8"/>
    <mergeCell ref="AE6:AE8"/>
    <mergeCell ref="AG6:AG8"/>
    <mergeCell ref="AH6:AH8"/>
    <mergeCell ref="P19:P21"/>
    <mergeCell ref="P6:P8"/>
    <mergeCell ref="O19:O21"/>
    <mergeCell ref="O18:P18"/>
    <mergeCell ref="Q19:Q21"/>
    <mergeCell ref="O6:O8"/>
    <mergeCell ref="R19:R21"/>
    <mergeCell ref="S19:S21"/>
    <mergeCell ref="V19:V21"/>
    <mergeCell ref="S6:S8"/>
    <mergeCell ref="Q6:Q8"/>
    <mergeCell ref="Q18:W18"/>
    <mergeCell ref="V6:V8"/>
    <mergeCell ref="R6:R8"/>
    <mergeCell ref="W19:W21"/>
    <mergeCell ref="U19:U21"/>
    <mergeCell ref="N19:N29"/>
    <mergeCell ref="B32:C32"/>
    <mergeCell ref="D32:E32"/>
    <mergeCell ref="B6:B8"/>
    <mergeCell ref="C6:C8"/>
    <mergeCell ref="D6:D8"/>
    <mergeCell ref="I6:I8"/>
    <mergeCell ref="Q5:W5"/>
    <mergeCell ref="B2:D2"/>
    <mergeCell ref="K6:K8"/>
    <mergeCell ref="F6:F8"/>
    <mergeCell ref="F2:K2"/>
    <mergeCell ref="F3:K3"/>
    <mergeCell ref="J6:J8"/>
    <mergeCell ref="E6:E8"/>
    <mergeCell ref="N2:W3"/>
    <mergeCell ref="O5:P5"/>
    <mergeCell ref="N6:N15"/>
    <mergeCell ref="W6:W8"/>
    <mergeCell ref="H6:H8"/>
    <mergeCell ref="U6:U8"/>
  </mergeCells>
  <phoneticPr fontId="79" type="noConversion"/>
  <conditionalFormatting sqref="K10">
    <cfRule type="expression" dxfId="2417" priority="356" stopIfTrue="1">
      <formula>$J$10="E"</formula>
    </cfRule>
  </conditionalFormatting>
  <conditionalFormatting sqref="K9:K28">
    <cfRule type="expression" dxfId="2416" priority="355" stopIfTrue="1">
      <formula>$J$11="E"</formula>
    </cfRule>
  </conditionalFormatting>
  <conditionalFormatting sqref="K12">
    <cfRule type="expression" dxfId="2415" priority="354" stopIfTrue="1">
      <formula>$J$12="E"</formula>
    </cfRule>
  </conditionalFormatting>
  <conditionalFormatting sqref="K13">
    <cfRule type="expression" dxfId="2414" priority="353" stopIfTrue="1">
      <formula>$J$13="E"</formula>
    </cfRule>
  </conditionalFormatting>
  <conditionalFormatting sqref="K14">
    <cfRule type="expression" dxfId="2413" priority="352" stopIfTrue="1">
      <formula>$J$14="E"</formula>
    </cfRule>
  </conditionalFormatting>
  <conditionalFormatting sqref="K17">
    <cfRule type="expression" dxfId="2412" priority="350" stopIfTrue="1">
      <formula>$J$17="E"</formula>
    </cfRule>
  </conditionalFormatting>
  <conditionalFormatting sqref="K18">
    <cfRule type="expression" dxfId="2411" priority="349" stopIfTrue="1">
      <formula>$J$18="E"</formula>
    </cfRule>
  </conditionalFormatting>
  <conditionalFormatting sqref="K19">
    <cfRule type="expression" dxfId="2410" priority="348" stopIfTrue="1">
      <formula>$J$19="E"</formula>
    </cfRule>
  </conditionalFormatting>
  <conditionalFormatting sqref="K20">
    <cfRule type="expression" dxfId="2409" priority="347" stopIfTrue="1">
      <formula>$J$20="E"</formula>
    </cfRule>
  </conditionalFormatting>
  <conditionalFormatting sqref="K16">
    <cfRule type="expression" dxfId="2408" priority="337" stopIfTrue="1">
      <formula>$J$16="E"</formula>
    </cfRule>
  </conditionalFormatting>
  <conditionalFormatting sqref="K21">
    <cfRule type="expression" dxfId="2407" priority="332" stopIfTrue="1">
      <formula>$J21="E"</formula>
    </cfRule>
  </conditionalFormatting>
  <conditionalFormatting sqref="K15">
    <cfRule type="expression" dxfId="2406" priority="330" stopIfTrue="1">
      <formula>$J$15="E"</formula>
    </cfRule>
  </conditionalFormatting>
  <conditionalFormatting sqref="K22">
    <cfRule type="expression" dxfId="2405" priority="325" stopIfTrue="1">
      <formula>$J22="E"</formula>
    </cfRule>
  </conditionalFormatting>
  <conditionalFormatting sqref="K23">
    <cfRule type="expression" dxfId="2404" priority="324" stopIfTrue="1">
      <formula>$J23="E"</formula>
    </cfRule>
  </conditionalFormatting>
  <conditionalFormatting sqref="K24:K28">
    <cfRule type="expression" dxfId="2403" priority="323" stopIfTrue="1">
      <formula>$J24="E"</formula>
    </cfRule>
  </conditionalFormatting>
  <conditionalFormatting sqref="K9">
    <cfRule type="expression" dxfId="2402" priority="320" stopIfTrue="1">
      <formula>$J$9="E"</formula>
    </cfRule>
  </conditionalFormatting>
  <conditionalFormatting sqref="R37:U44 E23:H28">
    <cfRule type="expression" dxfId="2401" priority="317" stopIfTrue="1">
      <formula>$AA$2=1</formula>
    </cfRule>
  </conditionalFormatting>
  <conditionalFormatting sqref="R9:U15">
    <cfRule type="expression" dxfId="2400" priority="319" stopIfTrue="1">
      <formula>$AA$2=1</formula>
    </cfRule>
  </conditionalFormatting>
  <conditionalFormatting sqref="R22:U29">
    <cfRule type="expression" dxfId="2399" priority="300" stopIfTrue="1">
      <formula>$AA$2=1</formula>
    </cfRule>
  </conditionalFormatting>
  <conditionalFormatting sqref="H17:H27 E9:H22">
    <cfRule type="expression" dxfId="2398" priority="216" stopIfTrue="1">
      <formula>$AA$2=1</formula>
    </cfRule>
  </conditionalFormatting>
  <conditionalFormatting sqref="I9:I22">
    <cfRule type="expression" dxfId="2397" priority="187" stopIfTrue="1">
      <formula>$AA$2=1</formula>
    </cfRule>
  </conditionalFormatting>
  <conditionalFormatting sqref="J9:J22">
    <cfRule type="expression" dxfId="2396" priority="178" stopIfTrue="1">
      <formula>$AA$2=1</formula>
    </cfRule>
  </conditionalFormatting>
  <conditionalFormatting sqref="K10">
    <cfRule type="expression" dxfId="2395" priority="149" stopIfTrue="1">
      <formula>$J$9="E"</formula>
    </cfRule>
  </conditionalFormatting>
  <conditionalFormatting sqref="K11">
    <cfRule type="expression" dxfId="2394" priority="148" stopIfTrue="1">
      <formula>$J$9="E"</formula>
    </cfRule>
  </conditionalFormatting>
  <conditionalFormatting sqref="K12">
    <cfRule type="expression" dxfId="2393" priority="147" stopIfTrue="1">
      <formula>$J$9="E"</formula>
    </cfRule>
  </conditionalFormatting>
  <conditionalFormatting sqref="K13">
    <cfRule type="expression" dxfId="2392" priority="146" stopIfTrue="1">
      <formula>$J$9="E"</formula>
    </cfRule>
  </conditionalFormatting>
  <conditionalFormatting sqref="K14">
    <cfRule type="expression" dxfId="2391" priority="145" stopIfTrue="1">
      <formula>$J$9="E"</formula>
    </cfRule>
  </conditionalFormatting>
  <conditionalFormatting sqref="K15">
    <cfRule type="expression" dxfId="2390" priority="144" stopIfTrue="1">
      <formula>$J$9="E"</formula>
    </cfRule>
  </conditionalFormatting>
  <conditionalFormatting sqref="K16">
    <cfRule type="expression" dxfId="2389" priority="143" stopIfTrue="1">
      <formula>$J$9="E"</formula>
    </cfRule>
  </conditionalFormatting>
  <conditionalFormatting sqref="K28">
    <cfRule type="expression" dxfId="2388" priority="142" stopIfTrue="1">
      <formula>$J$9="E"</formula>
    </cfRule>
  </conditionalFormatting>
  <conditionalFormatting sqref="K17">
    <cfRule type="expression" dxfId="2387" priority="141" stopIfTrue="1">
      <formula>$J$16="E"</formula>
    </cfRule>
  </conditionalFormatting>
  <conditionalFormatting sqref="K17">
    <cfRule type="expression" dxfId="2386" priority="140" stopIfTrue="1">
      <formula>$J$9="E"</formula>
    </cfRule>
  </conditionalFormatting>
  <conditionalFormatting sqref="K18">
    <cfRule type="expression" dxfId="2385" priority="139" stopIfTrue="1">
      <formula>$J$16="E"</formula>
    </cfRule>
  </conditionalFormatting>
  <conditionalFormatting sqref="K18">
    <cfRule type="expression" dxfId="2384" priority="138" stopIfTrue="1">
      <formula>$J$9="E"</formula>
    </cfRule>
  </conditionalFormatting>
  <conditionalFormatting sqref="K19">
    <cfRule type="expression" dxfId="2383" priority="137" stopIfTrue="1">
      <formula>$J$16="E"</formula>
    </cfRule>
  </conditionalFormatting>
  <conditionalFormatting sqref="K19">
    <cfRule type="expression" dxfId="2382" priority="136" stopIfTrue="1">
      <formula>$J$9="E"</formula>
    </cfRule>
  </conditionalFormatting>
  <conditionalFormatting sqref="K20">
    <cfRule type="expression" dxfId="2381" priority="135" stopIfTrue="1">
      <formula>$J$16="E"</formula>
    </cfRule>
  </conditionalFormatting>
  <conditionalFormatting sqref="K20">
    <cfRule type="expression" dxfId="2380" priority="134" stopIfTrue="1">
      <formula>$J$9="E"</formula>
    </cfRule>
  </conditionalFormatting>
  <conditionalFormatting sqref="K21">
    <cfRule type="expression" dxfId="2379" priority="133" stopIfTrue="1">
      <formula>$J$16="E"</formula>
    </cfRule>
  </conditionalFormatting>
  <conditionalFormatting sqref="K21">
    <cfRule type="expression" dxfId="2378" priority="132" stopIfTrue="1">
      <formula>$J$9="E"</formula>
    </cfRule>
  </conditionalFormatting>
  <conditionalFormatting sqref="K22">
    <cfRule type="expression" dxfId="2377" priority="131" stopIfTrue="1">
      <formula>$J$16="E"</formula>
    </cfRule>
  </conditionalFormatting>
  <conditionalFormatting sqref="K22">
    <cfRule type="expression" dxfId="2376" priority="130" stopIfTrue="1">
      <formula>$J$9="E"</formula>
    </cfRule>
  </conditionalFormatting>
  <conditionalFormatting sqref="K23">
    <cfRule type="expression" dxfId="2375" priority="129" stopIfTrue="1">
      <formula>$J$16="E"</formula>
    </cfRule>
  </conditionalFormatting>
  <conditionalFormatting sqref="K23">
    <cfRule type="expression" dxfId="2374" priority="128" stopIfTrue="1">
      <formula>$J$9="E"</formula>
    </cfRule>
  </conditionalFormatting>
  <conditionalFormatting sqref="K24">
    <cfRule type="expression" dxfId="2373" priority="127" stopIfTrue="1">
      <formula>$J$16="E"</formula>
    </cfRule>
  </conditionalFormatting>
  <conditionalFormatting sqref="K24">
    <cfRule type="expression" dxfId="2372" priority="126" stopIfTrue="1">
      <formula>$J$9="E"</formula>
    </cfRule>
  </conditionalFormatting>
  <conditionalFormatting sqref="K25">
    <cfRule type="expression" dxfId="2371" priority="125" stopIfTrue="1">
      <formula>$J$16="E"</formula>
    </cfRule>
  </conditionalFormatting>
  <conditionalFormatting sqref="K25">
    <cfRule type="expression" dxfId="2370" priority="124" stopIfTrue="1">
      <formula>$J$9="E"</formula>
    </cfRule>
  </conditionalFormatting>
  <conditionalFormatting sqref="K26">
    <cfRule type="expression" dxfId="2369" priority="123" stopIfTrue="1">
      <formula>$J$16="E"</formula>
    </cfRule>
  </conditionalFormatting>
  <conditionalFormatting sqref="K26">
    <cfRule type="expression" dxfId="2368" priority="122" stopIfTrue="1">
      <formula>$J$9="E"</formula>
    </cfRule>
  </conditionalFormatting>
  <conditionalFormatting sqref="K27">
    <cfRule type="expression" dxfId="2367" priority="121" stopIfTrue="1">
      <formula>$J$16="E"</formula>
    </cfRule>
  </conditionalFormatting>
  <conditionalFormatting sqref="K27">
    <cfRule type="expression" dxfId="2366" priority="120" stopIfTrue="1">
      <formula>$J$9="E"</formula>
    </cfRule>
  </conditionalFormatting>
  <conditionalFormatting sqref="K28">
    <cfRule type="expression" dxfId="2365" priority="119" stopIfTrue="1">
      <formula>$J$16="E"</formula>
    </cfRule>
  </conditionalFormatting>
  <conditionalFormatting sqref="K28">
    <cfRule type="expression" dxfId="2364" priority="118" stopIfTrue="1">
      <formula>$J$9="E"</formula>
    </cfRule>
  </conditionalFormatting>
  <conditionalFormatting sqref="V9">
    <cfRule type="expression" dxfId="2363" priority="117" stopIfTrue="1">
      <formula>$AA$2=1</formula>
    </cfRule>
  </conditionalFormatting>
  <conditionalFormatting sqref="W9">
    <cfRule type="expression" dxfId="2362" priority="116" stopIfTrue="1">
      <formula>$AA$2=1</formula>
    </cfRule>
  </conditionalFormatting>
  <conditionalFormatting sqref="V10">
    <cfRule type="expression" dxfId="2361" priority="115" stopIfTrue="1">
      <formula>$AA$2=1</formula>
    </cfRule>
  </conditionalFormatting>
  <conditionalFormatting sqref="W10">
    <cfRule type="expression" dxfId="2360" priority="114" stopIfTrue="1">
      <formula>$AA$2=1</formula>
    </cfRule>
  </conditionalFormatting>
  <conditionalFormatting sqref="V11">
    <cfRule type="expression" dxfId="2359" priority="113" stopIfTrue="1">
      <formula>$AA$2=1</formula>
    </cfRule>
  </conditionalFormatting>
  <conditionalFormatting sqref="W11">
    <cfRule type="expression" dxfId="2358" priority="112" stopIfTrue="1">
      <formula>$AA$2=1</formula>
    </cfRule>
  </conditionalFormatting>
  <conditionalFormatting sqref="V12">
    <cfRule type="expression" dxfId="2357" priority="111" stopIfTrue="1">
      <formula>$AA$2=1</formula>
    </cfRule>
  </conditionalFormatting>
  <conditionalFormatting sqref="W12">
    <cfRule type="expression" dxfId="2356" priority="110" stopIfTrue="1">
      <formula>$AA$2=1</formula>
    </cfRule>
  </conditionalFormatting>
  <conditionalFormatting sqref="V13">
    <cfRule type="expression" dxfId="2355" priority="109" stopIfTrue="1">
      <formula>$AA$2=1</formula>
    </cfRule>
  </conditionalFormatting>
  <conditionalFormatting sqref="W13">
    <cfRule type="expression" dxfId="2354" priority="108" stopIfTrue="1">
      <formula>$AA$2=1</formula>
    </cfRule>
  </conditionalFormatting>
  <conditionalFormatting sqref="V14">
    <cfRule type="expression" dxfId="2353" priority="107" stopIfTrue="1">
      <formula>$AA$2=1</formula>
    </cfRule>
  </conditionalFormatting>
  <conditionalFormatting sqref="W14">
    <cfRule type="expression" dxfId="2352" priority="106" stopIfTrue="1">
      <formula>$AA$2=1</formula>
    </cfRule>
  </conditionalFormatting>
  <conditionalFormatting sqref="V15">
    <cfRule type="expression" dxfId="2351" priority="105" stopIfTrue="1">
      <formula>$AA$2=1</formula>
    </cfRule>
  </conditionalFormatting>
  <conditionalFormatting sqref="W15">
    <cfRule type="expression" dxfId="2350" priority="104" stopIfTrue="1">
      <formula>$AA$2=1</formula>
    </cfRule>
  </conditionalFormatting>
  <conditionalFormatting sqref="V22">
    <cfRule type="expression" dxfId="2349" priority="103" stopIfTrue="1">
      <formula>$AA$2=1</formula>
    </cfRule>
  </conditionalFormatting>
  <conditionalFormatting sqref="W22">
    <cfRule type="expression" dxfId="2348" priority="102" stopIfTrue="1">
      <formula>$AA$2=1</formula>
    </cfRule>
  </conditionalFormatting>
  <conditionalFormatting sqref="V23">
    <cfRule type="expression" dxfId="2347" priority="101" stopIfTrue="1">
      <formula>$AA$2=1</formula>
    </cfRule>
  </conditionalFormatting>
  <conditionalFormatting sqref="W23">
    <cfRule type="expression" dxfId="2346" priority="100" stopIfTrue="1">
      <formula>$AA$2=1</formula>
    </cfRule>
  </conditionalFormatting>
  <conditionalFormatting sqref="V24">
    <cfRule type="expression" dxfId="2345" priority="99" stopIfTrue="1">
      <formula>$AA$2=1</formula>
    </cfRule>
  </conditionalFormatting>
  <conditionalFormatting sqref="W24">
    <cfRule type="expression" dxfId="2344" priority="98" stopIfTrue="1">
      <formula>$AA$2=1</formula>
    </cfRule>
  </conditionalFormatting>
  <conditionalFormatting sqref="V25">
    <cfRule type="expression" dxfId="2343" priority="97" stopIfTrue="1">
      <formula>$AA$2=1</formula>
    </cfRule>
  </conditionalFormatting>
  <conditionalFormatting sqref="W25">
    <cfRule type="expression" dxfId="2342" priority="96" stopIfTrue="1">
      <formula>$AA$2=1</formula>
    </cfRule>
  </conditionalFormatting>
  <conditionalFormatting sqref="V26">
    <cfRule type="expression" dxfId="2341" priority="95" stopIfTrue="1">
      <formula>$AA$2=1</formula>
    </cfRule>
  </conditionalFormatting>
  <conditionalFormatting sqref="W26">
    <cfRule type="expression" dxfId="2340" priority="94" stopIfTrue="1">
      <formula>$AA$2=1</formula>
    </cfRule>
  </conditionalFormatting>
  <conditionalFormatting sqref="W29">
    <cfRule type="expression" dxfId="2339" priority="88" stopIfTrue="1">
      <formula>$AA$2=1</formula>
    </cfRule>
  </conditionalFormatting>
  <conditionalFormatting sqref="V27">
    <cfRule type="expression" dxfId="2338" priority="93" stopIfTrue="1">
      <formula>$AA$2=1</formula>
    </cfRule>
  </conditionalFormatting>
  <conditionalFormatting sqref="W27">
    <cfRule type="expression" dxfId="2337" priority="92" stopIfTrue="1">
      <formula>$AA$2=1</formula>
    </cfRule>
  </conditionalFormatting>
  <conditionalFormatting sqref="V28">
    <cfRule type="expression" dxfId="2336" priority="91" stopIfTrue="1">
      <formula>$AA$2=1</formula>
    </cfRule>
  </conditionalFormatting>
  <conditionalFormatting sqref="W28">
    <cfRule type="expression" dxfId="2335" priority="90" stopIfTrue="1">
      <formula>$AA$2=1</formula>
    </cfRule>
  </conditionalFormatting>
  <conditionalFormatting sqref="V29">
    <cfRule type="expression" dxfId="2334" priority="89" stopIfTrue="1">
      <formula>$AA$2=1</formula>
    </cfRule>
  </conditionalFormatting>
  <conditionalFormatting sqref="I23">
    <cfRule type="expression" dxfId="2333" priority="87" stopIfTrue="1">
      <formula>$AA$2=1</formula>
    </cfRule>
  </conditionalFormatting>
  <conditionalFormatting sqref="I24">
    <cfRule type="expression" dxfId="2332" priority="86" stopIfTrue="1">
      <formula>$AA$2=1</formula>
    </cfRule>
  </conditionalFormatting>
  <conditionalFormatting sqref="I25">
    <cfRule type="expression" dxfId="2331" priority="85" stopIfTrue="1">
      <formula>$AA$2=1</formula>
    </cfRule>
  </conditionalFormatting>
  <conditionalFormatting sqref="I26">
    <cfRule type="expression" dxfId="2330" priority="84" stopIfTrue="1">
      <formula>$AA$2=1</formula>
    </cfRule>
  </conditionalFormatting>
  <conditionalFormatting sqref="I27">
    <cfRule type="expression" dxfId="2329" priority="83" stopIfTrue="1">
      <formula>$AA$2=1</formula>
    </cfRule>
  </conditionalFormatting>
  <conditionalFormatting sqref="I28">
    <cfRule type="expression" dxfId="2328" priority="82" stopIfTrue="1">
      <formula>$AA$2=1</formula>
    </cfRule>
  </conditionalFormatting>
  <conditionalFormatting sqref="J23">
    <cfRule type="expression" dxfId="2327" priority="81" stopIfTrue="1">
      <formula>$AA$2=1</formula>
    </cfRule>
  </conditionalFormatting>
  <conditionalFormatting sqref="J24">
    <cfRule type="expression" dxfId="2326" priority="80" stopIfTrue="1">
      <formula>$AA$2=1</formula>
    </cfRule>
  </conditionalFormatting>
  <conditionalFormatting sqref="J25">
    <cfRule type="expression" dxfId="2325" priority="79" stopIfTrue="1">
      <formula>$AA$2=1</formula>
    </cfRule>
  </conditionalFormatting>
  <conditionalFormatting sqref="J26">
    <cfRule type="expression" dxfId="2324" priority="78" stopIfTrue="1">
      <formula>$AA$2=1</formula>
    </cfRule>
  </conditionalFormatting>
  <conditionalFormatting sqref="J27">
    <cfRule type="expression" dxfId="2323" priority="77" stopIfTrue="1">
      <formula>$AA$2=1</formula>
    </cfRule>
  </conditionalFormatting>
  <conditionalFormatting sqref="J28">
    <cfRule type="expression" dxfId="2322" priority="76" stopIfTrue="1">
      <formula>$AA$2=1</formula>
    </cfRule>
  </conditionalFormatting>
  <conditionalFormatting sqref="H9:H27">
    <cfRule type="expression" dxfId="2321" priority="63" stopIfTrue="1">
      <formula>$AA$2=1</formula>
    </cfRule>
  </conditionalFormatting>
  <conditionalFormatting sqref="H28">
    <cfRule type="expression" dxfId="2320" priority="62" stopIfTrue="1">
      <formula>$AA$2=1</formula>
    </cfRule>
  </conditionalFormatting>
  <conditionalFormatting sqref="U9">
    <cfRule type="expression" dxfId="2319" priority="61" stopIfTrue="1">
      <formula>$AA$2=1</formula>
    </cfRule>
  </conditionalFormatting>
  <conditionalFormatting sqref="U9">
    <cfRule type="expression" dxfId="2318" priority="60" stopIfTrue="1">
      <formula>$AA$2=1</formula>
    </cfRule>
  </conditionalFormatting>
  <conditionalFormatting sqref="U10">
    <cfRule type="expression" dxfId="2317" priority="59" stopIfTrue="1">
      <formula>$AA$2=1</formula>
    </cfRule>
  </conditionalFormatting>
  <conditionalFormatting sqref="U11">
    <cfRule type="expression" dxfId="2316" priority="58" stopIfTrue="1">
      <formula>$AA$2=1</formula>
    </cfRule>
  </conditionalFormatting>
  <conditionalFormatting sqref="U12">
    <cfRule type="expression" dxfId="2315" priority="57" stopIfTrue="1">
      <formula>$AA$2=1</formula>
    </cfRule>
  </conditionalFormatting>
  <conditionalFormatting sqref="U13">
    <cfRule type="expression" dxfId="2314" priority="56" stopIfTrue="1">
      <formula>$AA$2=1</formula>
    </cfRule>
  </conditionalFormatting>
  <conditionalFormatting sqref="U14">
    <cfRule type="expression" dxfId="2313" priority="55" stopIfTrue="1">
      <formula>$AA$2=1</formula>
    </cfRule>
  </conditionalFormatting>
  <conditionalFormatting sqref="U15">
    <cfRule type="expression" dxfId="2312" priority="54" stopIfTrue="1">
      <formula>$AA$2=1</formula>
    </cfRule>
  </conditionalFormatting>
  <conditionalFormatting sqref="U22">
    <cfRule type="expression" dxfId="2311" priority="53" stopIfTrue="1">
      <formula>$AA$2=1</formula>
    </cfRule>
  </conditionalFormatting>
  <conditionalFormatting sqref="U23">
    <cfRule type="expression" dxfId="2310" priority="52" stopIfTrue="1">
      <formula>$AA$2=1</formula>
    </cfRule>
  </conditionalFormatting>
  <conditionalFormatting sqref="U24">
    <cfRule type="expression" dxfId="2309" priority="51" stopIfTrue="1">
      <formula>$AA$2=1</formula>
    </cfRule>
  </conditionalFormatting>
  <conditionalFormatting sqref="U25">
    <cfRule type="expression" dxfId="2308" priority="50" stopIfTrue="1">
      <formula>$AA$2=1</formula>
    </cfRule>
  </conditionalFormatting>
  <conditionalFormatting sqref="U26">
    <cfRule type="expression" dxfId="2307" priority="49" stopIfTrue="1">
      <formula>$AA$2=1</formula>
    </cfRule>
  </conditionalFormatting>
  <conditionalFormatting sqref="U27">
    <cfRule type="expression" dxfId="2306" priority="48" stopIfTrue="1">
      <formula>$AA$2=1</formula>
    </cfRule>
  </conditionalFormatting>
  <conditionalFormatting sqref="U28">
    <cfRule type="expression" dxfId="2305" priority="47" stopIfTrue="1">
      <formula>$AA$2=1</formula>
    </cfRule>
  </conditionalFormatting>
  <conditionalFormatting sqref="U29">
    <cfRule type="expression" dxfId="2304" priority="46" stopIfTrue="1">
      <formula>$AA$2=1</formula>
    </cfRule>
  </conditionalFormatting>
  <dataValidations count="2">
    <dataValidation type="list" allowBlank="1" showInputMessage="1" showErrorMessage="1" sqref="V9:W15 V22:W29 I9:J28" xr:uid="{00000000-0002-0000-0800-000000000000}">
      <formula1>$AT$3:$AT$4</formula1>
    </dataValidation>
    <dataValidation type="list" allowBlank="1" showInputMessage="1" showErrorMessage="1" sqref="U22:U29 U9:U15 H9:H28" xr:uid="{00000000-0002-0000-0800-000001000000}">
      <formula1>$AU$3:$AU$4</formula1>
    </dataValidation>
  </dataValidations>
  <printOptions horizontalCentered="1"/>
  <pageMargins left="0.31496062992125984" right="0.31496062992125984" top="0.51181102362204722" bottom="0.47244094488188981" header="0.23622047244094491" footer="0.23622047244094491"/>
  <pageSetup paperSize="9" scale="77" orientation="portrait" r:id="rId1"/>
  <headerFooter>
    <oddHeader>&amp;L&amp;D&amp;C&amp;F
&amp;A&amp;RPage &amp;P of &amp;N</oddHeader>
    <oddFooter>&amp;LPage &amp;P of &amp;N&amp;C&amp;F
&amp;A&amp;R&amp;D</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63</vt:i4>
      </vt:variant>
    </vt:vector>
  </HeadingPairs>
  <TitlesOfParts>
    <vt:vector size="75" baseType="lpstr">
      <vt:lpstr>Terms and Conditions</vt:lpstr>
      <vt:lpstr>Instructions.</vt:lpstr>
      <vt:lpstr>FP Calcs</vt:lpstr>
      <vt:lpstr>Regular and QuickBrace Systems</vt:lpstr>
      <vt:lpstr>Project Demand</vt:lpstr>
      <vt:lpstr>Custom Elements</vt:lpstr>
      <vt:lpstr>Single or Upper Along</vt:lpstr>
      <vt:lpstr>Single or Upper Across </vt:lpstr>
      <vt:lpstr>Lower Along</vt:lpstr>
      <vt:lpstr>Lower Across </vt:lpstr>
      <vt:lpstr>Sub Floor Along</vt:lpstr>
      <vt:lpstr>Sub Floor Across</vt:lpstr>
      <vt:lpstr>Alost</vt:lpstr>
      <vt:lpstr>Calculated_Eaves_Height</vt:lpstr>
      <vt:lpstr>Calculated_Roof_Pitch</vt:lpstr>
      <vt:lpstr>Calculated_Roof_Width</vt:lpstr>
      <vt:lpstr>CPR</vt:lpstr>
      <vt:lpstr>CprAlong</vt:lpstr>
      <vt:lpstr>'FP Calcs'!CPs</vt:lpstr>
      <vt:lpstr>CPW</vt:lpstr>
      <vt:lpstr>FP</vt:lpstr>
      <vt:lpstr>GableEnded</vt:lpstr>
      <vt:lpstr>HEI</vt:lpstr>
      <vt:lpstr>Height_Above_Eaves</vt:lpstr>
      <vt:lpstr>HLE</vt:lpstr>
      <vt:lpstr>HLI</vt:lpstr>
      <vt:lpstr>HS</vt:lpstr>
      <vt:lpstr>HUE</vt:lpstr>
      <vt:lpstr>HUI</vt:lpstr>
      <vt:lpstr>LE</vt:lpstr>
      <vt:lpstr>LL</vt:lpstr>
      <vt:lpstr>LR</vt:lpstr>
      <vt:lpstr>LS</vt:lpstr>
      <vt:lpstr>LU</vt:lpstr>
      <vt:lpstr>Monoroof</vt:lpstr>
      <vt:lpstr>'FP Calcs'!NumStoreys</vt:lpstr>
      <vt:lpstr>'Custom Elements'!Print_Area</vt:lpstr>
      <vt:lpstr>'FP Calcs'!Print_Area</vt:lpstr>
      <vt:lpstr>'Lower Across '!Print_Area</vt:lpstr>
      <vt:lpstr>'Lower Along'!Print_Area</vt:lpstr>
      <vt:lpstr>'Project Demand'!Print_Area</vt:lpstr>
      <vt:lpstr>'Regular and QuickBrace Systems'!Print_Area</vt:lpstr>
      <vt:lpstr>'Single or Upper Across '!Print_Area</vt:lpstr>
      <vt:lpstr>'Single or Upper Along'!Print_Area</vt:lpstr>
      <vt:lpstr>'Sub Floor Across'!Print_Area</vt:lpstr>
      <vt:lpstr>'Sub Floor Along'!Print_Area</vt:lpstr>
      <vt:lpstr>WindCalc!Print_Area</vt:lpstr>
      <vt:lpstr>'Lower Across '!Prodlink</vt:lpstr>
      <vt:lpstr>'Lower Along'!Prodlink</vt:lpstr>
      <vt:lpstr>'Single or Upper Across '!Prodlink</vt:lpstr>
      <vt:lpstr>'Single or Upper Along'!Prodlink</vt:lpstr>
      <vt:lpstr>'Sub Floor Across'!Prodlink</vt:lpstr>
      <vt:lpstr>'Sub Floor Along'!Prodlink</vt:lpstr>
      <vt:lpstr>QQQ</vt:lpstr>
      <vt:lpstr>Roof_Pitch</vt:lpstr>
      <vt:lpstr>Roof_Width</vt:lpstr>
      <vt:lpstr>RoofAngle</vt:lpstr>
      <vt:lpstr>RoofH</vt:lpstr>
      <vt:lpstr>'FP Calcs'!Roofht</vt:lpstr>
      <vt:lpstr>RoofType</vt:lpstr>
      <vt:lpstr>SCoeff</vt:lpstr>
      <vt:lpstr>'FP Calcs'!SeismicFactor</vt:lpstr>
      <vt:lpstr>'FP Calcs'!Slab</vt:lpstr>
      <vt:lpstr>SoilClass</vt:lpstr>
      <vt:lpstr>TanSlope</vt:lpstr>
      <vt:lpstr>TotH</vt:lpstr>
      <vt:lpstr>WE</vt:lpstr>
      <vt:lpstr>WL</vt:lpstr>
      <vt:lpstr>WR</vt:lpstr>
      <vt:lpstr>WS</vt:lpstr>
      <vt:lpstr>WU</vt:lpstr>
      <vt:lpstr>XX</vt:lpstr>
      <vt:lpstr>YY</vt:lpstr>
      <vt:lpstr>Zone</vt:lpstr>
      <vt:lpstr>ZZ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Elelphant Plasteboard QuickBrace Worksheet</dc:title>
  <dc:creator>Kevin van Hest</dc:creator>
  <cp:lastModifiedBy>Kevin Van Hest</cp:lastModifiedBy>
  <cp:lastPrinted>2018-08-14T12:58:04Z</cp:lastPrinted>
  <dcterms:created xsi:type="dcterms:W3CDTF">2005-04-03T10:40:31Z</dcterms:created>
  <dcterms:modified xsi:type="dcterms:W3CDTF">2021-08-31T04:06:36Z</dcterms:modified>
</cp:coreProperties>
</file>